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unicef-my.sharepoint.com/personal/mirategeka_unicef_org/Documents/Desktop/FORECASTING/Toolbox Setup!/Resources/JSI Tools for the Toolbox/"/>
    </mc:Choice>
  </mc:AlternateContent>
  <xr:revisionPtr revIDLastSave="0" documentId="8_{99880052-4C47-45B3-BB9B-FF5563048891}" xr6:coauthVersionLast="47" xr6:coauthVersionMax="47" xr10:uidLastSave="{00000000-0000-0000-0000-000000000000}"/>
  <workbookProtection workbookAlgorithmName="SHA-512" workbookHashValue="h1FvhlguEdlS4GvX1zFpymoqxb3XIcG90DY9KQcwCUMoYoSsEPk7fFUVV8mX8E8wpUbk/2LNZZl/FV88TsDsmw==" workbookSaltValue="5pCqnAdXyEbXncV4+9hM7g==" workbookSpinCount="100000" lockStructure="1"/>
  <bookViews>
    <workbookView xWindow="-110" yWindow="-110" windowWidth="19420" windowHeight="10420" tabRatio="749" activeTab="4" xr2:uid="{00000000-000D-0000-FFFF-FFFF00000000}"/>
  </bookViews>
  <sheets>
    <sheet name="Cover page" sheetId="23" r:id="rId1"/>
    <sheet name="Instructions" sheetId="29" r:id="rId2"/>
    <sheet name="Start" sheetId="3" r:id="rId3"/>
    <sheet name="Shipments data" sheetId="11" r:id="rId4"/>
    <sheet name="Supply planning data" sheetId="18" r:id="rId5"/>
    <sheet name="Scenario planning-aggregate" sheetId="26" r:id="rId6"/>
    <sheet name="DataViz" sheetId="19" state="hidden" r:id="rId7"/>
    <sheet name="Aggregate" sheetId="5" state="hidden" r:id="rId8"/>
    <sheet name="Syringe Dashboard" sheetId="30" state="hidden" r:id="rId9"/>
    <sheet name="Dashboard" sheetId="20" r:id="rId10"/>
    <sheet name="Goal estimator" sheetId="31" r:id="rId11"/>
    <sheet name="Report" sheetId="28" r:id="rId12"/>
    <sheet name="Product List" sheetId="24" state="hidden" r:id="rId13"/>
    <sheet name="list" sheetId="7" state="hidden" r:id="rId14"/>
    <sheet name="population" sheetId="22" state="hidden" r:id="rId15"/>
  </sheets>
  <externalReferences>
    <externalReference r:id="rId16"/>
  </externalReferences>
  <definedNames>
    <definedName name="_xlnm._FilterDatabase" localSheetId="11" hidden="1">Report!$A$6:$B$906</definedName>
    <definedName name="_xlnm._FilterDatabase" localSheetId="4" hidden="1">'Supply planning data'!$C$4:$E$904</definedName>
    <definedName name="Adjustment">AdjustmentTbl[Adjustment]</definedName>
    <definedName name="Buyer">BuyerTbl[Supplier]</definedName>
    <definedName name="counties">list!$B$2:$B$252</definedName>
    <definedName name="Country">[1]!CountryISOCodes[[Country ]]</definedName>
    <definedName name="_xlnm.Criteria" localSheetId="11">Report!$A$6:$B$906</definedName>
    <definedName name="Manufacturer">[1]!Products[Manufacturer]</definedName>
    <definedName name="months_begining">list!$Q$1:$Q$60</definedName>
    <definedName name="months_ending">list!$R$1:$R$60</definedName>
    <definedName name="_xlnm.Print_Area" localSheetId="11">Report!$A$3:$AD$906</definedName>
    <definedName name="_xlnm.Print_Area" localSheetId="4">'Supply planning data'!$C$4:$E$4</definedName>
    <definedName name="_xlnm.Print_Titles" localSheetId="11">Report!$A:$B,Report!$3:$6</definedName>
    <definedName name="_xlnm.Print_Titles" localSheetId="4">'Supply planning data'!$C:$D,'Supply planning data'!$3:$4</definedName>
    <definedName name="Product">ProductTbl[Product]</definedName>
    <definedName name="ProductList">ProductListTbl[Product]</definedName>
    <definedName name="Sector">SectorTbl[Sector]</definedName>
    <definedName name="Shortname">ShortnameTbl[Short name]</definedName>
    <definedName name="Status">StatusTbl[Status]</definedName>
    <definedName name="Vaccine">Start!$C$16:$C$31</definedName>
    <definedName name="Vendor">VendorTbl[Vendor]</definedName>
    <definedName name="vendors">list!$G$2:$G$21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31" l="1" a="1"/>
  <c r="F14" i="31" s="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28" i="31" l="1"/>
  <c r="E18" i="31" s="1" a="1"/>
  <c r="E18" i="31" s="1"/>
  <c r="F18" i="31" s="1" a="1"/>
  <c r="F18" i="31" s="1"/>
  <c r="E14" i="31" l="1" a="1"/>
  <c r="E14" i="31" s="1"/>
  <c r="E22" i="31" a="1"/>
  <c r="E22" i="31" s="1"/>
  <c r="F22" i="31" s="1" a="1"/>
  <c r="F22" i="31" s="1"/>
  <c r="E15" i="31" a="1"/>
  <c r="E15" i="31" s="1"/>
  <c r="F15" i="31" s="1" a="1"/>
  <c r="F15" i="31" s="1"/>
  <c r="E23" i="31" a="1"/>
  <c r="E23" i="31" s="1"/>
  <c r="F23" i="31" s="1" a="1"/>
  <c r="F23" i="31" s="1"/>
  <c r="E16" i="31" a="1"/>
  <c r="E16" i="31" s="1"/>
  <c r="F16" i="31" s="1" a="1"/>
  <c r="F16" i="31" s="1"/>
  <c r="E24" i="31" a="1"/>
  <c r="E24" i="31" s="1"/>
  <c r="F24" i="31" s="1" a="1"/>
  <c r="F24" i="31" s="1"/>
  <c r="E21" i="31" a="1"/>
  <c r="E21" i="31" s="1"/>
  <c r="F21" i="31" s="1" a="1"/>
  <c r="F21" i="31" s="1"/>
  <c r="E17" i="31" a="1"/>
  <c r="E17" i="31" s="1"/>
  <c r="F17" i="31" s="1" a="1"/>
  <c r="F17" i="31" s="1"/>
  <c r="E25" i="31" a="1"/>
  <c r="E25" i="31" s="1"/>
  <c r="F25" i="31" s="1" a="1"/>
  <c r="F25" i="31" s="1"/>
  <c r="E26" i="31" a="1"/>
  <c r="E26" i="31" s="1"/>
  <c r="F26" i="31" s="1" a="1"/>
  <c r="F26" i="31" s="1"/>
  <c r="E13" i="31" a="1"/>
  <c r="E13" i="31" s="1"/>
  <c r="F13" i="31" s="1" a="1"/>
  <c r="F13" i="31" s="1"/>
  <c r="E19" i="31" a="1"/>
  <c r="E19" i="31" s="1"/>
  <c r="F19" i="31" s="1" a="1"/>
  <c r="F19" i="31" s="1"/>
  <c r="E27" i="31" a="1"/>
  <c r="E27" i="31" s="1"/>
  <c r="F27" i="31" s="1" a="1"/>
  <c r="F27" i="31" s="1"/>
  <c r="E20" i="31" a="1"/>
  <c r="E20" i="31" s="1"/>
  <c r="F20" i="31" s="1" a="1"/>
  <c r="F20" i="31" s="1"/>
  <c r="B14" i="31" l="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13" i="31"/>
  <c r="A1" i="31"/>
  <c r="F8" i="31"/>
  <c r="I27" i="31" l="1"/>
  <c r="I19" i="31"/>
  <c r="I18" i="31"/>
  <c r="I17" i="31"/>
  <c r="I24" i="31"/>
  <c r="I16" i="31"/>
  <c r="I15" i="31"/>
  <c r="I14" i="31"/>
  <c r="I13" i="31"/>
  <c r="I20" i="31"/>
  <c r="I26" i="31"/>
  <c r="I25" i="31"/>
  <c r="I23" i="31"/>
  <c r="I22" i="31"/>
  <c r="I21" i="31"/>
  <c r="E28" i="31" l="1"/>
  <c r="B31" i="31"/>
  <c r="C28" i="31" l="1"/>
  <c r="H27" i="31"/>
  <c r="H26" i="31"/>
  <c r="H25" i="31"/>
  <c r="H24" i="31"/>
  <c r="H23" i="31"/>
  <c r="H22" i="31"/>
  <c r="H21" i="31"/>
  <c r="H20" i="31"/>
  <c r="H19" i="31"/>
  <c r="H18" i="31"/>
  <c r="H17" i="31"/>
  <c r="H16" i="31"/>
  <c r="H15" i="31"/>
  <c r="H13" i="31"/>
  <c r="H14" i="31" l="1"/>
  <c r="G14" i="31"/>
  <c r="G13" i="31"/>
  <c r="J13" i="31" s="1"/>
  <c r="G21" i="31"/>
  <c r="J21" i="31" s="1"/>
  <c r="G15" i="31"/>
  <c r="J15" i="31" s="1"/>
  <c r="G23" i="31"/>
  <c r="J23" i="31" s="1"/>
  <c r="G16" i="31"/>
  <c r="J16" i="31" s="1"/>
  <c r="G24" i="31"/>
  <c r="J24" i="31" s="1"/>
  <c r="G17" i="31"/>
  <c r="J17" i="31" s="1"/>
  <c r="G25" i="31"/>
  <c r="J25" i="31" s="1"/>
  <c r="G18" i="31"/>
  <c r="J18" i="31" s="1"/>
  <c r="G26" i="31"/>
  <c r="J26" i="31" s="1"/>
  <c r="G19" i="31"/>
  <c r="J19" i="31" s="1"/>
  <c r="G27" i="31"/>
  <c r="J27" i="31" s="1"/>
  <c r="G22" i="31"/>
  <c r="J22" i="31" s="1"/>
  <c r="G20" i="31"/>
  <c r="J20" i="31" s="1"/>
  <c r="Y6" i="20"/>
  <c r="J14" i="31" l="1"/>
  <c r="F28" i="31"/>
  <c r="G28" i="31"/>
  <c r="G31" i="31" s="1"/>
  <c r="I28" i="31"/>
  <c r="I31" i="31" s="1"/>
  <c r="H28" i="31"/>
  <c r="H31" i="31" s="1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8" i="26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4" i="19"/>
  <c r="J28" i="31" l="1"/>
  <c r="J31" i="31" s="1"/>
  <c r="Y30" i="20"/>
  <c r="Z31" i="20"/>
  <c r="AA31" i="20" s="1"/>
  <c r="AB31" i="20" s="1"/>
  <c r="AC31" i="20" s="1"/>
  <c r="AD31" i="20" s="1"/>
  <c r="AE31" i="20" s="1"/>
  <c r="AF31" i="20" s="1"/>
  <c r="AG31" i="20" s="1"/>
  <c r="AH31" i="20" s="1"/>
  <c r="AI31" i="20" s="1"/>
  <c r="AJ31" i="20" s="1"/>
  <c r="AK31" i="20" s="1"/>
  <c r="AL31" i="20" s="1"/>
  <c r="AM31" i="20" s="1"/>
  <c r="AN31" i="20" s="1"/>
  <c r="AO31" i="20" s="1"/>
  <c r="AP31" i="20" s="1"/>
  <c r="AQ31" i="20" s="1"/>
  <c r="AR31" i="20" s="1"/>
  <c r="AS31" i="20" s="1"/>
  <c r="AO11" i="20"/>
  <c r="Z27" i="20" l="1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12" i="20"/>
  <c r="Y12" i="20" l="1"/>
  <c r="AO74" i="20" l="1"/>
  <c r="AO75" i="20"/>
  <c r="AO76" i="20"/>
  <c r="AO77" i="20"/>
  <c r="AO78" i="20"/>
  <c r="AO79" i="20"/>
  <c r="AO80" i="20"/>
  <c r="AO81" i="20"/>
  <c r="AO82" i="20"/>
  <c r="AO83" i="20"/>
  <c r="AO84" i="20"/>
  <c r="AO85" i="20"/>
  <c r="AO86" i="20"/>
  <c r="AO87" i="20"/>
  <c r="AO73" i="20"/>
  <c r="Y73" i="20"/>
  <c r="AN9" i="20"/>
  <c r="AF9" i="20"/>
  <c r="O73" i="20"/>
  <c r="AN26" i="20"/>
  <c r="AN25" i="20"/>
  <c r="AN24" i="20"/>
  <c r="AN23" i="20"/>
  <c r="AN22" i="20"/>
  <c r="AN21" i="20"/>
  <c r="AN20" i="20"/>
  <c r="AN19" i="20"/>
  <c r="AN18" i="20"/>
  <c r="AN17" i="20"/>
  <c r="AN16" i="20"/>
  <c r="AN15" i="20"/>
  <c r="AN14" i="20"/>
  <c r="AN13" i="20"/>
  <c r="AN12" i="20"/>
  <c r="Y9" i="20"/>
  <c r="Y16" i="20"/>
  <c r="Y15" i="20"/>
  <c r="Y58" i="20"/>
  <c r="Z58" i="20" s="1"/>
  <c r="Y59" i="20"/>
  <c r="Z59" i="20" s="1"/>
  <c r="Y60" i="20"/>
  <c r="Z60" i="20" s="1"/>
  <c r="Y61" i="20"/>
  <c r="Z61" i="20" s="1"/>
  <c r="Y62" i="20"/>
  <c r="Z62" i="20" s="1"/>
  <c r="Y63" i="20"/>
  <c r="Z63" i="20" s="1"/>
  <c r="Y64" i="20"/>
  <c r="Z64" i="20" s="1"/>
  <c r="Y65" i="20"/>
  <c r="Z65" i="20" s="1"/>
  <c r="Y66" i="20"/>
  <c r="Z66" i="20" s="1"/>
  <c r="Y67" i="20"/>
  <c r="Z67" i="20" s="1"/>
  <c r="AH58" i="20"/>
  <c r="AK58" i="20" s="1"/>
  <c r="AM58" i="20"/>
  <c r="AH59" i="20"/>
  <c r="AK59" i="20" s="1"/>
  <c r="AH60" i="20"/>
  <c r="AK60" i="20" s="1"/>
  <c r="AH61" i="20"/>
  <c r="AK61" i="20" s="1"/>
  <c r="AH62" i="20"/>
  <c r="AK62" i="20" s="1"/>
  <c r="AH63" i="20"/>
  <c r="AK63" i="20" s="1"/>
  <c r="AH64" i="20"/>
  <c r="AK64" i="20" s="1"/>
  <c r="AH65" i="20"/>
  <c r="AK65" i="20" s="1"/>
  <c r="AH66" i="20"/>
  <c r="AK66" i="20" s="1"/>
  <c r="AH67" i="20"/>
  <c r="AN67" i="20"/>
  <c r="Y81" i="20"/>
  <c r="Y82" i="20"/>
  <c r="D18" i="30"/>
  <c r="F18" i="30" s="1"/>
  <c r="D17" i="30"/>
  <c r="F17" i="30" s="1"/>
  <c r="F16" i="30"/>
  <c r="D16" i="30"/>
  <c r="E16" i="30" s="1"/>
  <c r="D15" i="30"/>
  <c r="F15" i="30" s="1"/>
  <c r="D14" i="30"/>
  <c r="F14" i="30" s="1"/>
  <c r="D13" i="30"/>
  <c r="F13" i="30" s="1"/>
  <c r="D12" i="30"/>
  <c r="F12" i="30" s="1"/>
  <c r="E11" i="30"/>
  <c r="D11" i="30"/>
  <c r="F11" i="30" s="1"/>
  <c r="D10" i="30"/>
  <c r="F10" i="30" s="1"/>
  <c r="D9" i="30"/>
  <c r="F9" i="30" s="1"/>
  <c r="F8" i="30"/>
  <c r="D8" i="30"/>
  <c r="E8" i="30" s="1"/>
  <c r="D7" i="30"/>
  <c r="F7" i="30" s="1"/>
  <c r="D6" i="30"/>
  <c r="F6" i="30" s="1"/>
  <c r="E5" i="30"/>
  <c r="D5" i="30"/>
  <c r="F5" i="30" s="1"/>
  <c r="E4" i="30"/>
  <c r="D4" i="30"/>
  <c r="F4" i="30" s="1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AE64" i="20" l="1"/>
  <c r="AE63" i="20"/>
  <c r="AP11" i="20"/>
  <c r="AQ11" i="20" s="1"/>
  <c r="AR11" i="20" s="1"/>
  <c r="AS11" i="20" s="1"/>
  <c r="AT11" i="20" s="1"/>
  <c r="AI66" i="20"/>
  <c r="AN60" i="20"/>
  <c r="AM60" i="20"/>
  <c r="AJ60" i="20"/>
  <c r="AI60" i="20"/>
  <c r="AM67" i="20"/>
  <c r="AN59" i="20"/>
  <c r="AJ67" i="20"/>
  <c r="AM59" i="20"/>
  <c r="AI67" i="20"/>
  <c r="AJ59" i="20"/>
  <c r="AI59" i="20"/>
  <c r="AM61" i="20"/>
  <c r="AJ61" i="20"/>
  <c r="AI61" i="20"/>
  <c r="AJ58" i="20"/>
  <c r="AN66" i="20"/>
  <c r="AN62" i="20"/>
  <c r="AM66" i="20"/>
  <c r="AM62" i="20"/>
  <c r="AJ66" i="20"/>
  <c r="AJ62" i="20"/>
  <c r="AN58" i="20"/>
  <c r="AN64" i="20"/>
  <c r="AM64" i="20"/>
  <c r="AI64" i="20"/>
  <c r="AN63" i="20"/>
  <c r="AJ63" i="20"/>
  <c r="AN65" i="20"/>
  <c r="AM65" i="20"/>
  <c r="AJ65" i="20"/>
  <c r="AI65" i="20"/>
  <c r="AM63" i="20"/>
  <c r="AI62" i="20"/>
  <c r="AB67" i="20"/>
  <c r="AE67" i="20" s="1"/>
  <c r="AB66" i="20"/>
  <c r="AE66" i="20" s="1"/>
  <c r="AB65" i="20"/>
  <c r="AE65" i="20" s="1"/>
  <c r="AB64" i="20"/>
  <c r="AB63" i="20"/>
  <c r="AB62" i="20"/>
  <c r="AE62" i="20" s="1"/>
  <c r="AB61" i="20"/>
  <c r="AE61" i="20" s="1"/>
  <c r="AB60" i="20"/>
  <c r="AE60" i="20" s="1"/>
  <c r="AB59" i="20"/>
  <c r="AE59" i="20" s="1"/>
  <c r="AB58" i="20"/>
  <c r="AE58" i="20" s="1"/>
  <c r="AA67" i="20"/>
  <c r="AA66" i="20"/>
  <c r="AA65" i="20"/>
  <c r="AA64" i="20"/>
  <c r="AA63" i="20"/>
  <c r="AD63" i="20" s="1"/>
  <c r="AA62" i="20"/>
  <c r="AD62" i="20" s="1"/>
  <c r="AA61" i="20"/>
  <c r="AA60" i="20"/>
  <c r="AA59" i="20"/>
  <c r="AD59" i="20" s="1"/>
  <c r="AA58" i="20"/>
  <c r="AD58" i="20" s="1"/>
  <c r="AI58" i="20"/>
  <c r="AJ64" i="20"/>
  <c r="AI63" i="20"/>
  <c r="AN61" i="20"/>
  <c r="AK67" i="20"/>
  <c r="F19" i="30"/>
  <c r="E6" i="30"/>
  <c r="E14" i="30"/>
  <c r="E9" i="30"/>
  <c r="E17" i="30"/>
  <c r="E12" i="30"/>
  <c r="E7" i="30"/>
  <c r="E15" i="30"/>
  <c r="E10" i="30"/>
  <c r="E18" i="30"/>
  <c r="E13" i="30"/>
  <c r="AC61" i="20" l="1"/>
  <c r="AC66" i="20"/>
  <c r="AC65" i="20"/>
  <c r="AC67" i="20"/>
  <c r="AC64" i="20"/>
  <c r="AC60" i="20"/>
  <c r="AF58" i="20"/>
  <c r="AD60" i="20"/>
  <c r="AF60" i="20" s="1"/>
  <c r="AC62" i="20"/>
  <c r="AC59" i="20"/>
  <c r="AF59" i="20"/>
  <c r="AF63" i="20"/>
  <c r="AD67" i="20"/>
  <c r="AF67" i="20" s="1"/>
  <c r="AF62" i="20"/>
  <c r="AD61" i="20"/>
  <c r="AF61" i="20" s="1"/>
  <c r="AC63" i="20"/>
  <c r="AD64" i="20"/>
  <c r="AF64" i="20" s="1"/>
  <c r="AC58" i="20"/>
  <c r="AD65" i="20"/>
  <c r="AF65" i="20" s="1"/>
  <c r="AD66" i="20"/>
  <c r="AF66" i="20" s="1"/>
  <c r="AL64" i="20"/>
  <c r="AL67" i="20"/>
  <c r="AL63" i="20" l="1"/>
  <c r="AL66" i="20"/>
  <c r="AL58" i="20"/>
  <c r="AL60" i="20"/>
  <c r="AL62" i="20"/>
  <c r="AL65" i="20"/>
  <c r="AL61" i="20"/>
  <c r="AL59" i="20"/>
  <c r="Y13" i="20" l="1"/>
  <c r="Y14" i="20"/>
  <c r="Y17" i="20"/>
  <c r="Y18" i="20"/>
  <c r="Y19" i="20"/>
  <c r="Y20" i="20"/>
  <c r="Y21" i="20"/>
  <c r="Y22" i="20"/>
  <c r="Y23" i="20"/>
  <c r="Y24" i="20"/>
  <c r="Y25" i="20"/>
  <c r="Y26" i="20"/>
  <c r="O74" i="20" l="1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Y5" i="11" l="1"/>
  <c r="Y40" i="11" l="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02" i="11"/>
  <c r="Y203" i="11"/>
  <c r="Y204" i="11"/>
  <c r="Y205" i="11"/>
  <c r="Y206" i="11"/>
  <c r="Y207" i="11"/>
  <c r="Y208" i="11"/>
  <c r="Y209" i="11"/>
  <c r="Y210" i="11"/>
  <c r="Y211" i="11"/>
  <c r="Y212" i="11"/>
  <c r="Y213" i="11"/>
  <c r="Y214" i="11"/>
  <c r="Y215" i="11"/>
  <c r="Y216" i="11"/>
  <c r="Y217" i="11"/>
  <c r="Y218" i="11"/>
  <c r="Y219" i="11"/>
  <c r="Y220" i="11"/>
  <c r="Y221" i="11"/>
  <c r="Y222" i="11"/>
  <c r="Y223" i="11"/>
  <c r="Y224" i="11"/>
  <c r="Y225" i="11"/>
  <c r="Y226" i="11"/>
  <c r="Y227" i="11"/>
  <c r="Y228" i="11"/>
  <c r="Y229" i="11"/>
  <c r="Y230" i="11"/>
  <c r="Y231" i="11"/>
  <c r="Y232" i="11"/>
  <c r="Y233" i="11"/>
  <c r="Y234" i="11"/>
  <c r="Y235" i="11"/>
  <c r="Y236" i="11"/>
  <c r="Y237" i="11"/>
  <c r="Y238" i="11"/>
  <c r="Y239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255" i="11"/>
  <c r="Y256" i="11"/>
  <c r="Y257" i="11"/>
  <c r="Y258" i="11"/>
  <c r="Y259" i="11"/>
  <c r="Y260" i="11"/>
  <c r="Y261" i="11"/>
  <c r="Y262" i="11"/>
  <c r="Y263" i="11"/>
  <c r="Y264" i="11"/>
  <c r="Y265" i="11"/>
  <c r="Y266" i="11"/>
  <c r="Y267" i="11"/>
  <c r="Y268" i="11"/>
  <c r="Y269" i="11"/>
  <c r="Y270" i="11"/>
  <c r="Y271" i="11"/>
  <c r="Y272" i="11"/>
  <c r="Y273" i="11"/>
  <c r="Y274" i="11"/>
  <c r="Y275" i="11"/>
  <c r="Y276" i="11"/>
  <c r="Y277" i="11"/>
  <c r="Y278" i="11"/>
  <c r="Y279" i="11"/>
  <c r="Y280" i="11"/>
  <c r="Y281" i="11"/>
  <c r="Y282" i="11"/>
  <c r="Y283" i="11"/>
  <c r="Y284" i="11"/>
  <c r="Y285" i="11"/>
  <c r="Y286" i="11"/>
  <c r="Y287" i="11"/>
  <c r="Y288" i="11"/>
  <c r="Y289" i="11"/>
  <c r="Y290" i="11"/>
  <c r="Y291" i="11"/>
  <c r="Y292" i="11"/>
  <c r="Y293" i="11"/>
  <c r="Y294" i="11"/>
  <c r="Y295" i="11"/>
  <c r="Y296" i="11"/>
  <c r="Y297" i="11"/>
  <c r="Y298" i="11"/>
  <c r="Y299" i="11"/>
  <c r="Y300" i="1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31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37" i="11"/>
  <c r="Y338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61" i="11"/>
  <c r="Y362" i="11"/>
  <c r="Y363" i="11"/>
  <c r="Y364" i="11"/>
  <c r="Y365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79" i="11"/>
  <c r="Y380" i="11"/>
  <c r="Y381" i="11"/>
  <c r="Y382" i="11"/>
  <c r="Y383" i="11"/>
  <c r="Y384" i="11"/>
  <c r="Y385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04" i="11"/>
  <c r="Y405" i="11"/>
  <c r="Y406" i="11"/>
  <c r="Y407" i="11"/>
  <c r="Y408" i="11"/>
  <c r="Y409" i="11"/>
  <c r="Y410" i="11"/>
  <c r="Y411" i="11"/>
  <c r="Y412" i="11"/>
  <c r="Y413" i="11"/>
  <c r="Y414" i="11"/>
  <c r="Y415" i="11"/>
  <c r="Y416" i="11"/>
  <c r="Y417" i="11"/>
  <c r="Y418" i="11"/>
  <c r="Y419" i="11"/>
  <c r="Y420" i="11"/>
  <c r="Y421" i="11"/>
  <c r="Y422" i="11"/>
  <c r="Y423" i="11"/>
  <c r="Y424" i="11"/>
  <c r="Y425" i="11"/>
  <c r="Y426" i="11"/>
  <c r="Y427" i="11"/>
  <c r="Y428" i="11"/>
  <c r="Y429" i="11"/>
  <c r="Y430" i="11"/>
  <c r="Y431" i="11"/>
  <c r="Y432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53" i="11"/>
  <c r="Y454" i="11"/>
  <c r="Y455" i="11"/>
  <c r="Y456" i="11"/>
  <c r="Y457" i="11"/>
  <c r="Y458" i="11"/>
  <c r="Y459" i="11"/>
  <c r="Y460" i="11"/>
  <c r="Y461" i="11"/>
  <c r="Y462" i="11"/>
  <c r="Y463" i="11"/>
  <c r="Y464" i="11"/>
  <c r="Y465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478" i="11"/>
  <c r="Y479" i="11"/>
  <c r="Y480" i="11"/>
  <c r="Y481" i="11"/>
  <c r="Y482" i="11"/>
  <c r="Y483" i="11"/>
  <c r="Y484" i="11"/>
  <c r="Y485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Y499" i="11"/>
  <c r="Y500" i="11"/>
  <c r="Y501" i="11"/>
  <c r="Y502" i="11"/>
  <c r="Y503" i="1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0" i="11"/>
  <c r="Y521" i="11"/>
  <c r="Y522" i="11"/>
  <c r="Y523" i="11"/>
  <c r="Y524" i="11"/>
  <c r="Y525" i="11"/>
  <c r="Y526" i="11"/>
  <c r="Y527" i="11"/>
  <c r="Y528" i="11"/>
  <c r="Y529" i="11"/>
  <c r="Y530" i="11"/>
  <c r="Y531" i="11"/>
  <c r="Y532" i="11"/>
  <c r="Y533" i="11"/>
  <c r="Y534" i="11"/>
  <c r="Y535" i="11"/>
  <c r="Y536" i="11"/>
  <c r="Y537" i="11"/>
  <c r="Y538" i="11"/>
  <c r="Y539" i="11"/>
  <c r="Y540" i="11"/>
  <c r="Y541" i="11"/>
  <c r="Y542" i="11"/>
  <c r="Y543" i="11"/>
  <c r="Y544" i="11"/>
  <c r="Y545" i="11"/>
  <c r="Y546" i="11"/>
  <c r="Y547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570" i="11"/>
  <c r="Y571" i="11"/>
  <c r="Y572" i="11"/>
  <c r="Y573" i="11"/>
  <c r="Y574" i="11"/>
  <c r="Y575" i="11"/>
  <c r="Y576" i="11"/>
  <c r="Y577" i="11"/>
  <c r="Y578" i="11"/>
  <c r="Y579" i="11"/>
  <c r="Y580" i="11"/>
  <c r="Y581" i="11"/>
  <c r="Y582" i="11"/>
  <c r="Y583" i="11"/>
  <c r="Y584" i="11"/>
  <c r="Y585" i="11"/>
  <c r="Y586" i="11"/>
  <c r="Y587" i="11"/>
  <c r="Y588" i="11"/>
  <c r="Y589" i="11"/>
  <c r="Y590" i="11"/>
  <c r="Y591" i="11"/>
  <c r="Y592" i="11"/>
  <c r="Y593" i="11"/>
  <c r="Y594" i="11"/>
  <c r="Y595" i="11"/>
  <c r="Y596" i="11"/>
  <c r="Y597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2" i="11"/>
  <c r="Y613" i="11"/>
  <c r="Y614" i="11"/>
  <c r="Y615" i="11"/>
  <c r="Y616" i="11"/>
  <c r="Y617" i="11"/>
  <c r="Y618" i="11"/>
  <c r="Y619" i="11"/>
  <c r="Y620" i="11"/>
  <c r="Y621" i="11"/>
  <c r="Y622" i="11"/>
  <c r="Y623" i="11"/>
  <c r="Y624" i="11"/>
  <c r="Y625" i="11"/>
  <c r="Y626" i="11"/>
  <c r="Y627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640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663" i="11"/>
  <c r="Y664" i="11"/>
  <c r="Y665" i="11"/>
  <c r="Y666" i="11"/>
  <c r="Y667" i="11"/>
  <c r="Y668" i="11"/>
  <c r="Y669" i="11"/>
  <c r="Y670" i="11"/>
  <c r="Y671" i="1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686" i="11"/>
  <c r="Y687" i="11"/>
  <c r="Y688" i="11"/>
  <c r="Y689" i="11"/>
  <c r="Y690" i="11"/>
  <c r="Y691" i="11"/>
  <c r="Y692" i="1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709" i="11"/>
  <c r="Y710" i="11"/>
  <c r="Y711" i="11"/>
  <c r="Y712" i="11"/>
  <c r="Y713" i="11"/>
  <c r="Y714" i="11"/>
  <c r="Y715" i="11"/>
  <c r="Y716" i="11"/>
  <c r="Y717" i="11"/>
  <c r="Y718" i="1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73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751" i="11"/>
  <c r="Y752" i="11"/>
  <c r="Y753" i="11"/>
  <c r="Y754" i="11"/>
  <c r="Y75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778" i="11"/>
  <c r="Y779" i="11"/>
  <c r="Y780" i="11"/>
  <c r="Y781" i="11"/>
  <c r="Y782" i="11"/>
  <c r="Y783" i="11"/>
  <c r="Y784" i="11"/>
  <c r="Y785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09" i="11"/>
  <c r="Y810" i="11"/>
  <c r="Y811" i="11"/>
  <c r="Y812" i="11"/>
  <c r="Y813" i="11"/>
  <c r="Y814" i="11"/>
  <c r="Y815" i="11"/>
  <c r="Y816" i="11"/>
  <c r="Y817" i="11"/>
  <c r="Y818" i="11"/>
  <c r="Y819" i="11"/>
  <c r="Y820" i="11"/>
  <c r="Y821" i="11"/>
  <c r="Y822" i="11"/>
  <c r="Y823" i="11"/>
  <c r="Y824" i="11"/>
  <c r="Y825" i="11"/>
  <c r="Y826" i="11"/>
  <c r="Y827" i="11"/>
  <c r="Y828" i="11"/>
  <c r="Y829" i="11"/>
  <c r="Y830" i="11"/>
  <c r="Y831" i="11"/>
  <c r="Y832" i="11"/>
  <c r="Y833" i="11"/>
  <c r="Y834" i="11"/>
  <c r="Y835" i="11"/>
  <c r="Y836" i="11"/>
  <c r="Y837" i="11"/>
  <c r="Y838" i="11"/>
  <c r="Y839" i="11"/>
  <c r="Y840" i="11"/>
  <c r="Y841" i="11"/>
  <c r="Y842" i="11"/>
  <c r="Y843" i="11"/>
  <c r="Y844" i="11"/>
  <c r="Y845" i="11"/>
  <c r="Y846" i="11"/>
  <c r="Y847" i="11"/>
  <c r="Y848" i="11"/>
  <c r="Y849" i="11"/>
  <c r="Y850" i="11"/>
  <c r="Y851" i="11"/>
  <c r="Y852" i="11"/>
  <c r="Y853" i="11"/>
  <c r="Y854" i="11"/>
  <c r="Y855" i="11"/>
  <c r="Y856" i="11"/>
  <c r="Y857" i="11"/>
  <c r="Y858" i="11"/>
  <c r="Y859" i="11"/>
  <c r="Y860" i="11"/>
  <c r="Y861" i="11"/>
  <c r="Y862" i="11"/>
  <c r="Y863" i="11"/>
  <c r="Y864" i="11"/>
  <c r="Y865" i="11"/>
  <c r="Y866" i="11"/>
  <c r="Y867" i="11"/>
  <c r="Y868" i="11"/>
  <c r="Y869" i="11"/>
  <c r="Y870" i="11"/>
  <c r="Y871" i="11"/>
  <c r="Y872" i="11"/>
  <c r="Y873" i="11"/>
  <c r="Y874" i="11"/>
  <c r="Y875" i="11"/>
  <c r="Y876" i="11"/>
  <c r="Y877" i="11"/>
  <c r="Y878" i="11"/>
  <c r="Y879" i="11"/>
  <c r="Y880" i="11"/>
  <c r="Y881" i="11"/>
  <c r="Y882" i="11"/>
  <c r="Y883" i="11"/>
  <c r="Y884" i="11"/>
  <c r="Y885" i="11"/>
  <c r="Y886" i="11"/>
  <c r="Y887" i="11"/>
  <c r="Y888" i="11"/>
  <c r="Y889" i="11"/>
  <c r="Y890" i="11"/>
  <c r="Y891" i="11"/>
  <c r="Y892" i="11"/>
  <c r="Y893" i="11"/>
  <c r="Y894" i="11"/>
  <c r="Y895" i="11"/>
  <c r="Y896" i="11"/>
  <c r="Y897" i="11"/>
  <c r="Y898" i="11"/>
  <c r="Y899" i="11"/>
  <c r="Y900" i="11"/>
  <c r="Y901" i="11"/>
  <c r="Y902" i="11"/>
  <c r="Y903" i="11"/>
  <c r="Y904" i="11"/>
  <c r="Y905" i="11"/>
  <c r="Y906" i="11"/>
  <c r="Y907" i="11"/>
  <c r="Y908" i="11"/>
  <c r="Y909" i="11"/>
  <c r="Y910" i="11"/>
  <c r="Y911" i="11"/>
  <c r="Y912" i="11"/>
  <c r="Y913" i="11"/>
  <c r="Y914" i="11"/>
  <c r="Y915" i="11"/>
  <c r="Y916" i="11"/>
  <c r="Y917" i="11"/>
  <c r="Y918" i="11"/>
  <c r="Y919" i="11"/>
  <c r="Y920" i="11"/>
  <c r="Y921" i="11"/>
  <c r="Y922" i="11"/>
  <c r="Y923" i="11"/>
  <c r="Y924" i="11"/>
  <c r="Y925" i="11"/>
  <c r="Y926" i="11"/>
  <c r="Y927" i="11"/>
  <c r="Y928" i="11"/>
  <c r="Y929" i="11"/>
  <c r="Y930" i="11"/>
  <c r="Y931" i="11"/>
  <c r="Y932" i="11"/>
  <c r="Y933" i="11"/>
  <c r="Y934" i="11"/>
  <c r="Y935" i="11"/>
  <c r="Y936" i="11"/>
  <c r="Y937" i="11"/>
  <c r="Y938" i="11"/>
  <c r="Y939" i="11"/>
  <c r="Y940" i="11"/>
  <c r="Y941" i="11"/>
  <c r="Y942" i="11"/>
  <c r="Y943" i="11"/>
  <c r="Y944" i="11"/>
  <c r="Y945" i="11"/>
  <c r="Y946" i="11"/>
  <c r="Y947" i="11"/>
  <c r="Y948" i="11"/>
  <c r="Y949" i="11"/>
  <c r="Y950" i="11"/>
  <c r="Y951" i="11"/>
  <c r="Y952" i="11"/>
  <c r="Y953" i="11"/>
  <c r="Y954" i="11"/>
  <c r="Y955" i="11"/>
  <c r="Y956" i="11"/>
  <c r="Y957" i="11"/>
  <c r="Y958" i="11"/>
  <c r="Y959" i="11"/>
  <c r="Y960" i="11"/>
  <c r="Y961" i="11"/>
  <c r="Y962" i="11"/>
  <c r="Y963" i="11"/>
  <c r="Y964" i="11"/>
  <c r="Y965" i="11"/>
  <c r="Y966" i="11"/>
  <c r="Y967" i="11"/>
  <c r="Y968" i="11"/>
  <c r="Y969" i="11"/>
  <c r="Y970" i="11"/>
  <c r="Y971" i="11"/>
  <c r="Y972" i="11"/>
  <c r="Y973" i="11"/>
  <c r="Y974" i="11"/>
  <c r="Y975" i="11"/>
  <c r="Y976" i="11"/>
  <c r="Y977" i="11"/>
  <c r="Y978" i="11"/>
  <c r="Y979" i="11"/>
  <c r="Y980" i="11"/>
  <c r="Y981" i="11"/>
  <c r="Y982" i="11"/>
  <c r="Y983" i="11"/>
  <c r="Y984" i="11"/>
  <c r="Y985" i="11"/>
  <c r="Y986" i="11"/>
  <c r="Y987" i="11"/>
  <c r="Y988" i="11"/>
  <c r="Y989" i="11"/>
  <c r="Y990" i="11"/>
  <c r="Y991" i="11"/>
  <c r="Y992" i="11"/>
  <c r="Y993" i="11"/>
  <c r="Y994" i="11"/>
  <c r="Y995" i="11"/>
  <c r="Y996" i="11"/>
  <c r="Y997" i="11"/>
  <c r="Y998" i="11"/>
  <c r="Y999" i="11"/>
  <c r="Y1000" i="11"/>
  <c r="Y1001" i="11"/>
  <c r="Y1002" i="11"/>
  <c r="Y1003" i="11"/>
  <c r="Y1004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AE134" i="19" l="1"/>
  <c r="V73" i="20" s="1"/>
  <c r="AE135" i="19"/>
  <c r="V74" i="20" s="1"/>
  <c r="AE136" i="19"/>
  <c r="V75" i="20" s="1"/>
  <c r="AE137" i="19"/>
  <c r="V76" i="20" s="1"/>
  <c r="AE138" i="19"/>
  <c r="V77" i="20" s="1"/>
  <c r="AE139" i="19"/>
  <c r="V78" i="20" s="1"/>
  <c r="AE140" i="19"/>
  <c r="V79" i="20" s="1"/>
  <c r="AE141" i="19"/>
  <c r="V80" i="20" s="1"/>
  <c r="AE142" i="19"/>
  <c r="V81" i="20" s="1"/>
  <c r="AE143" i="19"/>
  <c r="V82" i="20" s="1"/>
  <c r="AE144" i="19"/>
  <c r="V83" i="20" s="1"/>
  <c r="AE145" i="19"/>
  <c r="V84" i="20" s="1"/>
  <c r="AE146" i="19"/>
  <c r="V85" i="20" s="1"/>
  <c r="AE147" i="19"/>
  <c r="V86" i="20" s="1"/>
  <c r="AE148" i="19"/>
  <c r="V87" i="20" s="1"/>
  <c r="V134" i="19"/>
  <c r="V135" i="19"/>
  <c r="V136" i="19"/>
  <c r="V137" i="19"/>
  <c r="V138" i="19"/>
  <c r="V139" i="19"/>
  <c r="V140" i="19"/>
  <c r="V141" i="19"/>
  <c r="V142" i="19"/>
  <c r="V143" i="19"/>
  <c r="V144" i="19"/>
  <c r="V145" i="19"/>
  <c r="V146" i="19"/>
  <c r="V147" i="19"/>
  <c r="V148" i="19"/>
  <c r="Z5" i="11"/>
  <c r="V88" i="20" l="1"/>
  <c r="AD5" i="11"/>
  <c r="AD6" i="11" l="1"/>
  <c r="AD7" i="11"/>
  <c r="AD8" i="11"/>
  <c r="AD9" i="11"/>
  <c r="AD10" i="11"/>
  <c r="AD11" i="11"/>
  <c r="AD12" i="11"/>
  <c r="AD13" i="11"/>
  <c r="AD14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6" i="11"/>
  <c r="AD127" i="11"/>
  <c r="AD128" i="11"/>
  <c r="AD129" i="11"/>
  <c r="AD130" i="11"/>
  <c r="AD131" i="11"/>
  <c r="AD132" i="11"/>
  <c r="AD133" i="11"/>
  <c r="AD134" i="11"/>
  <c r="AD135" i="11"/>
  <c r="AD136" i="11"/>
  <c r="AD137" i="11"/>
  <c r="AD138" i="11"/>
  <c r="AD139" i="11"/>
  <c r="AD140" i="11"/>
  <c r="AD141" i="11"/>
  <c r="AD142" i="11"/>
  <c r="AD143" i="11"/>
  <c r="AD144" i="11"/>
  <c r="AD145" i="11"/>
  <c r="AD146" i="11"/>
  <c r="AD147" i="11"/>
  <c r="AD148" i="11"/>
  <c r="AD149" i="11"/>
  <c r="AD150" i="11"/>
  <c r="AD151" i="11"/>
  <c r="AD152" i="11"/>
  <c r="AD153" i="11"/>
  <c r="AD154" i="11"/>
  <c r="AD155" i="11"/>
  <c r="AD156" i="11"/>
  <c r="AD157" i="11"/>
  <c r="AD158" i="11"/>
  <c r="AD159" i="11"/>
  <c r="AD160" i="11"/>
  <c r="AD161" i="11"/>
  <c r="AD162" i="11"/>
  <c r="AD163" i="11"/>
  <c r="AD164" i="11"/>
  <c r="AD165" i="11"/>
  <c r="AD166" i="11"/>
  <c r="AD167" i="11"/>
  <c r="AD168" i="11"/>
  <c r="AD169" i="11"/>
  <c r="AD170" i="11"/>
  <c r="AD171" i="11"/>
  <c r="AD172" i="11"/>
  <c r="AD173" i="11"/>
  <c r="AD174" i="11"/>
  <c r="AD175" i="11"/>
  <c r="AD176" i="11"/>
  <c r="AD177" i="11"/>
  <c r="AD178" i="11"/>
  <c r="AD179" i="11"/>
  <c r="AD180" i="11"/>
  <c r="AD181" i="11"/>
  <c r="AD182" i="11"/>
  <c r="AD183" i="11"/>
  <c r="AD184" i="11"/>
  <c r="AD185" i="11"/>
  <c r="AD186" i="11"/>
  <c r="AD187" i="11"/>
  <c r="AD188" i="11"/>
  <c r="AD189" i="11"/>
  <c r="AD190" i="11"/>
  <c r="AD191" i="11"/>
  <c r="AD192" i="11"/>
  <c r="AD193" i="11"/>
  <c r="AD194" i="11"/>
  <c r="AD195" i="11"/>
  <c r="AD196" i="11"/>
  <c r="AD197" i="11"/>
  <c r="AD198" i="11"/>
  <c r="AD199" i="11"/>
  <c r="AD200" i="11"/>
  <c r="AD201" i="11"/>
  <c r="AD202" i="11"/>
  <c r="AD203" i="11"/>
  <c r="AD204" i="11"/>
  <c r="AD205" i="11"/>
  <c r="AD206" i="11"/>
  <c r="AD207" i="11"/>
  <c r="AD208" i="11"/>
  <c r="AD209" i="11"/>
  <c r="AD210" i="11"/>
  <c r="AD211" i="11"/>
  <c r="AD212" i="11"/>
  <c r="AD213" i="11"/>
  <c r="AD214" i="11"/>
  <c r="AD215" i="11"/>
  <c r="AD216" i="11"/>
  <c r="AD217" i="11"/>
  <c r="AD218" i="11"/>
  <c r="AD219" i="11"/>
  <c r="AD220" i="11"/>
  <c r="AD221" i="11"/>
  <c r="AD222" i="11"/>
  <c r="AD223" i="11"/>
  <c r="AD224" i="11"/>
  <c r="AD225" i="11"/>
  <c r="AD226" i="11"/>
  <c r="AD227" i="11"/>
  <c r="AD228" i="11"/>
  <c r="AD229" i="11"/>
  <c r="AD230" i="11"/>
  <c r="AD231" i="11"/>
  <c r="AD232" i="11"/>
  <c r="AD233" i="11"/>
  <c r="AD234" i="11"/>
  <c r="AD235" i="11"/>
  <c r="AD236" i="11"/>
  <c r="AD237" i="11"/>
  <c r="AD238" i="11"/>
  <c r="AD239" i="11"/>
  <c r="AD240" i="11"/>
  <c r="AD241" i="11"/>
  <c r="AD242" i="11"/>
  <c r="AD243" i="11"/>
  <c r="AD244" i="11"/>
  <c r="AD245" i="11"/>
  <c r="AD246" i="11"/>
  <c r="AD247" i="11"/>
  <c r="AD248" i="11"/>
  <c r="AD249" i="11"/>
  <c r="AD250" i="11"/>
  <c r="AD251" i="11"/>
  <c r="AD252" i="11"/>
  <c r="AD253" i="11"/>
  <c r="AD254" i="11"/>
  <c r="AD255" i="11"/>
  <c r="AD256" i="11"/>
  <c r="AD257" i="11"/>
  <c r="AD258" i="11"/>
  <c r="AD259" i="11"/>
  <c r="AD260" i="11"/>
  <c r="AD261" i="11"/>
  <c r="AD262" i="11"/>
  <c r="AD263" i="11"/>
  <c r="AD264" i="11"/>
  <c r="AD265" i="11"/>
  <c r="AD266" i="11"/>
  <c r="AD267" i="11"/>
  <c r="AD268" i="11"/>
  <c r="AD269" i="11"/>
  <c r="AD270" i="11"/>
  <c r="AD271" i="11"/>
  <c r="AD272" i="11"/>
  <c r="AD273" i="11"/>
  <c r="AD274" i="11"/>
  <c r="AD275" i="11"/>
  <c r="AD276" i="11"/>
  <c r="AD277" i="11"/>
  <c r="AD278" i="11"/>
  <c r="AD279" i="11"/>
  <c r="AD280" i="11"/>
  <c r="AD281" i="11"/>
  <c r="AD282" i="11"/>
  <c r="AD283" i="11"/>
  <c r="AD284" i="11"/>
  <c r="AD285" i="11"/>
  <c r="AD286" i="11"/>
  <c r="AD287" i="11"/>
  <c r="AD288" i="11"/>
  <c r="AD289" i="11"/>
  <c r="AD290" i="11"/>
  <c r="AD291" i="11"/>
  <c r="AD292" i="11"/>
  <c r="AD293" i="11"/>
  <c r="AD294" i="11"/>
  <c r="AD295" i="11"/>
  <c r="AD296" i="11"/>
  <c r="AD297" i="11"/>
  <c r="AD298" i="11"/>
  <c r="AD299" i="11"/>
  <c r="AD300" i="11"/>
  <c r="AD301" i="11"/>
  <c r="AD302" i="11"/>
  <c r="AD303" i="11"/>
  <c r="AD304" i="11"/>
  <c r="AD305" i="11"/>
  <c r="AD306" i="11"/>
  <c r="AD307" i="11"/>
  <c r="AD308" i="11"/>
  <c r="AD309" i="11"/>
  <c r="AD310" i="11"/>
  <c r="AD311" i="11"/>
  <c r="AD312" i="11"/>
  <c r="AD313" i="11"/>
  <c r="AD314" i="11"/>
  <c r="AD315" i="11"/>
  <c r="AD316" i="11"/>
  <c r="AD317" i="11"/>
  <c r="AD318" i="11"/>
  <c r="AD319" i="11"/>
  <c r="AD320" i="11"/>
  <c r="AD321" i="11"/>
  <c r="AD322" i="11"/>
  <c r="AD323" i="11"/>
  <c r="AD324" i="11"/>
  <c r="AD325" i="11"/>
  <c r="AD326" i="11"/>
  <c r="AD327" i="11"/>
  <c r="AD328" i="11"/>
  <c r="AD329" i="11"/>
  <c r="AD330" i="11"/>
  <c r="AD331" i="11"/>
  <c r="AD332" i="11"/>
  <c r="AD333" i="11"/>
  <c r="AD334" i="11"/>
  <c r="AD335" i="11"/>
  <c r="AD336" i="11"/>
  <c r="AD337" i="11"/>
  <c r="AD338" i="11"/>
  <c r="AD339" i="11"/>
  <c r="AD340" i="11"/>
  <c r="AD341" i="11"/>
  <c r="AD342" i="11"/>
  <c r="AD343" i="11"/>
  <c r="AD344" i="11"/>
  <c r="AD345" i="11"/>
  <c r="AD346" i="11"/>
  <c r="AD347" i="11"/>
  <c r="AD348" i="11"/>
  <c r="AD349" i="11"/>
  <c r="AD350" i="11"/>
  <c r="AD351" i="11"/>
  <c r="AD352" i="11"/>
  <c r="AD353" i="11"/>
  <c r="AD354" i="11"/>
  <c r="AD355" i="11"/>
  <c r="AD356" i="11"/>
  <c r="AD357" i="11"/>
  <c r="AD358" i="11"/>
  <c r="AD359" i="11"/>
  <c r="AD360" i="11"/>
  <c r="AD361" i="11"/>
  <c r="AD362" i="11"/>
  <c r="AD363" i="11"/>
  <c r="AD364" i="11"/>
  <c r="AD365" i="11"/>
  <c r="AD366" i="11"/>
  <c r="AD367" i="11"/>
  <c r="AD368" i="11"/>
  <c r="AD369" i="11"/>
  <c r="AD370" i="11"/>
  <c r="AD371" i="11"/>
  <c r="AD372" i="11"/>
  <c r="AD373" i="11"/>
  <c r="AD374" i="11"/>
  <c r="AD375" i="11"/>
  <c r="AD376" i="11"/>
  <c r="AD377" i="11"/>
  <c r="AD378" i="11"/>
  <c r="AD379" i="11"/>
  <c r="AD380" i="11"/>
  <c r="AD381" i="11"/>
  <c r="AD382" i="11"/>
  <c r="AD383" i="11"/>
  <c r="AD384" i="11"/>
  <c r="AD385" i="11"/>
  <c r="AD386" i="11"/>
  <c r="AD387" i="11"/>
  <c r="AD388" i="11"/>
  <c r="AD389" i="11"/>
  <c r="AD390" i="11"/>
  <c r="AD391" i="11"/>
  <c r="AD392" i="11"/>
  <c r="AD393" i="11"/>
  <c r="AD394" i="11"/>
  <c r="AD395" i="11"/>
  <c r="AD396" i="11"/>
  <c r="AD397" i="11"/>
  <c r="AD398" i="11"/>
  <c r="AD399" i="11"/>
  <c r="AD400" i="11"/>
  <c r="AD401" i="11"/>
  <c r="AD402" i="11"/>
  <c r="AD403" i="11"/>
  <c r="AD404" i="11"/>
  <c r="AD405" i="11"/>
  <c r="AD406" i="11"/>
  <c r="AD407" i="11"/>
  <c r="AD408" i="11"/>
  <c r="AD409" i="11"/>
  <c r="AD410" i="11"/>
  <c r="AD411" i="11"/>
  <c r="AD412" i="11"/>
  <c r="AD413" i="11"/>
  <c r="AD414" i="11"/>
  <c r="AD415" i="11"/>
  <c r="AD416" i="11"/>
  <c r="AD417" i="11"/>
  <c r="AD418" i="11"/>
  <c r="AD419" i="11"/>
  <c r="AD420" i="11"/>
  <c r="AD421" i="11"/>
  <c r="AD422" i="11"/>
  <c r="AD423" i="11"/>
  <c r="AD424" i="11"/>
  <c r="AD425" i="11"/>
  <c r="AD426" i="11"/>
  <c r="AD427" i="11"/>
  <c r="AD428" i="11"/>
  <c r="AD429" i="11"/>
  <c r="AD430" i="11"/>
  <c r="AD431" i="11"/>
  <c r="AD432" i="11"/>
  <c r="AD433" i="11"/>
  <c r="AD434" i="11"/>
  <c r="AD435" i="11"/>
  <c r="AD436" i="11"/>
  <c r="AD437" i="11"/>
  <c r="AD438" i="11"/>
  <c r="AD439" i="11"/>
  <c r="AD440" i="11"/>
  <c r="AD441" i="11"/>
  <c r="AD442" i="11"/>
  <c r="AD443" i="11"/>
  <c r="AD444" i="11"/>
  <c r="AD445" i="11"/>
  <c r="AD446" i="11"/>
  <c r="AD447" i="11"/>
  <c r="AD448" i="11"/>
  <c r="AD449" i="11"/>
  <c r="AD450" i="11"/>
  <c r="AD451" i="11"/>
  <c r="AD452" i="11"/>
  <c r="AD453" i="11"/>
  <c r="AD454" i="11"/>
  <c r="AD455" i="11"/>
  <c r="AD456" i="11"/>
  <c r="AD457" i="11"/>
  <c r="AD458" i="11"/>
  <c r="AD459" i="11"/>
  <c r="AD460" i="11"/>
  <c r="AD461" i="11"/>
  <c r="AD462" i="11"/>
  <c r="AD463" i="11"/>
  <c r="AD464" i="11"/>
  <c r="AD465" i="11"/>
  <c r="AD466" i="11"/>
  <c r="AD467" i="11"/>
  <c r="AD468" i="11"/>
  <c r="AD469" i="11"/>
  <c r="AD470" i="11"/>
  <c r="AD471" i="11"/>
  <c r="AD472" i="11"/>
  <c r="AD473" i="11"/>
  <c r="AD474" i="11"/>
  <c r="AD475" i="11"/>
  <c r="AD476" i="11"/>
  <c r="AD477" i="11"/>
  <c r="AD478" i="11"/>
  <c r="AD479" i="11"/>
  <c r="AD480" i="11"/>
  <c r="AD481" i="11"/>
  <c r="AD482" i="11"/>
  <c r="AD483" i="11"/>
  <c r="AD484" i="11"/>
  <c r="AD485" i="11"/>
  <c r="AD486" i="11"/>
  <c r="AD487" i="11"/>
  <c r="AD488" i="11"/>
  <c r="AD489" i="11"/>
  <c r="AD490" i="11"/>
  <c r="AD491" i="11"/>
  <c r="AD492" i="11"/>
  <c r="AD493" i="11"/>
  <c r="AD494" i="11"/>
  <c r="AD495" i="11"/>
  <c r="AD496" i="11"/>
  <c r="AD497" i="11"/>
  <c r="AD498" i="11"/>
  <c r="AD499" i="11"/>
  <c r="AD500" i="11"/>
  <c r="AD501" i="11"/>
  <c r="AD502" i="11"/>
  <c r="AD503" i="11"/>
  <c r="AD504" i="11"/>
  <c r="AD505" i="11"/>
  <c r="AD506" i="11"/>
  <c r="AD507" i="11"/>
  <c r="AD508" i="11"/>
  <c r="AD509" i="11"/>
  <c r="AD510" i="11"/>
  <c r="AD511" i="11"/>
  <c r="AD512" i="11"/>
  <c r="AD513" i="11"/>
  <c r="AD514" i="11"/>
  <c r="AD515" i="11"/>
  <c r="AD516" i="11"/>
  <c r="AD517" i="11"/>
  <c r="AD518" i="11"/>
  <c r="AD519" i="11"/>
  <c r="AD520" i="11"/>
  <c r="AD521" i="11"/>
  <c r="AD522" i="11"/>
  <c r="AD523" i="11"/>
  <c r="AD524" i="11"/>
  <c r="AD525" i="11"/>
  <c r="AD526" i="11"/>
  <c r="AD527" i="11"/>
  <c r="AD528" i="11"/>
  <c r="AD529" i="11"/>
  <c r="AD530" i="11"/>
  <c r="AD531" i="11"/>
  <c r="AD532" i="11"/>
  <c r="AD533" i="11"/>
  <c r="AD534" i="11"/>
  <c r="AD535" i="11"/>
  <c r="AD536" i="11"/>
  <c r="AD537" i="11"/>
  <c r="AD538" i="11"/>
  <c r="AD539" i="11"/>
  <c r="AD540" i="11"/>
  <c r="AD541" i="11"/>
  <c r="AD542" i="11"/>
  <c r="AD543" i="11"/>
  <c r="AD544" i="11"/>
  <c r="AD545" i="11"/>
  <c r="AD546" i="11"/>
  <c r="AD547" i="11"/>
  <c r="AD548" i="11"/>
  <c r="AD549" i="11"/>
  <c r="AD550" i="11"/>
  <c r="AD551" i="11"/>
  <c r="AD552" i="11"/>
  <c r="AD553" i="11"/>
  <c r="AD554" i="11"/>
  <c r="AD555" i="11"/>
  <c r="AD556" i="11"/>
  <c r="AD557" i="11"/>
  <c r="AD558" i="11"/>
  <c r="AD559" i="11"/>
  <c r="AD560" i="11"/>
  <c r="AD561" i="11"/>
  <c r="AD562" i="11"/>
  <c r="AD563" i="11"/>
  <c r="AD564" i="11"/>
  <c r="AD565" i="11"/>
  <c r="AD566" i="11"/>
  <c r="AD567" i="11"/>
  <c r="AD568" i="11"/>
  <c r="AD569" i="11"/>
  <c r="AD570" i="11"/>
  <c r="AD571" i="11"/>
  <c r="AD572" i="11"/>
  <c r="AD573" i="11"/>
  <c r="AD574" i="11"/>
  <c r="AD575" i="11"/>
  <c r="AD576" i="11"/>
  <c r="AD577" i="11"/>
  <c r="AD578" i="11"/>
  <c r="AD579" i="11"/>
  <c r="AD580" i="11"/>
  <c r="AD581" i="11"/>
  <c r="AD582" i="11"/>
  <c r="AD583" i="11"/>
  <c r="AD584" i="11"/>
  <c r="AD585" i="11"/>
  <c r="AD586" i="11"/>
  <c r="AD587" i="11"/>
  <c r="AD588" i="11"/>
  <c r="AD589" i="11"/>
  <c r="AD590" i="11"/>
  <c r="AD591" i="11"/>
  <c r="AD592" i="11"/>
  <c r="AD593" i="11"/>
  <c r="AD594" i="11"/>
  <c r="AD595" i="11"/>
  <c r="AD596" i="11"/>
  <c r="AD597" i="11"/>
  <c r="AD598" i="11"/>
  <c r="AD599" i="11"/>
  <c r="AD600" i="11"/>
  <c r="AD601" i="11"/>
  <c r="AD602" i="11"/>
  <c r="AD603" i="11"/>
  <c r="AD604" i="11"/>
  <c r="AD605" i="11"/>
  <c r="AD606" i="11"/>
  <c r="AD607" i="11"/>
  <c r="AD608" i="11"/>
  <c r="AD609" i="11"/>
  <c r="AD610" i="11"/>
  <c r="AD611" i="11"/>
  <c r="AD612" i="11"/>
  <c r="AD613" i="11"/>
  <c r="AD614" i="11"/>
  <c r="AD615" i="11"/>
  <c r="AD616" i="11"/>
  <c r="AD617" i="11"/>
  <c r="AD618" i="11"/>
  <c r="AD619" i="11"/>
  <c r="AD620" i="11"/>
  <c r="AD621" i="11"/>
  <c r="AD622" i="11"/>
  <c r="AD623" i="11"/>
  <c r="AD624" i="11"/>
  <c r="AD625" i="11"/>
  <c r="AD626" i="11"/>
  <c r="AD627" i="11"/>
  <c r="AD628" i="11"/>
  <c r="AD629" i="11"/>
  <c r="AD630" i="11"/>
  <c r="AD631" i="11"/>
  <c r="AD632" i="11"/>
  <c r="AD633" i="11"/>
  <c r="AD634" i="11"/>
  <c r="AD635" i="11"/>
  <c r="AD636" i="11"/>
  <c r="AD637" i="11"/>
  <c r="AD638" i="11"/>
  <c r="AD639" i="11"/>
  <c r="AD640" i="11"/>
  <c r="AD641" i="11"/>
  <c r="AD642" i="11"/>
  <c r="AD643" i="11"/>
  <c r="AD644" i="11"/>
  <c r="AD645" i="11"/>
  <c r="AD646" i="11"/>
  <c r="AD647" i="11"/>
  <c r="AD648" i="11"/>
  <c r="AD649" i="11"/>
  <c r="AD650" i="11"/>
  <c r="AD651" i="11"/>
  <c r="AD652" i="11"/>
  <c r="AD653" i="11"/>
  <c r="AD654" i="11"/>
  <c r="AD655" i="11"/>
  <c r="AD656" i="11"/>
  <c r="AD657" i="11"/>
  <c r="AD658" i="11"/>
  <c r="AD659" i="11"/>
  <c r="AD660" i="11"/>
  <c r="AD661" i="11"/>
  <c r="AD662" i="11"/>
  <c r="AD663" i="11"/>
  <c r="AD664" i="11"/>
  <c r="AD665" i="11"/>
  <c r="AD666" i="11"/>
  <c r="AD667" i="11"/>
  <c r="AD668" i="11"/>
  <c r="AD669" i="11"/>
  <c r="AD670" i="11"/>
  <c r="AD671" i="11"/>
  <c r="AD672" i="11"/>
  <c r="AD673" i="11"/>
  <c r="AD674" i="11"/>
  <c r="AD675" i="11"/>
  <c r="AD676" i="11"/>
  <c r="AD677" i="11"/>
  <c r="AD678" i="11"/>
  <c r="AD679" i="11"/>
  <c r="AD680" i="11"/>
  <c r="AD681" i="11"/>
  <c r="AD682" i="11"/>
  <c r="AD683" i="11"/>
  <c r="AD684" i="11"/>
  <c r="AD685" i="11"/>
  <c r="AD686" i="11"/>
  <c r="AD687" i="11"/>
  <c r="AD688" i="11"/>
  <c r="AD689" i="11"/>
  <c r="AD690" i="11"/>
  <c r="AD691" i="11"/>
  <c r="AD692" i="11"/>
  <c r="AD693" i="11"/>
  <c r="AD694" i="11"/>
  <c r="AD695" i="11"/>
  <c r="AD696" i="11"/>
  <c r="AD697" i="11"/>
  <c r="AD698" i="11"/>
  <c r="AD699" i="11"/>
  <c r="AD700" i="11"/>
  <c r="AD701" i="11"/>
  <c r="AD702" i="11"/>
  <c r="AD703" i="11"/>
  <c r="AD704" i="11"/>
  <c r="AD705" i="11"/>
  <c r="AD706" i="11"/>
  <c r="AD707" i="11"/>
  <c r="AD708" i="11"/>
  <c r="AD709" i="11"/>
  <c r="AD710" i="11"/>
  <c r="AD711" i="11"/>
  <c r="AD712" i="11"/>
  <c r="AD713" i="11"/>
  <c r="AD714" i="11"/>
  <c r="AD715" i="11"/>
  <c r="AD716" i="11"/>
  <c r="AD717" i="11"/>
  <c r="AD718" i="11"/>
  <c r="AD719" i="11"/>
  <c r="AD720" i="11"/>
  <c r="AD721" i="11"/>
  <c r="AD722" i="11"/>
  <c r="AD723" i="11"/>
  <c r="AD724" i="11"/>
  <c r="AD725" i="11"/>
  <c r="AD726" i="11"/>
  <c r="AD727" i="11"/>
  <c r="AD728" i="11"/>
  <c r="AD729" i="11"/>
  <c r="AD730" i="11"/>
  <c r="AD731" i="11"/>
  <c r="AD732" i="11"/>
  <c r="AD733" i="11"/>
  <c r="AD734" i="11"/>
  <c r="AD735" i="11"/>
  <c r="AD736" i="11"/>
  <c r="AD737" i="11"/>
  <c r="AD738" i="11"/>
  <c r="AD739" i="11"/>
  <c r="AD740" i="11"/>
  <c r="AD741" i="11"/>
  <c r="AD742" i="11"/>
  <c r="AD743" i="11"/>
  <c r="AD744" i="11"/>
  <c r="AD745" i="11"/>
  <c r="AD746" i="11"/>
  <c r="AD747" i="11"/>
  <c r="AD748" i="11"/>
  <c r="AD749" i="11"/>
  <c r="AD750" i="11"/>
  <c r="AD751" i="11"/>
  <c r="AD752" i="11"/>
  <c r="AD753" i="11"/>
  <c r="AD754" i="11"/>
  <c r="AD755" i="11"/>
  <c r="AD756" i="11"/>
  <c r="AD757" i="11"/>
  <c r="AD758" i="11"/>
  <c r="AD759" i="11"/>
  <c r="AD760" i="11"/>
  <c r="AD761" i="11"/>
  <c r="AD762" i="11"/>
  <c r="AD763" i="11"/>
  <c r="AD764" i="11"/>
  <c r="AD765" i="11"/>
  <c r="AD766" i="11"/>
  <c r="AD767" i="11"/>
  <c r="AD768" i="11"/>
  <c r="AD769" i="11"/>
  <c r="AD770" i="11"/>
  <c r="AD771" i="11"/>
  <c r="AD772" i="11"/>
  <c r="AD773" i="11"/>
  <c r="AD774" i="11"/>
  <c r="AD775" i="11"/>
  <c r="AD776" i="11"/>
  <c r="AD777" i="11"/>
  <c r="AD778" i="11"/>
  <c r="AD779" i="11"/>
  <c r="AD780" i="11"/>
  <c r="AD781" i="11"/>
  <c r="AD782" i="11"/>
  <c r="AD783" i="11"/>
  <c r="AD784" i="11"/>
  <c r="AD785" i="11"/>
  <c r="AD786" i="11"/>
  <c r="AD787" i="11"/>
  <c r="AD788" i="11"/>
  <c r="AD789" i="11"/>
  <c r="AD790" i="11"/>
  <c r="AD791" i="11"/>
  <c r="AD792" i="11"/>
  <c r="AD793" i="11"/>
  <c r="AD794" i="11"/>
  <c r="AD795" i="11"/>
  <c r="AD796" i="11"/>
  <c r="AD797" i="11"/>
  <c r="AD798" i="11"/>
  <c r="AD799" i="11"/>
  <c r="AD800" i="11"/>
  <c r="AD801" i="11"/>
  <c r="AD802" i="11"/>
  <c r="AD803" i="11"/>
  <c r="AD804" i="11"/>
  <c r="AD805" i="11"/>
  <c r="AD806" i="11"/>
  <c r="AD807" i="11"/>
  <c r="AD808" i="11"/>
  <c r="AD809" i="11"/>
  <c r="AD810" i="11"/>
  <c r="AD811" i="11"/>
  <c r="AD812" i="11"/>
  <c r="AD813" i="11"/>
  <c r="AD814" i="11"/>
  <c r="AD815" i="11"/>
  <c r="AD816" i="11"/>
  <c r="AD817" i="11"/>
  <c r="AD818" i="11"/>
  <c r="AD819" i="11"/>
  <c r="AD820" i="11"/>
  <c r="AD821" i="11"/>
  <c r="AD822" i="11"/>
  <c r="AD823" i="11"/>
  <c r="AD824" i="11"/>
  <c r="AD825" i="11"/>
  <c r="AD826" i="11"/>
  <c r="AD827" i="11"/>
  <c r="AD828" i="11"/>
  <c r="AD829" i="11"/>
  <c r="AD830" i="11"/>
  <c r="AD831" i="11"/>
  <c r="AD832" i="11"/>
  <c r="AD833" i="11"/>
  <c r="AD834" i="11"/>
  <c r="AD835" i="11"/>
  <c r="AD836" i="11"/>
  <c r="AD837" i="11"/>
  <c r="AD838" i="11"/>
  <c r="AD839" i="11"/>
  <c r="AD840" i="11"/>
  <c r="AD841" i="11"/>
  <c r="AD842" i="11"/>
  <c r="AD843" i="11"/>
  <c r="AD844" i="11"/>
  <c r="AD845" i="11"/>
  <c r="AD846" i="11"/>
  <c r="AD847" i="11"/>
  <c r="AD848" i="11"/>
  <c r="AD849" i="11"/>
  <c r="AD850" i="11"/>
  <c r="AD851" i="11"/>
  <c r="AD852" i="11"/>
  <c r="AD853" i="11"/>
  <c r="AD854" i="11"/>
  <c r="AD855" i="11"/>
  <c r="AD856" i="11"/>
  <c r="AD857" i="11"/>
  <c r="AD858" i="11"/>
  <c r="AD859" i="11"/>
  <c r="AD860" i="11"/>
  <c r="AD861" i="11"/>
  <c r="AD862" i="11"/>
  <c r="AD863" i="11"/>
  <c r="AD864" i="11"/>
  <c r="AD865" i="11"/>
  <c r="AD866" i="11"/>
  <c r="AD867" i="11"/>
  <c r="AD868" i="11"/>
  <c r="AD869" i="11"/>
  <c r="AD870" i="11"/>
  <c r="AD871" i="11"/>
  <c r="AD872" i="11"/>
  <c r="AD873" i="11"/>
  <c r="AD874" i="11"/>
  <c r="AD875" i="11"/>
  <c r="AD876" i="11"/>
  <c r="AD877" i="11"/>
  <c r="AD878" i="11"/>
  <c r="AD879" i="11"/>
  <c r="AD880" i="11"/>
  <c r="AD881" i="11"/>
  <c r="AD882" i="11"/>
  <c r="AD883" i="11"/>
  <c r="AD884" i="11"/>
  <c r="AD885" i="11"/>
  <c r="AD886" i="11"/>
  <c r="AD887" i="11"/>
  <c r="AD888" i="11"/>
  <c r="AD889" i="11"/>
  <c r="AD890" i="11"/>
  <c r="AD891" i="11"/>
  <c r="AD892" i="11"/>
  <c r="AD893" i="11"/>
  <c r="AD894" i="11"/>
  <c r="AD895" i="11"/>
  <c r="AD896" i="11"/>
  <c r="AD897" i="11"/>
  <c r="AD898" i="11"/>
  <c r="AD899" i="11"/>
  <c r="AD900" i="11"/>
  <c r="AD901" i="11"/>
  <c r="AD902" i="11"/>
  <c r="AD903" i="11"/>
  <c r="AD904" i="11"/>
  <c r="AD905" i="11"/>
  <c r="AD906" i="11"/>
  <c r="AD907" i="11"/>
  <c r="AD908" i="11"/>
  <c r="AD909" i="11"/>
  <c r="AD910" i="11"/>
  <c r="AD911" i="11"/>
  <c r="AD912" i="11"/>
  <c r="AD913" i="11"/>
  <c r="AD914" i="11"/>
  <c r="AD915" i="11"/>
  <c r="AD916" i="11"/>
  <c r="AD917" i="11"/>
  <c r="AD918" i="11"/>
  <c r="AD919" i="11"/>
  <c r="AD920" i="11"/>
  <c r="AD921" i="11"/>
  <c r="AD922" i="11"/>
  <c r="AD923" i="11"/>
  <c r="AD924" i="11"/>
  <c r="AD925" i="11"/>
  <c r="AD926" i="11"/>
  <c r="AD927" i="11"/>
  <c r="AD928" i="11"/>
  <c r="AD929" i="11"/>
  <c r="AD930" i="11"/>
  <c r="AD931" i="11"/>
  <c r="AD932" i="11"/>
  <c r="AD933" i="11"/>
  <c r="AD934" i="11"/>
  <c r="AD935" i="11"/>
  <c r="AD936" i="11"/>
  <c r="AD937" i="11"/>
  <c r="AD938" i="11"/>
  <c r="AD939" i="11"/>
  <c r="AD940" i="11"/>
  <c r="AD941" i="11"/>
  <c r="AD942" i="11"/>
  <c r="AD943" i="11"/>
  <c r="AD944" i="11"/>
  <c r="AD945" i="11"/>
  <c r="AD946" i="11"/>
  <c r="AD947" i="11"/>
  <c r="AD948" i="11"/>
  <c r="AD949" i="11"/>
  <c r="AD950" i="11"/>
  <c r="AD951" i="11"/>
  <c r="AD952" i="11"/>
  <c r="AD953" i="11"/>
  <c r="AD954" i="11"/>
  <c r="AD955" i="11"/>
  <c r="AD956" i="11"/>
  <c r="AD957" i="11"/>
  <c r="AD958" i="11"/>
  <c r="AD959" i="11"/>
  <c r="AD960" i="11"/>
  <c r="AD961" i="11"/>
  <c r="AD962" i="11"/>
  <c r="AD963" i="11"/>
  <c r="AD964" i="11"/>
  <c r="AD965" i="11"/>
  <c r="AD966" i="11"/>
  <c r="AD967" i="11"/>
  <c r="AD968" i="11"/>
  <c r="AD969" i="11"/>
  <c r="AD970" i="11"/>
  <c r="AD971" i="11"/>
  <c r="AD972" i="11"/>
  <c r="AD973" i="11"/>
  <c r="AD974" i="11"/>
  <c r="AD975" i="11"/>
  <c r="AD976" i="11"/>
  <c r="AD977" i="11"/>
  <c r="AD978" i="11"/>
  <c r="AD979" i="11"/>
  <c r="AD980" i="11"/>
  <c r="AD981" i="11"/>
  <c r="AD982" i="11"/>
  <c r="AD983" i="11"/>
  <c r="AD984" i="11"/>
  <c r="AD985" i="11"/>
  <c r="AD986" i="11"/>
  <c r="AD987" i="11"/>
  <c r="AD988" i="11"/>
  <c r="AD989" i="11"/>
  <c r="AD990" i="11"/>
  <c r="AD991" i="11"/>
  <c r="AD992" i="11"/>
  <c r="AD993" i="11"/>
  <c r="AD994" i="11"/>
  <c r="AD995" i="11"/>
  <c r="AD996" i="11"/>
  <c r="AD997" i="11"/>
  <c r="AD998" i="11"/>
  <c r="AD999" i="11"/>
  <c r="AD1000" i="11"/>
  <c r="AD1001" i="11"/>
  <c r="AD1002" i="11"/>
  <c r="AD1003" i="11"/>
  <c r="AD1004" i="11"/>
  <c r="Z20" i="11"/>
  <c r="Z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27" i="11"/>
  <c r="Z128" i="11"/>
  <c r="Z129" i="11"/>
  <c r="Z130" i="11"/>
  <c r="Z131" i="1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159" i="11"/>
  <c r="Z160" i="11"/>
  <c r="Z161" i="11"/>
  <c r="Z162" i="11"/>
  <c r="Z163" i="11"/>
  <c r="Z164" i="11"/>
  <c r="Z165" i="11"/>
  <c r="Z166" i="11"/>
  <c r="Z167" i="11"/>
  <c r="Z168" i="11"/>
  <c r="Z169" i="11"/>
  <c r="Z170" i="11"/>
  <c r="Z171" i="11"/>
  <c r="Z172" i="11"/>
  <c r="Z173" i="11"/>
  <c r="Z174" i="11"/>
  <c r="Z175" i="11"/>
  <c r="Z176" i="11"/>
  <c r="Z177" i="11"/>
  <c r="Z178" i="11"/>
  <c r="Z179" i="11"/>
  <c r="Z180" i="11"/>
  <c r="Z181" i="11"/>
  <c r="Z182" i="11"/>
  <c r="Z183" i="11"/>
  <c r="Z184" i="11"/>
  <c r="Z185" i="11"/>
  <c r="Z186" i="11"/>
  <c r="Z187" i="11"/>
  <c r="Z188" i="11"/>
  <c r="Z189" i="11"/>
  <c r="Z190" i="11"/>
  <c r="Z191" i="11"/>
  <c r="Z192" i="11"/>
  <c r="Z193" i="11"/>
  <c r="Z194" i="11"/>
  <c r="Z195" i="11"/>
  <c r="Z196" i="11"/>
  <c r="Z197" i="11"/>
  <c r="Z198" i="11"/>
  <c r="Z199" i="11"/>
  <c r="Z200" i="11"/>
  <c r="Z201" i="11"/>
  <c r="Z202" i="11"/>
  <c r="Z203" i="11"/>
  <c r="Z204" i="11"/>
  <c r="Z205" i="11"/>
  <c r="Z206" i="11"/>
  <c r="Z207" i="11"/>
  <c r="Z208" i="11"/>
  <c r="Z209" i="11"/>
  <c r="Z210" i="11"/>
  <c r="Z211" i="11"/>
  <c r="Z212" i="11"/>
  <c r="Z213" i="11"/>
  <c r="Z214" i="11"/>
  <c r="Z215" i="11"/>
  <c r="Z216" i="11"/>
  <c r="Z217" i="11"/>
  <c r="Z218" i="11"/>
  <c r="Z219" i="11"/>
  <c r="Z220" i="11"/>
  <c r="Z221" i="11"/>
  <c r="Z222" i="11"/>
  <c r="Z223" i="11"/>
  <c r="Z224" i="11"/>
  <c r="Z225" i="11"/>
  <c r="Z226" i="11"/>
  <c r="Z227" i="11"/>
  <c r="Z228" i="11"/>
  <c r="Z229" i="11"/>
  <c r="Z230" i="11"/>
  <c r="Z231" i="11"/>
  <c r="Z232" i="11"/>
  <c r="Z233" i="11"/>
  <c r="Z234" i="11"/>
  <c r="Z235" i="11"/>
  <c r="Z236" i="11"/>
  <c r="Z237" i="11"/>
  <c r="Z238" i="11"/>
  <c r="Z239" i="11"/>
  <c r="Z240" i="11"/>
  <c r="Z241" i="11"/>
  <c r="Z242" i="11"/>
  <c r="Z243" i="11"/>
  <c r="Z244" i="11"/>
  <c r="Z245" i="11"/>
  <c r="Z246" i="11"/>
  <c r="Z247" i="11"/>
  <c r="Z248" i="11"/>
  <c r="Z249" i="11"/>
  <c r="Z250" i="11"/>
  <c r="Z251" i="11"/>
  <c r="Z252" i="11"/>
  <c r="Z253" i="11"/>
  <c r="Z254" i="11"/>
  <c r="Z255" i="11"/>
  <c r="Z256" i="11"/>
  <c r="Z257" i="11"/>
  <c r="Z258" i="11"/>
  <c r="Z259" i="11"/>
  <c r="Z260" i="11"/>
  <c r="Z261" i="11"/>
  <c r="Z262" i="11"/>
  <c r="Z263" i="11"/>
  <c r="Z264" i="11"/>
  <c r="Z265" i="11"/>
  <c r="Z266" i="11"/>
  <c r="Z267" i="11"/>
  <c r="Z268" i="11"/>
  <c r="Z269" i="11"/>
  <c r="Z270" i="11"/>
  <c r="Z271" i="11"/>
  <c r="Z272" i="11"/>
  <c r="Z273" i="11"/>
  <c r="Z274" i="11"/>
  <c r="Z275" i="11"/>
  <c r="Z276" i="11"/>
  <c r="Z277" i="11"/>
  <c r="Z278" i="11"/>
  <c r="Z279" i="11"/>
  <c r="Z280" i="11"/>
  <c r="Z281" i="11"/>
  <c r="Z282" i="11"/>
  <c r="Z283" i="11"/>
  <c r="Z284" i="11"/>
  <c r="Z285" i="11"/>
  <c r="Z286" i="11"/>
  <c r="Z287" i="11"/>
  <c r="Z288" i="11"/>
  <c r="Z289" i="11"/>
  <c r="Z290" i="11"/>
  <c r="Z291" i="11"/>
  <c r="Z292" i="11"/>
  <c r="Z293" i="11"/>
  <c r="Z294" i="11"/>
  <c r="Z295" i="11"/>
  <c r="Z296" i="11"/>
  <c r="Z297" i="11"/>
  <c r="Z298" i="11"/>
  <c r="Z299" i="11"/>
  <c r="Z300" i="11"/>
  <c r="Z301" i="11"/>
  <c r="Z302" i="11"/>
  <c r="Z303" i="11"/>
  <c r="Z304" i="11"/>
  <c r="Z305" i="11"/>
  <c r="Z306" i="11"/>
  <c r="Z307" i="11"/>
  <c r="Z308" i="11"/>
  <c r="Z309" i="11"/>
  <c r="Z310" i="11"/>
  <c r="Z311" i="11"/>
  <c r="Z312" i="11"/>
  <c r="Z313" i="11"/>
  <c r="Z314" i="11"/>
  <c r="Z315" i="11"/>
  <c r="Z316" i="11"/>
  <c r="Z317" i="11"/>
  <c r="Z318" i="11"/>
  <c r="Z319" i="11"/>
  <c r="Z320" i="11"/>
  <c r="Z321" i="11"/>
  <c r="Z322" i="11"/>
  <c r="Z323" i="11"/>
  <c r="Z324" i="11"/>
  <c r="Z325" i="11"/>
  <c r="Z326" i="11"/>
  <c r="Z327" i="11"/>
  <c r="Z328" i="11"/>
  <c r="Z329" i="11"/>
  <c r="Z330" i="11"/>
  <c r="Z331" i="11"/>
  <c r="Z332" i="11"/>
  <c r="Z333" i="11"/>
  <c r="Z334" i="11"/>
  <c r="Z335" i="11"/>
  <c r="Z336" i="11"/>
  <c r="Z337" i="11"/>
  <c r="Z338" i="11"/>
  <c r="Z339" i="11"/>
  <c r="Z340" i="11"/>
  <c r="Z341" i="11"/>
  <c r="Z342" i="11"/>
  <c r="Z343" i="11"/>
  <c r="Z344" i="11"/>
  <c r="Z345" i="11"/>
  <c r="Z346" i="11"/>
  <c r="Z347" i="11"/>
  <c r="Z348" i="11"/>
  <c r="Z349" i="11"/>
  <c r="Z350" i="11"/>
  <c r="Z351" i="11"/>
  <c r="Z352" i="11"/>
  <c r="Z353" i="11"/>
  <c r="Z354" i="11"/>
  <c r="Z355" i="11"/>
  <c r="Z356" i="11"/>
  <c r="Z357" i="11"/>
  <c r="Z358" i="11"/>
  <c r="Z359" i="11"/>
  <c r="Z360" i="11"/>
  <c r="Z361" i="11"/>
  <c r="Z362" i="11"/>
  <c r="Z363" i="11"/>
  <c r="Z364" i="11"/>
  <c r="Z365" i="11"/>
  <c r="Z366" i="11"/>
  <c r="Z367" i="11"/>
  <c r="Z368" i="11"/>
  <c r="Z369" i="11"/>
  <c r="Z370" i="11"/>
  <c r="Z371" i="11"/>
  <c r="Z372" i="11"/>
  <c r="Z373" i="11"/>
  <c r="Z374" i="11"/>
  <c r="Z375" i="11"/>
  <c r="Z376" i="11"/>
  <c r="Z377" i="11"/>
  <c r="Z378" i="11"/>
  <c r="Z379" i="11"/>
  <c r="Z380" i="11"/>
  <c r="Z381" i="11"/>
  <c r="Z382" i="11"/>
  <c r="Z383" i="11"/>
  <c r="Z384" i="11"/>
  <c r="Z385" i="11"/>
  <c r="Z386" i="11"/>
  <c r="Z387" i="11"/>
  <c r="Z388" i="11"/>
  <c r="Z389" i="11"/>
  <c r="Z390" i="11"/>
  <c r="Z391" i="11"/>
  <c r="Z392" i="11"/>
  <c r="Z393" i="11"/>
  <c r="Z394" i="11"/>
  <c r="Z395" i="11"/>
  <c r="Z396" i="11"/>
  <c r="Z397" i="11"/>
  <c r="Z398" i="11"/>
  <c r="Z399" i="11"/>
  <c r="Z400" i="11"/>
  <c r="Z401" i="11"/>
  <c r="Z402" i="11"/>
  <c r="Z403" i="11"/>
  <c r="Z404" i="11"/>
  <c r="Z405" i="11"/>
  <c r="Z406" i="11"/>
  <c r="Z407" i="11"/>
  <c r="Z408" i="11"/>
  <c r="Z409" i="11"/>
  <c r="Z410" i="11"/>
  <c r="Z411" i="11"/>
  <c r="Z412" i="11"/>
  <c r="Z413" i="11"/>
  <c r="Z414" i="11"/>
  <c r="Z415" i="11"/>
  <c r="Z416" i="11"/>
  <c r="Z417" i="11"/>
  <c r="Z418" i="11"/>
  <c r="Z419" i="11"/>
  <c r="Z420" i="11"/>
  <c r="Z421" i="11"/>
  <c r="Z422" i="11"/>
  <c r="Z423" i="11"/>
  <c r="Z424" i="11"/>
  <c r="Z425" i="11"/>
  <c r="Z426" i="11"/>
  <c r="Z427" i="11"/>
  <c r="Z428" i="11"/>
  <c r="Z429" i="11"/>
  <c r="Z430" i="11"/>
  <c r="Z431" i="11"/>
  <c r="Z432" i="11"/>
  <c r="Z433" i="11"/>
  <c r="Z434" i="11"/>
  <c r="Z435" i="11"/>
  <c r="Z436" i="11"/>
  <c r="Z437" i="11"/>
  <c r="Z438" i="11"/>
  <c r="Z439" i="11"/>
  <c r="Z440" i="11"/>
  <c r="Z441" i="11"/>
  <c r="Z442" i="11"/>
  <c r="Z443" i="11"/>
  <c r="Z444" i="11"/>
  <c r="Z445" i="11"/>
  <c r="Z446" i="11"/>
  <c r="Z447" i="11"/>
  <c r="Z448" i="11"/>
  <c r="Z449" i="11"/>
  <c r="Z450" i="11"/>
  <c r="Z451" i="11"/>
  <c r="Z452" i="11"/>
  <c r="Z453" i="11"/>
  <c r="Z454" i="11"/>
  <c r="Z455" i="11"/>
  <c r="Z456" i="11"/>
  <c r="Z457" i="11"/>
  <c r="Z458" i="11"/>
  <c r="Z459" i="11"/>
  <c r="Z460" i="11"/>
  <c r="Z461" i="11"/>
  <c r="Z462" i="11"/>
  <c r="Z463" i="11"/>
  <c r="Z464" i="11"/>
  <c r="Z465" i="11"/>
  <c r="Z466" i="11"/>
  <c r="Z467" i="11"/>
  <c r="Z468" i="11"/>
  <c r="Z469" i="11"/>
  <c r="Z470" i="11"/>
  <c r="Z471" i="11"/>
  <c r="Z472" i="11"/>
  <c r="Z473" i="11"/>
  <c r="Z474" i="11"/>
  <c r="Z475" i="11"/>
  <c r="Z476" i="11"/>
  <c r="Z477" i="11"/>
  <c r="Z478" i="11"/>
  <c r="Z479" i="11"/>
  <c r="Z480" i="11"/>
  <c r="Z481" i="11"/>
  <c r="Z482" i="11"/>
  <c r="Z483" i="11"/>
  <c r="Z484" i="11"/>
  <c r="Z485" i="11"/>
  <c r="Z486" i="11"/>
  <c r="Z487" i="11"/>
  <c r="Z488" i="11"/>
  <c r="Z489" i="11"/>
  <c r="Z490" i="11"/>
  <c r="Z491" i="11"/>
  <c r="Z492" i="11"/>
  <c r="Z493" i="11"/>
  <c r="Z494" i="11"/>
  <c r="Z495" i="11"/>
  <c r="Z496" i="11"/>
  <c r="Z497" i="11"/>
  <c r="Z498" i="11"/>
  <c r="Z499" i="11"/>
  <c r="Z500" i="11"/>
  <c r="Z501" i="11"/>
  <c r="Z502" i="11"/>
  <c r="Z503" i="11"/>
  <c r="Z504" i="11"/>
  <c r="Z505" i="11"/>
  <c r="Z506" i="11"/>
  <c r="Z507" i="11"/>
  <c r="Z508" i="11"/>
  <c r="Z509" i="11"/>
  <c r="Z510" i="11"/>
  <c r="Z511" i="11"/>
  <c r="Z512" i="11"/>
  <c r="Z513" i="11"/>
  <c r="Z514" i="11"/>
  <c r="Z515" i="11"/>
  <c r="Z516" i="11"/>
  <c r="Z517" i="11"/>
  <c r="Z518" i="11"/>
  <c r="Z519" i="11"/>
  <c r="Z520" i="11"/>
  <c r="Z521" i="11"/>
  <c r="Z522" i="11"/>
  <c r="Z523" i="11"/>
  <c r="Z524" i="11"/>
  <c r="Z525" i="11"/>
  <c r="Z526" i="11"/>
  <c r="Z527" i="11"/>
  <c r="Z528" i="11"/>
  <c r="Z529" i="11"/>
  <c r="Z530" i="11"/>
  <c r="Z531" i="11"/>
  <c r="Z532" i="11"/>
  <c r="Z533" i="11"/>
  <c r="Z534" i="11"/>
  <c r="Z535" i="11"/>
  <c r="Z536" i="11"/>
  <c r="Z537" i="11"/>
  <c r="Z538" i="11"/>
  <c r="Z539" i="11"/>
  <c r="Z540" i="11"/>
  <c r="Z541" i="11"/>
  <c r="Z542" i="11"/>
  <c r="Z543" i="11"/>
  <c r="Z544" i="11"/>
  <c r="Z545" i="11"/>
  <c r="Z546" i="11"/>
  <c r="Z547" i="11"/>
  <c r="Z548" i="11"/>
  <c r="Z549" i="11"/>
  <c r="Z550" i="11"/>
  <c r="Z551" i="11"/>
  <c r="Z552" i="11"/>
  <c r="Z553" i="11"/>
  <c r="Z554" i="11"/>
  <c r="Z555" i="11"/>
  <c r="Z556" i="11"/>
  <c r="Z557" i="11"/>
  <c r="Z558" i="11"/>
  <c r="Z559" i="11"/>
  <c r="Z560" i="11"/>
  <c r="Z561" i="11"/>
  <c r="Z562" i="11"/>
  <c r="Z563" i="11"/>
  <c r="Z564" i="11"/>
  <c r="Z565" i="11"/>
  <c r="Z566" i="11"/>
  <c r="Z567" i="11"/>
  <c r="Z568" i="11"/>
  <c r="Z569" i="11"/>
  <c r="Z570" i="11"/>
  <c r="Z571" i="11"/>
  <c r="Z572" i="11"/>
  <c r="Z573" i="11"/>
  <c r="Z574" i="11"/>
  <c r="Z575" i="11"/>
  <c r="Z576" i="11"/>
  <c r="Z577" i="11"/>
  <c r="Z578" i="11"/>
  <c r="Z579" i="11"/>
  <c r="Z580" i="11"/>
  <c r="Z581" i="11"/>
  <c r="Z582" i="11"/>
  <c r="Z583" i="11"/>
  <c r="Z584" i="11"/>
  <c r="Z585" i="11"/>
  <c r="Z586" i="11"/>
  <c r="Z587" i="11"/>
  <c r="Z588" i="11"/>
  <c r="Z589" i="11"/>
  <c r="Z590" i="11"/>
  <c r="Z591" i="11"/>
  <c r="Z592" i="11"/>
  <c r="Z593" i="11"/>
  <c r="Z594" i="11"/>
  <c r="Z595" i="11"/>
  <c r="Z596" i="11"/>
  <c r="Z597" i="11"/>
  <c r="Z598" i="11"/>
  <c r="Z599" i="11"/>
  <c r="Z600" i="11"/>
  <c r="Z601" i="11"/>
  <c r="Z602" i="11"/>
  <c r="Z603" i="11"/>
  <c r="Z604" i="11"/>
  <c r="Z605" i="11"/>
  <c r="Z606" i="11"/>
  <c r="Z607" i="11"/>
  <c r="Z608" i="11"/>
  <c r="Z609" i="11"/>
  <c r="Z610" i="11"/>
  <c r="Z611" i="11"/>
  <c r="Z612" i="11"/>
  <c r="Z613" i="11"/>
  <c r="Z614" i="11"/>
  <c r="Z615" i="11"/>
  <c r="Z616" i="11"/>
  <c r="Z617" i="11"/>
  <c r="Z618" i="11"/>
  <c r="Z619" i="11"/>
  <c r="Z620" i="11"/>
  <c r="Z621" i="11"/>
  <c r="Z622" i="11"/>
  <c r="Z623" i="11"/>
  <c r="Z624" i="11"/>
  <c r="Z625" i="11"/>
  <c r="Z626" i="11"/>
  <c r="Z627" i="11"/>
  <c r="Z628" i="11"/>
  <c r="Z629" i="11"/>
  <c r="Z630" i="11"/>
  <c r="Z631" i="11"/>
  <c r="Z632" i="11"/>
  <c r="Z633" i="11"/>
  <c r="Z634" i="11"/>
  <c r="Z635" i="11"/>
  <c r="Z636" i="11"/>
  <c r="Z637" i="11"/>
  <c r="Z638" i="11"/>
  <c r="Z639" i="11"/>
  <c r="Z640" i="11"/>
  <c r="Z641" i="11"/>
  <c r="Z642" i="11"/>
  <c r="Z643" i="11"/>
  <c r="Z644" i="11"/>
  <c r="Z645" i="11"/>
  <c r="Z646" i="11"/>
  <c r="Z647" i="11"/>
  <c r="Z648" i="11"/>
  <c r="Z649" i="11"/>
  <c r="Z650" i="11"/>
  <c r="Z651" i="11"/>
  <c r="Z652" i="11"/>
  <c r="Z653" i="11"/>
  <c r="Z654" i="11"/>
  <c r="Z655" i="11"/>
  <c r="Z656" i="11"/>
  <c r="Z657" i="11"/>
  <c r="Z658" i="11"/>
  <c r="Z659" i="11"/>
  <c r="Z660" i="11"/>
  <c r="Z661" i="11"/>
  <c r="Z662" i="11"/>
  <c r="Z663" i="11"/>
  <c r="Z664" i="11"/>
  <c r="Z665" i="11"/>
  <c r="Z666" i="11"/>
  <c r="Z667" i="11"/>
  <c r="Z668" i="11"/>
  <c r="Z669" i="11"/>
  <c r="Z670" i="11"/>
  <c r="Z671" i="11"/>
  <c r="Z672" i="11"/>
  <c r="Z673" i="11"/>
  <c r="Z674" i="11"/>
  <c r="Z675" i="11"/>
  <c r="Z676" i="11"/>
  <c r="Z677" i="11"/>
  <c r="Z678" i="11"/>
  <c r="Z679" i="11"/>
  <c r="Z680" i="11"/>
  <c r="Z681" i="11"/>
  <c r="Z682" i="11"/>
  <c r="Z683" i="11"/>
  <c r="Z684" i="11"/>
  <c r="Z685" i="11"/>
  <c r="Z686" i="11"/>
  <c r="Z687" i="11"/>
  <c r="Z688" i="11"/>
  <c r="Z689" i="11"/>
  <c r="Z690" i="11"/>
  <c r="Z691" i="11"/>
  <c r="Z692" i="11"/>
  <c r="Z693" i="11"/>
  <c r="Z694" i="11"/>
  <c r="Z695" i="11"/>
  <c r="Z696" i="11"/>
  <c r="Z697" i="11"/>
  <c r="Z698" i="11"/>
  <c r="Z699" i="11"/>
  <c r="Z700" i="11"/>
  <c r="Z701" i="11"/>
  <c r="Z702" i="11"/>
  <c r="Z703" i="11"/>
  <c r="Z704" i="11"/>
  <c r="Z705" i="11"/>
  <c r="Z706" i="11"/>
  <c r="Z707" i="11"/>
  <c r="Z708" i="11"/>
  <c r="Z709" i="11"/>
  <c r="Z710" i="11"/>
  <c r="Z711" i="11"/>
  <c r="Z712" i="11"/>
  <c r="Z713" i="11"/>
  <c r="Z714" i="11"/>
  <c r="Z715" i="11"/>
  <c r="Z716" i="11"/>
  <c r="Z717" i="11"/>
  <c r="Z718" i="11"/>
  <c r="Z719" i="11"/>
  <c r="Z720" i="11"/>
  <c r="Z721" i="11"/>
  <c r="Z722" i="11"/>
  <c r="Z723" i="11"/>
  <c r="Z724" i="11"/>
  <c r="Z725" i="11"/>
  <c r="Z726" i="11"/>
  <c r="Z727" i="11"/>
  <c r="Z728" i="11"/>
  <c r="Z729" i="11"/>
  <c r="Z730" i="11"/>
  <c r="Z731" i="11"/>
  <c r="Z732" i="11"/>
  <c r="Z733" i="11"/>
  <c r="Z734" i="11"/>
  <c r="Z735" i="11"/>
  <c r="Z736" i="11"/>
  <c r="Z737" i="11"/>
  <c r="Z738" i="11"/>
  <c r="Z739" i="11"/>
  <c r="Z740" i="11"/>
  <c r="Z741" i="11"/>
  <c r="Z742" i="11"/>
  <c r="Z743" i="11"/>
  <c r="Z744" i="11"/>
  <c r="Z745" i="11"/>
  <c r="Z746" i="11"/>
  <c r="Z747" i="11"/>
  <c r="Z748" i="11"/>
  <c r="Z749" i="11"/>
  <c r="Z750" i="11"/>
  <c r="Z751" i="11"/>
  <c r="Z752" i="11"/>
  <c r="Z753" i="11"/>
  <c r="Z754" i="11"/>
  <c r="Z755" i="11"/>
  <c r="Z756" i="11"/>
  <c r="Z757" i="11"/>
  <c r="Z758" i="11"/>
  <c r="Z759" i="11"/>
  <c r="Z760" i="11"/>
  <c r="Z761" i="11"/>
  <c r="Z762" i="11"/>
  <c r="Z763" i="11"/>
  <c r="Z764" i="11"/>
  <c r="Z765" i="11"/>
  <c r="Z766" i="11"/>
  <c r="Z767" i="11"/>
  <c r="Z768" i="11"/>
  <c r="Z769" i="11"/>
  <c r="Z770" i="11"/>
  <c r="Z771" i="11"/>
  <c r="Z772" i="11"/>
  <c r="Z773" i="11"/>
  <c r="Z774" i="11"/>
  <c r="Z775" i="11"/>
  <c r="Z776" i="11"/>
  <c r="Z777" i="11"/>
  <c r="Z778" i="11"/>
  <c r="Z779" i="11"/>
  <c r="Z780" i="11"/>
  <c r="Z781" i="11"/>
  <c r="Z782" i="11"/>
  <c r="Z783" i="11"/>
  <c r="Z784" i="11"/>
  <c r="Z785" i="11"/>
  <c r="Z786" i="11"/>
  <c r="Z787" i="11"/>
  <c r="Z788" i="11"/>
  <c r="Z789" i="11"/>
  <c r="Z790" i="11"/>
  <c r="Z791" i="11"/>
  <c r="Z792" i="11"/>
  <c r="Z793" i="11"/>
  <c r="Z794" i="11"/>
  <c r="Z795" i="11"/>
  <c r="Z796" i="11"/>
  <c r="Z797" i="11"/>
  <c r="Z798" i="11"/>
  <c r="Z799" i="11"/>
  <c r="Z800" i="11"/>
  <c r="Z801" i="11"/>
  <c r="Z802" i="11"/>
  <c r="Z803" i="11"/>
  <c r="Z804" i="11"/>
  <c r="Z805" i="11"/>
  <c r="Z806" i="11"/>
  <c r="Z807" i="11"/>
  <c r="Z808" i="11"/>
  <c r="Z809" i="11"/>
  <c r="Z810" i="11"/>
  <c r="Z811" i="11"/>
  <c r="Z812" i="11"/>
  <c r="Z813" i="11"/>
  <c r="Z814" i="11"/>
  <c r="Z815" i="11"/>
  <c r="Z816" i="11"/>
  <c r="Z817" i="11"/>
  <c r="Z818" i="11"/>
  <c r="Z819" i="11"/>
  <c r="Z820" i="11"/>
  <c r="Z821" i="11"/>
  <c r="Z822" i="11"/>
  <c r="Z823" i="11"/>
  <c r="Z824" i="11"/>
  <c r="Z825" i="11"/>
  <c r="Z826" i="11"/>
  <c r="Z827" i="11"/>
  <c r="Z828" i="11"/>
  <c r="Z829" i="11"/>
  <c r="Z830" i="11"/>
  <c r="Z831" i="11"/>
  <c r="Z832" i="11"/>
  <c r="Z833" i="11"/>
  <c r="Z834" i="11"/>
  <c r="Z835" i="11"/>
  <c r="Z836" i="11"/>
  <c r="Z837" i="11"/>
  <c r="Z838" i="11"/>
  <c r="Z839" i="11"/>
  <c r="Z840" i="11"/>
  <c r="Z841" i="11"/>
  <c r="Z842" i="11"/>
  <c r="Z843" i="11"/>
  <c r="Z844" i="11"/>
  <c r="Z845" i="11"/>
  <c r="Z846" i="11"/>
  <c r="Z847" i="11"/>
  <c r="Z848" i="11"/>
  <c r="Z849" i="11"/>
  <c r="Z850" i="11"/>
  <c r="Z851" i="11"/>
  <c r="Z852" i="11"/>
  <c r="Z853" i="11"/>
  <c r="Z854" i="11"/>
  <c r="Z855" i="11"/>
  <c r="Z856" i="11"/>
  <c r="Z857" i="11"/>
  <c r="Z858" i="11"/>
  <c r="Z859" i="11"/>
  <c r="Z860" i="11"/>
  <c r="Z861" i="11"/>
  <c r="Z862" i="11"/>
  <c r="Z863" i="11"/>
  <c r="Z864" i="11"/>
  <c r="Z865" i="11"/>
  <c r="Z866" i="11"/>
  <c r="Z867" i="11"/>
  <c r="Z868" i="11"/>
  <c r="Z869" i="11"/>
  <c r="Z870" i="11"/>
  <c r="Z871" i="11"/>
  <c r="Z872" i="11"/>
  <c r="Z873" i="11"/>
  <c r="Z874" i="11"/>
  <c r="Z875" i="11"/>
  <c r="Z876" i="11"/>
  <c r="Z877" i="11"/>
  <c r="Z878" i="11"/>
  <c r="Z879" i="11"/>
  <c r="Z880" i="11"/>
  <c r="Z881" i="11"/>
  <c r="Z882" i="11"/>
  <c r="Z883" i="11"/>
  <c r="Z884" i="11"/>
  <c r="Z885" i="11"/>
  <c r="Z886" i="11"/>
  <c r="Z887" i="11"/>
  <c r="Z888" i="11"/>
  <c r="Z889" i="11"/>
  <c r="Z890" i="11"/>
  <c r="Z891" i="11"/>
  <c r="Z892" i="11"/>
  <c r="Z893" i="11"/>
  <c r="Z894" i="11"/>
  <c r="Z895" i="11"/>
  <c r="Z896" i="11"/>
  <c r="Z897" i="11"/>
  <c r="Z898" i="11"/>
  <c r="Z899" i="11"/>
  <c r="Z900" i="11"/>
  <c r="Z901" i="11"/>
  <c r="Z902" i="11"/>
  <c r="Z903" i="11"/>
  <c r="Z904" i="11"/>
  <c r="Z905" i="11"/>
  <c r="Z906" i="11"/>
  <c r="Z907" i="11"/>
  <c r="Z908" i="11"/>
  <c r="Z909" i="11"/>
  <c r="Z910" i="11"/>
  <c r="Z911" i="11"/>
  <c r="Z912" i="11"/>
  <c r="Z913" i="11"/>
  <c r="Z914" i="11"/>
  <c r="Z915" i="11"/>
  <c r="Z916" i="11"/>
  <c r="Z917" i="11"/>
  <c r="Z918" i="11"/>
  <c r="Z919" i="11"/>
  <c r="Z920" i="11"/>
  <c r="Z921" i="11"/>
  <c r="Z922" i="11"/>
  <c r="Z923" i="11"/>
  <c r="Z924" i="11"/>
  <c r="Z925" i="11"/>
  <c r="Z926" i="11"/>
  <c r="Z927" i="11"/>
  <c r="Z928" i="11"/>
  <c r="Z929" i="11"/>
  <c r="Z930" i="11"/>
  <c r="Z931" i="11"/>
  <c r="Z932" i="11"/>
  <c r="Z933" i="11"/>
  <c r="Z934" i="11"/>
  <c r="Z935" i="11"/>
  <c r="Z936" i="11"/>
  <c r="Z937" i="11"/>
  <c r="Z938" i="11"/>
  <c r="Z939" i="11"/>
  <c r="Z940" i="11"/>
  <c r="Z941" i="11"/>
  <c r="Z942" i="11"/>
  <c r="Z943" i="11"/>
  <c r="Z944" i="11"/>
  <c r="Z945" i="11"/>
  <c r="Z946" i="11"/>
  <c r="Z947" i="11"/>
  <c r="Z948" i="11"/>
  <c r="Z949" i="11"/>
  <c r="Z950" i="11"/>
  <c r="Z951" i="11"/>
  <c r="Z952" i="11"/>
  <c r="Z953" i="11"/>
  <c r="Z954" i="11"/>
  <c r="Z955" i="11"/>
  <c r="Z956" i="11"/>
  <c r="Z957" i="11"/>
  <c r="Z958" i="11"/>
  <c r="Z959" i="11"/>
  <c r="Z960" i="11"/>
  <c r="Z961" i="11"/>
  <c r="Z962" i="11"/>
  <c r="Z963" i="11"/>
  <c r="Z964" i="11"/>
  <c r="Z965" i="11"/>
  <c r="Z966" i="11"/>
  <c r="Z967" i="11"/>
  <c r="Z968" i="11"/>
  <c r="Z969" i="11"/>
  <c r="Z970" i="11"/>
  <c r="Z971" i="11"/>
  <c r="Z972" i="11"/>
  <c r="Z973" i="11"/>
  <c r="Z974" i="11"/>
  <c r="Z975" i="11"/>
  <c r="Z976" i="11"/>
  <c r="Z977" i="11"/>
  <c r="Z978" i="11"/>
  <c r="Z979" i="11"/>
  <c r="Z980" i="11"/>
  <c r="Z981" i="11"/>
  <c r="Z982" i="11"/>
  <c r="Z983" i="11"/>
  <c r="Z984" i="11"/>
  <c r="Z985" i="11"/>
  <c r="Z986" i="11"/>
  <c r="Z987" i="11"/>
  <c r="Z988" i="11"/>
  <c r="Z989" i="11"/>
  <c r="Z990" i="11"/>
  <c r="Z991" i="11"/>
  <c r="Z992" i="11"/>
  <c r="Z993" i="11"/>
  <c r="Z994" i="11"/>
  <c r="Z995" i="11"/>
  <c r="Z996" i="11"/>
  <c r="Z997" i="11"/>
  <c r="Z998" i="11"/>
  <c r="Z999" i="11"/>
  <c r="Z1000" i="11"/>
  <c r="Z1001" i="11"/>
  <c r="Z1002" i="11"/>
  <c r="Z1003" i="11"/>
  <c r="Z1004" i="11"/>
  <c r="AY155" i="19"/>
  <c r="AX155" i="19"/>
  <c r="AW155" i="19"/>
  <c r="AV155" i="19"/>
  <c r="AU155" i="19"/>
  <c r="AT155" i="19"/>
  <c r="AS155" i="19"/>
  <c r="AR155" i="19"/>
  <c r="AQ155" i="19"/>
  <c r="AP155" i="19"/>
  <c r="AO155" i="19"/>
  <c r="AN155" i="19"/>
  <c r="AM155" i="19"/>
  <c r="AL155" i="19"/>
  <c r="AK155" i="19"/>
  <c r="V155" i="19"/>
  <c r="W155" i="19"/>
  <c r="X155" i="19"/>
  <c r="Y155" i="19"/>
  <c r="Z155" i="19"/>
  <c r="AA155" i="19"/>
  <c r="AB155" i="19"/>
  <c r="AC155" i="19"/>
  <c r="AD155" i="19"/>
  <c r="AE155" i="19"/>
  <c r="AF155" i="19"/>
  <c r="AG155" i="19"/>
  <c r="AH155" i="19"/>
  <c r="AI155" i="19"/>
  <c r="U155" i="19"/>
  <c r="Y245" i="18" l="1"/>
  <c r="Y246" i="18"/>
  <c r="Y247" i="18"/>
  <c r="Y248" i="18"/>
  <c r="Y249" i="18"/>
  <c r="F55" i="5" l="1"/>
  <c r="G55" i="5"/>
  <c r="H55" i="5"/>
  <c r="J55" i="5"/>
  <c r="M55" i="5"/>
  <c r="O55" i="5"/>
  <c r="X55" i="5"/>
  <c r="AA55" i="5"/>
  <c r="AG55" i="5"/>
  <c r="AJ55" i="5"/>
  <c r="F56" i="5"/>
  <c r="G56" i="5"/>
  <c r="H56" i="5"/>
  <c r="J56" i="5"/>
  <c r="M56" i="5"/>
  <c r="O56" i="5"/>
  <c r="X56" i="5"/>
  <c r="AA56" i="5"/>
  <c r="AG56" i="5"/>
  <c r="AJ56" i="5"/>
  <c r="F57" i="5"/>
  <c r="G57" i="5"/>
  <c r="H57" i="5"/>
  <c r="J57" i="5"/>
  <c r="M57" i="5"/>
  <c r="O57" i="5"/>
  <c r="X57" i="5"/>
  <c r="AA57" i="5"/>
  <c r="AG57" i="5"/>
  <c r="AJ57" i="5"/>
  <c r="F58" i="5"/>
  <c r="G58" i="5"/>
  <c r="H58" i="5"/>
  <c r="J58" i="5"/>
  <c r="M58" i="5"/>
  <c r="O58" i="5"/>
  <c r="X58" i="5"/>
  <c r="AA58" i="5"/>
  <c r="AG58" i="5"/>
  <c r="AJ58" i="5"/>
  <c r="F59" i="5"/>
  <c r="G59" i="5"/>
  <c r="H59" i="5"/>
  <c r="J59" i="5"/>
  <c r="M59" i="5"/>
  <c r="O59" i="5"/>
  <c r="X59" i="5"/>
  <c r="AA59" i="5"/>
  <c r="AG59" i="5"/>
  <c r="AJ59" i="5"/>
  <c r="F60" i="5"/>
  <c r="G60" i="5"/>
  <c r="H60" i="5"/>
  <c r="J60" i="5"/>
  <c r="M60" i="5"/>
  <c r="O60" i="5"/>
  <c r="X60" i="5"/>
  <c r="AA60" i="5"/>
  <c r="AG60" i="5"/>
  <c r="AJ60" i="5"/>
  <c r="F61" i="5"/>
  <c r="G61" i="5"/>
  <c r="H61" i="5"/>
  <c r="J61" i="5"/>
  <c r="M61" i="5"/>
  <c r="O61" i="5"/>
  <c r="X61" i="5"/>
  <c r="AA61" i="5"/>
  <c r="AG61" i="5"/>
  <c r="AJ61" i="5"/>
  <c r="F47" i="5"/>
  <c r="G47" i="5"/>
  <c r="H47" i="5"/>
  <c r="J47" i="5"/>
  <c r="M47" i="5"/>
  <c r="O47" i="5"/>
  <c r="X47" i="5"/>
  <c r="AA47" i="5"/>
  <c r="AG47" i="5"/>
  <c r="AJ47" i="5"/>
  <c r="F48" i="5"/>
  <c r="G48" i="5"/>
  <c r="H48" i="5"/>
  <c r="J48" i="5"/>
  <c r="M48" i="5"/>
  <c r="O48" i="5"/>
  <c r="X48" i="5"/>
  <c r="AA48" i="5"/>
  <c r="AG48" i="5"/>
  <c r="AJ48" i="5"/>
  <c r="F49" i="5"/>
  <c r="G49" i="5"/>
  <c r="H49" i="5"/>
  <c r="J49" i="5"/>
  <c r="M49" i="5"/>
  <c r="O49" i="5"/>
  <c r="X49" i="5"/>
  <c r="AA49" i="5"/>
  <c r="AG49" i="5"/>
  <c r="AJ49" i="5"/>
  <c r="F50" i="5"/>
  <c r="G50" i="5"/>
  <c r="H50" i="5"/>
  <c r="J50" i="5"/>
  <c r="M50" i="5"/>
  <c r="O50" i="5"/>
  <c r="X50" i="5"/>
  <c r="AA50" i="5"/>
  <c r="AG50" i="5"/>
  <c r="AJ50" i="5"/>
  <c r="F51" i="5"/>
  <c r="G51" i="5"/>
  <c r="H51" i="5"/>
  <c r="J51" i="5"/>
  <c r="M51" i="5"/>
  <c r="O51" i="5"/>
  <c r="X51" i="5"/>
  <c r="AA51" i="5"/>
  <c r="AG51" i="5"/>
  <c r="AJ51" i="5"/>
  <c r="F52" i="5"/>
  <c r="G52" i="5"/>
  <c r="H52" i="5"/>
  <c r="J52" i="5"/>
  <c r="M52" i="5"/>
  <c r="O52" i="5"/>
  <c r="X52" i="5"/>
  <c r="AA52" i="5"/>
  <c r="AG52" i="5"/>
  <c r="AJ52" i="5"/>
  <c r="F53" i="5"/>
  <c r="G53" i="5"/>
  <c r="H53" i="5"/>
  <c r="J53" i="5"/>
  <c r="M53" i="5"/>
  <c r="O53" i="5"/>
  <c r="X53" i="5"/>
  <c r="AA53" i="5"/>
  <c r="AG53" i="5"/>
  <c r="AJ53" i="5"/>
  <c r="F54" i="5"/>
  <c r="G54" i="5"/>
  <c r="H54" i="5"/>
  <c r="J54" i="5"/>
  <c r="M54" i="5"/>
  <c r="O54" i="5"/>
  <c r="X54" i="5"/>
  <c r="AA54" i="5"/>
  <c r="AG54" i="5"/>
  <c r="AJ54" i="5"/>
  <c r="F3" i="5"/>
  <c r="G3" i="5"/>
  <c r="H3" i="5"/>
  <c r="J3" i="5"/>
  <c r="M3" i="5"/>
  <c r="O3" i="5"/>
  <c r="X3" i="5"/>
  <c r="AA3" i="5"/>
  <c r="AG3" i="5"/>
  <c r="AJ3" i="5"/>
  <c r="F4" i="5"/>
  <c r="G4" i="5"/>
  <c r="H4" i="5"/>
  <c r="J4" i="5"/>
  <c r="M4" i="5"/>
  <c r="O4" i="5"/>
  <c r="X4" i="5"/>
  <c r="AA4" i="5"/>
  <c r="AG4" i="5"/>
  <c r="AJ4" i="5"/>
  <c r="F5" i="5"/>
  <c r="G5" i="5"/>
  <c r="H5" i="5"/>
  <c r="J5" i="5"/>
  <c r="M5" i="5"/>
  <c r="O5" i="5"/>
  <c r="X5" i="5"/>
  <c r="AA5" i="5"/>
  <c r="AG5" i="5"/>
  <c r="AJ5" i="5"/>
  <c r="F6" i="5"/>
  <c r="G6" i="5"/>
  <c r="H6" i="5"/>
  <c r="J6" i="5"/>
  <c r="M6" i="5"/>
  <c r="O6" i="5"/>
  <c r="X6" i="5"/>
  <c r="AA6" i="5"/>
  <c r="AG6" i="5"/>
  <c r="AJ6" i="5"/>
  <c r="F7" i="5"/>
  <c r="G7" i="5"/>
  <c r="H7" i="5"/>
  <c r="J7" i="5"/>
  <c r="M7" i="5"/>
  <c r="O7" i="5"/>
  <c r="X7" i="5"/>
  <c r="AA7" i="5"/>
  <c r="AG7" i="5"/>
  <c r="AJ7" i="5"/>
  <c r="F8" i="5"/>
  <c r="G8" i="5"/>
  <c r="H8" i="5"/>
  <c r="J8" i="5"/>
  <c r="M8" i="5"/>
  <c r="O8" i="5"/>
  <c r="X8" i="5"/>
  <c r="AA8" i="5"/>
  <c r="AG8" i="5"/>
  <c r="AJ8" i="5"/>
  <c r="F9" i="5"/>
  <c r="G9" i="5"/>
  <c r="H9" i="5"/>
  <c r="J9" i="5"/>
  <c r="M9" i="5"/>
  <c r="O9" i="5"/>
  <c r="X9" i="5"/>
  <c r="AA9" i="5"/>
  <c r="AG9" i="5"/>
  <c r="AJ9" i="5"/>
  <c r="F10" i="5"/>
  <c r="G10" i="5"/>
  <c r="H10" i="5"/>
  <c r="J10" i="5"/>
  <c r="M10" i="5"/>
  <c r="O10" i="5"/>
  <c r="X10" i="5"/>
  <c r="AA10" i="5"/>
  <c r="AG10" i="5"/>
  <c r="AJ10" i="5"/>
  <c r="F11" i="5"/>
  <c r="G11" i="5"/>
  <c r="H11" i="5"/>
  <c r="J11" i="5"/>
  <c r="M11" i="5"/>
  <c r="O11" i="5"/>
  <c r="X11" i="5"/>
  <c r="AA11" i="5"/>
  <c r="AG11" i="5"/>
  <c r="AJ11" i="5"/>
  <c r="F12" i="5"/>
  <c r="G12" i="5"/>
  <c r="H12" i="5"/>
  <c r="J12" i="5"/>
  <c r="M12" i="5"/>
  <c r="O12" i="5"/>
  <c r="X12" i="5"/>
  <c r="AA12" i="5"/>
  <c r="AG12" i="5"/>
  <c r="AJ12" i="5"/>
  <c r="F13" i="5"/>
  <c r="G13" i="5"/>
  <c r="H13" i="5"/>
  <c r="J13" i="5"/>
  <c r="M13" i="5"/>
  <c r="O13" i="5"/>
  <c r="X13" i="5"/>
  <c r="AA13" i="5"/>
  <c r="AG13" i="5"/>
  <c r="AJ13" i="5"/>
  <c r="F14" i="5"/>
  <c r="G14" i="5"/>
  <c r="H14" i="5"/>
  <c r="J14" i="5"/>
  <c r="M14" i="5"/>
  <c r="O14" i="5"/>
  <c r="X14" i="5"/>
  <c r="AA14" i="5"/>
  <c r="AG14" i="5"/>
  <c r="AJ14" i="5"/>
  <c r="F15" i="5"/>
  <c r="G15" i="5"/>
  <c r="H15" i="5"/>
  <c r="J15" i="5"/>
  <c r="M15" i="5"/>
  <c r="O15" i="5"/>
  <c r="X15" i="5"/>
  <c r="AA15" i="5"/>
  <c r="AG15" i="5"/>
  <c r="AJ15" i="5"/>
  <c r="F16" i="5"/>
  <c r="G16" i="5"/>
  <c r="H16" i="5"/>
  <c r="J16" i="5"/>
  <c r="M16" i="5"/>
  <c r="O16" i="5"/>
  <c r="X16" i="5"/>
  <c r="AA16" i="5"/>
  <c r="AG16" i="5"/>
  <c r="AJ16" i="5"/>
  <c r="F17" i="5"/>
  <c r="G17" i="5"/>
  <c r="H17" i="5"/>
  <c r="J17" i="5"/>
  <c r="M17" i="5"/>
  <c r="O17" i="5"/>
  <c r="X17" i="5"/>
  <c r="AA17" i="5"/>
  <c r="AG17" i="5"/>
  <c r="AJ17" i="5"/>
  <c r="F18" i="5"/>
  <c r="G18" i="5"/>
  <c r="H18" i="5"/>
  <c r="J18" i="5"/>
  <c r="M18" i="5"/>
  <c r="O18" i="5"/>
  <c r="X18" i="5"/>
  <c r="AA18" i="5"/>
  <c r="AG18" i="5"/>
  <c r="AJ18" i="5"/>
  <c r="F19" i="5"/>
  <c r="G19" i="5"/>
  <c r="H19" i="5"/>
  <c r="J19" i="5"/>
  <c r="M19" i="5"/>
  <c r="O19" i="5"/>
  <c r="X19" i="5"/>
  <c r="AA19" i="5"/>
  <c r="AG19" i="5"/>
  <c r="AJ19" i="5"/>
  <c r="F20" i="5"/>
  <c r="G20" i="5"/>
  <c r="H20" i="5"/>
  <c r="J20" i="5"/>
  <c r="M20" i="5"/>
  <c r="O20" i="5"/>
  <c r="X20" i="5"/>
  <c r="AA20" i="5"/>
  <c r="AG20" i="5"/>
  <c r="AJ20" i="5"/>
  <c r="F21" i="5"/>
  <c r="G21" i="5"/>
  <c r="H21" i="5"/>
  <c r="J21" i="5"/>
  <c r="M21" i="5"/>
  <c r="O21" i="5"/>
  <c r="X21" i="5"/>
  <c r="AA21" i="5"/>
  <c r="AG21" i="5"/>
  <c r="AJ21" i="5"/>
  <c r="F22" i="5"/>
  <c r="G22" i="5"/>
  <c r="H22" i="5"/>
  <c r="J22" i="5"/>
  <c r="M22" i="5"/>
  <c r="O22" i="5"/>
  <c r="X22" i="5"/>
  <c r="AA22" i="5"/>
  <c r="AG22" i="5"/>
  <c r="AJ22" i="5"/>
  <c r="F23" i="5"/>
  <c r="G23" i="5"/>
  <c r="H23" i="5"/>
  <c r="J23" i="5"/>
  <c r="M23" i="5"/>
  <c r="O23" i="5"/>
  <c r="X23" i="5"/>
  <c r="AA23" i="5"/>
  <c r="AG23" i="5"/>
  <c r="AJ23" i="5"/>
  <c r="F24" i="5"/>
  <c r="G24" i="5"/>
  <c r="H24" i="5"/>
  <c r="J24" i="5"/>
  <c r="M24" i="5"/>
  <c r="O24" i="5"/>
  <c r="X24" i="5"/>
  <c r="AA24" i="5"/>
  <c r="AG24" i="5"/>
  <c r="AJ24" i="5"/>
  <c r="F25" i="5"/>
  <c r="G25" i="5"/>
  <c r="H25" i="5"/>
  <c r="J25" i="5"/>
  <c r="M25" i="5"/>
  <c r="O25" i="5"/>
  <c r="X25" i="5"/>
  <c r="AA25" i="5"/>
  <c r="AG25" i="5"/>
  <c r="AJ25" i="5"/>
  <c r="F26" i="5"/>
  <c r="G26" i="5"/>
  <c r="H26" i="5"/>
  <c r="J26" i="5"/>
  <c r="M26" i="5"/>
  <c r="O26" i="5"/>
  <c r="X26" i="5"/>
  <c r="AA26" i="5"/>
  <c r="AG26" i="5"/>
  <c r="AJ26" i="5"/>
  <c r="F27" i="5"/>
  <c r="G27" i="5"/>
  <c r="H27" i="5"/>
  <c r="J27" i="5"/>
  <c r="M27" i="5"/>
  <c r="O27" i="5"/>
  <c r="X27" i="5"/>
  <c r="AA27" i="5"/>
  <c r="AG27" i="5"/>
  <c r="AJ27" i="5"/>
  <c r="F28" i="5"/>
  <c r="G28" i="5"/>
  <c r="H28" i="5"/>
  <c r="J28" i="5"/>
  <c r="M28" i="5"/>
  <c r="O28" i="5"/>
  <c r="X28" i="5"/>
  <c r="AA28" i="5"/>
  <c r="AG28" i="5"/>
  <c r="AJ28" i="5"/>
  <c r="F29" i="5"/>
  <c r="G29" i="5"/>
  <c r="H29" i="5"/>
  <c r="J29" i="5"/>
  <c r="M29" i="5"/>
  <c r="O29" i="5"/>
  <c r="X29" i="5"/>
  <c r="AA29" i="5"/>
  <c r="AG29" i="5"/>
  <c r="AJ29" i="5"/>
  <c r="F30" i="5"/>
  <c r="G30" i="5"/>
  <c r="H30" i="5"/>
  <c r="J30" i="5"/>
  <c r="M30" i="5"/>
  <c r="O30" i="5"/>
  <c r="X30" i="5"/>
  <c r="AA30" i="5"/>
  <c r="AG30" i="5"/>
  <c r="AJ30" i="5"/>
  <c r="F31" i="5"/>
  <c r="G31" i="5"/>
  <c r="H31" i="5"/>
  <c r="J31" i="5"/>
  <c r="M31" i="5"/>
  <c r="O31" i="5"/>
  <c r="X31" i="5"/>
  <c r="AA31" i="5"/>
  <c r="AG31" i="5"/>
  <c r="AJ31" i="5"/>
  <c r="F32" i="5"/>
  <c r="G32" i="5"/>
  <c r="H32" i="5"/>
  <c r="J32" i="5"/>
  <c r="M32" i="5"/>
  <c r="O32" i="5"/>
  <c r="X32" i="5"/>
  <c r="AA32" i="5"/>
  <c r="AG32" i="5"/>
  <c r="AJ32" i="5"/>
  <c r="F33" i="5"/>
  <c r="G33" i="5"/>
  <c r="H33" i="5"/>
  <c r="J33" i="5"/>
  <c r="M33" i="5"/>
  <c r="O33" i="5"/>
  <c r="X33" i="5"/>
  <c r="AA33" i="5"/>
  <c r="AG33" i="5"/>
  <c r="AJ33" i="5"/>
  <c r="F34" i="5"/>
  <c r="G34" i="5"/>
  <c r="H34" i="5"/>
  <c r="J34" i="5"/>
  <c r="M34" i="5"/>
  <c r="O34" i="5"/>
  <c r="X34" i="5"/>
  <c r="AA34" i="5"/>
  <c r="AG34" i="5"/>
  <c r="AJ34" i="5"/>
  <c r="F35" i="5"/>
  <c r="G35" i="5"/>
  <c r="H35" i="5"/>
  <c r="J35" i="5"/>
  <c r="M35" i="5"/>
  <c r="O35" i="5"/>
  <c r="X35" i="5"/>
  <c r="AA35" i="5"/>
  <c r="AG35" i="5"/>
  <c r="AJ35" i="5"/>
  <c r="F36" i="5"/>
  <c r="G36" i="5"/>
  <c r="H36" i="5"/>
  <c r="J36" i="5"/>
  <c r="M36" i="5"/>
  <c r="O36" i="5"/>
  <c r="X36" i="5"/>
  <c r="AA36" i="5"/>
  <c r="AG36" i="5"/>
  <c r="AJ36" i="5"/>
  <c r="F37" i="5"/>
  <c r="G37" i="5"/>
  <c r="H37" i="5"/>
  <c r="J37" i="5"/>
  <c r="M37" i="5"/>
  <c r="O37" i="5"/>
  <c r="X37" i="5"/>
  <c r="AA37" i="5"/>
  <c r="AG37" i="5"/>
  <c r="AJ37" i="5"/>
  <c r="F38" i="5"/>
  <c r="G38" i="5"/>
  <c r="H38" i="5"/>
  <c r="J38" i="5"/>
  <c r="M38" i="5"/>
  <c r="O38" i="5"/>
  <c r="X38" i="5"/>
  <c r="AA38" i="5"/>
  <c r="AG38" i="5"/>
  <c r="AJ38" i="5"/>
  <c r="F39" i="5"/>
  <c r="G39" i="5"/>
  <c r="H39" i="5"/>
  <c r="J39" i="5"/>
  <c r="M39" i="5"/>
  <c r="O39" i="5"/>
  <c r="X39" i="5"/>
  <c r="AA39" i="5"/>
  <c r="AG39" i="5"/>
  <c r="AJ39" i="5"/>
  <c r="F40" i="5"/>
  <c r="G40" i="5"/>
  <c r="H40" i="5"/>
  <c r="J40" i="5"/>
  <c r="M40" i="5"/>
  <c r="O40" i="5"/>
  <c r="X40" i="5"/>
  <c r="AA40" i="5"/>
  <c r="AG40" i="5"/>
  <c r="AJ40" i="5"/>
  <c r="F41" i="5"/>
  <c r="G41" i="5"/>
  <c r="H41" i="5"/>
  <c r="J41" i="5"/>
  <c r="M41" i="5"/>
  <c r="O41" i="5"/>
  <c r="X41" i="5"/>
  <c r="AA41" i="5"/>
  <c r="AG41" i="5"/>
  <c r="AJ41" i="5"/>
  <c r="F42" i="5"/>
  <c r="G42" i="5"/>
  <c r="H42" i="5"/>
  <c r="J42" i="5"/>
  <c r="M42" i="5"/>
  <c r="O42" i="5"/>
  <c r="X42" i="5"/>
  <c r="AA42" i="5"/>
  <c r="AG42" i="5"/>
  <c r="AJ42" i="5"/>
  <c r="F43" i="5"/>
  <c r="G43" i="5"/>
  <c r="H43" i="5"/>
  <c r="J43" i="5"/>
  <c r="M43" i="5"/>
  <c r="O43" i="5"/>
  <c r="X43" i="5"/>
  <c r="AA43" i="5"/>
  <c r="AG43" i="5"/>
  <c r="AJ43" i="5"/>
  <c r="F44" i="5"/>
  <c r="G44" i="5"/>
  <c r="H44" i="5"/>
  <c r="J44" i="5"/>
  <c r="M44" i="5"/>
  <c r="O44" i="5"/>
  <c r="X44" i="5"/>
  <c r="AA44" i="5"/>
  <c r="AG44" i="5"/>
  <c r="AJ44" i="5"/>
  <c r="F45" i="5"/>
  <c r="G45" i="5"/>
  <c r="H45" i="5"/>
  <c r="J45" i="5"/>
  <c r="M45" i="5"/>
  <c r="O45" i="5"/>
  <c r="X45" i="5"/>
  <c r="AA45" i="5"/>
  <c r="AG45" i="5"/>
  <c r="AJ45" i="5"/>
  <c r="F46" i="5"/>
  <c r="G46" i="5"/>
  <c r="H46" i="5"/>
  <c r="J46" i="5"/>
  <c r="M46" i="5"/>
  <c r="O46" i="5"/>
  <c r="X46" i="5"/>
  <c r="AA46" i="5"/>
  <c r="AG46" i="5"/>
  <c r="AJ46" i="5"/>
  <c r="AJ2" i="5"/>
  <c r="AG2" i="5"/>
  <c r="AA2" i="5"/>
  <c r="X2" i="5"/>
  <c r="O2" i="5"/>
  <c r="M2" i="5"/>
  <c r="J2" i="5"/>
  <c r="H2" i="5"/>
  <c r="G2" i="5"/>
  <c r="F2" i="5"/>
  <c r="E2" i="5"/>
  <c r="E1" i="5"/>
  <c r="C2" i="5"/>
  <c r="AM1" i="5"/>
  <c r="AN1" i="5"/>
  <c r="AJ1" i="5"/>
  <c r="AK1" i="5"/>
  <c r="AL1" i="5"/>
  <c r="AH1" i="5"/>
  <c r="AI1" i="5"/>
  <c r="AB1" i="5"/>
  <c r="AC1" i="5"/>
  <c r="AD1" i="5"/>
  <c r="AE1" i="5"/>
  <c r="AF1" i="5"/>
  <c r="AG1" i="5"/>
  <c r="W1" i="5"/>
  <c r="X1" i="5"/>
  <c r="Y1" i="5"/>
  <c r="Z1" i="5"/>
  <c r="AA1" i="5"/>
  <c r="B1" i="5"/>
  <c r="C1" i="5"/>
  <c r="D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A1" i="5"/>
  <c r="P104" i="19" l="1"/>
  <c r="P111" i="19" s="1"/>
  <c r="AP104" i="19" l="1"/>
  <c r="AP111" i="19" s="1"/>
  <c r="P114" i="19"/>
  <c r="P105" i="19"/>
  <c r="P50" i="20" l="1"/>
  <c r="C50" i="20"/>
  <c r="BL34" i="19" l="1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AC87" i="20"/>
  <c r="AC86" i="20"/>
  <c r="AC85" i="20"/>
  <c r="AC84" i="20"/>
  <c r="AC83" i="20"/>
  <c r="AC82" i="20"/>
  <c r="AC81" i="20"/>
  <c r="AC80" i="20"/>
  <c r="AC79" i="20"/>
  <c r="AC78" i="20"/>
  <c r="AC77" i="20"/>
  <c r="AC76" i="20"/>
  <c r="AC75" i="20"/>
  <c r="AC74" i="20"/>
  <c r="AC73" i="20"/>
  <c r="B19" i="23"/>
  <c r="A3" i="28"/>
  <c r="L8" i="28"/>
  <c r="L9" i="28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83" i="28"/>
  <c r="L84" i="28"/>
  <c r="L85" i="28"/>
  <c r="L86" i="28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L122" i="28"/>
  <c r="L123" i="28"/>
  <c r="L124" i="28"/>
  <c r="L125" i="28"/>
  <c r="L126" i="28"/>
  <c r="L127" i="28"/>
  <c r="L128" i="28"/>
  <c r="L129" i="28"/>
  <c r="L130" i="28"/>
  <c r="L131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4" i="28"/>
  <c r="L145" i="28"/>
  <c r="L146" i="28"/>
  <c r="L147" i="28"/>
  <c r="L148" i="28"/>
  <c r="L149" i="28"/>
  <c r="L150" i="28"/>
  <c r="L151" i="28"/>
  <c r="L152" i="28"/>
  <c r="L153" i="28"/>
  <c r="L154" i="28"/>
  <c r="L155" i="28"/>
  <c r="L156" i="28"/>
  <c r="L157" i="28"/>
  <c r="L158" i="28"/>
  <c r="L159" i="28"/>
  <c r="L160" i="28"/>
  <c r="L161" i="28"/>
  <c r="L162" i="28"/>
  <c r="L163" i="28"/>
  <c r="L164" i="28"/>
  <c r="L165" i="28"/>
  <c r="L166" i="28"/>
  <c r="L167" i="28"/>
  <c r="L168" i="28"/>
  <c r="L169" i="28"/>
  <c r="L170" i="28"/>
  <c r="L171" i="28"/>
  <c r="L172" i="28"/>
  <c r="L173" i="28"/>
  <c r="L174" i="28"/>
  <c r="L175" i="28"/>
  <c r="L176" i="28"/>
  <c r="L177" i="28"/>
  <c r="L178" i="28"/>
  <c r="L179" i="28"/>
  <c r="L180" i="28"/>
  <c r="L181" i="28"/>
  <c r="L182" i="28"/>
  <c r="L183" i="28"/>
  <c r="L184" i="28"/>
  <c r="L185" i="28"/>
  <c r="L186" i="28"/>
  <c r="L187" i="28"/>
  <c r="L188" i="28"/>
  <c r="L189" i="28"/>
  <c r="L190" i="28"/>
  <c r="L191" i="28"/>
  <c r="L192" i="28"/>
  <c r="L193" i="28"/>
  <c r="L194" i="28"/>
  <c r="L195" i="28"/>
  <c r="L196" i="28"/>
  <c r="L197" i="28"/>
  <c r="L198" i="28"/>
  <c r="L199" i="28"/>
  <c r="L200" i="28"/>
  <c r="L201" i="28"/>
  <c r="L202" i="28"/>
  <c r="L203" i="28"/>
  <c r="L204" i="28"/>
  <c r="L205" i="28"/>
  <c r="L206" i="28"/>
  <c r="L207" i="28"/>
  <c r="L208" i="28"/>
  <c r="L209" i="28"/>
  <c r="L210" i="28"/>
  <c r="L211" i="28"/>
  <c r="L212" i="28"/>
  <c r="L213" i="28"/>
  <c r="L214" i="28"/>
  <c r="L215" i="28"/>
  <c r="L216" i="28"/>
  <c r="L217" i="28"/>
  <c r="L218" i="28"/>
  <c r="L219" i="28"/>
  <c r="L220" i="28"/>
  <c r="L221" i="28"/>
  <c r="L222" i="28"/>
  <c r="L223" i="28"/>
  <c r="L224" i="28"/>
  <c r="L225" i="28"/>
  <c r="L226" i="28"/>
  <c r="L227" i="28"/>
  <c r="L228" i="28"/>
  <c r="L229" i="28"/>
  <c r="L230" i="28"/>
  <c r="L231" i="28"/>
  <c r="L232" i="28"/>
  <c r="L233" i="28"/>
  <c r="L234" i="28"/>
  <c r="L235" i="28"/>
  <c r="L236" i="28"/>
  <c r="L237" i="28"/>
  <c r="L238" i="28"/>
  <c r="L239" i="28"/>
  <c r="L240" i="28"/>
  <c r="L241" i="28"/>
  <c r="L242" i="28"/>
  <c r="L243" i="28"/>
  <c r="L244" i="28"/>
  <c r="L245" i="28"/>
  <c r="L246" i="28"/>
  <c r="L247" i="28"/>
  <c r="L248" i="28"/>
  <c r="L249" i="28"/>
  <c r="L250" i="28"/>
  <c r="L251" i="28"/>
  <c r="L252" i="28"/>
  <c r="L253" i="28"/>
  <c r="L254" i="28"/>
  <c r="L255" i="28"/>
  <c r="L256" i="28"/>
  <c r="L257" i="28"/>
  <c r="L258" i="28"/>
  <c r="L259" i="28"/>
  <c r="L260" i="28"/>
  <c r="L261" i="28"/>
  <c r="L262" i="28"/>
  <c r="L263" i="28"/>
  <c r="L264" i="28"/>
  <c r="L265" i="28"/>
  <c r="L266" i="28"/>
  <c r="L267" i="28"/>
  <c r="L268" i="28"/>
  <c r="L269" i="28"/>
  <c r="L270" i="28"/>
  <c r="L271" i="28"/>
  <c r="L272" i="28"/>
  <c r="L273" i="28"/>
  <c r="L274" i="28"/>
  <c r="L275" i="28"/>
  <c r="L276" i="28"/>
  <c r="L277" i="28"/>
  <c r="L278" i="28"/>
  <c r="L279" i="28"/>
  <c r="L280" i="28"/>
  <c r="L281" i="28"/>
  <c r="L282" i="28"/>
  <c r="L283" i="28"/>
  <c r="L284" i="28"/>
  <c r="L285" i="28"/>
  <c r="L286" i="28"/>
  <c r="L287" i="28"/>
  <c r="L288" i="28"/>
  <c r="L289" i="28"/>
  <c r="L290" i="28"/>
  <c r="L291" i="28"/>
  <c r="L292" i="28"/>
  <c r="L293" i="28"/>
  <c r="L294" i="28"/>
  <c r="L295" i="28"/>
  <c r="L296" i="28"/>
  <c r="L297" i="28"/>
  <c r="L298" i="28"/>
  <c r="L299" i="28"/>
  <c r="L300" i="28"/>
  <c r="L301" i="28"/>
  <c r="L302" i="28"/>
  <c r="L303" i="28"/>
  <c r="L304" i="28"/>
  <c r="L305" i="28"/>
  <c r="L306" i="28"/>
  <c r="L307" i="28"/>
  <c r="L308" i="28"/>
  <c r="L309" i="28"/>
  <c r="L310" i="28"/>
  <c r="L311" i="28"/>
  <c r="L312" i="28"/>
  <c r="L313" i="28"/>
  <c r="L314" i="28"/>
  <c r="L315" i="28"/>
  <c r="L316" i="28"/>
  <c r="L317" i="28"/>
  <c r="L318" i="28"/>
  <c r="L319" i="28"/>
  <c r="L320" i="28"/>
  <c r="L321" i="28"/>
  <c r="L322" i="28"/>
  <c r="L323" i="28"/>
  <c r="L324" i="28"/>
  <c r="L325" i="28"/>
  <c r="L326" i="28"/>
  <c r="L327" i="28"/>
  <c r="L328" i="28"/>
  <c r="L329" i="28"/>
  <c r="L330" i="28"/>
  <c r="L331" i="28"/>
  <c r="L332" i="28"/>
  <c r="L333" i="28"/>
  <c r="L334" i="28"/>
  <c r="L335" i="28"/>
  <c r="L336" i="28"/>
  <c r="L337" i="28"/>
  <c r="L338" i="28"/>
  <c r="L339" i="28"/>
  <c r="L340" i="28"/>
  <c r="L341" i="28"/>
  <c r="L342" i="28"/>
  <c r="L343" i="28"/>
  <c r="L344" i="28"/>
  <c r="L345" i="28"/>
  <c r="L346" i="28"/>
  <c r="L347" i="28"/>
  <c r="L348" i="28"/>
  <c r="L349" i="28"/>
  <c r="L350" i="28"/>
  <c r="L351" i="28"/>
  <c r="L352" i="28"/>
  <c r="L353" i="28"/>
  <c r="L354" i="28"/>
  <c r="L355" i="28"/>
  <c r="L356" i="28"/>
  <c r="L357" i="28"/>
  <c r="L358" i="28"/>
  <c r="L359" i="28"/>
  <c r="L360" i="28"/>
  <c r="L361" i="28"/>
  <c r="L362" i="28"/>
  <c r="L363" i="28"/>
  <c r="L364" i="28"/>
  <c r="L365" i="28"/>
  <c r="L366" i="28"/>
  <c r="L367" i="28"/>
  <c r="L368" i="28"/>
  <c r="L369" i="28"/>
  <c r="L370" i="28"/>
  <c r="L371" i="28"/>
  <c r="L372" i="28"/>
  <c r="L373" i="28"/>
  <c r="L374" i="28"/>
  <c r="L375" i="28"/>
  <c r="L376" i="28"/>
  <c r="L377" i="28"/>
  <c r="L378" i="28"/>
  <c r="L379" i="28"/>
  <c r="L380" i="28"/>
  <c r="L381" i="28"/>
  <c r="L382" i="28"/>
  <c r="L383" i="28"/>
  <c r="L384" i="28"/>
  <c r="L385" i="28"/>
  <c r="L386" i="28"/>
  <c r="L387" i="28"/>
  <c r="L388" i="28"/>
  <c r="L389" i="28"/>
  <c r="L390" i="28"/>
  <c r="L391" i="28"/>
  <c r="L392" i="28"/>
  <c r="L393" i="28"/>
  <c r="L394" i="28"/>
  <c r="L395" i="28"/>
  <c r="L396" i="28"/>
  <c r="L397" i="28"/>
  <c r="L398" i="28"/>
  <c r="L399" i="28"/>
  <c r="L400" i="28"/>
  <c r="L401" i="28"/>
  <c r="L402" i="28"/>
  <c r="L403" i="28"/>
  <c r="L404" i="28"/>
  <c r="L405" i="28"/>
  <c r="L406" i="28"/>
  <c r="L407" i="28"/>
  <c r="L408" i="28"/>
  <c r="L409" i="28"/>
  <c r="L410" i="28"/>
  <c r="L411" i="28"/>
  <c r="L412" i="28"/>
  <c r="L413" i="28"/>
  <c r="L414" i="28"/>
  <c r="L415" i="28"/>
  <c r="L416" i="28"/>
  <c r="L417" i="28"/>
  <c r="L418" i="28"/>
  <c r="L419" i="28"/>
  <c r="L420" i="28"/>
  <c r="L421" i="28"/>
  <c r="L422" i="28"/>
  <c r="L423" i="28"/>
  <c r="L424" i="28"/>
  <c r="L425" i="28"/>
  <c r="L426" i="28"/>
  <c r="L427" i="28"/>
  <c r="L428" i="28"/>
  <c r="L429" i="28"/>
  <c r="L430" i="28"/>
  <c r="L431" i="28"/>
  <c r="L432" i="28"/>
  <c r="L433" i="28"/>
  <c r="L434" i="28"/>
  <c r="L435" i="28"/>
  <c r="L436" i="28"/>
  <c r="L437" i="28"/>
  <c r="L438" i="28"/>
  <c r="L439" i="28"/>
  <c r="L440" i="28"/>
  <c r="L441" i="28"/>
  <c r="L442" i="28"/>
  <c r="L443" i="28"/>
  <c r="L444" i="28"/>
  <c r="L445" i="28"/>
  <c r="L446" i="28"/>
  <c r="L447" i="28"/>
  <c r="L448" i="28"/>
  <c r="L449" i="28"/>
  <c r="L450" i="28"/>
  <c r="L451" i="28"/>
  <c r="L452" i="28"/>
  <c r="L453" i="28"/>
  <c r="L454" i="28"/>
  <c r="L455" i="28"/>
  <c r="L456" i="28"/>
  <c r="L457" i="28"/>
  <c r="L458" i="28"/>
  <c r="L459" i="28"/>
  <c r="L460" i="28"/>
  <c r="L461" i="28"/>
  <c r="L462" i="28"/>
  <c r="L463" i="28"/>
  <c r="L464" i="28"/>
  <c r="L465" i="28"/>
  <c r="L466" i="28"/>
  <c r="L467" i="28"/>
  <c r="L468" i="28"/>
  <c r="L469" i="28"/>
  <c r="L470" i="28"/>
  <c r="L471" i="28"/>
  <c r="L472" i="28"/>
  <c r="L473" i="28"/>
  <c r="L474" i="28"/>
  <c r="L475" i="28"/>
  <c r="L476" i="28"/>
  <c r="L477" i="28"/>
  <c r="L478" i="28"/>
  <c r="L479" i="28"/>
  <c r="L480" i="28"/>
  <c r="L481" i="28"/>
  <c r="L482" i="28"/>
  <c r="L483" i="28"/>
  <c r="L484" i="28"/>
  <c r="L485" i="28"/>
  <c r="L486" i="28"/>
  <c r="L487" i="28"/>
  <c r="L488" i="28"/>
  <c r="L489" i="28"/>
  <c r="L490" i="28"/>
  <c r="L491" i="28"/>
  <c r="L492" i="28"/>
  <c r="L493" i="28"/>
  <c r="L494" i="28"/>
  <c r="L495" i="28"/>
  <c r="L496" i="28"/>
  <c r="L497" i="28"/>
  <c r="L498" i="28"/>
  <c r="L499" i="28"/>
  <c r="L500" i="28"/>
  <c r="L501" i="28"/>
  <c r="L502" i="28"/>
  <c r="L503" i="28"/>
  <c r="L504" i="28"/>
  <c r="L505" i="28"/>
  <c r="L506" i="28"/>
  <c r="L507" i="28"/>
  <c r="L508" i="28"/>
  <c r="L509" i="28"/>
  <c r="L510" i="28"/>
  <c r="L511" i="28"/>
  <c r="L512" i="28"/>
  <c r="L513" i="28"/>
  <c r="L514" i="28"/>
  <c r="L515" i="28"/>
  <c r="L516" i="28"/>
  <c r="L517" i="28"/>
  <c r="L518" i="28"/>
  <c r="L519" i="28"/>
  <c r="L520" i="28"/>
  <c r="L521" i="28"/>
  <c r="L522" i="28"/>
  <c r="L523" i="28"/>
  <c r="L524" i="28"/>
  <c r="L525" i="28"/>
  <c r="L526" i="28"/>
  <c r="L527" i="28"/>
  <c r="L528" i="28"/>
  <c r="L529" i="28"/>
  <c r="L530" i="28"/>
  <c r="L531" i="28"/>
  <c r="L532" i="28"/>
  <c r="L533" i="28"/>
  <c r="L534" i="28"/>
  <c r="L535" i="28"/>
  <c r="L536" i="28"/>
  <c r="L537" i="28"/>
  <c r="L538" i="28"/>
  <c r="L539" i="28"/>
  <c r="L540" i="28"/>
  <c r="L541" i="28"/>
  <c r="L542" i="28"/>
  <c r="L543" i="28"/>
  <c r="L544" i="28"/>
  <c r="L545" i="28"/>
  <c r="L546" i="28"/>
  <c r="L547" i="28"/>
  <c r="L548" i="28"/>
  <c r="L549" i="28"/>
  <c r="L550" i="28"/>
  <c r="L551" i="28"/>
  <c r="L552" i="28"/>
  <c r="L553" i="28"/>
  <c r="L554" i="28"/>
  <c r="L555" i="28"/>
  <c r="L556" i="28"/>
  <c r="L557" i="28"/>
  <c r="L558" i="28"/>
  <c r="L559" i="28"/>
  <c r="L560" i="28"/>
  <c r="L561" i="28"/>
  <c r="L562" i="28"/>
  <c r="L563" i="28"/>
  <c r="L564" i="28"/>
  <c r="L565" i="28"/>
  <c r="L566" i="28"/>
  <c r="L567" i="28"/>
  <c r="L568" i="28"/>
  <c r="L569" i="28"/>
  <c r="L570" i="28"/>
  <c r="L571" i="28"/>
  <c r="L572" i="28"/>
  <c r="L573" i="28"/>
  <c r="L574" i="28"/>
  <c r="L575" i="28"/>
  <c r="L576" i="28"/>
  <c r="L577" i="28"/>
  <c r="L578" i="28"/>
  <c r="L579" i="28"/>
  <c r="L580" i="28"/>
  <c r="L581" i="28"/>
  <c r="L582" i="28"/>
  <c r="L583" i="28"/>
  <c r="L584" i="28"/>
  <c r="L585" i="28"/>
  <c r="L586" i="28"/>
  <c r="L587" i="28"/>
  <c r="L588" i="28"/>
  <c r="L589" i="28"/>
  <c r="L590" i="28"/>
  <c r="L591" i="28"/>
  <c r="L592" i="28"/>
  <c r="L593" i="28"/>
  <c r="L594" i="28"/>
  <c r="L595" i="28"/>
  <c r="L596" i="28"/>
  <c r="L597" i="28"/>
  <c r="L598" i="28"/>
  <c r="L599" i="28"/>
  <c r="L600" i="28"/>
  <c r="L601" i="28"/>
  <c r="L602" i="28"/>
  <c r="L603" i="28"/>
  <c r="L604" i="28"/>
  <c r="L605" i="28"/>
  <c r="L606" i="28"/>
  <c r="L607" i="28"/>
  <c r="L608" i="28"/>
  <c r="L609" i="28"/>
  <c r="L610" i="28"/>
  <c r="L611" i="28"/>
  <c r="L612" i="28"/>
  <c r="L613" i="28"/>
  <c r="L614" i="28"/>
  <c r="L615" i="28"/>
  <c r="L616" i="28"/>
  <c r="L617" i="28"/>
  <c r="L618" i="28"/>
  <c r="L619" i="28"/>
  <c r="L620" i="28"/>
  <c r="L621" i="28"/>
  <c r="L622" i="28"/>
  <c r="L623" i="28"/>
  <c r="L624" i="28"/>
  <c r="L625" i="28"/>
  <c r="L626" i="28"/>
  <c r="L627" i="28"/>
  <c r="L628" i="28"/>
  <c r="L629" i="28"/>
  <c r="L630" i="28"/>
  <c r="L631" i="28"/>
  <c r="L632" i="28"/>
  <c r="L633" i="28"/>
  <c r="L634" i="28"/>
  <c r="L635" i="28"/>
  <c r="L636" i="28"/>
  <c r="L637" i="28"/>
  <c r="L638" i="28"/>
  <c r="L639" i="28"/>
  <c r="L640" i="28"/>
  <c r="L641" i="28"/>
  <c r="L642" i="28"/>
  <c r="L643" i="28"/>
  <c r="L644" i="28"/>
  <c r="L645" i="28"/>
  <c r="L646" i="28"/>
  <c r="L647" i="28"/>
  <c r="L648" i="28"/>
  <c r="L649" i="28"/>
  <c r="L650" i="28"/>
  <c r="L651" i="28"/>
  <c r="L652" i="28"/>
  <c r="L653" i="28"/>
  <c r="L654" i="28"/>
  <c r="L655" i="28"/>
  <c r="L656" i="28"/>
  <c r="L657" i="28"/>
  <c r="L658" i="28"/>
  <c r="L659" i="28"/>
  <c r="L660" i="28"/>
  <c r="L661" i="28"/>
  <c r="L662" i="28"/>
  <c r="L663" i="28"/>
  <c r="L664" i="28"/>
  <c r="L665" i="28"/>
  <c r="L666" i="28"/>
  <c r="L667" i="28"/>
  <c r="L668" i="28"/>
  <c r="L669" i="28"/>
  <c r="L670" i="28"/>
  <c r="L671" i="28"/>
  <c r="L672" i="28"/>
  <c r="L673" i="28"/>
  <c r="L674" i="28"/>
  <c r="L675" i="28"/>
  <c r="L676" i="28"/>
  <c r="L677" i="28"/>
  <c r="L678" i="28"/>
  <c r="L679" i="28"/>
  <c r="L680" i="28"/>
  <c r="L681" i="28"/>
  <c r="L682" i="28"/>
  <c r="L683" i="28"/>
  <c r="L684" i="28"/>
  <c r="L685" i="28"/>
  <c r="L686" i="28"/>
  <c r="L687" i="28"/>
  <c r="L688" i="28"/>
  <c r="L689" i="28"/>
  <c r="L690" i="28"/>
  <c r="L691" i="28"/>
  <c r="L692" i="28"/>
  <c r="L693" i="28"/>
  <c r="L694" i="28"/>
  <c r="L695" i="28"/>
  <c r="L696" i="28"/>
  <c r="L697" i="28"/>
  <c r="L698" i="28"/>
  <c r="L699" i="28"/>
  <c r="L700" i="28"/>
  <c r="L701" i="28"/>
  <c r="L702" i="28"/>
  <c r="L703" i="28"/>
  <c r="L704" i="28"/>
  <c r="L705" i="28"/>
  <c r="L706" i="28"/>
  <c r="L707" i="28"/>
  <c r="L708" i="28"/>
  <c r="L709" i="28"/>
  <c r="L710" i="28"/>
  <c r="L711" i="28"/>
  <c r="L712" i="28"/>
  <c r="L713" i="28"/>
  <c r="L714" i="28"/>
  <c r="L715" i="28"/>
  <c r="L716" i="28"/>
  <c r="L717" i="28"/>
  <c r="L718" i="28"/>
  <c r="L719" i="28"/>
  <c r="L720" i="28"/>
  <c r="L721" i="28"/>
  <c r="L722" i="28"/>
  <c r="L723" i="28"/>
  <c r="L724" i="28"/>
  <c r="L725" i="28"/>
  <c r="L726" i="28"/>
  <c r="L727" i="28"/>
  <c r="L728" i="28"/>
  <c r="L729" i="28"/>
  <c r="L730" i="28"/>
  <c r="L731" i="28"/>
  <c r="L732" i="28"/>
  <c r="L733" i="28"/>
  <c r="L734" i="28"/>
  <c r="L735" i="28"/>
  <c r="L736" i="28"/>
  <c r="L737" i="28"/>
  <c r="L738" i="28"/>
  <c r="L739" i="28"/>
  <c r="L740" i="28"/>
  <c r="L741" i="28"/>
  <c r="L742" i="28"/>
  <c r="L743" i="28"/>
  <c r="L744" i="28"/>
  <c r="L745" i="28"/>
  <c r="L746" i="28"/>
  <c r="L747" i="28"/>
  <c r="L748" i="28"/>
  <c r="L749" i="28"/>
  <c r="L750" i="28"/>
  <c r="L751" i="28"/>
  <c r="L752" i="28"/>
  <c r="L753" i="28"/>
  <c r="L754" i="28"/>
  <c r="L755" i="28"/>
  <c r="L756" i="28"/>
  <c r="L757" i="28"/>
  <c r="L758" i="28"/>
  <c r="L759" i="28"/>
  <c r="L760" i="28"/>
  <c r="L761" i="28"/>
  <c r="L762" i="28"/>
  <c r="L763" i="28"/>
  <c r="L764" i="28"/>
  <c r="L765" i="28"/>
  <c r="L766" i="28"/>
  <c r="L767" i="28"/>
  <c r="L768" i="28"/>
  <c r="L769" i="28"/>
  <c r="L770" i="28"/>
  <c r="L771" i="28"/>
  <c r="L772" i="28"/>
  <c r="L773" i="28"/>
  <c r="L774" i="28"/>
  <c r="L775" i="28"/>
  <c r="L776" i="28"/>
  <c r="L777" i="28"/>
  <c r="L778" i="28"/>
  <c r="L779" i="28"/>
  <c r="L780" i="28"/>
  <c r="L781" i="28"/>
  <c r="L782" i="28"/>
  <c r="L783" i="28"/>
  <c r="L784" i="28"/>
  <c r="L785" i="28"/>
  <c r="L786" i="28"/>
  <c r="L787" i="28"/>
  <c r="L788" i="28"/>
  <c r="L789" i="28"/>
  <c r="L790" i="28"/>
  <c r="L791" i="28"/>
  <c r="L792" i="28"/>
  <c r="L793" i="28"/>
  <c r="L794" i="28"/>
  <c r="L795" i="28"/>
  <c r="L796" i="28"/>
  <c r="L797" i="28"/>
  <c r="L798" i="28"/>
  <c r="L799" i="28"/>
  <c r="L800" i="28"/>
  <c r="L801" i="28"/>
  <c r="L802" i="28"/>
  <c r="L803" i="28"/>
  <c r="L804" i="28"/>
  <c r="L805" i="28"/>
  <c r="L806" i="28"/>
  <c r="L807" i="28"/>
  <c r="L808" i="28"/>
  <c r="L809" i="28"/>
  <c r="L810" i="28"/>
  <c r="L811" i="28"/>
  <c r="L812" i="28"/>
  <c r="L813" i="28"/>
  <c r="L814" i="28"/>
  <c r="L815" i="28"/>
  <c r="L816" i="28"/>
  <c r="L817" i="28"/>
  <c r="L818" i="28"/>
  <c r="L819" i="28"/>
  <c r="L820" i="28"/>
  <c r="L821" i="28"/>
  <c r="L822" i="28"/>
  <c r="L823" i="28"/>
  <c r="L824" i="28"/>
  <c r="L825" i="28"/>
  <c r="L826" i="28"/>
  <c r="L827" i="28"/>
  <c r="L828" i="28"/>
  <c r="L829" i="28"/>
  <c r="L830" i="28"/>
  <c r="L831" i="28"/>
  <c r="L832" i="28"/>
  <c r="L833" i="28"/>
  <c r="L834" i="28"/>
  <c r="L835" i="28"/>
  <c r="L836" i="28"/>
  <c r="L837" i="28"/>
  <c r="L838" i="28"/>
  <c r="L839" i="28"/>
  <c r="L840" i="28"/>
  <c r="L841" i="28"/>
  <c r="L842" i="28"/>
  <c r="L843" i="28"/>
  <c r="L844" i="28"/>
  <c r="L845" i="28"/>
  <c r="L846" i="28"/>
  <c r="L847" i="28"/>
  <c r="L848" i="28"/>
  <c r="L849" i="28"/>
  <c r="L850" i="28"/>
  <c r="L851" i="28"/>
  <c r="L852" i="28"/>
  <c r="L853" i="28"/>
  <c r="L854" i="28"/>
  <c r="L855" i="28"/>
  <c r="L856" i="28"/>
  <c r="L857" i="28"/>
  <c r="L858" i="28"/>
  <c r="L859" i="28"/>
  <c r="L860" i="28"/>
  <c r="L861" i="28"/>
  <c r="L862" i="28"/>
  <c r="L863" i="28"/>
  <c r="L864" i="28"/>
  <c r="L865" i="28"/>
  <c r="L866" i="28"/>
  <c r="L867" i="28"/>
  <c r="L868" i="28"/>
  <c r="L869" i="28"/>
  <c r="L870" i="28"/>
  <c r="L871" i="28"/>
  <c r="L872" i="28"/>
  <c r="L873" i="28"/>
  <c r="L874" i="28"/>
  <c r="L875" i="28"/>
  <c r="L876" i="28"/>
  <c r="L877" i="28"/>
  <c r="L878" i="28"/>
  <c r="L879" i="28"/>
  <c r="L880" i="28"/>
  <c r="L881" i="28"/>
  <c r="L882" i="28"/>
  <c r="L883" i="28"/>
  <c r="L884" i="28"/>
  <c r="L885" i="28"/>
  <c r="L886" i="28"/>
  <c r="L887" i="28"/>
  <c r="L888" i="28"/>
  <c r="L889" i="28"/>
  <c r="L890" i="28"/>
  <c r="L891" i="28"/>
  <c r="L892" i="28"/>
  <c r="L893" i="28"/>
  <c r="L894" i="28"/>
  <c r="L895" i="28"/>
  <c r="L896" i="28"/>
  <c r="L897" i="28"/>
  <c r="L898" i="28"/>
  <c r="L899" i="28"/>
  <c r="L900" i="28"/>
  <c r="L901" i="28"/>
  <c r="L902" i="28"/>
  <c r="L903" i="28"/>
  <c r="L904" i="28"/>
  <c r="L905" i="28"/>
  <c r="L906" i="28"/>
  <c r="L7" i="28"/>
  <c r="C6" i="28"/>
  <c r="D6" i="28"/>
  <c r="E6" i="28"/>
  <c r="F6" i="28"/>
  <c r="G6" i="28"/>
  <c r="H6" i="28"/>
  <c r="I6" i="28"/>
  <c r="J6" i="28"/>
  <c r="K6" i="28"/>
  <c r="M6" i="28"/>
  <c r="N6" i="28"/>
  <c r="O6" i="28"/>
  <c r="P6" i="28"/>
  <c r="Q6" i="28"/>
  <c r="R6" i="28"/>
  <c r="S6" i="28"/>
  <c r="T6" i="28"/>
  <c r="U6" i="28"/>
  <c r="V6" i="28"/>
  <c r="W6" i="28"/>
  <c r="X6" i="28"/>
  <c r="Y6" i="28"/>
  <c r="Z6" i="28"/>
  <c r="AA6" i="28"/>
  <c r="AB6" i="28"/>
  <c r="AC6" i="28"/>
  <c r="AD6" i="28"/>
  <c r="AE6" i="28"/>
  <c r="AF6" i="28"/>
  <c r="AG6" i="28"/>
  <c r="AH6" i="28"/>
  <c r="AI6" i="28"/>
  <c r="AJ6" i="28"/>
  <c r="AK6" i="28"/>
  <c r="AL6" i="28"/>
  <c r="AM6" i="28"/>
  <c r="A6" i="28"/>
  <c r="B7" i="28"/>
  <c r="D7" i="28"/>
  <c r="E7" i="28"/>
  <c r="F7" i="28"/>
  <c r="G7" i="28"/>
  <c r="I7" i="28"/>
  <c r="M7" i="28"/>
  <c r="N7" i="28"/>
  <c r="O7" i="28"/>
  <c r="U7" i="28"/>
  <c r="W7" i="28"/>
  <c r="X7" i="28"/>
  <c r="Z7" i="28"/>
  <c r="AF7" i="28"/>
  <c r="AG7" i="28"/>
  <c r="AI7" i="28"/>
  <c r="B8" i="28"/>
  <c r="D8" i="28"/>
  <c r="E8" i="28"/>
  <c r="F8" i="28"/>
  <c r="G8" i="28"/>
  <c r="I8" i="28"/>
  <c r="M8" i="28"/>
  <c r="N8" i="28"/>
  <c r="O8" i="28"/>
  <c r="U8" i="28"/>
  <c r="W8" i="28"/>
  <c r="X8" i="28"/>
  <c r="Z8" i="28"/>
  <c r="AF8" i="28"/>
  <c r="AG8" i="28"/>
  <c r="AI8" i="28"/>
  <c r="B9" i="28"/>
  <c r="D9" i="28"/>
  <c r="E9" i="28"/>
  <c r="F9" i="28"/>
  <c r="G9" i="28"/>
  <c r="I9" i="28"/>
  <c r="M9" i="28"/>
  <c r="N9" i="28"/>
  <c r="O9" i="28"/>
  <c r="U9" i="28"/>
  <c r="W9" i="28"/>
  <c r="X9" i="28"/>
  <c r="Z9" i="28"/>
  <c r="AF9" i="28"/>
  <c r="AG9" i="28"/>
  <c r="AI9" i="28"/>
  <c r="B10" i="28"/>
  <c r="D10" i="28"/>
  <c r="E10" i="28"/>
  <c r="F10" i="28"/>
  <c r="G10" i="28"/>
  <c r="I10" i="28"/>
  <c r="M10" i="28"/>
  <c r="N10" i="28"/>
  <c r="O10" i="28"/>
  <c r="U10" i="28"/>
  <c r="W10" i="28"/>
  <c r="X10" i="28"/>
  <c r="Z10" i="28"/>
  <c r="AF10" i="28"/>
  <c r="AG10" i="28"/>
  <c r="AI10" i="28"/>
  <c r="B11" i="28"/>
  <c r="D11" i="28"/>
  <c r="E11" i="28"/>
  <c r="F11" i="28"/>
  <c r="G11" i="28"/>
  <c r="I11" i="28"/>
  <c r="M11" i="28"/>
  <c r="N11" i="28"/>
  <c r="O11" i="28"/>
  <c r="U11" i="28"/>
  <c r="W11" i="28"/>
  <c r="X11" i="28"/>
  <c r="Z11" i="28"/>
  <c r="AF11" i="28"/>
  <c r="AG11" i="28"/>
  <c r="AI11" i="28"/>
  <c r="B12" i="28"/>
  <c r="D12" i="28"/>
  <c r="E12" i="28"/>
  <c r="F12" i="28"/>
  <c r="G12" i="28"/>
  <c r="I12" i="28"/>
  <c r="M12" i="28"/>
  <c r="N12" i="28"/>
  <c r="O12" i="28"/>
  <c r="U12" i="28"/>
  <c r="W12" i="28"/>
  <c r="X12" i="28"/>
  <c r="Z12" i="28"/>
  <c r="AF12" i="28"/>
  <c r="AG12" i="28"/>
  <c r="AI12" i="28"/>
  <c r="B13" i="28"/>
  <c r="D13" i="28"/>
  <c r="E13" i="28"/>
  <c r="F13" i="28"/>
  <c r="G13" i="28"/>
  <c r="I13" i="28"/>
  <c r="M13" i="28"/>
  <c r="N13" i="28"/>
  <c r="O13" i="28"/>
  <c r="U13" i="28"/>
  <c r="W13" i="28"/>
  <c r="X13" i="28"/>
  <c r="Z13" i="28"/>
  <c r="AF13" i="28"/>
  <c r="AG13" i="28"/>
  <c r="AI13" i="28"/>
  <c r="B14" i="28"/>
  <c r="D14" i="28"/>
  <c r="E14" i="28"/>
  <c r="F14" i="28"/>
  <c r="G14" i="28"/>
  <c r="I14" i="28"/>
  <c r="M14" i="28"/>
  <c r="N14" i="28"/>
  <c r="O14" i="28"/>
  <c r="U14" i="28"/>
  <c r="W14" i="28"/>
  <c r="X14" i="28"/>
  <c r="Z14" i="28"/>
  <c r="AF14" i="28"/>
  <c r="AG14" i="28"/>
  <c r="AI14" i="28"/>
  <c r="B15" i="28"/>
  <c r="D15" i="28"/>
  <c r="E15" i="28"/>
  <c r="F15" i="28"/>
  <c r="G15" i="28"/>
  <c r="I15" i="28"/>
  <c r="M15" i="28"/>
  <c r="N15" i="28"/>
  <c r="O15" i="28"/>
  <c r="U15" i="28"/>
  <c r="W15" i="28"/>
  <c r="X15" i="28"/>
  <c r="Z15" i="28"/>
  <c r="AF15" i="28"/>
  <c r="AG15" i="28"/>
  <c r="AI15" i="28"/>
  <c r="B16" i="28"/>
  <c r="D16" i="28"/>
  <c r="E16" i="28"/>
  <c r="F16" i="28"/>
  <c r="G16" i="28"/>
  <c r="I16" i="28"/>
  <c r="M16" i="28"/>
  <c r="N16" i="28"/>
  <c r="O16" i="28"/>
  <c r="U16" i="28"/>
  <c r="W16" i="28"/>
  <c r="X16" i="28"/>
  <c r="Z16" i="28"/>
  <c r="AF16" i="28"/>
  <c r="AG16" i="28"/>
  <c r="AI16" i="28"/>
  <c r="B17" i="28"/>
  <c r="D17" i="28"/>
  <c r="E17" i="28"/>
  <c r="F17" i="28"/>
  <c r="G17" i="28"/>
  <c r="I17" i="28"/>
  <c r="M17" i="28"/>
  <c r="N17" i="28"/>
  <c r="O17" i="28"/>
  <c r="U17" i="28"/>
  <c r="W17" i="28"/>
  <c r="X17" i="28"/>
  <c r="Z17" i="28"/>
  <c r="AF17" i="28"/>
  <c r="AG17" i="28"/>
  <c r="AI17" i="28"/>
  <c r="B18" i="28"/>
  <c r="D18" i="28"/>
  <c r="E18" i="28"/>
  <c r="F18" i="28"/>
  <c r="G18" i="28"/>
  <c r="I18" i="28"/>
  <c r="M18" i="28"/>
  <c r="N18" i="28"/>
  <c r="O18" i="28"/>
  <c r="U18" i="28"/>
  <c r="W18" i="28"/>
  <c r="X18" i="28"/>
  <c r="Z18" i="28"/>
  <c r="AF18" i="28"/>
  <c r="AG18" i="28"/>
  <c r="AI18" i="28"/>
  <c r="B19" i="28"/>
  <c r="D19" i="28"/>
  <c r="E19" i="28"/>
  <c r="F19" i="28"/>
  <c r="G19" i="28"/>
  <c r="I19" i="28"/>
  <c r="M19" i="28"/>
  <c r="N19" i="28"/>
  <c r="O19" i="28"/>
  <c r="U19" i="28"/>
  <c r="W19" i="28"/>
  <c r="X19" i="28"/>
  <c r="Z19" i="28"/>
  <c r="AF19" i="28"/>
  <c r="AG19" i="28"/>
  <c r="AI19" i="28"/>
  <c r="B20" i="28"/>
  <c r="D20" i="28"/>
  <c r="E20" i="28"/>
  <c r="F20" i="28"/>
  <c r="G20" i="28"/>
  <c r="I20" i="28"/>
  <c r="M20" i="28"/>
  <c r="N20" i="28"/>
  <c r="O20" i="28"/>
  <c r="U20" i="28"/>
  <c r="W20" i="28"/>
  <c r="X20" i="28"/>
  <c r="Z20" i="28"/>
  <c r="AF20" i="28"/>
  <c r="AG20" i="28"/>
  <c r="AI20" i="28"/>
  <c r="B21" i="28"/>
  <c r="D21" i="28"/>
  <c r="E21" i="28"/>
  <c r="F21" i="28"/>
  <c r="G21" i="28"/>
  <c r="I21" i="28"/>
  <c r="M21" i="28"/>
  <c r="N21" i="28"/>
  <c r="O21" i="28"/>
  <c r="U21" i="28"/>
  <c r="W21" i="28"/>
  <c r="X21" i="28"/>
  <c r="Z21" i="28"/>
  <c r="AF21" i="28"/>
  <c r="AG21" i="28"/>
  <c r="AI21" i="28"/>
  <c r="E22" i="28"/>
  <c r="F22" i="28"/>
  <c r="G22" i="28"/>
  <c r="I22" i="28"/>
  <c r="M22" i="28"/>
  <c r="N22" i="28"/>
  <c r="O22" i="28"/>
  <c r="U22" i="28"/>
  <c r="W22" i="28"/>
  <c r="X22" i="28"/>
  <c r="Z22" i="28"/>
  <c r="AF22" i="28"/>
  <c r="AG22" i="28"/>
  <c r="AI22" i="28"/>
  <c r="E23" i="28"/>
  <c r="F23" i="28"/>
  <c r="G23" i="28"/>
  <c r="I23" i="28"/>
  <c r="M23" i="28"/>
  <c r="N23" i="28"/>
  <c r="O23" i="28"/>
  <c r="U23" i="28"/>
  <c r="W23" i="28"/>
  <c r="X23" i="28"/>
  <c r="Z23" i="28"/>
  <c r="AF23" i="28"/>
  <c r="AG23" i="28"/>
  <c r="AI23" i="28"/>
  <c r="E24" i="28"/>
  <c r="F24" i="28"/>
  <c r="G24" i="28"/>
  <c r="I24" i="28"/>
  <c r="M24" i="28"/>
  <c r="N24" i="28"/>
  <c r="O24" i="28"/>
  <c r="U24" i="28"/>
  <c r="W24" i="28"/>
  <c r="X24" i="28"/>
  <c r="Z24" i="28"/>
  <c r="AF24" i="28"/>
  <c r="AG24" i="28"/>
  <c r="AI24" i="28"/>
  <c r="E25" i="28"/>
  <c r="F25" i="28"/>
  <c r="G25" i="28"/>
  <c r="I25" i="28"/>
  <c r="M25" i="28"/>
  <c r="N25" i="28"/>
  <c r="O25" i="28"/>
  <c r="U25" i="28"/>
  <c r="W25" i="28"/>
  <c r="X25" i="28"/>
  <c r="Z25" i="28"/>
  <c r="AF25" i="28"/>
  <c r="AG25" i="28"/>
  <c r="AI25" i="28"/>
  <c r="E26" i="28"/>
  <c r="F26" i="28"/>
  <c r="G26" i="28"/>
  <c r="I26" i="28"/>
  <c r="M26" i="28"/>
  <c r="N26" i="28"/>
  <c r="O26" i="28"/>
  <c r="U26" i="28"/>
  <c r="W26" i="28"/>
  <c r="X26" i="28"/>
  <c r="Z26" i="28"/>
  <c r="AF26" i="28"/>
  <c r="AG26" i="28"/>
  <c r="AI26" i="28"/>
  <c r="E27" i="28"/>
  <c r="F27" i="28"/>
  <c r="G27" i="28"/>
  <c r="I27" i="28"/>
  <c r="M27" i="28"/>
  <c r="N27" i="28"/>
  <c r="O27" i="28"/>
  <c r="U27" i="28"/>
  <c r="W27" i="28"/>
  <c r="X27" i="28"/>
  <c r="Z27" i="28"/>
  <c r="AF27" i="28"/>
  <c r="AG27" i="28"/>
  <c r="AI27" i="28"/>
  <c r="E28" i="28"/>
  <c r="F28" i="28"/>
  <c r="G28" i="28"/>
  <c r="I28" i="28"/>
  <c r="M28" i="28"/>
  <c r="N28" i="28"/>
  <c r="O28" i="28"/>
  <c r="U28" i="28"/>
  <c r="W28" i="28"/>
  <c r="X28" i="28"/>
  <c r="Z28" i="28"/>
  <c r="AF28" i="28"/>
  <c r="AG28" i="28"/>
  <c r="AI28" i="28"/>
  <c r="E29" i="28"/>
  <c r="F29" i="28"/>
  <c r="G29" i="28"/>
  <c r="I29" i="28"/>
  <c r="M29" i="28"/>
  <c r="N29" i="28"/>
  <c r="O29" i="28"/>
  <c r="U29" i="28"/>
  <c r="W29" i="28"/>
  <c r="X29" i="28"/>
  <c r="Z29" i="28"/>
  <c r="AF29" i="28"/>
  <c r="AG29" i="28"/>
  <c r="AI29" i="28"/>
  <c r="E30" i="28"/>
  <c r="F30" i="28"/>
  <c r="G30" i="28"/>
  <c r="I30" i="28"/>
  <c r="M30" i="28"/>
  <c r="N30" i="28"/>
  <c r="O30" i="28"/>
  <c r="U30" i="28"/>
  <c r="W30" i="28"/>
  <c r="X30" i="28"/>
  <c r="Z30" i="28"/>
  <c r="AF30" i="28"/>
  <c r="AG30" i="28"/>
  <c r="AI30" i="28"/>
  <c r="E31" i="28"/>
  <c r="F31" i="28"/>
  <c r="G31" i="28"/>
  <c r="I31" i="28"/>
  <c r="M31" i="28"/>
  <c r="N31" i="28"/>
  <c r="O31" i="28"/>
  <c r="U31" i="28"/>
  <c r="W31" i="28"/>
  <c r="X31" i="28"/>
  <c r="Z31" i="28"/>
  <c r="AF31" i="28"/>
  <c r="AG31" i="28"/>
  <c r="AI31" i="28"/>
  <c r="E32" i="28"/>
  <c r="F32" i="28"/>
  <c r="G32" i="28"/>
  <c r="I32" i="28"/>
  <c r="M32" i="28"/>
  <c r="N32" i="28"/>
  <c r="O32" i="28"/>
  <c r="U32" i="28"/>
  <c r="W32" i="28"/>
  <c r="X32" i="28"/>
  <c r="Z32" i="28"/>
  <c r="AF32" i="28"/>
  <c r="AG32" i="28"/>
  <c r="AI32" i="28"/>
  <c r="E33" i="28"/>
  <c r="F33" i="28"/>
  <c r="G33" i="28"/>
  <c r="I33" i="28"/>
  <c r="M33" i="28"/>
  <c r="N33" i="28"/>
  <c r="O33" i="28"/>
  <c r="U33" i="28"/>
  <c r="W33" i="28"/>
  <c r="X33" i="28"/>
  <c r="Z33" i="28"/>
  <c r="AF33" i="28"/>
  <c r="AG33" i="28"/>
  <c r="AI33" i="28"/>
  <c r="E34" i="28"/>
  <c r="F34" i="28"/>
  <c r="G34" i="28"/>
  <c r="I34" i="28"/>
  <c r="M34" i="28"/>
  <c r="N34" i="28"/>
  <c r="O34" i="28"/>
  <c r="U34" i="28"/>
  <c r="W34" i="28"/>
  <c r="X34" i="28"/>
  <c r="Z34" i="28"/>
  <c r="AF34" i="28"/>
  <c r="AG34" i="28"/>
  <c r="AI34" i="28"/>
  <c r="E35" i="28"/>
  <c r="F35" i="28"/>
  <c r="G35" i="28"/>
  <c r="I35" i="28"/>
  <c r="M35" i="28"/>
  <c r="N35" i="28"/>
  <c r="O35" i="28"/>
  <c r="U35" i="28"/>
  <c r="W35" i="28"/>
  <c r="X35" i="28"/>
  <c r="Z35" i="28"/>
  <c r="AF35" i="28"/>
  <c r="AG35" i="28"/>
  <c r="AI35" i="28"/>
  <c r="E36" i="28"/>
  <c r="F36" i="28"/>
  <c r="G36" i="28"/>
  <c r="I36" i="28"/>
  <c r="M36" i="28"/>
  <c r="N36" i="28"/>
  <c r="O36" i="28"/>
  <c r="U36" i="28"/>
  <c r="W36" i="28"/>
  <c r="X36" i="28"/>
  <c r="Z36" i="28"/>
  <c r="AF36" i="28"/>
  <c r="AG36" i="28"/>
  <c r="AI36" i="28"/>
  <c r="E37" i="28"/>
  <c r="F37" i="28"/>
  <c r="G37" i="28"/>
  <c r="I37" i="28"/>
  <c r="M37" i="28"/>
  <c r="N37" i="28"/>
  <c r="O37" i="28"/>
  <c r="W37" i="28"/>
  <c r="X37" i="28"/>
  <c r="Z37" i="28"/>
  <c r="AF37" i="28"/>
  <c r="AG37" i="28"/>
  <c r="AI37" i="28"/>
  <c r="E38" i="28"/>
  <c r="F38" i="28"/>
  <c r="G38" i="28"/>
  <c r="I38" i="28"/>
  <c r="M38" i="28"/>
  <c r="N38" i="28"/>
  <c r="O38" i="28"/>
  <c r="W38" i="28"/>
  <c r="X38" i="28"/>
  <c r="Z38" i="28"/>
  <c r="AF38" i="28"/>
  <c r="AG38" i="28"/>
  <c r="AI38" i="28"/>
  <c r="E39" i="28"/>
  <c r="F39" i="28"/>
  <c r="G39" i="28"/>
  <c r="I39" i="28"/>
  <c r="M39" i="28"/>
  <c r="N39" i="28"/>
  <c r="O39" i="28"/>
  <c r="W39" i="28"/>
  <c r="X39" i="28"/>
  <c r="Z39" i="28"/>
  <c r="AF39" i="28"/>
  <c r="AG39" i="28"/>
  <c r="AI39" i="28"/>
  <c r="E40" i="28"/>
  <c r="F40" i="28"/>
  <c r="G40" i="28"/>
  <c r="I40" i="28"/>
  <c r="M40" i="28"/>
  <c r="N40" i="28"/>
  <c r="O40" i="28"/>
  <c r="W40" i="28"/>
  <c r="X40" i="28"/>
  <c r="Z40" i="28"/>
  <c r="AF40" i="28"/>
  <c r="AG40" i="28"/>
  <c r="AI40" i="28"/>
  <c r="E41" i="28"/>
  <c r="F41" i="28"/>
  <c r="G41" i="28"/>
  <c r="I41" i="28"/>
  <c r="M41" i="28"/>
  <c r="N41" i="28"/>
  <c r="O41" i="28"/>
  <c r="W41" i="28"/>
  <c r="X41" i="28"/>
  <c r="Z41" i="28"/>
  <c r="AF41" i="28"/>
  <c r="AG41" i="28"/>
  <c r="AI41" i="28"/>
  <c r="E42" i="28"/>
  <c r="F42" i="28"/>
  <c r="G42" i="28"/>
  <c r="I42" i="28"/>
  <c r="M42" i="28"/>
  <c r="N42" i="28"/>
  <c r="O42" i="28"/>
  <c r="W42" i="28"/>
  <c r="X42" i="28"/>
  <c r="Z42" i="28"/>
  <c r="AF42" i="28"/>
  <c r="AG42" i="28"/>
  <c r="AI42" i="28"/>
  <c r="E43" i="28"/>
  <c r="F43" i="28"/>
  <c r="G43" i="28"/>
  <c r="I43" i="28"/>
  <c r="M43" i="28"/>
  <c r="N43" i="28"/>
  <c r="O43" i="28"/>
  <c r="W43" i="28"/>
  <c r="X43" i="28"/>
  <c r="Z43" i="28"/>
  <c r="AF43" i="28"/>
  <c r="AG43" i="28"/>
  <c r="AI43" i="28"/>
  <c r="E44" i="28"/>
  <c r="F44" i="28"/>
  <c r="G44" i="28"/>
  <c r="I44" i="28"/>
  <c r="M44" i="28"/>
  <c r="N44" i="28"/>
  <c r="O44" i="28"/>
  <c r="W44" i="28"/>
  <c r="X44" i="28"/>
  <c r="Z44" i="28"/>
  <c r="AF44" i="28"/>
  <c r="AG44" i="28"/>
  <c r="AI44" i="28"/>
  <c r="E45" i="28"/>
  <c r="F45" i="28"/>
  <c r="G45" i="28"/>
  <c r="I45" i="28"/>
  <c r="M45" i="28"/>
  <c r="N45" i="28"/>
  <c r="O45" i="28"/>
  <c r="W45" i="28"/>
  <c r="X45" i="28"/>
  <c r="Z45" i="28"/>
  <c r="AF45" i="28"/>
  <c r="AG45" i="28"/>
  <c r="AI45" i="28"/>
  <c r="E46" i="28"/>
  <c r="F46" i="28"/>
  <c r="G46" i="28"/>
  <c r="I46" i="28"/>
  <c r="M46" i="28"/>
  <c r="N46" i="28"/>
  <c r="O46" i="28"/>
  <c r="W46" i="28"/>
  <c r="X46" i="28"/>
  <c r="Z46" i="28"/>
  <c r="AF46" i="28"/>
  <c r="AG46" i="28"/>
  <c r="AI46" i="28"/>
  <c r="E47" i="28"/>
  <c r="F47" i="28"/>
  <c r="G47" i="28"/>
  <c r="I47" i="28"/>
  <c r="M47" i="28"/>
  <c r="N47" i="28"/>
  <c r="O47" i="28"/>
  <c r="W47" i="28"/>
  <c r="X47" i="28"/>
  <c r="Z47" i="28"/>
  <c r="AF47" i="28"/>
  <c r="AG47" i="28"/>
  <c r="AI47" i="28"/>
  <c r="E48" i="28"/>
  <c r="F48" i="28"/>
  <c r="G48" i="28"/>
  <c r="I48" i="28"/>
  <c r="M48" i="28"/>
  <c r="N48" i="28"/>
  <c r="O48" i="28"/>
  <c r="W48" i="28"/>
  <c r="X48" i="28"/>
  <c r="Z48" i="28"/>
  <c r="AF48" i="28"/>
  <c r="AG48" i="28"/>
  <c r="AI48" i="28"/>
  <c r="E49" i="28"/>
  <c r="F49" i="28"/>
  <c r="G49" i="28"/>
  <c r="I49" i="28"/>
  <c r="M49" i="28"/>
  <c r="N49" i="28"/>
  <c r="O49" i="28"/>
  <c r="W49" i="28"/>
  <c r="X49" i="28"/>
  <c r="Z49" i="28"/>
  <c r="AF49" i="28"/>
  <c r="AG49" i="28"/>
  <c r="AI49" i="28"/>
  <c r="E50" i="28"/>
  <c r="F50" i="28"/>
  <c r="G50" i="28"/>
  <c r="I50" i="28"/>
  <c r="M50" i="28"/>
  <c r="N50" i="28"/>
  <c r="O50" i="28"/>
  <c r="W50" i="28"/>
  <c r="X50" i="28"/>
  <c r="Z50" i="28"/>
  <c r="AF50" i="28"/>
  <c r="AG50" i="28"/>
  <c r="AI50" i="28"/>
  <c r="E51" i="28"/>
  <c r="F51" i="28"/>
  <c r="G51" i="28"/>
  <c r="I51" i="28"/>
  <c r="M51" i="28"/>
  <c r="N51" i="28"/>
  <c r="O51" i="28"/>
  <c r="W51" i="28"/>
  <c r="X51" i="28"/>
  <c r="Z51" i="28"/>
  <c r="AF51" i="28"/>
  <c r="AG51" i="28"/>
  <c r="AI51" i="28"/>
  <c r="E52" i="28"/>
  <c r="F52" i="28"/>
  <c r="G52" i="28"/>
  <c r="I52" i="28"/>
  <c r="M52" i="28"/>
  <c r="N52" i="28"/>
  <c r="O52" i="28"/>
  <c r="W52" i="28"/>
  <c r="X52" i="28"/>
  <c r="Z52" i="28"/>
  <c r="AF52" i="28"/>
  <c r="AG52" i="28"/>
  <c r="AI52" i="28"/>
  <c r="E53" i="28"/>
  <c r="F53" i="28"/>
  <c r="G53" i="28"/>
  <c r="I53" i="28"/>
  <c r="M53" i="28"/>
  <c r="N53" i="28"/>
  <c r="O53" i="28"/>
  <c r="W53" i="28"/>
  <c r="X53" i="28"/>
  <c r="Z53" i="28"/>
  <c r="AF53" i="28"/>
  <c r="AG53" i="28"/>
  <c r="AI53" i="28"/>
  <c r="E54" i="28"/>
  <c r="F54" i="28"/>
  <c r="G54" i="28"/>
  <c r="I54" i="28"/>
  <c r="M54" i="28"/>
  <c r="N54" i="28"/>
  <c r="O54" i="28"/>
  <c r="W54" i="28"/>
  <c r="X54" i="28"/>
  <c r="Z54" i="28"/>
  <c r="AF54" i="28"/>
  <c r="AG54" i="28"/>
  <c r="AI54" i="28"/>
  <c r="E55" i="28"/>
  <c r="F55" i="28"/>
  <c r="G55" i="28"/>
  <c r="I55" i="28"/>
  <c r="M55" i="28"/>
  <c r="N55" i="28"/>
  <c r="O55" i="28"/>
  <c r="W55" i="28"/>
  <c r="X55" i="28"/>
  <c r="Z55" i="28"/>
  <c r="AF55" i="28"/>
  <c r="AG55" i="28"/>
  <c r="AI55" i="28"/>
  <c r="E56" i="28"/>
  <c r="F56" i="28"/>
  <c r="G56" i="28"/>
  <c r="I56" i="28"/>
  <c r="M56" i="28"/>
  <c r="N56" i="28"/>
  <c r="O56" i="28"/>
  <c r="W56" i="28"/>
  <c r="X56" i="28"/>
  <c r="Z56" i="28"/>
  <c r="AF56" i="28"/>
  <c r="AG56" i="28"/>
  <c r="AI56" i="28"/>
  <c r="E57" i="28"/>
  <c r="F57" i="28"/>
  <c r="G57" i="28"/>
  <c r="I57" i="28"/>
  <c r="M57" i="28"/>
  <c r="N57" i="28"/>
  <c r="O57" i="28"/>
  <c r="W57" i="28"/>
  <c r="X57" i="28"/>
  <c r="Z57" i="28"/>
  <c r="AF57" i="28"/>
  <c r="AG57" i="28"/>
  <c r="AI57" i="28"/>
  <c r="E58" i="28"/>
  <c r="F58" i="28"/>
  <c r="G58" i="28"/>
  <c r="I58" i="28"/>
  <c r="M58" i="28"/>
  <c r="N58" i="28"/>
  <c r="O58" i="28"/>
  <c r="W58" i="28"/>
  <c r="X58" i="28"/>
  <c r="Z58" i="28"/>
  <c r="AF58" i="28"/>
  <c r="AG58" i="28"/>
  <c r="AI58" i="28"/>
  <c r="E59" i="28"/>
  <c r="F59" i="28"/>
  <c r="G59" i="28"/>
  <c r="I59" i="28"/>
  <c r="M59" i="28"/>
  <c r="N59" i="28"/>
  <c r="O59" i="28"/>
  <c r="W59" i="28"/>
  <c r="X59" i="28"/>
  <c r="Z59" i="28"/>
  <c r="AF59" i="28"/>
  <c r="AG59" i="28"/>
  <c r="AI59" i="28"/>
  <c r="E60" i="28"/>
  <c r="F60" i="28"/>
  <c r="G60" i="28"/>
  <c r="I60" i="28"/>
  <c r="M60" i="28"/>
  <c r="N60" i="28"/>
  <c r="O60" i="28"/>
  <c r="W60" i="28"/>
  <c r="X60" i="28"/>
  <c r="Z60" i="28"/>
  <c r="AF60" i="28"/>
  <c r="AG60" i="28"/>
  <c r="AI60" i="28"/>
  <c r="E61" i="28"/>
  <c r="F61" i="28"/>
  <c r="G61" i="28"/>
  <c r="I61" i="28"/>
  <c r="M61" i="28"/>
  <c r="N61" i="28"/>
  <c r="O61" i="28"/>
  <c r="W61" i="28"/>
  <c r="X61" i="28"/>
  <c r="Z61" i="28"/>
  <c r="AF61" i="28"/>
  <c r="AG61" i="28"/>
  <c r="AI61" i="28"/>
  <c r="E62" i="28"/>
  <c r="F62" i="28"/>
  <c r="G62" i="28"/>
  <c r="I62" i="28"/>
  <c r="M62" i="28"/>
  <c r="N62" i="28"/>
  <c r="O62" i="28"/>
  <c r="W62" i="28"/>
  <c r="X62" i="28"/>
  <c r="Z62" i="28"/>
  <c r="AF62" i="28"/>
  <c r="AG62" i="28"/>
  <c r="AI62" i="28"/>
  <c r="E63" i="28"/>
  <c r="F63" i="28"/>
  <c r="G63" i="28"/>
  <c r="I63" i="28"/>
  <c r="M63" i="28"/>
  <c r="N63" i="28"/>
  <c r="O63" i="28"/>
  <c r="W63" i="28"/>
  <c r="X63" i="28"/>
  <c r="Z63" i="28"/>
  <c r="AF63" i="28"/>
  <c r="AG63" i="28"/>
  <c r="AI63" i="28"/>
  <c r="E64" i="28"/>
  <c r="F64" i="28"/>
  <c r="G64" i="28"/>
  <c r="I64" i="28"/>
  <c r="M64" i="28"/>
  <c r="N64" i="28"/>
  <c r="O64" i="28"/>
  <c r="W64" i="28"/>
  <c r="X64" i="28"/>
  <c r="Z64" i="28"/>
  <c r="AF64" i="28"/>
  <c r="AG64" i="28"/>
  <c r="AI64" i="28"/>
  <c r="E65" i="28"/>
  <c r="F65" i="28"/>
  <c r="G65" i="28"/>
  <c r="I65" i="28"/>
  <c r="M65" i="28"/>
  <c r="N65" i="28"/>
  <c r="O65" i="28"/>
  <c r="W65" i="28"/>
  <c r="X65" i="28"/>
  <c r="Z65" i="28"/>
  <c r="AF65" i="28"/>
  <c r="AG65" i="28"/>
  <c r="AI65" i="28"/>
  <c r="E66" i="28"/>
  <c r="F66" i="28"/>
  <c r="G66" i="28"/>
  <c r="I66" i="28"/>
  <c r="M66" i="28"/>
  <c r="N66" i="28"/>
  <c r="O66" i="28"/>
  <c r="W66" i="28"/>
  <c r="X66" i="28"/>
  <c r="Z66" i="28"/>
  <c r="AF66" i="28"/>
  <c r="AG66" i="28"/>
  <c r="AI66" i="28"/>
  <c r="E67" i="28"/>
  <c r="F67" i="28"/>
  <c r="G67" i="28"/>
  <c r="I67" i="28"/>
  <c r="M67" i="28"/>
  <c r="N67" i="28"/>
  <c r="O67" i="28"/>
  <c r="W67" i="28"/>
  <c r="X67" i="28"/>
  <c r="Z67" i="28"/>
  <c r="AF67" i="28"/>
  <c r="AG67" i="28"/>
  <c r="AI67" i="28"/>
  <c r="E68" i="28"/>
  <c r="F68" i="28"/>
  <c r="G68" i="28"/>
  <c r="I68" i="28"/>
  <c r="M68" i="28"/>
  <c r="N68" i="28"/>
  <c r="O68" i="28"/>
  <c r="W68" i="28"/>
  <c r="X68" i="28"/>
  <c r="Z68" i="28"/>
  <c r="AF68" i="28"/>
  <c r="AG68" i="28"/>
  <c r="AI68" i="28"/>
  <c r="E69" i="28"/>
  <c r="F69" i="28"/>
  <c r="G69" i="28"/>
  <c r="I69" i="28"/>
  <c r="M69" i="28"/>
  <c r="N69" i="28"/>
  <c r="O69" i="28"/>
  <c r="W69" i="28"/>
  <c r="X69" i="28"/>
  <c r="Z69" i="28"/>
  <c r="AF69" i="28"/>
  <c r="AG69" i="28"/>
  <c r="AI69" i="28"/>
  <c r="E70" i="28"/>
  <c r="F70" i="28"/>
  <c r="G70" i="28"/>
  <c r="I70" i="28"/>
  <c r="M70" i="28"/>
  <c r="N70" i="28"/>
  <c r="O70" i="28"/>
  <c r="W70" i="28"/>
  <c r="X70" i="28"/>
  <c r="Z70" i="28"/>
  <c r="AF70" i="28"/>
  <c r="AG70" i="28"/>
  <c r="AI70" i="28"/>
  <c r="E71" i="28"/>
  <c r="F71" i="28"/>
  <c r="G71" i="28"/>
  <c r="I71" i="28"/>
  <c r="M71" i="28"/>
  <c r="N71" i="28"/>
  <c r="O71" i="28"/>
  <c r="W71" i="28"/>
  <c r="X71" i="28"/>
  <c r="Z71" i="28"/>
  <c r="AF71" i="28"/>
  <c r="AG71" i="28"/>
  <c r="AI71" i="28"/>
  <c r="E72" i="28"/>
  <c r="F72" i="28"/>
  <c r="G72" i="28"/>
  <c r="I72" i="28"/>
  <c r="M72" i="28"/>
  <c r="N72" i="28"/>
  <c r="O72" i="28"/>
  <c r="W72" i="28"/>
  <c r="X72" i="28"/>
  <c r="Z72" i="28"/>
  <c r="AF72" i="28"/>
  <c r="AG72" i="28"/>
  <c r="AI72" i="28"/>
  <c r="E73" i="28"/>
  <c r="F73" i="28"/>
  <c r="G73" i="28"/>
  <c r="I73" i="28"/>
  <c r="M73" i="28"/>
  <c r="N73" i="28"/>
  <c r="O73" i="28"/>
  <c r="W73" i="28"/>
  <c r="X73" i="28"/>
  <c r="Z73" i="28"/>
  <c r="AF73" i="28"/>
  <c r="AG73" i="28"/>
  <c r="AI73" i="28"/>
  <c r="E74" i="28"/>
  <c r="F74" i="28"/>
  <c r="G74" i="28"/>
  <c r="I74" i="28"/>
  <c r="M74" i="28"/>
  <c r="N74" i="28"/>
  <c r="O74" i="28"/>
  <c r="W74" i="28"/>
  <c r="X74" i="28"/>
  <c r="Z74" i="28"/>
  <c r="AF74" i="28"/>
  <c r="AG74" i="28"/>
  <c r="AI74" i="28"/>
  <c r="E75" i="28"/>
  <c r="F75" i="28"/>
  <c r="G75" i="28"/>
  <c r="I75" i="28"/>
  <c r="M75" i="28"/>
  <c r="N75" i="28"/>
  <c r="O75" i="28"/>
  <c r="W75" i="28"/>
  <c r="X75" i="28"/>
  <c r="Z75" i="28"/>
  <c r="AF75" i="28"/>
  <c r="AG75" i="28"/>
  <c r="AI75" i="28"/>
  <c r="E76" i="28"/>
  <c r="F76" i="28"/>
  <c r="G76" i="28"/>
  <c r="I76" i="28"/>
  <c r="M76" i="28"/>
  <c r="N76" i="28"/>
  <c r="O76" i="28"/>
  <c r="W76" i="28"/>
  <c r="X76" i="28"/>
  <c r="Z76" i="28"/>
  <c r="AF76" i="28"/>
  <c r="AG76" i="28"/>
  <c r="AI76" i="28"/>
  <c r="E77" i="28"/>
  <c r="F77" i="28"/>
  <c r="G77" i="28"/>
  <c r="I77" i="28"/>
  <c r="M77" i="28"/>
  <c r="N77" i="28"/>
  <c r="O77" i="28"/>
  <c r="W77" i="28"/>
  <c r="X77" i="28"/>
  <c r="Z77" i="28"/>
  <c r="AF77" i="28"/>
  <c r="AG77" i="28"/>
  <c r="AI77" i="28"/>
  <c r="E78" i="28"/>
  <c r="F78" i="28"/>
  <c r="G78" i="28"/>
  <c r="I78" i="28"/>
  <c r="M78" i="28"/>
  <c r="N78" i="28"/>
  <c r="O78" i="28"/>
  <c r="W78" i="28"/>
  <c r="X78" i="28"/>
  <c r="Z78" i="28"/>
  <c r="AF78" i="28"/>
  <c r="AG78" i="28"/>
  <c r="AI78" i="28"/>
  <c r="E79" i="28"/>
  <c r="F79" i="28"/>
  <c r="G79" i="28"/>
  <c r="I79" i="28"/>
  <c r="M79" i="28"/>
  <c r="N79" i="28"/>
  <c r="O79" i="28"/>
  <c r="W79" i="28"/>
  <c r="X79" i="28"/>
  <c r="Z79" i="28"/>
  <c r="AF79" i="28"/>
  <c r="AG79" i="28"/>
  <c r="AI79" i="28"/>
  <c r="E80" i="28"/>
  <c r="F80" i="28"/>
  <c r="G80" i="28"/>
  <c r="I80" i="28"/>
  <c r="M80" i="28"/>
  <c r="N80" i="28"/>
  <c r="O80" i="28"/>
  <c r="W80" i="28"/>
  <c r="X80" i="28"/>
  <c r="Z80" i="28"/>
  <c r="AF80" i="28"/>
  <c r="AG80" i="28"/>
  <c r="AI80" i="28"/>
  <c r="E81" i="28"/>
  <c r="F81" i="28"/>
  <c r="G81" i="28"/>
  <c r="I81" i="28"/>
  <c r="M81" i="28"/>
  <c r="N81" i="28"/>
  <c r="O81" i="28"/>
  <c r="W81" i="28"/>
  <c r="X81" i="28"/>
  <c r="Z81" i="28"/>
  <c r="AF81" i="28"/>
  <c r="AG81" i="28"/>
  <c r="AI81" i="28"/>
  <c r="E82" i="28"/>
  <c r="F82" i="28"/>
  <c r="G82" i="28"/>
  <c r="I82" i="28"/>
  <c r="M82" i="28"/>
  <c r="N82" i="28"/>
  <c r="O82" i="28"/>
  <c r="W82" i="28"/>
  <c r="X82" i="28"/>
  <c r="Z82" i="28"/>
  <c r="AF82" i="28"/>
  <c r="AG82" i="28"/>
  <c r="AI82" i="28"/>
  <c r="E83" i="28"/>
  <c r="F83" i="28"/>
  <c r="G83" i="28"/>
  <c r="I83" i="28"/>
  <c r="M83" i="28"/>
  <c r="N83" i="28"/>
  <c r="O83" i="28"/>
  <c r="W83" i="28"/>
  <c r="X83" i="28"/>
  <c r="Z83" i="28"/>
  <c r="AF83" i="28"/>
  <c r="AG83" i="28"/>
  <c r="AI83" i="28"/>
  <c r="E84" i="28"/>
  <c r="F84" i="28"/>
  <c r="G84" i="28"/>
  <c r="I84" i="28"/>
  <c r="M84" i="28"/>
  <c r="N84" i="28"/>
  <c r="O84" i="28"/>
  <c r="W84" i="28"/>
  <c r="X84" i="28"/>
  <c r="Z84" i="28"/>
  <c r="AF84" i="28"/>
  <c r="AG84" i="28"/>
  <c r="AI84" i="28"/>
  <c r="E85" i="28"/>
  <c r="F85" i="28"/>
  <c r="G85" i="28"/>
  <c r="I85" i="28"/>
  <c r="M85" i="28"/>
  <c r="N85" i="28"/>
  <c r="O85" i="28"/>
  <c r="W85" i="28"/>
  <c r="X85" i="28"/>
  <c r="Z85" i="28"/>
  <c r="AF85" i="28"/>
  <c r="AG85" i="28"/>
  <c r="AI85" i="28"/>
  <c r="E86" i="28"/>
  <c r="F86" i="28"/>
  <c r="G86" i="28"/>
  <c r="I86" i="28"/>
  <c r="M86" i="28"/>
  <c r="N86" i="28"/>
  <c r="O86" i="28"/>
  <c r="W86" i="28"/>
  <c r="X86" i="28"/>
  <c r="Z86" i="28"/>
  <c r="AF86" i="28"/>
  <c r="AG86" i="28"/>
  <c r="AI86" i="28"/>
  <c r="E87" i="28"/>
  <c r="F87" i="28"/>
  <c r="G87" i="28"/>
  <c r="I87" i="28"/>
  <c r="M87" i="28"/>
  <c r="N87" i="28"/>
  <c r="O87" i="28"/>
  <c r="W87" i="28"/>
  <c r="X87" i="28"/>
  <c r="Z87" i="28"/>
  <c r="AF87" i="28"/>
  <c r="AG87" i="28"/>
  <c r="AI87" i="28"/>
  <c r="E88" i="28"/>
  <c r="F88" i="28"/>
  <c r="G88" i="28"/>
  <c r="I88" i="28"/>
  <c r="M88" i="28"/>
  <c r="N88" i="28"/>
  <c r="O88" i="28"/>
  <c r="W88" i="28"/>
  <c r="X88" i="28"/>
  <c r="Z88" i="28"/>
  <c r="AF88" i="28"/>
  <c r="AG88" i="28"/>
  <c r="AI88" i="28"/>
  <c r="E89" i="28"/>
  <c r="F89" i="28"/>
  <c r="G89" i="28"/>
  <c r="I89" i="28"/>
  <c r="M89" i="28"/>
  <c r="N89" i="28"/>
  <c r="O89" i="28"/>
  <c r="W89" i="28"/>
  <c r="X89" i="28"/>
  <c r="Z89" i="28"/>
  <c r="AF89" i="28"/>
  <c r="AG89" i="28"/>
  <c r="AI89" i="28"/>
  <c r="E90" i="28"/>
  <c r="F90" i="28"/>
  <c r="G90" i="28"/>
  <c r="I90" i="28"/>
  <c r="M90" i="28"/>
  <c r="N90" i="28"/>
  <c r="O90" i="28"/>
  <c r="W90" i="28"/>
  <c r="X90" i="28"/>
  <c r="Z90" i="28"/>
  <c r="AF90" i="28"/>
  <c r="AG90" i="28"/>
  <c r="AI90" i="28"/>
  <c r="E91" i="28"/>
  <c r="F91" i="28"/>
  <c r="G91" i="28"/>
  <c r="I91" i="28"/>
  <c r="M91" i="28"/>
  <c r="N91" i="28"/>
  <c r="O91" i="28"/>
  <c r="W91" i="28"/>
  <c r="X91" i="28"/>
  <c r="Z91" i="28"/>
  <c r="AF91" i="28"/>
  <c r="AG91" i="28"/>
  <c r="AI91" i="28"/>
  <c r="E92" i="28"/>
  <c r="F92" i="28"/>
  <c r="G92" i="28"/>
  <c r="I92" i="28"/>
  <c r="M92" i="28"/>
  <c r="N92" i="28"/>
  <c r="O92" i="28"/>
  <c r="W92" i="28"/>
  <c r="X92" i="28"/>
  <c r="Z92" i="28"/>
  <c r="AF92" i="28"/>
  <c r="AG92" i="28"/>
  <c r="AI92" i="28"/>
  <c r="E93" i="28"/>
  <c r="F93" i="28"/>
  <c r="G93" i="28"/>
  <c r="I93" i="28"/>
  <c r="M93" i="28"/>
  <c r="N93" i="28"/>
  <c r="O93" i="28"/>
  <c r="W93" i="28"/>
  <c r="X93" i="28"/>
  <c r="Z93" i="28"/>
  <c r="AF93" i="28"/>
  <c r="AG93" i="28"/>
  <c r="AI93" i="28"/>
  <c r="E94" i="28"/>
  <c r="F94" i="28"/>
  <c r="G94" i="28"/>
  <c r="I94" i="28"/>
  <c r="M94" i="28"/>
  <c r="N94" i="28"/>
  <c r="O94" i="28"/>
  <c r="W94" i="28"/>
  <c r="X94" i="28"/>
  <c r="Z94" i="28"/>
  <c r="AF94" i="28"/>
  <c r="AG94" i="28"/>
  <c r="AI94" i="28"/>
  <c r="E95" i="28"/>
  <c r="F95" i="28"/>
  <c r="G95" i="28"/>
  <c r="I95" i="28"/>
  <c r="M95" i="28"/>
  <c r="N95" i="28"/>
  <c r="O95" i="28"/>
  <c r="W95" i="28"/>
  <c r="X95" i="28"/>
  <c r="Z95" i="28"/>
  <c r="AF95" i="28"/>
  <c r="AG95" i="28"/>
  <c r="AI95" i="28"/>
  <c r="E96" i="28"/>
  <c r="F96" i="28"/>
  <c r="G96" i="28"/>
  <c r="I96" i="28"/>
  <c r="M96" i="28"/>
  <c r="N96" i="28"/>
  <c r="O96" i="28"/>
  <c r="W96" i="28"/>
  <c r="X96" i="28"/>
  <c r="Z96" i="28"/>
  <c r="AF96" i="28"/>
  <c r="AG96" i="28"/>
  <c r="AI96" i="28"/>
  <c r="E97" i="28"/>
  <c r="F97" i="28"/>
  <c r="G97" i="28"/>
  <c r="I97" i="28"/>
  <c r="M97" i="28"/>
  <c r="N97" i="28"/>
  <c r="O97" i="28"/>
  <c r="W97" i="28"/>
  <c r="X97" i="28"/>
  <c r="Z97" i="28"/>
  <c r="AF97" i="28"/>
  <c r="AG97" i="28"/>
  <c r="AI97" i="28"/>
  <c r="E98" i="28"/>
  <c r="F98" i="28"/>
  <c r="G98" i="28"/>
  <c r="I98" i="28"/>
  <c r="M98" i="28"/>
  <c r="N98" i="28"/>
  <c r="O98" i="28"/>
  <c r="W98" i="28"/>
  <c r="X98" i="28"/>
  <c r="Z98" i="28"/>
  <c r="AF98" i="28"/>
  <c r="AG98" i="28"/>
  <c r="AI98" i="28"/>
  <c r="E99" i="28"/>
  <c r="F99" i="28"/>
  <c r="G99" i="28"/>
  <c r="I99" i="28"/>
  <c r="M99" i="28"/>
  <c r="N99" i="28"/>
  <c r="O99" i="28"/>
  <c r="W99" i="28"/>
  <c r="X99" i="28"/>
  <c r="Z99" i="28"/>
  <c r="AF99" i="28"/>
  <c r="AG99" i="28"/>
  <c r="AI99" i="28"/>
  <c r="E100" i="28"/>
  <c r="F100" i="28"/>
  <c r="G100" i="28"/>
  <c r="I100" i="28"/>
  <c r="M100" i="28"/>
  <c r="N100" i="28"/>
  <c r="O100" i="28"/>
  <c r="W100" i="28"/>
  <c r="X100" i="28"/>
  <c r="Z100" i="28"/>
  <c r="AF100" i="28"/>
  <c r="AG100" i="28"/>
  <c r="AI100" i="28"/>
  <c r="E101" i="28"/>
  <c r="F101" i="28"/>
  <c r="G101" i="28"/>
  <c r="I101" i="28"/>
  <c r="M101" i="28"/>
  <c r="N101" i="28"/>
  <c r="O101" i="28"/>
  <c r="W101" i="28"/>
  <c r="X101" i="28"/>
  <c r="Z101" i="28"/>
  <c r="AF101" i="28"/>
  <c r="AG101" i="28"/>
  <c r="AI101" i="28"/>
  <c r="E102" i="28"/>
  <c r="F102" i="28"/>
  <c r="G102" i="28"/>
  <c r="I102" i="28"/>
  <c r="M102" i="28"/>
  <c r="N102" i="28"/>
  <c r="O102" i="28"/>
  <c r="W102" i="28"/>
  <c r="X102" i="28"/>
  <c r="Z102" i="28"/>
  <c r="AF102" i="28"/>
  <c r="AG102" i="28"/>
  <c r="AI102" i="28"/>
  <c r="E103" i="28"/>
  <c r="F103" i="28"/>
  <c r="G103" i="28"/>
  <c r="I103" i="28"/>
  <c r="M103" i="28"/>
  <c r="N103" i="28"/>
  <c r="O103" i="28"/>
  <c r="W103" i="28"/>
  <c r="X103" i="28"/>
  <c r="Z103" i="28"/>
  <c r="AF103" i="28"/>
  <c r="AG103" i="28"/>
  <c r="AI103" i="28"/>
  <c r="E104" i="28"/>
  <c r="F104" i="28"/>
  <c r="G104" i="28"/>
  <c r="I104" i="28"/>
  <c r="M104" i="28"/>
  <c r="N104" i="28"/>
  <c r="O104" i="28"/>
  <c r="W104" i="28"/>
  <c r="X104" i="28"/>
  <c r="Z104" i="28"/>
  <c r="AF104" i="28"/>
  <c r="AG104" i="28"/>
  <c r="AI104" i="28"/>
  <c r="E105" i="28"/>
  <c r="F105" i="28"/>
  <c r="G105" i="28"/>
  <c r="I105" i="28"/>
  <c r="M105" i="28"/>
  <c r="N105" i="28"/>
  <c r="O105" i="28"/>
  <c r="W105" i="28"/>
  <c r="X105" i="28"/>
  <c r="Z105" i="28"/>
  <c r="AF105" i="28"/>
  <c r="AG105" i="28"/>
  <c r="AI105" i="28"/>
  <c r="E106" i="28"/>
  <c r="F106" i="28"/>
  <c r="G106" i="28"/>
  <c r="I106" i="28"/>
  <c r="M106" i="28"/>
  <c r="N106" i="28"/>
  <c r="O106" i="28"/>
  <c r="W106" i="28"/>
  <c r="X106" i="28"/>
  <c r="Z106" i="28"/>
  <c r="AF106" i="28"/>
  <c r="AG106" i="28"/>
  <c r="AI106" i="28"/>
  <c r="E107" i="28"/>
  <c r="F107" i="28"/>
  <c r="G107" i="28"/>
  <c r="I107" i="28"/>
  <c r="M107" i="28"/>
  <c r="N107" i="28"/>
  <c r="O107" i="28"/>
  <c r="W107" i="28"/>
  <c r="X107" i="28"/>
  <c r="Z107" i="28"/>
  <c r="AF107" i="28"/>
  <c r="AG107" i="28"/>
  <c r="AI107" i="28"/>
  <c r="E108" i="28"/>
  <c r="F108" i="28"/>
  <c r="G108" i="28"/>
  <c r="I108" i="28"/>
  <c r="M108" i="28"/>
  <c r="N108" i="28"/>
  <c r="O108" i="28"/>
  <c r="W108" i="28"/>
  <c r="X108" i="28"/>
  <c r="Z108" i="28"/>
  <c r="AF108" i="28"/>
  <c r="AG108" i="28"/>
  <c r="AI108" i="28"/>
  <c r="E109" i="28"/>
  <c r="F109" i="28"/>
  <c r="G109" i="28"/>
  <c r="I109" i="28"/>
  <c r="M109" i="28"/>
  <c r="N109" i="28"/>
  <c r="O109" i="28"/>
  <c r="W109" i="28"/>
  <c r="X109" i="28"/>
  <c r="Z109" i="28"/>
  <c r="AF109" i="28"/>
  <c r="AG109" i="28"/>
  <c r="AI109" i="28"/>
  <c r="E110" i="28"/>
  <c r="F110" i="28"/>
  <c r="G110" i="28"/>
  <c r="I110" i="28"/>
  <c r="M110" i="28"/>
  <c r="N110" i="28"/>
  <c r="O110" i="28"/>
  <c r="W110" i="28"/>
  <c r="X110" i="28"/>
  <c r="Z110" i="28"/>
  <c r="AF110" i="28"/>
  <c r="AG110" i="28"/>
  <c r="AI110" i="28"/>
  <c r="E111" i="28"/>
  <c r="F111" i="28"/>
  <c r="G111" i="28"/>
  <c r="I111" i="28"/>
  <c r="M111" i="28"/>
  <c r="N111" i="28"/>
  <c r="O111" i="28"/>
  <c r="W111" i="28"/>
  <c r="X111" i="28"/>
  <c r="Z111" i="28"/>
  <c r="AF111" i="28"/>
  <c r="AG111" i="28"/>
  <c r="AI111" i="28"/>
  <c r="E112" i="28"/>
  <c r="F112" i="28"/>
  <c r="G112" i="28"/>
  <c r="I112" i="28"/>
  <c r="M112" i="28"/>
  <c r="N112" i="28"/>
  <c r="O112" i="28"/>
  <c r="W112" i="28"/>
  <c r="X112" i="28"/>
  <c r="Z112" i="28"/>
  <c r="AF112" i="28"/>
  <c r="AG112" i="28"/>
  <c r="AI112" i="28"/>
  <c r="E113" i="28"/>
  <c r="F113" i="28"/>
  <c r="G113" i="28"/>
  <c r="I113" i="28"/>
  <c r="M113" i="28"/>
  <c r="N113" i="28"/>
  <c r="O113" i="28"/>
  <c r="W113" i="28"/>
  <c r="X113" i="28"/>
  <c r="Z113" i="28"/>
  <c r="AF113" i="28"/>
  <c r="AG113" i="28"/>
  <c r="AI113" i="28"/>
  <c r="E114" i="28"/>
  <c r="F114" i="28"/>
  <c r="G114" i="28"/>
  <c r="I114" i="28"/>
  <c r="M114" i="28"/>
  <c r="N114" i="28"/>
  <c r="O114" i="28"/>
  <c r="W114" i="28"/>
  <c r="X114" i="28"/>
  <c r="Z114" i="28"/>
  <c r="AF114" i="28"/>
  <c r="AG114" i="28"/>
  <c r="AI114" i="28"/>
  <c r="E115" i="28"/>
  <c r="F115" i="28"/>
  <c r="G115" i="28"/>
  <c r="I115" i="28"/>
  <c r="M115" i="28"/>
  <c r="N115" i="28"/>
  <c r="O115" i="28"/>
  <c r="W115" i="28"/>
  <c r="X115" i="28"/>
  <c r="Z115" i="28"/>
  <c r="AF115" i="28"/>
  <c r="AG115" i="28"/>
  <c r="AI115" i="28"/>
  <c r="E116" i="28"/>
  <c r="F116" i="28"/>
  <c r="G116" i="28"/>
  <c r="I116" i="28"/>
  <c r="M116" i="28"/>
  <c r="N116" i="28"/>
  <c r="O116" i="28"/>
  <c r="W116" i="28"/>
  <c r="X116" i="28"/>
  <c r="Z116" i="28"/>
  <c r="AF116" i="28"/>
  <c r="AG116" i="28"/>
  <c r="AI116" i="28"/>
  <c r="E117" i="28"/>
  <c r="F117" i="28"/>
  <c r="G117" i="28"/>
  <c r="I117" i="28"/>
  <c r="M117" i="28"/>
  <c r="N117" i="28"/>
  <c r="O117" i="28"/>
  <c r="W117" i="28"/>
  <c r="X117" i="28"/>
  <c r="Z117" i="28"/>
  <c r="AF117" i="28"/>
  <c r="AG117" i="28"/>
  <c r="AI117" i="28"/>
  <c r="E118" i="28"/>
  <c r="F118" i="28"/>
  <c r="G118" i="28"/>
  <c r="I118" i="28"/>
  <c r="M118" i="28"/>
  <c r="N118" i="28"/>
  <c r="O118" i="28"/>
  <c r="W118" i="28"/>
  <c r="X118" i="28"/>
  <c r="Z118" i="28"/>
  <c r="AF118" i="28"/>
  <c r="AG118" i="28"/>
  <c r="AI118" i="28"/>
  <c r="E119" i="28"/>
  <c r="F119" i="28"/>
  <c r="G119" i="28"/>
  <c r="I119" i="28"/>
  <c r="M119" i="28"/>
  <c r="N119" i="28"/>
  <c r="O119" i="28"/>
  <c r="W119" i="28"/>
  <c r="X119" i="28"/>
  <c r="Z119" i="28"/>
  <c r="AF119" i="28"/>
  <c r="AG119" i="28"/>
  <c r="AI119" i="28"/>
  <c r="E120" i="28"/>
  <c r="F120" i="28"/>
  <c r="G120" i="28"/>
  <c r="I120" i="28"/>
  <c r="M120" i="28"/>
  <c r="N120" i="28"/>
  <c r="O120" i="28"/>
  <c r="W120" i="28"/>
  <c r="X120" i="28"/>
  <c r="Z120" i="28"/>
  <c r="AF120" i="28"/>
  <c r="AG120" i="28"/>
  <c r="AI120" i="28"/>
  <c r="E121" i="28"/>
  <c r="F121" i="28"/>
  <c r="G121" i="28"/>
  <c r="I121" i="28"/>
  <c r="M121" i="28"/>
  <c r="N121" i="28"/>
  <c r="O121" i="28"/>
  <c r="W121" i="28"/>
  <c r="X121" i="28"/>
  <c r="Z121" i="28"/>
  <c r="AF121" i="28"/>
  <c r="AG121" i="28"/>
  <c r="AI121" i="28"/>
  <c r="E122" i="28"/>
  <c r="F122" i="28"/>
  <c r="G122" i="28"/>
  <c r="I122" i="28"/>
  <c r="M122" i="28"/>
  <c r="N122" i="28"/>
  <c r="O122" i="28"/>
  <c r="W122" i="28"/>
  <c r="X122" i="28"/>
  <c r="Z122" i="28"/>
  <c r="AF122" i="28"/>
  <c r="AG122" i="28"/>
  <c r="AI122" i="28"/>
  <c r="E123" i="28"/>
  <c r="F123" i="28"/>
  <c r="G123" i="28"/>
  <c r="I123" i="28"/>
  <c r="M123" i="28"/>
  <c r="N123" i="28"/>
  <c r="O123" i="28"/>
  <c r="W123" i="28"/>
  <c r="X123" i="28"/>
  <c r="Z123" i="28"/>
  <c r="AF123" i="28"/>
  <c r="AG123" i="28"/>
  <c r="AI123" i="28"/>
  <c r="E124" i="28"/>
  <c r="F124" i="28"/>
  <c r="G124" i="28"/>
  <c r="I124" i="28"/>
  <c r="M124" i="28"/>
  <c r="N124" i="28"/>
  <c r="O124" i="28"/>
  <c r="W124" i="28"/>
  <c r="X124" i="28"/>
  <c r="Z124" i="28"/>
  <c r="AF124" i="28"/>
  <c r="AG124" i="28"/>
  <c r="AI124" i="28"/>
  <c r="E125" i="28"/>
  <c r="F125" i="28"/>
  <c r="G125" i="28"/>
  <c r="I125" i="28"/>
  <c r="M125" i="28"/>
  <c r="N125" i="28"/>
  <c r="O125" i="28"/>
  <c r="W125" i="28"/>
  <c r="X125" i="28"/>
  <c r="Z125" i="28"/>
  <c r="AF125" i="28"/>
  <c r="AG125" i="28"/>
  <c r="AI125" i="28"/>
  <c r="E126" i="28"/>
  <c r="F126" i="28"/>
  <c r="G126" i="28"/>
  <c r="I126" i="28"/>
  <c r="M126" i="28"/>
  <c r="N126" i="28"/>
  <c r="O126" i="28"/>
  <c r="W126" i="28"/>
  <c r="X126" i="28"/>
  <c r="Z126" i="28"/>
  <c r="AF126" i="28"/>
  <c r="AG126" i="28"/>
  <c r="AI126" i="28"/>
  <c r="E127" i="28"/>
  <c r="F127" i="28"/>
  <c r="G127" i="28"/>
  <c r="I127" i="28"/>
  <c r="M127" i="28"/>
  <c r="N127" i="28"/>
  <c r="O127" i="28"/>
  <c r="W127" i="28"/>
  <c r="X127" i="28"/>
  <c r="Z127" i="28"/>
  <c r="AF127" i="28"/>
  <c r="AG127" i="28"/>
  <c r="AI127" i="28"/>
  <c r="E128" i="28"/>
  <c r="F128" i="28"/>
  <c r="G128" i="28"/>
  <c r="I128" i="28"/>
  <c r="M128" i="28"/>
  <c r="N128" i="28"/>
  <c r="O128" i="28"/>
  <c r="W128" i="28"/>
  <c r="X128" i="28"/>
  <c r="Z128" i="28"/>
  <c r="AF128" i="28"/>
  <c r="AG128" i="28"/>
  <c r="AI128" i="28"/>
  <c r="E129" i="28"/>
  <c r="F129" i="28"/>
  <c r="G129" i="28"/>
  <c r="I129" i="28"/>
  <c r="M129" i="28"/>
  <c r="N129" i="28"/>
  <c r="O129" i="28"/>
  <c r="W129" i="28"/>
  <c r="X129" i="28"/>
  <c r="Z129" i="28"/>
  <c r="AF129" i="28"/>
  <c r="AG129" i="28"/>
  <c r="AI129" i="28"/>
  <c r="E130" i="28"/>
  <c r="F130" i="28"/>
  <c r="G130" i="28"/>
  <c r="I130" i="28"/>
  <c r="M130" i="28"/>
  <c r="N130" i="28"/>
  <c r="O130" i="28"/>
  <c r="W130" i="28"/>
  <c r="X130" i="28"/>
  <c r="Z130" i="28"/>
  <c r="AF130" i="28"/>
  <c r="AG130" i="28"/>
  <c r="AI130" i="28"/>
  <c r="E131" i="28"/>
  <c r="F131" i="28"/>
  <c r="G131" i="28"/>
  <c r="I131" i="28"/>
  <c r="M131" i="28"/>
  <c r="N131" i="28"/>
  <c r="O131" i="28"/>
  <c r="W131" i="28"/>
  <c r="X131" i="28"/>
  <c r="Z131" i="28"/>
  <c r="AF131" i="28"/>
  <c r="AG131" i="28"/>
  <c r="AI131" i="28"/>
  <c r="E132" i="28"/>
  <c r="F132" i="28"/>
  <c r="G132" i="28"/>
  <c r="I132" i="28"/>
  <c r="M132" i="28"/>
  <c r="N132" i="28"/>
  <c r="O132" i="28"/>
  <c r="W132" i="28"/>
  <c r="X132" i="28"/>
  <c r="Z132" i="28"/>
  <c r="AF132" i="28"/>
  <c r="AG132" i="28"/>
  <c r="AI132" i="28"/>
  <c r="E133" i="28"/>
  <c r="F133" i="28"/>
  <c r="G133" i="28"/>
  <c r="I133" i="28"/>
  <c r="M133" i="28"/>
  <c r="N133" i="28"/>
  <c r="O133" i="28"/>
  <c r="W133" i="28"/>
  <c r="X133" i="28"/>
  <c r="Z133" i="28"/>
  <c r="AF133" i="28"/>
  <c r="AG133" i="28"/>
  <c r="AI133" i="28"/>
  <c r="E134" i="28"/>
  <c r="F134" i="28"/>
  <c r="G134" i="28"/>
  <c r="I134" i="28"/>
  <c r="M134" i="28"/>
  <c r="N134" i="28"/>
  <c r="O134" i="28"/>
  <c r="W134" i="28"/>
  <c r="X134" i="28"/>
  <c r="Z134" i="28"/>
  <c r="AF134" i="28"/>
  <c r="AG134" i="28"/>
  <c r="AI134" i="28"/>
  <c r="E135" i="28"/>
  <c r="F135" i="28"/>
  <c r="G135" i="28"/>
  <c r="I135" i="28"/>
  <c r="M135" i="28"/>
  <c r="N135" i="28"/>
  <c r="O135" i="28"/>
  <c r="W135" i="28"/>
  <c r="X135" i="28"/>
  <c r="Z135" i="28"/>
  <c r="AF135" i="28"/>
  <c r="AG135" i="28"/>
  <c r="AI135" i="28"/>
  <c r="E136" i="28"/>
  <c r="F136" i="28"/>
  <c r="G136" i="28"/>
  <c r="I136" i="28"/>
  <c r="M136" i="28"/>
  <c r="N136" i="28"/>
  <c r="O136" i="28"/>
  <c r="W136" i="28"/>
  <c r="X136" i="28"/>
  <c r="Z136" i="28"/>
  <c r="AF136" i="28"/>
  <c r="AG136" i="28"/>
  <c r="AI136" i="28"/>
  <c r="E137" i="28"/>
  <c r="F137" i="28"/>
  <c r="G137" i="28"/>
  <c r="I137" i="28"/>
  <c r="M137" i="28"/>
  <c r="N137" i="28"/>
  <c r="O137" i="28"/>
  <c r="W137" i="28"/>
  <c r="X137" i="28"/>
  <c r="Z137" i="28"/>
  <c r="AF137" i="28"/>
  <c r="AG137" i="28"/>
  <c r="AI137" i="28"/>
  <c r="E138" i="28"/>
  <c r="F138" i="28"/>
  <c r="G138" i="28"/>
  <c r="I138" i="28"/>
  <c r="M138" i="28"/>
  <c r="N138" i="28"/>
  <c r="O138" i="28"/>
  <c r="W138" i="28"/>
  <c r="X138" i="28"/>
  <c r="Z138" i="28"/>
  <c r="AF138" i="28"/>
  <c r="AG138" i="28"/>
  <c r="AI138" i="28"/>
  <c r="E139" i="28"/>
  <c r="F139" i="28"/>
  <c r="G139" i="28"/>
  <c r="I139" i="28"/>
  <c r="M139" i="28"/>
  <c r="N139" i="28"/>
  <c r="O139" i="28"/>
  <c r="W139" i="28"/>
  <c r="X139" i="28"/>
  <c r="Z139" i="28"/>
  <c r="AF139" i="28"/>
  <c r="AG139" i="28"/>
  <c r="AI139" i="28"/>
  <c r="E140" i="28"/>
  <c r="F140" i="28"/>
  <c r="G140" i="28"/>
  <c r="I140" i="28"/>
  <c r="M140" i="28"/>
  <c r="N140" i="28"/>
  <c r="O140" i="28"/>
  <c r="W140" i="28"/>
  <c r="X140" i="28"/>
  <c r="Z140" i="28"/>
  <c r="AF140" i="28"/>
  <c r="AG140" i="28"/>
  <c r="AI140" i="28"/>
  <c r="E141" i="28"/>
  <c r="F141" i="28"/>
  <c r="G141" i="28"/>
  <c r="I141" i="28"/>
  <c r="M141" i="28"/>
  <c r="N141" i="28"/>
  <c r="O141" i="28"/>
  <c r="W141" i="28"/>
  <c r="X141" i="28"/>
  <c r="Z141" i="28"/>
  <c r="AF141" i="28"/>
  <c r="AG141" i="28"/>
  <c r="AI141" i="28"/>
  <c r="E142" i="28"/>
  <c r="F142" i="28"/>
  <c r="G142" i="28"/>
  <c r="I142" i="28"/>
  <c r="M142" i="28"/>
  <c r="N142" i="28"/>
  <c r="O142" i="28"/>
  <c r="W142" i="28"/>
  <c r="X142" i="28"/>
  <c r="Z142" i="28"/>
  <c r="AF142" i="28"/>
  <c r="AG142" i="28"/>
  <c r="AI142" i="28"/>
  <c r="E143" i="28"/>
  <c r="F143" i="28"/>
  <c r="G143" i="28"/>
  <c r="I143" i="28"/>
  <c r="M143" i="28"/>
  <c r="N143" i="28"/>
  <c r="O143" i="28"/>
  <c r="W143" i="28"/>
  <c r="X143" i="28"/>
  <c r="Z143" i="28"/>
  <c r="AF143" i="28"/>
  <c r="AG143" i="28"/>
  <c r="AI143" i="28"/>
  <c r="E144" i="28"/>
  <c r="F144" i="28"/>
  <c r="G144" i="28"/>
  <c r="I144" i="28"/>
  <c r="M144" i="28"/>
  <c r="N144" i="28"/>
  <c r="O144" i="28"/>
  <c r="W144" i="28"/>
  <c r="X144" i="28"/>
  <c r="Z144" i="28"/>
  <c r="AF144" i="28"/>
  <c r="AG144" i="28"/>
  <c r="AI144" i="28"/>
  <c r="E145" i="28"/>
  <c r="F145" i="28"/>
  <c r="G145" i="28"/>
  <c r="I145" i="28"/>
  <c r="M145" i="28"/>
  <c r="N145" i="28"/>
  <c r="O145" i="28"/>
  <c r="W145" i="28"/>
  <c r="X145" i="28"/>
  <c r="Z145" i="28"/>
  <c r="AF145" i="28"/>
  <c r="AG145" i="28"/>
  <c r="AI145" i="28"/>
  <c r="E146" i="28"/>
  <c r="F146" i="28"/>
  <c r="G146" i="28"/>
  <c r="I146" i="28"/>
  <c r="M146" i="28"/>
  <c r="N146" i="28"/>
  <c r="O146" i="28"/>
  <c r="W146" i="28"/>
  <c r="X146" i="28"/>
  <c r="Z146" i="28"/>
  <c r="AF146" i="28"/>
  <c r="AG146" i="28"/>
  <c r="AI146" i="28"/>
  <c r="E147" i="28"/>
  <c r="F147" i="28"/>
  <c r="G147" i="28"/>
  <c r="I147" i="28"/>
  <c r="M147" i="28"/>
  <c r="N147" i="28"/>
  <c r="O147" i="28"/>
  <c r="W147" i="28"/>
  <c r="X147" i="28"/>
  <c r="Z147" i="28"/>
  <c r="AF147" i="28"/>
  <c r="AG147" i="28"/>
  <c r="AI147" i="28"/>
  <c r="E148" i="28"/>
  <c r="F148" i="28"/>
  <c r="G148" i="28"/>
  <c r="I148" i="28"/>
  <c r="M148" i="28"/>
  <c r="N148" i="28"/>
  <c r="O148" i="28"/>
  <c r="W148" i="28"/>
  <c r="X148" i="28"/>
  <c r="Z148" i="28"/>
  <c r="AF148" i="28"/>
  <c r="AG148" i="28"/>
  <c r="AI148" i="28"/>
  <c r="E149" i="28"/>
  <c r="F149" i="28"/>
  <c r="G149" i="28"/>
  <c r="I149" i="28"/>
  <c r="M149" i="28"/>
  <c r="N149" i="28"/>
  <c r="O149" i="28"/>
  <c r="W149" i="28"/>
  <c r="X149" i="28"/>
  <c r="Z149" i="28"/>
  <c r="AF149" i="28"/>
  <c r="AG149" i="28"/>
  <c r="AI149" i="28"/>
  <c r="E150" i="28"/>
  <c r="F150" i="28"/>
  <c r="G150" i="28"/>
  <c r="I150" i="28"/>
  <c r="M150" i="28"/>
  <c r="N150" i="28"/>
  <c r="O150" i="28"/>
  <c r="W150" i="28"/>
  <c r="X150" i="28"/>
  <c r="Z150" i="28"/>
  <c r="AF150" i="28"/>
  <c r="AG150" i="28"/>
  <c r="AI150" i="28"/>
  <c r="E151" i="28"/>
  <c r="F151" i="28"/>
  <c r="G151" i="28"/>
  <c r="I151" i="28"/>
  <c r="M151" i="28"/>
  <c r="N151" i="28"/>
  <c r="O151" i="28"/>
  <c r="W151" i="28"/>
  <c r="X151" i="28"/>
  <c r="Z151" i="28"/>
  <c r="AF151" i="28"/>
  <c r="AG151" i="28"/>
  <c r="AI151" i="28"/>
  <c r="E152" i="28"/>
  <c r="F152" i="28"/>
  <c r="G152" i="28"/>
  <c r="I152" i="28"/>
  <c r="M152" i="28"/>
  <c r="N152" i="28"/>
  <c r="O152" i="28"/>
  <c r="W152" i="28"/>
  <c r="X152" i="28"/>
  <c r="Z152" i="28"/>
  <c r="AF152" i="28"/>
  <c r="AG152" i="28"/>
  <c r="AI152" i="28"/>
  <c r="E153" i="28"/>
  <c r="F153" i="28"/>
  <c r="G153" i="28"/>
  <c r="I153" i="28"/>
  <c r="M153" i="28"/>
  <c r="N153" i="28"/>
  <c r="O153" i="28"/>
  <c r="W153" i="28"/>
  <c r="X153" i="28"/>
  <c r="Z153" i="28"/>
  <c r="AF153" i="28"/>
  <c r="AG153" i="28"/>
  <c r="AI153" i="28"/>
  <c r="E154" i="28"/>
  <c r="F154" i="28"/>
  <c r="G154" i="28"/>
  <c r="I154" i="28"/>
  <c r="M154" i="28"/>
  <c r="N154" i="28"/>
  <c r="O154" i="28"/>
  <c r="W154" i="28"/>
  <c r="X154" i="28"/>
  <c r="Z154" i="28"/>
  <c r="AF154" i="28"/>
  <c r="AG154" i="28"/>
  <c r="AI154" i="28"/>
  <c r="E155" i="28"/>
  <c r="F155" i="28"/>
  <c r="G155" i="28"/>
  <c r="I155" i="28"/>
  <c r="M155" i="28"/>
  <c r="N155" i="28"/>
  <c r="O155" i="28"/>
  <c r="W155" i="28"/>
  <c r="X155" i="28"/>
  <c r="Z155" i="28"/>
  <c r="AF155" i="28"/>
  <c r="AG155" i="28"/>
  <c r="AI155" i="28"/>
  <c r="E156" i="28"/>
  <c r="F156" i="28"/>
  <c r="G156" i="28"/>
  <c r="I156" i="28"/>
  <c r="M156" i="28"/>
  <c r="N156" i="28"/>
  <c r="O156" i="28"/>
  <c r="W156" i="28"/>
  <c r="X156" i="28"/>
  <c r="Z156" i="28"/>
  <c r="AF156" i="28"/>
  <c r="AG156" i="28"/>
  <c r="AI156" i="28"/>
  <c r="E157" i="28"/>
  <c r="F157" i="28"/>
  <c r="G157" i="28"/>
  <c r="I157" i="28"/>
  <c r="M157" i="28"/>
  <c r="N157" i="28"/>
  <c r="O157" i="28"/>
  <c r="W157" i="28"/>
  <c r="X157" i="28"/>
  <c r="Z157" i="28"/>
  <c r="AF157" i="28"/>
  <c r="AG157" i="28"/>
  <c r="AI157" i="28"/>
  <c r="E158" i="28"/>
  <c r="F158" i="28"/>
  <c r="G158" i="28"/>
  <c r="I158" i="28"/>
  <c r="M158" i="28"/>
  <c r="N158" i="28"/>
  <c r="O158" i="28"/>
  <c r="W158" i="28"/>
  <c r="X158" i="28"/>
  <c r="Z158" i="28"/>
  <c r="AF158" i="28"/>
  <c r="AG158" i="28"/>
  <c r="AI158" i="28"/>
  <c r="E159" i="28"/>
  <c r="F159" i="28"/>
  <c r="G159" i="28"/>
  <c r="I159" i="28"/>
  <c r="M159" i="28"/>
  <c r="N159" i="28"/>
  <c r="O159" i="28"/>
  <c r="W159" i="28"/>
  <c r="X159" i="28"/>
  <c r="Z159" i="28"/>
  <c r="AF159" i="28"/>
  <c r="AG159" i="28"/>
  <c r="AI159" i="28"/>
  <c r="E160" i="28"/>
  <c r="F160" i="28"/>
  <c r="G160" i="28"/>
  <c r="I160" i="28"/>
  <c r="M160" i="28"/>
  <c r="N160" i="28"/>
  <c r="O160" i="28"/>
  <c r="W160" i="28"/>
  <c r="X160" i="28"/>
  <c r="Z160" i="28"/>
  <c r="AF160" i="28"/>
  <c r="AG160" i="28"/>
  <c r="AI160" i="28"/>
  <c r="E161" i="28"/>
  <c r="F161" i="28"/>
  <c r="G161" i="28"/>
  <c r="I161" i="28"/>
  <c r="M161" i="28"/>
  <c r="N161" i="28"/>
  <c r="O161" i="28"/>
  <c r="W161" i="28"/>
  <c r="X161" i="28"/>
  <c r="Z161" i="28"/>
  <c r="AF161" i="28"/>
  <c r="AG161" i="28"/>
  <c r="AI161" i="28"/>
  <c r="E162" i="28"/>
  <c r="F162" i="28"/>
  <c r="G162" i="28"/>
  <c r="I162" i="28"/>
  <c r="M162" i="28"/>
  <c r="N162" i="28"/>
  <c r="O162" i="28"/>
  <c r="W162" i="28"/>
  <c r="X162" i="28"/>
  <c r="Z162" i="28"/>
  <c r="AF162" i="28"/>
  <c r="AG162" i="28"/>
  <c r="AI162" i="28"/>
  <c r="E163" i="28"/>
  <c r="F163" i="28"/>
  <c r="G163" i="28"/>
  <c r="I163" i="28"/>
  <c r="M163" i="28"/>
  <c r="N163" i="28"/>
  <c r="O163" i="28"/>
  <c r="W163" i="28"/>
  <c r="X163" i="28"/>
  <c r="Z163" i="28"/>
  <c r="AF163" i="28"/>
  <c r="AG163" i="28"/>
  <c r="AI163" i="28"/>
  <c r="E164" i="28"/>
  <c r="F164" i="28"/>
  <c r="G164" i="28"/>
  <c r="I164" i="28"/>
  <c r="M164" i="28"/>
  <c r="N164" i="28"/>
  <c r="O164" i="28"/>
  <c r="W164" i="28"/>
  <c r="X164" i="28"/>
  <c r="Z164" i="28"/>
  <c r="AF164" i="28"/>
  <c r="AG164" i="28"/>
  <c r="AI164" i="28"/>
  <c r="E165" i="28"/>
  <c r="F165" i="28"/>
  <c r="G165" i="28"/>
  <c r="I165" i="28"/>
  <c r="M165" i="28"/>
  <c r="N165" i="28"/>
  <c r="O165" i="28"/>
  <c r="W165" i="28"/>
  <c r="X165" i="28"/>
  <c r="Z165" i="28"/>
  <c r="AF165" i="28"/>
  <c r="AG165" i="28"/>
  <c r="AI165" i="28"/>
  <c r="E166" i="28"/>
  <c r="F166" i="28"/>
  <c r="G166" i="28"/>
  <c r="I166" i="28"/>
  <c r="M166" i="28"/>
  <c r="N166" i="28"/>
  <c r="O166" i="28"/>
  <c r="W166" i="28"/>
  <c r="X166" i="28"/>
  <c r="Z166" i="28"/>
  <c r="AF166" i="28"/>
  <c r="AG166" i="28"/>
  <c r="AI166" i="28"/>
  <c r="E167" i="28"/>
  <c r="F167" i="28"/>
  <c r="G167" i="28"/>
  <c r="I167" i="28"/>
  <c r="M167" i="28"/>
  <c r="N167" i="28"/>
  <c r="O167" i="28"/>
  <c r="W167" i="28"/>
  <c r="X167" i="28"/>
  <c r="Z167" i="28"/>
  <c r="AF167" i="28"/>
  <c r="AG167" i="28"/>
  <c r="AI167" i="28"/>
  <c r="E168" i="28"/>
  <c r="F168" i="28"/>
  <c r="G168" i="28"/>
  <c r="I168" i="28"/>
  <c r="M168" i="28"/>
  <c r="N168" i="28"/>
  <c r="O168" i="28"/>
  <c r="W168" i="28"/>
  <c r="X168" i="28"/>
  <c r="Z168" i="28"/>
  <c r="AF168" i="28"/>
  <c r="AG168" i="28"/>
  <c r="AI168" i="28"/>
  <c r="E169" i="28"/>
  <c r="F169" i="28"/>
  <c r="G169" i="28"/>
  <c r="I169" i="28"/>
  <c r="M169" i="28"/>
  <c r="N169" i="28"/>
  <c r="O169" i="28"/>
  <c r="W169" i="28"/>
  <c r="X169" i="28"/>
  <c r="Z169" i="28"/>
  <c r="AF169" i="28"/>
  <c r="AG169" i="28"/>
  <c r="AI169" i="28"/>
  <c r="E170" i="28"/>
  <c r="F170" i="28"/>
  <c r="G170" i="28"/>
  <c r="I170" i="28"/>
  <c r="M170" i="28"/>
  <c r="N170" i="28"/>
  <c r="O170" i="28"/>
  <c r="W170" i="28"/>
  <c r="X170" i="28"/>
  <c r="Z170" i="28"/>
  <c r="AF170" i="28"/>
  <c r="AG170" i="28"/>
  <c r="AI170" i="28"/>
  <c r="E171" i="28"/>
  <c r="F171" i="28"/>
  <c r="G171" i="28"/>
  <c r="I171" i="28"/>
  <c r="M171" i="28"/>
  <c r="N171" i="28"/>
  <c r="O171" i="28"/>
  <c r="W171" i="28"/>
  <c r="X171" i="28"/>
  <c r="Z171" i="28"/>
  <c r="AF171" i="28"/>
  <c r="AG171" i="28"/>
  <c r="AI171" i="28"/>
  <c r="E172" i="28"/>
  <c r="F172" i="28"/>
  <c r="G172" i="28"/>
  <c r="I172" i="28"/>
  <c r="M172" i="28"/>
  <c r="N172" i="28"/>
  <c r="O172" i="28"/>
  <c r="W172" i="28"/>
  <c r="X172" i="28"/>
  <c r="Z172" i="28"/>
  <c r="AF172" i="28"/>
  <c r="AG172" i="28"/>
  <c r="AI172" i="28"/>
  <c r="E173" i="28"/>
  <c r="F173" i="28"/>
  <c r="G173" i="28"/>
  <c r="I173" i="28"/>
  <c r="M173" i="28"/>
  <c r="N173" i="28"/>
  <c r="O173" i="28"/>
  <c r="W173" i="28"/>
  <c r="X173" i="28"/>
  <c r="Z173" i="28"/>
  <c r="AF173" i="28"/>
  <c r="AG173" i="28"/>
  <c r="AI173" i="28"/>
  <c r="E174" i="28"/>
  <c r="F174" i="28"/>
  <c r="G174" i="28"/>
  <c r="I174" i="28"/>
  <c r="M174" i="28"/>
  <c r="N174" i="28"/>
  <c r="O174" i="28"/>
  <c r="W174" i="28"/>
  <c r="X174" i="28"/>
  <c r="Z174" i="28"/>
  <c r="AF174" i="28"/>
  <c r="AG174" i="28"/>
  <c r="AI174" i="28"/>
  <c r="E175" i="28"/>
  <c r="F175" i="28"/>
  <c r="G175" i="28"/>
  <c r="I175" i="28"/>
  <c r="M175" i="28"/>
  <c r="N175" i="28"/>
  <c r="O175" i="28"/>
  <c r="W175" i="28"/>
  <c r="X175" i="28"/>
  <c r="Z175" i="28"/>
  <c r="AF175" i="28"/>
  <c r="AG175" i="28"/>
  <c r="AI175" i="28"/>
  <c r="E176" i="28"/>
  <c r="F176" i="28"/>
  <c r="G176" i="28"/>
  <c r="I176" i="28"/>
  <c r="M176" i="28"/>
  <c r="N176" i="28"/>
  <c r="O176" i="28"/>
  <c r="W176" i="28"/>
  <c r="X176" i="28"/>
  <c r="Z176" i="28"/>
  <c r="AF176" i="28"/>
  <c r="AG176" i="28"/>
  <c r="AI176" i="28"/>
  <c r="E177" i="28"/>
  <c r="F177" i="28"/>
  <c r="G177" i="28"/>
  <c r="I177" i="28"/>
  <c r="M177" i="28"/>
  <c r="N177" i="28"/>
  <c r="O177" i="28"/>
  <c r="W177" i="28"/>
  <c r="X177" i="28"/>
  <c r="Z177" i="28"/>
  <c r="AF177" i="28"/>
  <c r="AG177" i="28"/>
  <c r="AI177" i="28"/>
  <c r="E178" i="28"/>
  <c r="F178" i="28"/>
  <c r="G178" i="28"/>
  <c r="I178" i="28"/>
  <c r="M178" i="28"/>
  <c r="N178" i="28"/>
  <c r="O178" i="28"/>
  <c r="W178" i="28"/>
  <c r="X178" i="28"/>
  <c r="Z178" i="28"/>
  <c r="AF178" i="28"/>
  <c r="AG178" i="28"/>
  <c r="AI178" i="28"/>
  <c r="E179" i="28"/>
  <c r="F179" i="28"/>
  <c r="G179" i="28"/>
  <c r="I179" i="28"/>
  <c r="M179" i="28"/>
  <c r="N179" i="28"/>
  <c r="O179" i="28"/>
  <c r="W179" i="28"/>
  <c r="X179" i="28"/>
  <c r="Z179" i="28"/>
  <c r="AF179" i="28"/>
  <c r="AG179" i="28"/>
  <c r="AI179" i="28"/>
  <c r="E180" i="28"/>
  <c r="F180" i="28"/>
  <c r="G180" i="28"/>
  <c r="I180" i="28"/>
  <c r="M180" i="28"/>
  <c r="N180" i="28"/>
  <c r="O180" i="28"/>
  <c r="W180" i="28"/>
  <c r="X180" i="28"/>
  <c r="Z180" i="28"/>
  <c r="AF180" i="28"/>
  <c r="AG180" i="28"/>
  <c r="AI180" i="28"/>
  <c r="E181" i="28"/>
  <c r="F181" i="28"/>
  <c r="G181" i="28"/>
  <c r="I181" i="28"/>
  <c r="M181" i="28"/>
  <c r="N181" i="28"/>
  <c r="O181" i="28"/>
  <c r="W181" i="28"/>
  <c r="X181" i="28"/>
  <c r="Z181" i="28"/>
  <c r="AF181" i="28"/>
  <c r="AG181" i="28"/>
  <c r="AI181" i="28"/>
  <c r="E182" i="28"/>
  <c r="F182" i="28"/>
  <c r="G182" i="28"/>
  <c r="I182" i="28"/>
  <c r="M182" i="28"/>
  <c r="N182" i="28"/>
  <c r="O182" i="28"/>
  <c r="W182" i="28"/>
  <c r="X182" i="28"/>
  <c r="Z182" i="28"/>
  <c r="AF182" i="28"/>
  <c r="AG182" i="28"/>
  <c r="AI182" i="28"/>
  <c r="E183" i="28"/>
  <c r="F183" i="28"/>
  <c r="G183" i="28"/>
  <c r="I183" i="28"/>
  <c r="M183" i="28"/>
  <c r="N183" i="28"/>
  <c r="O183" i="28"/>
  <c r="W183" i="28"/>
  <c r="X183" i="28"/>
  <c r="Z183" i="28"/>
  <c r="AF183" i="28"/>
  <c r="AG183" i="28"/>
  <c r="AI183" i="28"/>
  <c r="E184" i="28"/>
  <c r="F184" i="28"/>
  <c r="G184" i="28"/>
  <c r="I184" i="28"/>
  <c r="M184" i="28"/>
  <c r="N184" i="28"/>
  <c r="O184" i="28"/>
  <c r="W184" i="28"/>
  <c r="X184" i="28"/>
  <c r="Z184" i="28"/>
  <c r="AF184" i="28"/>
  <c r="AG184" i="28"/>
  <c r="AI184" i="28"/>
  <c r="E185" i="28"/>
  <c r="F185" i="28"/>
  <c r="G185" i="28"/>
  <c r="I185" i="28"/>
  <c r="M185" i="28"/>
  <c r="N185" i="28"/>
  <c r="O185" i="28"/>
  <c r="W185" i="28"/>
  <c r="X185" i="28"/>
  <c r="Z185" i="28"/>
  <c r="AF185" i="28"/>
  <c r="AG185" i="28"/>
  <c r="AI185" i="28"/>
  <c r="E186" i="28"/>
  <c r="F186" i="28"/>
  <c r="G186" i="28"/>
  <c r="I186" i="28"/>
  <c r="M186" i="28"/>
  <c r="N186" i="28"/>
  <c r="O186" i="28"/>
  <c r="W186" i="28"/>
  <c r="X186" i="28"/>
  <c r="Z186" i="28"/>
  <c r="AF186" i="28"/>
  <c r="AG186" i="28"/>
  <c r="AI186" i="28"/>
  <c r="E187" i="28"/>
  <c r="F187" i="28"/>
  <c r="G187" i="28"/>
  <c r="I187" i="28"/>
  <c r="M187" i="28"/>
  <c r="N187" i="28"/>
  <c r="O187" i="28"/>
  <c r="W187" i="28"/>
  <c r="X187" i="28"/>
  <c r="Z187" i="28"/>
  <c r="AF187" i="28"/>
  <c r="AG187" i="28"/>
  <c r="AI187" i="28"/>
  <c r="E188" i="28"/>
  <c r="F188" i="28"/>
  <c r="G188" i="28"/>
  <c r="I188" i="28"/>
  <c r="M188" i="28"/>
  <c r="N188" i="28"/>
  <c r="O188" i="28"/>
  <c r="W188" i="28"/>
  <c r="X188" i="28"/>
  <c r="Z188" i="28"/>
  <c r="AF188" i="28"/>
  <c r="AG188" i="28"/>
  <c r="AI188" i="28"/>
  <c r="E189" i="28"/>
  <c r="F189" i="28"/>
  <c r="G189" i="28"/>
  <c r="I189" i="28"/>
  <c r="M189" i="28"/>
  <c r="N189" i="28"/>
  <c r="O189" i="28"/>
  <c r="W189" i="28"/>
  <c r="X189" i="28"/>
  <c r="Z189" i="28"/>
  <c r="AF189" i="28"/>
  <c r="AG189" i="28"/>
  <c r="AI189" i="28"/>
  <c r="E190" i="28"/>
  <c r="F190" i="28"/>
  <c r="G190" i="28"/>
  <c r="I190" i="28"/>
  <c r="M190" i="28"/>
  <c r="N190" i="28"/>
  <c r="O190" i="28"/>
  <c r="W190" i="28"/>
  <c r="X190" i="28"/>
  <c r="Z190" i="28"/>
  <c r="AF190" i="28"/>
  <c r="AG190" i="28"/>
  <c r="AI190" i="28"/>
  <c r="E191" i="28"/>
  <c r="F191" i="28"/>
  <c r="G191" i="28"/>
  <c r="I191" i="28"/>
  <c r="M191" i="28"/>
  <c r="N191" i="28"/>
  <c r="O191" i="28"/>
  <c r="W191" i="28"/>
  <c r="X191" i="28"/>
  <c r="Z191" i="28"/>
  <c r="AF191" i="28"/>
  <c r="AG191" i="28"/>
  <c r="AI191" i="28"/>
  <c r="E192" i="28"/>
  <c r="F192" i="28"/>
  <c r="G192" i="28"/>
  <c r="I192" i="28"/>
  <c r="M192" i="28"/>
  <c r="N192" i="28"/>
  <c r="O192" i="28"/>
  <c r="W192" i="28"/>
  <c r="X192" i="28"/>
  <c r="Z192" i="28"/>
  <c r="AF192" i="28"/>
  <c r="AG192" i="28"/>
  <c r="AI192" i="28"/>
  <c r="E193" i="28"/>
  <c r="F193" i="28"/>
  <c r="G193" i="28"/>
  <c r="I193" i="28"/>
  <c r="M193" i="28"/>
  <c r="N193" i="28"/>
  <c r="O193" i="28"/>
  <c r="W193" i="28"/>
  <c r="X193" i="28"/>
  <c r="Z193" i="28"/>
  <c r="AF193" i="28"/>
  <c r="AG193" i="28"/>
  <c r="AI193" i="28"/>
  <c r="E194" i="28"/>
  <c r="F194" i="28"/>
  <c r="G194" i="28"/>
  <c r="I194" i="28"/>
  <c r="M194" i="28"/>
  <c r="N194" i="28"/>
  <c r="O194" i="28"/>
  <c r="W194" i="28"/>
  <c r="X194" i="28"/>
  <c r="Z194" i="28"/>
  <c r="AF194" i="28"/>
  <c r="AG194" i="28"/>
  <c r="AI194" i="28"/>
  <c r="E195" i="28"/>
  <c r="F195" i="28"/>
  <c r="G195" i="28"/>
  <c r="I195" i="28"/>
  <c r="M195" i="28"/>
  <c r="N195" i="28"/>
  <c r="O195" i="28"/>
  <c r="W195" i="28"/>
  <c r="X195" i="28"/>
  <c r="Z195" i="28"/>
  <c r="AF195" i="28"/>
  <c r="AG195" i="28"/>
  <c r="AI195" i="28"/>
  <c r="E196" i="28"/>
  <c r="F196" i="28"/>
  <c r="G196" i="28"/>
  <c r="I196" i="28"/>
  <c r="M196" i="28"/>
  <c r="N196" i="28"/>
  <c r="O196" i="28"/>
  <c r="W196" i="28"/>
  <c r="X196" i="28"/>
  <c r="Z196" i="28"/>
  <c r="AF196" i="28"/>
  <c r="AG196" i="28"/>
  <c r="AI196" i="28"/>
  <c r="E197" i="28"/>
  <c r="F197" i="28"/>
  <c r="G197" i="28"/>
  <c r="I197" i="28"/>
  <c r="M197" i="28"/>
  <c r="N197" i="28"/>
  <c r="O197" i="28"/>
  <c r="W197" i="28"/>
  <c r="X197" i="28"/>
  <c r="Z197" i="28"/>
  <c r="AF197" i="28"/>
  <c r="AG197" i="28"/>
  <c r="AI197" i="28"/>
  <c r="E198" i="28"/>
  <c r="F198" i="28"/>
  <c r="G198" i="28"/>
  <c r="I198" i="28"/>
  <c r="M198" i="28"/>
  <c r="N198" i="28"/>
  <c r="O198" i="28"/>
  <c r="W198" i="28"/>
  <c r="X198" i="28"/>
  <c r="Z198" i="28"/>
  <c r="AF198" i="28"/>
  <c r="AG198" i="28"/>
  <c r="AI198" i="28"/>
  <c r="E199" i="28"/>
  <c r="F199" i="28"/>
  <c r="G199" i="28"/>
  <c r="I199" i="28"/>
  <c r="M199" i="28"/>
  <c r="N199" i="28"/>
  <c r="O199" i="28"/>
  <c r="W199" i="28"/>
  <c r="X199" i="28"/>
  <c r="Z199" i="28"/>
  <c r="AF199" i="28"/>
  <c r="AG199" i="28"/>
  <c r="AI199" i="28"/>
  <c r="E200" i="28"/>
  <c r="F200" i="28"/>
  <c r="G200" i="28"/>
  <c r="I200" i="28"/>
  <c r="M200" i="28"/>
  <c r="N200" i="28"/>
  <c r="O200" i="28"/>
  <c r="W200" i="28"/>
  <c r="X200" i="28"/>
  <c r="Z200" i="28"/>
  <c r="AF200" i="28"/>
  <c r="AG200" i="28"/>
  <c r="AI200" i="28"/>
  <c r="E201" i="28"/>
  <c r="F201" i="28"/>
  <c r="G201" i="28"/>
  <c r="I201" i="28"/>
  <c r="M201" i="28"/>
  <c r="N201" i="28"/>
  <c r="O201" i="28"/>
  <c r="W201" i="28"/>
  <c r="X201" i="28"/>
  <c r="Z201" i="28"/>
  <c r="AF201" i="28"/>
  <c r="AG201" i="28"/>
  <c r="AI201" i="28"/>
  <c r="E202" i="28"/>
  <c r="F202" i="28"/>
  <c r="G202" i="28"/>
  <c r="I202" i="28"/>
  <c r="M202" i="28"/>
  <c r="N202" i="28"/>
  <c r="O202" i="28"/>
  <c r="W202" i="28"/>
  <c r="X202" i="28"/>
  <c r="Z202" i="28"/>
  <c r="AF202" i="28"/>
  <c r="AG202" i="28"/>
  <c r="AI202" i="28"/>
  <c r="E203" i="28"/>
  <c r="F203" i="28"/>
  <c r="G203" i="28"/>
  <c r="I203" i="28"/>
  <c r="M203" i="28"/>
  <c r="N203" i="28"/>
  <c r="O203" i="28"/>
  <c r="W203" i="28"/>
  <c r="X203" i="28"/>
  <c r="Z203" i="28"/>
  <c r="AF203" i="28"/>
  <c r="AG203" i="28"/>
  <c r="AI203" i="28"/>
  <c r="E204" i="28"/>
  <c r="F204" i="28"/>
  <c r="G204" i="28"/>
  <c r="I204" i="28"/>
  <c r="M204" i="28"/>
  <c r="N204" i="28"/>
  <c r="O204" i="28"/>
  <c r="W204" i="28"/>
  <c r="X204" i="28"/>
  <c r="Z204" i="28"/>
  <c r="AF204" i="28"/>
  <c r="AG204" i="28"/>
  <c r="AI204" i="28"/>
  <c r="E205" i="28"/>
  <c r="F205" i="28"/>
  <c r="G205" i="28"/>
  <c r="I205" i="28"/>
  <c r="M205" i="28"/>
  <c r="N205" i="28"/>
  <c r="O205" i="28"/>
  <c r="W205" i="28"/>
  <c r="X205" i="28"/>
  <c r="Z205" i="28"/>
  <c r="AF205" i="28"/>
  <c r="AG205" i="28"/>
  <c r="AI205" i="28"/>
  <c r="E206" i="28"/>
  <c r="F206" i="28"/>
  <c r="G206" i="28"/>
  <c r="I206" i="28"/>
  <c r="M206" i="28"/>
  <c r="N206" i="28"/>
  <c r="O206" i="28"/>
  <c r="W206" i="28"/>
  <c r="X206" i="28"/>
  <c r="Z206" i="28"/>
  <c r="AF206" i="28"/>
  <c r="AG206" i="28"/>
  <c r="AI206" i="28"/>
  <c r="E207" i="28"/>
  <c r="F207" i="28"/>
  <c r="G207" i="28"/>
  <c r="I207" i="28"/>
  <c r="M207" i="28"/>
  <c r="N207" i="28"/>
  <c r="O207" i="28"/>
  <c r="W207" i="28"/>
  <c r="X207" i="28"/>
  <c r="Z207" i="28"/>
  <c r="AF207" i="28"/>
  <c r="AG207" i="28"/>
  <c r="AI207" i="28"/>
  <c r="E208" i="28"/>
  <c r="F208" i="28"/>
  <c r="G208" i="28"/>
  <c r="I208" i="28"/>
  <c r="M208" i="28"/>
  <c r="N208" i="28"/>
  <c r="O208" i="28"/>
  <c r="W208" i="28"/>
  <c r="X208" i="28"/>
  <c r="Z208" i="28"/>
  <c r="AF208" i="28"/>
  <c r="AG208" i="28"/>
  <c r="AI208" i="28"/>
  <c r="E209" i="28"/>
  <c r="F209" i="28"/>
  <c r="G209" i="28"/>
  <c r="I209" i="28"/>
  <c r="M209" i="28"/>
  <c r="N209" i="28"/>
  <c r="O209" i="28"/>
  <c r="W209" i="28"/>
  <c r="X209" i="28"/>
  <c r="Z209" i="28"/>
  <c r="AF209" i="28"/>
  <c r="AG209" i="28"/>
  <c r="AI209" i="28"/>
  <c r="E210" i="28"/>
  <c r="F210" i="28"/>
  <c r="G210" i="28"/>
  <c r="I210" i="28"/>
  <c r="M210" i="28"/>
  <c r="N210" i="28"/>
  <c r="O210" i="28"/>
  <c r="W210" i="28"/>
  <c r="X210" i="28"/>
  <c r="Z210" i="28"/>
  <c r="AF210" i="28"/>
  <c r="AG210" i="28"/>
  <c r="AI210" i="28"/>
  <c r="E211" i="28"/>
  <c r="F211" i="28"/>
  <c r="G211" i="28"/>
  <c r="I211" i="28"/>
  <c r="M211" i="28"/>
  <c r="N211" i="28"/>
  <c r="O211" i="28"/>
  <c r="W211" i="28"/>
  <c r="X211" i="28"/>
  <c r="Z211" i="28"/>
  <c r="AF211" i="28"/>
  <c r="AG211" i="28"/>
  <c r="AI211" i="28"/>
  <c r="E212" i="28"/>
  <c r="F212" i="28"/>
  <c r="G212" i="28"/>
  <c r="I212" i="28"/>
  <c r="M212" i="28"/>
  <c r="N212" i="28"/>
  <c r="O212" i="28"/>
  <c r="W212" i="28"/>
  <c r="X212" i="28"/>
  <c r="Z212" i="28"/>
  <c r="AF212" i="28"/>
  <c r="AG212" i="28"/>
  <c r="AI212" i="28"/>
  <c r="E213" i="28"/>
  <c r="F213" i="28"/>
  <c r="G213" i="28"/>
  <c r="I213" i="28"/>
  <c r="M213" i="28"/>
  <c r="N213" i="28"/>
  <c r="O213" i="28"/>
  <c r="W213" i="28"/>
  <c r="X213" i="28"/>
  <c r="Z213" i="28"/>
  <c r="AF213" i="28"/>
  <c r="AG213" i="28"/>
  <c r="AI213" i="28"/>
  <c r="E214" i="28"/>
  <c r="F214" i="28"/>
  <c r="G214" i="28"/>
  <c r="I214" i="28"/>
  <c r="M214" i="28"/>
  <c r="N214" i="28"/>
  <c r="O214" i="28"/>
  <c r="W214" i="28"/>
  <c r="X214" i="28"/>
  <c r="Z214" i="28"/>
  <c r="AF214" i="28"/>
  <c r="AG214" i="28"/>
  <c r="AI214" i="28"/>
  <c r="E215" i="28"/>
  <c r="F215" i="28"/>
  <c r="G215" i="28"/>
  <c r="I215" i="28"/>
  <c r="M215" i="28"/>
  <c r="N215" i="28"/>
  <c r="O215" i="28"/>
  <c r="W215" i="28"/>
  <c r="X215" i="28"/>
  <c r="Z215" i="28"/>
  <c r="AF215" i="28"/>
  <c r="AG215" i="28"/>
  <c r="AI215" i="28"/>
  <c r="E216" i="28"/>
  <c r="F216" i="28"/>
  <c r="G216" i="28"/>
  <c r="I216" i="28"/>
  <c r="M216" i="28"/>
  <c r="N216" i="28"/>
  <c r="O216" i="28"/>
  <c r="W216" i="28"/>
  <c r="X216" i="28"/>
  <c r="Z216" i="28"/>
  <c r="AF216" i="28"/>
  <c r="AG216" i="28"/>
  <c r="AI216" i="28"/>
  <c r="E217" i="28"/>
  <c r="F217" i="28"/>
  <c r="G217" i="28"/>
  <c r="I217" i="28"/>
  <c r="M217" i="28"/>
  <c r="N217" i="28"/>
  <c r="O217" i="28"/>
  <c r="W217" i="28"/>
  <c r="X217" i="28"/>
  <c r="Z217" i="28"/>
  <c r="AF217" i="28"/>
  <c r="AG217" i="28"/>
  <c r="AI217" i="28"/>
  <c r="E218" i="28"/>
  <c r="F218" i="28"/>
  <c r="G218" i="28"/>
  <c r="I218" i="28"/>
  <c r="M218" i="28"/>
  <c r="N218" i="28"/>
  <c r="O218" i="28"/>
  <c r="W218" i="28"/>
  <c r="X218" i="28"/>
  <c r="Z218" i="28"/>
  <c r="AF218" i="28"/>
  <c r="AG218" i="28"/>
  <c r="AI218" i="28"/>
  <c r="E219" i="28"/>
  <c r="F219" i="28"/>
  <c r="G219" i="28"/>
  <c r="I219" i="28"/>
  <c r="M219" i="28"/>
  <c r="N219" i="28"/>
  <c r="O219" i="28"/>
  <c r="W219" i="28"/>
  <c r="X219" i="28"/>
  <c r="Z219" i="28"/>
  <c r="AF219" i="28"/>
  <c r="AG219" i="28"/>
  <c r="AI219" i="28"/>
  <c r="E220" i="28"/>
  <c r="F220" i="28"/>
  <c r="G220" i="28"/>
  <c r="I220" i="28"/>
  <c r="M220" i="28"/>
  <c r="N220" i="28"/>
  <c r="O220" i="28"/>
  <c r="W220" i="28"/>
  <c r="X220" i="28"/>
  <c r="Z220" i="28"/>
  <c r="AF220" i="28"/>
  <c r="AG220" i="28"/>
  <c r="AI220" i="28"/>
  <c r="E221" i="28"/>
  <c r="F221" i="28"/>
  <c r="G221" i="28"/>
  <c r="I221" i="28"/>
  <c r="M221" i="28"/>
  <c r="N221" i="28"/>
  <c r="O221" i="28"/>
  <c r="W221" i="28"/>
  <c r="X221" i="28"/>
  <c r="Z221" i="28"/>
  <c r="AF221" i="28"/>
  <c r="AG221" i="28"/>
  <c r="AI221" i="28"/>
  <c r="E222" i="28"/>
  <c r="F222" i="28"/>
  <c r="G222" i="28"/>
  <c r="I222" i="28"/>
  <c r="M222" i="28"/>
  <c r="N222" i="28"/>
  <c r="O222" i="28"/>
  <c r="W222" i="28"/>
  <c r="X222" i="28"/>
  <c r="Z222" i="28"/>
  <c r="AF222" i="28"/>
  <c r="AG222" i="28"/>
  <c r="AI222" i="28"/>
  <c r="E223" i="28"/>
  <c r="F223" i="28"/>
  <c r="G223" i="28"/>
  <c r="I223" i="28"/>
  <c r="M223" i="28"/>
  <c r="N223" i="28"/>
  <c r="O223" i="28"/>
  <c r="W223" i="28"/>
  <c r="X223" i="28"/>
  <c r="Z223" i="28"/>
  <c r="AF223" i="28"/>
  <c r="AG223" i="28"/>
  <c r="AI223" i="28"/>
  <c r="E224" i="28"/>
  <c r="F224" i="28"/>
  <c r="G224" i="28"/>
  <c r="I224" i="28"/>
  <c r="M224" i="28"/>
  <c r="N224" i="28"/>
  <c r="O224" i="28"/>
  <c r="W224" i="28"/>
  <c r="X224" i="28"/>
  <c r="Z224" i="28"/>
  <c r="AF224" i="28"/>
  <c r="AG224" i="28"/>
  <c r="AI224" i="28"/>
  <c r="E225" i="28"/>
  <c r="F225" i="28"/>
  <c r="G225" i="28"/>
  <c r="I225" i="28"/>
  <c r="M225" i="28"/>
  <c r="N225" i="28"/>
  <c r="O225" i="28"/>
  <c r="W225" i="28"/>
  <c r="X225" i="28"/>
  <c r="Z225" i="28"/>
  <c r="AF225" i="28"/>
  <c r="AG225" i="28"/>
  <c r="AI225" i="28"/>
  <c r="E226" i="28"/>
  <c r="F226" i="28"/>
  <c r="G226" i="28"/>
  <c r="I226" i="28"/>
  <c r="M226" i="28"/>
  <c r="N226" i="28"/>
  <c r="O226" i="28"/>
  <c r="W226" i="28"/>
  <c r="X226" i="28"/>
  <c r="Z226" i="28"/>
  <c r="AF226" i="28"/>
  <c r="AG226" i="28"/>
  <c r="AI226" i="28"/>
  <c r="E227" i="28"/>
  <c r="F227" i="28"/>
  <c r="G227" i="28"/>
  <c r="I227" i="28"/>
  <c r="M227" i="28"/>
  <c r="N227" i="28"/>
  <c r="O227" i="28"/>
  <c r="W227" i="28"/>
  <c r="X227" i="28"/>
  <c r="Z227" i="28"/>
  <c r="AF227" i="28"/>
  <c r="AG227" i="28"/>
  <c r="AI227" i="28"/>
  <c r="E228" i="28"/>
  <c r="F228" i="28"/>
  <c r="G228" i="28"/>
  <c r="I228" i="28"/>
  <c r="M228" i="28"/>
  <c r="N228" i="28"/>
  <c r="O228" i="28"/>
  <c r="W228" i="28"/>
  <c r="X228" i="28"/>
  <c r="Z228" i="28"/>
  <c r="AF228" i="28"/>
  <c r="AG228" i="28"/>
  <c r="AI228" i="28"/>
  <c r="E229" i="28"/>
  <c r="F229" i="28"/>
  <c r="G229" i="28"/>
  <c r="I229" i="28"/>
  <c r="M229" i="28"/>
  <c r="N229" i="28"/>
  <c r="O229" i="28"/>
  <c r="W229" i="28"/>
  <c r="X229" i="28"/>
  <c r="Z229" i="28"/>
  <c r="AF229" i="28"/>
  <c r="AG229" i="28"/>
  <c r="AI229" i="28"/>
  <c r="E230" i="28"/>
  <c r="F230" i="28"/>
  <c r="G230" i="28"/>
  <c r="I230" i="28"/>
  <c r="M230" i="28"/>
  <c r="N230" i="28"/>
  <c r="O230" i="28"/>
  <c r="W230" i="28"/>
  <c r="X230" i="28"/>
  <c r="Z230" i="28"/>
  <c r="AF230" i="28"/>
  <c r="AG230" i="28"/>
  <c r="AI230" i="28"/>
  <c r="E231" i="28"/>
  <c r="F231" i="28"/>
  <c r="G231" i="28"/>
  <c r="I231" i="28"/>
  <c r="M231" i="28"/>
  <c r="N231" i="28"/>
  <c r="O231" i="28"/>
  <c r="W231" i="28"/>
  <c r="X231" i="28"/>
  <c r="Z231" i="28"/>
  <c r="AF231" i="28"/>
  <c r="AG231" i="28"/>
  <c r="AI231" i="28"/>
  <c r="E232" i="28"/>
  <c r="F232" i="28"/>
  <c r="G232" i="28"/>
  <c r="I232" i="28"/>
  <c r="M232" i="28"/>
  <c r="N232" i="28"/>
  <c r="O232" i="28"/>
  <c r="W232" i="28"/>
  <c r="X232" i="28"/>
  <c r="Z232" i="28"/>
  <c r="AF232" i="28"/>
  <c r="AG232" i="28"/>
  <c r="AI232" i="28"/>
  <c r="E233" i="28"/>
  <c r="F233" i="28"/>
  <c r="G233" i="28"/>
  <c r="I233" i="28"/>
  <c r="M233" i="28"/>
  <c r="N233" i="28"/>
  <c r="O233" i="28"/>
  <c r="W233" i="28"/>
  <c r="X233" i="28"/>
  <c r="Z233" i="28"/>
  <c r="AF233" i="28"/>
  <c r="AG233" i="28"/>
  <c r="AI233" i="28"/>
  <c r="E234" i="28"/>
  <c r="F234" i="28"/>
  <c r="G234" i="28"/>
  <c r="I234" i="28"/>
  <c r="M234" i="28"/>
  <c r="N234" i="28"/>
  <c r="O234" i="28"/>
  <c r="W234" i="28"/>
  <c r="X234" i="28"/>
  <c r="Z234" i="28"/>
  <c r="AF234" i="28"/>
  <c r="AG234" i="28"/>
  <c r="AI234" i="28"/>
  <c r="E235" i="28"/>
  <c r="F235" i="28"/>
  <c r="G235" i="28"/>
  <c r="I235" i="28"/>
  <c r="M235" i="28"/>
  <c r="N235" i="28"/>
  <c r="O235" i="28"/>
  <c r="W235" i="28"/>
  <c r="X235" i="28"/>
  <c r="Z235" i="28"/>
  <c r="AF235" i="28"/>
  <c r="AG235" i="28"/>
  <c r="AI235" i="28"/>
  <c r="E236" i="28"/>
  <c r="F236" i="28"/>
  <c r="G236" i="28"/>
  <c r="I236" i="28"/>
  <c r="M236" i="28"/>
  <c r="N236" i="28"/>
  <c r="O236" i="28"/>
  <c r="W236" i="28"/>
  <c r="X236" i="28"/>
  <c r="Z236" i="28"/>
  <c r="AF236" i="28"/>
  <c r="AG236" i="28"/>
  <c r="AI236" i="28"/>
  <c r="E237" i="28"/>
  <c r="F237" i="28"/>
  <c r="G237" i="28"/>
  <c r="I237" i="28"/>
  <c r="M237" i="28"/>
  <c r="N237" i="28"/>
  <c r="O237" i="28"/>
  <c r="W237" i="28"/>
  <c r="X237" i="28"/>
  <c r="Z237" i="28"/>
  <c r="AF237" i="28"/>
  <c r="AG237" i="28"/>
  <c r="AI237" i="28"/>
  <c r="E238" i="28"/>
  <c r="F238" i="28"/>
  <c r="G238" i="28"/>
  <c r="I238" i="28"/>
  <c r="M238" i="28"/>
  <c r="N238" i="28"/>
  <c r="O238" i="28"/>
  <c r="W238" i="28"/>
  <c r="X238" i="28"/>
  <c r="Z238" i="28"/>
  <c r="AF238" i="28"/>
  <c r="AG238" i="28"/>
  <c r="AI238" i="28"/>
  <c r="E239" i="28"/>
  <c r="F239" i="28"/>
  <c r="G239" i="28"/>
  <c r="I239" i="28"/>
  <c r="M239" i="28"/>
  <c r="N239" i="28"/>
  <c r="O239" i="28"/>
  <c r="W239" i="28"/>
  <c r="X239" i="28"/>
  <c r="Z239" i="28"/>
  <c r="AF239" i="28"/>
  <c r="AG239" i="28"/>
  <c r="AI239" i="28"/>
  <c r="E240" i="28"/>
  <c r="F240" i="28"/>
  <c r="G240" i="28"/>
  <c r="I240" i="28"/>
  <c r="M240" i="28"/>
  <c r="N240" i="28"/>
  <c r="O240" i="28"/>
  <c r="W240" i="28"/>
  <c r="X240" i="28"/>
  <c r="Z240" i="28"/>
  <c r="AF240" i="28"/>
  <c r="AG240" i="28"/>
  <c r="AI240" i="28"/>
  <c r="E241" i="28"/>
  <c r="F241" i="28"/>
  <c r="G241" i="28"/>
  <c r="I241" i="28"/>
  <c r="M241" i="28"/>
  <c r="N241" i="28"/>
  <c r="O241" i="28"/>
  <c r="W241" i="28"/>
  <c r="X241" i="28"/>
  <c r="Z241" i="28"/>
  <c r="AF241" i="28"/>
  <c r="AG241" i="28"/>
  <c r="AI241" i="28"/>
  <c r="E242" i="28"/>
  <c r="F242" i="28"/>
  <c r="G242" i="28"/>
  <c r="I242" i="28"/>
  <c r="M242" i="28"/>
  <c r="N242" i="28"/>
  <c r="O242" i="28"/>
  <c r="W242" i="28"/>
  <c r="X242" i="28"/>
  <c r="Z242" i="28"/>
  <c r="AF242" i="28"/>
  <c r="AG242" i="28"/>
  <c r="AI242" i="28"/>
  <c r="E243" i="28"/>
  <c r="F243" i="28"/>
  <c r="G243" i="28"/>
  <c r="I243" i="28"/>
  <c r="M243" i="28"/>
  <c r="N243" i="28"/>
  <c r="O243" i="28"/>
  <c r="W243" i="28"/>
  <c r="X243" i="28"/>
  <c r="Z243" i="28"/>
  <c r="AF243" i="28"/>
  <c r="AG243" i="28"/>
  <c r="AI243" i="28"/>
  <c r="E244" i="28"/>
  <c r="F244" i="28"/>
  <c r="G244" i="28"/>
  <c r="I244" i="28"/>
  <c r="M244" i="28"/>
  <c r="N244" i="28"/>
  <c r="O244" i="28"/>
  <c r="W244" i="28"/>
  <c r="X244" i="28"/>
  <c r="Z244" i="28"/>
  <c r="AF244" i="28"/>
  <c r="AG244" i="28"/>
  <c r="AI244" i="28"/>
  <c r="E245" i="28"/>
  <c r="F245" i="28"/>
  <c r="G245" i="28"/>
  <c r="I245" i="28"/>
  <c r="M245" i="28"/>
  <c r="N245" i="28"/>
  <c r="O245" i="28"/>
  <c r="W245" i="28"/>
  <c r="X245" i="28"/>
  <c r="Z245" i="28"/>
  <c r="AF245" i="28"/>
  <c r="AG245" i="28"/>
  <c r="AI245" i="28"/>
  <c r="E246" i="28"/>
  <c r="F246" i="28"/>
  <c r="G246" i="28"/>
  <c r="I246" i="28"/>
  <c r="M246" i="28"/>
  <c r="N246" i="28"/>
  <c r="O246" i="28"/>
  <c r="W246" i="28"/>
  <c r="X246" i="28"/>
  <c r="Z246" i="28"/>
  <c r="AF246" i="28"/>
  <c r="AG246" i="28"/>
  <c r="AI246" i="28"/>
  <c r="E247" i="28"/>
  <c r="F247" i="28"/>
  <c r="G247" i="28"/>
  <c r="I247" i="28"/>
  <c r="M247" i="28"/>
  <c r="N247" i="28"/>
  <c r="O247" i="28"/>
  <c r="W247" i="28"/>
  <c r="X247" i="28"/>
  <c r="Z247" i="28"/>
  <c r="AF247" i="28"/>
  <c r="AG247" i="28"/>
  <c r="AI247" i="28"/>
  <c r="E248" i="28"/>
  <c r="F248" i="28"/>
  <c r="G248" i="28"/>
  <c r="I248" i="28"/>
  <c r="M248" i="28"/>
  <c r="N248" i="28"/>
  <c r="O248" i="28"/>
  <c r="W248" i="28"/>
  <c r="X248" i="28"/>
  <c r="Z248" i="28"/>
  <c r="AF248" i="28"/>
  <c r="AG248" i="28"/>
  <c r="AI248" i="28"/>
  <c r="E249" i="28"/>
  <c r="F249" i="28"/>
  <c r="G249" i="28"/>
  <c r="I249" i="28"/>
  <c r="M249" i="28"/>
  <c r="N249" i="28"/>
  <c r="O249" i="28"/>
  <c r="W249" i="28"/>
  <c r="X249" i="28"/>
  <c r="Z249" i="28"/>
  <c r="AF249" i="28"/>
  <c r="AG249" i="28"/>
  <c r="AI249" i="28"/>
  <c r="E250" i="28"/>
  <c r="F250" i="28"/>
  <c r="G250" i="28"/>
  <c r="I250" i="28"/>
  <c r="M250" i="28"/>
  <c r="N250" i="28"/>
  <c r="O250" i="28"/>
  <c r="W250" i="28"/>
  <c r="X250" i="28"/>
  <c r="Z250" i="28"/>
  <c r="AF250" i="28"/>
  <c r="AG250" i="28"/>
  <c r="AI250" i="28"/>
  <c r="E251" i="28"/>
  <c r="F251" i="28"/>
  <c r="G251" i="28"/>
  <c r="I251" i="28"/>
  <c r="M251" i="28"/>
  <c r="N251" i="28"/>
  <c r="O251" i="28"/>
  <c r="W251" i="28"/>
  <c r="X251" i="28"/>
  <c r="Z251" i="28"/>
  <c r="AF251" i="28"/>
  <c r="AG251" i="28"/>
  <c r="AI251" i="28"/>
  <c r="E252" i="28"/>
  <c r="F252" i="28"/>
  <c r="G252" i="28"/>
  <c r="I252" i="28"/>
  <c r="M252" i="28"/>
  <c r="N252" i="28"/>
  <c r="O252" i="28"/>
  <c r="W252" i="28"/>
  <c r="X252" i="28"/>
  <c r="Z252" i="28"/>
  <c r="AF252" i="28"/>
  <c r="AG252" i="28"/>
  <c r="AI252" i="28"/>
  <c r="E253" i="28"/>
  <c r="F253" i="28"/>
  <c r="G253" i="28"/>
  <c r="I253" i="28"/>
  <c r="M253" i="28"/>
  <c r="N253" i="28"/>
  <c r="O253" i="28"/>
  <c r="W253" i="28"/>
  <c r="X253" i="28"/>
  <c r="Z253" i="28"/>
  <c r="AF253" i="28"/>
  <c r="AG253" i="28"/>
  <c r="AI253" i="28"/>
  <c r="E254" i="28"/>
  <c r="F254" i="28"/>
  <c r="G254" i="28"/>
  <c r="I254" i="28"/>
  <c r="M254" i="28"/>
  <c r="N254" i="28"/>
  <c r="O254" i="28"/>
  <c r="W254" i="28"/>
  <c r="X254" i="28"/>
  <c r="Z254" i="28"/>
  <c r="AF254" i="28"/>
  <c r="AG254" i="28"/>
  <c r="AI254" i="28"/>
  <c r="E255" i="28"/>
  <c r="F255" i="28"/>
  <c r="G255" i="28"/>
  <c r="I255" i="28"/>
  <c r="M255" i="28"/>
  <c r="N255" i="28"/>
  <c r="O255" i="28"/>
  <c r="W255" i="28"/>
  <c r="X255" i="28"/>
  <c r="Z255" i="28"/>
  <c r="AF255" i="28"/>
  <c r="AG255" i="28"/>
  <c r="AI255" i="28"/>
  <c r="E256" i="28"/>
  <c r="F256" i="28"/>
  <c r="G256" i="28"/>
  <c r="I256" i="28"/>
  <c r="M256" i="28"/>
  <c r="N256" i="28"/>
  <c r="O256" i="28"/>
  <c r="W256" i="28"/>
  <c r="X256" i="28"/>
  <c r="Z256" i="28"/>
  <c r="AF256" i="28"/>
  <c r="AG256" i="28"/>
  <c r="AI256" i="28"/>
  <c r="E257" i="28"/>
  <c r="F257" i="28"/>
  <c r="G257" i="28"/>
  <c r="I257" i="28"/>
  <c r="M257" i="28"/>
  <c r="N257" i="28"/>
  <c r="O257" i="28"/>
  <c r="W257" i="28"/>
  <c r="X257" i="28"/>
  <c r="Z257" i="28"/>
  <c r="AF257" i="28"/>
  <c r="AG257" i="28"/>
  <c r="AI257" i="28"/>
  <c r="E258" i="28"/>
  <c r="F258" i="28"/>
  <c r="G258" i="28"/>
  <c r="I258" i="28"/>
  <c r="M258" i="28"/>
  <c r="N258" i="28"/>
  <c r="O258" i="28"/>
  <c r="W258" i="28"/>
  <c r="X258" i="28"/>
  <c r="Z258" i="28"/>
  <c r="AF258" i="28"/>
  <c r="AG258" i="28"/>
  <c r="AI258" i="28"/>
  <c r="E259" i="28"/>
  <c r="F259" i="28"/>
  <c r="G259" i="28"/>
  <c r="I259" i="28"/>
  <c r="M259" i="28"/>
  <c r="N259" i="28"/>
  <c r="O259" i="28"/>
  <c r="W259" i="28"/>
  <c r="X259" i="28"/>
  <c r="Z259" i="28"/>
  <c r="AF259" i="28"/>
  <c r="AG259" i="28"/>
  <c r="AI259" i="28"/>
  <c r="E260" i="28"/>
  <c r="F260" i="28"/>
  <c r="G260" i="28"/>
  <c r="I260" i="28"/>
  <c r="M260" i="28"/>
  <c r="N260" i="28"/>
  <c r="O260" i="28"/>
  <c r="W260" i="28"/>
  <c r="X260" i="28"/>
  <c r="Z260" i="28"/>
  <c r="AF260" i="28"/>
  <c r="AG260" i="28"/>
  <c r="AI260" i="28"/>
  <c r="E261" i="28"/>
  <c r="F261" i="28"/>
  <c r="G261" i="28"/>
  <c r="I261" i="28"/>
  <c r="M261" i="28"/>
  <c r="N261" i="28"/>
  <c r="O261" i="28"/>
  <c r="W261" i="28"/>
  <c r="X261" i="28"/>
  <c r="Z261" i="28"/>
  <c r="AF261" i="28"/>
  <c r="AG261" i="28"/>
  <c r="AI261" i="28"/>
  <c r="E262" i="28"/>
  <c r="F262" i="28"/>
  <c r="G262" i="28"/>
  <c r="I262" i="28"/>
  <c r="M262" i="28"/>
  <c r="N262" i="28"/>
  <c r="O262" i="28"/>
  <c r="W262" i="28"/>
  <c r="X262" i="28"/>
  <c r="Z262" i="28"/>
  <c r="AF262" i="28"/>
  <c r="AG262" i="28"/>
  <c r="AI262" i="28"/>
  <c r="E263" i="28"/>
  <c r="F263" i="28"/>
  <c r="G263" i="28"/>
  <c r="I263" i="28"/>
  <c r="M263" i="28"/>
  <c r="N263" i="28"/>
  <c r="O263" i="28"/>
  <c r="W263" i="28"/>
  <c r="X263" i="28"/>
  <c r="Z263" i="28"/>
  <c r="AF263" i="28"/>
  <c r="AG263" i="28"/>
  <c r="AI263" i="28"/>
  <c r="E264" i="28"/>
  <c r="F264" i="28"/>
  <c r="G264" i="28"/>
  <c r="I264" i="28"/>
  <c r="M264" i="28"/>
  <c r="N264" i="28"/>
  <c r="O264" i="28"/>
  <c r="W264" i="28"/>
  <c r="X264" i="28"/>
  <c r="Z264" i="28"/>
  <c r="AF264" i="28"/>
  <c r="AG264" i="28"/>
  <c r="AI264" i="28"/>
  <c r="E265" i="28"/>
  <c r="F265" i="28"/>
  <c r="G265" i="28"/>
  <c r="I265" i="28"/>
  <c r="M265" i="28"/>
  <c r="N265" i="28"/>
  <c r="O265" i="28"/>
  <c r="W265" i="28"/>
  <c r="X265" i="28"/>
  <c r="Z265" i="28"/>
  <c r="AF265" i="28"/>
  <c r="AG265" i="28"/>
  <c r="AI265" i="28"/>
  <c r="E266" i="28"/>
  <c r="F266" i="28"/>
  <c r="G266" i="28"/>
  <c r="I266" i="28"/>
  <c r="M266" i="28"/>
  <c r="N266" i="28"/>
  <c r="O266" i="28"/>
  <c r="W266" i="28"/>
  <c r="X266" i="28"/>
  <c r="Z266" i="28"/>
  <c r="AF266" i="28"/>
  <c r="AG266" i="28"/>
  <c r="AI266" i="28"/>
  <c r="E267" i="28"/>
  <c r="F267" i="28"/>
  <c r="G267" i="28"/>
  <c r="I267" i="28"/>
  <c r="M267" i="28"/>
  <c r="N267" i="28"/>
  <c r="O267" i="28"/>
  <c r="W267" i="28"/>
  <c r="X267" i="28"/>
  <c r="Z267" i="28"/>
  <c r="AF267" i="28"/>
  <c r="AG267" i="28"/>
  <c r="AI267" i="28"/>
  <c r="E268" i="28"/>
  <c r="F268" i="28"/>
  <c r="G268" i="28"/>
  <c r="I268" i="28"/>
  <c r="M268" i="28"/>
  <c r="N268" i="28"/>
  <c r="O268" i="28"/>
  <c r="W268" i="28"/>
  <c r="X268" i="28"/>
  <c r="Z268" i="28"/>
  <c r="AF268" i="28"/>
  <c r="AG268" i="28"/>
  <c r="AI268" i="28"/>
  <c r="E269" i="28"/>
  <c r="F269" i="28"/>
  <c r="G269" i="28"/>
  <c r="I269" i="28"/>
  <c r="M269" i="28"/>
  <c r="N269" i="28"/>
  <c r="O269" i="28"/>
  <c r="W269" i="28"/>
  <c r="X269" i="28"/>
  <c r="Z269" i="28"/>
  <c r="AF269" i="28"/>
  <c r="AG269" i="28"/>
  <c r="AI269" i="28"/>
  <c r="E270" i="28"/>
  <c r="F270" i="28"/>
  <c r="G270" i="28"/>
  <c r="I270" i="28"/>
  <c r="M270" i="28"/>
  <c r="N270" i="28"/>
  <c r="O270" i="28"/>
  <c r="W270" i="28"/>
  <c r="X270" i="28"/>
  <c r="Z270" i="28"/>
  <c r="AF270" i="28"/>
  <c r="AG270" i="28"/>
  <c r="AI270" i="28"/>
  <c r="E271" i="28"/>
  <c r="F271" i="28"/>
  <c r="G271" i="28"/>
  <c r="I271" i="28"/>
  <c r="M271" i="28"/>
  <c r="N271" i="28"/>
  <c r="O271" i="28"/>
  <c r="W271" i="28"/>
  <c r="X271" i="28"/>
  <c r="Z271" i="28"/>
  <c r="AF271" i="28"/>
  <c r="AG271" i="28"/>
  <c r="AI271" i="28"/>
  <c r="E272" i="28"/>
  <c r="F272" i="28"/>
  <c r="G272" i="28"/>
  <c r="I272" i="28"/>
  <c r="M272" i="28"/>
  <c r="N272" i="28"/>
  <c r="O272" i="28"/>
  <c r="W272" i="28"/>
  <c r="X272" i="28"/>
  <c r="Z272" i="28"/>
  <c r="AF272" i="28"/>
  <c r="AG272" i="28"/>
  <c r="AI272" i="28"/>
  <c r="E273" i="28"/>
  <c r="F273" i="28"/>
  <c r="G273" i="28"/>
  <c r="I273" i="28"/>
  <c r="M273" i="28"/>
  <c r="N273" i="28"/>
  <c r="O273" i="28"/>
  <c r="W273" i="28"/>
  <c r="X273" i="28"/>
  <c r="Z273" i="28"/>
  <c r="AF273" i="28"/>
  <c r="AG273" i="28"/>
  <c r="AI273" i="28"/>
  <c r="E274" i="28"/>
  <c r="F274" i="28"/>
  <c r="G274" i="28"/>
  <c r="I274" i="28"/>
  <c r="M274" i="28"/>
  <c r="N274" i="28"/>
  <c r="O274" i="28"/>
  <c r="W274" i="28"/>
  <c r="X274" i="28"/>
  <c r="Z274" i="28"/>
  <c r="AF274" i="28"/>
  <c r="AG274" i="28"/>
  <c r="AI274" i="28"/>
  <c r="E275" i="28"/>
  <c r="F275" i="28"/>
  <c r="G275" i="28"/>
  <c r="I275" i="28"/>
  <c r="M275" i="28"/>
  <c r="N275" i="28"/>
  <c r="O275" i="28"/>
  <c r="W275" i="28"/>
  <c r="X275" i="28"/>
  <c r="Z275" i="28"/>
  <c r="AF275" i="28"/>
  <c r="AG275" i="28"/>
  <c r="AI275" i="28"/>
  <c r="E276" i="28"/>
  <c r="F276" i="28"/>
  <c r="G276" i="28"/>
  <c r="I276" i="28"/>
  <c r="M276" i="28"/>
  <c r="N276" i="28"/>
  <c r="O276" i="28"/>
  <c r="W276" i="28"/>
  <c r="X276" i="28"/>
  <c r="Z276" i="28"/>
  <c r="AF276" i="28"/>
  <c r="AG276" i="28"/>
  <c r="AI276" i="28"/>
  <c r="E277" i="28"/>
  <c r="F277" i="28"/>
  <c r="G277" i="28"/>
  <c r="I277" i="28"/>
  <c r="M277" i="28"/>
  <c r="N277" i="28"/>
  <c r="O277" i="28"/>
  <c r="W277" i="28"/>
  <c r="X277" i="28"/>
  <c r="Z277" i="28"/>
  <c r="AF277" i="28"/>
  <c r="AG277" i="28"/>
  <c r="AI277" i="28"/>
  <c r="E278" i="28"/>
  <c r="F278" i="28"/>
  <c r="G278" i="28"/>
  <c r="I278" i="28"/>
  <c r="M278" i="28"/>
  <c r="N278" i="28"/>
  <c r="O278" i="28"/>
  <c r="W278" i="28"/>
  <c r="X278" i="28"/>
  <c r="Z278" i="28"/>
  <c r="AF278" i="28"/>
  <c r="AG278" i="28"/>
  <c r="AI278" i="28"/>
  <c r="E279" i="28"/>
  <c r="F279" i="28"/>
  <c r="G279" i="28"/>
  <c r="I279" i="28"/>
  <c r="M279" i="28"/>
  <c r="N279" i="28"/>
  <c r="O279" i="28"/>
  <c r="W279" i="28"/>
  <c r="X279" i="28"/>
  <c r="Z279" i="28"/>
  <c r="AF279" i="28"/>
  <c r="AG279" i="28"/>
  <c r="AI279" i="28"/>
  <c r="E280" i="28"/>
  <c r="F280" i="28"/>
  <c r="G280" i="28"/>
  <c r="I280" i="28"/>
  <c r="M280" i="28"/>
  <c r="N280" i="28"/>
  <c r="O280" i="28"/>
  <c r="W280" i="28"/>
  <c r="X280" i="28"/>
  <c r="Z280" i="28"/>
  <c r="AF280" i="28"/>
  <c r="AG280" i="28"/>
  <c r="AI280" i="28"/>
  <c r="E281" i="28"/>
  <c r="F281" i="28"/>
  <c r="G281" i="28"/>
  <c r="I281" i="28"/>
  <c r="M281" i="28"/>
  <c r="N281" i="28"/>
  <c r="O281" i="28"/>
  <c r="W281" i="28"/>
  <c r="X281" i="28"/>
  <c r="Z281" i="28"/>
  <c r="AF281" i="28"/>
  <c r="AG281" i="28"/>
  <c r="AI281" i="28"/>
  <c r="E282" i="28"/>
  <c r="F282" i="28"/>
  <c r="G282" i="28"/>
  <c r="I282" i="28"/>
  <c r="M282" i="28"/>
  <c r="N282" i="28"/>
  <c r="O282" i="28"/>
  <c r="W282" i="28"/>
  <c r="X282" i="28"/>
  <c r="Z282" i="28"/>
  <c r="AF282" i="28"/>
  <c r="AG282" i="28"/>
  <c r="AI282" i="28"/>
  <c r="E283" i="28"/>
  <c r="F283" i="28"/>
  <c r="G283" i="28"/>
  <c r="I283" i="28"/>
  <c r="M283" i="28"/>
  <c r="N283" i="28"/>
  <c r="O283" i="28"/>
  <c r="W283" i="28"/>
  <c r="X283" i="28"/>
  <c r="Z283" i="28"/>
  <c r="AF283" i="28"/>
  <c r="AG283" i="28"/>
  <c r="AI283" i="28"/>
  <c r="E284" i="28"/>
  <c r="F284" i="28"/>
  <c r="G284" i="28"/>
  <c r="I284" i="28"/>
  <c r="M284" i="28"/>
  <c r="N284" i="28"/>
  <c r="O284" i="28"/>
  <c r="W284" i="28"/>
  <c r="X284" i="28"/>
  <c r="Z284" i="28"/>
  <c r="AF284" i="28"/>
  <c r="AG284" i="28"/>
  <c r="AI284" i="28"/>
  <c r="E285" i="28"/>
  <c r="F285" i="28"/>
  <c r="G285" i="28"/>
  <c r="I285" i="28"/>
  <c r="M285" i="28"/>
  <c r="N285" i="28"/>
  <c r="O285" i="28"/>
  <c r="W285" i="28"/>
  <c r="X285" i="28"/>
  <c r="Z285" i="28"/>
  <c r="AF285" i="28"/>
  <c r="AG285" i="28"/>
  <c r="AI285" i="28"/>
  <c r="E286" i="28"/>
  <c r="F286" i="28"/>
  <c r="G286" i="28"/>
  <c r="I286" i="28"/>
  <c r="M286" i="28"/>
  <c r="N286" i="28"/>
  <c r="O286" i="28"/>
  <c r="W286" i="28"/>
  <c r="X286" i="28"/>
  <c r="Z286" i="28"/>
  <c r="AF286" i="28"/>
  <c r="AG286" i="28"/>
  <c r="AI286" i="28"/>
  <c r="E287" i="28"/>
  <c r="F287" i="28"/>
  <c r="G287" i="28"/>
  <c r="I287" i="28"/>
  <c r="M287" i="28"/>
  <c r="N287" i="28"/>
  <c r="O287" i="28"/>
  <c r="W287" i="28"/>
  <c r="X287" i="28"/>
  <c r="Z287" i="28"/>
  <c r="AF287" i="28"/>
  <c r="AG287" i="28"/>
  <c r="AI287" i="28"/>
  <c r="E288" i="28"/>
  <c r="F288" i="28"/>
  <c r="G288" i="28"/>
  <c r="I288" i="28"/>
  <c r="M288" i="28"/>
  <c r="N288" i="28"/>
  <c r="O288" i="28"/>
  <c r="W288" i="28"/>
  <c r="X288" i="28"/>
  <c r="Z288" i="28"/>
  <c r="AF288" i="28"/>
  <c r="AG288" i="28"/>
  <c r="AI288" i="28"/>
  <c r="E289" i="28"/>
  <c r="F289" i="28"/>
  <c r="G289" i="28"/>
  <c r="I289" i="28"/>
  <c r="M289" i="28"/>
  <c r="N289" i="28"/>
  <c r="O289" i="28"/>
  <c r="W289" i="28"/>
  <c r="X289" i="28"/>
  <c r="Z289" i="28"/>
  <c r="AF289" i="28"/>
  <c r="AG289" i="28"/>
  <c r="AI289" i="28"/>
  <c r="E290" i="28"/>
  <c r="F290" i="28"/>
  <c r="G290" i="28"/>
  <c r="I290" i="28"/>
  <c r="M290" i="28"/>
  <c r="N290" i="28"/>
  <c r="O290" i="28"/>
  <c r="W290" i="28"/>
  <c r="X290" i="28"/>
  <c r="Z290" i="28"/>
  <c r="AF290" i="28"/>
  <c r="AG290" i="28"/>
  <c r="AI290" i="28"/>
  <c r="E291" i="28"/>
  <c r="F291" i="28"/>
  <c r="G291" i="28"/>
  <c r="I291" i="28"/>
  <c r="M291" i="28"/>
  <c r="N291" i="28"/>
  <c r="O291" i="28"/>
  <c r="W291" i="28"/>
  <c r="X291" i="28"/>
  <c r="Z291" i="28"/>
  <c r="AF291" i="28"/>
  <c r="AG291" i="28"/>
  <c r="AI291" i="28"/>
  <c r="E292" i="28"/>
  <c r="F292" i="28"/>
  <c r="G292" i="28"/>
  <c r="I292" i="28"/>
  <c r="M292" i="28"/>
  <c r="N292" i="28"/>
  <c r="O292" i="28"/>
  <c r="W292" i="28"/>
  <c r="X292" i="28"/>
  <c r="Z292" i="28"/>
  <c r="AF292" i="28"/>
  <c r="AG292" i="28"/>
  <c r="AI292" i="28"/>
  <c r="E293" i="28"/>
  <c r="F293" i="28"/>
  <c r="G293" i="28"/>
  <c r="I293" i="28"/>
  <c r="M293" i="28"/>
  <c r="N293" i="28"/>
  <c r="O293" i="28"/>
  <c r="W293" i="28"/>
  <c r="X293" i="28"/>
  <c r="Z293" i="28"/>
  <c r="AF293" i="28"/>
  <c r="AG293" i="28"/>
  <c r="AI293" i="28"/>
  <c r="E294" i="28"/>
  <c r="F294" i="28"/>
  <c r="G294" i="28"/>
  <c r="I294" i="28"/>
  <c r="M294" i="28"/>
  <c r="N294" i="28"/>
  <c r="O294" i="28"/>
  <c r="W294" i="28"/>
  <c r="X294" i="28"/>
  <c r="Z294" i="28"/>
  <c r="AF294" i="28"/>
  <c r="AG294" i="28"/>
  <c r="AI294" i="28"/>
  <c r="E295" i="28"/>
  <c r="F295" i="28"/>
  <c r="G295" i="28"/>
  <c r="I295" i="28"/>
  <c r="M295" i="28"/>
  <c r="N295" i="28"/>
  <c r="O295" i="28"/>
  <c r="W295" i="28"/>
  <c r="X295" i="28"/>
  <c r="Z295" i="28"/>
  <c r="AF295" i="28"/>
  <c r="AG295" i="28"/>
  <c r="AI295" i="28"/>
  <c r="E296" i="28"/>
  <c r="F296" i="28"/>
  <c r="G296" i="28"/>
  <c r="I296" i="28"/>
  <c r="M296" i="28"/>
  <c r="N296" i="28"/>
  <c r="O296" i="28"/>
  <c r="W296" i="28"/>
  <c r="X296" i="28"/>
  <c r="Z296" i="28"/>
  <c r="AF296" i="28"/>
  <c r="AG296" i="28"/>
  <c r="AI296" i="28"/>
  <c r="E297" i="28"/>
  <c r="F297" i="28"/>
  <c r="G297" i="28"/>
  <c r="I297" i="28"/>
  <c r="M297" i="28"/>
  <c r="N297" i="28"/>
  <c r="O297" i="28"/>
  <c r="W297" i="28"/>
  <c r="X297" i="28"/>
  <c r="Z297" i="28"/>
  <c r="AF297" i="28"/>
  <c r="AG297" i="28"/>
  <c r="AI297" i="28"/>
  <c r="E298" i="28"/>
  <c r="F298" i="28"/>
  <c r="G298" i="28"/>
  <c r="I298" i="28"/>
  <c r="M298" i="28"/>
  <c r="N298" i="28"/>
  <c r="O298" i="28"/>
  <c r="W298" i="28"/>
  <c r="X298" i="28"/>
  <c r="Z298" i="28"/>
  <c r="AF298" i="28"/>
  <c r="AG298" i="28"/>
  <c r="AI298" i="28"/>
  <c r="E299" i="28"/>
  <c r="F299" i="28"/>
  <c r="G299" i="28"/>
  <c r="I299" i="28"/>
  <c r="M299" i="28"/>
  <c r="N299" i="28"/>
  <c r="O299" i="28"/>
  <c r="W299" i="28"/>
  <c r="X299" i="28"/>
  <c r="Z299" i="28"/>
  <c r="AF299" i="28"/>
  <c r="AG299" i="28"/>
  <c r="AI299" i="28"/>
  <c r="E300" i="28"/>
  <c r="F300" i="28"/>
  <c r="G300" i="28"/>
  <c r="I300" i="28"/>
  <c r="M300" i="28"/>
  <c r="N300" i="28"/>
  <c r="O300" i="28"/>
  <c r="W300" i="28"/>
  <c r="X300" i="28"/>
  <c r="Z300" i="28"/>
  <c r="AF300" i="28"/>
  <c r="AG300" i="28"/>
  <c r="AI300" i="28"/>
  <c r="E301" i="28"/>
  <c r="F301" i="28"/>
  <c r="G301" i="28"/>
  <c r="I301" i="28"/>
  <c r="M301" i="28"/>
  <c r="N301" i="28"/>
  <c r="O301" i="28"/>
  <c r="W301" i="28"/>
  <c r="X301" i="28"/>
  <c r="Z301" i="28"/>
  <c r="AF301" i="28"/>
  <c r="AG301" i="28"/>
  <c r="AI301" i="28"/>
  <c r="E302" i="28"/>
  <c r="F302" i="28"/>
  <c r="G302" i="28"/>
  <c r="I302" i="28"/>
  <c r="M302" i="28"/>
  <c r="N302" i="28"/>
  <c r="O302" i="28"/>
  <c r="W302" i="28"/>
  <c r="X302" i="28"/>
  <c r="Z302" i="28"/>
  <c r="AF302" i="28"/>
  <c r="AG302" i="28"/>
  <c r="AI302" i="28"/>
  <c r="E303" i="28"/>
  <c r="F303" i="28"/>
  <c r="G303" i="28"/>
  <c r="I303" i="28"/>
  <c r="M303" i="28"/>
  <c r="N303" i="28"/>
  <c r="O303" i="28"/>
  <c r="W303" i="28"/>
  <c r="X303" i="28"/>
  <c r="Z303" i="28"/>
  <c r="AF303" i="28"/>
  <c r="AG303" i="28"/>
  <c r="AI303" i="28"/>
  <c r="E304" i="28"/>
  <c r="F304" i="28"/>
  <c r="G304" i="28"/>
  <c r="I304" i="28"/>
  <c r="M304" i="28"/>
  <c r="N304" i="28"/>
  <c r="O304" i="28"/>
  <c r="W304" i="28"/>
  <c r="X304" i="28"/>
  <c r="Z304" i="28"/>
  <c r="AF304" i="28"/>
  <c r="AG304" i="28"/>
  <c r="AI304" i="28"/>
  <c r="E305" i="28"/>
  <c r="F305" i="28"/>
  <c r="G305" i="28"/>
  <c r="I305" i="28"/>
  <c r="M305" i="28"/>
  <c r="N305" i="28"/>
  <c r="O305" i="28"/>
  <c r="W305" i="28"/>
  <c r="X305" i="28"/>
  <c r="Z305" i="28"/>
  <c r="AF305" i="28"/>
  <c r="AG305" i="28"/>
  <c r="AI305" i="28"/>
  <c r="E306" i="28"/>
  <c r="F306" i="28"/>
  <c r="G306" i="28"/>
  <c r="I306" i="28"/>
  <c r="M306" i="28"/>
  <c r="N306" i="28"/>
  <c r="O306" i="28"/>
  <c r="W306" i="28"/>
  <c r="X306" i="28"/>
  <c r="Z306" i="28"/>
  <c r="AF306" i="28"/>
  <c r="AG306" i="28"/>
  <c r="AI306" i="28"/>
  <c r="E307" i="28"/>
  <c r="F307" i="28"/>
  <c r="G307" i="28"/>
  <c r="I307" i="28"/>
  <c r="M307" i="28"/>
  <c r="N307" i="28"/>
  <c r="O307" i="28"/>
  <c r="W307" i="28"/>
  <c r="X307" i="28"/>
  <c r="Z307" i="28"/>
  <c r="AF307" i="28"/>
  <c r="AG307" i="28"/>
  <c r="AI307" i="28"/>
  <c r="E308" i="28"/>
  <c r="F308" i="28"/>
  <c r="G308" i="28"/>
  <c r="I308" i="28"/>
  <c r="M308" i="28"/>
  <c r="N308" i="28"/>
  <c r="O308" i="28"/>
  <c r="W308" i="28"/>
  <c r="X308" i="28"/>
  <c r="Z308" i="28"/>
  <c r="AF308" i="28"/>
  <c r="AG308" i="28"/>
  <c r="AI308" i="28"/>
  <c r="E309" i="28"/>
  <c r="F309" i="28"/>
  <c r="G309" i="28"/>
  <c r="I309" i="28"/>
  <c r="M309" i="28"/>
  <c r="N309" i="28"/>
  <c r="O309" i="28"/>
  <c r="W309" i="28"/>
  <c r="X309" i="28"/>
  <c r="Z309" i="28"/>
  <c r="AF309" i="28"/>
  <c r="AG309" i="28"/>
  <c r="AI309" i="28"/>
  <c r="E310" i="28"/>
  <c r="F310" i="28"/>
  <c r="G310" i="28"/>
  <c r="I310" i="28"/>
  <c r="M310" i="28"/>
  <c r="N310" i="28"/>
  <c r="O310" i="28"/>
  <c r="W310" i="28"/>
  <c r="X310" i="28"/>
  <c r="Z310" i="28"/>
  <c r="AF310" i="28"/>
  <c r="AG310" i="28"/>
  <c r="AI310" i="28"/>
  <c r="E311" i="28"/>
  <c r="F311" i="28"/>
  <c r="G311" i="28"/>
  <c r="I311" i="28"/>
  <c r="M311" i="28"/>
  <c r="N311" i="28"/>
  <c r="O311" i="28"/>
  <c r="W311" i="28"/>
  <c r="X311" i="28"/>
  <c r="Z311" i="28"/>
  <c r="AF311" i="28"/>
  <c r="AG311" i="28"/>
  <c r="AI311" i="28"/>
  <c r="E312" i="28"/>
  <c r="F312" i="28"/>
  <c r="G312" i="28"/>
  <c r="I312" i="28"/>
  <c r="M312" i="28"/>
  <c r="N312" i="28"/>
  <c r="O312" i="28"/>
  <c r="W312" i="28"/>
  <c r="X312" i="28"/>
  <c r="Z312" i="28"/>
  <c r="AF312" i="28"/>
  <c r="AG312" i="28"/>
  <c r="AI312" i="28"/>
  <c r="E313" i="28"/>
  <c r="F313" i="28"/>
  <c r="G313" i="28"/>
  <c r="I313" i="28"/>
  <c r="M313" i="28"/>
  <c r="N313" i="28"/>
  <c r="O313" i="28"/>
  <c r="W313" i="28"/>
  <c r="X313" i="28"/>
  <c r="Z313" i="28"/>
  <c r="AF313" i="28"/>
  <c r="AG313" i="28"/>
  <c r="AI313" i="28"/>
  <c r="E314" i="28"/>
  <c r="F314" i="28"/>
  <c r="G314" i="28"/>
  <c r="I314" i="28"/>
  <c r="M314" i="28"/>
  <c r="N314" i="28"/>
  <c r="O314" i="28"/>
  <c r="W314" i="28"/>
  <c r="X314" i="28"/>
  <c r="Z314" i="28"/>
  <c r="AF314" i="28"/>
  <c r="AG314" i="28"/>
  <c r="AI314" i="28"/>
  <c r="E315" i="28"/>
  <c r="F315" i="28"/>
  <c r="G315" i="28"/>
  <c r="I315" i="28"/>
  <c r="M315" i="28"/>
  <c r="N315" i="28"/>
  <c r="O315" i="28"/>
  <c r="W315" i="28"/>
  <c r="X315" i="28"/>
  <c r="Z315" i="28"/>
  <c r="AF315" i="28"/>
  <c r="AG315" i="28"/>
  <c r="AI315" i="28"/>
  <c r="E316" i="28"/>
  <c r="F316" i="28"/>
  <c r="G316" i="28"/>
  <c r="I316" i="28"/>
  <c r="M316" i="28"/>
  <c r="N316" i="28"/>
  <c r="O316" i="28"/>
  <c r="W316" i="28"/>
  <c r="X316" i="28"/>
  <c r="Z316" i="28"/>
  <c r="AF316" i="28"/>
  <c r="AG316" i="28"/>
  <c r="AI316" i="28"/>
  <c r="E317" i="28"/>
  <c r="F317" i="28"/>
  <c r="G317" i="28"/>
  <c r="I317" i="28"/>
  <c r="M317" i="28"/>
  <c r="N317" i="28"/>
  <c r="O317" i="28"/>
  <c r="W317" i="28"/>
  <c r="X317" i="28"/>
  <c r="Z317" i="28"/>
  <c r="AF317" i="28"/>
  <c r="AG317" i="28"/>
  <c r="AI317" i="28"/>
  <c r="E318" i="28"/>
  <c r="F318" i="28"/>
  <c r="G318" i="28"/>
  <c r="I318" i="28"/>
  <c r="M318" i="28"/>
  <c r="N318" i="28"/>
  <c r="O318" i="28"/>
  <c r="W318" i="28"/>
  <c r="X318" i="28"/>
  <c r="Z318" i="28"/>
  <c r="AF318" i="28"/>
  <c r="AG318" i="28"/>
  <c r="AI318" i="28"/>
  <c r="E319" i="28"/>
  <c r="F319" i="28"/>
  <c r="G319" i="28"/>
  <c r="I319" i="28"/>
  <c r="M319" i="28"/>
  <c r="N319" i="28"/>
  <c r="O319" i="28"/>
  <c r="W319" i="28"/>
  <c r="X319" i="28"/>
  <c r="Z319" i="28"/>
  <c r="AF319" i="28"/>
  <c r="AG319" i="28"/>
  <c r="AI319" i="28"/>
  <c r="E320" i="28"/>
  <c r="F320" i="28"/>
  <c r="G320" i="28"/>
  <c r="I320" i="28"/>
  <c r="M320" i="28"/>
  <c r="N320" i="28"/>
  <c r="O320" i="28"/>
  <c r="W320" i="28"/>
  <c r="X320" i="28"/>
  <c r="Z320" i="28"/>
  <c r="AF320" i="28"/>
  <c r="AG320" i="28"/>
  <c r="AI320" i="28"/>
  <c r="E321" i="28"/>
  <c r="F321" i="28"/>
  <c r="G321" i="28"/>
  <c r="I321" i="28"/>
  <c r="M321" i="28"/>
  <c r="N321" i="28"/>
  <c r="O321" i="28"/>
  <c r="W321" i="28"/>
  <c r="X321" i="28"/>
  <c r="Z321" i="28"/>
  <c r="AF321" i="28"/>
  <c r="AG321" i="28"/>
  <c r="AI321" i="28"/>
  <c r="E322" i="28"/>
  <c r="F322" i="28"/>
  <c r="G322" i="28"/>
  <c r="I322" i="28"/>
  <c r="M322" i="28"/>
  <c r="N322" i="28"/>
  <c r="O322" i="28"/>
  <c r="W322" i="28"/>
  <c r="X322" i="28"/>
  <c r="Z322" i="28"/>
  <c r="AF322" i="28"/>
  <c r="AG322" i="28"/>
  <c r="AI322" i="28"/>
  <c r="E323" i="28"/>
  <c r="F323" i="28"/>
  <c r="G323" i="28"/>
  <c r="I323" i="28"/>
  <c r="M323" i="28"/>
  <c r="N323" i="28"/>
  <c r="O323" i="28"/>
  <c r="W323" i="28"/>
  <c r="X323" i="28"/>
  <c r="Z323" i="28"/>
  <c r="AF323" i="28"/>
  <c r="AG323" i="28"/>
  <c r="AI323" i="28"/>
  <c r="E324" i="28"/>
  <c r="F324" i="28"/>
  <c r="G324" i="28"/>
  <c r="I324" i="28"/>
  <c r="M324" i="28"/>
  <c r="N324" i="28"/>
  <c r="O324" i="28"/>
  <c r="W324" i="28"/>
  <c r="X324" i="28"/>
  <c r="Z324" i="28"/>
  <c r="AF324" i="28"/>
  <c r="AG324" i="28"/>
  <c r="AI324" i="28"/>
  <c r="E325" i="28"/>
  <c r="F325" i="28"/>
  <c r="G325" i="28"/>
  <c r="I325" i="28"/>
  <c r="M325" i="28"/>
  <c r="N325" i="28"/>
  <c r="O325" i="28"/>
  <c r="W325" i="28"/>
  <c r="X325" i="28"/>
  <c r="Z325" i="28"/>
  <c r="AF325" i="28"/>
  <c r="AG325" i="28"/>
  <c r="AI325" i="28"/>
  <c r="E326" i="28"/>
  <c r="F326" i="28"/>
  <c r="G326" i="28"/>
  <c r="I326" i="28"/>
  <c r="M326" i="28"/>
  <c r="N326" i="28"/>
  <c r="O326" i="28"/>
  <c r="W326" i="28"/>
  <c r="X326" i="28"/>
  <c r="Z326" i="28"/>
  <c r="AF326" i="28"/>
  <c r="AG326" i="28"/>
  <c r="AI326" i="28"/>
  <c r="E327" i="28"/>
  <c r="F327" i="28"/>
  <c r="G327" i="28"/>
  <c r="I327" i="28"/>
  <c r="M327" i="28"/>
  <c r="N327" i="28"/>
  <c r="O327" i="28"/>
  <c r="W327" i="28"/>
  <c r="X327" i="28"/>
  <c r="Z327" i="28"/>
  <c r="AF327" i="28"/>
  <c r="AG327" i="28"/>
  <c r="AI327" i="28"/>
  <c r="E328" i="28"/>
  <c r="F328" i="28"/>
  <c r="G328" i="28"/>
  <c r="I328" i="28"/>
  <c r="M328" i="28"/>
  <c r="N328" i="28"/>
  <c r="O328" i="28"/>
  <c r="W328" i="28"/>
  <c r="X328" i="28"/>
  <c r="Z328" i="28"/>
  <c r="AF328" i="28"/>
  <c r="AG328" i="28"/>
  <c r="AI328" i="28"/>
  <c r="E329" i="28"/>
  <c r="F329" i="28"/>
  <c r="G329" i="28"/>
  <c r="I329" i="28"/>
  <c r="M329" i="28"/>
  <c r="N329" i="28"/>
  <c r="O329" i="28"/>
  <c r="W329" i="28"/>
  <c r="X329" i="28"/>
  <c r="Z329" i="28"/>
  <c r="AF329" i="28"/>
  <c r="AG329" i="28"/>
  <c r="AI329" i="28"/>
  <c r="E330" i="28"/>
  <c r="F330" i="28"/>
  <c r="G330" i="28"/>
  <c r="I330" i="28"/>
  <c r="M330" i="28"/>
  <c r="N330" i="28"/>
  <c r="O330" i="28"/>
  <c r="W330" i="28"/>
  <c r="X330" i="28"/>
  <c r="Z330" i="28"/>
  <c r="AF330" i="28"/>
  <c r="AG330" i="28"/>
  <c r="AI330" i="28"/>
  <c r="E331" i="28"/>
  <c r="F331" i="28"/>
  <c r="G331" i="28"/>
  <c r="I331" i="28"/>
  <c r="M331" i="28"/>
  <c r="N331" i="28"/>
  <c r="O331" i="28"/>
  <c r="W331" i="28"/>
  <c r="X331" i="28"/>
  <c r="Z331" i="28"/>
  <c r="AF331" i="28"/>
  <c r="AG331" i="28"/>
  <c r="AI331" i="28"/>
  <c r="E332" i="28"/>
  <c r="F332" i="28"/>
  <c r="G332" i="28"/>
  <c r="I332" i="28"/>
  <c r="M332" i="28"/>
  <c r="N332" i="28"/>
  <c r="O332" i="28"/>
  <c r="W332" i="28"/>
  <c r="X332" i="28"/>
  <c r="Z332" i="28"/>
  <c r="AF332" i="28"/>
  <c r="AG332" i="28"/>
  <c r="AI332" i="28"/>
  <c r="E333" i="28"/>
  <c r="F333" i="28"/>
  <c r="G333" i="28"/>
  <c r="I333" i="28"/>
  <c r="M333" i="28"/>
  <c r="N333" i="28"/>
  <c r="O333" i="28"/>
  <c r="W333" i="28"/>
  <c r="X333" i="28"/>
  <c r="Z333" i="28"/>
  <c r="AF333" i="28"/>
  <c r="AG333" i="28"/>
  <c r="AI333" i="28"/>
  <c r="E334" i="28"/>
  <c r="F334" i="28"/>
  <c r="G334" i="28"/>
  <c r="I334" i="28"/>
  <c r="M334" i="28"/>
  <c r="N334" i="28"/>
  <c r="O334" i="28"/>
  <c r="W334" i="28"/>
  <c r="X334" i="28"/>
  <c r="Z334" i="28"/>
  <c r="AF334" i="28"/>
  <c r="AG334" i="28"/>
  <c r="AI334" i="28"/>
  <c r="E335" i="28"/>
  <c r="F335" i="28"/>
  <c r="G335" i="28"/>
  <c r="I335" i="28"/>
  <c r="M335" i="28"/>
  <c r="N335" i="28"/>
  <c r="O335" i="28"/>
  <c r="W335" i="28"/>
  <c r="X335" i="28"/>
  <c r="Z335" i="28"/>
  <c r="AF335" i="28"/>
  <c r="AG335" i="28"/>
  <c r="AI335" i="28"/>
  <c r="E336" i="28"/>
  <c r="F336" i="28"/>
  <c r="G336" i="28"/>
  <c r="I336" i="28"/>
  <c r="M336" i="28"/>
  <c r="N336" i="28"/>
  <c r="O336" i="28"/>
  <c r="W336" i="28"/>
  <c r="X336" i="28"/>
  <c r="Z336" i="28"/>
  <c r="AF336" i="28"/>
  <c r="AG336" i="28"/>
  <c r="AI336" i="28"/>
  <c r="E337" i="28"/>
  <c r="F337" i="28"/>
  <c r="G337" i="28"/>
  <c r="I337" i="28"/>
  <c r="M337" i="28"/>
  <c r="N337" i="28"/>
  <c r="O337" i="28"/>
  <c r="W337" i="28"/>
  <c r="X337" i="28"/>
  <c r="Z337" i="28"/>
  <c r="AF337" i="28"/>
  <c r="AG337" i="28"/>
  <c r="AI337" i="28"/>
  <c r="E338" i="28"/>
  <c r="F338" i="28"/>
  <c r="G338" i="28"/>
  <c r="I338" i="28"/>
  <c r="M338" i="28"/>
  <c r="N338" i="28"/>
  <c r="O338" i="28"/>
  <c r="W338" i="28"/>
  <c r="X338" i="28"/>
  <c r="Z338" i="28"/>
  <c r="AF338" i="28"/>
  <c r="AG338" i="28"/>
  <c r="AI338" i="28"/>
  <c r="E339" i="28"/>
  <c r="F339" i="28"/>
  <c r="G339" i="28"/>
  <c r="I339" i="28"/>
  <c r="M339" i="28"/>
  <c r="N339" i="28"/>
  <c r="O339" i="28"/>
  <c r="W339" i="28"/>
  <c r="X339" i="28"/>
  <c r="Z339" i="28"/>
  <c r="AF339" i="28"/>
  <c r="AG339" i="28"/>
  <c r="AI339" i="28"/>
  <c r="E340" i="28"/>
  <c r="F340" i="28"/>
  <c r="G340" i="28"/>
  <c r="I340" i="28"/>
  <c r="M340" i="28"/>
  <c r="N340" i="28"/>
  <c r="O340" i="28"/>
  <c r="W340" i="28"/>
  <c r="X340" i="28"/>
  <c r="Z340" i="28"/>
  <c r="AF340" i="28"/>
  <c r="AG340" i="28"/>
  <c r="AI340" i="28"/>
  <c r="E341" i="28"/>
  <c r="F341" i="28"/>
  <c r="G341" i="28"/>
  <c r="I341" i="28"/>
  <c r="M341" i="28"/>
  <c r="N341" i="28"/>
  <c r="O341" i="28"/>
  <c r="W341" i="28"/>
  <c r="X341" i="28"/>
  <c r="Z341" i="28"/>
  <c r="AF341" i="28"/>
  <c r="AG341" i="28"/>
  <c r="AI341" i="28"/>
  <c r="E342" i="28"/>
  <c r="F342" i="28"/>
  <c r="G342" i="28"/>
  <c r="I342" i="28"/>
  <c r="M342" i="28"/>
  <c r="N342" i="28"/>
  <c r="O342" i="28"/>
  <c r="W342" i="28"/>
  <c r="X342" i="28"/>
  <c r="Z342" i="28"/>
  <c r="AF342" i="28"/>
  <c r="AG342" i="28"/>
  <c r="AI342" i="28"/>
  <c r="E343" i="28"/>
  <c r="F343" i="28"/>
  <c r="G343" i="28"/>
  <c r="I343" i="28"/>
  <c r="M343" i="28"/>
  <c r="N343" i="28"/>
  <c r="O343" i="28"/>
  <c r="W343" i="28"/>
  <c r="X343" i="28"/>
  <c r="Z343" i="28"/>
  <c r="AF343" i="28"/>
  <c r="AG343" i="28"/>
  <c r="AI343" i="28"/>
  <c r="E344" i="28"/>
  <c r="F344" i="28"/>
  <c r="G344" i="28"/>
  <c r="I344" i="28"/>
  <c r="M344" i="28"/>
  <c r="N344" i="28"/>
  <c r="O344" i="28"/>
  <c r="W344" i="28"/>
  <c r="X344" i="28"/>
  <c r="Z344" i="28"/>
  <c r="AF344" i="28"/>
  <c r="AG344" i="28"/>
  <c r="AI344" i="28"/>
  <c r="E345" i="28"/>
  <c r="F345" i="28"/>
  <c r="G345" i="28"/>
  <c r="I345" i="28"/>
  <c r="M345" i="28"/>
  <c r="N345" i="28"/>
  <c r="O345" i="28"/>
  <c r="W345" i="28"/>
  <c r="X345" i="28"/>
  <c r="Z345" i="28"/>
  <c r="AF345" i="28"/>
  <c r="AG345" i="28"/>
  <c r="AI345" i="28"/>
  <c r="E346" i="28"/>
  <c r="F346" i="28"/>
  <c r="G346" i="28"/>
  <c r="I346" i="28"/>
  <c r="M346" i="28"/>
  <c r="N346" i="28"/>
  <c r="O346" i="28"/>
  <c r="W346" i="28"/>
  <c r="X346" i="28"/>
  <c r="Z346" i="28"/>
  <c r="AF346" i="28"/>
  <c r="AG346" i="28"/>
  <c r="AI346" i="28"/>
  <c r="E347" i="28"/>
  <c r="F347" i="28"/>
  <c r="G347" i="28"/>
  <c r="I347" i="28"/>
  <c r="M347" i="28"/>
  <c r="N347" i="28"/>
  <c r="O347" i="28"/>
  <c r="W347" i="28"/>
  <c r="X347" i="28"/>
  <c r="Z347" i="28"/>
  <c r="AF347" i="28"/>
  <c r="AG347" i="28"/>
  <c r="AI347" i="28"/>
  <c r="E348" i="28"/>
  <c r="F348" i="28"/>
  <c r="G348" i="28"/>
  <c r="I348" i="28"/>
  <c r="M348" i="28"/>
  <c r="N348" i="28"/>
  <c r="O348" i="28"/>
  <c r="W348" i="28"/>
  <c r="X348" i="28"/>
  <c r="Z348" i="28"/>
  <c r="AF348" i="28"/>
  <c r="AG348" i="28"/>
  <c r="AI348" i="28"/>
  <c r="E349" i="28"/>
  <c r="F349" i="28"/>
  <c r="G349" i="28"/>
  <c r="I349" i="28"/>
  <c r="M349" i="28"/>
  <c r="N349" i="28"/>
  <c r="O349" i="28"/>
  <c r="W349" i="28"/>
  <c r="X349" i="28"/>
  <c r="Z349" i="28"/>
  <c r="AF349" i="28"/>
  <c r="AG349" i="28"/>
  <c r="AI349" i="28"/>
  <c r="E350" i="28"/>
  <c r="F350" i="28"/>
  <c r="G350" i="28"/>
  <c r="I350" i="28"/>
  <c r="M350" i="28"/>
  <c r="N350" i="28"/>
  <c r="O350" i="28"/>
  <c r="W350" i="28"/>
  <c r="X350" i="28"/>
  <c r="Z350" i="28"/>
  <c r="AF350" i="28"/>
  <c r="AG350" i="28"/>
  <c r="AI350" i="28"/>
  <c r="E351" i="28"/>
  <c r="F351" i="28"/>
  <c r="G351" i="28"/>
  <c r="I351" i="28"/>
  <c r="M351" i="28"/>
  <c r="N351" i="28"/>
  <c r="O351" i="28"/>
  <c r="W351" i="28"/>
  <c r="X351" i="28"/>
  <c r="Z351" i="28"/>
  <c r="AF351" i="28"/>
  <c r="AG351" i="28"/>
  <c r="AI351" i="28"/>
  <c r="E352" i="28"/>
  <c r="F352" i="28"/>
  <c r="G352" i="28"/>
  <c r="I352" i="28"/>
  <c r="M352" i="28"/>
  <c r="N352" i="28"/>
  <c r="O352" i="28"/>
  <c r="W352" i="28"/>
  <c r="X352" i="28"/>
  <c r="Z352" i="28"/>
  <c r="AF352" i="28"/>
  <c r="AG352" i="28"/>
  <c r="AI352" i="28"/>
  <c r="E353" i="28"/>
  <c r="F353" i="28"/>
  <c r="G353" i="28"/>
  <c r="I353" i="28"/>
  <c r="M353" i="28"/>
  <c r="N353" i="28"/>
  <c r="O353" i="28"/>
  <c r="W353" i="28"/>
  <c r="X353" i="28"/>
  <c r="Z353" i="28"/>
  <c r="AF353" i="28"/>
  <c r="AG353" i="28"/>
  <c r="AI353" i="28"/>
  <c r="E354" i="28"/>
  <c r="F354" i="28"/>
  <c r="G354" i="28"/>
  <c r="I354" i="28"/>
  <c r="M354" i="28"/>
  <c r="N354" i="28"/>
  <c r="O354" i="28"/>
  <c r="W354" i="28"/>
  <c r="X354" i="28"/>
  <c r="Z354" i="28"/>
  <c r="AF354" i="28"/>
  <c r="AG354" i="28"/>
  <c r="AI354" i="28"/>
  <c r="E355" i="28"/>
  <c r="F355" i="28"/>
  <c r="G355" i="28"/>
  <c r="I355" i="28"/>
  <c r="M355" i="28"/>
  <c r="N355" i="28"/>
  <c r="O355" i="28"/>
  <c r="W355" i="28"/>
  <c r="X355" i="28"/>
  <c r="Z355" i="28"/>
  <c r="AF355" i="28"/>
  <c r="AG355" i="28"/>
  <c r="AI355" i="28"/>
  <c r="E356" i="28"/>
  <c r="F356" i="28"/>
  <c r="G356" i="28"/>
  <c r="I356" i="28"/>
  <c r="M356" i="28"/>
  <c r="N356" i="28"/>
  <c r="O356" i="28"/>
  <c r="W356" i="28"/>
  <c r="X356" i="28"/>
  <c r="Z356" i="28"/>
  <c r="AF356" i="28"/>
  <c r="AG356" i="28"/>
  <c r="AI356" i="28"/>
  <c r="E357" i="28"/>
  <c r="F357" i="28"/>
  <c r="G357" i="28"/>
  <c r="I357" i="28"/>
  <c r="M357" i="28"/>
  <c r="N357" i="28"/>
  <c r="O357" i="28"/>
  <c r="W357" i="28"/>
  <c r="X357" i="28"/>
  <c r="Z357" i="28"/>
  <c r="AF357" i="28"/>
  <c r="AG357" i="28"/>
  <c r="AI357" i="28"/>
  <c r="E358" i="28"/>
  <c r="F358" i="28"/>
  <c r="G358" i="28"/>
  <c r="I358" i="28"/>
  <c r="M358" i="28"/>
  <c r="N358" i="28"/>
  <c r="O358" i="28"/>
  <c r="W358" i="28"/>
  <c r="X358" i="28"/>
  <c r="Z358" i="28"/>
  <c r="AF358" i="28"/>
  <c r="AG358" i="28"/>
  <c r="AI358" i="28"/>
  <c r="E359" i="28"/>
  <c r="F359" i="28"/>
  <c r="G359" i="28"/>
  <c r="I359" i="28"/>
  <c r="M359" i="28"/>
  <c r="N359" i="28"/>
  <c r="O359" i="28"/>
  <c r="W359" i="28"/>
  <c r="X359" i="28"/>
  <c r="Z359" i="28"/>
  <c r="AF359" i="28"/>
  <c r="AG359" i="28"/>
  <c r="AI359" i="28"/>
  <c r="E360" i="28"/>
  <c r="F360" i="28"/>
  <c r="G360" i="28"/>
  <c r="I360" i="28"/>
  <c r="M360" i="28"/>
  <c r="N360" i="28"/>
  <c r="O360" i="28"/>
  <c r="W360" i="28"/>
  <c r="X360" i="28"/>
  <c r="Z360" i="28"/>
  <c r="AF360" i="28"/>
  <c r="AG360" i="28"/>
  <c r="AI360" i="28"/>
  <c r="E361" i="28"/>
  <c r="F361" i="28"/>
  <c r="G361" i="28"/>
  <c r="I361" i="28"/>
  <c r="M361" i="28"/>
  <c r="N361" i="28"/>
  <c r="O361" i="28"/>
  <c r="W361" i="28"/>
  <c r="X361" i="28"/>
  <c r="Z361" i="28"/>
  <c r="AF361" i="28"/>
  <c r="AG361" i="28"/>
  <c r="AI361" i="28"/>
  <c r="E362" i="28"/>
  <c r="F362" i="28"/>
  <c r="G362" i="28"/>
  <c r="I362" i="28"/>
  <c r="M362" i="28"/>
  <c r="N362" i="28"/>
  <c r="O362" i="28"/>
  <c r="W362" i="28"/>
  <c r="X362" i="28"/>
  <c r="Z362" i="28"/>
  <c r="AF362" i="28"/>
  <c r="AG362" i="28"/>
  <c r="AI362" i="28"/>
  <c r="E363" i="28"/>
  <c r="F363" i="28"/>
  <c r="G363" i="28"/>
  <c r="I363" i="28"/>
  <c r="M363" i="28"/>
  <c r="N363" i="28"/>
  <c r="O363" i="28"/>
  <c r="W363" i="28"/>
  <c r="X363" i="28"/>
  <c r="Z363" i="28"/>
  <c r="AF363" i="28"/>
  <c r="AG363" i="28"/>
  <c r="AI363" i="28"/>
  <c r="E364" i="28"/>
  <c r="F364" i="28"/>
  <c r="G364" i="28"/>
  <c r="I364" i="28"/>
  <c r="M364" i="28"/>
  <c r="N364" i="28"/>
  <c r="O364" i="28"/>
  <c r="W364" i="28"/>
  <c r="X364" i="28"/>
  <c r="Z364" i="28"/>
  <c r="AF364" i="28"/>
  <c r="AG364" i="28"/>
  <c r="AI364" i="28"/>
  <c r="E365" i="28"/>
  <c r="F365" i="28"/>
  <c r="G365" i="28"/>
  <c r="I365" i="28"/>
  <c r="M365" i="28"/>
  <c r="N365" i="28"/>
  <c r="O365" i="28"/>
  <c r="W365" i="28"/>
  <c r="X365" i="28"/>
  <c r="Z365" i="28"/>
  <c r="AF365" i="28"/>
  <c r="AG365" i="28"/>
  <c r="AI365" i="28"/>
  <c r="E366" i="28"/>
  <c r="F366" i="28"/>
  <c r="G366" i="28"/>
  <c r="I366" i="28"/>
  <c r="M366" i="28"/>
  <c r="N366" i="28"/>
  <c r="O366" i="28"/>
  <c r="W366" i="28"/>
  <c r="X366" i="28"/>
  <c r="Z366" i="28"/>
  <c r="AF366" i="28"/>
  <c r="AG366" i="28"/>
  <c r="AI366" i="28"/>
  <c r="E367" i="28"/>
  <c r="F367" i="28"/>
  <c r="G367" i="28"/>
  <c r="I367" i="28"/>
  <c r="M367" i="28"/>
  <c r="N367" i="28"/>
  <c r="O367" i="28"/>
  <c r="W367" i="28"/>
  <c r="X367" i="28"/>
  <c r="Z367" i="28"/>
  <c r="AF367" i="28"/>
  <c r="AG367" i="28"/>
  <c r="AI367" i="28"/>
  <c r="E368" i="28"/>
  <c r="F368" i="28"/>
  <c r="G368" i="28"/>
  <c r="I368" i="28"/>
  <c r="M368" i="28"/>
  <c r="N368" i="28"/>
  <c r="O368" i="28"/>
  <c r="W368" i="28"/>
  <c r="X368" i="28"/>
  <c r="Z368" i="28"/>
  <c r="AF368" i="28"/>
  <c r="AG368" i="28"/>
  <c r="AI368" i="28"/>
  <c r="E369" i="28"/>
  <c r="F369" i="28"/>
  <c r="G369" i="28"/>
  <c r="I369" i="28"/>
  <c r="M369" i="28"/>
  <c r="N369" i="28"/>
  <c r="O369" i="28"/>
  <c r="W369" i="28"/>
  <c r="X369" i="28"/>
  <c r="Z369" i="28"/>
  <c r="AF369" i="28"/>
  <c r="AG369" i="28"/>
  <c r="AI369" i="28"/>
  <c r="E370" i="28"/>
  <c r="F370" i="28"/>
  <c r="G370" i="28"/>
  <c r="I370" i="28"/>
  <c r="M370" i="28"/>
  <c r="N370" i="28"/>
  <c r="O370" i="28"/>
  <c r="W370" i="28"/>
  <c r="X370" i="28"/>
  <c r="Z370" i="28"/>
  <c r="AF370" i="28"/>
  <c r="AG370" i="28"/>
  <c r="AI370" i="28"/>
  <c r="E371" i="28"/>
  <c r="F371" i="28"/>
  <c r="G371" i="28"/>
  <c r="I371" i="28"/>
  <c r="M371" i="28"/>
  <c r="N371" i="28"/>
  <c r="O371" i="28"/>
  <c r="W371" i="28"/>
  <c r="X371" i="28"/>
  <c r="Z371" i="28"/>
  <c r="AF371" i="28"/>
  <c r="AG371" i="28"/>
  <c r="AI371" i="28"/>
  <c r="E372" i="28"/>
  <c r="F372" i="28"/>
  <c r="G372" i="28"/>
  <c r="I372" i="28"/>
  <c r="M372" i="28"/>
  <c r="N372" i="28"/>
  <c r="O372" i="28"/>
  <c r="W372" i="28"/>
  <c r="X372" i="28"/>
  <c r="Z372" i="28"/>
  <c r="AF372" i="28"/>
  <c r="AG372" i="28"/>
  <c r="AI372" i="28"/>
  <c r="E373" i="28"/>
  <c r="F373" i="28"/>
  <c r="G373" i="28"/>
  <c r="I373" i="28"/>
  <c r="M373" i="28"/>
  <c r="N373" i="28"/>
  <c r="O373" i="28"/>
  <c r="W373" i="28"/>
  <c r="X373" i="28"/>
  <c r="Z373" i="28"/>
  <c r="AF373" i="28"/>
  <c r="AG373" i="28"/>
  <c r="AI373" i="28"/>
  <c r="E374" i="28"/>
  <c r="F374" i="28"/>
  <c r="G374" i="28"/>
  <c r="I374" i="28"/>
  <c r="M374" i="28"/>
  <c r="N374" i="28"/>
  <c r="O374" i="28"/>
  <c r="W374" i="28"/>
  <c r="X374" i="28"/>
  <c r="Z374" i="28"/>
  <c r="AF374" i="28"/>
  <c r="AG374" i="28"/>
  <c r="AI374" i="28"/>
  <c r="E375" i="28"/>
  <c r="F375" i="28"/>
  <c r="G375" i="28"/>
  <c r="I375" i="28"/>
  <c r="M375" i="28"/>
  <c r="N375" i="28"/>
  <c r="O375" i="28"/>
  <c r="W375" i="28"/>
  <c r="X375" i="28"/>
  <c r="Z375" i="28"/>
  <c r="AF375" i="28"/>
  <c r="AG375" i="28"/>
  <c r="AI375" i="28"/>
  <c r="E376" i="28"/>
  <c r="F376" i="28"/>
  <c r="G376" i="28"/>
  <c r="I376" i="28"/>
  <c r="M376" i="28"/>
  <c r="N376" i="28"/>
  <c r="O376" i="28"/>
  <c r="W376" i="28"/>
  <c r="X376" i="28"/>
  <c r="Z376" i="28"/>
  <c r="AF376" i="28"/>
  <c r="AG376" i="28"/>
  <c r="AI376" i="28"/>
  <c r="E377" i="28"/>
  <c r="F377" i="28"/>
  <c r="G377" i="28"/>
  <c r="I377" i="28"/>
  <c r="M377" i="28"/>
  <c r="N377" i="28"/>
  <c r="O377" i="28"/>
  <c r="W377" i="28"/>
  <c r="X377" i="28"/>
  <c r="Z377" i="28"/>
  <c r="AF377" i="28"/>
  <c r="AG377" i="28"/>
  <c r="AI377" i="28"/>
  <c r="E378" i="28"/>
  <c r="F378" i="28"/>
  <c r="G378" i="28"/>
  <c r="I378" i="28"/>
  <c r="M378" i="28"/>
  <c r="N378" i="28"/>
  <c r="O378" i="28"/>
  <c r="W378" i="28"/>
  <c r="X378" i="28"/>
  <c r="Z378" i="28"/>
  <c r="AF378" i="28"/>
  <c r="AG378" i="28"/>
  <c r="AI378" i="28"/>
  <c r="E379" i="28"/>
  <c r="F379" i="28"/>
  <c r="G379" i="28"/>
  <c r="I379" i="28"/>
  <c r="M379" i="28"/>
  <c r="N379" i="28"/>
  <c r="O379" i="28"/>
  <c r="W379" i="28"/>
  <c r="X379" i="28"/>
  <c r="Z379" i="28"/>
  <c r="AF379" i="28"/>
  <c r="AG379" i="28"/>
  <c r="AI379" i="28"/>
  <c r="E380" i="28"/>
  <c r="F380" i="28"/>
  <c r="G380" i="28"/>
  <c r="I380" i="28"/>
  <c r="M380" i="28"/>
  <c r="N380" i="28"/>
  <c r="O380" i="28"/>
  <c r="W380" i="28"/>
  <c r="X380" i="28"/>
  <c r="Z380" i="28"/>
  <c r="AF380" i="28"/>
  <c r="AG380" i="28"/>
  <c r="AI380" i="28"/>
  <c r="E381" i="28"/>
  <c r="F381" i="28"/>
  <c r="G381" i="28"/>
  <c r="I381" i="28"/>
  <c r="M381" i="28"/>
  <c r="N381" i="28"/>
  <c r="O381" i="28"/>
  <c r="W381" i="28"/>
  <c r="X381" i="28"/>
  <c r="Z381" i="28"/>
  <c r="AF381" i="28"/>
  <c r="AG381" i="28"/>
  <c r="AI381" i="28"/>
  <c r="E382" i="28"/>
  <c r="F382" i="28"/>
  <c r="G382" i="28"/>
  <c r="I382" i="28"/>
  <c r="M382" i="28"/>
  <c r="N382" i="28"/>
  <c r="O382" i="28"/>
  <c r="W382" i="28"/>
  <c r="X382" i="28"/>
  <c r="Z382" i="28"/>
  <c r="AF382" i="28"/>
  <c r="AG382" i="28"/>
  <c r="AI382" i="28"/>
  <c r="E383" i="28"/>
  <c r="F383" i="28"/>
  <c r="G383" i="28"/>
  <c r="I383" i="28"/>
  <c r="M383" i="28"/>
  <c r="N383" i="28"/>
  <c r="O383" i="28"/>
  <c r="W383" i="28"/>
  <c r="X383" i="28"/>
  <c r="Z383" i="28"/>
  <c r="AF383" i="28"/>
  <c r="AG383" i="28"/>
  <c r="AI383" i="28"/>
  <c r="E384" i="28"/>
  <c r="F384" i="28"/>
  <c r="G384" i="28"/>
  <c r="I384" i="28"/>
  <c r="M384" i="28"/>
  <c r="N384" i="28"/>
  <c r="O384" i="28"/>
  <c r="W384" i="28"/>
  <c r="X384" i="28"/>
  <c r="Z384" i="28"/>
  <c r="AF384" i="28"/>
  <c r="AG384" i="28"/>
  <c r="AI384" i="28"/>
  <c r="E385" i="28"/>
  <c r="F385" i="28"/>
  <c r="G385" i="28"/>
  <c r="I385" i="28"/>
  <c r="M385" i="28"/>
  <c r="N385" i="28"/>
  <c r="O385" i="28"/>
  <c r="W385" i="28"/>
  <c r="X385" i="28"/>
  <c r="Z385" i="28"/>
  <c r="AF385" i="28"/>
  <c r="AG385" i="28"/>
  <c r="AI385" i="28"/>
  <c r="E386" i="28"/>
  <c r="F386" i="28"/>
  <c r="G386" i="28"/>
  <c r="I386" i="28"/>
  <c r="M386" i="28"/>
  <c r="N386" i="28"/>
  <c r="O386" i="28"/>
  <c r="W386" i="28"/>
  <c r="X386" i="28"/>
  <c r="Z386" i="28"/>
  <c r="AF386" i="28"/>
  <c r="AG386" i="28"/>
  <c r="AI386" i="28"/>
  <c r="E387" i="28"/>
  <c r="F387" i="28"/>
  <c r="G387" i="28"/>
  <c r="I387" i="28"/>
  <c r="M387" i="28"/>
  <c r="N387" i="28"/>
  <c r="O387" i="28"/>
  <c r="W387" i="28"/>
  <c r="X387" i="28"/>
  <c r="Z387" i="28"/>
  <c r="AF387" i="28"/>
  <c r="AG387" i="28"/>
  <c r="AI387" i="28"/>
  <c r="E388" i="28"/>
  <c r="F388" i="28"/>
  <c r="G388" i="28"/>
  <c r="I388" i="28"/>
  <c r="M388" i="28"/>
  <c r="N388" i="28"/>
  <c r="O388" i="28"/>
  <c r="W388" i="28"/>
  <c r="X388" i="28"/>
  <c r="Z388" i="28"/>
  <c r="AF388" i="28"/>
  <c r="AG388" i="28"/>
  <c r="AI388" i="28"/>
  <c r="E389" i="28"/>
  <c r="F389" i="28"/>
  <c r="G389" i="28"/>
  <c r="I389" i="28"/>
  <c r="M389" i="28"/>
  <c r="N389" i="28"/>
  <c r="O389" i="28"/>
  <c r="W389" i="28"/>
  <c r="X389" i="28"/>
  <c r="Z389" i="28"/>
  <c r="AF389" i="28"/>
  <c r="AG389" i="28"/>
  <c r="AI389" i="28"/>
  <c r="E390" i="28"/>
  <c r="F390" i="28"/>
  <c r="G390" i="28"/>
  <c r="I390" i="28"/>
  <c r="M390" i="28"/>
  <c r="N390" i="28"/>
  <c r="O390" i="28"/>
  <c r="W390" i="28"/>
  <c r="X390" i="28"/>
  <c r="Z390" i="28"/>
  <c r="AF390" i="28"/>
  <c r="AG390" i="28"/>
  <c r="AI390" i="28"/>
  <c r="E391" i="28"/>
  <c r="F391" i="28"/>
  <c r="G391" i="28"/>
  <c r="I391" i="28"/>
  <c r="M391" i="28"/>
  <c r="N391" i="28"/>
  <c r="O391" i="28"/>
  <c r="W391" i="28"/>
  <c r="X391" i="28"/>
  <c r="Z391" i="28"/>
  <c r="AF391" i="28"/>
  <c r="AG391" i="28"/>
  <c r="AI391" i="28"/>
  <c r="E392" i="28"/>
  <c r="F392" i="28"/>
  <c r="G392" i="28"/>
  <c r="I392" i="28"/>
  <c r="M392" i="28"/>
  <c r="N392" i="28"/>
  <c r="O392" i="28"/>
  <c r="W392" i="28"/>
  <c r="X392" i="28"/>
  <c r="Z392" i="28"/>
  <c r="AF392" i="28"/>
  <c r="AG392" i="28"/>
  <c r="AI392" i="28"/>
  <c r="E393" i="28"/>
  <c r="F393" i="28"/>
  <c r="G393" i="28"/>
  <c r="I393" i="28"/>
  <c r="M393" i="28"/>
  <c r="N393" i="28"/>
  <c r="O393" i="28"/>
  <c r="W393" i="28"/>
  <c r="X393" i="28"/>
  <c r="Z393" i="28"/>
  <c r="AF393" i="28"/>
  <c r="AG393" i="28"/>
  <c r="AI393" i="28"/>
  <c r="E394" i="28"/>
  <c r="F394" i="28"/>
  <c r="G394" i="28"/>
  <c r="I394" i="28"/>
  <c r="M394" i="28"/>
  <c r="N394" i="28"/>
  <c r="O394" i="28"/>
  <c r="W394" i="28"/>
  <c r="X394" i="28"/>
  <c r="Z394" i="28"/>
  <c r="AF394" i="28"/>
  <c r="AG394" i="28"/>
  <c r="AI394" i="28"/>
  <c r="E395" i="28"/>
  <c r="F395" i="28"/>
  <c r="G395" i="28"/>
  <c r="I395" i="28"/>
  <c r="M395" i="28"/>
  <c r="N395" i="28"/>
  <c r="O395" i="28"/>
  <c r="W395" i="28"/>
  <c r="X395" i="28"/>
  <c r="Z395" i="28"/>
  <c r="AF395" i="28"/>
  <c r="AG395" i="28"/>
  <c r="AI395" i="28"/>
  <c r="E396" i="28"/>
  <c r="F396" i="28"/>
  <c r="G396" i="28"/>
  <c r="I396" i="28"/>
  <c r="M396" i="28"/>
  <c r="N396" i="28"/>
  <c r="O396" i="28"/>
  <c r="W396" i="28"/>
  <c r="X396" i="28"/>
  <c r="Z396" i="28"/>
  <c r="AF396" i="28"/>
  <c r="AG396" i="28"/>
  <c r="AI396" i="28"/>
  <c r="E397" i="28"/>
  <c r="F397" i="28"/>
  <c r="G397" i="28"/>
  <c r="I397" i="28"/>
  <c r="M397" i="28"/>
  <c r="N397" i="28"/>
  <c r="O397" i="28"/>
  <c r="W397" i="28"/>
  <c r="X397" i="28"/>
  <c r="Z397" i="28"/>
  <c r="AF397" i="28"/>
  <c r="AG397" i="28"/>
  <c r="AI397" i="28"/>
  <c r="E398" i="28"/>
  <c r="F398" i="28"/>
  <c r="G398" i="28"/>
  <c r="I398" i="28"/>
  <c r="M398" i="28"/>
  <c r="N398" i="28"/>
  <c r="O398" i="28"/>
  <c r="W398" i="28"/>
  <c r="X398" i="28"/>
  <c r="Z398" i="28"/>
  <c r="AF398" i="28"/>
  <c r="AG398" i="28"/>
  <c r="AI398" i="28"/>
  <c r="E399" i="28"/>
  <c r="F399" i="28"/>
  <c r="G399" i="28"/>
  <c r="I399" i="28"/>
  <c r="M399" i="28"/>
  <c r="N399" i="28"/>
  <c r="O399" i="28"/>
  <c r="W399" i="28"/>
  <c r="X399" i="28"/>
  <c r="Z399" i="28"/>
  <c r="AF399" i="28"/>
  <c r="AG399" i="28"/>
  <c r="AI399" i="28"/>
  <c r="E400" i="28"/>
  <c r="F400" i="28"/>
  <c r="G400" i="28"/>
  <c r="I400" i="28"/>
  <c r="M400" i="28"/>
  <c r="N400" i="28"/>
  <c r="O400" i="28"/>
  <c r="W400" i="28"/>
  <c r="X400" i="28"/>
  <c r="Z400" i="28"/>
  <c r="AF400" i="28"/>
  <c r="AG400" i="28"/>
  <c r="AI400" i="28"/>
  <c r="E401" i="28"/>
  <c r="F401" i="28"/>
  <c r="G401" i="28"/>
  <c r="I401" i="28"/>
  <c r="M401" i="28"/>
  <c r="N401" i="28"/>
  <c r="O401" i="28"/>
  <c r="W401" i="28"/>
  <c r="X401" i="28"/>
  <c r="Z401" i="28"/>
  <c r="AF401" i="28"/>
  <c r="AG401" i="28"/>
  <c r="AI401" i="28"/>
  <c r="E402" i="28"/>
  <c r="F402" i="28"/>
  <c r="G402" i="28"/>
  <c r="I402" i="28"/>
  <c r="M402" i="28"/>
  <c r="N402" i="28"/>
  <c r="O402" i="28"/>
  <c r="W402" i="28"/>
  <c r="X402" i="28"/>
  <c r="Z402" i="28"/>
  <c r="AF402" i="28"/>
  <c r="AG402" i="28"/>
  <c r="AI402" i="28"/>
  <c r="E403" i="28"/>
  <c r="F403" i="28"/>
  <c r="G403" i="28"/>
  <c r="I403" i="28"/>
  <c r="M403" i="28"/>
  <c r="N403" i="28"/>
  <c r="O403" i="28"/>
  <c r="W403" i="28"/>
  <c r="X403" i="28"/>
  <c r="Z403" i="28"/>
  <c r="AF403" i="28"/>
  <c r="AG403" i="28"/>
  <c r="AI403" i="28"/>
  <c r="E404" i="28"/>
  <c r="F404" i="28"/>
  <c r="G404" i="28"/>
  <c r="I404" i="28"/>
  <c r="M404" i="28"/>
  <c r="N404" i="28"/>
  <c r="O404" i="28"/>
  <c r="W404" i="28"/>
  <c r="X404" i="28"/>
  <c r="Z404" i="28"/>
  <c r="AF404" i="28"/>
  <c r="AG404" i="28"/>
  <c r="AI404" i="28"/>
  <c r="E405" i="28"/>
  <c r="F405" i="28"/>
  <c r="G405" i="28"/>
  <c r="I405" i="28"/>
  <c r="M405" i="28"/>
  <c r="N405" i="28"/>
  <c r="O405" i="28"/>
  <c r="W405" i="28"/>
  <c r="X405" i="28"/>
  <c r="Z405" i="28"/>
  <c r="AF405" i="28"/>
  <c r="AG405" i="28"/>
  <c r="AI405" i="28"/>
  <c r="E406" i="28"/>
  <c r="F406" i="28"/>
  <c r="G406" i="28"/>
  <c r="I406" i="28"/>
  <c r="M406" i="28"/>
  <c r="N406" i="28"/>
  <c r="O406" i="28"/>
  <c r="W406" i="28"/>
  <c r="X406" i="28"/>
  <c r="Z406" i="28"/>
  <c r="AF406" i="28"/>
  <c r="AG406" i="28"/>
  <c r="AI406" i="28"/>
  <c r="E407" i="28"/>
  <c r="F407" i="28"/>
  <c r="G407" i="28"/>
  <c r="I407" i="28"/>
  <c r="M407" i="28"/>
  <c r="N407" i="28"/>
  <c r="O407" i="28"/>
  <c r="W407" i="28"/>
  <c r="X407" i="28"/>
  <c r="Z407" i="28"/>
  <c r="AF407" i="28"/>
  <c r="AG407" i="28"/>
  <c r="AI407" i="28"/>
  <c r="E408" i="28"/>
  <c r="F408" i="28"/>
  <c r="G408" i="28"/>
  <c r="I408" i="28"/>
  <c r="M408" i="28"/>
  <c r="N408" i="28"/>
  <c r="O408" i="28"/>
  <c r="W408" i="28"/>
  <c r="X408" i="28"/>
  <c r="Z408" i="28"/>
  <c r="AF408" i="28"/>
  <c r="AG408" i="28"/>
  <c r="AI408" i="28"/>
  <c r="E409" i="28"/>
  <c r="F409" i="28"/>
  <c r="G409" i="28"/>
  <c r="I409" i="28"/>
  <c r="M409" i="28"/>
  <c r="N409" i="28"/>
  <c r="O409" i="28"/>
  <c r="W409" i="28"/>
  <c r="X409" i="28"/>
  <c r="Z409" i="28"/>
  <c r="AF409" i="28"/>
  <c r="AG409" i="28"/>
  <c r="AI409" i="28"/>
  <c r="E410" i="28"/>
  <c r="F410" i="28"/>
  <c r="G410" i="28"/>
  <c r="I410" i="28"/>
  <c r="M410" i="28"/>
  <c r="N410" i="28"/>
  <c r="O410" i="28"/>
  <c r="W410" i="28"/>
  <c r="X410" i="28"/>
  <c r="Z410" i="28"/>
  <c r="AF410" i="28"/>
  <c r="AG410" i="28"/>
  <c r="AI410" i="28"/>
  <c r="E411" i="28"/>
  <c r="F411" i="28"/>
  <c r="G411" i="28"/>
  <c r="I411" i="28"/>
  <c r="M411" i="28"/>
  <c r="N411" i="28"/>
  <c r="O411" i="28"/>
  <c r="W411" i="28"/>
  <c r="X411" i="28"/>
  <c r="Z411" i="28"/>
  <c r="AF411" i="28"/>
  <c r="AG411" i="28"/>
  <c r="AI411" i="28"/>
  <c r="E412" i="28"/>
  <c r="F412" i="28"/>
  <c r="G412" i="28"/>
  <c r="I412" i="28"/>
  <c r="M412" i="28"/>
  <c r="N412" i="28"/>
  <c r="O412" i="28"/>
  <c r="W412" i="28"/>
  <c r="X412" i="28"/>
  <c r="Z412" i="28"/>
  <c r="AF412" i="28"/>
  <c r="AG412" i="28"/>
  <c r="AI412" i="28"/>
  <c r="E413" i="28"/>
  <c r="F413" i="28"/>
  <c r="G413" i="28"/>
  <c r="I413" i="28"/>
  <c r="M413" i="28"/>
  <c r="N413" i="28"/>
  <c r="O413" i="28"/>
  <c r="W413" i="28"/>
  <c r="X413" i="28"/>
  <c r="Z413" i="28"/>
  <c r="AF413" i="28"/>
  <c r="AG413" i="28"/>
  <c r="AI413" i="28"/>
  <c r="E414" i="28"/>
  <c r="F414" i="28"/>
  <c r="G414" i="28"/>
  <c r="I414" i="28"/>
  <c r="M414" i="28"/>
  <c r="N414" i="28"/>
  <c r="O414" i="28"/>
  <c r="W414" i="28"/>
  <c r="X414" i="28"/>
  <c r="Z414" i="28"/>
  <c r="AF414" i="28"/>
  <c r="AG414" i="28"/>
  <c r="AI414" i="28"/>
  <c r="E415" i="28"/>
  <c r="F415" i="28"/>
  <c r="G415" i="28"/>
  <c r="I415" i="28"/>
  <c r="M415" i="28"/>
  <c r="N415" i="28"/>
  <c r="O415" i="28"/>
  <c r="W415" i="28"/>
  <c r="X415" i="28"/>
  <c r="Z415" i="28"/>
  <c r="AF415" i="28"/>
  <c r="AG415" i="28"/>
  <c r="AI415" i="28"/>
  <c r="E416" i="28"/>
  <c r="F416" i="28"/>
  <c r="G416" i="28"/>
  <c r="I416" i="28"/>
  <c r="M416" i="28"/>
  <c r="N416" i="28"/>
  <c r="O416" i="28"/>
  <c r="W416" i="28"/>
  <c r="X416" i="28"/>
  <c r="Z416" i="28"/>
  <c r="AF416" i="28"/>
  <c r="AG416" i="28"/>
  <c r="AI416" i="28"/>
  <c r="E417" i="28"/>
  <c r="F417" i="28"/>
  <c r="G417" i="28"/>
  <c r="I417" i="28"/>
  <c r="M417" i="28"/>
  <c r="N417" i="28"/>
  <c r="O417" i="28"/>
  <c r="W417" i="28"/>
  <c r="X417" i="28"/>
  <c r="Z417" i="28"/>
  <c r="AF417" i="28"/>
  <c r="AG417" i="28"/>
  <c r="AI417" i="28"/>
  <c r="E418" i="28"/>
  <c r="F418" i="28"/>
  <c r="G418" i="28"/>
  <c r="I418" i="28"/>
  <c r="M418" i="28"/>
  <c r="N418" i="28"/>
  <c r="O418" i="28"/>
  <c r="W418" i="28"/>
  <c r="X418" i="28"/>
  <c r="Z418" i="28"/>
  <c r="AF418" i="28"/>
  <c r="AG418" i="28"/>
  <c r="AI418" i="28"/>
  <c r="E419" i="28"/>
  <c r="F419" i="28"/>
  <c r="G419" i="28"/>
  <c r="I419" i="28"/>
  <c r="M419" i="28"/>
  <c r="N419" i="28"/>
  <c r="O419" i="28"/>
  <c r="W419" i="28"/>
  <c r="X419" i="28"/>
  <c r="Z419" i="28"/>
  <c r="AF419" i="28"/>
  <c r="AG419" i="28"/>
  <c r="AI419" i="28"/>
  <c r="E420" i="28"/>
  <c r="F420" i="28"/>
  <c r="G420" i="28"/>
  <c r="I420" i="28"/>
  <c r="M420" i="28"/>
  <c r="N420" i="28"/>
  <c r="O420" i="28"/>
  <c r="W420" i="28"/>
  <c r="X420" i="28"/>
  <c r="Z420" i="28"/>
  <c r="AF420" i="28"/>
  <c r="AG420" i="28"/>
  <c r="AI420" i="28"/>
  <c r="E421" i="28"/>
  <c r="F421" i="28"/>
  <c r="G421" i="28"/>
  <c r="I421" i="28"/>
  <c r="M421" i="28"/>
  <c r="N421" i="28"/>
  <c r="O421" i="28"/>
  <c r="W421" i="28"/>
  <c r="X421" i="28"/>
  <c r="Z421" i="28"/>
  <c r="AF421" i="28"/>
  <c r="AG421" i="28"/>
  <c r="AI421" i="28"/>
  <c r="E422" i="28"/>
  <c r="F422" i="28"/>
  <c r="G422" i="28"/>
  <c r="I422" i="28"/>
  <c r="M422" i="28"/>
  <c r="N422" i="28"/>
  <c r="O422" i="28"/>
  <c r="W422" i="28"/>
  <c r="X422" i="28"/>
  <c r="Z422" i="28"/>
  <c r="AF422" i="28"/>
  <c r="AG422" i="28"/>
  <c r="AI422" i="28"/>
  <c r="E423" i="28"/>
  <c r="F423" i="28"/>
  <c r="G423" i="28"/>
  <c r="I423" i="28"/>
  <c r="M423" i="28"/>
  <c r="N423" i="28"/>
  <c r="O423" i="28"/>
  <c r="W423" i="28"/>
  <c r="X423" i="28"/>
  <c r="Z423" i="28"/>
  <c r="AF423" i="28"/>
  <c r="AG423" i="28"/>
  <c r="AI423" i="28"/>
  <c r="E424" i="28"/>
  <c r="F424" i="28"/>
  <c r="G424" i="28"/>
  <c r="I424" i="28"/>
  <c r="M424" i="28"/>
  <c r="N424" i="28"/>
  <c r="O424" i="28"/>
  <c r="W424" i="28"/>
  <c r="X424" i="28"/>
  <c r="Z424" i="28"/>
  <c r="AF424" i="28"/>
  <c r="AG424" i="28"/>
  <c r="AI424" i="28"/>
  <c r="E425" i="28"/>
  <c r="F425" i="28"/>
  <c r="G425" i="28"/>
  <c r="I425" i="28"/>
  <c r="M425" i="28"/>
  <c r="N425" i="28"/>
  <c r="O425" i="28"/>
  <c r="W425" i="28"/>
  <c r="X425" i="28"/>
  <c r="Z425" i="28"/>
  <c r="AF425" i="28"/>
  <c r="AG425" i="28"/>
  <c r="AI425" i="28"/>
  <c r="E426" i="28"/>
  <c r="F426" i="28"/>
  <c r="G426" i="28"/>
  <c r="I426" i="28"/>
  <c r="M426" i="28"/>
  <c r="N426" i="28"/>
  <c r="O426" i="28"/>
  <c r="W426" i="28"/>
  <c r="X426" i="28"/>
  <c r="Z426" i="28"/>
  <c r="AF426" i="28"/>
  <c r="AG426" i="28"/>
  <c r="AI426" i="28"/>
  <c r="E427" i="28"/>
  <c r="F427" i="28"/>
  <c r="G427" i="28"/>
  <c r="I427" i="28"/>
  <c r="M427" i="28"/>
  <c r="N427" i="28"/>
  <c r="O427" i="28"/>
  <c r="W427" i="28"/>
  <c r="X427" i="28"/>
  <c r="Z427" i="28"/>
  <c r="AF427" i="28"/>
  <c r="AG427" i="28"/>
  <c r="AI427" i="28"/>
  <c r="E428" i="28"/>
  <c r="F428" i="28"/>
  <c r="G428" i="28"/>
  <c r="I428" i="28"/>
  <c r="M428" i="28"/>
  <c r="N428" i="28"/>
  <c r="O428" i="28"/>
  <c r="W428" i="28"/>
  <c r="X428" i="28"/>
  <c r="Z428" i="28"/>
  <c r="AF428" i="28"/>
  <c r="AG428" i="28"/>
  <c r="AI428" i="28"/>
  <c r="E429" i="28"/>
  <c r="F429" i="28"/>
  <c r="G429" i="28"/>
  <c r="I429" i="28"/>
  <c r="M429" i="28"/>
  <c r="N429" i="28"/>
  <c r="O429" i="28"/>
  <c r="W429" i="28"/>
  <c r="X429" i="28"/>
  <c r="Z429" i="28"/>
  <c r="AF429" i="28"/>
  <c r="AG429" i="28"/>
  <c r="AI429" i="28"/>
  <c r="E430" i="28"/>
  <c r="F430" i="28"/>
  <c r="G430" i="28"/>
  <c r="I430" i="28"/>
  <c r="M430" i="28"/>
  <c r="N430" i="28"/>
  <c r="O430" i="28"/>
  <c r="W430" i="28"/>
  <c r="X430" i="28"/>
  <c r="Z430" i="28"/>
  <c r="AF430" i="28"/>
  <c r="AG430" i="28"/>
  <c r="AI430" i="28"/>
  <c r="E431" i="28"/>
  <c r="F431" i="28"/>
  <c r="G431" i="28"/>
  <c r="I431" i="28"/>
  <c r="M431" i="28"/>
  <c r="N431" i="28"/>
  <c r="O431" i="28"/>
  <c r="W431" i="28"/>
  <c r="X431" i="28"/>
  <c r="Z431" i="28"/>
  <c r="AF431" i="28"/>
  <c r="AG431" i="28"/>
  <c r="AI431" i="28"/>
  <c r="E432" i="28"/>
  <c r="F432" i="28"/>
  <c r="G432" i="28"/>
  <c r="I432" i="28"/>
  <c r="M432" i="28"/>
  <c r="N432" i="28"/>
  <c r="O432" i="28"/>
  <c r="W432" i="28"/>
  <c r="X432" i="28"/>
  <c r="Z432" i="28"/>
  <c r="AF432" i="28"/>
  <c r="AG432" i="28"/>
  <c r="AI432" i="28"/>
  <c r="E433" i="28"/>
  <c r="F433" i="28"/>
  <c r="G433" i="28"/>
  <c r="I433" i="28"/>
  <c r="M433" i="28"/>
  <c r="N433" i="28"/>
  <c r="O433" i="28"/>
  <c r="W433" i="28"/>
  <c r="X433" i="28"/>
  <c r="Z433" i="28"/>
  <c r="AF433" i="28"/>
  <c r="AG433" i="28"/>
  <c r="AI433" i="28"/>
  <c r="E434" i="28"/>
  <c r="F434" i="28"/>
  <c r="G434" i="28"/>
  <c r="I434" i="28"/>
  <c r="M434" i="28"/>
  <c r="N434" i="28"/>
  <c r="O434" i="28"/>
  <c r="W434" i="28"/>
  <c r="X434" i="28"/>
  <c r="Z434" i="28"/>
  <c r="AF434" i="28"/>
  <c r="AG434" i="28"/>
  <c r="AI434" i="28"/>
  <c r="E435" i="28"/>
  <c r="F435" i="28"/>
  <c r="G435" i="28"/>
  <c r="I435" i="28"/>
  <c r="M435" i="28"/>
  <c r="N435" i="28"/>
  <c r="O435" i="28"/>
  <c r="W435" i="28"/>
  <c r="X435" i="28"/>
  <c r="Z435" i="28"/>
  <c r="AF435" i="28"/>
  <c r="AG435" i="28"/>
  <c r="AI435" i="28"/>
  <c r="E436" i="28"/>
  <c r="F436" i="28"/>
  <c r="G436" i="28"/>
  <c r="I436" i="28"/>
  <c r="M436" i="28"/>
  <c r="N436" i="28"/>
  <c r="O436" i="28"/>
  <c r="W436" i="28"/>
  <c r="X436" i="28"/>
  <c r="Z436" i="28"/>
  <c r="AF436" i="28"/>
  <c r="AG436" i="28"/>
  <c r="AI436" i="28"/>
  <c r="E437" i="28"/>
  <c r="F437" i="28"/>
  <c r="G437" i="28"/>
  <c r="I437" i="28"/>
  <c r="M437" i="28"/>
  <c r="N437" i="28"/>
  <c r="O437" i="28"/>
  <c r="W437" i="28"/>
  <c r="X437" i="28"/>
  <c r="Z437" i="28"/>
  <c r="AF437" i="28"/>
  <c r="AG437" i="28"/>
  <c r="AI437" i="28"/>
  <c r="E438" i="28"/>
  <c r="F438" i="28"/>
  <c r="G438" i="28"/>
  <c r="I438" i="28"/>
  <c r="M438" i="28"/>
  <c r="N438" i="28"/>
  <c r="O438" i="28"/>
  <c r="W438" i="28"/>
  <c r="X438" i="28"/>
  <c r="Z438" i="28"/>
  <c r="AF438" i="28"/>
  <c r="AG438" i="28"/>
  <c r="AI438" i="28"/>
  <c r="E439" i="28"/>
  <c r="F439" i="28"/>
  <c r="G439" i="28"/>
  <c r="I439" i="28"/>
  <c r="M439" i="28"/>
  <c r="N439" i="28"/>
  <c r="O439" i="28"/>
  <c r="W439" i="28"/>
  <c r="X439" i="28"/>
  <c r="Z439" i="28"/>
  <c r="AF439" i="28"/>
  <c r="AG439" i="28"/>
  <c r="AI439" i="28"/>
  <c r="E440" i="28"/>
  <c r="F440" i="28"/>
  <c r="G440" i="28"/>
  <c r="I440" i="28"/>
  <c r="M440" i="28"/>
  <c r="N440" i="28"/>
  <c r="O440" i="28"/>
  <c r="W440" i="28"/>
  <c r="X440" i="28"/>
  <c r="Z440" i="28"/>
  <c r="AF440" i="28"/>
  <c r="AG440" i="28"/>
  <c r="AI440" i="28"/>
  <c r="E441" i="28"/>
  <c r="F441" i="28"/>
  <c r="G441" i="28"/>
  <c r="I441" i="28"/>
  <c r="M441" i="28"/>
  <c r="N441" i="28"/>
  <c r="O441" i="28"/>
  <c r="W441" i="28"/>
  <c r="X441" i="28"/>
  <c r="Z441" i="28"/>
  <c r="AF441" i="28"/>
  <c r="AG441" i="28"/>
  <c r="AI441" i="28"/>
  <c r="E442" i="28"/>
  <c r="F442" i="28"/>
  <c r="G442" i="28"/>
  <c r="I442" i="28"/>
  <c r="M442" i="28"/>
  <c r="N442" i="28"/>
  <c r="O442" i="28"/>
  <c r="W442" i="28"/>
  <c r="X442" i="28"/>
  <c r="Z442" i="28"/>
  <c r="AF442" i="28"/>
  <c r="AG442" i="28"/>
  <c r="AI442" i="28"/>
  <c r="E443" i="28"/>
  <c r="F443" i="28"/>
  <c r="G443" i="28"/>
  <c r="I443" i="28"/>
  <c r="M443" i="28"/>
  <c r="N443" i="28"/>
  <c r="O443" i="28"/>
  <c r="W443" i="28"/>
  <c r="X443" i="28"/>
  <c r="Z443" i="28"/>
  <c r="AF443" i="28"/>
  <c r="AG443" i="28"/>
  <c r="AI443" i="28"/>
  <c r="E444" i="28"/>
  <c r="F444" i="28"/>
  <c r="G444" i="28"/>
  <c r="I444" i="28"/>
  <c r="M444" i="28"/>
  <c r="N444" i="28"/>
  <c r="O444" i="28"/>
  <c r="W444" i="28"/>
  <c r="X444" i="28"/>
  <c r="Z444" i="28"/>
  <c r="AF444" i="28"/>
  <c r="AG444" i="28"/>
  <c r="AI444" i="28"/>
  <c r="E445" i="28"/>
  <c r="F445" i="28"/>
  <c r="G445" i="28"/>
  <c r="I445" i="28"/>
  <c r="M445" i="28"/>
  <c r="N445" i="28"/>
  <c r="O445" i="28"/>
  <c r="W445" i="28"/>
  <c r="X445" i="28"/>
  <c r="Z445" i="28"/>
  <c r="AF445" i="28"/>
  <c r="AG445" i="28"/>
  <c r="AI445" i="28"/>
  <c r="E446" i="28"/>
  <c r="F446" i="28"/>
  <c r="G446" i="28"/>
  <c r="I446" i="28"/>
  <c r="M446" i="28"/>
  <c r="N446" i="28"/>
  <c r="O446" i="28"/>
  <c r="W446" i="28"/>
  <c r="X446" i="28"/>
  <c r="Z446" i="28"/>
  <c r="AF446" i="28"/>
  <c r="AG446" i="28"/>
  <c r="AI446" i="28"/>
  <c r="E447" i="28"/>
  <c r="F447" i="28"/>
  <c r="G447" i="28"/>
  <c r="I447" i="28"/>
  <c r="M447" i="28"/>
  <c r="N447" i="28"/>
  <c r="O447" i="28"/>
  <c r="W447" i="28"/>
  <c r="X447" i="28"/>
  <c r="Z447" i="28"/>
  <c r="AF447" i="28"/>
  <c r="AG447" i="28"/>
  <c r="AI447" i="28"/>
  <c r="E448" i="28"/>
  <c r="F448" i="28"/>
  <c r="G448" i="28"/>
  <c r="I448" i="28"/>
  <c r="M448" i="28"/>
  <c r="N448" i="28"/>
  <c r="O448" i="28"/>
  <c r="W448" i="28"/>
  <c r="X448" i="28"/>
  <c r="Z448" i="28"/>
  <c r="AF448" i="28"/>
  <c r="AG448" i="28"/>
  <c r="AI448" i="28"/>
  <c r="E449" i="28"/>
  <c r="F449" i="28"/>
  <c r="G449" i="28"/>
  <c r="I449" i="28"/>
  <c r="M449" i="28"/>
  <c r="N449" i="28"/>
  <c r="O449" i="28"/>
  <c r="W449" i="28"/>
  <c r="X449" i="28"/>
  <c r="Z449" i="28"/>
  <c r="AF449" i="28"/>
  <c r="AG449" i="28"/>
  <c r="AI449" i="28"/>
  <c r="E450" i="28"/>
  <c r="F450" i="28"/>
  <c r="G450" i="28"/>
  <c r="I450" i="28"/>
  <c r="M450" i="28"/>
  <c r="N450" i="28"/>
  <c r="O450" i="28"/>
  <c r="W450" i="28"/>
  <c r="X450" i="28"/>
  <c r="Z450" i="28"/>
  <c r="AF450" i="28"/>
  <c r="AG450" i="28"/>
  <c r="AI450" i="28"/>
  <c r="E451" i="28"/>
  <c r="F451" i="28"/>
  <c r="G451" i="28"/>
  <c r="I451" i="28"/>
  <c r="M451" i="28"/>
  <c r="N451" i="28"/>
  <c r="O451" i="28"/>
  <c r="W451" i="28"/>
  <c r="X451" i="28"/>
  <c r="Z451" i="28"/>
  <c r="AF451" i="28"/>
  <c r="AG451" i="28"/>
  <c r="AI451" i="28"/>
  <c r="E452" i="28"/>
  <c r="F452" i="28"/>
  <c r="G452" i="28"/>
  <c r="I452" i="28"/>
  <c r="M452" i="28"/>
  <c r="N452" i="28"/>
  <c r="O452" i="28"/>
  <c r="W452" i="28"/>
  <c r="X452" i="28"/>
  <c r="Z452" i="28"/>
  <c r="AF452" i="28"/>
  <c r="AG452" i="28"/>
  <c r="AI452" i="28"/>
  <c r="E453" i="28"/>
  <c r="F453" i="28"/>
  <c r="G453" i="28"/>
  <c r="I453" i="28"/>
  <c r="M453" i="28"/>
  <c r="N453" i="28"/>
  <c r="O453" i="28"/>
  <c r="W453" i="28"/>
  <c r="X453" i="28"/>
  <c r="Z453" i="28"/>
  <c r="AF453" i="28"/>
  <c r="AG453" i="28"/>
  <c r="AI453" i="28"/>
  <c r="E454" i="28"/>
  <c r="F454" i="28"/>
  <c r="G454" i="28"/>
  <c r="I454" i="28"/>
  <c r="M454" i="28"/>
  <c r="N454" i="28"/>
  <c r="O454" i="28"/>
  <c r="W454" i="28"/>
  <c r="X454" i="28"/>
  <c r="Z454" i="28"/>
  <c r="AF454" i="28"/>
  <c r="AG454" i="28"/>
  <c r="AI454" i="28"/>
  <c r="E455" i="28"/>
  <c r="F455" i="28"/>
  <c r="G455" i="28"/>
  <c r="I455" i="28"/>
  <c r="M455" i="28"/>
  <c r="N455" i="28"/>
  <c r="O455" i="28"/>
  <c r="W455" i="28"/>
  <c r="X455" i="28"/>
  <c r="Z455" i="28"/>
  <c r="AF455" i="28"/>
  <c r="AG455" i="28"/>
  <c r="AI455" i="28"/>
  <c r="E456" i="28"/>
  <c r="F456" i="28"/>
  <c r="G456" i="28"/>
  <c r="I456" i="28"/>
  <c r="M456" i="28"/>
  <c r="N456" i="28"/>
  <c r="O456" i="28"/>
  <c r="W456" i="28"/>
  <c r="X456" i="28"/>
  <c r="Z456" i="28"/>
  <c r="AF456" i="28"/>
  <c r="AG456" i="28"/>
  <c r="AI456" i="28"/>
  <c r="E457" i="28"/>
  <c r="F457" i="28"/>
  <c r="G457" i="28"/>
  <c r="I457" i="28"/>
  <c r="M457" i="28"/>
  <c r="N457" i="28"/>
  <c r="O457" i="28"/>
  <c r="W457" i="28"/>
  <c r="X457" i="28"/>
  <c r="Z457" i="28"/>
  <c r="AF457" i="28"/>
  <c r="AG457" i="28"/>
  <c r="AI457" i="28"/>
  <c r="E458" i="28"/>
  <c r="F458" i="28"/>
  <c r="G458" i="28"/>
  <c r="I458" i="28"/>
  <c r="M458" i="28"/>
  <c r="N458" i="28"/>
  <c r="O458" i="28"/>
  <c r="W458" i="28"/>
  <c r="X458" i="28"/>
  <c r="Z458" i="28"/>
  <c r="AF458" i="28"/>
  <c r="AG458" i="28"/>
  <c r="AI458" i="28"/>
  <c r="E459" i="28"/>
  <c r="F459" i="28"/>
  <c r="G459" i="28"/>
  <c r="I459" i="28"/>
  <c r="M459" i="28"/>
  <c r="N459" i="28"/>
  <c r="O459" i="28"/>
  <c r="W459" i="28"/>
  <c r="X459" i="28"/>
  <c r="Z459" i="28"/>
  <c r="AF459" i="28"/>
  <c r="AG459" i="28"/>
  <c r="AI459" i="28"/>
  <c r="E460" i="28"/>
  <c r="F460" i="28"/>
  <c r="G460" i="28"/>
  <c r="I460" i="28"/>
  <c r="M460" i="28"/>
  <c r="N460" i="28"/>
  <c r="O460" i="28"/>
  <c r="W460" i="28"/>
  <c r="X460" i="28"/>
  <c r="Z460" i="28"/>
  <c r="AF460" i="28"/>
  <c r="AG460" i="28"/>
  <c r="AI460" i="28"/>
  <c r="E461" i="28"/>
  <c r="F461" i="28"/>
  <c r="G461" i="28"/>
  <c r="I461" i="28"/>
  <c r="M461" i="28"/>
  <c r="N461" i="28"/>
  <c r="O461" i="28"/>
  <c r="W461" i="28"/>
  <c r="X461" i="28"/>
  <c r="Z461" i="28"/>
  <c r="AF461" i="28"/>
  <c r="AG461" i="28"/>
  <c r="AI461" i="28"/>
  <c r="E462" i="28"/>
  <c r="F462" i="28"/>
  <c r="G462" i="28"/>
  <c r="I462" i="28"/>
  <c r="M462" i="28"/>
  <c r="N462" i="28"/>
  <c r="O462" i="28"/>
  <c r="W462" i="28"/>
  <c r="X462" i="28"/>
  <c r="Z462" i="28"/>
  <c r="AF462" i="28"/>
  <c r="AG462" i="28"/>
  <c r="AI462" i="28"/>
  <c r="E463" i="28"/>
  <c r="F463" i="28"/>
  <c r="G463" i="28"/>
  <c r="I463" i="28"/>
  <c r="M463" i="28"/>
  <c r="N463" i="28"/>
  <c r="O463" i="28"/>
  <c r="W463" i="28"/>
  <c r="X463" i="28"/>
  <c r="Z463" i="28"/>
  <c r="AF463" i="28"/>
  <c r="AG463" i="28"/>
  <c r="AI463" i="28"/>
  <c r="E464" i="28"/>
  <c r="F464" i="28"/>
  <c r="G464" i="28"/>
  <c r="I464" i="28"/>
  <c r="M464" i="28"/>
  <c r="N464" i="28"/>
  <c r="O464" i="28"/>
  <c r="W464" i="28"/>
  <c r="X464" i="28"/>
  <c r="Z464" i="28"/>
  <c r="AF464" i="28"/>
  <c r="AG464" i="28"/>
  <c r="AI464" i="28"/>
  <c r="E465" i="28"/>
  <c r="F465" i="28"/>
  <c r="G465" i="28"/>
  <c r="I465" i="28"/>
  <c r="M465" i="28"/>
  <c r="N465" i="28"/>
  <c r="O465" i="28"/>
  <c r="W465" i="28"/>
  <c r="X465" i="28"/>
  <c r="Z465" i="28"/>
  <c r="AF465" i="28"/>
  <c r="AG465" i="28"/>
  <c r="AI465" i="28"/>
  <c r="E466" i="28"/>
  <c r="F466" i="28"/>
  <c r="G466" i="28"/>
  <c r="I466" i="28"/>
  <c r="M466" i="28"/>
  <c r="N466" i="28"/>
  <c r="O466" i="28"/>
  <c r="W466" i="28"/>
  <c r="X466" i="28"/>
  <c r="Z466" i="28"/>
  <c r="AF466" i="28"/>
  <c r="AG466" i="28"/>
  <c r="AI466" i="28"/>
  <c r="E467" i="28"/>
  <c r="F467" i="28"/>
  <c r="G467" i="28"/>
  <c r="I467" i="28"/>
  <c r="M467" i="28"/>
  <c r="N467" i="28"/>
  <c r="O467" i="28"/>
  <c r="W467" i="28"/>
  <c r="X467" i="28"/>
  <c r="Z467" i="28"/>
  <c r="AF467" i="28"/>
  <c r="AG467" i="28"/>
  <c r="AI467" i="28"/>
  <c r="E468" i="28"/>
  <c r="F468" i="28"/>
  <c r="G468" i="28"/>
  <c r="I468" i="28"/>
  <c r="M468" i="28"/>
  <c r="N468" i="28"/>
  <c r="O468" i="28"/>
  <c r="W468" i="28"/>
  <c r="X468" i="28"/>
  <c r="Z468" i="28"/>
  <c r="AF468" i="28"/>
  <c r="AG468" i="28"/>
  <c r="AI468" i="28"/>
  <c r="E469" i="28"/>
  <c r="F469" i="28"/>
  <c r="G469" i="28"/>
  <c r="I469" i="28"/>
  <c r="M469" i="28"/>
  <c r="N469" i="28"/>
  <c r="O469" i="28"/>
  <c r="W469" i="28"/>
  <c r="X469" i="28"/>
  <c r="Z469" i="28"/>
  <c r="AF469" i="28"/>
  <c r="AG469" i="28"/>
  <c r="AI469" i="28"/>
  <c r="E470" i="28"/>
  <c r="F470" i="28"/>
  <c r="G470" i="28"/>
  <c r="I470" i="28"/>
  <c r="M470" i="28"/>
  <c r="N470" i="28"/>
  <c r="O470" i="28"/>
  <c r="W470" i="28"/>
  <c r="X470" i="28"/>
  <c r="Z470" i="28"/>
  <c r="AF470" i="28"/>
  <c r="AG470" i="28"/>
  <c r="AI470" i="28"/>
  <c r="E471" i="28"/>
  <c r="F471" i="28"/>
  <c r="G471" i="28"/>
  <c r="I471" i="28"/>
  <c r="M471" i="28"/>
  <c r="N471" i="28"/>
  <c r="O471" i="28"/>
  <c r="W471" i="28"/>
  <c r="X471" i="28"/>
  <c r="Z471" i="28"/>
  <c r="AF471" i="28"/>
  <c r="AG471" i="28"/>
  <c r="AI471" i="28"/>
  <c r="E472" i="28"/>
  <c r="F472" i="28"/>
  <c r="G472" i="28"/>
  <c r="I472" i="28"/>
  <c r="M472" i="28"/>
  <c r="N472" i="28"/>
  <c r="O472" i="28"/>
  <c r="W472" i="28"/>
  <c r="X472" i="28"/>
  <c r="Z472" i="28"/>
  <c r="AF472" i="28"/>
  <c r="AG472" i="28"/>
  <c r="AI472" i="28"/>
  <c r="E473" i="28"/>
  <c r="F473" i="28"/>
  <c r="G473" i="28"/>
  <c r="I473" i="28"/>
  <c r="M473" i="28"/>
  <c r="N473" i="28"/>
  <c r="O473" i="28"/>
  <c r="W473" i="28"/>
  <c r="X473" i="28"/>
  <c r="Z473" i="28"/>
  <c r="AF473" i="28"/>
  <c r="AG473" i="28"/>
  <c r="AI473" i="28"/>
  <c r="E474" i="28"/>
  <c r="F474" i="28"/>
  <c r="G474" i="28"/>
  <c r="I474" i="28"/>
  <c r="M474" i="28"/>
  <c r="N474" i="28"/>
  <c r="O474" i="28"/>
  <c r="W474" i="28"/>
  <c r="X474" i="28"/>
  <c r="Z474" i="28"/>
  <c r="AF474" i="28"/>
  <c r="AG474" i="28"/>
  <c r="AI474" i="28"/>
  <c r="E475" i="28"/>
  <c r="F475" i="28"/>
  <c r="G475" i="28"/>
  <c r="I475" i="28"/>
  <c r="M475" i="28"/>
  <c r="N475" i="28"/>
  <c r="O475" i="28"/>
  <c r="W475" i="28"/>
  <c r="X475" i="28"/>
  <c r="Z475" i="28"/>
  <c r="AF475" i="28"/>
  <c r="AG475" i="28"/>
  <c r="AI475" i="28"/>
  <c r="E476" i="28"/>
  <c r="F476" i="28"/>
  <c r="G476" i="28"/>
  <c r="I476" i="28"/>
  <c r="M476" i="28"/>
  <c r="N476" i="28"/>
  <c r="O476" i="28"/>
  <c r="W476" i="28"/>
  <c r="X476" i="28"/>
  <c r="Z476" i="28"/>
  <c r="AF476" i="28"/>
  <c r="AG476" i="28"/>
  <c r="AI476" i="28"/>
  <c r="E477" i="28"/>
  <c r="F477" i="28"/>
  <c r="G477" i="28"/>
  <c r="I477" i="28"/>
  <c r="M477" i="28"/>
  <c r="N477" i="28"/>
  <c r="O477" i="28"/>
  <c r="W477" i="28"/>
  <c r="X477" i="28"/>
  <c r="Z477" i="28"/>
  <c r="AF477" i="28"/>
  <c r="AG477" i="28"/>
  <c r="AI477" i="28"/>
  <c r="E478" i="28"/>
  <c r="F478" i="28"/>
  <c r="G478" i="28"/>
  <c r="I478" i="28"/>
  <c r="M478" i="28"/>
  <c r="N478" i="28"/>
  <c r="O478" i="28"/>
  <c r="W478" i="28"/>
  <c r="X478" i="28"/>
  <c r="Z478" i="28"/>
  <c r="AF478" i="28"/>
  <c r="AG478" i="28"/>
  <c r="AI478" i="28"/>
  <c r="E479" i="28"/>
  <c r="F479" i="28"/>
  <c r="G479" i="28"/>
  <c r="I479" i="28"/>
  <c r="M479" i="28"/>
  <c r="N479" i="28"/>
  <c r="O479" i="28"/>
  <c r="W479" i="28"/>
  <c r="X479" i="28"/>
  <c r="Z479" i="28"/>
  <c r="AF479" i="28"/>
  <c r="AG479" i="28"/>
  <c r="AI479" i="28"/>
  <c r="E480" i="28"/>
  <c r="F480" i="28"/>
  <c r="G480" i="28"/>
  <c r="I480" i="28"/>
  <c r="M480" i="28"/>
  <c r="N480" i="28"/>
  <c r="O480" i="28"/>
  <c r="W480" i="28"/>
  <c r="X480" i="28"/>
  <c r="Z480" i="28"/>
  <c r="AF480" i="28"/>
  <c r="AG480" i="28"/>
  <c r="AI480" i="28"/>
  <c r="E481" i="28"/>
  <c r="F481" i="28"/>
  <c r="G481" i="28"/>
  <c r="I481" i="28"/>
  <c r="M481" i="28"/>
  <c r="N481" i="28"/>
  <c r="O481" i="28"/>
  <c r="W481" i="28"/>
  <c r="X481" i="28"/>
  <c r="Z481" i="28"/>
  <c r="AF481" i="28"/>
  <c r="AG481" i="28"/>
  <c r="AI481" i="28"/>
  <c r="E482" i="28"/>
  <c r="F482" i="28"/>
  <c r="G482" i="28"/>
  <c r="I482" i="28"/>
  <c r="M482" i="28"/>
  <c r="N482" i="28"/>
  <c r="O482" i="28"/>
  <c r="W482" i="28"/>
  <c r="X482" i="28"/>
  <c r="Z482" i="28"/>
  <c r="AF482" i="28"/>
  <c r="AG482" i="28"/>
  <c r="AI482" i="28"/>
  <c r="E483" i="28"/>
  <c r="F483" i="28"/>
  <c r="G483" i="28"/>
  <c r="I483" i="28"/>
  <c r="M483" i="28"/>
  <c r="N483" i="28"/>
  <c r="O483" i="28"/>
  <c r="W483" i="28"/>
  <c r="X483" i="28"/>
  <c r="Z483" i="28"/>
  <c r="AF483" i="28"/>
  <c r="AG483" i="28"/>
  <c r="AI483" i="28"/>
  <c r="E484" i="28"/>
  <c r="F484" i="28"/>
  <c r="G484" i="28"/>
  <c r="I484" i="28"/>
  <c r="M484" i="28"/>
  <c r="N484" i="28"/>
  <c r="O484" i="28"/>
  <c r="W484" i="28"/>
  <c r="X484" i="28"/>
  <c r="Z484" i="28"/>
  <c r="AF484" i="28"/>
  <c r="AG484" i="28"/>
  <c r="AI484" i="28"/>
  <c r="E485" i="28"/>
  <c r="F485" i="28"/>
  <c r="G485" i="28"/>
  <c r="I485" i="28"/>
  <c r="M485" i="28"/>
  <c r="N485" i="28"/>
  <c r="O485" i="28"/>
  <c r="W485" i="28"/>
  <c r="X485" i="28"/>
  <c r="Z485" i="28"/>
  <c r="AF485" i="28"/>
  <c r="AG485" i="28"/>
  <c r="AI485" i="28"/>
  <c r="E486" i="28"/>
  <c r="F486" i="28"/>
  <c r="G486" i="28"/>
  <c r="I486" i="28"/>
  <c r="M486" i="28"/>
  <c r="N486" i="28"/>
  <c r="O486" i="28"/>
  <c r="W486" i="28"/>
  <c r="X486" i="28"/>
  <c r="Z486" i="28"/>
  <c r="AF486" i="28"/>
  <c r="AG486" i="28"/>
  <c r="AI486" i="28"/>
  <c r="E487" i="28"/>
  <c r="F487" i="28"/>
  <c r="G487" i="28"/>
  <c r="I487" i="28"/>
  <c r="M487" i="28"/>
  <c r="N487" i="28"/>
  <c r="O487" i="28"/>
  <c r="W487" i="28"/>
  <c r="X487" i="28"/>
  <c r="Z487" i="28"/>
  <c r="AF487" i="28"/>
  <c r="AG487" i="28"/>
  <c r="AI487" i="28"/>
  <c r="E488" i="28"/>
  <c r="F488" i="28"/>
  <c r="G488" i="28"/>
  <c r="I488" i="28"/>
  <c r="M488" i="28"/>
  <c r="N488" i="28"/>
  <c r="O488" i="28"/>
  <c r="W488" i="28"/>
  <c r="X488" i="28"/>
  <c r="Z488" i="28"/>
  <c r="AF488" i="28"/>
  <c r="AG488" i="28"/>
  <c r="AI488" i="28"/>
  <c r="E489" i="28"/>
  <c r="F489" i="28"/>
  <c r="G489" i="28"/>
  <c r="I489" i="28"/>
  <c r="M489" i="28"/>
  <c r="N489" i="28"/>
  <c r="O489" i="28"/>
  <c r="W489" i="28"/>
  <c r="X489" i="28"/>
  <c r="Z489" i="28"/>
  <c r="AF489" i="28"/>
  <c r="AG489" i="28"/>
  <c r="AI489" i="28"/>
  <c r="E490" i="28"/>
  <c r="F490" i="28"/>
  <c r="G490" i="28"/>
  <c r="I490" i="28"/>
  <c r="M490" i="28"/>
  <c r="N490" i="28"/>
  <c r="O490" i="28"/>
  <c r="W490" i="28"/>
  <c r="X490" i="28"/>
  <c r="Z490" i="28"/>
  <c r="AF490" i="28"/>
  <c r="AG490" i="28"/>
  <c r="AI490" i="28"/>
  <c r="E491" i="28"/>
  <c r="F491" i="28"/>
  <c r="G491" i="28"/>
  <c r="I491" i="28"/>
  <c r="M491" i="28"/>
  <c r="N491" i="28"/>
  <c r="O491" i="28"/>
  <c r="W491" i="28"/>
  <c r="X491" i="28"/>
  <c r="Z491" i="28"/>
  <c r="AF491" i="28"/>
  <c r="AG491" i="28"/>
  <c r="AI491" i="28"/>
  <c r="E492" i="28"/>
  <c r="F492" i="28"/>
  <c r="G492" i="28"/>
  <c r="I492" i="28"/>
  <c r="M492" i="28"/>
  <c r="N492" i="28"/>
  <c r="O492" i="28"/>
  <c r="W492" i="28"/>
  <c r="X492" i="28"/>
  <c r="Z492" i="28"/>
  <c r="AF492" i="28"/>
  <c r="AG492" i="28"/>
  <c r="AI492" i="28"/>
  <c r="E493" i="28"/>
  <c r="F493" i="28"/>
  <c r="G493" i="28"/>
  <c r="I493" i="28"/>
  <c r="M493" i="28"/>
  <c r="N493" i="28"/>
  <c r="O493" i="28"/>
  <c r="W493" i="28"/>
  <c r="X493" i="28"/>
  <c r="Z493" i="28"/>
  <c r="AF493" i="28"/>
  <c r="AG493" i="28"/>
  <c r="AI493" i="28"/>
  <c r="E494" i="28"/>
  <c r="F494" i="28"/>
  <c r="G494" i="28"/>
  <c r="I494" i="28"/>
  <c r="M494" i="28"/>
  <c r="N494" i="28"/>
  <c r="O494" i="28"/>
  <c r="W494" i="28"/>
  <c r="X494" i="28"/>
  <c r="Z494" i="28"/>
  <c r="AF494" i="28"/>
  <c r="AG494" i="28"/>
  <c r="AI494" i="28"/>
  <c r="E495" i="28"/>
  <c r="F495" i="28"/>
  <c r="G495" i="28"/>
  <c r="I495" i="28"/>
  <c r="M495" i="28"/>
  <c r="N495" i="28"/>
  <c r="O495" i="28"/>
  <c r="W495" i="28"/>
  <c r="X495" i="28"/>
  <c r="Z495" i="28"/>
  <c r="AF495" i="28"/>
  <c r="AG495" i="28"/>
  <c r="AI495" i="28"/>
  <c r="E496" i="28"/>
  <c r="F496" i="28"/>
  <c r="G496" i="28"/>
  <c r="I496" i="28"/>
  <c r="M496" i="28"/>
  <c r="N496" i="28"/>
  <c r="O496" i="28"/>
  <c r="W496" i="28"/>
  <c r="X496" i="28"/>
  <c r="Z496" i="28"/>
  <c r="AF496" i="28"/>
  <c r="AG496" i="28"/>
  <c r="AI496" i="28"/>
  <c r="E497" i="28"/>
  <c r="F497" i="28"/>
  <c r="G497" i="28"/>
  <c r="I497" i="28"/>
  <c r="M497" i="28"/>
  <c r="N497" i="28"/>
  <c r="O497" i="28"/>
  <c r="W497" i="28"/>
  <c r="X497" i="28"/>
  <c r="Z497" i="28"/>
  <c r="AF497" i="28"/>
  <c r="AG497" i="28"/>
  <c r="AI497" i="28"/>
  <c r="E498" i="28"/>
  <c r="F498" i="28"/>
  <c r="G498" i="28"/>
  <c r="I498" i="28"/>
  <c r="M498" i="28"/>
  <c r="N498" i="28"/>
  <c r="O498" i="28"/>
  <c r="W498" i="28"/>
  <c r="X498" i="28"/>
  <c r="Z498" i="28"/>
  <c r="AF498" i="28"/>
  <c r="AG498" i="28"/>
  <c r="AI498" i="28"/>
  <c r="E499" i="28"/>
  <c r="F499" i="28"/>
  <c r="G499" i="28"/>
  <c r="I499" i="28"/>
  <c r="M499" i="28"/>
  <c r="N499" i="28"/>
  <c r="O499" i="28"/>
  <c r="W499" i="28"/>
  <c r="X499" i="28"/>
  <c r="Z499" i="28"/>
  <c r="AF499" i="28"/>
  <c r="AG499" i="28"/>
  <c r="AI499" i="28"/>
  <c r="E500" i="28"/>
  <c r="F500" i="28"/>
  <c r="G500" i="28"/>
  <c r="I500" i="28"/>
  <c r="M500" i="28"/>
  <c r="N500" i="28"/>
  <c r="O500" i="28"/>
  <c r="W500" i="28"/>
  <c r="X500" i="28"/>
  <c r="Z500" i="28"/>
  <c r="AF500" i="28"/>
  <c r="AG500" i="28"/>
  <c r="AI500" i="28"/>
  <c r="E501" i="28"/>
  <c r="F501" i="28"/>
  <c r="G501" i="28"/>
  <c r="I501" i="28"/>
  <c r="M501" i="28"/>
  <c r="N501" i="28"/>
  <c r="O501" i="28"/>
  <c r="W501" i="28"/>
  <c r="X501" i="28"/>
  <c r="Z501" i="28"/>
  <c r="AF501" i="28"/>
  <c r="AG501" i="28"/>
  <c r="AI501" i="28"/>
  <c r="E502" i="28"/>
  <c r="F502" i="28"/>
  <c r="G502" i="28"/>
  <c r="I502" i="28"/>
  <c r="M502" i="28"/>
  <c r="N502" i="28"/>
  <c r="O502" i="28"/>
  <c r="W502" i="28"/>
  <c r="X502" i="28"/>
  <c r="Z502" i="28"/>
  <c r="AF502" i="28"/>
  <c r="AG502" i="28"/>
  <c r="AI502" i="28"/>
  <c r="E503" i="28"/>
  <c r="F503" i="28"/>
  <c r="G503" i="28"/>
  <c r="I503" i="28"/>
  <c r="M503" i="28"/>
  <c r="N503" i="28"/>
  <c r="O503" i="28"/>
  <c r="W503" i="28"/>
  <c r="X503" i="28"/>
  <c r="Z503" i="28"/>
  <c r="AF503" i="28"/>
  <c r="AG503" i="28"/>
  <c r="AI503" i="28"/>
  <c r="E504" i="28"/>
  <c r="F504" i="28"/>
  <c r="G504" i="28"/>
  <c r="I504" i="28"/>
  <c r="M504" i="28"/>
  <c r="N504" i="28"/>
  <c r="O504" i="28"/>
  <c r="W504" i="28"/>
  <c r="X504" i="28"/>
  <c r="Z504" i="28"/>
  <c r="AF504" i="28"/>
  <c r="AG504" i="28"/>
  <c r="AI504" i="28"/>
  <c r="E505" i="28"/>
  <c r="F505" i="28"/>
  <c r="G505" i="28"/>
  <c r="I505" i="28"/>
  <c r="M505" i="28"/>
  <c r="N505" i="28"/>
  <c r="O505" i="28"/>
  <c r="W505" i="28"/>
  <c r="X505" i="28"/>
  <c r="Z505" i="28"/>
  <c r="AF505" i="28"/>
  <c r="AG505" i="28"/>
  <c r="AI505" i="28"/>
  <c r="E506" i="28"/>
  <c r="F506" i="28"/>
  <c r="G506" i="28"/>
  <c r="I506" i="28"/>
  <c r="M506" i="28"/>
  <c r="N506" i="28"/>
  <c r="O506" i="28"/>
  <c r="W506" i="28"/>
  <c r="X506" i="28"/>
  <c r="Z506" i="28"/>
  <c r="AF506" i="28"/>
  <c r="AG506" i="28"/>
  <c r="AI506" i="28"/>
  <c r="E507" i="28"/>
  <c r="F507" i="28"/>
  <c r="G507" i="28"/>
  <c r="I507" i="28"/>
  <c r="M507" i="28"/>
  <c r="N507" i="28"/>
  <c r="O507" i="28"/>
  <c r="W507" i="28"/>
  <c r="X507" i="28"/>
  <c r="Z507" i="28"/>
  <c r="AF507" i="28"/>
  <c r="AG507" i="28"/>
  <c r="AI507" i="28"/>
  <c r="E508" i="28"/>
  <c r="F508" i="28"/>
  <c r="G508" i="28"/>
  <c r="I508" i="28"/>
  <c r="M508" i="28"/>
  <c r="N508" i="28"/>
  <c r="O508" i="28"/>
  <c r="W508" i="28"/>
  <c r="X508" i="28"/>
  <c r="Z508" i="28"/>
  <c r="AF508" i="28"/>
  <c r="AG508" i="28"/>
  <c r="AI508" i="28"/>
  <c r="E509" i="28"/>
  <c r="F509" i="28"/>
  <c r="G509" i="28"/>
  <c r="I509" i="28"/>
  <c r="M509" i="28"/>
  <c r="N509" i="28"/>
  <c r="O509" i="28"/>
  <c r="W509" i="28"/>
  <c r="X509" i="28"/>
  <c r="Z509" i="28"/>
  <c r="AF509" i="28"/>
  <c r="AG509" i="28"/>
  <c r="AI509" i="28"/>
  <c r="E510" i="28"/>
  <c r="F510" i="28"/>
  <c r="G510" i="28"/>
  <c r="I510" i="28"/>
  <c r="M510" i="28"/>
  <c r="N510" i="28"/>
  <c r="O510" i="28"/>
  <c r="W510" i="28"/>
  <c r="X510" i="28"/>
  <c r="Z510" i="28"/>
  <c r="AF510" i="28"/>
  <c r="AG510" i="28"/>
  <c r="AI510" i="28"/>
  <c r="E511" i="28"/>
  <c r="F511" i="28"/>
  <c r="G511" i="28"/>
  <c r="I511" i="28"/>
  <c r="M511" i="28"/>
  <c r="N511" i="28"/>
  <c r="O511" i="28"/>
  <c r="W511" i="28"/>
  <c r="X511" i="28"/>
  <c r="Z511" i="28"/>
  <c r="AF511" i="28"/>
  <c r="AG511" i="28"/>
  <c r="AI511" i="28"/>
  <c r="E512" i="28"/>
  <c r="F512" i="28"/>
  <c r="G512" i="28"/>
  <c r="I512" i="28"/>
  <c r="M512" i="28"/>
  <c r="N512" i="28"/>
  <c r="O512" i="28"/>
  <c r="W512" i="28"/>
  <c r="X512" i="28"/>
  <c r="Z512" i="28"/>
  <c r="AF512" i="28"/>
  <c r="AG512" i="28"/>
  <c r="AI512" i="28"/>
  <c r="E513" i="28"/>
  <c r="F513" i="28"/>
  <c r="G513" i="28"/>
  <c r="I513" i="28"/>
  <c r="M513" i="28"/>
  <c r="N513" i="28"/>
  <c r="O513" i="28"/>
  <c r="W513" i="28"/>
  <c r="X513" i="28"/>
  <c r="Z513" i="28"/>
  <c r="AF513" i="28"/>
  <c r="AG513" i="28"/>
  <c r="AI513" i="28"/>
  <c r="E514" i="28"/>
  <c r="F514" i="28"/>
  <c r="G514" i="28"/>
  <c r="I514" i="28"/>
  <c r="M514" i="28"/>
  <c r="N514" i="28"/>
  <c r="O514" i="28"/>
  <c r="W514" i="28"/>
  <c r="X514" i="28"/>
  <c r="Z514" i="28"/>
  <c r="AF514" i="28"/>
  <c r="AG514" i="28"/>
  <c r="AI514" i="28"/>
  <c r="E515" i="28"/>
  <c r="F515" i="28"/>
  <c r="G515" i="28"/>
  <c r="I515" i="28"/>
  <c r="M515" i="28"/>
  <c r="N515" i="28"/>
  <c r="O515" i="28"/>
  <c r="W515" i="28"/>
  <c r="X515" i="28"/>
  <c r="Z515" i="28"/>
  <c r="AF515" i="28"/>
  <c r="AG515" i="28"/>
  <c r="AI515" i="28"/>
  <c r="E516" i="28"/>
  <c r="F516" i="28"/>
  <c r="G516" i="28"/>
  <c r="I516" i="28"/>
  <c r="M516" i="28"/>
  <c r="N516" i="28"/>
  <c r="O516" i="28"/>
  <c r="W516" i="28"/>
  <c r="X516" i="28"/>
  <c r="Z516" i="28"/>
  <c r="AF516" i="28"/>
  <c r="AG516" i="28"/>
  <c r="AI516" i="28"/>
  <c r="E517" i="28"/>
  <c r="F517" i="28"/>
  <c r="G517" i="28"/>
  <c r="I517" i="28"/>
  <c r="M517" i="28"/>
  <c r="N517" i="28"/>
  <c r="O517" i="28"/>
  <c r="W517" i="28"/>
  <c r="X517" i="28"/>
  <c r="Z517" i="28"/>
  <c r="AF517" i="28"/>
  <c r="AG517" i="28"/>
  <c r="AI517" i="28"/>
  <c r="E518" i="28"/>
  <c r="F518" i="28"/>
  <c r="G518" i="28"/>
  <c r="I518" i="28"/>
  <c r="M518" i="28"/>
  <c r="N518" i="28"/>
  <c r="O518" i="28"/>
  <c r="W518" i="28"/>
  <c r="X518" i="28"/>
  <c r="Z518" i="28"/>
  <c r="AF518" i="28"/>
  <c r="AG518" i="28"/>
  <c r="AI518" i="28"/>
  <c r="E519" i="28"/>
  <c r="F519" i="28"/>
  <c r="G519" i="28"/>
  <c r="I519" i="28"/>
  <c r="M519" i="28"/>
  <c r="N519" i="28"/>
  <c r="O519" i="28"/>
  <c r="W519" i="28"/>
  <c r="X519" i="28"/>
  <c r="Z519" i="28"/>
  <c r="AF519" i="28"/>
  <c r="AG519" i="28"/>
  <c r="AI519" i="28"/>
  <c r="E520" i="28"/>
  <c r="F520" i="28"/>
  <c r="G520" i="28"/>
  <c r="I520" i="28"/>
  <c r="M520" i="28"/>
  <c r="N520" i="28"/>
  <c r="O520" i="28"/>
  <c r="W520" i="28"/>
  <c r="X520" i="28"/>
  <c r="Z520" i="28"/>
  <c r="AF520" i="28"/>
  <c r="AG520" i="28"/>
  <c r="AI520" i="28"/>
  <c r="E521" i="28"/>
  <c r="F521" i="28"/>
  <c r="G521" i="28"/>
  <c r="I521" i="28"/>
  <c r="M521" i="28"/>
  <c r="N521" i="28"/>
  <c r="O521" i="28"/>
  <c r="W521" i="28"/>
  <c r="X521" i="28"/>
  <c r="Z521" i="28"/>
  <c r="AF521" i="28"/>
  <c r="AG521" i="28"/>
  <c r="AI521" i="28"/>
  <c r="E522" i="28"/>
  <c r="F522" i="28"/>
  <c r="G522" i="28"/>
  <c r="I522" i="28"/>
  <c r="M522" i="28"/>
  <c r="N522" i="28"/>
  <c r="O522" i="28"/>
  <c r="W522" i="28"/>
  <c r="X522" i="28"/>
  <c r="Z522" i="28"/>
  <c r="AF522" i="28"/>
  <c r="AG522" i="28"/>
  <c r="AI522" i="28"/>
  <c r="E523" i="28"/>
  <c r="F523" i="28"/>
  <c r="G523" i="28"/>
  <c r="I523" i="28"/>
  <c r="M523" i="28"/>
  <c r="N523" i="28"/>
  <c r="O523" i="28"/>
  <c r="W523" i="28"/>
  <c r="X523" i="28"/>
  <c r="Z523" i="28"/>
  <c r="AF523" i="28"/>
  <c r="AG523" i="28"/>
  <c r="AI523" i="28"/>
  <c r="E524" i="28"/>
  <c r="F524" i="28"/>
  <c r="G524" i="28"/>
  <c r="I524" i="28"/>
  <c r="M524" i="28"/>
  <c r="N524" i="28"/>
  <c r="O524" i="28"/>
  <c r="W524" i="28"/>
  <c r="X524" i="28"/>
  <c r="Z524" i="28"/>
  <c r="AF524" i="28"/>
  <c r="AG524" i="28"/>
  <c r="AI524" i="28"/>
  <c r="E525" i="28"/>
  <c r="F525" i="28"/>
  <c r="G525" i="28"/>
  <c r="I525" i="28"/>
  <c r="M525" i="28"/>
  <c r="N525" i="28"/>
  <c r="O525" i="28"/>
  <c r="W525" i="28"/>
  <c r="X525" i="28"/>
  <c r="Z525" i="28"/>
  <c r="AF525" i="28"/>
  <c r="AG525" i="28"/>
  <c r="AI525" i="28"/>
  <c r="E526" i="28"/>
  <c r="F526" i="28"/>
  <c r="G526" i="28"/>
  <c r="I526" i="28"/>
  <c r="M526" i="28"/>
  <c r="N526" i="28"/>
  <c r="O526" i="28"/>
  <c r="W526" i="28"/>
  <c r="X526" i="28"/>
  <c r="Z526" i="28"/>
  <c r="AF526" i="28"/>
  <c r="AG526" i="28"/>
  <c r="AI526" i="28"/>
  <c r="E527" i="28"/>
  <c r="F527" i="28"/>
  <c r="G527" i="28"/>
  <c r="I527" i="28"/>
  <c r="M527" i="28"/>
  <c r="N527" i="28"/>
  <c r="O527" i="28"/>
  <c r="W527" i="28"/>
  <c r="X527" i="28"/>
  <c r="Z527" i="28"/>
  <c r="AF527" i="28"/>
  <c r="AG527" i="28"/>
  <c r="AI527" i="28"/>
  <c r="E528" i="28"/>
  <c r="F528" i="28"/>
  <c r="G528" i="28"/>
  <c r="I528" i="28"/>
  <c r="M528" i="28"/>
  <c r="N528" i="28"/>
  <c r="O528" i="28"/>
  <c r="W528" i="28"/>
  <c r="X528" i="28"/>
  <c r="Z528" i="28"/>
  <c r="AF528" i="28"/>
  <c r="AG528" i="28"/>
  <c r="AI528" i="28"/>
  <c r="E529" i="28"/>
  <c r="F529" i="28"/>
  <c r="G529" i="28"/>
  <c r="I529" i="28"/>
  <c r="M529" i="28"/>
  <c r="N529" i="28"/>
  <c r="O529" i="28"/>
  <c r="W529" i="28"/>
  <c r="X529" i="28"/>
  <c r="Z529" i="28"/>
  <c r="AF529" i="28"/>
  <c r="AG529" i="28"/>
  <c r="AI529" i="28"/>
  <c r="E530" i="28"/>
  <c r="F530" i="28"/>
  <c r="G530" i="28"/>
  <c r="I530" i="28"/>
  <c r="M530" i="28"/>
  <c r="N530" i="28"/>
  <c r="O530" i="28"/>
  <c r="W530" i="28"/>
  <c r="X530" i="28"/>
  <c r="Z530" i="28"/>
  <c r="AF530" i="28"/>
  <c r="AG530" i="28"/>
  <c r="AI530" i="28"/>
  <c r="E531" i="28"/>
  <c r="F531" i="28"/>
  <c r="G531" i="28"/>
  <c r="I531" i="28"/>
  <c r="M531" i="28"/>
  <c r="N531" i="28"/>
  <c r="O531" i="28"/>
  <c r="W531" i="28"/>
  <c r="X531" i="28"/>
  <c r="Z531" i="28"/>
  <c r="AF531" i="28"/>
  <c r="AG531" i="28"/>
  <c r="AI531" i="28"/>
  <c r="E532" i="28"/>
  <c r="F532" i="28"/>
  <c r="G532" i="28"/>
  <c r="I532" i="28"/>
  <c r="M532" i="28"/>
  <c r="N532" i="28"/>
  <c r="O532" i="28"/>
  <c r="W532" i="28"/>
  <c r="X532" i="28"/>
  <c r="Z532" i="28"/>
  <c r="AF532" i="28"/>
  <c r="AG532" i="28"/>
  <c r="AI532" i="28"/>
  <c r="E533" i="28"/>
  <c r="F533" i="28"/>
  <c r="G533" i="28"/>
  <c r="I533" i="28"/>
  <c r="M533" i="28"/>
  <c r="N533" i="28"/>
  <c r="O533" i="28"/>
  <c r="W533" i="28"/>
  <c r="X533" i="28"/>
  <c r="Z533" i="28"/>
  <c r="AF533" i="28"/>
  <c r="AG533" i="28"/>
  <c r="AI533" i="28"/>
  <c r="E534" i="28"/>
  <c r="F534" i="28"/>
  <c r="G534" i="28"/>
  <c r="I534" i="28"/>
  <c r="M534" i="28"/>
  <c r="N534" i="28"/>
  <c r="O534" i="28"/>
  <c r="W534" i="28"/>
  <c r="X534" i="28"/>
  <c r="Z534" i="28"/>
  <c r="AF534" i="28"/>
  <c r="AG534" i="28"/>
  <c r="AI534" i="28"/>
  <c r="E535" i="28"/>
  <c r="F535" i="28"/>
  <c r="G535" i="28"/>
  <c r="I535" i="28"/>
  <c r="M535" i="28"/>
  <c r="N535" i="28"/>
  <c r="O535" i="28"/>
  <c r="W535" i="28"/>
  <c r="X535" i="28"/>
  <c r="Z535" i="28"/>
  <c r="AF535" i="28"/>
  <c r="AG535" i="28"/>
  <c r="AI535" i="28"/>
  <c r="E536" i="28"/>
  <c r="F536" i="28"/>
  <c r="G536" i="28"/>
  <c r="I536" i="28"/>
  <c r="M536" i="28"/>
  <c r="N536" i="28"/>
  <c r="O536" i="28"/>
  <c r="W536" i="28"/>
  <c r="X536" i="28"/>
  <c r="Z536" i="28"/>
  <c r="AF536" i="28"/>
  <c r="AG536" i="28"/>
  <c r="AI536" i="28"/>
  <c r="E537" i="28"/>
  <c r="F537" i="28"/>
  <c r="G537" i="28"/>
  <c r="I537" i="28"/>
  <c r="M537" i="28"/>
  <c r="N537" i="28"/>
  <c r="O537" i="28"/>
  <c r="W537" i="28"/>
  <c r="X537" i="28"/>
  <c r="Z537" i="28"/>
  <c r="AF537" i="28"/>
  <c r="AG537" i="28"/>
  <c r="AI537" i="28"/>
  <c r="E538" i="28"/>
  <c r="F538" i="28"/>
  <c r="G538" i="28"/>
  <c r="I538" i="28"/>
  <c r="M538" i="28"/>
  <c r="N538" i="28"/>
  <c r="O538" i="28"/>
  <c r="W538" i="28"/>
  <c r="X538" i="28"/>
  <c r="Z538" i="28"/>
  <c r="AF538" i="28"/>
  <c r="AG538" i="28"/>
  <c r="AI538" i="28"/>
  <c r="E539" i="28"/>
  <c r="F539" i="28"/>
  <c r="G539" i="28"/>
  <c r="I539" i="28"/>
  <c r="M539" i="28"/>
  <c r="N539" i="28"/>
  <c r="O539" i="28"/>
  <c r="W539" i="28"/>
  <c r="X539" i="28"/>
  <c r="Z539" i="28"/>
  <c r="AF539" i="28"/>
  <c r="AG539" i="28"/>
  <c r="AI539" i="28"/>
  <c r="E540" i="28"/>
  <c r="F540" i="28"/>
  <c r="G540" i="28"/>
  <c r="I540" i="28"/>
  <c r="M540" i="28"/>
  <c r="N540" i="28"/>
  <c r="O540" i="28"/>
  <c r="W540" i="28"/>
  <c r="X540" i="28"/>
  <c r="Z540" i="28"/>
  <c r="AF540" i="28"/>
  <c r="AG540" i="28"/>
  <c r="AI540" i="28"/>
  <c r="E541" i="28"/>
  <c r="F541" i="28"/>
  <c r="G541" i="28"/>
  <c r="I541" i="28"/>
  <c r="M541" i="28"/>
  <c r="N541" i="28"/>
  <c r="O541" i="28"/>
  <c r="W541" i="28"/>
  <c r="X541" i="28"/>
  <c r="Z541" i="28"/>
  <c r="AF541" i="28"/>
  <c r="AG541" i="28"/>
  <c r="AI541" i="28"/>
  <c r="E542" i="28"/>
  <c r="F542" i="28"/>
  <c r="G542" i="28"/>
  <c r="I542" i="28"/>
  <c r="M542" i="28"/>
  <c r="N542" i="28"/>
  <c r="O542" i="28"/>
  <c r="W542" i="28"/>
  <c r="X542" i="28"/>
  <c r="Z542" i="28"/>
  <c r="AF542" i="28"/>
  <c r="AG542" i="28"/>
  <c r="AI542" i="28"/>
  <c r="E543" i="28"/>
  <c r="F543" i="28"/>
  <c r="G543" i="28"/>
  <c r="I543" i="28"/>
  <c r="M543" i="28"/>
  <c r="N543" i="28"/>
  <c r="O543" i="28"/>
  <c r="W543" i="28"/>
  <c r="X543" i="28"/>
  <c r="Z543" i="28"/>
  <c r="AF543" i="28"/>
  <c r="AG543" i="28"/>
  <c r="AI543" i="28"/>
  <c r="E544" i="28"/>
  <c r="F544" i="28"/>
  <c r="G544" i="28"/>
  <c r="I544" i="28"/>
  <c r="M544" i="28"/>
  <c r="N544" i="28"/>
  <c r="O544" i="28"/>
  <c r="W544" i="28"/>
  <c r="X544" i="28"/>
  <c r="Z544" i="28"/>
  <c r="AF544" i="28"/>
  <c r="AG544" i="28"/>
  <c r="AI544" i="28"/>
  <c r="E545" i="28"/>
  <c r="F545" i="28"/>
  <c r="G545" i="28"/>
  <c r="I545" i="28"/>
  <c r="M545" i="28"/>
  <c r="N545" i="28"/>
  <c r="O545" i="28"/>
  <c r="W545" i="28"/>
  <c r="X545" i="28"/>
  <c r="Z545" i="28"/>
  <c r="AF545" i="28"/>
  <c r="AG545" i="28"/>
  <c r="AI545" i="28"/>
  <c r="E546" i="28"/>
  <c r="F546" i="28"/>
  <c r="G546" i="28"/>
  <c r="I546" i="28"/>
  <c r="M546" i="28"/>
  <c r="N546" i="28"/>
  <c r="O546" i="28"/>
  <c r="W546" i="28"/>
  <c r="X546" i="28"/>
  <c r="Z546" i="28"/>
  <c r="AF546" i="28"/>
  <c r="AG546" i="28"/>
  <c r="AI546" i="28"/>
  <c r="E547" i="28"/>
  <c r="F547" i="28"/>
  <c r="G547" i="28"/>
  <c r="I547" i="28"/>
  <c r="M547" i="28"/>
  <c r="N547" i="28"/>
  <c r="O547" i="28"/>
  <c r="W547" i="28"/>
  <c r="X547" i="28"/>
  <c r="Z547" i="28"/>
  <c r="AF547" i="28"/>
  <c r="AG547" i="28"/>
  <c r="AI547" i="28"/>
  <c r="E548" i="28"/>
  <c r="F548" i="28"/>
  <c r="G548" i="28"/>
  <c r="I548" i="28"/>
  <c r="M548" i="28"/>
  <c r="N548" i="28"/>
  <c r="O548" i="28"/>
  <c r="W548" i="28"/>
  <c r="X548" i="28"/>
  <c r="Z548" i="28"/>
  <c r="AF548" i="28"/>
  <c r="AG548" i="28"/>
  <c r="AI548" i="28"/>
  <c r="E549" i="28"/>
  <c r="F549" i="28"/>
  <c r="G549" i="28"/>
  <c r="I549" i="28"/>
  <c r="M549" i="28"/>
  <c r="N549" i="28"/>
  <c r="O549" i="28"/>
  <c r="W549" i="28"/>
  <c r="X549" i="28"/>
  <c r="Z549" i="28"/>
  <c r="AF549" i="28"/>
  <c r="AG549" i="28"/>
  <c r="AI549" i="28"/>
  <c r="E550" i="28"/>
  <c r="F550" i="28"/>
  <c r="G550" i="28"/>
  <c r="I550" i="28"/>
  <c r="M550" i="28"/>
  <c r="N550" i="28"/>
  <c r="O550" i="28"/>
  <c r="W550" i="28"/>
  <c r="X550" i="28"/>
  <c r="Z550" i="28"/>
  <c r="AF550" i="28"/>
  <c r="AG550" i="28"/>
  <c r="AI550" i="28"/>
  <c r="E551" i="28"/>
  <c r="F551" i="28"/>
  <c r="G551" i="28"/>
  <c r="I551" i="28"/>
  <c r="M551" i="28"/>
  <c r="N551" i="28"/>
  <c r="O551" i="28"/>
  <c r="W551" i="28"/>
  <c r="X551" i="28"/>
  <c r="Z551" i="28"/>
  <c r="AF551" i="28"/>
  <c r="AG551" i="28"/>
  <c r="AI551" i="28"/>
  <c r="E552" i="28"/>
  <c r="F552" i="28"/>
  <c r="G552" i="28"/>
  <c r="I552" i="28"/>
  <c r="M552" i="28"/>
  <c r="N552" i="28"/>
  <c r="O552" i="28"/>
  <c r="W552" i="28"/>
  <c r="X552" i="28"/>
  <c r="Z552" i="28"/>
  <c r="AF552" i="28"/>
  <c r="AG552" i="28"/>
  <c r="AI552" i="28"/>
  <c r="E553" i="28"/>
  <c r="F553" i="28"/>
  <c r="G553" i="28"/>
  <c r="I553" i="28"/>
  <c r="M553" i="28"/>
  <c r="N553" i="28"/>
  <c r="O553" i="28"/>
  <c r="W553" i="28"/>
  <c r="X553" i="28"/>
  <c r="Z553" i="28"/>
  <c r="AF553" i="28"/>
  <c r="AG553" i="28"/>
  <c r="AI553" i="28"/>
  <c r="E554" i="28"/>
  <c r="F554" i="28"/>
  <c r="G554" i="28"/>
  <c r="I554" i="28"/>
  <c r="M554" i="28"/>
  <c r="N554" i="28"/>
  <c r="O554" i="28"/>
  <c r="W554" i="28"/>
  <c r="X554" i="28"/>
  <c r="Z554" i="28"/>
  <c r="AF554" i="28"/>
  <c r="AG554" i="28"/>
  <c r="AI554" i="28"/>
  <c r="E555" i="28"/>
  <c r="F555" i="28"/>
  <c r="G555" i="28"/>
  <c r="I555" i="28"/>
  <c r="M555" i="28"/>
  <c r="N555" i="28"/>
  <c r="O555" i="28"/>
  <c r="W555" i="28"/>
  <c r="X555" i="28"/>
  <c r="Z555" i="28"/>
  <c r="AF555" i="28"/>
  <c r="AG555" i="28"/>
  <c r="AI555" i="28"/>
  <c r="E556" i="28"/>
  <c r="F556" i="28"/>
  <c r="G556" i="28"/>
  <c r="I556" i="28"/>
  <c r="M556" i="28"/>
  <c r="N556" i="28"/>
  <c r="O556" i="28"/>
  <c r="W556" i="28"/>
  <c r="X556" i="28"/>
  <c r="Z556" i="28"/>
  <c r="AF556" i="28"/>
  <c r="AG556" i="28"/>
  <c r="AI556" i="28"/>
  <c r="E557" i="28"/>
  <c r="F557" i="28"/>
  <c r="G557" i="28"/>
  <c r="I557" i="28"/>
  <c r="M557" i="28"/>
  <c r="N557" i="28"/>
  <c r="O557" i="28"/>
  <c r="W557" i="28"/>
  <c r="X557" i="28"/>
  <c r="Z557" i="28"/>
  <c r="AF557" i="28"/>
  <c r="AG557" i="28"/>
  <c r="AI557" i="28"/>
  <c r="E558" i="28"/>
  <c r="F558" i="28"/>
  <c r="G558" i="28"/>
  <c r="I558" i="28"/>
  <c r="M558" i="28"/>
  <c r="N558" i="28"/>
  <c r="O558" i="28"/>
  <c r="W558" i="28"/>
  <c r="X558" i="28"/>
  <c r="Z558" i="28"/>
  <c r="AF558" i="28"/>
  <c r="AG558" i="28"/>
  <c r="AI558" i="28"/>
  <c r="E559" i="28"/>
  <c r="F559" i="28"/>
  <c r="G559" i="28"/>
  <c r="I559" i="28"/>
  <c r="M559" i="28"/>
  <c r="N559" i="28"/>
  <c r="O559" i="28"/>
  <c r="W559" i="28"/>
  <c r="X559" i="28"/>
  <c r="Z559" i="28"/>
  <c r="AF559" i="28"/>
  <c r="AG559" i="28"/>
  <c r="AI559" i="28"/>
  <c r="E560" i="28"/>
  <c r="F560" i="28"/>
  <c r="G560" i="28"/>
  <c r="I560" i="28"/>
  <c r="M560" i="28"/>
  <c r="N560" i="28"/>
  <c r="O560" i="28"/>
  <c r="W560" i="28"/>
  <c r="X560" i="28"/>
  <c r="Z560" i="28"/>
  <c r="AF560" i="28"/>
  <c r="AG560" i="28"/>
  <c r="AI560" i="28"/>
  <c r="E561" i="28"/>
  <c r="F561" i="28"/>
  <c r="G561" i="28"/>
  <c r="I561" i="28"/>
  <c r="M561" i="28"/>
  <c r="N561" i="28"/>
  <c r="O561" i="28"/>
  <c r="W561" i="28"/>
  <c r="X561" i="28"/>
  <c r="Z561" i="28"/>
  <c r="AF561" i="28"/>
  <c r="AG561" i="28"/>
  <c r="AI561" i="28"/>
  <c r="E562" i="28"/>
  <c r="F562" i="28"/>
  <c r="G562" i="28"/>
  <c r="I562" i="28"/>
  <c r="M562" i="28"/>
  <c r="N562" i="28"/>
  <c r="O562" i="28"/>
  <c r="W562" i="28"/>
  <c r="X562" i="28"/>
  <c r="Z562" i="28"/>
  <c r="AF562" i="28"/>
  <c r="AG562" i="28"/>
  <c r="AI562" i="28"/>
  <c r="E563" i="28"/>
  <c r="F563" i="28"/>
  <c r="G563" i="28"/>
  <c r="I563" i="28"/>
  <c r="M563" i="28"/>
  <c r="N563" i="28"/>
  <c r="O563" i="28"/>
  <c r="W563" i="28"/>
  <c r="X563" i="28"/>
  <c r="Z563" i="28"/>
  <c r="AF563" i="28"/>
  <c r="AG563" i="28"/>
  <c r="AI563" i="28"/>
  <c r="E564" i="28"/>
  <c r="F564" i="28"/>
  <c r="G564" i="28"/>
  <c r="I564" i="28"/>
  <c r="M564" i="28"/>
  <c r="N564" i="28"/>
  <c r="O564" i="28"/>
  <c r="W564" i="28"/>
  <c r="X564" i="28"/>
  <c r="Z564" i="28"/>
  <c r="AF564" i="28"/>
  <c r="AG564" i="28"/>
  <c r="AI564" i="28"/>
  <c r="E565" i="28"/>
  <c r="F565" i="28"/>
  <c r="G565" i="28"/>
  <c r="I565" i="28"/>
  <c r="M565" i="28"/>
  <c r="N565" i="28"/>
  <c r="O565" i="28"/>
  <c r="W565" i="28"/>
  <c r="X565" i="28"/>
  <c r="Z565" i="28"/>
  <c r="AF565" i="28"/>
  <c r="AG565" i="28"/>
  <c r="AI565" i="28"/>
  <c r="E566" i="28"/>
  <c r="F566" i="28"/>
  <c r="G566" i="28"/>
  <c r="I566" i="28"/>
  <c r="M566" i="28"/>
  <c r="N566" i="28"/>
  <c r="O566" i="28"/>
  <c r="W566" i="28"/>
  <c r="X566" i="28"/>
  <c r="Z566" i="28"/>
  <c r="AF566" i="28"/>
  <c r="AG566" i="28"/>
  <c r="AI566" i="28"/>
  <c r="E567" i="28"/>
  <c r="F567" i="28"/>
  <c r="G567" i="28"/>
  <c r="I567" i="28"/>
  <c r="M567" i="28"/>
  <c r="N567" i="28"/>
  <c r="O567" i="28"/>
  <c r="W567" i="28"/>
  <c r="X567" i="28"/>
  <c r="Z567" i="28"/>
  <c r="AF567" i="28"/>
  <c r="AG567" i="28"/>
  <c r="AI567" i="28"/>
  <c r="E568" i="28"/>
  <c r="F568" i="28"/>
  <c r="G568" i="28"/>
  <c r="I568" i="28"/>
  <c r="M568" i="28"/>
  <c r="N568" i="28"/>
  <c r="O568" i="28"/>
  <c r="W568" i="28"/>
  <c r="X568" i="28"/>
  <c r="Z568" i="28"/>
  <c r="AF568" i="28"/>
  <c r="AG568" i="28"/>
  <c r="AI568" i="28"/>
  <c r="E569" i="28"/>
  <c r="F569" i="28"/>
  <c r="G569" i="28"/>
  <c r="I569" i="28"/>
  <c r="M569" i="28"/>
  <c r="N569" i="28"/>
  <c r="O569" i="28"/>
  <c r="W569" i="28"/>
  <c r="X569" i="28"/>
  <c r="Z569" i="28"/>
  <c r="AF569" i="28"/>
  <c r="AG569" i="28"/>
  <c r="AI569" i="28"/>
  <c r="E570" i="28"/>
  <c r="F570" i="28"/>
  <c r="G570" i="28"/>
  <c r="I570" i="28"/>
  <c r="M570" i="28"/>
  <c r="N570" i="28"/>
  <c r="O570" i="28"/>
  <c r="W570" i="28"/>
  <c r="X570" i="28"/>
  <c r="Z570" i="28"/>
  <c r="AF570" i="28"/>
  <c r="AG570" i="28"/>
  <c r="AI570" i="28"/>
  <c r="E571" i="28"/>
  <c r="F571" i="28"/>
  <c r="G571" i="28"/>
  <c r="I571" i="28"/>
  <c r="M571" i="28"/>
  <c r="N571" i="28"/>
  <c r="O571" i="28"/>
  <c r="W571" i="28"/>
  <c r="X571" i="28"/>
  <c r="Z571" i="28"/>
  <c r="AF571" i="28"/>
  <c r="AG571" i="28"/>
  <c r="AI571" i="28"/>
  <c r="E572" i="28"/>
  <c r="F572" i="28"/>
  <c r="G572" i="28"/>
  <c r="I572" i="28"/>
  <c r="M572" i="28"/>
  <c r="N572" i="28"/>
  <c r="O572" i="28"/>
  <c r="W572" i="28"/>
  <c r="X572" i="28"/>
  <c r="Z572" i="28"/>
  <c r="AF572" i="28"/>
  <c r="AG572" i="28"/>
  <c r="AI572" i="28"/>
  <c r="E573" i="28"/>
  <c r="F573" i="28"/>
  <c r="G573" i="28"/>
  <c r="I573" i="28"/>
  <c r="M573" i="28"/>
  <c r="N573" i="28"/>
  <c r="O573" i="28"/>
  <c r="W573" i="28"/>
  <c r="X573" i="28"/>
  <c r="Z573" i="28"/>
  <c r="AF573" i="28"/>
  <c r="AG573" i="28"/>
  <c r="AI573" i="28"/>
  <c r="E574" i="28"/>
  <c r="F574" i="28"/>
  <c r="G574" i="28"/>
  <c r="I574" i="28"/>
  <c r="M574" i="28"/>
  <c r="N574" i="28"/>
  <c r="O574" i="28"/>
  <c r="W574" i="28"/>
  <c r="X574" i="28"/>
  <c r="Z574" i="28"/>
  <c r="AF574" i="28"/>
  <c r="AG574" i="28"/>
  <c r="AI574" i="28"/>
  <c r="E575" i="28"/>
  <c r="F575" i="28"/>
  <c r="G575" i="28"/>
  <c r="I575" i="28"/>
  <c r="M575" i="28"/>
  <c r="N575" i="28"/>
  <c r="O575" i="28"/>
  <c r="W575" i="28"/>
  <c r="X575" i="28"/>
  <c r="Z575" i="28"/>
  <c r="AF575" i="28"/>
  <c r="AG575" i="28"/>
  <c r="AI575" i="28"/>
  <c r="E576" i="28"/>
  <c r="F576" i="28"/>
  <c r="G576" i="28"/>
  <c r="I576" i="28"/>
  <c r="M576" i="28"/>
  <c r="N576" i="28"/>
  <c r="O576" i="28"/>
  <c r="W576" i="28"/>
  <c r="X576" i="28"/>
  <c r="Z576" i="28"/>
  <c r="AF576" i="28"/>
  <c r="AG576" i="28"/>
  <c r="AI576" i="28"/>
  <c r="E577" i="28"/>
  <c r="F577" i="28"/>
  <c r="G577" i="28"/>
  <c r="I577" i="28"/>
  <c r="M577" i="28"/>
  <c r="N577" i="28"/>
  <c r="O577" i="28"/>
  <c r="W577" i="28"/>
  <c r="X577" i="28"/>
  <c r="Z577" i="28"/>
  <c r="AF577" i="28"/>
  <c r="AG577" i="28"/>
  <c r="AI577" i="28"/>
  <c r="E578" i="28"/>
  <c r="F578" i="28"/>
  <c r="G578" i="28"/>
  <c r="I578" i="28"/>
  <c r="M578" i="28"/>
  <c r="N578" i="28"/>
  <c r="O578" i="28"/>
  <c r="W578" i="28"/>
  <c r="X578" i="28"/>
  <c r="Z578" i="28"/>
  <c r="AF578" i="28"/>
  <c r="AG578" i="28"/>
  <c r="AI578" i="28"/>
  <c r="E579" i="28"/>
  <c r="F579" i="28"/>
  <c r="G579" i="28"/>
  <c r="I579" i="28"/>
  <c r="M579" i="28"/>
  <c r="N579" i="28"/>
  <c r="O579" i="28"/>
  <c r="W579" i="28"/>
  <c r="X579" i="28"/>
  <c r="Z579" i="28"/>
  <c r="AF579" i="28"/>
  <c r="AG579" i="28"/>
  <c r="AI579" i="28"/>
  <c r="E580" i="28"/>
  <c r="F580" i="28"/>
  <c r="G580" i="28"/>
  <c r="I580" i="28"/>
  <c r="M580" i="28"/>
  <c r="N580" i="28"/>
  <c r="O580" i="28"/>
  <c r="W580" i="28"/>
  <c r="X580" i="28"/>
  <c r="Z580" i="28"/>
  <c r="AF580" i="28"/>
  <c r="AG580" i="28"/>
  <c r="AI580" i="28"/>
  <c r="E581" i="28"/>
  <c r="F581" i="28"/>
  <c r="G581" i="28"/>
  <c r="I581" i="28"/>
  <c r="M581" i="28"/>
  <c r="N581" i="28"/>
  <c r="O581" i="28"/>
  <c r="W581" i="28"/>
  <c r="X581" i="28"/>
  <c r="Z581" i="28"/>
  <c r="AF581" i="28"/>
  <c r="AG581" i="28"/>
  <c r="AI581" i="28"/>
  <c r="E582" i="28"/>
  <c r="F582" i="28"/>
  <c r="G582" i="28"/>
  <c r="I582" i="28"/>
  <c r="M582" i="28"/>
  <c r="N582" i="28"/>
  <c r="O582" i="28"/>
  <c r="W582" i="28"/>
  <c r="X582" i="28"/>
  <c r="Z582" i="28"/>
  <c r="AF582" i="28"/>
  <c r="AG582" i="28"/>
  <c r="AI582" i="28"/>
  <c r="E583" i="28"/>
  <c r="F583" i="28"/>
  <c r="G583" i="28"/>
  <c r="I583" i="28"/>
  <c r="M583" i="28"/>
  <c r="N583" i="28"/>
  <c r="O583" i="28"/>
  <c r="W583" i="28"/>
  <c r="X583" i="28"/>
  <c r="Z583" i="28"/>
  <c r="AF583" i="28"/>
  <c r="AG583" i="28"/>
  <c r="AI583" i="28"/>
  <c r="E584" i="28"/>
  <c r="F584" i="28"/>
  <c r="G584" i="28"/>
  <c r="I584" i="28"/>
  <c r="M584" i="28"/>
  <c r="N584" i="28"/>
  <c r="O584" i="28"/>
  <c r="W584" i="28"/>
  <c r="X584" i="28"/>
  <c r="Z584" i="28"/>
  <c r="AF584" i="28"/>
  <c r="AG584" i="28"/>
  <c r="AI584" i="28"/>
  <c r="E585" i="28"/>
  <c r="F585" i="28"/>
  <c r="G585" i="28"/>
  <c r="I585" i="28"/>
  <c r="M585" i="28"/>
  <c r="N585" i="28"/>
  <c r="O585" i="28"/>
  <c r="W585" i="28"/>
  <c r="X585" i="28"/>
  <c r="Z585" i="28"/>
  <c r="AF585" i="28"/>
  <c r="AG585" i="28"/>
  <c r="AI585" i="28"/>
  <c r="E586" i="28"/>
  <c r="F586" i="28"/>
  <c r="G586" i="28"/>
  <c r="I586" i="28"/>
  <c r="M586" i="28"/>
  <c r="N586" i="28"/>
  <c r="O586" i="28"/>
  <c r="W586" i="28"/>
  <c r="X586" i="28"/>
  <c r="Z586" i="28"/>
  <c r="AF586" i="28"/>
  <c r="AG586" i="28"/>
  <c r="AI586" i="28"/>
  <c r="E587" i="28"/>
  <c r="F587" i="28"/>
  <c r="G587" i="28"/>
  <c r="I587" i="28"/>
  <c r="M587" i="28"/>
  <c r="N587" i="28"/>
  <c r="O587" i="28"/>
  <c r="W587" i="28"/>
  <c r="X587" i="28"/>
  <c r="Z587" i="28"/>
  <c r="AF587" i="28"/>
  <c r="AG587" i="28"/>
  <c r="AI587" i="28"/>
  <c r="E588" i="28"/>
  <c r="F588" i="28"/>
  <c r="G588" i="28"/>
  <c r="I588" i="28"/>
  <c r="M588" i="28"/>
  <c r="N588" i="28"/>
  <c r="O588" i="28"/>
  <c r="W588" i="28"/>
  <c r="X588" i="28"/>
  <c r="Z588" i="28"/>
  <c r="AF588" i="28"/>
  <c r="AG588" i="28"/>
  <c r="AI588" i="28"/>
  <c r="E589" i="28"/>
  <c r="F589" i="28"/>
  <c r="G589" i="28"/>
  <c r="I589" i="28"/>
  <c r="M589" i="28"/>
  <c r="N589" i="28"/>
  <c r="O589" i="28"/>
  <c r="W589" i="28"/>
  <c r="X589" i="28"/>
  <c r="Z589" i="28"/>
  <c r="AF589" i="28"/>
  <c r="AG589" i="28"/>
  <c r="AI589" i="28"/>
  <c r="E590" i="28"/>
  <c r="F590" i="28"/>
  <c r="G590" i="28"/>
  <c r="I590" i="28"/>
  <c r="M590" i="28"/>
  <c r="N590" i="28"/>
  <c r="O590" i="28"/>
  <c r="W590" i="28"/>
  <c r="X590" i="28"/>
  <c r="Z590" i="28"/>
  <c r="AF590" i="28"/>
  <c r="AG590" i="28"/>
  <c r="AI590" i="28"/>
  <c r="E591" i="28"/>
  <c r="F591" i="28"/>
  <c r="G591" i="28"/>
  <c r="I591" i="28"/>
  <c r="M591" i="28"/>
  <c r="N591" i="28"/>
  <c r="O591" i="28"/>
  <c r="W591" i="28"/>
  <c r="X591" i="28"/>
  <c r="Z591" i="28"/>
  <c r="AF591" i="28"/>
  <c r="AG591" i="28"/>
  <c r="AI591" i="28"/>
  <c r="E592" i="28"/>
  <c r="F592" i="28"/>
  <c r="G592" i="28"/>
  <c r="I592" i="28"/>
  <c r="M592" i="28"/>
  <c r="N592" i="28"/>
  <c r="O592" i="28"/>
  <c r="W592" i="28"/>
  <c r="X592" i="28"/>
  <c r="Z592" i="28"/>
  <c r="AF592" i="28"/>
  <c r="AG592" i="28"/>
  <c r="AI592" i="28"/>
  <c r="E593" i="28"/>
  <c r="F593" i="28"/>
  <c r="G593" i="28"/>
  <c r="I593" i="28"/>
  <c r="M593" i="28"/>
  <c r="N593" i="28"/>
  <c r="O593" i="28"/>
  <c r="W593" i="28"/>
  <c r="X593" i="28"/>
  <c r="Z593" i="28"/>
  <c r="AF593" i="28"/>
  <c r="AG593" i="28"/>
  <c r="AI593" i="28"/>
  <c r="E594" i="28"/>
  <c r="F594" i="28"/>
  <c r="G594" i="28"/>
  <c r="I594" i="28"/>
  <c r="M594" i="28"/>
  <c r="N594" i="28"/>
  <c r="O594" i="28"/>
  <c r="W594" i="28"/>
  <c r="X594" i="28"/>
  <c r="Z594" i="28"/>
  <c r="AF594" i="28"/>
  <c r="AG594" i="28"/>
  <c r="AI594" i="28"/>
  <c r="E595" i="28"/>
  <c r="F595" i="28"/>
  <c r="G595" i="28"/>
  <c r="I595" i="28"/>
  <c r="M595" i="28"/>
  <c r="N595" i="28"/>
  <c r="O595" i="28"/>
  <c r="W595" i="28"/>
  <c r="X595" i="28"/>
  <c r="Z595" i="28"/>
  <c r="AF595" i="28"/>
  <c r="AG595" i="28"/>
  <c r="AI595" i="28"/>
  <c r="E596" i="28"/>
  <c r="F596" i="28"/>
  <c r="G596" i="28"/>
  <c r="I596" i="28"/>
  <c r="M596" i="28"/>
  <c r="N596" i="28"/>
  <c r="O596" i="28"/>
  <c r="W596" i="28"/>
  <c r="X596" i="28"/>
  <c r="Z596" i="28"/>
  <c r="AF596" i="28"/>
  <c r="AG596" i="28"/>
  <c r="AI596" i="28"/>
  <c r="E597" i="28"/>
  <c r="F597" i="28"/>
  <c r="G597" i="28"/>
  <c r="I597" i="28"/>
  <c r="M597" i="28"/>
  <c r="N597" i="28"/>
  <c r="O597" i="28"/>
  <c r="W597" i="28"/>
  <c r="X597" i="28"/>
  <c r="Z597" i="28"/>
  <c r="AF597" i="28"/>
  <c r="AG597" i="28"/>
  <c r="AI597" i="28"/>
  <c r="E598" i="28"/>
  <c r="F598" i="28"/>
  <c r="G598" i="28"/>
  <c r="I598" i="28"/>
  <c r="M598" i="28"/>
  <c r="N598" i="28"/>
  <c r="O598" i="28"/>
  <c r="W598" i="28"/>
  <c r="X598" i="28"/>
  <c r="Z598" i="28"/>
  <c r="AF598" i="28"/>
  <c r="AG598" i="28"/>
  <c r="AI598" i="28"/>
  <c r="E599" i="28"/>
  <c r="F599" i="28"/>
  <c r="G599" i="28"/>
  <c r="I599" i="28"/>
  <c r="M599" i="28"/>
  <c r="N599" i="28"/>
  <c r="O599" i="28"/>
  <c r="W599" i="28"/>
  <c r="X599" i="28"/>
  <c r="Z599" i="28"/>
  <c r="AF599" i="28"/>
  <c r="AG599" i="28"/>
  <c r="AI599" i="28"/>
  <c r="E600" i="28"/>
  <c r="F600" i="28"/>
  <c r="G600" i="28"/>
  <c r="I600" i="28"/>
  <c r="M600" i="28"/>
  <c r="N600" i="28"/>
  <c r="O600" i="28"/>
  <c r="W600" i="28"/>
  <c r="X600" i="28"/>
  <c r="Z600" i="28"/>
  <c r="AF600" i="28"/>
  <c r="AG600" i="28"/>
  <c r="AI600" i="28"/>
  <c r="E601" i="28"/>
  <c r="F601" i="28"/>
  <c r="G601" i="28"/>
  <c r="I601" i="28"/>
  <c r="M601" i="28"/>
  <c r="N601" i="28"/>
  <c r="O601" i="28"/>
  <c r="W601" i="28"/>
  <c r="X601" i="28"/>
  <c r="Z601" i="28"/>
  <c r="AF601" i="28"/>
  <c r="AG601" i="28"/>
  <c r="AI601" i="28"/>
  <c r="E602" i="28"/>
  <c r="F602" i="28"/>
  <c r="G602" i="28"/>
  <c r="I602" i="28"/>
  <c r="M602" i="28"/>
  <c r="N602" i="28"/>
  <c r="O602" i="28"/>
  <c r="W602" i="28"/>
  <c r="X602" i="28"/>
  <c r="Z602" i="28"/>
  <c r="AF602" i="28"/>
  <c r="AG602" i="28"/>
  <c r="AI602" i="28"/>
  <c r="E603" i="28"/>
  <c r="F603" i="28"/>
  <c r="G603" i="28"/>
  <c r="I603" i="28"/>
  <c r="M603" i="28"/>
  <c r="N603" i="28"/>
  <c r="O603" i="28"/>
  <c r="W603" i="28"/>
  <c r="X603" i="28"/>
  <c r="Z603" i="28"/>
  <c r="AF603" i="28"/>
  <c r="AG603" i="28"/>
  <c r="AI603" i="28"/>
  <c r="E604" i="28"/>
  <c r="F604" i="28"/>
  <c r="G604" i="28"/>
  <c r="I604" i="28"/>
  <c r="M604" i="28"/>
  <c r="N604" i="28"/>
  <c r="O604" i="28"/>
  <c r="W604" i="28"/>
  <c r="X604" i="28"/>
  <c r="Z604" i="28"/>
  <c r="AF604" i="28"/>
  <c r="AG604" i="28"/>
  <c r="AI604" i="28"/>
  <c r="E605" i="28"/>
  <c r="F605" i="28"/>
  <c r="G605" i="28"/>
  <c r="I605" i="28"/>
  <c r="M605" i="28"/>
  <c r="N605" i="28"/>
  <c r="O605" i="28"/>
  <c r="W605" i="28"/>
  <c r="X605" i="28"/>
  <c r="Z605" i="28"/>
  <c r="AF605" i="28"/>
  <c r="AG605" i="28"/>
  <c r="AI605" i="28"/>
  <c r="E606" i="28"/>
  <c r="F606" i="28"/>
  <c r="G606" i="28"/>
  <c r="I606" i="28"/>
  <c r="M606" i="28"/>
  <c r="N606" i="28"/>
  <c r="O606" i="28"/>
  <c r="W606" i="28"/>
  <c r="X606" i="28"/>
  <c r="Z606" i="28"/>
  <c r="AF606" i="28"/>
  <c r="AG606" i="28"/>
  <c r="AI606" i="28"/>
  <c r="E607" i="28"/>
  <c r="F607" i="28"/>
  <c r="G607" i="28"/>
  <c r="I607" i="28"/>
  <c r="M607" i="28"/>
  <c r="N607" i="28"/>
  <c r="O607" i="28"/>
  <c r="W607" i="28"/>
  <c r="X607" i="28"/>
  <c r="Z607" i="28"/>
  <c r="AF607" i="28"/>
  <c r="AG607" i="28"/>
  <c r="AI607" i="28"/>
  <c r="E608" i="28"/>
  <c r="F608" i="28"/>
  <c r="G608" i="28"/>
  <c r="I608" i="28"/>
  <c r="M608" i="28"/>
  <c r="N608" i="28"/>
  <c r="O608" i="28"/>
  <c r="W608" i="28"/>
  <c r="X608" i="28"/>
  <c r="Z608" i="28"/>
  <c r="AF608" i="28"/>
  <c r="AG608" i="28"/>
  <c r="AI608" i="28"/>
  <c r="E609" i="28"/>
  <c r="F609" i="28"/>
  <c r="G609" i="28"/>
  <c r="I609" i="28"/>
  <c r="M609" i="28"/>
  <c r="N609" i="28"/>
  <c r="O609" i="28"/>
  <c r="W609" i="28"/>
  <c r="X609" i="28"/>
  <c r="Z609" i="28"/>
  <c r="AF609" i="28"/>
  <c r="AG609" i="28"/>
  <c r="AI609" i="28"/>
  <c r="E610" i="28"/>
  <c r="F610" i="28"/>
  <c r="G610" i="28"/>
  <c r="I610" i="28"/>
  <c r="M610" i="28"/>
  <c r="N610" i="28"/>
  <c r="O610" i="28"/>
  <c r="W610" i="28"/>
  <c r="X610" i="28"/>
  <c r="Z610" i="28"/>
  <c r="AF610" i="28"/>
  <c r="AG610" i="28"/>
  <c r="AI610" i="28"/>
  <c r="E611" i="28"/>
  <c r="F611" i="28"/>
  <c r="G611" i="28"/>
  <c r="I611" i="28"/>
  <c r="M611" i="28"/>
  <c r="N611" i="28"/>
  <c r="O611" i="28"/>
  <c r="W611" i="28"/>
  <c r="X611" i="28"/>
  <c r="Z611" i="28"/>
  <c r="AF611" i="28"/>
  <c r="AG611" i="28"/>
  <c r="AI611" i="28"/>
  <c r="E612" i="28"/>
  <c r="F612" i="28"/>
  <c r="G612" i="28"/>
  <c r="I612" i="28"/>
  <c r="M612" i="28"/>
  <c r="N612" i="28"/>
  <c r="O612" i="28"/>
  <c r="W612" i="28"/>
  <c r="X612" i="28"/>
  <c r="Z612" i="28"/>
  <c r="AF612" i="28"/>
  <c r="AG612" i="28"/>
  <c r="AI612" i="28"/>
  <c r="E613" i="28"/>
  <c r="F613" i="28"/>
  <c r="G613" i="28"/>
  <c r="I613" i="28"/>
  <c r="M613" i="28"/>
  <c r="N613" i="28"/>
  <c r="O613" i="28"/>
  <c r="W613" i="28"/>
  <c r="X613" i="28"/>
  <c r="Z613" i="28"/>
  <c r="AF613" i="28"/>
  <c r="AG613" i="28"/>
  <c r="AI613" i="28"/>
  <c r="E614" i="28"/>
  <c r="F614" i="28"/>
  <c r="G614" i="28"/>
  <c r="I614" i="28"/>
  <c r="M614" i="28"/>
  <c r="N614" i="28"/>
  <c r="O614" i="28"/>
  <c r="W614" i="28"/>
  <c r="X614" i="28"/>
  <c r="Z614" i="28"/>
  <c r="AF614" i="28"/>
  <c r="AG614" i="28"/>
  <c r="AI614" i="28"/>
  <c r="E615" i="28"/>
  <c r="F615" i="28"/>
  <c r="G615" i="28"/>
  <c r="I615" i="28"/>
  <c r="M615" i="28"/>
  <c r="N615" i="28"/>
  <c r="O615" i="28"/>
  <c r="W615" i="28"/>
  <c r="X615" i="28"/>
  <c r="Z615" i="28"/>
  <c r="AF615" i="28"/>
  <c r="AG615" i="28"/>
  <c r="AI615" i="28"/>
  <c r="E616" i="28"/>
  <c r="F616" i="28"/>
  <c r="G616" i="28"/>
  <c r="I616" i="28"/>
  <c r="M616" i="28"/>
  <c r="N616" i="28"/>
  <c r="O616" i="28"/>
  <c r="W616" i="28"/>
  <c r="X616" i="28"/>
  <c r="Z616" i="28"/>
  <c r="AF616" i="28"/>
  <c r="AG616" i="28"/>
  <c r="AI616" i="28"/>
  <c r="E617" i="28"/>
  <c r="F617" i="28"/>
  <c r="G617" i="28"/>
  <c r="I617" i="28"/>
  <c r="M617" i="28"/>
  <c r="N617" i="28"/>
  <c r="O617" i="28"/>
  <c r="W617" i="28"/>
  <c r="X617" i="28"/>
  <c r="Z617" i="28"/>
  <c r="AF617" i="28"/>
  <c r="AG617" i="28"/>
  <c r="AI617" i="28"/>
  <c r="E618" i="28"/>
  <c r="F618" i="28"/>
  <c r="G618" i="28"/>
  <c r="I618" i="28"/>
  <c r="M618" i="28"/>
  <c r="N618" i="28"/>
  <c r="O618" i="28"/>
  <c r="W618" i="28"/>
  <c r="X618" i="28"/>
  <c r="Z618" i="28"/>
  <c r="AF618" i="28"/>
  <c r="AG618" i="28"/>
  <c r="AI618" i="28"/>
  <c r="E619" i="28"/>
  <c r="F619" i="28"/>
  <c r="G619" i="28"/>
  <c r="I619" i="28"/>
  <c r="M619" i="28"/>
  <c r="N619" i="28"/>
  <c r="O619" i="28"/>
  <c r="W619" i="28"/>
  <c r="X619" i="28"/>
  <c r="Z619" i="28"/>
  <c r="AF619" i="28"/>
  <c r="AG619" i="28"/>
  <c r="AI619" i="28"/>
  <c r="E620" i="28"/>
  <c r="F620" i="28"/>
  <c r="G620" i="28"/>
  <c r="I620" i="28"/>
  <c r="M620" i="28"/>
  <c r="N620" i="28"/>
  <c r="O620" i="28"/>
  <c r="W620" i="28"/>
  <c r="X620" i="28"/>
  <c r="Z620" i="28"/>
  <c r="AF620" i="28"/>
  <c r="AG620" i="28"/>
  <c r="AI620" i="28"/>
  <c r="E621" i="28"/>
  <c r="F621" i="28"/>
  <c r="G621" i="28"/>
  <c r="I621" i="28"/>
  <c r="M621" i="28"/>
  <c r="N621" i="28"/>
  <c r="O621" i="28"/>
  <c r="W621" i="28"/>
  <c r="X621" i="28"/>
  <c r="Z621" i="28"/>
  <c r="AF621" i="28"/>
  <c r="AG621" i="28"/>
  <c r="AI621" i="28"/>
  <c r="E622" i="28"/>
  <c r="F622" i="28"/>
  <c r="G622" i="28"/>
  <c r="I622" i="28"/>
  <c r="M622" i="28"/>
  <c r="N622" i="28"/>
  <c r="O622" i="28"/>
  <c r="W622" i="28"/>
  <c r="X622" i="28"/>
  <c r="Z622" i="28"/>
  <c r="AF622" i="28"/>
  <c r="AG622" i="28"/>
  <c r="AI622" i="28"/>
  <c r="E623" i="28"/>
  <c r="F623" i="28"/>
  <c r="G623" i="28"/>
  <c r="I623" i="28"/>
  <c r="M623" i="28"/>
  <c r="N623" i="28"/>
  <c r="O623" i="28"/>
  <c r="W623" i="28"/>
  <c r="X623" i="28"/>
  <c r="Z623" i="28"/>
  <c r="AF623" i="28"/>
  <c r="AG623" i="28"/>
  <c r="AI623" i="28"/>
  <c r="E624" i="28"/>
  <c r="F624" i="28"/>
  <c r="G624" i="28"/>
  <c r="I624" i="28"/>
  <c r="M624" i="28"/>
  <c r="N624" i="28"/>
  <c r="O624" i="28"/>
  <c r="W624" i="28"/>
  <c r="X624" i="28"/>
  <c r="Z624" i="28"/>
  <c r="AF624" i="28"/>
  <c r="AG624" i="28"/>
  <c r="AI624" i="28"/>
  <c r="E625" i="28"/>
  <c r="F625" i="28"/>
  <c r="G625" i="28"/>
  <c r="I625" i="28"/>
  <c r="M625" i="28"/>
  <c r="N625" i="28"/>
  <c r="O625" i="28"/>
  <c r="W625" i="28"/>
  <c r="X625" i="28"/>
  <c r="Z625" i="28"/>
  <c r="AF625" i="28"/>
  <c r="AG625" i="28"/>
  <c r="AI625" i="28"/>
  <c r="E626" i="28"/>
  <c r="F626" i="28"/>
  <c r="G626" i="28"/>
  <c r="I626" i="28"/>
  <c r="M626" i="28"/>
  <c r="N626" i="28"/>
  <c r="O626" i="28"/>
  <c r="W626" i="28"/>
  <c r="X626" i="28"/>
  <c r="Z626" i="28"/>
  <c r="AF626" i="28"/>
  <c r="AG626" i="28"/>
  <c r="AI626" i="28"/>
  <c r="E627" i="28"/>
  <c r="F627" i="28"/>
  <c r="G627" i="28"/>
  <c r="I627" i="28"/>
  <c r="M627" i="28"/>
  <c r="N627" i="28"/>
  <c r="O627" i="28"/>
  <c r="W627" i="28"/>
  <c r="X627" i="28"/>
  <c r="Z627" i="28"/>
  <c r="AF627" i="28"/>
  <c r="AG627" i="28"/>
  <c r="AI627" i="28"/>
  <c r="E628" i="28"/>
  <c r="F628" i="28"/>
  <c r="G628" i="28"/>
  <c r="I628" i="28"/>
  <c r="M628" i="28"/>
  <c r="N628" i="28"/>
  <c r="O628" i="28"/>
  <c r="W628" i="28"/>
  <c r="X628" i="28"/>
  <c r="Z628" i="28"/>
  <c r="AF628" i="28"/>
  <c r="AG628" i="28"/>
  <c r="AI628" i="28"/>
  <c r="E629" i="28"/>
  <c r="F629" i="28"/>
  <c r="G629" i="28"/>
  <c r="I629" i="28"/>
  <c r="M629" i="28"/>
  <c r="N629" i="28"/>
  <c r="O629" i="28"/>
  <c r="W629" i="28"/>
  <c r="X629" i="28"/>
  <c r="Z629" i="28"/>
  <c r="AF629" i="28"/>
  <c r="AG629" i="28"/>
  <c r="AI629" i="28"/>
  <c r="E630" i="28"/>
  <c r="F630" i="28"/>
  <c r="G630" i="28"/>
  <c r="I630" i="28"/>
  <c r="M630" i="28"/>
  <c r="N630" i="28"/>
  <c r="O630" i="28"/>
  <c r="W630" i="28"/>
  <c r="X630" i="28"/>
  <c r="Z630" i="28"/>
  <c r="AF630" i="28"/>
  <c r="AG630" i="28"/>
  <c r="AI630" i="28"/>
  <c r="E631" i="28"/>
  <c r="F631" i="28"/>
  <c r="G631" i="28"/>
  <c r="I631" i="28"/>
  <c r="M631" i="28"/>
  <c r="N631" i="28"/>
  <c r="O631" i="28"/>
  <c r="W631" i="28"/>
  <c r="X631" i="28"/>
  <c r="Z631" i="28"/>
  <c r="AF631" i="28"/>
  <c r="AG631" i="28"/>
  <c r="AI631" i="28"/>
  <c r="E632" i="28"/>
  <c r="F632" i="28"/>
  <c r="G632" i="28"/>
  <c r="I632" i="28"/>
  <c r="M632" i="28"/>
  <c r="N632" i="28"/>
  <c r="O632" i="28"/>
  <c r="W632" i="28"/>
  <c r="X632" i="28"/>
  <c r="Z632" i="28"/>
  <c r="AF632" i="28"/>
  <c r="AG632" i="28"/>
  <c r="AI632" i="28"/>
  <c r="E633" i="28"/>
  <c r="F633" i="28"/>
  <c r="G633" i="28"/>
  <c r="I633" i="28"/>
  <c r="M633" i="28"/>
  <c r="N633" i="28"/>
  <c r="O633" i="28"/>
  <c r="W633" i="28"/>
  <c r="X633" i="28"/>
  <c r="Z633" i="28"/>
  <c r="AF633" i="28"/>
  <c r="AG633" i="28"/>
  <c r="AI633" i="28"/>
  <c r="E634" i="28"/>
  <c r="F634" i="28"/>
  <c r="G634" i="28"/>
  <c r="I634" i="28"/>
  <c r="M634" i="28"/>
  <c r="N634" i="28"/>
  <c r="O634" i="28"/>
  <c r="W634" i="28"/>
  <c r="X634" i="28"/>
  <c r="Z634" i="28"/>
  <c r="AF634" i="28"/>
  <c r="AG634" i="28"/>
  <c r="AI634" i="28"/>
  <c r="E635" i="28"/>
  <c r="F635" i="28"/>
  <c r="G635" i="28"/>
  <c r="I635" i="28"/>
  <c r="M635" i="28"/>
  <c r="N635" i="28"/>
  <c r="O635" i="28"/>
  <c r="W635" i="28"/>
  <c r="X635" i="28"/>
  <c r="Z635" i="28"/>
  <c r="AF635" i="28"/>
  <c r="AG635" i="28"/>
  <c r="AI635" i="28"/>
  <c r="E636" i="28"/>
  <c r="F636" i="28"/>
  <c r="G636" i="28"/>
  <c r="I636" i="28"/>
  <c r="M636" i="28"/>
  <c r="N636" i="28"/>
  <c r="O636" i="28"/>
  <c r="W636" i="28"/>
  <c r="X636" i="28"/>
  <c r="Z636" i="28"/>
  <c r="AF636" i="28"/>
  <c r="AG636" i="28"/>
  <c r="AI636" i="28"/>
  <c r="E637" i="28"/>
  <c r="F637" i="28"/>
  <c r="G637" i="28"/>
  <c r="I637" i="28"/>
  <c r="M637" i="28"/>
  <c r="N637" i="28"/>
  <c r="O637" i="28"/>
  <c r="W637" i="28"/>
  <c r="X637" i="28"/>
  <c r="Z637" i="28"/>
  <c r="AF637" i="28"/>
  <c r="AG637" i="28"/>
  <c r="AI637" i="28"/>
  <c r="E638" i="28"/>
  <c r="F638" i="28"/>
  <c r="G638" i="28"/>
  <c r="I638" i="28"/>
  <c r="M638" i="28"/>
  <c r="N638" i="28"/>
  <c r="O638" i="28"/>
  <c r="W638" i="28"/>
  <c r="X638" i="28"/>
  <c r="Z638" i="28"/>
  <c r="AF638" i="28"/>
  <c r="AG638" i="28"/>
  <c r="AI638" i="28"/>
  <c r="E639" i="28"/>
  <c r="F639" i="28"/>
  <c r="G639" i="28"/>
  <c r="I639" i="28"/>
  <c r="M639" i="28"/>
  <c r="N639" i="28"/>
  <c r="O639" i="28"/>
  <c r="W639" i="28"/>
  <c r="X639" i="28"/>
  <c r="Z639" i="28"/>
  <c r="AF639" i="28"/>
  <c r="AG639" i="28"/>
  <c r="AI639" i="28"/>
  <c r="E640" i="28"/>
  <c r="F640" i="28"/>
  <c r="G640" i="28"/>
  <c r="I640" i="28"/>
  <c r="M640" i="28"/>
  <c r="N640" i="28"/>
  <c r="O640" i="28"/>
  <c r="W640" i="28"/>
  <c r="X640" i="28"/>
  <c r="Z640" i="28"/>
  <c r="AF640" i="28"/>
  <c r="AG640" i="28"/>
  <c r="AI640" i="28"/>
  <c r="E641" i="28"/>
  <c r="F641" i="28"/>
  <c r="G641" i="28"/>
  <c r="I641" i="28"/>
  <c r="M641" i="28"/>
  <c r="N641" i="28"/>
  <c r="O641" i="28"/>
  <c r="W641" i="28"/>
  <c r="X641" i="28"/>
  <c r="Z641" i="28"/>
  <c r="AF641" i="28"/>
  <c r="AG641" i="28"/>
  <c r="AI641" i="28"/>
  <c r="E642" i="28"/>
  <c r="F642" i="28"/>
  <c r="G642" i="28"/>
  <c r="I642" i="28"/>
  <c r="M642" i="28"/>
  <c r="N642" i="28"/>
  <c r="O642" i="28"/>
  <c r="W642" i="28"/>
  <c r="X642" i="28"/>
  <c r="Z642" i="28"/>
  <c r="AF642" i="28"/>
  <c r="AG642" i="28"/>
  <c r="AI642" i="28"/>
  <c r="E643" i="28"/>
  <c r="F643" i="28"/>
  <c r="G643" i="28"/>
  <c r="I643" i="28"/>
  <c r="M643" i="28"/>
  <c r="N643" i="28"/>
  <c r="O643" i="28"/>
  <c r="W643" i="28"/>
  <c r="X643" i="28"/>
  <c r="Z643" i="28"/>
  <c r="AF643" i="28"/>
  <c r="AG643" i="28"/>
  <c r="AI643" i="28"/>
  <c r="E644" i="28"/>
  <c r="F644" i="28"/>
  <c r="G644" i="28"/>
  <c r="I644" i="28"/>
  <c r="M644" i="28"/>
  <c r="N644" i="28"/>
  <c r="O644" i="28"/>
  <c r="W644" i="28"/>
  <c r="X644" i="28"/>
  <c r="Z644" i="28"/>
  <c r="AF644" i="28"/>
  <c r="AG644" i="28"/>
  <c r="AI644" i="28"/>
  <c r="E645" i="28"/>
  <c r="F645" i="28"/>
  <c r="G645" i="28"/>
  <c r="I645" i="28"/>
  <c r="M645" i="28"/>
  <c r="N645" i="28"/>
  <c r="O645" i="28"/>
  <c r="W645" i="28"/>
  <c r="X645" i="28"/>
  <c r="Z645" i="28"/>
  <c r="AF645" i="28"/>
  <c r="AG645" i="28"/>
  <c r="AI645" i="28"/>
  <c r="E646" i="28"/>
  <c r="F646" i="28"/>
  <c r="G646" i="28"/>
  <c r="I646" i="28"/>
  <c r="M646" i="28"/>
  <c r="N646" i="28"/>
  <c r="O646" i="28"/>
  <c r="W646" i="28"/>
  <c r="X646" i="28"/>
  <c r="Z646" i="28"/>
  <c r="AF646" i="28"/>
  <c r="AG646" i="28"/>
  <c r="AI646" i="28"/>
  <c r="E647" i="28"/>
  <c r="F647" i="28"/>
  <c r="G647" i="28"/>
  <c r="I647" i="28"/>
  <c r="M647" i="28"/>
  <c r="N647" i="28"/>
  <c r="O647" i="28"/>
  <c r="W647" i="28"/>
  <c r="X647" i="28"/>
  <c r="Z647" i="28"/>
  <c r="AF647" i="28"/>
  <c r="AG647" i="28"/>
  <c r="AI647" i="28"/>
  <c r="E648" i="28"/>
  <c r="F648" i="28"/>
  <c r="G648" i="28"/>
  <c r="I648" i="28"/>
  <c r="M648" i="28"/>
  <c r="N648" i="28"/>
  <c r="O648" i="28"/>
  <c r="W648" i="28"/>
  <c r="X648" i="28"/>
  <c r="Z648" i="28"/>
  <c r="AF648" i="28"/>
  <c r="AG648" i="28"/>
  <c r="AI648" i="28"/>
  <c r="E649" i="28"/>
  <c r="F649" i="28"/>
  <c r="G649" i="28"/>
  <c r="I649" i="28"/>
  <c r="M649" i="28"/>
  <c r="N649" i="28"/>
  <c r="O649" i="28"/>
  <c r="W649" i="28"/>
  <c r="X649" i="28"/>
  <c r="Z649" i="28"/>
  <c r="AF649" i="28"/>
  <c r="AG649" i="28"/>
  <c r="AI649" i="28"/>
  <c r="E650" i="28"/>
  <c r="F650" i="28"/>
  <c r="G650" i="28"/>
  <c r="I650" i="28"/>
  <c r="M650" i="28"/>
  <c r="N650" i="28"/>
  <c r="O650" i="28"/>
  <c r="W650" i="28"/>
  <c r="X650" i="28"/>
  <c r="Z650" i="28"/>
  <c r="AF650" i="28"/>
  <c r="AG650" i="28"/>
  <c r="AI650" i="28"/>
  <c r="E651" i="28"/>
  <c r="F651" i="28"/>
  <c r="G651" i="28"/>
  <c r="I651" i="28"/>
  <c r="M651" i="28"/>
  <c r="N651" i="28"/>
  <c r="O651" i="28"/>
  <c r="W651" i="28"/>
  <c r="X651" i="28"/>
  <c r="Z651" i="28"/>
  <c r="AF651" i="28"/>
  <c r="AG651" i="28"/>
  <c r="AI651" i="28"/>
  <c r="E652" i="28"/>
  <c r="F652" i="28"/>
  <c r="G652" i="28"/>
  <c r="I652" i="28"/>
  <c r="M652" i="28"/>
  <c r="N652" i="28"/>
  <c r="O652" i="28"/>
  <c r="W652" i="28"/>
  <c r="X652" i="28"/>
  <c r="Z652" i="28"/>
  <c r="AF652" i="28"/>
  <c r="AG652" i="28"/>
  <c r="AI652" i="28"/>
  <c r="E653" i="28"/>
  <c r="F653" i="28"/>
  <c r="G653" i="28"/>
  <c r="I653" i="28"/>
  <c r="M653" i="28"/>
  <c r="N653" i="28"/>
  <c r="O653" i="28"/>
  <c r="W653" i="28"/>
  <c r="X653" i="28"/>
  <c r="Z653" i="28"/>
  <c r="AF653" i="28"/>
  <c r="AG653" i="28"/>
  <c r="AI653" i="28"/>
  <c r="E654" i="28"/>
  <c r="F654" i="28"/>
  <c r="G654" i="28"/>
  <c r="I654" i="28"/>
  <c r="M654" i="28"/>
  <c r="N654" i="28"/>
  <c r="O654" i="28"/>
  <c r="W654" i="28"/>
  <c r="X654" i="28"/>
  <c r="Z654" i="28"/>
  <c r="AF654" i="28"/>
  <c r="AG654" i="28"/>
  <c r="AI654" i="28"/>
  <c r="E655" i="28"/>
  <c r="F655" i="28"/>
  <c r="G655" i="28"/>
  <c r="I655" i="28"/>
  <c r="M655" i="28"/>
  <c r="N655" i="28"/>
  <c r="O655" i="28"/>
  <c r="W655" i="28"/>
  <c r="X655" i="28"/>
  <c r="Z655" i="28"/>
  <c r="AF655" i="28"/>
  <c r="AG655" i="28"/>
  <c r="AI655" i="28"/>
  <c r="E656" i="28"/>
  <c r="F656" i="28"/>
  <c r="G656" i="28"/>
  <c r="I656" i="28"/>
  <c r="M656" i="28"/>
  <c r="N656" i="28"/>
  <c r="O656" i="28"/>
  <c r="W656" i="28"/>
  <c r="X656" i="28"/>
  <c r="Z656" i="28"/>
  <c r="AF656" i="28"/>
  <c r="AG656" i="28"/>
  <c r="AI656" i="28"/>
  <c r="E657" i="28"/>
  <c r="F657" i="28"/>
  <c r="G657" i="28"/>
  <c r="I657" i="28"/>
  <c r="M657" i="28"/>
  <c r="N657" i="28"/>
  <c r="O657" i="28"/>
  <c r="W657" i="28"/>
  <c r="X657" i="28"/>
  <c r="Z657" i="28"/>
  <c r="AF657" i="28"/>
  <c r="AG657" i="28"/>
  <c r="AI657" i="28"/>
  <c r="E658" i="28"/>
  <c r="F658" i="28"/>
  <c r="G658" i="28"/>
  <c r="I658" i="28"/>
  <c r="M658" i="28"/>
  <c r="N658" i="28"/>
  <c r="O658" i="28"/>
  <c r="W658" i="28"/>
  <c r="X658" i="28"/>
  <c r="Z658" i="28"/>
  <c r="AF658" i="28"/>
  <c r="AG658" i="28"/>
  <c r="AI658" i="28"/>
  <c r="E659" i="28"/>
  <c r="F659" i="28"/>
  <c r="G659" i="28"/>
  <c r="I659" i="28"/>
  <c r="M659" i="28"/>
  <c r="N659" i="28"/>
  <c r="O659" i="28"/>
  <c r="W659" i="28"/>
  <c r="X659" i="28"/>
  <c r="Z659" i="28"/>
  <c r="AF659" i="28"/>
  <c r="AG659" i="28"/>
  <c r="AI659" i="28"/>
  <c r="E660" i="28"/>
  <c r="F660" i="28"/>
  <c r="G660" i="28"/>
  <c r="I660" i="28"/>
  <c r="M660" i="28"/>
  <c r="N660" i="28"/>
  <c r="O660" i="28"/>
  <c r="W660" i="28"/>
  <c r="X660" i="28"/>
  <c r="Z660" i="28"/>
  <c r="AF660" i="28"/>
  <c r="AG660" i="28"/>
  <c r="AI660" i="28"/>
  <c r="E661" i="28"/>
  <c r="F661" i="28"/>
  <c r="G661" i="28"/>
  <c r="I661" i="28"/>
  <c r="M661" i="28"/>
  <c r="N661" i="28"/>
  <c r="O661" i="28"/>
  <c r="W661" i="28"/>
  <c r="X661" i="28"/>
  <c r="Z661" i="28"/>
  <c r="AF661" i="28"/>
  <c r="AG661" i="28"/>
  <c r="AI661" i="28"/>
  <c r="E662" i="28"/>
  <c r="F662" i="28"/>
  <c r="G662" i="28"/>
  <c r="I662" i="28"/>
  <c r="M662" i="28"/>
  <c r="N662" i="28"/>
  <c r="O662" i="28"/>
  <c r="W662" i="28"/>
  <c r="X662" i="28"/>
  <c r="Z662" i="28"/>
  <c r="AF662" i="28"/>
  <c r="AG662" i="28"/>
  <c r="AI662" i="28"/>
  <c r="E663" i="28"/>
  <c r="F663" i="28"/>
  <c r="G663" i="28"/>
  <c r="I663" i="28"/>
  <c r="M663" i="28"/>
  <c r="N663" i="28"/>
  <c r="O663" i="28"/>
  <c r="W663" i="28"/>
  <c r="X663" i="28"/>
  <c r="Z663" i="28"/>
  <c r="AF663" i="28"/>
  <c r="AG663" i="28"/>
  <c r="AI663" i="28"/>
  <c r="E664" i="28"/>
  <c r="F664" i="28"/>
  <c r="G664" i="28"/>
  <c r="I664" i="28"/>
  <c r="M664" i="28"/>
  <c r="N664" i="28"/>
  <c r="O664" i="28"/>
  <c r="W664" i="28"/>
  <c r="X664" i="28"/>
  <c r="Z664" i="28"/>
  <c r="AF664" i="28"/>
  <c r="AG664" i="28"/>
  <c r="AI664" i="28"/>
  <c r="E665" i="28"/>
  <c r="F665" i="28"/>
  <c r="G665" i="28"/>
  <c r="I665" i="28"/>
  <c r="M665" i="28"/>
  <c r="N665" i="28"/>
  <c r="O665" i="28"/>
  <c r="W665" i="28"/>
  <c r="X665" i="28"/>
  <c r="Z665" i="28"/>
  <c r="AF665" i="28"/>
  <c r="AG665" i="28"/>
  <c r="AI665" i="28"/>
  <c r="E666" i="28"/>
  <c r="F666" i="28"/>
  <c r="G666" i="28"/>
  <c r="I666" i="28"/>
  <c r="M666" i="28"/>
  <c r="N666" i="28"/>
  <c r="O666" i="28"/>
  <c r="W666" i="28"/>
  <c r="X666" i="28"/>
  <c r="Z666" i="28"/>
  <c r="AF666" i="28"/>
  <c r="AG666" i="28"/>
  <c r="AI666" i="28"/>
  <c r="E667" i="28"/>
  <c r="F667" i="28"/>
  <c r="G667" i="28"/>
  <c r="I667" i="28"/>
  <c r="M667" i="28"/>
  <c r="N667" i="28"/>
  <c r="O667" i="28"/>
  <c r="W667" i="28"/>
  <c r="X667" i="28"/>
  <c r="Z667" i="28"/>
  <c r="AF667" i="28"/>
  <c r="AG667" i="28"/>
  <c r="AI667" i="28"/>
  <c r="E668" i="28"/>
  <c r="F668" i="28"/>
  <c r="G668" i="28"/>
  <c r="I668" i="28"/>
  <c r="M668" i="28"/>
  <c r="N668" i="28"/>
  <c r="O668" i="28"/>
  <c r="W668" i="28"/>
  <c r="X668" i="28"/>
  <c r="Z668" i="28"/>
  <c r="AF668" i="28"/>
  <c r="AG668" i="28"/>
  <c r="AI668" i="28"/>
  <c r="E669" i="28"/>
  <c r="F669" i="28"/>
  <c r="G669" i="28"/>
  <c r="I669" i="28"/>
  <c r="M669" i="28"/>
  <c r="N669" i="28"/>
  <c r="O669" i="28"/>
  <c r="W669" i="28"/>
  <c r="X669" i="28"/>
  <c r="Z669" i="28"/>
  <c r="AF669" i="28"/>
  <c r="AG669" i="28"/>
  <c r="AI669" i="28"/>
  <c r="E670" i="28"/>
  <c r="F670" i="28"/>
  <c r="G670" i="28"/>
  <c r="I670" i="28"/>
  <c r="M670" i="28"/>
  <c r="N670" i="28"/>
  <c r="O670" i="28"/>
  <c r="W670" i="28"/>
  <c r="X670" i="28"/>
  <c r="Z670" i="28"/>
  <c r="AF670" i="28"/>
  <c r="AG670" i="28"/>
  <c r="AI670" i="28"/>
  <c r="E671" i="28"/>
  <c r="F671" i="28"/>
  <c r="G671" i="28"/>
  <c r="I671" i="28"/>
  <c r="M671" i="28"/>
  <c r="N671" i="28"/>
  <c r="O671" i="28"/>
  <c r="W671" i="28"/>
  <c r="X671" i="28"/>
  <c r="Z671" i="28"/>
  <c r="AF671" i="28"/>
  <c r="AG671" i="28"/>
  <c r="AI671" i="28"/>
  <c r="E672" i="28"/>
  <c r="F672" i="28"/>
  <c r="G672" i="28"/>
  <c r="I672" i="28"/>
  <c r="M672" i="28"/>
  <c r="N672" i="28"/>
  <c r="O672" i="28"/>
  <c r="W672" i="28"/>
  <c r="X672" i="28"/>
  <c r="Z672" i="28"/>
  <c r="AF672" i="28"/>
  <c r="AG672" i="28"/>
  <c r="AI672" i="28"/>
  <c r="E673" i="28"/>
  <c r="F673" i="28"/>
  <c r="G673" i="28"/>
  <c r="I673" i="28"/>
  <c r="M673" i="28"/>
  <c r="N673" i="28"/>
  <c r="O673" i="28"/>
  <c r="W673" i="28"/>
  <c r="X673" i="28"/>
  <c r="Z673" i="28"/>
  <c r="AF673" i="28"/>
  <c r="AG673" i="28"/>
  <c r="AI673" i="28"/>
  <c r="E674" i="28"/>
  <c r="F674" i="28"/>
  <c r="G674" i="28"/>
  <c r="I674" i="28"/>
  <c r="M674" i="28"/>
  <c r="N674" i="28"/>
  <c r="O674" i="28"/>
  <c r="W674" i="28"/>
  <c r="X674" i="28"/>
  <c r="Z674" i="28"/>
  <c r="AF674" i="28"/>
  <c r="AG674" i="28"/>
  <c r="AI674" i="28"/>
  <c r="E675" i="28"/>
  <c r="F675" i="28"/>
  <c r="G675" i="28"/>
  <c r="I675" i="28"/>
  <c r="M675" i="28"/>
  <c r="N675" i="28"/>
  <c r="O675" i="28"/>
  <c r="W675" i="28"/>
  <c r="X675" i="28"/>
  <c r="Z675" i="28"/>
  <c r="AF675" i="28"/>
  <c r="AG675" i="28"/>
  <c r="AI675" i="28"/>
  <c r="E676" i="28"/>
  <c r="F676" i="28"/>
  <c r="G676" i="28"/>
  <c r="I676" i="28"/>
  <c r="M676" i="28"/>
  <c r="N676" i="28"/>
  <c r="O676" i="28"/>
  <c r="W676" i="28"/>
  <c r="X676" i="28"/>
  <c r="Z676" i="28"/>
  <c r="AF676" i="28"/>
  <c r="AG676" i="28"/>
  <c r="AI676" i="28"/>
  <c r="E677" i="28"/>
  <c r="F677" i="28"/>
  <c r="G677" i="28"/>
  <c r="I677" i="28"/>
  <c r="M677" i="28"/>
  <c r="N677" i="28"/>
  <c r="O677" i="28"/>
  <c r="W677" i="28"/>
  <c r="X677" i="28"/>
  <c r="Z677" i="28"/>
  <c r="AF677" i="28"/>
  <c r="AG677" i="28"/>
  <c r="AI677" i="28"/>
  <c r="E678" i="28"/>
  <c r="F678" i="28"/>
  <c r="G678" i="28"/>
  <c r="I678" i="28"/>
  <c r="M678" i="28"/>
  <c r="N678" i="28"/>
  <c r="O678" i="28"/>
  <c r="W678" i="28"/>
  <c r="X678" i="28"/>
  <c r="Z678" i="28"/>
  <c r="AF678" i="28"/>
  <c r="AG678" i="28"/>
  <c r="AI678" i="28"/>
  <c r="E679" i="28"/>
  <c r="F679" i="28"/>
  <c r="G679" i="28"/>
  <c r="I679" i="28"/>
  <c r="M679" i="28"/>
  <c r="N679" i="28"/>
  <c r="O679" i="28"/>
  <c r="W679" i="28"/>
  <c r="X679" i="28"/>
  <c r="Z679" i="28"/>
  <c r="AF679" i="28"/>
  <c r="AG679" i="28"/>
  <c r="AI679" i="28"/>
  <c r="E680" i="28"/>
  <c r="F680" i="28"/>
  <c r="G680" i="28"/>
  <c r="I680" i="28"/>
  <c r="M680" i="28"/>
  <c r="N680" i="28"/>
  <c r="O680" i="28"/>
  <c r="W680" i="28"/>
  <c r="X680" i="28"/>
  <c r="Z680" i="28"/>
  <c r="AF680" i="28"/>
  <c r="AG680" i="28"/>
  <c r="AI680" i="28"/>
  <c r="E681" i="28"/>
  <c r="F681" i="28"/>
  <c r="G681" i="28"/>
  <c r="I681" i="28"/>
  <c r="M681" i="28"/>
  <c r="N681" i="28"/>
  <c r="O681" i="28"/>
  <c r="W681" i="28"/>
  <c r="X681" i="28"/>
  <c r="Z681" i="28"/>
  <c r="AF681" i="28"/>
  <c r="AG681" i="28"/>
  <c r="AI681" i="28"/>
  <c r="E682" i="28"/>
  <c r="F682" i="28"/>
  <c r="G682" i="28"/>
  <c r="I682" i="28"/>
  <c r="M682" i="28"/>
  <c r="N682" i="28"/>
  <c r="O682" i="28"/>
  <c r="W682" i="28"/>
  <c r="X682" i="28"/>
  <c r="Z682" i="28"/>
  <c r="AF682" i="28"/>
  <c r="AG682" i="28"/>
  <c r="AI682" i="28"/>
  <c r="E683" i="28"/>
  <c r="F683" i="28"/>
  <c r="G683" i="28"/>
  <c r="I683" i="28"/>
  <c r="M683" i="28"/>
  <c r="N683" i="28"/>
  <c r="O683" i="28"/>
  <c r="W683" i="28"/>
  <c r="X683" i="28"/>
  <c r="Z683" i="28"/>
  <c r="AF683" i="28"/>
  <c r="AG683" i="28"/>
  <c r="AI683" i="28"/>
  <c r="E684" i="28"/>
  <c r="F684" i="28"/>
  <c r="G684" i="28"/>
  <c r="I684" i="28"/>
  <c r="M684" i="28"/>
  <c r="N684" i="28"/>
  <c r="O684" i="28"/>
  <c r="W684" i="28"/>
  <c r="X684" i="28"/>
  <c r="Z684" i="28"/>
  <c r="AF684" i="28"/>
  <c r="AG684" i="28"/>
  <c r="AI684" i="28"/>
  <c r="E685" i="28"/>
  <c r="F685" i="28"/>
  <c r="G685" i="28"/>
  <c r="I685" i="28"/>
  <c r="M685" i="28"/>
  <c r="N685" i="28"/>
  <c r="O685" i="28"/>
  <c r="W685" i="28"/>
  <c r="X685" i="28"/>
  <c r="Z685" i="28"/>
  <c r="AF685" i="28"/>
  <c r="AG685" i="28"/>
  <c r="AI685" i="28"/>
  <c r="E686" i="28"/>
  <c r="F686" i="28"/>
  <c r="G686" i="28"/>
  <c r="I686" i="28"/>
  <c r="M686" i="28"/>
  <c r="N686" i="28"/>
  <c r="O686" i="28"/>
  <c r="W686" i="28"/>
  <c r="X686" i="28"/>
  <c r="Z686" i="28"/>
  <c r="AF686" i="28"/>
  <c r="AG686" i="28"/>
  <c r="AI686" i="28"/>
  <c r="E687" i="28"/>
  <c r="F687" i="28"/>
  <c r="G687" i="28"/>
  <c r="I687" i="28"/>
  <c r="M687" i="28"/>
  <c r="N687" i="28"/>
  <c r="O687" i="28"/>
  <c r="W687" i="28"/>
  <c r="X687" i="28"/>
  <c r="Z687" i="28"/>
  <c r="AF687" i="28"/>
  <c r="AG687" i="28"/>
  <c r="AI687" i="28"/>
  <c r="E688" i="28"/>
  <c r="F688" i="28"/>
  <c r="G688" i="28"/>
  <c r="I688" i="28"/>
  <c r="M688" i="28"/>
  <c r="N688" i="28"/>
  <c r="O688" i="28"/>
  <c r="W688" i="28"/>
  <c r="X688" i="28"/>
  <c r="Z688" i="28"/>
  <c r="AF688" i="28"/>
  <c r="AG688" i="28"/>
  <c r="AI688" i="28"/>
  <c r="E689" i="28"/>
  <c r="F689" i="28"/>
  <c r="G689" i="28"/>
  <c r="I689" i="28"/>
  <c r="M689" i="28"/>
  <c r="N689" i="28"/>
  <c r="O689" i="28"/>
  <c r="W689" i="28"/>
  <c r="X689" i="28"/>
  <c r="Z689" i="28"/>
  <c r="AF689" i="28"/>
  <c r="AG689" i="28"/>
  <c r="AI689" i="28"/>
  <c r="E690" i="28"/>
  <c r="F690" i="28"/>
  <c r="G690" i="28"/>
  <c r="I690" i="28"/>
  <c r="M690" i="28"/>
  <c r="N690" i="28"/>
  <c r="O690" i="28"/>
  <c r="W690" i="28"/>
  <c r="X690" i="28"/>
  <c r="Z690" i="28"/>
  <c r="AF690" i="28"/>
  <c r="AG690" i="28"/>
  <c r="AI690" i="28"/>
  <c r="E691" i="28"/>
  <c r="F691" i="28"/>
  <c r="G691" i="28"/>
  <c r="I691" i="28"/>
  <c r="M691" i="28"/>
  <c r="N691" i="28"/>
  <c r="O691" i="28"/>
  <c r="W691" i="28"/>
  <c r="X691" i="28"/>
  <c r="Z691" i="28"/>
  <c r="AF691" i="28"/>
  <c r="AG691" i="28"/>
  <c r="AI691" i="28"/>
  <c r="E692" i="28"/>
  <c r="F692" i="28"/>
  <c r="G692" i="28"/>
  <c r="I692" i="28"/>
  <c r="M692" i="28"/>
  <c r="N692" i="28"/>
  <c r="O692" i="28"/>
  <c r="W692" i="28"/>
  <c r="X692" i="28"/>
  <c r="Z692" i="28"/>
  <c r="AF692" i="28"/>
  <c r="AG692" i="28"/>
  <c r="AI692" i="28"/>
  <c r="E693" i="28"/>
  <c r="F693" i="28"/>
  <c r="G693" i="28"/>
  <c r="I693" i="28"/>
  <c r="M693" i="28"/>
  <c r="N693" i="28"/>
  <c r="O693" i="28"/>
  <c r="W693" i="28"/>
  <c r="X693" i="28"/>
  <c r="Z693" i="28"/>
  <c r="AF693" i="28"/>
  <c r="AG693" i="28"/>
  <c r="AI693" i="28"/>
  <c r="E694" i="28"/>
  <c r="F694" i="28"/>
  <c r="G694" i="28"/>
  <c r="I694" i="28"/>
  <c r="M694" i="28"/>
  <c r="N694" i="28"/>
  <c r="O694" i="28"/>
  <c r="W694" i="28"/>
  <c r="X694" i="28"/>
  <c r="Z694" i="28"/>
  <c r="AF694" i="28"/>
  <c r="AG694" i="28"/>
  <c r="AI694" i="28"/>
  <c r="E695" i="28"/>
  <c r="F695" i="28"/>
  <c r="G695" i="28"/>
  <c r="I695" i="28"/>
  <c r="M695" i="28"/>
  <c r="N695" i="28"/>
  <c r="O695" i="28"/>
  <c r="W695" i="28"/>
  <c r="X695" i="28"/>
  <c r="Z695" i="28"/>
  <c r="AF695" i="28"/>
  <c r="AG695" i="28"/>
  <c r="AI695" i="28"/>
  <c r="E696" i="28"/>
  <c r="F696" i="28"/>
  <c r="G696" i="28"/>
  <c r="I696" i="28"/>
  <c r="M696" i="28"/>
  <c r="N696" i="28"/>
  <c r="O696" i="28"/>
  <c r="W696" i="28"/>
  <c r="X696" i="28"/>
  <c r="Z696" i="28"/>
  <c r="AF696" i="28"/>
  <c r="AG696" i="28"/>
  <c r="AI696" i="28"/>
  <c r="E697" i="28"/>
  <c r="F697" i="28"/>
  <c r="G697" i="28"/>
  <c r="I697" i="28"/>
  <c r="M697" i="28"/>
  <c r="N697" i="28"/>
  <c r="O697" i="28"/>
  <c r="W697" i="28"/>
  <c r="X697" i="28"/>
  <c r="Z697" i="28"/>
  <c r="AF697" i="28"/>
  <c r="AG697" i="28"/>
  <c r="AI697" i="28"/>
  <c r="E698" i="28"/>
  <c r="F698" i="28"/>
  <c r="G698" i="28"/>
  <c r="I698" i="28"/>
  <c r="M698" i="28"/>
  <c r="N698" i="28"/>
  <c r="O698" i="28"/>
  <c r="W698" i="28"/>
  <c r="X698" i="28"/>
  <c r="Z698" i="28"/>
  <c r="AF698" i="28"/>
  <c r="AG698" i="28"/>
  <c r="AI698" i="28"/>
  <c r="E699" i="28"/>
  <c r="F699" i="28"/>
  <c r="G699" i="28"/>
  <c r="I699" i="28"/>
  <c r="M699" i="28"/>
  <c r="N699" i="28"/>
  <c r="O699" i="28"/>
  <c r="W699" i="28"/>
  <c r="X699" i="28"/>
  <c r="Z699" i="28"/>
  <c r="AF699" i="28"/>
  <c r="AG699" i="28"/>
  <c r="AI699" i="28"/>
  <c r="E700" i="28"/>
  <c r="F700" i="28"/>
  <c r="G700" i="28"/>
  <c r="I700" i="28"/>
  <c r="M700" i="28"/>
  <c r="N700" i="28"/>
  <c r="O700" i="28"/>
  <c r="W700" i="28"/>
  <c r="X700" i="28"/>
  <c r="Z700" i="28"/>
  <c r="AF700" i="28"/>
  <c r="AG700" i="28"/>
  <c r="AI700" i="28"/>
  <c r="E701" i="28"/>
  <c r="F701" i="28"/>
  <c r="G701" i="28"/>
  <c r="I701" i="28"/>
  <c r="M701" i="28"/>
  <c r="N701" i="28"/>
  <c r="O701" i="28"/>
  <c r="W701" i="28"/>
  <c r="X701" i="28"/>
  <c r="Z701" i="28"/>
  <c r="AF701" i="28"/>
  <c r="AG701" i="28"/>
  <c r="AI701" i="28"/>
  <c r="E702" i="28"/>
  <c r="F702" i="28"/>
  <c r="G702" i="28"/>
  <c r="I702" i="28"/>
  <c r="M702" i="28"/>
  <c r="N702" i="28"/>
  <c r="O702" i="28"/>
  <c r="W702" i="28"/>
  <c r="X702" i="28"/>
  <c r="Z702" i="28"/>
  <c r="AF702" i="28"/>
  <c r="AG702" i="28"/>
  <c r="AI702" i="28"/>
  <c r="E703" i="28"/>
  <c r="F703" i="28"/>
  <c r="G703" i="28"/>
  <c r="I703" i="28"/>
  <c r="M703" i="28"/>
  <c r="N703" i="28"/>
  <c r="O703" i="28"/>
  <c r="W703" i="28"/>
  <c r="X703" i="28"/>
  <c r="Z703" i="28"/>
  <c r="AF703" i="28"/>
  <c r="AG703" i="28"/>
  <c r="AI703" i="28"/>
  <c r="E704" i="28"/>
  <c r="F704" i="28"/>
  <c r="G704" i="28"/>
  <c r="I704" i="28"/>
  <c r="M704" i="28"/>
  <c r="N704" i="28"/>
  <c r="O704" i="28"/>
  <c r="W704" i="28"/>
  <c r="X704" i="28"/>
  <c r="Z704" i="28"/>
  <c r="AF704" i="28"/>
  <c r="AG704" i="28"/>
  <c r="AI704" i="28"/>
  <c r="E705" i="28"/>
  <c r="F705" i="28"/>
  <c r="G705" i="28"/>
  <c r="I705" i="28"/>
  <c r="M705" i="28"/>
  <c r="N705" i="28"/>
  <c r="O705" i="28"/>
  <c r="W705" i="28"/>
  <c r="X705" i="28"/>
  <c r="Z705" i="28"/>
  <c r="AF705" i="28"/>
  <c r="AG705" i="28"/>
  <c r="AI705" i="28"/>
  <c r="E706" i="28"/>
  <c r="F706" i="28"/>
  <c r="G706" i="28"/>
  <c r="I706" i="28"/>
  <c r="M706" i="28"/>
  <c r="N706" i="28"/>
  <c r="O706" i="28"/>
  <c r="W706" i="28"/>
  <c r="X706" i="28"/>
  <c r="Z706" i="28"/>
  <c r="AF706" i="28"/>
  <c r="AG706" i="28"/>
  <c r="AI706" i="28"/>
  <c r="E707" i="28"/>
  <c r="F707" i="28"/>
  <c r="G707" i="28"/>
  <c r="I707" i="28"/>
  <c r="M707" i="28"/>
  <c r="N707" i="28"/>
  <c r="O707" i="28"/>
  <c r="W707" i="28"/>
  <c r="X707" i="28"/>
  <c r="Z707" i="28"/>
  <c r="AF707" i="28"/>
  <c r="AG707" i="28"/>
  <c r="AI707" i="28"/>
  <c r="E708" i="28"/>
  <c r="F708" i="28"/>
  <c r="G708" i="28"/>
  <c r="I708" i="28"/>
  <c r="M708" i="28"/>
  <c r="N708" i="28"/>
  <c r="O708" i="28"/>
  <c r="W708" i="28"/>
  <c r="X708" i="28"/>
  <c r="Z708" i="28"/>
  <c r="AF708" i="28"/>
  <c r="AG708" i="28"/>
  <c r="AI708" i="28"/>
  <c r="E709" i="28"/>
  <c r="F709" i="28"/>
  <c r="G709" i="28"/>
  <c r="I709" i="28"/>
  <c r="M709" i="28"/>
  <c r="N709" i="28"/>
  <c r="O709" i="28"/>
  <c r="W709" i="28"/>
  <c r="X709" i="28"/>
  <c r="Z709" i="28"/>
  <c r="AF709" i="28"/>
  <c r="AG709" i="28"/>
  <c r="AI709" i="28"/>
  <c r="E710" i="28"/>
  <c r="F710" i="28"/>
  <c r="G710" i="28"/>
  <c r="I710" i="28"/>
  <c r="M710" i="28"/>
  <c r="N710" i="28"/>
  <c r="O710" i="28"/>
  <c r="W710" i="28"/>
  <c r="X710" i="28"/>
  <c r="Z710" i="28"/>
  <c r="AF710" i="28"/>
  <c r="AG710" i="28"/>
  <c r="AI710" i="28"/>
  <c r="E711" i="28"/>
  <c r="F711" i="28"/>
  <c r="G711" i="28"/>
  <c r="I711" i="28"/>
  <c r="M711" i="28"/>
  <c r="N711" i="28"/>
  <c r="O711" i="28"/>
  <c r="W711" i="28"/>
  <c r="X711" i="28"/>
  <c r="Z711" i="28"/>
  <c r="AF711" i="28"/>
  <c r="AG711" i="28"/>
  <c r="AI711" i="28"/>
  <c r="E712" i="28"/>
  <c r="F712" i="28"/>
  <c r="G712" i="28"/>
  <c r="I712" i="28"/>
  <c r="M712" i="28"/>
  <c r="N712" i="28"/>
  <c r="O712" i="28"/>
  <c r="W712" i="28"/>
  <c r="X712" i="28"/>
  <c r="Z712" i="28"/>
  <c r="AF712" i="28"/>
  <c r="AG712" i="28"/>
  <c r="AI712" i="28"/>
  <c r="E713" i="28"/>
  <c r="F713" i="28"/>
  <c r="G713" i="28"/>
  <c r="I713" i="28"/>
  <c r="M713" i="28"/>
  <c r="N713" i="28"/>
  <c r="O713" i="28"/>
  <c r="W713" i="28"/>
  <c r="X713" i="28"/>
  <c r="Z713" i="28"/>
  <c r="AF713" i="28"/>
  <c r="AG713" i="28"/>
  <c r="AI713" i="28"/>
  <c r="E714" i="28"/>
  <c r="F714" i="28"/>
  <c r="G714" i="28"/>
  <c r="I714" i="28"/>
  <c r="M714" i="28"/>
  <c r="N714" i="28"/>
  <c r="O714" i="28"/>
  <c r="W714" i="28"/>
  <c r="X714" i="28"/>
  <c r="Z714" i="28"/>
  <c r="AF714" i="28"/>
  <c r="AG714" i="28"/>
  <c r="AI714" i="28"/>
  <c r="E715" i="28"/>
  <c r="F715" i="28"/>
  <c r="G715" i="28"/>
  <c r="I715" i="28"/>
  <c r="M715" i="28"/>
  <c r="N715" i="28"/>
  <c r="O715" i="28"/>
  <c r="W715" i="28"/>
  <c r="X715" i="28"/>
  <c r="Z715" i="28"/>
  <c r="AF715" i="28"/>
  <c r="AG715" i="28"/>
  <c r="AI715" i="28"/>
  <c r="E716" i="28"/>
  <c r="F716" i="28"/>
  <c r="G716" i="28"/>
  <c r="I716" i="28"/>
  <c r="M716" i="28"/>
  <c r="N716" i="28"/>
  <c r="O716" i="28"/>
  <c r="W716" i="28"/>
  <c r="X716" i="28"/>
  <c r="Z716" i="28"/>
  <c r="AF716" i="28"/>
  <c r="AG716" i="28"/>
  <c r="AI716" i="28"/>
  <c r="E717" i="28"/>
  <c r="F717" i="28"/>
  <c r="G717" i="28"/>
  <c r="I717" i="28"/>
  <c r="M717" i="28"/>
  <c r="N717" i="28"/>
  <c r="O717" i="28"/>
  <c r="W717" i="28"/>
  <c r="X717" i="28"/>
  <c r="Z717" i="28"/>
  <c r="AF717" i="28"/>
  <c r="AG717" i="28"/>
  <c r="AI717" i="28"/>
  <c r="E718" i="28"/>
  <c r="F718" i="28"/>
  <c r="G718" i="28"/>
  <c r="I718" i="28"/>
  <c r="M718" i="28"/>
  <c r="N718" i="28"/>
  <c r="O718" i="28"/>
  <c r="W718" i="28"/>
  <c r="X718" i="28"/>
  <c r="Z718" i="28"/>
  <c r="AF718" i="28"/>
  <c r="AG718" i="28"/>
  <c r="AI718" i="28"/>
  <c r="E719" i="28"/>
  <c r="F719" i="28"/>
  <c r="G719" i="28"/>
  <c r="I719" i="28"/>
  <c r="M719" i="28"/>
  <c r="N719" i="28"/>
  <c r="O719" i="28"/>
  <c r="W719" i="28"/>
  <c r="X719" i="28"/>
  <c r="Z719" i="28"/>
  <c r="AF719" i="28"/>
  <c r="AG719" i="28"/>
  <c r="AI719" i="28"/>
  <c r="E720" i="28"/>
  <c r="F720" i="28"/>
  <c r="G720" i="28"/>
  <c r="I720" i="28"/>
  <c r="M720" i="28"/>
  <c r="N720" i="28"/>
  <c r="O720" i="28"/>
  <c r="W720" i="28"/>
  <c r="X720" i="28"/>
  <c r="Z720" i="28"/>
  <c r="AF720" i="28"/>
  <c r="AG720" i="28"/>
  <c r="AI720" i="28"/>
  <c r="E721" i="28"/>
  <c r="F721" i="28"/>
  <c r="G721" i="28"/>
  <c r="I721" i="28"/>
  <c r="M721" i="28"/>
  <c r="N721" i="28"/>
  <c r="O721" i="28"/>
  <c r="W721" i="28"/>
  <c r="X721" i="28"/>
  <c r="Z721" i="28"/>
  <c r="AF721" i="28"/>
  <c r="AG721" i="28"/>
  <c r="AI721" i="28"/>
  <c r="E722" i="28"/>
  <c r="F722" i="28"/>
  <c r="G722" i="28"/>
  <c r="I722" i="28"/>
  <c r="M722" i="28"/>
  <c r="N722" i="28"/>
  <c r="O722" i="28"/>
  <c r="W722" i="28"/>
  <c r="X722" i="28"/>
  <c r="Z722" i="28"/>
  <c r="AF722" i="28"/>
  <c r="AG722" i="28"/>
  <c r="AI722" i="28"/>
  <c r="E723" i="28"/>
  <c r="F723" i="28"/>
  <c r="G723" i="28"/>
  <c r="I723" i="28"/>
  <c r="M723" i="28"/>
  <c r="N723" i="28"/>
  <c r="O723" i="28"/>
  <c r="W723" i="28"/>
  <c r="X723" i="28"/>
  <c r="Z723" i="28"/>
  <c r="AF723" i="28"/>
  <c r="AG723" i="28"/>
  <c r="AI723" i="28"/>
  <c r="E724" i="28"/>
  <c r="F724" i="28"/>
  <c r="G724" i="28"/>
  <c r="I724" i="28"/>
  <c r="M724" i="28"/>
  <c r="N724" i="28"/>
  <c r="O724" i="28"/>
  <c r="W724" i="28"/>
  <c r="X724" i="28"/>
  <c r="Z724" i="28"/>
  <c r="AF724" i="28"/>
  <c r="AG724" i="28"/>
  <c r="AI724" i="28"/>
  <c r="E725" i="28"/>
  <c r="F725" i="28"/>
  <c r="G725" i="28"/>
  <c r="I725" i="28"/>
  <c r="M725" i="28"/>
  <c r="N725" i="28"/>
  <c r="O725" i="28"/>
  <c r="W725" i="28"/>
  <c r="X725" i="28"/>
  <c r="Z725" i="28"/>
  <c r="AF725" i="28"/>
  <c r="AG725" i="28"/>
  <c r="AI725" i="28"/>
  <c r="E726" i="28"/>
  <c r="F726" i="28"/>
  <c r="G726" i="28"/>
  <c r="I726" i="28"/>
  <c r="M726" i="28"/>
  <c r="N726" i="28"/>
  <c r="O726" i="28"/>
  <c r="W726" i="28"/>
  <c r="X726" i="28"/>
  <c r="Z726" i="28"/>
  <c r="AF726" i="28"/>
  <c r="AG726" i="28"/>
  <c r="AI726" i="28"/>
  <c r="E727" i="28"/>
  <c r="F727" i="28"/>
  <c r="G727" i="28"/>
  <c r="I727" i="28"/>
  <c r="M727" i="28"/>
  <c r="N727" i="28"/>
  <c r="O727" i="28"/>
  <c r="W727" i="28"/>
  <c r="X727" i="28"/>
  <c r="Z727" i="28"/>
  <c r="AF727" i="28"/>
  <c r="AG727" i="28"/>
  <c r="AI727" i="28"/>
  <c r="E728" i="28"/>
  <c r="F728" i="28"/>
  <c r="G728" i="28"/>
  <c r="I728" i="28"/>
  <c r="M728" i="28"/>
  <c r="N728" i="28"/>
  <c r="O728" i="28"/>
  <c r="W728" i="28"/>
  <c r="X728" i="28"/>
  <c r="Z728" i="28"/>
  <c r="AF728" i="28"/>
  <c r="AG728" i="28"/>
  <c r="AI728" i="28"/>
  <c r="E729" i="28"/>
  <c r="F729" i="28"/>
  <c r="G729" i="28"/>
  <c r="I729" i="28"/>
  <c r="M729" i="28"/>
  <c r="N729" i="28"/>
  <c r="O729" i="28"/>
  <c r="W729" i="28"/>
  <c r="X729" i="28"/>
  <c r="Z729" i="28"/>
  <c r="AF729" i="28"/>
  <c r="AG729" i="28"/>
  <c r="AI729" i="28"/>
  <c r="E730" i="28"/>
  <c r="F730" i="28"/>
  <c r="G730" i="28"/>
  <c r="I730" i="28"/>
  <c r="M730" i="28"/>
  <c r="N730" i="28"/>
  <c r="O730" i="28"/>
  <c r="W730" i="28"/>
  <c r="X730" i="28"/>
  <c r="Z730" i="28"/>
  <c r="AF730" i="28"/>
  <c r="AG730" i="28"/>
  <c r="AI730" i="28"/>
  <c r="E731" i="28"/>
  <c r="F731" i="28"/>
  <c r="G731" i="28"/>
  <c r="I731" i="28"/>
  <c r="M731" i="28"/>
  <c r="N731" i="28"/>
  <c r="O731" i="28"/>
  <c r="W731" i="28"/>
  <c r="X731" i="28"/>
  <c r="Z731" i="28"/>
  <c r="AF731" i="28"/>
  <c r="AG731" i="28"/>
  <c r="AI731" i="28"/>
  <c r="E732" i="28"/>
  <c r="F732" i="28"/>
  <c r="G732" i="28"/>
  <c r="I732" i="28"/>
  <c r="M732" i="28"/>
  <c r="N732" i="28"/>
  <c r="O732" i="28"/>
  <c r="W732" i="28"/>
  <c r="X732" i="28"/>
  <c r="Z732" i="28"/>
  <c r="AF732" i="28"/>
  <c r="AG732" i="28"/>
  <c r="AI732" i="28"/>
  <c r="E733" i="28"/>
  <c r="F733" i="28"/>
  <c r="G733" i="28"/>
  <c r="I733" i="28"/>
  <c r="M733" i="28"/>
  <c r="N733" i="28"/>
  <c r="O733" i="28"/>
  <c r="W733" i="28"/>
  <c r="X733" i="28"/>
  <c r="Z733" i="28"/>
  <c r="AF733" i="28"/>
  <c r="AG733" i="28"/>
  <c r="AI733" i="28"/>
  <c r="E734" i="28"/>
  <c r="F734" i="28"/>
  <c r="G734" i="28"/>
  <c r="I734" i="28"/>
  <c r="M734" i="28"/>
  <c r="N734" i="28"/>
  <c r="O734" i="28"/>
  <c r="W734" i="28"/>
  <c r="X734" i="28"/>
  <c r="Z734" i="28"/>
  <c r="AF734" i="28"/>
  <c r="AG734" i="28"/>
  <c r="AI734" i="28"/>
  <c r="E735" i="28"/>
  <c r="F735" i="28"/>
  <c r="G735" i="28"/>
  <c r="I735" i="28"/>
  <c r="M735" i="28"/>
  <c r="N735" i="28"/>
  <c r="O735" i="28"/>
  <c r="W735" i="28"/>
  <c r="X735" i="28"/>
  <c r="Z735" i="28"/>
  <c r="AF735" i="28"/>
  <c r="AG735" i="28"/>
  <c r="AI735" i="28"/>
  <c r="E736" i="28"/>
  <c r="F736" i="28"/>
  <c r="G736" i="28"/>
  <c r="I736" i="28"/>
  <c r="M736" i="28"/>
  <c r="N736" i="28"/>
  <c r="O736" i="28"/>
  <c r="W736" i="28"/>
  <c r="X736" i="28"/>
  <c r="Z736" i="28"/>
  <c r="AF736" i="28"/>
  <c r="AG736" i="28"/>
  <c r="AI736" i="28"/>
  <c r="E737" i="28"/>
  <c r="F737" i="28"/>
  <c r="G737" i="28"/>
  <c r="I737" i="28"/>
  <c r="M737" i="28"/>
  <c r="N737" i="28"/>
  <c r="O737" i="28"/>
  <c r="W737" i="28"/>
  <c r="X737" i="28"/>
  <c r="Z737" i="28"/>
  <c r="AF737" i="28"/>
  <c r="AG737" i="28"/>
  <c r="AI737" i="28"/>
  <c r="E738" i="28"/>
  <c r="F738" i="28"/>
  <c r="G738" i="28"/>
  <c r="I738" i="28"/>
  <c r="M738" i="28"/>
  <c r="N738" i="28"/>
  <c r="O738" i="28"/>
  <c r="W738" i="28"/>
  <c r="X738" i="28"/>
  <c r="Z738" i="28"/>
  <c r="AF738" i="28"/>
  <c r="AG738" i="28"/>
  <c r="AI738" i="28"/>
  <c r="E739" i="28"/>
  <c r="F739" i="28"/>
  <c r="G739" i="28"/>
  <c r="I739" i="28"/>
  <c r="M739" i="28"/>
  <c r="N739" i="28"/>
  <c r="O739" i="28"/>
  <c r="W739" i="28"/>
  <c r="X739" i="28"/>
  <c r="Z739" i="28"/>
  <c r="AF739" i="28"/>
  <c r="AG739" i="28"/>
  <c r="AI739" i="28"/>
  <c r="E740" i="28"/>
  <c r="F740" i="28"/>
  <c r="G740" i="28"/>
  <c r="I740" i="28"/>
  <c r="M740" i="28"/>
  <c r="N740" i="28"/>
  <c r="O740" i="28"/>
  <c r="W740" i="28"/>
  <c r="X740" i="28"/>
  <c r="Z740" i="28"/>
  <c r="AF740" i="28"/>
  <c r="AG740" i="28"/>
  <c r="AI740" i="28"/>
  <c r="E741" i="28"/>
  <c r="F741" i="28"/>
  <c r="G741" i="28"/>
  <c r="I741" i="28"/>
  <c r="M741" i="28"/>
  <c r="N741" i="28"/>
  <c r="O741" i="28"/>
  <c r="W741" i="28"/>
  <c r="X741" i="28"/>
  <c r="Z741" i="28"/>
  <c r="AF741" i="28"/>
  <c r="AG741" i="28"/>
  <c r="AI741" i="28"/>
  <c r="E742" i="28"/>
  <c r="F742" i="28"/>
  <c r="G742" i="28"/>
  <c r="I742" i="28"/>
  <c r="M742" i="28"/>
  <c r="N742" i="28"/>
  <c r="O742" i="28"/>
  <c r="W742" i="28"/>
  <c r="X742" i="28"/>
  <c r="Z742" i="28"/>
  <c r="AF742" i="28"/>
  <c r="AG742" i="28"/>
  <c r="AI742" i="28"/>
  <c r="E743" i="28"/>
  <c r="F743" i="28"/>
  <c r="G743" i="28"/>
  <c r="I743" i="28"/>
  <c r="M743" i="28"/>
  <c r="N743" i="28"/>
  <c r="O743" i="28"/>
  <c r="W743" i="28"/>
  <c r="X743" i="28"/>
  <c r="Z743" i="28"/>
  <c r="AF743" i="28"/>
  <c r="AG743" i="28"/>
  <c r="AI743" i="28"/>
  <c r="E744" i="28"/>
  <c r="F744" i="28"/>
  <c r="G744" i="28"/>
  <c r="I744" i="28"/>
  <c r="M744" i="28"/>
  <c r="N744" i="28"/>
  <c r="O744" i="28"/>
  <c r="W744" i="28"/>
  <c r="X744" i="28"/>
  <c r="Z744" i="28"/>
  <c r="AF744" i="28"/>
  <c r="AG744" i="28"/>
  <c r="AI744" i="28"/>
  <c r="E745" i="28"/>
  <c r="F745" i="28"/>
  <c r="G745" i="28"/>
  <c r="I745" i="28"/>
  <c r="M745" i="28"/>
  <c r="N745" i="28"/>
  <c r="O745" i="28"/>
  <c r="W745" i="28"/>
  <c r="X745" i="28"/>
  <c r="Z745" i="28"/>
  <c r="AF745" i="28"/>
  <c r="AG745" i="28"/>
  <c r="AI745" i="28"/>
  <c r="E746" i="28"/>
  <c r="F746" i="28"/>
  <c r="G746" i="28"/>
  <c r="I746" i="28"/>
  <c r="M746" i="28"/>
  <c r="N746" i="28"/>
  <c r="O746" i="28"/>
  <c r="W746" i="28"/>
  <c r="X746" i="28"/>
  <c r="Z746" i="28"/>
  <c r="AF746" i="28"/>
  <c r="AG746" i="28"/>
  <c r="AI746" i="28"/>
  <c r="E747" i="28"/>
  <c r="F747" i="28"/>
  <c r="G747" i="28"/>
  <c r="I747" i="28"/>
  <c r="M747" i="28"/>
  <c r="N747" i="28"/>
  <c r="O747" i="28"/>
  <c r="W747" i="28"/>
  <c r="X747" i="28"/>
  <c r="Z747" i="28"/>
  <c r="AF747" i="28"/>
  <c r="AG747" i="28"/>
  <c r="AI747" i="28"/>
  <c r="E748" i="28"/>
  <c r="F748" i="28"/>
  <c r="G748" i="28"/>
  <c r="I748" i="28"/>
  <c r="M748" i="28"/>
  <c r="N748" i="28"/>
  <c r="O748" i="28"/>
  <c r="W748" i="28"/>
  <c r="X748" i="28"/>
  <c r="Z748" i="28"/>
  <c r="AF748" i="28"/>
  <c r="AG748" i="28"/>
  <c r="AI748" i="28"/>
  <c r="E749" i="28"/>
  <c r="F749" i="28"/>
  <c r="G749" i="28"/>
  <c r="I749" i="28"/>
  <c r="M749" i="28"/>
  <c r="N749" i="28"/>
  <c r="O749" i="28"/>
  <c r="W749" i="28"/>
  <c r="X749" i="28"/>
  <c r="Z749" i="28"/>
  <c r="AF749" i="28"/>
  <c r="AG749" i="28"/>
  <c r="AI749" i="28"/>
  <c r="E750" i="28"/>
  <c r="F750" i="28"/>
  <c r="G750" i="28"/>
  <c r="I750" i="28"/>
  <c r="M750" i="28"/>
  <c r="N750" i="28"/>
  <c r="O750" i="28"/>
  <c r="W750" i="28"/>
  <c r="X750" i="28"/>
  <c r="Z750" i="28"/>
  <c r="AF750" i="28"/>
  <c r="AG750" i="28"/>
  <c r="AI750" i="28"/>
  <c r="E751" i="28"/>
  <c r="F751" i="28"/>
  <c r="G751" i="28"/>
  <c r="I751" i="28"/>
  <c r="M751" i="28"/>
  <c r="N751" i="28"/>
  <c r="O751" i="28"/>
  <c r="W751" i="28"/>
  <c r="X751" i="28"/>
  <c r="Z751" i="28"/>
  <c r="AF751" i="28"/>
  <c r="AG751" i="28"/>
  <c r="AI751" i="28"/>
  <c r="E752" i="28"/>
  <c r="F752" i="28"/>
  <c r="G752" i="28"/>
  <c r="I752" i="28"/>
  <c r="M752" i="28"/>
  <c r="N752" i="28"/>
  <c r="O752" i="28"/>
  <c r="W752" i="28"/>
  <c r="X752" i="28"/>
  <c r="Z752" i="28"/>
  <c r="AF752" i="28"/>
  <c r="AG752" i="28"/>
  <c r="AI752" i="28"/>
  <c r="E753" i="28"/>
  <c r="F753" i="28"/>
  <c r="G753" i="28"/>
  <c r="I753" i="28"/>
  <c r="M753" i="28"/>
  <c r="N753" i="28"/>
  <c r="O753" i="28"/>
  <c r="W753" i="28"/>
  <c r="X753" i="28"/>
  <c r="Z753" i="28"/>
  <c r="AF753" i="28"/>
  <c r="AG753" i="28"/>
  <c r="AI753" i="28"/>
  <c r="E754" i="28"/>
  <c r="F754" i="28"/>
  <c r="G754" i="28"/>
  <c r="I754" i="28"/>
  <c r="M754" i="28"/>
  <c r="N754" i="28"/>
  <c r="O754" i="28"/>
  <c r="W754" i="28"/>
  <c r="X754" i="28"/>
  <c r="Z754" i="28"/>
  <c r="AF754" i="28"/>
  <c r="AG754" i="28"/>
  <c r="AI754" i="28"/>
  <c r="E755" i="28"/>
  <c r="F755" i="28"/>
  <c r="G755" i="28"/>
  <c r="I755" i="28"/>
  <c r="M755" i="28"/>
  <c r="N755" i="28"/>
  <c r="O755" i="28"/>
  <c r="W755" i="28"/>
  <c r="X755" i="28"/>
  <c r="Z755" i="28"/>
  <c r="AF755" i="28"/>
  <c r="AG755" i="28"/>
  <c r="AI755" i="28"/>
  <c r="E756" i="28"/>
  <c r="F756" i="28"/>
  <c r="G756" i="28"/>
  <c r="I756" i="28"/>
  <c r="M756" i="28"/>
  <c r="N756" i="28"/>
  <c r="O756" i="28"/>
  <c r="W756" i="28"/>
  <c r="X756" i="28"/>
  <c r="Z756" i="28"/>
  <c r="AF756" i="28"/>
  <c r="AG756" i="28"/>
  <c r="AI756" i="28"/>
  <c r="E757" i="28"/>
  <c r="F757" i="28"/>
  <c r="G757" i="28"/>
  <c r="I757" i="28"/>
  <c r="M757" i="28"/>
  <c r="N757" i="28"/>
  <c r="O757" i="28"/>
  <c r="W757" i="28"/>
  <c r="X757" i="28"/>
  <c r="Z757" i="28"/>
  <c r="AF757" i="28"/>
  <c r="AG757" i="28"/>
  <c r="AI757" i="28"/>
  <c r="E758" i="28"/>
  <c r="F758" i="28"/>
  <c r="G758" i="28"/>
  <c r="I758" i="28"/>
  <c r="M758" i="28"/>
  <c r="N758" i="28"/>
  <c r="O758" i="28"/>
  <c r="W758" i="28"/>
  <c r="X758" i="28"/>
  <c r="Z758" i="28"/>
  <c r="AF758" i="28"/>
  <c r="AG758" i="28"/>
  <c r="AI758" i="28"/>
  <c r="E759" i="28"/>
  <c r="F759" i="28"/>
  <c r="G759" i="28"/>
  <c r="I759" i="28"/>
  <c r="M759" i="28"/>
  <c r="N759" i="28"/>
  <c r="O759" i="28"/>
  <c r="W759" i="28"/>
  <c r="X759" i="28"/>
  <c r="Z759" i="28"/>
  <c r="AF759" i="28"/>
  <c r="AG759" i="28"/>
  <c r="AI759" i="28"/>
  <c r="E760" i="28"/>
  <c r="F760" i="28"/>
  <c r="G760" i="28"/>
  <c r="I760" i="28"/>
  <c r="M760" i="28"/>
  <c r="N760" i="28"/>
  <c r="O760" i="28"/>
  <c r="W760" i="28"/>
  <c r="X760" i="28"/>
  <c r="Z760" i="28"/>
  <c r="AF760" i="28"/>
  <c r="AG760" i="28"/>
  <c r="AI760" i="28"/>
  <c r="E761" i="28"/>
  <c r="F761" i="28"/>
  <c r="G761" i="28"/>
  <c r="I761" i="28"/>
  <c r="M761" i="28"/>
  <c r="N761" i="28"/>
  <c r="O761" i="28"/>
  <c r="W761" i="28"/>
  <c r="X761" i="28"/>
  <c r="Z761" i="28"/>
  <c r="AF761" i="28"/>
  <c r="AG761" i="28"/>
  <c r="AI761" i="28"/>
  <c r="E762" i="28"/>
  <c r="F762" i="28"/>
  <c r="G762" i="28"/>
  <c r="I762" i="28"/>
  <c r="M762" i="28"/>
  <c r="N762" i="28"/>
  <c r="O762" i="28"/>
  <c r="W762" i="28"/>
  <c r="X762" i="28"/>
  <c r="Z762" i="28"/>
  <c r="AF762" i="28"/>
  <c r="AG762" i="28"/>
  <c r="AI762" i="28"/>
  <c r="E763" i="28"/>
  <c r="F763" i="28"/>
  <c r="G763" i="28"/>
  <c r="I763" i="28"/>
  <c r="M763" i="28"/>
  <c r="N763" i="28"/>
  <c r="O763" i="28"/>
  <c r="W763" i="28"/>
  <c r="X763" i="28"/>
  <c r="Z763" i="28"/>
  <c r="AF763" i="28"/>
  <c r="AG763" i="28"/>
  <c r="AI763" i="28"/>
  <c r="E764" i="28"/>
  <c r="F764" i="28"/>
  <c r="G764" i="28"/>
  <c r="I764" i="28"/>
  <c r="M764" i="28"/>
  <c r="N764" i="28"/>
  <c r="O764" i="28"/>
  <c r="W764" i="28"/>
  <c r="X764" i="28"/>
  <c r="Z764" i="28"/>
  <c r="AF764" i="28"/>
  <c r="AG764" i="28"/>
  <c r="AI764" i="28"/>
  <c r="E765" i="28"/>
  <c r="F765" i="28"/>
  <c r="G765" i="28"/>
  <c r="I765" i="28"/>
  <c r="M765" i="28"/>
  <c r="N765" i="28"/>
  <c r="O765" i="28"/>
  <c r="W765" i="28"/>
  <c r="X765" i="28"/>
  <c r="Z765" i="28"/>
  <c r="AF765" i="28"/>
  <c r="AG765" i="28"/>
  <c r="AI765" i="28"/>
  <c r="E766" i="28"/>
  <c r="F766" i="28"/>
  <c r="G766" i="28"/>
  <c r="I766" i="28"/>
  <c r="M766" i="28"/>
  <c r="N766" i="28"/>
  <c r="O766" i="28"/>
  <c r="W766" i="28"/>
  <c r="X766" i="28"/>
  <c r="Z766" i="28"/>
  <c r="AF766" i="28"/>
  <c r="AG766" i="28"/>
  <c r="AI766" i="28"/>
  <c r="E767" i="28"/>
  <c r="F767" i="28"/>
  <c r="G767" i="28"/>
  <c r="I767" i="28"/>
  <c r="M767" i="28"/>
  <c r="N767" i="28"/>
  <c r="O767" i="28"/>
  <c r="W767" i="28"/>
  <c r="X767" i="28"/>
  <c r="Z767" i="28"/>
  <c r="AF767" i="28"/>
  <c r="AG767" i="28"/>
  <c r="AI767" i="28"/>
  <c r="E768" i="28"/>
  <c r="F768" i="28"/>
  <c r="G768" i="28"/>
  <c r="I768" i="28"/>
  <c r="M768" i="28"/>
  <c r="N768" i="28"/>
  <c r="O768" i="28"/>
  <c r="W768" i="28"/>
  <c r="X768" i="28"/>
  <c r="Z768" i="28"/>
  <c r="AF768" i="28"/>
  <c r="AG768" i="28"/>
  <c r="AI768" i="28"/>
  <c r="E769" i="28"/>
  <c r="F769" i="28"/>
  <c r="G769" i="28"/>
  <c r="I769" i="28"/>
  <c r="M769" i="28"/>
  <c r="N769" i="28"/>
  <c r="O769" i="28"/>
  <c r="W769" i="28"/>
  <c r="X769" i="28"/>
  <c r="Z769" i="28"/>
  <c r="AF769" i="28"/>
  <c r="AG769" i="28"/>
  <c r="AI769" i="28"/>
  <c r="E770" i="28"/>
  <c r="F770" i="28"/>
  <c r="G770" i="28"/>
  <c r="I770" i="28"/>
  <c r="M770" i="28"/>
  <c r="N770" i="28"/>
  <c r="O770" i="28"/>
  <c r="W770" i="28"/>
  <c r="X770" i="28"/>
  <c r="Z770" i="28"/>
  <c r="AF770" i="28"/>
  <c r="AG770" i="28"/>
  <c r="AI770" i="28"/>
  <c r="E771" i="28"/>
  <c r="F771" i="28"/>
  <c r="G771" i="28"/>
  <c r="I771" i="28"/>
  <c r="M771" i="28"/>
  <c r="N771" i="28"/>
  <c r="O771" i="28"/>
  <c r="W771" i="28"/>
  <c r="X771" i="28"/>
  <c r="Z771" i="28"/>
  <c r="AF771" i="28"/>
  <c r="AG771" i="28"/>
  <c r="AI771" i="28"/>
  <c r="E772" i="28"/>
  <c r="F772" i="28"/>
  <c r="G772" i="28"/>
  <c r="I772" i="28"/>
  <c r="M772" i="28"/>
  <c r="N772" i="28"/>
  <c r="O772" i="28"/>
  <c r="W772" i="28"/>
  <c r="X772" i="28"/>
  <c r="Z772" i="28"/>
  <c r="AF772" i="28"/>
  <c r="AG772" i="28"/>
  <c r="AI772" i="28"/>
  <c r="E773" i="28"/>
  <c r="F773" i="28"/>
  <c r="G773" i="28"/>
  <c r="I773" i="28"/>
  <c r="M773" i="28"/>
  <c r="N773" i="28"/>
  <c r="O773" i="28"/>
  <c r="W773" i="28"/>
  <c r="X773" i="28"/>
  <c r="Z773" i="28"/>
  <c r="AF773" i="28"/>
  <c r="AG773" i="28"/>
  <c r="AI773" i="28"/>
  <c r="E774" i="28"/>
  <c r="F774" i="28"/>
  <c r="G774" i="28"/>
  <c r="I774" i="28"/>
  <c r="M774" i="28"/>
  <c r="N774" i="28"/>
  <c r="O774" i="28"/>
  <c r="W774" i="28"/>
  <c r="X774" i="28"/>
  <c r="Z774" i="28"/>
  <c r="AF774" i="28"/>
  <c r="AG774" i="28"/>
  <c r="AI774" i="28"/>
  <c r="E775" i="28"/>
  <c r="F775" i="28"/>
  <c r="G775" i="28"/>
  <c r="I775" i="28"/>
  <c r="M775" i="28"/>
  <c r="N775" i="28"/>
  <c r="O775" i="28"/>
  <c r="W775" i="28"/>
  <c r="X775" i="28"/>
  <c r="Z775" i="28"/>
  <c r="AF775" i="28"/>
  <c r="AG775" i="28"/>
  <c r="AI775" i="28"/>
  <c r="E776" i="28"/>
  <c r="F776" i="28"/>
  <c r="G776" i="28"/>
  <c r="I776" i="28"/>
  <c r="M776" i="28"/>
  <c r="N776" i="28"/>
  <c r="O776" i="28"/>
  <c r="W776" i="28"/>
  <c r="X776" i="28"/>
  <c r="Z776" i="28"/>
  <c r="AF776" i="28"/>
  <c r="AG776" i="28"/>
  <c r="AI776" i="28"/>
  <c r="E777" i="28"/>
  <c r="F777" i="28"/>
  <c r="G777" i="28"/>
  <c r="I777" i="28"/>
  <c r="M777" i="28"/>
  <c r="N777" i="28"/>
  <c r="O777" i="28"/>
  <c r="W777" i="28"/>
  <c r="X777" i="28"/>
  <c r="Z777" i="28"/>
  <c r="AF777" i="28"/>
  <c r="AG777" i="28"/>
  <c r="AI777" i="28"/>
  <c r="E778" i="28"/>
  <c r="F778" i="28"/>
  <c r="G778" i="28"/>
  <c r="I778" i="28"/>
  <c r="M778" i="28"/>
  <c r="N778" i="28"/>
  <c r="O778" i="28"/>
  <c r="W778" i="28"/>
  <c r="X778" i="28"/>
  <c r="Z778" i="28"/>
  <c r="AF778" i="28"/>
  <c r="AG778" i="28"/>
  <c r="AI778" i="28"/>
  <c r="E779" i="28"/>
  <c r="F779" i="28"/>
  <c r="G779" i="28"/>
  <c r="I779" i="28"/>
  <c r="M779" i="28"/>
  <c r="N779" i="28"/>
  <c r="O779" i="28"/>
  <c r="W779" i="28"/>
  <c r="X779" i="28"/>
  <c r="Z779" i="28"/>
  <c r="AF779" i="28"/>
  <c r="AG779" i="28"/>
  <c r="AI779" i="28"/>
  <c r="E780" i="28"/>
  <c r="F780" i="28"/>
  <c r="G780" i="28"/>
  <c r="I780" i="28"/>
  <c r="M780" i="28"/>
  <c r="N780" i="28"/>
  <c r="O780" i="28"/>
  <c r="W780" i="28"/>
  <c r="X780" i="28"/>
  <c r="Z780" i="28"/>
  <c r="AF780" i="28"/>
  <c r="AG780" i="28"/>
  <c r="AI780" i="28"/>
  <c r="E781" i="28"/>
  <c r="F781" i="28"/>
  <c r="G781" i="28"/>
  <c r="I781" i="28"/>
  <c r="M781" i="28"/>
  <c r="N781" i="28"/>
  <c r="O781" i="28"/>
  <c r="W781" i="28"/>
  <c r="X781" i="28"/>
  <c r="Z781" i="28"/>
  <c r="AF781" i="28"/>
  <c r="AG781" i="28"/>
  <c r="AI781" i="28"/>
  <c r="E782" i="28"/>
  <c r="F782" i="28"/>
  <c r="G782" i="28"/>
  <c r="I782" i="28"/>
  <c r="M782" i="28"/>
  <c r="N782" i="28"/>
  <c r="O782" i="28"/>
  <c r="W782" i="28"/>
  <c r="X782" i="28"/>
  <c r="Z782" i="28"/>
  <c r="AF782" i="28"/>
  <c r="AG782" i="28"/>
  <c r="AI782" i="28"/>
  <c r="E783" i="28"/>
  <c r="F783" i="28"/>
  <c r="G783" i="28"/>
  <c r="I783" i="28"/>
  <c r="M783" i="28"/>
  <c r="N783" i="28"/>
  <c r="O783" i="28"/>
  <c r="W783" i="28"/>
  <c r="X783" i="28"/>
  <c r="Z783" i="28"/>
  <c r="AF783" i="28"/>
  <c r="AG783" i="28"/>
  <c r="AI783" i="28"/>
  <c r="E784" i="28"/>
  <c r="F784" i="28"/>
  <c r="G784" i="28"/>
  <c r="I784" i="28"/>
  <c r="M784" i="28"/>
  <c r="N784" i="28"/>
  <c r="O784" i="28"/>
  <c r="W784" i="28"/>
  <c r="X784" i="28"/>
  <c r="Z784" i="28"/>
  <c r="AF784" i="28"/>
  <c r="AG784" i="28"/>
  <c r="AI784" i="28"/>
  <c r="E785" i="28"/>
  <c r="F785" i="28"/>
  <c r="G785" i="28"/>
  <c r="I785" i="28"/>
  <c r="M785" i="28"/>
  <c r="N785" i="28"/>
  <c r="O785" i="28"/>
  <c r="W785" i="28"/>
  <c r="X785" i="28"/>
  <c r="Z785" i="28"/>
  <c r="AF785" i="28"/>
  <c r="AG785" i="28"/>
  <c r="AI785" i="28"/>
  <c r="E786" i="28"/>
  <c r="F786" i="28"/>
  <c r="G786" i="28"/>
  <c r="I786" i="28"/>
  <c r="M786" i="28"/>
  <c r="N786" i="28"/>
  <c r="O786" i="28"/>
  <c r="W786" i="28"/>
  <c r="X786" i="28"/>
  <c r="Z786" i="28"/>
  <c r="AF786" i="28"/>
  <c r="AG786" i="28"/>
  <c r="AI786" i="28"/>
  <c r="E787" i="28"/>
  <c r="F787" i="28"/>
  <c r="G787" i="28"/>
  <c r="I787" i="28"/>
  <c r="M787" i="28"/>
  <c r="N787" i="28"/>
  <c r="O787" i="28"/>
  <c r="W787" i="28"/>
  <c r="X787" i="28"/>
  <c r="Z787" i="28"/>
  <c r="AF787" i="28"/>
  <c r="AG787" i="28"/>
  <c r="AI787" i="28"/>
  <c r="E788" i="28"/>
  <c r="F788" i="28"/>
  <c r="G788" i="28"/>
  <c r="I788" i="28"/>
  <c r="M788" i="28"/>
  <c r="N788" i="28"/>
  <c r="O788" i="28"/>
  <c r="W788" i="28"/>
  <c r="X788" i="28"/>
  <c r="Z788" i="28"/>
  <c r="AF788" i="28"/>
  <c r="AG788" i="28"/>
  <c r="AI788" i="28"/>
  <c r="E789" i="28"/>
  <c r="F789" i="28"/>
  <c r="G789" i="28"/>
  <c r="I789" i="28"/>
  <c r="M789" i="28"/>
  <c r="N789" i="28"/>
  <c r="O789" i="28"/>
  <c r="W789" i="28"/>
  <c r="X789" i="28"/>
  <c r="Z789" i="28"/>
  <c r="AF789" i="28"/>
  <c r="AG789" i="28"/>
  <c r="AI789" i="28"/>
  <c r="E790" i="28"/>
  <c r="F790" i="28"/>
  <c r="G790" i="28"/>
  <c r="I790" i="28"/>
  <c r="M790" i="28"/>
  <c r="N790" i="28"/>
  <c r="O790" i="28"/>
  <c r="W790" i="28"/>
  <c r="X790" i="28"/>
  <c r="Z790" i="28"/>
  <c r="AF790" i="28"/>
  <c r="AG790" i="28"/>
  <c r="AI790" i="28"/>
  <c r="E791" i="28"/>
  <c r="F791" i="28"/>
  <c r="G791" i="28"/>
  <c r="I791" i="28"/>
  <c r="M791" i="28"/>
  <c r="N791" i="28"/>
  <c r="O791" i="28"/>
  <c r="W791" i="28"/>
  <c r="X791" i="28"/>
  <c r="Z791" i="28"/>
  <c r="AF791" i="28"/>
  <c r="AG791" i="28"/>
  <c r="AI791" i="28"/>
  <c r="E792" i="28"/>
  <c r="F792" i="28"/>
  <c r="G792" i="28"/>
  <c r="I792" i="28"/>
  <c r="M792" i="28"/>
  <c r="N792" i="28"/>
  <c r="O792" i="28"/>
  <c r="W792" i="28"/>
  <c r="X792" i="28"/>
  <c r="Z792" i="28"/>
  <c r="AF792" i="28"/>
  <c r="AG792" i="28"/>
  <c r="AI792" i="28"/>
  <c r="E793" i="28"/>
  <c r="F793" i="28"/>
  <c r="G793" i="28"/>
  <c r="I793" i="28"/>
  <c r="M793" i="28"/>
  <c r="N793" i="28"/>
  <c r="O793" i="28"/>
  <c r="W793" i="28"/>
  <c r="X793" i="28"/>
  <c r="Z793" i="28"/>
  <c r="AF793" i="28"/>
  <c r="AG793" i="28"/>
  <c r="AI793" i="28"/>
  <c r="E794" i="28"/>
  <c r="F794" i="28"/>
  <c r="G794" i="28"/>
  <c r="I794" i="28"/>
  <c r="M794" i="28"/>
  <c r="N794" i="28"/>
  <c r="O794" i="28"/>
  <c r="W794" i="28"/>
  <c r="X794" i="28"/>
  <c r="Z794" i="28"/>
  <c r="AF794" i="28"/>
  <c r="AG794" i="28"/>
  <c r="AI794" i="28"/>
  <c r="E795" i="28"/>
  <c r="F795" i="28"/>
  <c r="G795" i="28"/>
  <c r="I795" i="28"/>
  <c r="M795" i="28"/>
  <c r="N795" i="28"/>
  <c r="O795" i="28"/>
  <c r="W795" i="28"/>
  <c r="X795" i="28"/>
  <c r="Z795" i="28"/>
  <c r="AF795" i="28"/>
  <c r="AG795" i="28"/>
  <c r="AI795" i="28"/>
  <c r="E796" i="28"/>
  <c r="F796" i="28"/>
  <c r="G796" i="28"/>
  <c r="I796" i="28"/>
  <c r="M796" i="28"/>
  <c r="N796" i="28"/>
  <c r="O796" i="28"/>
  <c r="W796" i="28"/>
  <c r="X796" i="28"/>
  <c r="Z796" i="28"/>
  <c r="AF796" i="28"/>
  <c r="AG796" i="28"/>
  <c r="AI796" i="28"/>
  <c r="E797" i="28"/>
  <c r="F797" i="28"/>
  <c r="G797" i="28"/>
  <c r="I797" i="28"/>
  <c r="M797" i="28"/>
  <c r="N797" i="28"/>
  <c r="O797" i="28"/>
  <c r="W797" i="28"/>
  <c r="X797" i="28"/>
  <c r="Z797" i="28"/>
  <c r="AF797" i="28"/>
  <c r="AG797" i="28"/>
  <c r="AI797" i="28"/>
  <c r="E798" i="28"/>
  <c r="F798" i="28"/>
  <c r="G798" i="28"/>
  <c r="I798" i="28"/>
  <c r="M798" i="28"/>
  <c r="N798" i="28"/>
  <c r="O798" i="28"/>
  <c r="W798" i="28"/>
  <c r="X798" i="28"/>
  <c r="Z798" i="28"/>
  <c r="AF798" i="28"/>
  <c r="AG798" i="28"/>
  <c r="AI798" i="28"/>
  <c r="E799" i="28"/>
  <c r="F799" i="28"/>
  <c r="G799" i="28"/>
  <c r="I799" i="28"/>
  <c r="M799" i="28"/>
  <c r="N799" i="28"/>
  <c r="O799" i="28"/>
  <c r="W799" i="28"/>
  <c r="X799" i="28"/>
  <c r="Z799" i="28"/>
  <c r="AF799" i="28"/>
  <c r="AG799" i="28"/>
  <c r="AI799" i="28"/>
  <c r="E800" i="28"/>
  <c r="F800" i="28"/>
  <c r="G800" i="28"/>
  <c r="I800" i="28"/>
  <c r="M800" i="28"/>
  <c r="N800" i="28"/>
  <c r="O800" i="28"/>
  <c r="W800" i="28"/>
  <c r="X800" i="28"/>
  <c r="Z800" i="28"/>
  <c r="AF800" i="28"/>
  <c r="AG800" i="28"/>
  <c r="AI800" i="28"/>
  <c r="E801" i="28"/>
  <c r="F801" i="28"/>
  <c r="G801" i="28"/>
  <c r="I801" i="28"/>
  <c r="M801" i="28"/>
  <c r="N801" i="28"/>
  <c r="O801" i="28"/>
  <c r="W801" i="28"/>
  <c r="X801" i="28"/>
  <c r="Z801" i="28"/>
  <c r="AF801" i="28"/>
  <c r="AG801" i="28"/>
  <c r="AI801" i="28"/>
  <c r="E802" i="28"/>
  <c r="F802" i="28"/>
  <c r="G802" i="28"/>
  <c r="I802" i="28"/>
  <c r="M802" i="28"/>
  <c r="N802" i="28"/>
  <c r="O802" i="28"/>
  <c r="W802" i="28"/>
  <c r="X802" i="28"/>
  <c r="Z802" i="28"/>
  <c r="AF802" i="28"/>
  <c r="AG802" i="28"/>
  <c r="AI802" i="28"/>
  <c r="E803" i="28"/>
  <c r="F803" i="28"/>
  <c r="G803" i="28"/>
  <c r="I803" i="28"/>
  <c r="M803" i="28"/>
  <c r="N803" i="28"/>
  <c r="O803" i="28"/>
  <c r="W803" i="28"/>
  <c r="X803" i="28"/>
  <c r="Z803" i="28"/>
  <c r="AF803" i="28"/>
  <c r="AG803" i="28"/>
  <c r="AI803" i="28"/>
  <c r="E804" i="28"/>
  <c r="F804" i="28"/>
  <c r="G804" i="28"/>
  <c r="I804" i="28"/>
  <c r="M804" i="28"/>
  <c r="N804" i="28"/>
  <c r="O804" i="28"/>
  <c r="W804" i="28"/>
  <c r="X804" i="28"/>
  <c r="Z804" i="28"/>
  <c r="AF804" i="28"/>
  <c r="AG804" i="28"/>
  <c r="AI804" i="28"/>
  <c r="E805" i="28"/>
  <c r="F805" i="28"/>
  <c r="G805" i="28"/>
  <c r="I805" i="28"/>
  <c r="M805" i="28"/>
  <c r="N805" i="28"/>
  <c r="O805" i="28"/>
  <c r="W805" i="28"/>
  <c r="X805" i="28"/>
  <c r="Z805" i="28"/>
  <c r="AF805" i="28"/>
  <c r="AG805" i="28"/>
  <c r="AI805" i="28"/>
  <c r="E806" i="28"/>
  <c r="F806" i="28"/>
  <c r="G806" i="28"/>
  <c r="I806" i="28"/>
  <c r="M806" i="28"/>
  <c r="N806" i="28"/>
  <c r="O806" i="28"/>
  <c r="W806" i="28"/>
  <c r="X806" i="28"/>
  <c r="Z806" i="28"/>
  <c r="AF806" i="28"/>
  <c r="AG806" i="28"/>
  <c r="AI806" i="28"/>
  <c r="E807" i="28"/>
  <c r="F807" i="28"/>
  <c r="G807" i="28"/>
  <c r="I807" i="28"/>
  <c r="M807" i="28"/>
  <c r="N807" i="28"/>
  <c r="O807" i="28"/>
  <c r="W807" i="28"/>
  <c r="X807" i="28"/>
  <c r="Z807" i="28"/>
  <c r="AF807" i="28"/>
  <c r="AG807" i="28"/>
  <c r="AI807" i="28"/>
  <c r="E808" i="28"/>
  <c r="F808" i="28"/>
  <c r="G808" i="28"/>
  <c r="I808" i="28"/>
  <c r="M808" i="28"/>
  <c r="N808" i="28"/>
  <c r="O808" i="28"/>
  <c r="W808" i="28"/>
  <c r="X808" i="28"/>
  <c r="Z808" i="28"/>
  <c r="AF808" i="28"/>
  <c r="AG808" i="28"/>
  <c r="AI808" i="28"/>
  <c r="E809" i="28"/>
  <c r="F809" i="28"/>
  <c r="G809" i="28"/>
  <c r="I809" i="28"/>
  <c r="M809" i="28"/>
  <c r="N809" i="28"/>
  <c r="O809" i="28"/>
  <c r="W809" i="28"/>
  <c r="X809" i="28"/>
  <c r="Z809" i="28"/>
  <c r="AF809" i="28"/>
  <c r="AG809" i="28"/>
  <c r="AI809" i="28"/>
  <c r="E810" i="28"/>
  <c r="F810" i="28"/>
  <c r="G810" i="28"/>
  <c r="I810" i="28"/>
  <c r="M810" i="28"/>
  <c r="N810" i="28"/>
  <c r="O810" i="28"/>
  <c r="W810" i="28"/>
  <c r="X810" i="28"/>
  <c r="Z810" i="28"/>
  <c r="AF810" i="28"/>
  <c r="AG810" i="28"/>
  <c r="AI810" i="28"/>
  <c r="E811" i="28"/>
  <c r="F811" i="28"/>
  <c r="G811" i="28"/>
  <c r="I811" i="28"/>
  <c r="M811" i="28"/>
  <c r="N811" i="28"/>
  <c r="O811" i="28"/>
  <c r="W811" i="28"/>
  <c r="X811" i="28"/>
  <c r="Z811" i="28"/>
  <c r="AF811" i="28"/>
  <c r="AG811" i="28"/>
  <c r="AI811" i="28"/>
  <c r="E812" i="28"/>
  <c r="F812" i="28"/>
  <c r="G812" i="28"/>
  <c r="I812" i="28"/>
  <c r="M812" i="28"/>
  <c r="N812" i="28"/>
  <c r="O812" i="28"/>
  <c r="W812" i="28"/>
  <c r="X812" i="28"/>
  <c r="Z812" i="28"/>
  <c r="AF812" i="28"/>
  <c r="AG812" i="28"/>
  <c r="AI812" i="28"/>
  <c r="E813" i="28"/>
  <c r="F813" i="28"/>
  <c r="G813" i="28"/>
  <c r="I813" i="28"/>
  <c r="M813" i="28"/>
  <c r="N813" i="28"/>
  <c r="O813" i="28"/>
  <c r="W813" i="28"/>
  <c r="X813" i="28"/>
  <c r="Z813" i="28"/>
  <c r="AF813" i="28"/>
  <c r="AG813" i="28"/>
  <c r="AI813" i="28"/>
  <c r="E814" i="28"/>
  <c r="F814" i="28"/>
  <c r="G814" i="28"/>
  <c r="I814" i="28"/>
  <c r="M814" i="28"/>
  <c r="N814" i="28"/>
  <c r="O814" i="28"/>
  <c r="W814" i="28"/>
  <c r="X814" i="28"/>
  <c r="Z814" i="28"/>
  <c r="AF814" i="28"/>
  <c r="AG814" i="28"/>
  <c r="AI814" i="28"/>
  <c r="E815" i="28"/>
  <c r="F815" i="28"/>
  <c r="G815" i="28"/>
  <c r="I815" i="28"/>
  <c r="M815" i="28"/>
  <c r="N815" i="28"/>
  <c r="O815" i="28"/>
  <c r="W815" i="28"/>
  <c r="X815" i="28"/>
  <c r="Z815" i="28"/>
  <c r="AF815" i="28"/>
  <c r="AG815" i="28"/>
  <c r="AI815" i="28"/>
  <c r="E816" i="28"/>
  <c r="F816" i="28"/>
  <c r="G816" i="28"/>
  <c r="I816" i="28"/>
  <c r="M816" i="28"/>
  <c r="N816" i="28"/>
  <c r="O816" i="28"/>
  <c r="W816" i="28"/>
  <c r="X816" i="28"/>
  <c r="Z816" i="28"/>
  <c r="AF816" i="28"/>
  <c r="AG816" i="28"/>
  <c r="AI816" i="28"/>
  <c r="E817" i="28"/>
  <c r="F817" i="28"/>
  <c r="G817" i="28"/>
  <c r="I817" i="28"/>
  <c r="M817" i="28"/>
  <c r="N817" i="28"/>
  <c r="O817" i="28"/>
  <c r="W817" i="28"/>
  <c r="X817" i="28"/>
  <c r="Z817" i="28"/>
  <c r="AF817" i="28"/>
  <c r="AG817" i="28"/>
  <c r="AI817" i="28"/>
  <c r="E818" i="28"/>
  <c r="F818" i="28"/>
  <c r="G818" i="28"/>
  <c r="I818" i="28"/>
  <c r="M818" i="28"/>
  <c r="N818" i="28"/>
  <c r="O818" i="28"/>
  <c r="W818" i="28"/>
  <c r="X818" i="28"/>
  <c r="Z818" i="28"/>
  <c r="AF818" i="28"/>
  <c r="AG818" i="28"/>
  <c r="AI818" i="28"/>
  <c r="E819" i="28"/>
  <c r="F819" i="28"/>
  <c r="G819" i="28"/>
  <c r="I819" i="28"/>
  <c r="M819" i="28"/>
  <c r="N819" i="28"/>
  <c r="O819" i="28"/>
  <c r="W819" i="28"/>
  <c r="X819" i="28"/>
  <c r="Z819" i="28"/>
  <c r="AF819" i="28"/>
  <c r="AG819" i="28"/>
  <c r="AI819" i="28"/>
  <c r="E820" i="28"/>
  <c r="F820" i="28"/>
  <c r="G820" i="28"/>
  <c r="I820" i="28"/>
  <c r="M820" i="28"/>
  <c r="N820" i="28"/>
  <c r="O820" i="28"/>
  <c r="W820" i="28"/>
  <c r="X820" i="28"/>
  <c r="Z820" i="28"/>
  <c r="AF820" i="28"/>
  <c r="AG820" i="28"/>
  <c r="AI820" i="28"/>
  <c r="E821" i="28"/>
  <c r="F821" i="28"/>
  <c r="G821" i="28"/>
  <c r="I821" i="28"/>
  <c r="M821" i="28"/>
  <c r="N821" i="28"/>
  <c r="O821" i="28"/>
  <c r="W821" i="28"/>
  <c r="X821" i="28"/>
  <c r="Z821" i="28"/>
  <c r="AF821" i="28"/>
  <c r="AG821" i="28"/>
  <c r="AI821" i="28"/>
  <c r="E822" i="28"/>
  <c r="F822" i="28"/>
  <c r="G822" i="28"/>
  <c r="I822" i="28"/>
  <c r="M822" i="28"/>
  <c r="N822" i="28"/>
  <c r="O822" i="28"/>
  <c r="W822" i="28"/>
  <c r="X822" i="28"/>
  <c r="Z822" i="28"/>
  <c r="AF822" i="28"/>
  <c r="AG822" i="28"/>
  <c r="AI822" i="28"/>
  <c r="E823" i="28"/>
  <c r="F823" i="28"/>
  <c r="G823" i="28"/>
  <c r="I823" i="28"/>
  <c r="M823" i="28"/>
  <c r="N823" i="28"/>
  <c r="O823" i="28"/>
  <c r="W823" i="28"/>
  <c r="X823" i="28"/>
  <c r="Z823" i="28"/>
  <c r="AF823" i="28"/>
  <c r="AG823" i="28"/>
  <c r="AI823" i="28"/>
  <c r="E824" i="28"/>
  <c r="F824" i="28"/>
  <c r="G824" i="28"/>
  <c r="I824" i="28"/>
  <c r="M824" i="28"/>
  <c r="N824" i="28"/>
  <c r="O824" i="28"/>
  <c r="W824" i="28"/>
  <c r="X824" i="28"/>
  <c r="Z824" i="28"/>
  <c r="AF824" i="28"/>
  <c r="AG824" i="28"/>
  <c r="AI824" i="28"/>
  <c r="E825" i="28"/>
  <c r="F825" i="28"/>
  <c r="G825" i="28"/>
  <c r="I825" i="28"/>
  <c r="M825" i="28"/>
  <c r="N825" i="28"/>
  <c r="O825" i="28"/>
  <c r="W825" i="28"/>
  <c r="X825" i="28"/>
  <c r="Z825" i="28"/>
  <c r="AF825" i="28"/>
  <c r="AG825" i="28"/>
  <c r="AI825" i="28"/>
  <c r="E826" i="28"/>
  <c r="F826" i="28"/>
  <c r="G826" i="28"/>
  <c r="I826" i="28"/>
  <c r="M826" i="28"/>
  <c r="N826" i="28"/>
  <c r="O826" i="28"/>
  <c r="W826" i="28"/>
  <c r="X826" i="28"/>
  <c r="Z826" i="28"/>
  <c r="AF826" i="28"/>
  <c r="AG826" i="28"/>
  <c r="AI826" i="28"/>
  <c r="E827" i="28"/>
  <c r="F827" i="28"/>
  <c r="G827" i="28"/>
  <c r="I827" i="28"/>
  <c r="M827" i="28"/>
  <c r="N827" i="28"/>
  <c r="O827" i="28"/>
  <c r="W827" i="28"/>
  <c r="X827" i="28"/>
  <c r="Z827" i="28"/>
  <c r="AF827" i="28"/>
  <c r="AG827" i="28"/>
  <c r="AI827" i="28"/>
  <c r="E828" i="28"/>
  <c r="F828" i="28"/>
  <c r="G828" i="28"/>
  <c r="I828" i="28"/>
  <c r="M828" i="28"/>
  <c r="N828" i="28"/>
  <c r="O828" i="28"/>
  <c r="W828" i="28"/>
  <c r="X828" i="28"/>
  <c r="Z828" i="28"/>
  <c r="AF828" i="28"/>
  <c r="AG828" i="28"/>
  <c r="AI828" i="28"/>
  <c r="E829" i="28"/>
  <c r="F829" i="28"/>
  <c r="G829" i="28"/>
  <c r="I829" i="28"/>
  <c r="M829" i="28"/>
  <c r="N829" i="28"/>
  <c r="O829" i="28"/>
  <c r="W829" i="28"/>
  <c r="X829" i="28"/>
  <c r="Z829" i="28"/>
  <c r="AF829" i="28"/>
  <c r="AG829" i="28"/>
  <c r="AI829" i="28"/>
  <c r="E830" i="28"/>
  <c r="F830" i="28"/>
  <c r="G830" i="28"/>
  <c r="I830" i="28"/>
  <c r="M830" i="28"/>
  <c r="N830" i="28"/>
  <c r="O830" i="28"/>
  <c r="W830" i="28"/>
  <c r="X830" i="28"/>
  <c r="Z830" i="28"/>
  <c r="AF830" i="28"/>
  <c r="AG830" i="28"/>
  <c r="AI830" i="28"/>
  <c r="E831" i="28"/>
  <c r="F831" i="28"/>
  <c r="G831" i="28"/>
  <c r="I831" i="28"/>
  <c r="M831" i="28"/>
  <c r="N831" i="28"/>
  <c r="O831" i="28"/>
  <c r="W831" i="28"/>
  <c r="X831" i="28"/>
  <c r="Z831" i="28"/>
  <c r="AF831" i="28"/>
  <c r="AG831" i="28"/>
  <c r="AI831" i="28"/>
  <c r="E832" i="28"/>
  <c r="F832" i="28"/>
  <c r="G832" i="28"/>
  <c r="I832" i="28"/>
  <c r="M832" i="28"/>
  <c r="N832" i="28"/>
  <c r="O832" i="28"/>
  <c r="W832" i="28"/>
  <c r="X832" i="28"/>
  <c r="Z832" i="28"/>
  <c r="AF832" i="28"/>
  <c r="AG832" i="28"/>
  <c r="AI832" i="28"/>
  <c r="E833" i="28"/>
  <c r="F833" i="28"/>
  <c r="G833" i="28"/>
  <c r="I833" i="28"/>
  <c r="M833" i="28"/>
  <c r="N833" i="28"/>
  <c r="O833" i="28"/>
  <c r="W833" i="28"/>
  <c r="X833" i="28"/>
  <c r="Z833" i="28"/>
  <c r="AF833" i="28"/>
  <c r="AG833" i="28"/>
  <c r="AI833" i="28"/>
  <c r="E834" i="28"/>
  <c r="F834" i="28"/>
  <c r="G834" i="28"/>
  <c r="I834" i="28"/>
  <c r="M834" i="28"/>
  <c r="N834" i="28"/>
  <c r="O834" i="28"/>
  <c r="W834" i="28"/>
  <c r="X834" i="28"/>
  <c r="Z834" i="28"/>
  <c r="AF834" i="28"/>
  <c r="AG834" i="28"/>
  <c r="AI834" i="28"/>
  <c r="E835" i="28"/>
  <c r="F835" i="28"/>
  <c r="G835" i="28"/>
  <c r="I835" i="28"/>
  <c r="M835" i="28"/>
  <c r="N835" i="28"/>
  <c r="O835" i="28"/>
  <c r="W835" i="28"/>
  <c r="X835" i="28"/>
  <c r="Z835" i="28"/>
  <c r="AF835" i="28"/>
  <c r="AG835" i="28"/>
  <c r="AI835" i="28"/>
  <c r="E836" i="28"/>
  <c r="F836" i="28"/>
  <c r="G836" i="28"/>
  <c r="I836" i="28"/>
  <c r="M836" i="28"/>
  <c r="N836" i="28"/>
  <c r="O836" i="28"/>
  <c r="W836" i="28"/>
  <c r="X836" i="28"/>
  <c r="Z836" i="28"/>
  <c r="AF836" i="28"/>
  <c r="AG836" i="28"/>
  <c r="AI836" i="28"/>
  <c r="E837" i="28"/>
  <c r="F837" i="28"/>
  <c r="G837" i="28"/>
  <c r="I837" i="28"/>
  <c r="M837" i="28"/>
  <c r="N837" i="28"/>
  <c r="O837" i="28"/>
  <c r="W837" i="28"/>
  <c r="X837" i="28"/>
  <c r="Z837" i="28"/>
  <c r="AF837" i="28"/>
  <c r="AG837" i="28"/>
  <c r="AI837" i="28"/>
  <c r="E838" i="28"/>
  <c r="F838" i="28"/>
  <c r="G838" i="28"/>
  <c r="I838" i="28"/>
  <c r="M838" i="28"/>
  <c r="N838" i="28"/>
  <c r="O838" i="28"/>
  <c r="W838" i="28"/>
  <c r="X838" i="28"/>
  <c r="Z838" i="28"/>
  <c r="AF838" i="28"/>
  <c r="AG838" i="28"/>
  <c r="AI838" i="28"/>
  <c r="E839" i="28"/>
  <c r="F839" i="28"/>
  <c r="G839" i="28"/>
  <c r="I839" i="28"/>
  <c r="M839" i="28"/>
  <c r="N839" i="28"/>
  <c r="O839" i="28"/>
  <c r="W839" i="28"/>
  <c r="X839" i="28"/>
  <c r="Z839" i="28"/>
  <c r="AF839" i="28"/>
  <c r="AG839" i="28"/>
  <c r="AI839" i="28"/>
  <c r="E840" i="28"/>
  <c r="F840" i="28"/>
  <c r="G840" i="28"/>
  <c r="I840" i="28"/>
  <c r="M840" i="28"/>
  <c r="N840" i="28"/>
  <c r="O840" i="28"/>
  <c r="W840" i="28"/>
  <c r="X840" i="28"/>
  <c r="Z840" i="28"/>
  <c r="AF840" i="28"/>
  <c r="AG840" i="28"/>
  <c r="AI840" i="28"/>
  <c r="E841" i="28"/>
  <c r="F841" i="28"/>
  <c r="G841" i="28"/>
  <c r="I841" i="28"/>
  <c r="M841" i="28"/>
  <c r="N841" i="28"/>
  <c r="O841" i="28"/>
  <c r="W841" i="28"/>
  <c r="X841" i="28"/>
  <c r="Z841" i="28"/>
  <c r="AF841" i="28"/>
  <c r="AG841" i="28"/>
  <c r="AI841" i="28"/>
  <c r="E842" i="28"/>
  <c r="F842" i="28"/>
  <c r="G842" i="28"/>
  <c r="I842" i="28"/>
  <c r="M842" i="28"/>
  <c r="N842" i="28"/>
  <c r="O842" i="28"/>
  <c r="W842" i="28"/>
  <c r="X842" i="28"/>
  <c r="Z842" i="28"/>
  <c r="AF842" i="28"/>
  <c r="AG842" i="28"/>
  <c r="AI842" i="28"/>
  <c r="E843" i="28"/>
  <c r="F843" i="28"/>
  <c r="G843" i="28"/>
  <c r="I843" i="28"/>
  <c r="M843" i="28"/>
  <c r="N843" i="28"/>
  <c r="O843" i="28"/>
  <c r="W843" i="28"/>
  <c r="X843" i="28"/>
  <c r="Z843" i="28"/>
  <c r="AF843" i="28"/>
  <c r="AG843" i="28"/>
  <c r="AI843" i="28"/>
  <c r="E844" i="28"/>
  <c r="F844" i="28"/>
  <c r="G844" i="28"/>
  <c r="I844" i="28"/>
  <c r="M844" i="28"/>
  <c r="N844" i="28"/>
  <c r="O844" i="28"/>
  <c r="W844" i="28"/>
  <c r="X844" i="28"/>
  <c r="Z844" i="28"/>
  <c r="AF844" i="28"/>
  <c r="AG844" i="28"/>
  <c r="AI844" i="28"/>
  <c r="E845" i="28"/>
  <c r="F845" i="28"/>
  <c r="G845" i="28"/>
  <c r="I845" i="28"/>
  <c r="M845" i="28"/>
  <c r="N845" i="28"/>
  <c r="O845" i="28"/>
  <c r="W845" i="28"/>
  <c r="X845" i="28"/>
  <c r="Z845" i="28"/>
  <c r="AF845" i="28"/>
  <c r="AG845" i="28"/>
  <c r="AI845" i="28"/>
  <c r="E846" i="28"/>
  <c r="F846" i="28"/>
  <c r="G846" i="28"/>
  <c r="I846" i="28"/>
  <c r="M846" i="28"/>
  <c r="N846" i="28"/>
  <c r="O846" i="28"/>
  <c r="W846" i="28"/>
  <c r="X846" i="28"/>
  <c r="Z846" i="28"/>
  <c r="AF846" i="28"/>
  <c r="AG846" i="28"/>
  <c r="AI846" i="28"/>
  <c r="E847" i="28"/>
  <c r="F847" i="28"/>
  <c r="G847" i="28"/>
  <c r="I847" i="28"/>
  <c r="M847" i="28"/>
  <c r="N847" i="28"/>
  <c r="O847" i="28"/>
  <c r="W847" i="28"/>
  <c r="X847" i="28"/>
  <c r="Z847" i="28"/>
  <c r="AF847" i="28"/>
  <c r="AG847" i="28"/>
  <c r="AI847" i="28"/>
  <c r="E848" i="28"/>
  <c r="F848" i="28"/>
  <c r="G848" i="28"/>
  <c r="I848" i="28"/>
  <c r="M848" i="28"/>
  <c r="N848" i="28"/>
  <c r="O848" i="28"/>
  <c r="W848" i="28"/>
  <c r="X848" i="28"/>
  <c r="Z848" i="28"/>
  <c r="AF848" i="28"/>
  <c r="AG848" i="28"/>
  <c r="AI848" i="28"/>
  <c r="E849" i="28"/>
  <c r="F849" i="28"/>
  <c r="G849" i="28"/>
  <c r="I849" i="28"/>
  <c r="M849" i="28"/>
  <c r="N849" i="28"/>
  <c r="O849" i="28"/>
  <c r="W849" i="28"/>
  <c r="X849" i="28"/>
  <c r="Z849" i="28"/>
  <c r="AF849" i="28"/>
  <c r="AG849" i="28"/>
  <c r="AI849" i="28"/>
  <c r="E850" i="28"/>
  <c r="F850" i="28"/>
  <c r="G850" i="28"/>
  <c r="I850" i="28"/>
  <c r="M850" i="28"/>
  <c r="N850" i="28"/>
  <c r="O850" i="28"/>
  <c r="W850" i="28"/>
  <c r="X850" i="28"/>
  <c r="Z850" i="28"/>
  <c r="AF850" i="28"/>
  <c r="AG850" i="28"/>
  <c r="AI850" i="28"/>
  <c r="E851" i="28"/>
  <c r="F851" i="28"/>
  <c r="G851" i="28"/>
  <c r="I851" i="28"/>
  <c r="M851" i="28"/>
  <c r="N851" i="28"/>
  <c r="O851" i="28"/>
  <c r="W851" i="28"/>
  <c r="X851" i="28"/>
  <c r="Z851" i="28"/>
  <c r="AF851" i="28"/>
  <c r="AG851" i="28"/>
  <c r="AI851" i="28"/>
  <c r="E852" i="28"/>
  <c r="F852" i="28"/>
  <c r="G852" i="28"/>
  <c r="I852" i="28"/>
  <c r="M852" i="28"/>
  <c r="N852" i="28"/>
  <c r="O852" i="28"/>
  <c r="W852" i="28"/>
  <c r="X852" i="28"/>
  <c r="Z852" i="28"/>
  <c r="AF852" i="28"/>
  <c r="AG852" i="28"/>
  <c r="AI852" i="28"/>
  <c r="E853" i="28"/>
  <c r="F853" i="28"/>
  <c r="G853" i="28"/>
  <c r="I853" i="28"/>
  <c r="M853" i="28"/>
  <c r="N853" i="28"/>
  <c r="O853" i="28"/>
  <c r="W853" i="28"/>
  <c r="X853" i="28"/>
  <c r="Z853" i="28"/>
  <c r="AF853" i="28"/>
  <c r="AG853" i="28"/>
  <c r="AI853" i="28"/>
  <c r="E854" i="28"/>
  <c r="F854" i="28"/>
  <c r="G854" i="28"/>
  <c r="I854" i="28"/>
  <c r="M854" i="28"/>
  <c r="N854" i="28"/>
  <c r="O854" i="28"/>
  <c r="W854" i="28"/>
  <c r="X854" i="28"/>
  <c r="Z854" i="28"/>
  <c r="AF854" i="28"/>
  <c r="AG854" i="28"/>
  <c r="AI854" i="28"/>
  <c r="E855" i="28"/>
  <c r="F855" i="28"/>
  <c r="G855" i="28"/>
  <c r="I855" i="28"/>
  <c r="M855" i="28"/>
  <c r="N855" i="28"/>
  <c r="O855" i="28"/>
  <c r="W855" i="28"/>
  <c r="X855" i="28"/>
  <c r="Z855" i="28"/>
  <c r="AF855" i="28"/>
  <c r="AG855" i="28"/>
  <c r="AI855" i="28"/>
  <c r="E856" i="28"/>
  <c r="F856" i="28"/>
  <c r="G856" i="28"/>
  <c r="I856" i="28"/>
  <c r="M856" i="28"/>
  <c r="N856" i="28"/>
  <c r="O856" i="28"/>
  <c r="W856" i="28"/>
  <c r="X856" i="28"/>
  <c r="Z856" i="28"/>
  <c r="AF856" i="28"/>
  <c r="AG856" i="28"/>
  <c r="AI856" i="28"/>
  <c r="E857" i="28"/>
  <c r="F857" i="28"/>
  <c r="G857" i="28"/>
  <c r="I857" i="28"/>
  <c r="M857" i="28"/>
  <c r="N857" i="28"/>
  <c r="O857" i="28"/>
  <c r="W857" i="28"/>
  <c r="X857" i="28"/>
  <c r="Z857" i="28"/>
  <c r="AF857" i="28"/>
  <c r="AG857" i="28"/>
  <c r="AI857" i="28"/>
  <c r="E858" i="28"/>
  <c r="F858" i="28"/>
  <c r="G858" i="28"/>
  <c r="I858" i="28"/>
  <c r="M858" i="28"/>
  <c r="N858" i="28"/>
  <c r="O858" i="28"/>
  <c r="W858" i="28"/>
  <c r="X858" i="28"/>
  <c r="Z858" i="28"/>
  <c r="AF858" i="28"/>
  <c r="AG858" i="28"/>
  <c r="AI858" i="28"/>
  <c r="E859" i="28"/>
  <c r="F859" i="28"/>
  <c r="G859" i="28"/>
  <c r="I859" i="28"/>
  <c r="M859" i="28"/>
  <c r="N859" i="28"/>
  <c r="O859" i="28"/>
  <c r="W859" i="28"/>
  <c r="X859" i="28"/>
  <c r="Z859" i="28"/>
  <c r="AF859" i="28"/>
  <c r="AG859" i="28"/>
  <c r="AI859" i="28"/>
  <c r="E860" i="28"/>
  <c r="F860" i="28"/>
  <c r="G860" i="28"/>
  <c r="I860" i="28"/>
  <c r="M860" i="28"/>
  <c r="N860" i="28"/>
  <c r="O860" i="28"/>
  <c r="W860" i="28"/>
  <c r="X860" i="28"/>
  <c r="Z860" i="28"/>
  <c r="AF860" i="28"/>
  <c r="AG860" i="28"/>
  <c r="AI860" i="28"/>
  <c r="E861" i="28"/>
  <c r="F861" i="28"/>
  <c r="G861" i="28"/>
  <c r="I861" i="28"/>
  <c r="M861" i="28"/>
  <c r="N861" i="28"/>
  <c r="O861" i="28"/>
  <c r="W861" i="28"/>
  <c r="X861" i="28"/>
  <c r="Z861" i="28"/>
  <c r="AF861" i="28"/>
  <c r="AG861" i="28"/>
  <c r="AI861" i="28"/>
  <c r="E862" i="28"/>
  <c r="F862" i="28"/>
  <c r="G862" i="28"/>
  <c r="I862" i="28"/>
  <c r="M862" i="28"/>
  <c r="N862" i="28"/>
  <c r="O862" i="28"/>
  <c r="W862" i="28"/>
  <c r="X862" i="28"/>
  <c r="Z862" i="28"/>
  <c r="AF862" i="28"/>
  <c r="AG862" i="28"/>
  <c r="AI862" i="28"/>
  <c r="E863" i="28"/>
  <c r="F863" i="28"/>
  <c r="G863" i="28"/>
  <c r="I863" i="28"/>
  <c r="M863" i="28"/>
  <c r="N863" i="28"/>
  <c r="O863" i="28"/>
  <c r="W863" i="28"/>
  <c r="X863" i="28"/>
  <c r="Z863" i="28"/>
  <c r="AF863" i="28"/>
  <c r="AG863" i="28"/>
  <c r="AI863" i="28"/>
  <c r="E864" i="28"/>
  <c r="F864" i="28"/>
  <c r="G864" i="28"/>
  <c r="I864" i="28"/>
  <c r="M864" i="28"/>
  <c r="N864" i="28"/>
  <c r="O864" i="28"/>
  <c r="W864" i="28"/>
  <c r="X864" i="28"/>
  <c r="Z864" i="28"/>
  <c r="AF864" i="28"/>
  <c r="AG864" i="28"/>
  <c r="AI864" i="28"/>
  <c r="E865" i="28"/>
  <c r="F865" i="28"/>
  <c r="G865" i="28"/>
  <c r="I865" i="28"/>
  <c r="M865" i="28"/>
  <c r="N865" i="28"/>
  <c r="O865" i="28"/>
  <c r="W865" i="28"/>
  <c r="X865" i="28"/>
  <c r="Z865" i="28"/>
  <c r="AF865" i="28"/>
  <c r="AG865" i="28"/>
  <c r="AI865" i="28"/>
  <c r="E866" i="28"/>
  <c r="F866" i="28"/>
  <c r="G866" i="28"/>
  <c r="I866" i="28"/>
  <c r="M866" i="28"/>
  <c r="N866" i="28"/>
  <c r="O866" i="28"/>
  <c r="W866" i="28"/>
  <c r="X866" i="28"/>
  <c r="Z866" i="28"/>
  <c r="AF866" i="28"/>
  <c r="AG866" i="28"/>
  <c r="AI866" i="28"/>
  <c r="E867" i="28"/>
  <c r="F867" i="28"/>
  <c r="G867" i="28"/>
  <c r="I867" i="28"/>
  <c r="M867" i="28"/>
  <c r="N867" i="28"/>
  <c r="O867" i="28"/>
  <c r="W867" i="28"/>
  <c r="X867" i="28"/>
  <c r="Z867" i="28"/>
  <c r="AF867" i="28"/>
  <c r="AG867" i="28"/>
  <c r="AI867" i="28"/>
  <c r="E868" i="28"/>
  <c r="F868" i="28"/>
  <c r="G868" i="28"/>
  <c r="I868" i="28"/>
  <c r="M868" i="28"/>
  <c r="N868" i="28"/>
  <c r="O868" i="28"/>
  <c r="W868" i="28"/>
  <c r="X868" i="28"/>
  <c r="Z868" i="28"/>
  <c r="AF868" i="28"/>
  <c r="AG868" i="28"/>
  <c r="AI868" i="28"/>
  <c r="E869" i="28"/>
  <c r="F869" i="28"/>
  <c r="G869" i="28"/>
  <c r="I869" i="28"/>
  <c r="M869" i="28"/>
  <c r="N869" i="28"/>
  <c r="O869" i="28"/>
  <c r="W869" i="28"/>
  <c r="X869" i="28"/>
  <c r="Z869" i="28"/>
  <c r="AF869" i="28"/>
  <c r="AG869" i="28"/>
  <c r="AI869" i="28"/>
  <c r="E870" i="28"/>
  <c r="F870" i="28"/>
  <c r="G870" i="28"/>
  <c r="I870" i="28"/>
  <c r="M870" i="28"/>
  <c r="N870" i="28"/>
  <c r="O870" i="28"/>
  <c r="W870" i="28"/>
  <c r="X870" i="28"/>
  <c r="Z870" i="28"/>
  <c r="AF870" i="28"/>
  <c r="AG870" i="28"/>
  <c r="AI870" i="28"/>
  <c r="E871" i="28"/>
  <c r="F871" i="28"/>
  <c r="G871" i="28"/>
  <c r="I871" i="28"/>
  <c r="M871" i="28"/>
  <c r="N871" i="28"/>
  <c r="O871" i="28"/>
  <c r="W871" i="28"/>
  <c r="X871" i="28"/>
  <c r="Z871" i="28"/>
  <c r="AF871" i="28"/>
  <c r="AG871" i="28"/>
  <c r="AI871" i="28"/>
  <c r="E872" i="28"/>
  <c r="F872" i="28"/>
  <c r="G872" i="28"/>
  <c r="I872" i="28"/>
  <c r="M872" i="28"/>
  <c r="N872" i="28"/>
  <c r="O872" i="28"/>
  <c r="W872" i="28"/>
  <c r="X872" i="28"/>
  <c r="Z872" i="28"/>
  <c r="AF872" i="28"/>
  <c r="AG872" i="28"/>
  <c r="AI872" i="28"/>
  <c r="E873" i="28"/>
  <c r="F873" i="28"/>
  <c r="G873" i="28"/>
  <c r="I873" i="28"/>
  <c r="M873" i="28"/>
  <c r="N873" i="28"/>
  <c r="O873" i="28"/>
  <c r="W873" i="28"/>
  <c r="X873" i="28"/>
  <c r="Z873" i="28"/>
  <c r="AF873" i="28"/>
  <c r="AG873" i="28"/>
  <c r="AI873" i="28"/>
  <c r="E874" i="28"/>
  <c r="F874" i="28"/>
  <c r="G874" i="28"/>
  <c r="I874" i="28"/>
  <c r="M874" i="28"/>
  <c r="N874" i="28"/>
  <c r="O874" i="28"/>
  <c r="W874" i="28"/>
  <c r="X874" i="28"/>
  <c r="Z874" i="28"/>
  <c r="AF874" i="28"/>
  <c r="AG874" i="28"/>
  <c r="AI874" i="28"/>
  <c r="E875" i="28"/>
  <c r="F875" i="28"/>
  <c r="G875" i="28"/>
  <c r="I875" i="28"/>
  <c r="M875" i="28"/>
  <c r="N875" i="28"/>
  <c r="O875" i="28"/>
  <c r="W875" i="28"/>
  <c r="X875" i="28"/>
  <c r="Z875" i="28"/>
  <c r="AF875" i="28"/>
  <c r="AG875" i="28"/>
  <c r="AI875" i="28"/>
  <c r="E876" i="28"/>
  <c r="F876" i="28"/>
  <c r="G876" i="28"/>
  <c r="I876" i="28"/>
  <c r="M876" i="28"/>
  <c r="N876" i="28"/>
  <c r="O876" i="28"/>
  <c r="W876" i="28"/>
  <c r="X876" i="28"/>
  <c r="Z876" i="28"/>
  <c r="AF876" i="28"/>
  <c r="AG876" i="28"/>
  <c r="AI876" i="28"/>
  <c r="E877" i="28"/>
  <c r="F877" i="28"/>
  <c r="G877" i="28"/>
  <c r="I877" i="28"/>
  <c r="M877" i="28"/>
  <c r="N877" i="28"/>
  <c r="O877" i="28"/>
  <c r="W877" i="28"/>
  <c r="X877" i="28"/>
  <c r="Z877" i="28"/>
  <c r="AF877" i="28"/>
  <c r="AG877" i="28"/>
  <c r="AI877" i="28"/>
  <c r="E878" i="28"/>
  <c r="F878" i="28"/>
  <c r="G878" i="28"/>
  <c r="I878" i="28"/>
  <c r="M878" i="28"/>
  <c r="N878" i="28"/>
  <c r="O878" i="28"/>
  <c r="W878" i="28"/>
  <c r="X878" i="28"/>
  <c r="Z878" i="28"/>
  <c r="AF878" i="28"/>
  <c r="AG878" i="28"/>
  <c r="AI878" i="28"/>
  <c r="E879" i="28"/>
  <c r="F879" i="28"/>
  <c r="G879" i="28"/>
  <c r="I879" i="28"/>
  <c r="M879" i="28"/>
  <c r="N879" i="28"/>
  <c r="O879" i="28"/>
  <c r="W879" i="28"/>
  <c r="X879" i="28"/>
  <c r="Z879" i="28"/>
  <c r="AF879" i="28"/>
  <c r="AG879" i="28"/>
  <c r="AI879" i="28"/>
  <c r="E880" i="28"/>
  <c r="F880" i="28"/>
  <c r="G880" i="28"/>
  <c r="I880" i="28"/>
  <c r="M880" i="28"/>
  <c r="N880" i="28"/>
  <c r="O880" i="28"/>
  <c r="W880" i="28"/>
  <c r="X880" i="28"/>
  <c r="Z880" i="28"/>
  <c r="AF880" i="28"/>
  <c r="AG880" i="28"/>
  <c r="AI880" i="28"/>
  <c r="E881" i="28"/>
  <c r="F881" i="28"/>
  <c r="G881" i="28"/>
  <c r="I881" i="28"/>
  <c r="M881" i="28"/>
  <c r="N881" i="28"/>
  <c r="O881" i="28"/>
  <c r="W881" i="28"/>
  <c r="X881" i="28"/>
  <c r="Z881" i="28"/>
  <c r="AF881" i="28"/>
  <c r="AG881" i="28"/>
  <c r="AI881" i="28"/>
  <c r="E882" i="28"/>
  <c r="F882" i="28"/>
  <c r="G882" i="28"/>
  <c r="I882" i="28"/>
  <c r="M882" i="28"/>
  <c r="N882" i="28"/>
  <c r="O882" i="28"/>
  <c r="W882" i="28"/>
  <c r="X882" i="28"/>
  <c r="Z882" i="28"/>
  <c r="AF882" i="28"/>
  <c r="AG882" i="28"/>
  <c r="AI882" i="28"/>
  <c r="E883" i="28"/>
  <c r="F883" i="28"/>
  <c r="G883" i="28"/>
  <c r="I883" i="28"/>
  <c r="M883" i="28"/>
  <c r="N883" i="28"/>
  <c r="O883" i="28"/>
  <c r="W883" i="28"/>
  <c r="X883" i="28"/>
  <c r="Z883" i="28"/>
  <c r="AF883" i="28"/>
  <c r="AG883" i="28"/>
  <c r="AI883" i="28"/>
  <c r="E884" i="28"/>
  <c r="F884" i="28"/>
  <c r="G884" i="28"/>
  <c r="I884" i="28"/>
  <c r="M884" i="28"/>
  <c r="N884" i="28"/>
  <c r="O884" i="28"/>
  <c r="W884" i="28"/>
  <c r="X884" i="28"/>
  <c r="Z884" i="28"/>
  <c r="AF884" i="28"/>
  <c r="AG884" i="28"/>
  <c r="AI884" i="28"/>
  <c r="E885" i="28"/>
  <c r="F885" i="28"/>
  <c r="G885" i="28"/>
  <c r="I885" i="28"/>
  <c r="M885" i="28"/>
  <c r="N885" i="28"/>
  <c r="O885" i="28"/>
  <c r="W885" i="28"/>
  <c r="X885" i="28"/>
  <c r="Z885" i="28"/>
  <c r="AF885" i="28"/>
  <c r="AG885" i="28"/>
  <c r="AI885" i="28"/>
  <c r="E886" i="28"/>
  <c r="F886" i="28"/>
  <c r="G886" i="28"/>
  <c r="I886" i="28"/>
  <c r="M886" i="28"/>
  <c r="N886" i="28"/>
  <c r="O886" i="28"/>
  <c r="W886" i="28"/>
  <c r="X886" i="28"/>
  <c r="Z886" i="28"/>
  <c r="AF886" i="28"/>
  <c r="AG886" i="28"/>
  <c r="AI886" i="28"/>
  <c r="E887" i="28"/>
  <c r="F887" i="28"/>
  <c r="G887" i="28"/>
  <c r="I887" i="28"/>
  <c r="M887" i="28"/>
  <c r="N887" i="28"/>
  <c r="O887" i="28"/>
  <c r="W887" i="28"/>
  <c r="X887" i="28"/>
  <c r="Z887" i="28"/>
  <c r="AF887" i="28"/>
  <c r="AG887" i="28"/>
  <c r="AI887" i="28"/>
  <c r="E888" i="28"/>
  <c r="F888" i="28"/>
  <c r="G888" i="28"/>
  <c r="I888" i="28"/>
  <c r="M888" i="28"/>
  <c r="N888" i="28"/>
  <c r="O888" i="28"/>
  <c r="W888" i="28"/>
  <c r="X888" i="28"/>
  <c r="Z888" i="28"/>
  <c r="AF888" i="28"/>
  <c r="AG888" i="28"/>
  <c r="AI888" i="28"/>
  <c r="E889" i="28"/>
  <c r="F889" i="28"/>
  <c r="G889" i="28"/>
  <c r="I889" i="28"/>
  <c r="M889" i="28"/>
  <c r="N889" i="28"/>
  <c r="O889" i="28"/>
  <c r="W889" i="28"/>
  <c r="X889" i="28"/>
  <c r="Z889" i="28"/>
  <c r="AF889" i="28"/>
  <c r="AG889" i="28"/>
  <c r="AI889" i="28"/>
  <c r="E890" i="28"/>
  <c r="F890" i="28"/>
  <c r="G890" i="28"/>
  <c r="I890" i="28"/>
  <c r="M890" i="28"/>
  <c r="N890" i="28"/>
  <c r="O890" i="28"/>
  <c r="W890" i="28"/>
  <c r="X890" i="28"/>
  <c r="Z890" i="28"/>
  <c r="AF890" i="28"/>
  <c r="AG890" i="28"/>
  <c r="AI890" i="28"/>
  <c r="E891" i="28"/>
  <c r="F891" i="28"/>
  <c r="G891" i="28"/>
  <c r="I891" i="28"/>
  <c r="M891" i="28"/>
  <c r="N891" i="28"/>
  <c r="O891" i="28"/>
  <c r="W891" i="28"/>
  <c r="X891" i="28"/>
  <c r="Z891" i="28"/>
  <c r="AF891" i="28"/>
  <c r="AG891" i="28"/>
  <c r="AI891" i="28"/>
  <c r="E892" i="28"/>
  <c r="F892" i="28"/>
  <c r="G892" i="28"/>
  <c r="I892" i="28"/>
  <c r="M892" i="28"/>
  <c r="N892" i="28"/>
  <c r="O892" i="28"/>
  <c r="W892" i="28"/>
  <c r="X892" i="28"/>
  <c r="Z892" i="28"/>
  <c r="AF892" i="28"/>
  <c r="AG892" i="28"/>
  <c r="AI892" i="28"/>
  <c r="E893" i="28"/>
  <c r="F893" i="28"/>
  <c r="G893" i="28"/>
  <c r="I893" i="28"/>
  <c r="M893" i="28"/>
  <c r="N893" i="28"/>
  <c r="O893" i="28"/>
  <c r="W893" i="28"/>
  <c r="X893" i="28"/>
  <c r="Z893" i="28"/>
  <c r="AF893" i="28"/>
  <c r="AG893" i="28"/>
  <c r="AI893" i="28"/>
  <c r="E894" i="28"/>
  <c r="F894" i="28"/>
  <c r="G894" i="28"/>
  <c r="I894" i="28"/>
  <c r="M894" i="28"/>
  <c r="N894" i="28"/>
  <c r="O894" i="28"/>
  <c r="W894" i="28"/>
  <c r="X894" i="28"/>
  <c r="Z894" i="28"/>
  <c r="AF894" i="28"/>
  <c r="AG894" i="28"/>
  <c r="AI894" i="28"/>
  <c r="E895" i="28"/>
  <c r="F895" i="28"/>
  <c r="G895" i="28"/>
  <c r="I895" i="28"/>
  <c r="M895" i="28"/>
  <c r="N895" i="28"/>
  <c r="O895" i="28"/>
  <c r="W895" i="28"/>
  <c r="X895" i="28"/>
  <c r="Z895" i="28"/>
  <c r="AF895" i="28"/>
  <c r="AG895" i="28"/>
  <c r="AI895" i="28"/>
  <c r="E896" i="28"/>
  <c r="F896" i="28"/>
  <c r="G896" i="28"/>
  <c r="I896" i="28"/>
  <c r="M896" i="28"/>
  <c r="N896" i="28"/>
  <c r="O896" i="28"/>
  <c r="W896" i="28"/>
  <c r="X896" i="28"/>
  <c r="Z896" i="28"/>
  <c r="AF896" i="28"/>
  <c r="AG896" i="28"/>
  <c r="AI896" i="28"/>
  <c r="E897" i="28"/>
  <c r="F897" i="28"/>
  <c r="G897" i="28"/>
  <c r="I897" i="28"/>
  <c r="M897" i="28"/>
  <c r="N897" i="28"/>
  <c r="O897" i="28"/>
  <c r="W897" i="28"/>
  <c r="X897" i="28"/>
  <c r="Z897" i="28"/>
  <c r="AF897" i="28"/>
  <c r="AG897" i="28"/>
  <c r="AI897" i="28"/>
  <c r="E898" i="28"/>
  <c r="F898" i="28"/>
  <c r="G898" i="28"/>
  <c r="I898" i="28"/>
  <c r="M898" i="28"/>
  <c r="N898" i="28"/>
  <c r="O898" i="28"/>
  <c r="W898" i="28"/>
  <c r="X898" i="28"/>
  <c r="Z898" i="28"/>
  <c r="AF898" i="28"/>
  <c r="AG898" i="28"/>
  <c r="AI898" i="28"/>
  <c r="E899" i="28"/>
  <c r="F899" i="28"/>
  <c r="G899" i="28"/>
  <c r="I899" i="28"/>
  <c r="M899" i="28"/>
  <c r="N899" i="28"/>
  <c r="O899" i="28"/>
  <c r="W899" i="28"/>
  <c r="X899" i="28"/>
  <c r="Z899" i="28"/>
  <c r="AF899" i="28"/>
  <c r="AG899" i="28"/>
  <c r="AI899" i="28"/>
  <c r="E900" i="28"/>
  <c r="F900" i="28"/>
  <c r="G900" i="28"/>
  <c r="I900" i="28"/>
  <c r="M900" i="28"/>
  <c r="N900" i="28"/>
  <c r="O900" i="28"/>
  <c r="W900" i="28"/>
  <c r="X900" i="28"/>
  <c r="Z900" i="28"/>
  <c r="AF900" i="28"/>
  <c r="AG900" i="28"/>
  <c r="AI900" i="28"/>
  <c r="E901" i="28"/>
  <c r="F901" i="28"/>
  <c r="G901" i="28"/>
  <c r="I901" i="28"/>
  <c r="M901" i="28"/>
  <c r="N901" i="28"/>
  <c r="O901" i="28"/>
  <c r="W901" i="28"/>
  <c r="X901" i="28"/>
  <c r="Z901" i="28"/>
  <c r="AF901" i="28"/>
  <c r="AG901" i="28"/>
  <c r="AI901" i="28"/>
  <c r="E902" i="28"/>
  <c r="F902" i="28"/>
  <c r="G902" i="28"/>
  <c r="I902" i="28"/>
  <c r="M902" i="28"/>
  <c r="N902" i="28"/>
  <c r="O902" i="28"/>
  <c r="W902" i="28"/>
  <c r="X902" i="28"/>
  <c r="Z902" i="28"/>
  <c r="AF902" i="28"/>
  <c r="AG902" i="28"/>
  <c r="AI902" i="28"/>
  <c r="E903" i="28"/>
  <c r="F903" i="28"/>
  <c r="G903" i="28"/>
  <c r="I903" i="28"/>
  <c r="M903" i="28"/>
  <c r="N903" i="28"/>
  <c r="O903" i="28"/>
  <c r="W903" i="28"/>
  <c r="X903" i="28"/>
  <c r="Z903" i="28"/>
  <c r="AF903" i="28"/>
  <c r="AG903" i="28"/>
  <c r="AI903" i="28"/>
  <c r="E904" i="28"/>
  <c r="F904" i="28"/>
  <c r="G904" i="28"/>
  <c r="I904" i="28"/>
  <c r="M904" i="28"/>
  <c r="N904" i="28"/>
  <c r="O904" i="28"/>
  <c r="W904" i="28"/>
  <c r="X904" i="28"/>
  <c r="Z904" i="28"/>
  <c r="AF904" i="28"/>
  <c r="AG904" i="28"/>
  <c r="AI904" i="28"/>
  <c r="E905" i="28"/>
  <c r="F905" i="28"/>
  <c r="G905" i="28"/>
  <c r="I905" i="28"/>
  <c r="M905" i="28"/>
  <c r="N905" i="28"/>
  <c r="O905" i="28"/>
  <c r="W905" i="28"/>
  <c r="X905" i="28"/>
  <c r="Z905" i="28"/>
  <c r="AF905" i="28"/>
  <c r="AG905" i="28"/>
  <c r="AI905" i="28"/>
  <c r="E906" i="28"/>
  <c r="F906" i="28"/>
  <c r="G906" i="28"/>
  <c r="I906" i="28"/>
  <c r="M906" i="28"/>
  <c r="N906" i="28"/>
  <c r="O906" i="28"/>
  <c r="W906" i="28"/>
  <c r="X906" i="28"/>
  <c r="Z906" i="28"/>
  <c r="AF906" i="28"/>
  <c r="AG906" i="28"/>
  <c r="AI906" i="28"/>
  <c r="D28" i="18"/>
  <c r="D29" i="18"/>
  <c r="D30" i="18"/>
  <c r="D31" i="18"/>
  <c r="D32" i="18"/>
  <c r="D33" i="18"/>
  <c r="D34" i="18"/>
  <c r="X5" i="18"/>
  <c r="A1" i="20"/>
  <c r="B34" i="28" l="1"/>
  <c r="B33" i="28"/>
  <c r="B35" i="28"/>
  <c r="B32" i="28"/>
  <c r="B31" i="28"/>
  <c r="B30" i="28"/>
  <c r="B36" i="28"/>
  <c r="V7" i="28"/>
  <c r="D47" i="18"/>
  <c r="D48" i="18"/>
  <c r="D49" i="18"/>
  <c r="A5" i="11"/>
  <c r="B51" i="28" l="1"/>
  <c r="B50" i="28"/>
  <c r="B49" i="28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AG6" i="18"/>
  <c r="J5" i="18"/>
  <c r="H7" i="28" l="1"/>
  <c r="AE8" i="28"/>
  <c r="AN9" i="26"/>
  <c r="AN10" i="26"/>
  <c r="AN11" i="26"/>
  <c r="AN12" i="26"/>
  <c r="AN13" i="26"/>
  <c r="AN14" i="26"/>
  <c r="AN15" i="26"/>
  <c r="AN16" i="26"/>
  <c r="AN17" i="26"/>
  <c r="AN18" i="26"/>
  <c r="AN19" i="26"/>
  <c r="AN20" i="26"/>
  <c r="AN22" i="26"/>
  <c r="AN23" i="26"/>
  <c r="AN25" i="26"/>
  <c r="AN26" i="26"/>
  <c r="AN27" i="26"/>
  <c r="AN28" i="26"/>
  <c r="AN30" i="26"/>
  <c r="AN31" i="26"/>
  <c r="X9" i="26"/>
  <c r="AN8" i="26"/>
  <c r="X8" i="26"/>
  <c r="AA60" i="11"/>
  <c r="AA63" i="11"/>
  <c r="AB63" i="11" s="1"/>
  <c r="B8" i="26"/>
  <c r="AH57" i="20"/>
  <c r="AH56" i="20"/>
  <c r="AH55" i="20"/>
  <c r="AH54" i="20"/>
  <c r="AH53" i="20"/>
  <c r="B9" i="26" l="1"/>
  <c r="B10" i="26" s="1"/>
  <c r="B11" i="26" s="1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S8" i="26"/>
  <c r="S9" i="26" s="1"/>
  <c r="S10" i="26" s="1"/>
  <c r="S11" i="26" s="1"/>
  <c r="S12" i="26" s="1"/>
  <c r="S13" i="26" s="1"/>
  <c r="S14" i="26" s="1"/>
  <c r="S15" i="26" s="1"/>
  <c r="S16" i="26" s="1"/>
  <c r="S17" i="26" s="1"/>
  <c r="S18" i="26" s="1"/>
  <c r="S19" i="26" s="1"/>
  <c r="S20" i="26" s="1"/>
  <c r="S21" i="26" s="1"/>
  <c r="S22" i="26" s="1"/>
  <c r="S23" i="26" s="1"/>
  <c r="S24" i="26" s="1"/>
  <c r="S25" i="26" s="1"/>
  <c r="S26" i="26" s="1"/>
  <c r="S27" i="26" s="1"/>
  <c r="S28" i="26" s="1"/>
  <c r="S29" i="26" s="1"/>
  <c r="S30" i="26" s="1"/>
  <c r="S31" i="26" s="1"/>
  <c r="AC63" i="11"/>
  <c r="Y76" i="20" l="1"/>
  <c r="Y75" i="20"/>
  <c r="Y74" i="20"/>
  <c r="E23" i="11"/>
  <c r="V5" i="1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2" i="11"/>
  <c r="V63" i="11"/>
  <c r="V61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27" i="11"/>
  <c r="V128" i="11"/>
  <c r="V129" i="11"/>
  <c r="V130" i="11"/>
  <c r="V131" i="11"/>
  <c r="V132" i="11"/>
  <c r="V133" i="11"/>
  <c r="V134" i="11"/>
  <c r="V135" i="11"/>
  <c r="V136" i="11"/>
  <c r="V137" i="11"/>
  <c r="V138" i="11"/>
  <c r="V139" i="11"/>
  <c r="V140" i="11"/>
  <c r="V141" i="11"/>
  <c r="V142" i="11"/>
  <c r="V143" i="11"/>
  <c r="V144" i="11"/>
  <c r="V145" i="11"/>
  <c r="V146" i="11"/>
  <c r="V147" i="11"/>
  <c r="V148" i="11"/>
  <c r="V149" i="11"/>
  <c r="V150" i="11"/>
  <c r="V151" i="11"/>
  <c r="V152" i="11"/>
  <c r="V153" i="11"/>
  <c r="V154" i="11"/>
  <c r="V155" i="11"/>
  <c r="V156" i="11"/>
  <c r="V157" i="11"/>
  <c r="V158" i="11"/>
  <c r="V159" i="11"/>
  <c r="V160" i="11"/>
  <c r="V161" i="11"/>
  <c r="V162" i="11"/>
  <c r="V163" i="11"/>
  <c r="V164" i="11"/>
  <c r="V165" i="11"/>
  <c r="V166" i="11"/>
  <c r="V167" i="11"/>
  <c r="V168" i="11"/>
  <c r="V169" i="11"/>
  <c r="V170" i="11"/>
  <c r="V171" i="11"/>
  <c r="V172" i="11"/>
  <c r="V173" i="11"/>
  <c r="V174" i="11"/>
  <c r="V175" i="11"/>
  <c r="V176" i="11"/>
  <c r="V177" i="11"/>
  <c r="V178" i="11"/>
  <c r="V179" i="11"/>
  <c r="V180" i="11"/>
  <c r="V181" i="11"/>
  <c r="V182" i="11"/>
  <c r="V183" i="11"/>
  <c r="V184" i="11"/>
  <c r="V185" i="11"/>
  <c r="V186" i="11"/>
  <c r="V187" i="11"/>
  <c r="V188" i="11"/>
  <c r="V189" i="11"/>
  <c r="V190" i="11"/>
  <c r="V191" i="11"/>
  <c r="V192" i="11"/>
  <c r="V193" i="11"/>
  <c r="V194" i="11"/>
  <c r="V195" i="11"/>
  <c r="V196" i="11"/>
  <c r="V197" i="11"/>
  <c r="V198" i="11"/>
  <c r="V199" i="11"/>
  <c r="V200" i="11"/>
  <c r="V201" i="11"/>
  <c r="V202" i="11"/>
  <c r="V203" i="11"/>
  <c r="V204" i="11"/>
  <c r="V205" i="11"/>
  <c r="V206" i="11"/>
  <c r="V207" i="11"/>
  <c r="V208" i="11"/>
  <c r="V209" i="11"/>
  <c r="V210" i="11"/>
  <c r="V211" i="11"/>
  <c r="V212" i="11"/>
  <c r="V213" i="11"/>
  <c r="V214" i="11"/>
  <c r="V215" i="11"/>
  <c r="V216" i="11"/>
  <c r="V217" i="11"/>
  <c r="V218" i="11"/>
  <c r="V219" i="11"/>
  <c r="V220" i="11"/>
  <c r="V221" i="11"/>
  <c r="V222" i="11"/>
  <c r="V223" i="11"/>
  <c r="V224" i="11"/>
  <c r="V225" i="11"/>
  <c r="V226" i="11"/>
  <c r="V227" i="11"/>
  <c r="V228" i="11"/>
  <c r="V229" i="11"/>
  <c r="V230" i="11"/>
  <c r="V231" i="11"/>
  <c r="V232" i="11"/>
  <c r="V233" i="11"/>
  <c r="V234" i="11"/>
  <c r="V235" i="11"/>
  <c r="V236" i="11"/>
  <c r="V237" i="11"/>
  <c r="V238" i="11"/>
  <c r="V239" i="11"/>
  <c r="V240" i="11"/>
  <c r="V241" i="11"/>
  <c r="V242" i="11"/>
  <c r="V243" i="11"/>
  <c r="V244" i="11"/>
  <c r="V245" i="11"/>
  <c r="V246" i="11"/>
  <c r="V247" i="11"/>
  <c r="V248" i="11"/>
  <c r="V249" i="11"/>
  <c r="V250" i="11"/>
  <c r="V251" i="11"/>
  <c r="V252" i="11"/>
  <c r="V253" i="11"/>
  <c r="V254" i="11"/>
  <c r="V255" i="11"/>
  <c r="V256" i="11"/>
  <c r="V257" i="11"/>
  <c r="V258" i="11"/>
  <c r="V259" i="11"/>
  <c r="V260" i="11"/>
  <c r="V261" i="11"/>
  <c r="V262" i="11"/>
  <c r="V263" i="11"/>
  <c r="V264" i="11"/>
  <c r="V265" i="11"/>
  <c r="V266" i="11"/>
  <c r="V267" i="11"/>
  <c r="V268" i="11"/>
  <c r="V269" i="11"/>
  <c r="V270" i="11"/>
  <c r="V271" i="11"/>
  <c r="V272" i="11"/>
  <c r="V273" i="11"/>
  <c r="V274" i="11"/>
  <c r="V275" i="11"/>
  <c r="V276" i="11"/>
  <c r="V277" i="11"/>
  <c r="V278" i="11"/>
  <c r="V279" i="11"/>
  <c r="V280" i="11"/>
  <c r="V281" i="11"/>
  <c r="V282" i="11"/>
  <c r="V283" i="11"/>
  <c r="V284" i="11"/>
  <c r="V285" i="11"/>
  <c r="V286" i="11"/>
  <c r="V287" i="11"/>
  <c r="V288" i="11"/>
  <c r="V289" i="11"/>
  <c r="V290" i="11"/>
  <c r="V291" i="11"/>
  <c r="V292" i="11"/>
  <c r="V293" i="11"/>
  <c r="V294" i="11"/>
  <c r="V295" i="11"/>
  <c r="V296" i="11"/>
  <c r="V297" i="11"/>
  <c r="V298" i="11"/>
  <c r="V299" i="11"/>
  <c r="V300" i="11"/>
  <c r="V301" i="11"/>
  <c r="V302" i="11"/>
  <c r="V303" i="11"/>
  <c r="V304" i="11"/>
  <c r="V305" i="11"/>
  <c r="V306" i="11"/>
  <c r="V307" i="11"/>
  <c r="V308" i="11"/>
  <c r="V309" i="11"/>
  <c r="V310" i="11"/>
  <c r="V311" i="11"/>
  <c r="V312" i="11"/>
  <c r="V313" i="11"/>
  <c r="V314" i="11"/>
  <c r="V315" i="11"/>
  <c r="V316" i="11"/>
  <c r="V317" i="11"/>
  <c r="V318" i="11"/>
  <c r="V319" i="11"/>
  <c r="V320" i="11"/>
  <c r="V321" i="11"/>
  <c r="V322" i="11"/>
  <c r="V323" i="11"/>
  <c r="V324" i="11"/>
  <c r="V325" i="11"/>
  <c r="V326" i="11"/>
  <c r="V327" i="11"/>
  <c r="V328" i="11"/>
  <c r="V329" i="11"/>
  <c r="V330" i="11"/>
  <c r="V331" i="11"/>
  <c r="V332" i="11"/>
  <c r="V333" i="11"/>
  <c r="V334" i="11"/>
  <c r="V335" i="11"/>
  <c r="V336" i="11"/>
  <c r="V337" i="11"/>
  <c r="V338" i="11"/>
  <c r="V339" i="11"/>
  <c r="V340" i="11"/>
  <c r="V341" i="11"/>
  <c r="V342" i="11"/>
  <c r="V343" i="11"/>
  <c r="V344" i="11"/>
  <c r="V345" i="11"/>
  <c r="V346" i="11"/>
  <c r="V347" i="11"/>
  <c r="V348" i="11"/>
  <c r="V349" i="11"/>
  <c r="V350" i="11"/>
  <c r="V351" i="11"/>
  <c r="V352" i="11"/>
  <c r="V353" i="11"/>
  <c r="V354" i="11"/>
  <c r="V355" i="11"/>
  <c r="V356" i="11"/>
  <c r="V357" i="11"/>
  <c r="V358" i="11"/>
  <c r="V359" i="11"/>
  <c r="V360" i="11"/>
  <c r="V361" i="11"/>
  <c r="V362" i="11"/>
  <c r="V363" i="11"/>
  <c r="V364" i="11"/>
  <c r="V365" i="11"/>
  <c r="V366" i="11"/>
  <c r="V367" i="11"/>
  <c r="V368" i="11"/>
  <c r="V369" i="11"/>
  <c r="V370" i="11"/>
  <c r="V371" i="11"/>
  <c r="V372" i="11"/>
  <c r="V373" i="11"/>
  <c r="V374" i="11"/>
  <c r="V375" i="11"/>
  <c r="V376" i="11"/>
  <c r="V377" i="11"/>
  <c r="V378" i="11"/>
  <c r="V379" i="11"/>
  <c r="V380" i="11"/>
  <c r="V381" i="11"/>
  <c r="V382" i="11"/>
  <c r="V383" i="11"/>
  <c r="V384" i="11"/>
  <c r="V385" i="11"/>
  <c r="V386" i="11"/>
  <c r="V387" i="11"/>
  <c r="V388" i="11"/>
  <c r="V389" i="11"/>
  <c r="V390" i="11"/>
  <c r="V391" i="11"/>
  <c r="V392" i="11"/>
  <c r="V393" i="11"/>
  <c r="V394" i="11"/>
  <c r="V395" i="11"/>
  <c r="V396" i="11"/>
  <c r="V397" i="11"/>
  <c r="V398" i="11"/>
  <c r="V399" i="11"/>
  <c r="V400" i="11"/>
  <c r="V401" i="11"/>
  <c r="V402" i="11"/>
  <c r="V403" i="11"/>
  <c r="V404" i="11"/>
  <c r="V405" i="11"/>
  <c r="V406" i="11"/>
  <c r="V407" i="11"/>
  <c r="V408" i="11"/>
  <c r="V409" i="11"/>
  <c r="V410" i="11"/>
  <c r="V411" i="11"/>
  <c r="V412" i="11"/>
  <c r="V413" i="11"/>
  <c r="V414" i="11"/>
  <c r="V415" i="11"/>
  <c r="V416" i="11"/>
  <c r="V417" i="11"/>
  <c r="V418" i="11"/>
  <c r="V419" i="11"/>
  <c r="V420" i="11"/>
  <c r="V421" i="11"/>
  <c r="V422" i="11"/>
  <c r="V423" i="11"/>
  <c r="V424" i="11"/>
  <c r="V425" i="11"/>
  <c r="V426" i="11"/>
  <c r="V427" i="11"/>
  <c r="V428" i="11"/>
  <c r="V429" i="11"/>
  <c r="V430" i="11"/>
  <c r="V431" i="11"/>
  <c r="V432" i="11"/>
  <c r="V433" i="11"/>
  <c r="V434" i="11"/>
  <c r="V435" i="11"/>
  <c r="V436" i="11"/>
  <c r="V437" i="11"/>
  <c r="V438" i="11"/>
  <c r="V439" i="11"/>
  <c r="V440" i="11"/>
  <c r="V441" i="11"/>
  <c r="V442" i="11"/>
  <c r="V443" i="11"/>
  <c r="V444" i="11"/>
  <c r="V445" i="11"/>
  <c r="V446" i="11"/>
  <c r="V447" i="11"/>
  <c r="V448" i="11"/>
  <c r="V449" i="11"/>
  <c r="V450" i="11"/>
  <c r="V451" i="11"/>
  <c r="V452" i="11"/>
  <c r="V453" i="11"/>
  <c r="V454" i="11"/>
  <c r="V455" i="11"/>
  <c r="V456" i="11"/>
  <c r="V457" i="11"/>
  <c r="V458" i="11"/>
  <c r="V459" i="11"/>
  <c r="V460" i="11"/>
  <c r="V461" i="11"/>
  <c r="V462" i="11"/>
  <c r="V463" i="11"/>
  <c r="V464" i="11"/>
  <c r="V465" i="11"/>
  <c r="V466" i="11"/>
  <c r="V467" i="11"/>
  <c r="V468" i="11"/>
  <c r="V469" i="11"/>
  <c r="V470" i="11"/>
  <c r="V471" i="11"/>
  <c r="V472" i="11"/>
  <c r="V473" i="11"/>
  <c r="V474" i="11"/>
  <c r="V475" i="11"/>
  <c r="V476" i="11"/>
  <c r="V477" i="11"/>
  <c r="V478" i="11"/>
  <c r="V479" i="11"/>
  <c r="V480" i="11"/>
  <c r="V481" i="11"/>
  <c r="V482" i="11"/>
  <c r="V483" i="11"/>
  <c r="V484" i="11"/>
  <c r="V485" i="11"/>
  <c r="V486" i="11"/>
  <c r="V487" i="11"/>
  <c r="V488" i="11"/>
  <c r="V489" i="11"/>
  <c r="V490" i="11"/>
  <c r="V491" i="11"/>
  <c r="V492" i="11"/>
  <c r="V493" i="11"/>
  <c r="V494" i="11"/>
  <c r="V495" i="11"/>
  <c r="V496" i="11"/>
  <c r="V497" i="11"/>
  <c r="V498" i="11"/>
  <c r="V499" i="11"/>
  <c r="V500" i="11"/>
  <c r="V501" i="11"/>
  <c r="V502" i="11"/>
  <c r="V503" i="11"/>
  <c r="V504" i="11"/>
  <c r="V505" i="11"/>
  <c r="V506" i="11"/>
  <c r="V507" i="11"/>
  <c r="V508" i="11"/>
  <c r="V509" i="11"/>
  <c r="V510" i="11"/>
  <c r="V511" i="11"/>
  <c r="V512" i="11"/>
  <c r="V513" i="11"/>
  <c r="V514" i="11"/>
  <c r="V515" i="11"/>
  <c r="V516" i="11"/>
  <c r="V517" i="11"/>
  <c r="V518" i="11"/>
  <c r="V519" i="11"/>
  <c r="V520" i="11"/>
  <c r="V521" i="11"/>
  <c r="V522" i="11"/>
  <c r="V523" i="11"/>
  <c r="V524" i="11"/>
  <c r="V525" i="11"/>
  <c r="V526" i="11"/>
  <c r="V527" i="11"/>
  <c r="V528" i="11"/>
  <c r="V529" i="11"/>
  <c r="V530" i="11"/>
  <c r="V531" i="11"/>
  <c r="V532" i="11"/>
  <c r="V533" i="11"/>
  <c r="V534" i="11"/>
  <c r="V535" i="11"/>
  <c r="V536" i="11"/>
  <c r="V537" i="11"/>
  <c r="V538" i="11"/>
  <c r="V539" i="11"/>
  <c r="V540" i="11"/>
  <c r="V541" i="11"/>
  <c r="V542" i="11"/>
  <c r="V543" i="11"/>
  <c r="V544" i="11"/>
  <c r="V545" i="11"/>
  <c r="V546" i="11"/>
  <c r="V547" i="11"/>
  <c r="V548" i="11"/>
  <c r="V549" i="11"/>
  <c r="V550" i="11"/>
  <c r="V551" i="11"/>
  <c r="V552" i="11"/>
  <c r="V553" i="11"/>
  <c r="V554" i="11"/>
  <c r="V555" i="11"/>
  <c r="V556" i="11"/>
  <c r="V557" i="11"/>
  <c r="V558" i="11"/>
  <c r="V559" i="11"/>
  <c r="V560" i="11"/>
  <c r="V561" i="11"/>
  <c r="V562" i="11"/>
  <c r="V563" i="11"/>
  <c r="V564" i="11"/>
  <c r="V565" i="11"/>
  <c r="V566" i="11"/>
  <c r="V567" i="11"/>
  <c r="V568" i="11"/>
  <c r="V569" i="11"/>
  <c r="V570" i="11"/>
  <c r="V571" i="11"/>
  <c r="V572" i="11"/>
  <c r="V573" i="11"/>
  <c r="V574" i="11"/>
  <c r="V575" i="11"/>
  <c r="V576" i="11"/>
  <c r="V577" i="11"/>
  <c r="V578" i="11"/>
  <c r="V579" i="11"/>
  <c r="V580" i="11"/>
  <c r="V581" i="11"/>
  <c r="V582" i="11"/>
  <c r="V583" i="11"/>
  <c r="V584" i="11"/>
  <c r="V585" i="11"/>
  <c r="V586" i="11"/>
  <c r="V587" i="11"/>
  <c r="V588" i="11"/>
  <c r="V589" i="11"/>
  <c r="V590" i="11"/>
  <c r="V591" i="11"/>
  <c r="V592" i="11"/>
  <c r="V593" i="11"/>
  <c r="V594" i="11"/>
  <c r="V595" i="11"/>
  <c r="V596" i="11"/>
  <c r="V597" i="11"/>
  <c r="V598" i="11"/>
  <c r="V599" i="11"/>
  <c r="V600" i="11"/>
  <c r="V601" i="11"/>
  <c r="V602" i="11"/>
  <c r="V603" i="11"/>
  <c r="V604" i="11"/>
  <c r="V605" i="11"/>
  <c r="V606" i="11"/>
  <c r="V607" i="11"/>
  <c r="V608" i="11"/>
  <c r="V609" i="11"/>
  <c r="V610" i="11"/>
  <c r="V611" i="11"/>
  <c r="V612" i="11"/>
  <c r="V613" i="11"/>
  <c r="V614" i="11"/>
  <c r="V615" i="11"/>
  <c r="V616" i="11"/>
  <c r="V617" i="11"/>
  <c r="V618" i="11"/>
  <c r="V619" i="11"/>
  <c r="V620" i="11"/>
  <c r="V621" i="11"/>
  <c r="V622" i="11"/>
  <c r="V623" i="11"/>
  <c r="V624" i="11"/>
  <c r="V625" i="11"/>
  <c r="V626" i="11"/>
  <c r="V627" i="11"/>
  <c r="V628" i="11"/>
  <c r="V629" i="11"/>
  <c r="V630" i="11"/>
  <c r="V631" i="11"/>
  <c r="V632" i="11"/>
  <c r="V633" i="11"/>
  <c r="V634" i="11"/>
  <c r="V635" i="11"/>
  <c r="V636" i="11"/>
  <c r="V637" i="11"/>
  <c r="V638" i="11"/>
  <c r="V639" i="11"/>
  <c r="V640" i="11"/>
  <c r="V641" i="11"/>
  <c r="V642" i="11"/>
  <c r="V643" i="11"/>
  <c r="V644" i="11"/>
  <c r="V645" i="11"/>
  <c r="V646" i="11"/>
  <c r="V647" i="11"/>
  <c r="V648" i="11"/>
  <c r="V649" i="11"/>
  <c r="V650" i="11"/>
  <c r="V651" i="11"/>
  <c r="V652" i="11"/>
  <c r="V653" i="11"/>
  <c r="V654" i="11"/>
  <c r="V655" i="11"/>
  <c r="V656" i="11"/>
  <c r="V657" i="11"/>
  <c r="V658" i="11"/>
  <c r="V659" i="11"/>
  <c r="V660" i="11"/>
  <c r="V661" i="11"/>
  <c r="V662" i="11"/>
  <c r="V663" i="11"/>
  <c r="V664" i="11"/>
  <c r="V665" i="11"/>
  <c r="V666" i="11"/>
  <c r="V667" i="11"/>
  <c r="V668" i="11"/>
  <c r="V669" i="11"/>
  <c r="V670" i="11"/>
  <c r="V671" i="11"/>
  <c r="V672" i="11"/>
  <c r="V673" i="11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V746" i="11"/>
  <c r="V747" i="11"/>
  <c r="V748" i="11"/>
  <c r="V749" i="11"/>
  <c r="V750" i="11"/>
  <c r="V751" i="11"/>
  <c r="V752" i="11"/>
  <c r="V753" i="11"/>
  <c r="V754" i="11"/>
  <c r="V755" i="11"/>
  <c r="V756" i="11"/>
  <c r="V757" i="11"/>
  <c r="V758" i="11"/>
  <c r="V759" i="11"/>
  <c r="V760" i="11"/>
  <c r="V761" i="11"/>
  <c r="V762" i="11"/>
  <c r="V763" i="11"/>
  <c r="V764" i="11"/>
  <c r="V765" i="11"/>
  <c r="V766" i="11"/>
  <c r="V767" i="11"/>
  <c r="V768" i="11"/>
  <c r="V769" i="11"/>
  <c r="V770" i="11"/>
  <c r="V771" i="11"/>
  <c r="V772" i="11"/>
  <c r="V773" i="11"/>
  <c r="V774" i="11"/>
  <c r="V775" i="11"/>
  <c r="V776" i="11"/>
  <c r="V777" i="11"/>
  <c r="V778" i="11"/>
  <c r="V779" i="11"/>
  <c r="V780" i="11"/>
  <c r="V781" i="11"/>
  <c r="V782" i="11"/>
  <c r="V783" i="11"/>
  <c r="V784" i="11"/>
  <c r="V785" i="11"/>
  <c r="V786" i="11"/>
  <c r="V787" i="11"/>
  <c r="V788" i="11"/>
  <c r="V789" i="11"/>
  <c r="V790" i="11"/>
  <c r="V791" i="11"/>
  <c r="V792" i="11"/>
  <c r="V793" i="11"/>
  <c r="V794" i="11"/>
  <c r="V795" i="11"/>
  <c r="V796" i="11"/>
  <c r="V797" i="11"/>
  <c r="V798" i="11"/>
  <c r="V799" i="11"/>
  <c r="V800" i="11"/>
  <c r="V801" i="11"/>
  <c r="V802" i="11"/>
  <c r="V803" i="11"/>
  <c r="V804" i="11"/>
  <c r="V805" i="11"/>
  <c r="V806" i="11"/>
  <c r="V807" i="11"/>
  <c r="V808" i="11"/>
  <c r="V809" i="11"/>
  <c r="V810" i="11"/>
  <c r="V811" i="11"/>
  <c r="V812" i="11"/>
  <c r="V813" i="11"/>
  <c r="V814" i="11"/>
  <c r="V815" i="11"/>
  <c r="V816" i="11"/>
  <c r="V817" i="11"/>
  <c r="V818" i="11"/>
  <c r="V819" i="11"/>
  <c r="V820" i="11"/>
  <c r="V821" i="11"/>
  <c r="V822" i="11"/>
  <c r="V823" i="11"/>
  <c r="V824" i="11"/>
  <c r="V825" i="11"/>
  <c r="V826" i="11"/>
  <c r="V827" i="11"/>
  <c r="V828" i="11"/>
  <c r="V829" i="11"/>
  <c r="V830" i="11"/>
  <c r="V831" i="11"/>
  <c r="V832" i="11"/>
  <c r="V833" i="11"/>
  <c r="V834" i="11"/>
  <c r="V835" i="11"/>
  <c r="V836" i="11"/>
  <c r="V837" i="11"/>
  <c r="V838" i="11"/>
  <c r="V839" i="11"/>
  <c r="V840" i="11"/>
  <c r="V841" i="11"/>
  <c r="V842" i="11"/>
  <c r="V843" i="11"/>
  <c r="V844" i="11"/>
  <c r="V845" i="11"/>
  <c r="V846" i="11"/>
  <c r="V847" i="11"/>
  <c r="V848" i="11"/>
  <c r="V849" i="11"/>
  <c r="V850" i="11"/>
  <c r="V851" i="11"/>
  <c r="V852" i="11"/>
  <c r="V853" i="11"/>
  <c r="V854" i="11"/>
  <c r="V855" i="11"/>
  <c r="V856" i="11"/>
  <c r="V857" i="11"/>
  <c r="V858" i="11"/>
  <c r="V859" i="11"/>
  <c r="V860" i="11"/>
  <c r="V861" i="11"/>
  <c r="V862" i="11"/>
  <c r="V863" i="11"/>
  <c r="V864" i="11"/>
  <c r="V865" i="11"/>
  <c r="V866" i="11"/>
  <c r="V867" i="11"/>
  <c r="V868" i="11"/>
  <c r="V869" i="11"/>
  <c r="V870" i="11"/>
  <c r="V871" i="11"/>
  <c r="V872" i="11"/>
  <c r="V873" i="11"/>
  <c r="V874" i="11"/>
  <c r="V875" i="11"/>
  <c r="V876" i="11"/>
  <c r="V877" i="11"/>
  <c r="V878" i="11"/>
  <c r="V879" i="11"/>
  <c r="V880" i="11"/>
  <c r="V881" i="11"/>
  <c r="V882" i="11"/>
  <c r="V883" i="11"/>
  <c r="V884" i="11"/>
  <c r="V885" i="11"/>
  <c r="V886" i="11"/>
  <c r="V887" i="11"/>
  <c r="V888" i="11"/>
  <c r="V889" i="11"/>
  <c r="V890" i="11"/>
  <c r="V891" i="11"/>
  <c r="V892" i="11"/>
  <c r="V893" i="11"/>
  <c r="V894" i="11"/>
  <c r="V895" i="11"/>
  <c r="V896" i="11"/>
  <c r="V897" i="11"/>
  <c r="V898" i="11"/>
  <c r="V899" i="11"/>
  <c r="V900" i="11"/>
  <c r="V901" i="11"/>
  <c r="V902" i="11"/>
  <c r="V903" i="11"/>
  <c r="V904" i="11"/>
  <c r="V905" i="11"/>
  <c r="V906" i="11"/>
  <c r="V907" i="11"/>
  <c r="V908" i="11"/>
  <c r="V909" i="11"/>
  <c r="V910" i="11"/>
  <c r="V911" i="11"/>
  <c r="V912" i="11"/>
  <c r="V913" i="11"/>
  <c r="V914" i="11"/>
  <c r="V915" i="11"/>
  <c r="V916" i="11"/>
  <c r="V917" i="11"/>
  <c r="V918" i="11"/>
  <c r="V919" i="11"/>
  <c r="V920" i="11"/>
  <c r="V921" i="11"/>
  <c r="V922" i="11"/>
  <c r="V923" i="11"/>
  <c r="V924" i="11"/>
  <c r="V925" i="11"/>
  <c r="V926" i="11"/>
  <c r="V927" i="11"/>
  <c r="V928" i="11"/>
  <c r="V929" i="11"/>
  <c r="V930" i="11"/>
  <c r="V931" i="11"/>
  <c r="V932" i="11"/>
  <c r="V933" i="11"/>
  <c r="V934" i="11"/>
  <c r="V935" i="11"/>
  <c r="V936" i="11"/>
  <c r="V937" i="11"/>
  <c r="V938" i="11"/>
  <c r="V939" i="11"/>
  <c r="V940" i="11"/>
  <c r="V941" i="11"/>
  <c r="V942" i="11"/>
  <c r="V943" i="11"/>
  <c r="V944" i="11"/>
  <c r="V945" i="11"/>
  <c r="V946" i="11"/>
  <c r="V947" i="11"/>
  <c r="V948" i="11"/>
  <c r="V949" i="11"/>
  <c r="V950" i="11"/>
  <c r="V951" i="11"/>
  <c r="V952" i="11"/>
  <c r="V953" i="11"/>
  <c r="V954" i="11"/>
  <c r="V955" i="11"/>
  <c r="V956" i="11"/>
  <c r="V957" i="11"/>
  <c r="V958" i="11"/>
  <c r="V959" i="11"/>
  <c r="V960" i="11"/>
  <c r="V961" i="11"/>
  <c r="V962" i="11"/>
  <c r="V963" i="11"/>
  <c r="V964" i="11"/>
  <c r="V965" i="11"/>
  <c r="V966" i="11"/>
  <c r="V967" i="11"/>
  <c r="V968" i="11"/>
  <c r="V969" i="11"/>
  <c r="V970" i="11"/>
  <c r="V971" i="11"/>
  <c r="V972" i="11"/>
  <c r="V973" i="11"/>
  <c r="V974" i="11"/>
  <c r="V975" i="11"/>
  <c r="V976" i="11"/>
  <c r="V977" i="11"/>
  <c r="V978" i="11"/>
  <c r="V979" i="11"/>
  <c r="V980" i="11"/>
  <c r="V981" i="11"/>
  <c r="V982" i="11"/>
  <c r="V983" i="11"/>
  <c r="V984" i="11"/>
  <c r="V985" i="11"/>
  <c r="V986" i="11"/>
  <c r="V987" i="11"/>
  <c r="V988" i="11"/>
  <c r="V989" i="11"/>
  <c r="V990" i="11"/>
  <c r="V991" i="11"/>
  <c r="V992" i="11"/>
  <c r="V993" i="11"/>
  <c r="V994" i="11"/>
  <c r="V995" i="11"/>
  <c r="V996" i="11"/>
  <c r="V997" i="11"/>
  <c r="V998" i="11"/>
  <c r="V999" i="11"/>
  <c r="V1000" i="11"/>
  <c r="V1001" i="11"/>
  <c r="V1002" i="11"/>
  <c r="V1003" i="11"/>
  <c r="V1004" i="11"/>
  <c r="H5" i="11"/>
  <c r="I5" i="11"/>
  <c r="X5" i="11" s="1"/>
  <c r="I6" i="11"/>
  <c r="X6" i="11" s="1"/>
  <c r="I7" i="11"/>
  <c r="X7" i="11" s="1"/>
  <c r="I8" i="11"/>
  <c r="X8" i="11" s="1"/>
  <c r="I9" i="11"/>
  <c r="X9" i="11" s="1"/>
  <c r="I10" i="11"/>
  <c r="X10" i="11" s="1"/>
  <c r="I11" i="11"/>
  <c r="X11" i="11" s="1"/>
  <c r="I12" i="11"/>
  <c r="X12" i="11" s="1"/>
  <c r="I13" i="11"/>
  <c r="X13" i="11" s="1"/>
  <c r="I14" i="11"/>
  <c r="X14" i="11" s="1"/>
  <c r="I15" i="11"/>
  <c r="X15" i="11" s="1"/>
  <c r="I16" i="11"/>
  <c r="X16" i="11" s="1"/>
  <c r="I17" i="11"/>
  <c r="X17" i="11" s="1"/>
  <c r="I18" i="11"/>
  <c r="X18" i="11" s="1"/>
  <c r="I19" i="11"/>
  <c r="X19" i="11" s="1"/>
  <c r="I20" i="11"/>
  <c r="X20" i="11" s="1"/>
  <c r="I21" i="11"/>
  <c r="X21" i="11" s="1"/>
  <c r="I22" i="11"/>
  <c r="X22" i="11" s="1"/>
  <c r="I23" i="11"/>
  <c r="X23" i="11" s="1"/>
  <c r="I24" i="11"/>
  <c r="X24" i="11" s="1"/>
  <c r="I25" i="11"/>
  <c r="X25" i="11" s="1"/>
  <c r="I26" i="11"/>
  <c r="X26" i="11" s="1"/>
  <c r="I27" i="11"/>
  <c r="X27" i="11" s="1"/>
  <c r="I28" i="11"/>
  <c r="X28" i="11" s="1"/>
  <c r="I29" i="11"/>
  <c r="X29" i="11" s="1"/>
  <c r="I30" i="11"/>
  <c r="X30" i="11" s="1"/>
  <c r="I31" i="11"/>
  <c r="X31" i="11" s="1"/>
  <c r="I32" i="11"/>
  <c r="X32" i="11" s="1"/>
  <c r="I33" i="11"/>
  <c r="X33" i="11" s="1"/>
  <c r="I34" i="11"/>
  <c r="X34" i="11" s="1"/>
  <c r="I35" i="11"/>
  <c r="X35" i="11" s="1"/>
  <c r="I36" i="11"/>
  <c r="X36" i="11" s="1"/>
  <c r="I37" i="11"/>
  <c r="X37" i="11" s="1"/>
  <c r="I38" i="11"/>
  <c r="X38" i="11" s="1"/>
  <c r="I39" i="11"/>
  <c r="X39" i="11" s="1"/>
  <c r="I40" i="11"/>
  <c r="X40" i="11" s="1"/>
  <c r="I41" i="11"/>
  <c r="X41" i="11" s="1"/>
  <c r="I42" i="11"/>
  <c r="X42" i="11" s="1"/>
  <c r="I43" i="11"/>
  <c r="X43" i="11" s="1"/>
  <c r="I44" i="11"/>
  <c r="X44" i="11" s="1"/>
  <c r="I45" i="11"/>
  <c r="X45" i="11" s="1"/>
  <c r="I46" i="11"/>
  <c r="X46" i="11" s="1"/>
  <c r="I47" i="11"/>
  <c r="X47" i="11" s="1"/>
  <c r="I48" i="11"/>
  <c r="X48" i="11" s="1"/>
  <c r="I49" i="11"/>
  <c r="X49" i="11" s="1"/>
  <c r="I50" i="11"/>
  <c r="X50" i="11" s="1"/>
  <c r="I51" i="11"/>
  <c r="X51" i="11" s="1"/>
  <c r="I52" i="11"/>
  <c r="X52" i="11" s="1"/>
  <c r="I53" i="11"/>
  <c r="X53" i="11" s="1"/>
  <c r="I54" i="11"/>
  <c r="X54" i="11" s="1"/>
  <c r="I55" i="11"/>
  <c r="X55" i="11" s="1"/>
  <c r="I56" i="11"/>
  <c r="X56" i="11" s="1"/>
  <c r="I57" i="11"/>
  <c r="X57" i="11" s="1"/>
  <c r="I58" i="11"/>
  <c r="X58" i="11" s="1"/>
  <c r="I59" i="11"/>
  <c r="X59" i="11" s="1"/>
  <c r="I60" i="11"/>
  <c r="X60" i="11" s="1"/>
  <c r="I62" i="11"/>
  <c r="X62" i="11" s="1"/>
  <c r="I63" i="11"/>
  <c r="X63" i="11" s="1"/>
  <c r="I61" i="11"/>
  <c r="X61" i="11" s="1"/>
  <c r="I64" i="11"/>
  <c r="X64" i="11" s="1"/>
  <c r="I65" i="11"/>
  <c r="X65" i="11" s="1"/>
  <c r="I66" i="11"/>
  <c r="X66" i="11" s="1"/>
  <c r="I67" i="11"/>
  <c r="X67" i="11" s="1"/>
  <c r="I68" i="11"/>
  <c r="X68" i="11" s="1"/>
  <c r="I69" i="11"/>
  <c r="X69" i="11" s="1"/>
  <c r="I70" i="11"/>
  <c r="X70" i="11" s="1"/>
  <c r="I71" i="11"/>
  <c r="X71" i="11" s="1"/>
  <c r="I72" i="11"/>
  <c r="X72" i="11" s="1"/>
  <c r="I73" i="11"/>
  <c r="X73" i="11" s="1"/>
  <c r="I74" i="11"/>
  <c r="X74" i="11" s="1"/>
  <c r="I75" i="11"/>
  <c r="X75" i="11" s="1"/>
  <c r="I76" i="11"/>
  <c r="X76" i="11" s="1"/>
  <c r="I77" i="11"/>
  <c r="X77" i="11" s="1"/>
  <c r="I78" i="11"/>
  <c r="X78" i="11" s="1"/>
  <c r="I79" i="11"/>
  <c r="X79" i="11" s="1"/>
  <c r="I80" i="11"/>
  <c r="X80" i="11" s="1"/>
  <c r="I81" i="11"/>
  <c r="X81" i="11" s="1"/>
  <c r="I82" i="11"/>
  <c r="X82" i="11" s="1"/>
  <c r="I83" i="11"/>
  <c r="X83" i="11" s="1"/>
  <c r="I84" i="11"/>
  <c r="X84" i="11" s="1"/>
  <c r="I85" i="11"/>
  <c r="X85" i="11" s="1"/>
  <c r="I86" i="11"/>
  <c r="X86" i="11" s="1"/>
  <c r="I87" i="11"/>
  <c r="X87" i="11" s="1"/>
  <c r="I88" i="11"/>
  <c r="X88" i="11" s="1"/>
  <c r="I89" i="11"/>
  <c r="X89" i="11" s="1"/>
  <c r="I90" i="11"/>
  <c r="X90" i="11" s="1"/>
  <c r="I91" i="11"/>
  <c r="X91" i="11" s="1"/>
  <c r="I92" i="11"/>
  <c r="X92" i="11" s="1"/>
  <c r="I93" i="11"/>
  <c r="X93" i="11" s="1"/>
  <c r="I94" i="11"/>
  <c r="X94" i="11" s="1"/>
  <c r="I95" i="11"/>
  <c r="X95" i="11" s="1"/>
  <c r="I96" i="11"/>
  <c r="X96" i="11" s="1"/>
  <c r="I97" i="11"/>
  <c r="X97" i="11" s="1"/>
  <c r="I98" i="11"/>
  <c r="X98" i="11" s="1"/>
  <c r="I99" i="11"/>
  <c r="X99" i="11" s="1"/>
  <c r="I100" i="11"/>
  <c r="X100" i="11" s="1"/>
  <c r="I101" i="11"/>
  <c r="X101" i="11" s="1"/>
  <c r="I102" i="11"/>
  <c r="X102" i="11" s="1"/>
  <c r="I103" i="11"/>
  <c r="X103" i="11" s="1"/>
  <c r="I104" i="11"/>
  <c r="X104" i="11" s="1"/>
  <c r="I105" i="11"/>
  <c r="X105" i="11" s="1"/>
  <c r="I106" i="11"/>
  <c r="X106" i="11" s="1"/>
  <c r="I107" i="11"/>
  <c r="X107" i="11" s="1"/>
  <c r="I108" i="11"/>
  <c r="X108" i="11" s="1"/>
  <c r="I109" i="11"/>
  <c r="X109" i="11" s="1"/>
  <c r="I110" i="11"/>
  <c r="X110" i="11" s="1"/>
  <c r="I111" i="11"/>
  <c r="X111" i="11" s="1"/>
  <c r="I112" i="11"/>
  <c r="X112" i="11" s="1"/>
  <c r="I113" i="11"/>
  <c r="X113" i="11" s="1"/>
  <c r="I114" i="11"/>
  <c r="X114" i="11" s="1"/>
  <c r="I115" i="11"/>
  <c r="X115" i="11" s="1"/>
  <c r="I116" i="11"/>
  <c r="X116" i="11" s="1"/>
  <c r="I117" i="11"/>
  <c r="X117" i="11" s="1"/>
  <c r="I118" i="11"/>
  <c r="X118" i="11" s="1"/>
  <c r="I119" i="11"/>
  <c r="X119" i="11" s="1"/>
  <c r="I120" i="11"/>
  <c r="X120" i="11" s="1"/>
  <c r="I121" i="11"/>
  <c r="X121" i="11" s="1"/>
  <c r="I122" i="11"/>
  <c r="X122" i="11" s="1"/>
  <c r="I123" i="11"/>
  <c r="X123" i="11" s="1"/>
  <c r="I124" i="11"/>
  <c r="X124" i="11" s="1"/>
  <c r="I125" i="11"/>
  <c r="X125" i="11" s="1"/>
  <c r="I126" i="11"/>
  <c r="X126" i="11" s="1"/>
  <c r="I127" i="11"/>
  <c r="X127" i="11" s="1"/>
  <c r="I128" i="11"/>
  <c r="X128" i="11" s="1"/>
  <c r="I129" i="11"/>
  <c r="X129" i="11" s="1"/>
  <c r="I130" i="11"/>
  <c r="X130" i="11" s="1"/>
  <c r="I131" i="11"/>
  <c r="X131" i="11" s="1"/>
  <c r="I132" i="11"/>
  <c r="X132" i="11" s="1"/>
  <c r="I133" i="11"/>
  <c r="X133" i="11" s="1"/>
  <c r="I134" i="11"/>
  <c r="X134" i="11" s="1"/>
  <c r="I135" i="11"/>
  <c r="X135" i="11" s="1"/>
  <c r="I136" i="11"/>
  <c r="X136" i="11" s="1"/>
  <c r="I137" i="11"/>
  <c r="X137" i="11" s="1"/>
  <c r="I138" i="11"/>
  <c r="X138" i="11" s="1"/>
  <c r="I139" i="11"/>
  <c r="X139" i="11" s="1"/>
  <c r="I140" i="11"/>
  <c r="X140" i="11" s="1"/>
  <c r="I141" i="11"/>
  <c r="X141" i="11" s="1"/>
  <c r="I142" i="11"/>
  <c r="X142" i="11" s="1"/>
  <c r="I143" i="11"/>
  <c r="X143" i="11" s="1"/>
  <c r="I144" i="11"/>
  <c r="X144" i="11" s="1"/>
  <c r="I145" i="11"/>
  <c r="X145" i="11" s="1"/>
  <c r="I146" i="11"/>
  <c r="X146" i="11" s="1"/>
  <c r="I147" i="11"/>
  <c r="X147" i="11" s="1"/>
  <c r="I148" i="11"/>
  <c r="X148" i="11" s="1"/>
  <c r="I149" i="11"/>
  <c r="X149" i="11" s="1"/>
  <c r="I150" i="11"/>
  <c r="X150" i="11" s="1"/>
  <c r="I151" i="11"/>
  <c r="X151" i="11" s="1"/>
  <c r="I152" i="11"/>
  <c r="X152" i="11" s="1"/>
  <c r="I153" i="11"/>
  <c r="X153" i="11" s="1"/>
  <c r="I154" i="11"/>
  <c r="X154" i="11" s="1"/>
  <c r="I155" i="11"/>
  <c r="X155" i="11" s="1"/>
  <c r="I156" i="11"/>
  <c r="X156" i="11" s="1"/>
  <c r="I157" i="11"/>
  <c r="X157" i="11" s="1"/>
  <c r="I158" i="11"/>
  <c r="X158" i="11" s="1"/>
  <c r="I159" i="11"/>
  <c r="X159" i="11" s="1"/>
  <c r="I160" i="11"/>
  <c r="X160" i="11" s="1"/>
  <c r="I161" i="11"/>
  <c r="X161" i="11" s="1"/>
  <c r="I162" i="11"/>
  <c r="X162" i="11" s="1"/>
  <c r="I163" i="11"/>
  <c r="X163" i="11" s="1"/>
  <c r="I164" i="11"/>
  <c r="X164" i="11" s="1"/>
  <c r="I165" i="11"/>
  <c r="X165" i="11" s="1"/>
  <c r="I166" i="11"/>
  <c r="X166" i="11" s="1"/>
  <c r="I167" i="11"/>
  <c r="X167" i="11" s="1"/>
  <c r="I168" i="11"/>
  <c r="X168" i="11" s="1"/>
  <c r="I169" i="11"/>
  <c r="X169" i="11" s="1"/>
  <c r="I170" i="11"/>
  <c r="X170" i="11" s="1"/>
  <c r="I171" i="11"/>
  <c r="X171" i="11" s="1"/>
  <c r="I172" i="11"/>
  <c r="X172" i="11" s="1"/>
  <c r="I173" i="11"/>
  <c r="X173" i="11" s="1"/>
  <c r="I174" i="11"/>
  <c r="X174" i="11" s="1"/>
  <c r="I175" i="11"/>
  <c r="X175" i="11" s="1"/>
  <c r="I176" i="11"/>
  <c r="X176" i="11" s="1"/>
  <c r="I177" i="11"/>
  <c r="X177" i="11" s="1"/>
  <c r="I178" i="11"/>
  <c r="X178" i="11" s="1"/>
  <c r="I179" i="11"/>
  <c r="X179" i="11" s="1"/>
  <c r="I180" i="11"/>
  <c r="X180" i="11" s="1"/>
  <c r="I181" i="11"/>
  <c r="X181" i="11" s="1"/>
  <c r="I182" i="11"/>
  <c r="X182" i="11" s="1"/>
  <c r="I183" i="11"/>
  <c r="X183" i="11" s="1"/>
  <c r="I184" i="11"/>
  <c r="X184" i="11" s="1"/>
  <c r="I185" i="11"/>
  <c r="X185" i="11" s="1"/>
  <c r="I186" i="11"/>
  <c r="X186" i="11" s="1"/>
  <c r="I187" i="11"/>
  <c r="X187" i="11" s="1"/>
  <c r="I188" i="11"/>
  <c r="X188" i="11" s="1"/>
  <c r="I189" i="11"/>
  <c r="X189" i="11" s="1"/>
  <c r="I190" i="11"/>
  <c r="X190" i="11" s="1"/>
  <c r="I191" i="11"/>
  <c r="X191" i="11" s="1"/>
  <c r="I192" i="11"/>
  <c r="X192" i="11" s="1"/>
  <c r="I193" i="11"/>
  <c r="X193" i="11" s="1"/>
  <c r="I194" i="11"/>
  <c r="X194" i="11" s="1"/>
  <c r="I195" i="11"/>
  <c r="X195" i="11" s="1"/>
  <c r="I196" i="11"/>
  <c r="X196" i="11" s="1"/>
  <c r="I197" i="11"/>
  <c r="X197" i="11" s="1"/>
  <c r="I198" i="11"/>
  <c r="X198" i="11" s="1"/>
  <c r="I199" i="11"/>
  <c r="X199" i="11" s="1"/>
  <c r="I200" i="11"/>
  <c r="X200" i="11" s="1"/>
  <c r="I201" i="11"/>
  <c r="X201" i="11" s="1"/>
  <c r="I202" i="11"/>
  <c r="X202" i="11" s="1"/>
  <c r="I203" i="11"/>
  <c r="X203" i="11" s="1"/>
  <c r="I204" i="11"/>
  <c r="X204" i="11" s="1"/>
  <c r="I205" i="11"/>
  <c r="X205" i="11" s="1"/>
  <c r="I206" i="11"/>
  <c r="X206" i="11" s="1"/>
  <c r="I207" i="11"/>
  <c r="X207" i="11" s="1"/>
  <c r="I208" i="11"/>
  <c r="X208" i="11" s="1"/>
  <c r="I209" i="11"/>
  <c r="X209" i="11" s="1"/>
  <c r="I210" i="11"/>
  <c r="X210" i="11" s="1"/>
  <c r="I211" i="11"/>
  <c r="X211" i="11" s="1"/>
  <c r="I212" i="11"/>
  <c r="X212" i="11" s="1"/>
  <c r="I213" i="11"/>
  <c r="X213" i="11" s="1"/>
  <c r="I214" i="11"/>
  <c r="X214" i="11" s="1"/>
  <c r="I215" i="11"/>
  <c r="X215" i="11" s="1"/>
  <c r="I216" i="11"/>
  <c r="X216" i="11" s="1"/>
  <c r="I217" i="11"/>
  <c r="X217" i="11" s="1"/>
  <c r="I218" i="11"/>
  <c r="X218" i="11" s="1"/>
  <c r="I219" i="11"/>
  <c r="X219" i="11" s="1"/>
  <c r="I220" i="11"/>
  <c r="X220" i="11" s="1"/>
  <c r="I221" i="11"/>
  <c r="X221" i="11" s="1"/>
  <c r="I222" i="11"/>
  <c r="X222" i="11" s="1"/>
  <c r="I223" i="11"/>
  <c r="X223" i="11" s="1"/>
  <c r="I224" i="11"/>
  <c r="X224" i="11" s="1"/>
  <c r="I225" i="11"/>
  <c r="X225" i="11" s="1"/>
  <c r="I226" i="11"/>
  <c r="X226" i="11" s="1"/>
  <c r="I227" i="11"/>
  <c r="X227" i="11" s="1"/>
  <c r="I228" i="11"/>
  <c r="X228" i="11" s="1"/>
  <c r="I229" i="11"/>
  <c r="X229" i="11" s="1"/>
  <c r="I230" i="11"/>
  <c r="X230" i="11" s="1"/>
  <c r="I231" i="11"/>
  <c r="X231" i="11" s="1"/>
  <c r="I232" i="11"/>
  <c r="X232" i="11" s="1"/>
  <c r="I233" i="11"/>
  <c r="X233" i="11" s="1"/>
  <c r="I234" i="11"/>
  <c r="X234" i="11" s="1"/>
  <c r="I235" i="11"/>
  <c r="X235" i="11" s="1"/>
  <c r="I236" i="11"/>
  <c r="X236" i="11" s="1"/>
  <c r="I237" i="11"/>
  <c r="X237" i="11" s="1"/>
  <c r="I238" i="11"/>
  <c r="X238" i="11" s="1"/>
  <c r="I239" i="11"/>
  <c r="X239" i="11" s="1"/>
  <c r="I240" i="11"/>
  <c r="X240" i="11" s="1"/>
  <c r="I241" i="11"/>
  <c r="X241" i="11" s="1"/>
  <c r="I242" i="11"/>
  <c r="X242" i="11" s="1"/>
  <c r="I243" i="11"/>
  <c r="X243" i="11" s="1"/>
  <c r="I244" i="11"/>
  <c r="X244" i="11" s="1"/>
  <c r="I245" i="11"/>
  <c r="X245" i="11" s="1"/>
  <c r="I246" i="11"/>
  <c r="X246" i="11" s="1"/>
  <c r="I247" i="11"/>
  <c r="X247" i="11" s="1"/>
  <c r="I248" i="11"/>
  <c r="X248" i="11" s="1"/>
  <c r="I249" i="11"/>
  <c r="X249" i="11" s="1"/>
  <c r="I250" i="11"/>
  <c r="X250" i="11" s="1"/>
  <c r="I251" i="11"/>
  <c r="X251" i="11" s="1"/>
  <c r="I252" i="11"/>
  <c r="X252" i="11" s="1"/>
  <c r="I253" i="11"/>
  <c r="X253" i="11" s="1"/>
  <c r="I254" i="11"/>
  <c r="X254" i="11" s="1"/>
  <c r="I255" i="11"/>
  <c r="X255" i="11" s="1"/>
  <c r="I256" i="11"/>
  <c r="X256" i="11" s="1"/>
  <c r="I257" i="11"/>
  <c r="X257" i="11" s="1"/>
  <c r="I258" i="11"/>
  <c r="X258" i="11" s="1"/>
  <c r="I259" i="11"/>
  <c r="X259" i="11" s="1"/>
  <c r="I260" i="11"/>
  <c r="X260" i="11" s="1"/>
  <c r="I261" i="11"/>
  <c r="X261" i="11" s="1"/>
  <c r="I262" i="11"/>
  <c r="X262" i="11" s="1"/>
  <c r="I263" i="11"/>
  <c r="X263" i="11" s="1"/>
  <c r="I264" i="11"/>
  <c r="X264" i="11" s="1"/>
  <c r="I265" i="11"/>
  <c r="X265" i="11" s="1"/>
  <c r="I266" i="11"/>
  <c r="X266" i="11" s="1"/>
  <c r="I267" i="11"/>
  <c r="X267" i="11" s="1"/>
  <c r="I268" i="11"/>
  <c r="X268" i="11" s="1"/>
  <c r="I269" i="11"/>
  <c r="X269" i="11" s="1"/>
  <c r="I270" i="11"/>
  <c r="X270" i="11" s="1"/>
  <c r="I271" i="11"/>
  <c r="X271" i="11" s="1"/>
  <c r="I272" i="11"/>
  <c r="X272" i="11" s="1"/>
  <c r="I273" i="11"/>
  <c r="X273" i="11" s="1"/>
  <c r="I274" i="11"/>
  <c r="X274" i="11" s="1"/>
  <c r="I275" i="11"/>
  <c r="X275" i="11" s="1"/>
  <c r="I276" i="11"/>
  <c r="X276" i="11" s="1"/>
  <c r="I277" i="11"/>
  <c r="X277" i="11" s="1"/>
  <c r="I278" i="11"/>
  <c r="X278" i="11" s="1"/>
  <c r="I279" i="11"/>
  <c r="X279" i="11" s="1"/>
  <c r="I280" i="11"/>
  <c r="X280" i="11" s="1"/>
  <c r="I281" i="11"/>
  <c r="X281" i="11" s="1"/>
  <c r="I282" i="11"/>
  <c r="X282" i="11" s="1"/>
  <c r="I283" i="11"/>
  <c r="X283" i="11" s="1"/>
  <c r="I284" i="11"/>
  <c r="X284" i="11" s="1"/>
  <c r="I285" i="11"/>
  <c r="X285" i="11" s="1"/>
  <c r="I286" i="11"/>
  <c r="X286" i="11" s="1"/>
  <c r="I287" i="11"/>
  <c r="X287" i="11" s="1"/>
  <c r="I288" i="11"/>
  <c r="X288" i="11" s="1"/>
  <c r="I289" i="11"/>
  <c r="X289" i="11" s="1"/>
  <c r="I290" i="11"/>
  <c r="X290" i="11" s="1"/>
  <c r="I291" i="11"/>
  <c r="X291" i="11" s="1"/>
  <c r="I292" i="11"/>
  <c r="X292" i="11" s="1"/>
  <c r="I293" i="11"/>
  <c r="X293" i="11" s="1"/>
  <c r="I294" i="11"/>
  <c r="X294" i="11" s="1"/>
  <c r="I295" i="11"/>
  <c r="X295" i="11" s="1"/>
  <c r="I296" i="11"/>
  <c r="X296" i="11" s="1"/>
  <c r="I297" i="11"/>
  <c r="X297" i="11" s="1"/>
  <c r="I298" i="11"/>
  <c r="X298" i="11" s="1"/>
  <c r="I299" i="11"/>
  <c r="X299" i="11" s="1"/>
  <c r="I300" i="11"/>
  <c r="X300" i="11" s="1"/>
  <c r="I301" i="11"/>
  <c r="X301" i="11" s="1"/>
  <c r="I302" i="11"/>
  <c r="X302" i="11" s="1"/>
  <c r="I303" i="11"/>
  <c r="X303" i="11" s="1"/>
  <c r="I304" i="11"/>
  <c r="X304" i="11" s="1"/>
  <c r="I305" i="11"/>
  <c r="X305" i="11" s="1"/>
  <c r="I306" i="11"/>
  <c r="X306" i="11" s="1"/>
  <c r="I307" i="11"/>
  <c r="X307" i="11" s="1"/>
  <c r="I308" i="11"/>
  <c r="X308" i="11" s="1"/>
  <c r="I309" i="11"/>
  <c r="X309" i="11" s="1"/>
  <c r="I310" i="11"/>
  <c r="X310" i="11" s="1"/>
  <c r="I311" i="11"/>
  <c r="X311" i="11" s="1"/>
  <c r="I312" i="11"/>
  <c r="X312" i="11" s="1"/>
  <c r="I313" i="11"/>
  <c r="X313" i="11" s="1"/>
  <c r="I314" i="11"/>
  <c r="X314" i="11" s="1"/>
  <c r="I315" i="11"/>
  <c r="X315" i="11" s="1"/>
  <c r="I316" i="11"/>
  <c r="X316" i="11" s="1"/>
  <c r="I317" i="11"/>
  <c r="X317" i="11" s="1"/>
  <c r="I318" i="11"/>
  <c r="X318" i="11" s="1"/>
  <c r="I319" i="11"/>
  <c r="X319" i="11" s="1"/>
  <c r="I320" i="11"/>
  <c r="X320" i="11" s="1"/>
  <c r="I321" i="11"/>
  <c r="X321" i="11" s="1"/>
  <c r="I322" i="11"/>
  <c r="X322" i="11" s="1"/>
  <c r="I323" i="11"/>
  <c r="X323" i="11" s="1"/>
  <c r="I324" i="11"/>
  <c r="X324" i="11" s="1"/>
  <c r="I325" i="11"/>
  <c r="X325" i="11" s="1"/>
  <c r="I326" i="11"/>
  <c r="X326" i="11" s="1"/>
  <c r="I327" i="11"/>
  <c r="X327" i="11" s="1"/>
  <c r="I328" i="11"/>
  <c r="X328" i="11" s="1"/>
  <c r="I329" i="11"/>
  <c r="X329" i="11" s="1"/>
  <c r="I330" i="11"/>
  <c r="X330" i="11" s="1"/>
  <c r="I331" i="11"/>
  <c r="X331" i="11" s="1"/>
  <c r="I332" i="11"/>
  <c r="X332" i="11" s="1"/>
  <c r="I333" i="11"/>
  <c r="X333" i="11" s="1"/>
  <c r="I334" i="11"/>
  <c r="X334" i="11" s="1"/>
  <c r="I335" i="11"/>
  <c r="X335" i="11" s="1"/>
  <c r="I336" i="11"/>
  <c r="X336" i="11" s="1"/>
  <c r="I337" i="11"/>
  <c r="X337" i="11" s="1"/>
  <c r="I338" i="11"/>
  <c r="X338" i="11" s="1"/>
  <c r="I339" i="11"/>
  <c r="X339" i="11" s="1"/>
  <c r="I340" i="11"/>
  <c r="X340" i="11" s="1"/>
  <c r="I341" i="11"/>
  <c r="X341" i="11" s="1"/>
  <c r="I342" i="11"/>
  <c r="X342" i="11" s="1"/>
  <c r="I343" i="11"/>
  <c r="X343" i="11" s="1"/>
  <c r="I344" i="11"/>
  <c r="X344" i="11" s="1"/>
  <c r="I345" i="11"/>
  <c r="X345" i="11" s="1"/>
  <c r="I346" i="11"/>
  <c r="X346" i="11" s="1"/>
  <c r="I347" i="11"/>
  <c r="X347" i="11" s="1"/>
  <c r="I348" i="11"/>
  <c r="X348" i="11" s="1"/>
  <c r="I349" i="11"/>
  <c r="X349" i="11" s="1"/>
  <c r="I350" i="11"/>
  <c r="X350" i="11" s="1"/>
  <c r="I351" i="11"/>
  <c r="X351" i="11" s="1"/>
  <c r="I352" i="11"/>
  <c r="X352" i="11" s="1"/>
  <c r="I353" i="11"/>
  <c r="X353" i="11" s="1"/>
  <c r="I354" i="11"/>
  <c r="X354" i="11" s="1"/>
  <c r="I355" i="11"/>
  <c r="X355" i="11" s="1"/>
  <c r="I356" i="11"/>
  <c r="X356" i="11" s="1"/>
  <c r="I357" i="11"/>
  <c r="X357" i="11" s="1"/>
  <c r="I358" i="11"/>
  <c r="X358" i="11" s="1"/>
  <c r="I359" i="11"/>
  <c r="X359" i="11" s="1"/>
  <c r="I360" i="11"/>
  <c r="X360" i="11" s="1"/>
  <c r="I361" i="11"/>
  <c r="X361" i="11" s="1"/>
  <c r="I362" i="11"/>
  <c r="X362" i="11" s="1"/>
  <c r="I363" i="11"/>
  <c r="X363" i="11" s="1"/>
  <c r="I364" i="11"/>
  <c r="X364" i="11" s="1"/>
  <c r="I365" i="11"/>
  <c r="X365" i="11" s="1"/>
  <c r="I366" i="11"/>
  <c r="X366" i="11" s="1"/>
  <c r="I367" i="11"/>
  <c r="X367" i="11" s="1"/>
  <c r="I368" i="11"/>
  <c r="X368" i="11" s="1"/>
  <c r="I369" i="11"/>
  <c r="X369" i="11" s="1"/>
  <c r="I370" i="11"/>
  <c r="X370" i="11" s="1"/>
  <c r="I371" i="11"/>
  <c r="X371" i="11" s="1"/>
  <c r="I372" i="11"/>
  <c r="X372" i="11" s="1"/>
  <c r="I373" i="11"/>
  <c r="X373" i="11" s="1"/>
  <c r="I374" i="11"/>
  <c r="X374" i="11" s="1"/>
  <c r="I375" i="11"/>
  <c r="X375" i="11" s="1"/>
  <c r="I376" i="11"/>
  <c r="X376" i="11" s="1"/>
  <c r="I377" i="11"/>
  <c r="X377" i="11" s="1"/>
  <c r="I378" i="11"/>
  <c r="X378" i="11" s="1"/>
  <c r="I379" i="11"/>
  <c r="X379" i="11" s="1"/>
  <c r="I380" i="11"/>
  <c r="X380" i="11" s="1"/>
  <c r="I381" i="11"/>
  <c r="X381" i="11" s="1"/>
  <c r="I382" i="11"/>
  <c r="X382" i="11" s="1"/>
  <c r="I383" i="11"/>
  <c r="X383" i="11" s="1"/>
  <c r="I384" i="11"/>
  <c r="X384" i="11" s="1"/>
  <c r="I385" i="11"/>
  <c r="X385" i="11" s="1"/>
  <c r="I386" i="11"/>
  <c r="X386" i="11" s="1"/>
  <c r="I387" i="11"/>
  <c r="X387" i="11" s="1"/>
  <c r="I388" i="11"/>
  <c r="X388" i="11" s="1"/>
  <c r="I389" i="11"/>
  <c r="X389" i="11" s="1"/>
  <c r="I390" i="11"/>
  <c r="X390" i="11" s="1"/>
  <c r="I391" i="11"/>
  <c r="X391" i="11" s="1"/>
  <c r="I392" i="11"/>
  <c r="X392" i="11" s="1"/>
  <c r="I393" i="11"/>
  <c r="X393" i="11" s="1"/>
  <c r="I394" i="11"/>
  <c r="X394" i="11" s="1"/>
  <c r="I395" i="11"/>
  <c r="X395" i="11" s="1"/>
  <c r="I396" i="11"/>
  <c r="X396" i="11" s="1"/>
  <c r="I397" i="11"/>
  <c r="X397" i="11" s="1"/>
  <c r="I398" i="11"/>
  <c r="X398" i="11" s="1"/>
  <c r="I399" i="11"/>
  <c r="X399" i="11" s="1"/>
  <c r="I400" i="11"/>
  <c r="X400" i="11" s="1"/>
  <c r="I401" i="11"/>
  <c r="X401" i="11" s="1"/>
  <c r="I402" i="11"/>
  <c r="X402" i="11" s="1"/>
  <c r="I403" i="11"/>
  <c r="X403" i="11" s="1"/>
  <c r="I404" i="11"/>
  <c r="X404" i="11" s="1"/>
  <c r="I405" i="11"/>
  <c r="X405" i="11" s="1"/>
  <c r="I406" i="11"/>
  <c r="X406" i="11" s="1"/>
  <c r="I407" i="11"/>
  <c r="X407" i="11" s="1"/>
  <c r="I408" i="11"/>
  <c r="X408" i="11" s="1"/>
  <c r="I409" i="11"/>
  <c r="X409" i="11" s="1"/>
  <c r="I410" i="11"/>
  <c r="X410" i="11" s="1"/>
  <c r="I411" i="11"/>
  <c r="X411" i="11" s="1"/>
  <c r="I412" i="11"/>
  <c r="X412" i="11" s="1"/>
  <c r="I413" i="11"/>
  <c r="X413" i="11" s="1"/>
  <c r="I414" i="11"/>
  <c r="X414" i="11" s="1"/>
  <c r="I415" i="11"/>
  <c r="X415" i="11" s="1"/>
  <c r="I416" i="11"/>
  <c r="X416" i="11" s="1"/>
  <c r="I417" i="11"/>
  <c r="X417" i="11" s="1"/>
  <c r="I418" i="11"/>
  <c r="X418" i="11" s="1"/>
  <c r="I419" i="11"/>
  <c r="X419" i="11" s="1"/>
  <c r="I420" i="11"/>
  <c r="X420" i="11" s="1"/>
  <c r="I421" i="11"/>
  <c r="X421" i="11" s="1"/>
  <c r="I422" i="11"/>
  <c r="X422" i="11" s="1"/>
  <c r="I423" i="11"/>
  <c r="X423" i="11" s="1"/>
  <c r="I424" i="11"/>
  <c r="X424" i="11" s="1"/>
  <c r="I425" i="11"/>
  <c r="X425" i="11" s="1"/>
  <c r="I426" i="11"/>
  <c r="X426" i="11" s="1"/>
  <c r="I427" i="11"/>
  <c r="X427" i="11" s="1"/>
  <c r="I428" i="11"/>
  <c r="X428" i="11" s="1"/>
  <c r="I429" i="11"/>
  <c r="X429" i="11" s="1"/>
  <c r="I430" i="11"/>
  <c r="X430" i="11" s="1"/>
  <c r="I431" i="11"/>
  <c r="X431" i="11" s="1"/>
  <c r="I432" i="11"/>
  <c r="X432" i="11" s="1"/>
  <c r="I433" i="11"/>
  <c r="X433" i="11" s="1"/>
  <c r="I434" i="11"/>
  <c r="X434" i="11" s="1"/>
  <c r="I435" i="11"/>
  <c r="X435" i="11" s="1"/>
  <c r="I436" i="11"/>
  <c r="X436" i="11" s="1"/>
  <c r="I437" i="11"/>
  <c r="X437" i="11" s="1"/>
  <c r="I438" i="11"/>
  <c r="X438" i="11" s="1"/>
  <c r="I439" i="11"/>
  <c r="X439" i="11" s="1"/>
  <c r="I440" i="11"/>
  <c r="X440" i="11" s="1"/>
  <c r="I441" i="11"/>
  <c r="X441" i="11" s="1"/>
  <c r="I442" i="11"/>
  <c r="X442" i="11" s="1"/>
  <c r="I443" i="11"/>
  <c r="X443" i="11" s="1"/>
  <c r="I444" i="11"/>
  <c r="X444" i="11" s="1"/>
  <c r="I445" i="11"/>
  <c r="X445" i="11" s="1"/>
  <c r="I446" i="11"/>
  <c r="X446" i="11" s="1"/>
  <c r="I447" i="11"/>
  <c r="X447" i="11" s="1"/>
  <c r="I448" i="11"/>
  <c r="X448" i="11" s="1"/>
  <c r="I449" i="11"/>
  <c r="X449" i="11" s="1"/>
  <c r="I450" i="11"/>
  <c r="X450" i="11" s="1"/>
  <c r="I451" i="11"/>
  <c r="X451" i="11" s="1"/>
  <c r="I452" i="11"/>
  <c r="X452" i="11" s="1"/>
  <c r="I453" i="11"/>
  <c r="X453" i="11" s="1"/>
  <c r="I454" i="11"/>
  <c r="X454" i="11" s="1"/>
  <c r="I455" i="11"/>
  <c r="X455" i="11" s="1"/>
  <c r="I456" i="11"/>
  <c r="X456" i="11" s="1"/>
  <c r="I457" i="11"/>
  <c r="X457" i="11" s="1"/>
  <c r="I458" i="11"/>
  <c r="X458" i="11" s="1"/>
  <c r="I459" i="11"/>
  <c r="X459" i="11" s="1"/>
  <c r="I460" i="11"/>
  <c r="X460" i="11" s="1"/>
  <c r="I461" i="11"/>
  <c r="X461" i="11" s="1"/>
  <c r="I462" i="11"/>
  <c r="X462" i="11" s="1"/>
  <c r="I463" i="11"/>
  <c r="X463" i="11" s="1"/>
  <c r="I464" i="11"/>
  <c r="X464" i="11" s="1"/>
  <c r="I465" i="11"/>
  <c r="X465" i="11" s="1"/>
  <c r="I466" i="11"/>
  <c r="X466" i="11" s="1"/>
  <c r="I467" i="11"/>
  <c r="X467" i="11" s="1"/>
  <c r="I468" i="11"/>
  <c r="X468" i="11" s="1"/>
  <c r="I469" i="11"/>
  <c r="X469" i="11" s="1"/>
  <c r="I470" i="11"/>
  <c r="X470" i="11" s="1"/>
  <c r="I471" i="11"/>
  <c r="X471" i="11" s="1"/>
  <c r="I472" i="11"/>
  <c r="X472" i="11" s="1"/>
  <c r="I473" i="11"/>
  <c r="X473" i="11" s="1"/>
  <c r="I474" i="11"/>
  <c r="X474" i="11" s="1"/>
  <c r="I475" i="11"/>
  <c r="X475" i="11" s="1"/>
  <c r="I476" i="11"/>
  <c r="X476" i="11" s="1"/>
  <c r="I477" i="11"/>
  <c r="X477" i="11" s="1"/>
  <c r="I478" i="11"/>
  <c r="X478" i="11" s="1"/>
  <c r="I479" i="11"/>
  <c r="X479" i="11" s="1"/>
  <c r="I480" i="11"/>
  <c r="X480" i="11" s="1"/>
  <c r="I481" i="11"/>
  <c r="X481" i="11" s="1"/>
  <c r="I482" i="11"/>
  <c r="X482" i="11" s="1"/>
  <c r="I483" i="11"/>
  <c r="X483" i="11" s="1"/>
  <c r="I484" i="11"/>
  <c r="X484" i="11" s="1"/>
  <c r="I485" i="11"/>
  <c r="X485" i="11" s="1"/>
  <c r="I486" i="11"/>
  <c r="X486" i="11" s="1"/>
  <c r="I487" i="11"/>
  <c r="X487" i="11" s="1"/>
  <c r="I488" i="11"/>
  <c r="X488" i="11" s="1"/>
  <c r="I489" i="11"/>
  <c r="X489" i="11" s="1"/>
  <c r="I490" i="11"/>
  <c r="X490" i="11" s="1"/>
  <c r="I491" i="11"/>
  <c r="X491" i="11" s="1"/>
  <c r="I492" i="11"/>
  <c r="X492" i="11" s="1"/>
  <c r="I493" i="11"/>
  <c r="X493" i="11" s="1"/>
  <c r="I494" i="11"/>
  <c r="X494" i="11" s="1"/>
  <c r="I495" i="11"/>
  <c r="X495" i="11" s="1"/>
  <c r="I496" i="11"/>
  <c r="X496" i="11" s="1"/>
  <c r="I497" i="11"/>
  <c r="X497" i="11" s="1"/>
  <c r="I498" i="11"/>
  <c r="X498" i="11" s="1"/>
  <c r="I499" i="11"/>
  <c r="X499" i="11" s="1"/>
  <c r="I500" i="11"/>
  <c r="X500" i="11" s="1"/>
  <c r="I501" i="11"/>
  <c r="X501" i="11" s="1"/>
  <c r="I502" i="11"/>
  <c r="X502" i="11" s="1"/>
  <c r="I503" i="11"/>
  <c r="X503" i="11" s="1"/>
  <c r="I504" i="11"/>
  <c r="X504" i="11" s="1"/>
  <c r="I505" i="11"/>
  <c r="X505" i="11" s="1"/>
  <c r="I506" i="11"/>
  <c r="X506" i="11" s="1"/>
  <c r="I507" i="11"/>
  <c r="X507" i="11" s="1"/>
  <c r="I508" i="11"/>
  <c r="X508" i="11" s="1"/>
  <c r="I509" i="11"/>
  <c r="X509" i="11" s="1"/>
  <c r="I510" i="11"/>
  <c r="X510" i="11" s="1"/>
  <c r="I511" i="11"/>
  <c r="X511" i="11" s="1"/>
  <c r="I512" i="11"/>
  <c r="X512" i="11" s="1"/>
  <c r="I513" i="11"/>
  <c r="X513" i="11" s="1"/>
  <c r="I514" i="11"/>
  <c r="X514" i="11" s="1"/>
  <c r="I515" i="11"/>
  <c r="X515" i="11" s="1"/>
  <c r="I516" i="11"/>
  <c r="X516" i="11" s="1"/>
  <c r="I517" i="11"/>
  <c r="X517" i="11" s="1"/>
  <c r="I518" i="11"/>
  <c r="X518" i="11" s="1"/>
  <c r="I519" i="11"/>
  <c r="X519" i="11" s="1"/>
  <c r="I520" i="11"/>
  <c r="X520" i="11" s="1"/>
  <c r="I521" i="11"/>
  <c r="X521" i="11" s="1"/>
  <c r="I522" i="11"/>
  <c r="X522" i="11" s="1"/>
  <c r="I523" i="11"/>
  <c r="X523" i="11" s="1"/>
  <c r="I524" i="11"/>
  <c r="X524" i="11" s="1"/>
  <c r="I525" i="11"/>
  <c r="X525" i="11" s="1"/>
  <c r="I526" i="11"/>
  <c r="X526" i="11" s="1"/>
  <c r="I527" i="11"/>
  <c r="X527" i="11" s="1"/>
  <c r="I528" i="11"/>
  <c r="X528" i="11" s="1"/>
  <c r="I529" i="11"/>
  <c r="X529" i="11" s="1"/>
  <c r="I530" i="11"/>
  <c r="X530" i="11" s="1"/>
  <c r="I531" i="11"/>
  <c r="X531" i="11" s="1"/>
  <c r="I532" i="11"/>
  <c r="X532" i="11" s="1"/>
  <c r="I533" i="11"/>
  <c r="X533" i="11" s="1"/>
  <c r="I534" i="11"/>
  <c r="X534" i="11" s="1"/>
  <c r="I535" i="11"/>
  <c r="X535" i="11" s="1"/>
  <c r="I536" i="11"/>
  <c r="X536" i="11" s="1"/>
  <c r="I537" i="11"/>
  <c r="X537" i="11" s="1"/>
  <c r="I538" i="11"/>
  <c r="X538" i="11" s="1"/>
  <c r="I539" i="11"/>
  <c r="X539" i="11" s="1"/>
  <c r="I540" i="11"/>
  <c r="X540" i="11" s="1"/>
  <c r="I541" i="11"/>
  <c r="X541" i="11" s="1"/>
  <c r="I542" i="11"/>
  <c r="X542" i="11" s="1"/>
  <c r="I543" i="11"/>
  <c r="X543" i="11" s="1"/>
  <c r="I544" i="11"/>
  <c r="X544" i="11" s="1"/>
  <c r="I545" i="11"/>
  <c r="X545" i="11" s="1"/>
  <c r="I546" i="11"/>
  <c r="X546" i="11" s="1"/>
  <c r="I547" i="11"/>
  <c r="X547" i="11" s="1"/>
  <c r="I548" i="11"/>
  <c r="X548" i="11" s="1"/>
  <c r="I549" i="11"/>
  <c r="X549" i="11" s="1"/>
  <c r="I550" i="11"/>
  <c r="X550" i="11" s="1"/>
  <c r="I551" i="11"/>
  <c r="X551" i="11" s="1"/>
  <c r="I552" i="11"/>
  <c r="X552" i="11" s="1"/>
  <c r="I553" i="11"/>
  <c r="X553" i="11" s="1"/>
  <c r="I554" i="11"/>
  <c r="X554" i="11" s="1"/>
  <c r="I555" i="11"/>
  <c r="X555" i="11" s="1"/>
  <c r="I556" i="11"/>
  <c r="X556" i="11" s="1"/>
  <c r="I557" i="11"/>
  <c r="X557" i="11" s="1"/>
  <c r="I558" i="11"/>
  <c r="X558" i="11" s="1"/>
  <c r="I559" i="11"/>
  <c r="X559" i="11" s="1"/>
  <c r="I560" i="11"/>
  <c r="X560" i="11" s="1"/>
  <c r="I561" i="11"/>
  <c r="X561" i="11" s="1"/>
  <c r="I562" i="11"/>
  <c r="X562" i="11" s="1"/>
  <c r="I563" i="11"/>
  <c r="X563" i="11" s="1"/>
  <c r="I564" i="11"/>
  <c r="X564" i="11" s="1"/>
  <c r="I565" i="11"/>
  <c r="X565" i="11" s="1"/>
  <c r="I566" i="11"/>
  <c r="X566" i="11" s="1"/>
  <c r="I567" i="11"/>
  <c r="X567" i="11" s="1"/>
  <c r="I568" i="11"/>
  <c r="X568" i="11" s="1"/>
  <c r="I569" i="11"/>
  <c r="X569" i="11" s="1"/>
  <c r="I570" i="11"/>
  <c r="X570" i="11" s="1"/>
  <c r="I571" i="11"/>
  <c r="X571" i="11" s="1"/>
  <c r="I572" i="11"/>
  <c r="X572" i="11" s="1"/>
  <c r="I573" i="11"/>
  <c r="X573" i="11" s="1"/>
  <c r="I574" i="11"/>
  <c r="X574" i="11" s="1"/>
  <c r="I575" i="11"/>
  <c r="X575" i="11" s="1"/>
  <c r="I576" i="11"/>
  <c r="X576" i="11" s="1"/>
  <c r="I577" i="11"/>
  <c r="X577" i="11" s="1"/>
  <c r="I578" i="11"/>
  <c r="X578" i="11" s="1"/>
  <c r="I579" i="11"/>
  <c r="X579" i="11" s="1"/>
  <c r="I580" i="11"/>
  <c r="X580" i="11" s="1"/>
  <c r="I581" i="11"/>
  <c r="X581" i="11" s="1"/>
  <c r="I582" i="11"/>
  <c r="X582" i="11" s="1"/>
  <c r="I583" i="11"/>
  <c r="X583" i="11" s="1"/>
  <c r="I584" i="11"/>
  <c r="X584" i="11" s="1"/>
  <c r="I585" i="11"/>
  <c r="X585" i="11" s="1"/>
  <c r="I586" i="11"/>
  <c r="X586" i="11" s="1"/>
  <c r="I587" i="11"/>
  <c r="X587" i="11" s="1"/>
  <c r="I588" i="11"/>
  <c r="X588" i="11" s="1"/>
  <c r="I589" i="11"/>
  <c r="X589" i="11" s="1"/>
  <c r="I590" i="11"/>
  <c r="X590" i="11" s="1"/>
  <c r="I591" i="11"/>
  <c r="X591" i="11" s="1"/>
  <c r="I592" i="11"/>
  <c r="X592" i="11" s="1"/>
  <c r="I593" i="11"/>
  <c r="X593" i="11" s="1"/>
  <c r="I594" i="11"/>
  <c r="X594" i="11" s="1"/>
  <c r="I595" i="11"/>
  <c r="X595" i="11" s="1"/>
  <c r="I596" i="11"/>
  <c r="X596" i="11" s="1"/>
  <c r="I597" i="11"/>
  <c r="X597" i="11" s="1"/>
  <c r="I598" i="11"/>
  <c r="X598" i="11" s="1"/>
  <c r="I599" i="11"/>
  <c r="X599" i="11" s="1"/>
  <c r="I600" i="11"/>
  <c r="X600" i="11" s="1"/>
  <c r="I601" i="11"/>
  <c r="X601" i="11" s="1"/>
  <c r="I602" i="11"/>
  <c r="X602" i="11" s="1"/>
  <c r="I603" i="11"/>
  <c r="X603" i="11" s="1"/>
  <c r="I604" i="11"/>
  <c r="X604" i="11" s="1"/>
  <c r="I605" i="11"/>
  <c r="X605" i="11" s="1"/>
  <c r="I606" i="11"/>
  <c r="X606" i="11" s="1"/>
  <c r="I607" i="11"/>
  <c r="X607" i="11" s="1"/>
  <c r="I608" i="11"/>
  <c r="X608" i="11" s="1"/>
  <c r="I609" i="11"/>
  <c r="X609" i="11" s="1"/>
  <c r="I610" i="11"/>
  <c r="X610" i="11" s="1"/>
  <c r="I611" i="11"/>
  <c r="X611" i="11" s="1"/>
  <c r="I612" i="11"/>
  <c r="X612" i="11" s="1"/>
  <c r="I613" i="11"/>
  <c r="X613" i="11" s="1"/>
  <c r="I614" i="11"/>
  <c r="X614" i="11" s="1"/>
  <c r="I615" i="11"/>
  <c r="X615" i="11" s="1"/>
  <c r="I616" i="11"/>
  <c r="X616" i="11" s="1"/>
  <c r="I617" i="11"/>
  <c r="X617" i="11" s="1"/>
  <c r="I618" i="11"/>
  <c r="X618" i="11" s="1"/>
  <c r="I619" i="11"/>
  <c r="X619" i="11" s="1"/>
  <c r="I620" i="11"/>
  <c r="X620" i="11" s="1"/>
  <c r="I621" i="11"/>
  <c r="X621" i="11" s="1"/>
  <c r="I622" i="11"/>
  <c r="X622" i="11" s="1"/>
  <c r="I623" i="11"/>
  <c r="X623" i="11" s="1"/>
  <c r="I624" i="11"/>
  <c r="X624" i="11" s="1"/>
  <c r="I625" i="11"/>
  <c r="X625" i="11" s="1"/>
  <c r="I626" i="11"/>
  <c r="X626" i="11" s="1"/>
  <c r="I627" i="11"/>
  <c r="X627" i="11" s="1"/>
  <c r="I628" i="11"/>
  <c r="X628" i="11" s="1"/>
  <c r="I629" i="11"/>
  <c r="X629" i="11" s="1"/>
  <c r="I630" i="11"/>
  <c r="X630" i="11" s="1"/>
  <c r="I631" i="11"/>
  <c r="X631" i="11" s="1"/>
  <c r="I632" i="11"/>
  <c r="X632" i="11" s="1"/>
  <c r="I633" i="11"/>
  <c r="X633" i="11" s="1"/>
  <c r="I634" i="11"/>
  <c r="X634" i="11" s="1"/>
  <c r="I635" i="11"/>
  <c r="X635" i="11" s="1"/>
  <c r="I636" i="11"/>
  <c r="X636" i="11" s="1"/>
  <c r="I637" i="11"/>
  <c r="X637" i="11" s="1"/>
  <c r="I638" i="11"/>
  <c r="X638" i="11" s="1"/>
  <c r="I639" i="11"/>
  <c r="X639" i="11" s="1"/>
  <c r="I640" i="11"/>
  <c r="X640" i="11" s="1"/>
  <c r="I641" i="11"/>
  <c r="X641" i="11" s="1"/>
  <c r="I642" i="11"/>
  <c r="X642" i="11" s="1"/>
  <c r="I643" i="11"/>
  <c r="X643" i="11" s="1"/>
  <c r="I644" i="11"/>
  <c r="X644" i="11" s="1"/>
  <c r="I645" i="11"/>
  <c r="X645" i="11" s="1"/>
  <c r="I646" i="11"/>
  <c r="X646" i="11" s="1"/>
  <c r="I647" i="11"/>
  <c r="X647" i="11" s="1"/>
  <c r="I648" i="11"/>
  <c r="X648" i="11" s="1"/>
  <c r="I649" i="11"/>
  <c r="X649" i="11" s="1"/>
  <c r="I650" i="11"/>
  <c r="X650" i="11" s="1"/>
  <c r="I651" i="11"/>
  <c r="X651" i="11" s="1"/>
  <c r="I652" i="11"/>
  <c r="X652" i="11" s="1"/>
  <c r="I653" i="11"/>
  <c r="X653" i="11" s="1"/>
  <c r="I654" i="11"/>
  <c r="X654" i="11" s="1"/>
  <c r="I655" i="11"/>
  <c r="X655" i="11" s="1"/>
  <c r="I656" i="11"/>
  <c r="X656" i="11" s="1"/>
  <c r="I657" i="11"/>
  <c r="X657" i="11" s="1"/>
  <c r="I658" i="11"/>
  <c r="X658" i="11" s="1"/>
  <c r="I659" i="11"/>
  <c r="X659" i="11" s="1"/>
  <c r="I660" i="11"/>
  <c r="X660" i="11" s="1"/>
  <c r="I661" i="11"/>
  <c r="X661" i="11" s="1"/>
  <c r="I662" i="11"/>
  <c r="X662" i="11" s="1"/>
  <c r="I663" i="11"/>
  <c r="X663" i="11" s="1"/>
  <c r="I664" i="11"/>
  <c r="X664" i="11" s="1"/>
  <c r="I665" i="11"/>
  <c r="X665" i="11" s="1"/>
  <c r="I666" i="11"/>
  <c r="X666" i="11" s="1"/>
  <c r="I667" i="11"/>
  <c r="X667" i="11" s="1"/>
  <c r="I668" i="11"/>
  <c r="X668" i="11" s="1"/>
  <c r="I669" i="11"/>
  <c r="X669" i="11" s="1"/>
  <c r="I670" i="11"/>
  <c r="X670" i="11" s="1"/>
  <c r="I671" i="11"/>
  <c r="X671" i="11" s="1"/>
  <c r="I672" i="11"/>
  <c r="X672" i="11" s="1"/>
  <c r="I673" i="11"/>
  <c r="X673" i="11" s="1"/>
  <c r="I674" i="11"/>
  <c r="X674" i="11" s="1"/>
  <c r="I675" i="11"/>
  <c r="X675" i="11" s="1"/>
  <c r="I676" i="11"/>
  <c r="X676" i="11" s="1"/>
  <c r="I677" i="11"/>
  <c r="X677" i="11" s="1"/>
  <c r="I678" i="11"/>
  <c r="X678" i="11" s="1"/>
  <c r="I679" i="11"/>
  <c r="X679" i="11" s="1"/>
  <c r="I680" i="11"/>
  <c r="X680" i="11" s="1"/>
  <c r="I681" i="11"/>
  <c r="X681" i="11" s="1"/>
  <c r="I682" i="11"/>
  <c r="X682" i="11" s="1"/>
  <c r="I683" i="11"/>
  <c r="X683" i="11" s="1"/>
  <c r="I684" i="11"/>
  <c r="X684" i="11" s="1"/>
  <c r="I685" i="11"/>
  <c r="X685" i="11" s="1"/>
  <c r="I686" i="11"/>
  <c r="X686" i="11" s="1"/>
  <c r="I687" i="11"/>
  <c r="X687" i="11" s="1"/>
  <c r="I688" i="11"/>
  <c r="X688" i="11" s="1"/>
  <c r="I689" i="11"/>
  <c r="X689" i="11" s="1"/>
  <c r="I690" i="11"/>
  <c r="X690" i="11" s="1"/>
  <c r="I691" i="11"/>
  <c r="X691" i="11" s="1"/>
  <c r="I692" i="11"/>
  <c r="X692" i="11" s="1"/>
  <c r="I693" i="11"/>
  <c r="X693" i="11" s="1"/>
  <c r="I694" i="11"/>
  <c r="X694" i="11" s="1"/>
  <c r="I695" i="11"/>
  <c r="X695" i="11" s="1"/>
  <c r="I696" i="11"/>
  <c r="X696" i="11" s="1"/>
  <c r="I697" i="11"/>
  <c r="X697" i="11" s="1"/>
  <c r="I698" i="11"/>
  <c r="X698" i="11" s="1"/>
  <c r="I699" i="11"/>
  <c r="X699" i="11" s="1"/>
  <c r="I700" i="11"/>
  <c r="X700" i="11" s="1"/>
  <c r="I701" i="11"/>
  <c r="X701" i="11" s="1"/>
  <c r="I702" i="11"/>
  <c r="X702" i="11" s="1"/>
  <c r="I703" i="11"/>
  <c r="X703" i="11" s="1"/>
  <c r="I704" i="11"/>
  <c r="X704" i="11" s="1"/>
  <c r="I705" i="11"/>
  <c r="X705" i="11" s="1"/>
  <c r="I706" i="11"/>
  <c r="X706" i="11" s="1"/>
  <c r="I707" i="11"/>
  <c r="X707" i="11" s="1"/>
  <c r="I708" i="11"/>
  <c r="X708" i="11" s="1"/>
  <c r="I709" i="11"/>
  <c r="X709" i="11" s="1"/>
  <c r="I710" i="11"/>
  <c r="X710" i="11" s="1"/>
  <c r="I711" i="11"/>
  <c r="X711" i="11" s="1"/>
  <c r="I712" i="11"/>
  <c r="X712" i="11" s="1"/>
  <c r="I713" i="11"/>
  <c r="X713" i="11" s="1"/>
  <c r="I714" i="11"/>
  <c r="X714" i="11" s="1"/>
  <c r="I715" i="11"/>
  <c r="X715" i="11" s="1"/>
  <c r="I716" i="11"/>
  <c r="X716" i="11" s="1"/>
  <c r="I717" i="11"/>
  <c r="X717" i="11" s="1"/>
  <c r="I718" i="11"/>
  <c r="X718" i="11" s="1"/>
  <c r="I719" i="11"/>
  <c r="X719" i="11" s="1"/>
  <c r="I720" i="11"/>
  <c r="X720" i="11" s="1"/>
  <c r="I721" i="11"/>
  <c r="X721" i="11" s="1"/>
  <c r="I722" i="11"/>
  <c r="X722" i="11" s="1"/>
  <c r="I723" i="11"/>
  <c r="X723" i="11" s="1"/>
  <c r="I724" i="11"/>
  <c r="X724" i="11" s="1"/>
  <c r="I725" i="11"/>
  <c r="X725" i="11" s="1"/>
  <c r="I726" i="11"/>
  <c r="X726" i="11" s="1"/>
  <c r="I727" i="11"/>
  <c r="X727" i="11" s="1"/>
  <c r="I728" i="11"/>
  <c r="X728" i="11" s="1"/>
  <c r="I729" i="11"/>
  <c r="X729" i="11" s="1"/>
  <c r="I730" i="11"/>
  <c r="X730" i="11" s="1"/>
  <c r="I731" i="11"/>
  <c r="X731" i="11" s="1"/>
  <c r="I732" i="11"/>
  <c r="X732" i="11" s="1"/>
  <c r="I733" i="11"/>
  <c r="X733" i="11" s="1"/>
  <c r="I734" i="11"/>
  <c r="X734" i="11" s="1"/>
  <c r="I735" i="11"/>
  <c r="X735" i="11" s="1"/>
  <c r="I736" i="11"/>
  <c r="X736" i="11" s="1"/>
  <c r="I737" i="11"/>
  <c r="X737" i="11" s="1"/>
  <c r="I738" i="11"/>
  <c r="X738" i="11" s="1"/>
  <c r="I739" i="11"/>
  <c r="X739" i="11" s="1"/>
  <c r="I740" i="11"/>
  <c r="X740" i="11" s="1"/>
  <c r="I741" i="11"/>
  <c r="X741" i="11" s="1"/>
  <c r="I742" i="11"/>
  <c r="X742" i="11" s="1"/>
  <c r="I743" i="11"/>
  <c r="X743" i="11" s="1"/>
  <c r="I744" i="11"/>
  <c r="X744" i="11" s="1"/>
  <c r="I745" i="11"/>
  <c r="X745" i="11" s="1"/>
  <c r="I746" i="11"/>
  <c r="X746" i="11" s="1"/>
  <c r="I747" i="11"/>
  <c r="X747" i="11" s="1"/>
  <c r="I748" i="11"/>
  <c r="X748" i="11" s="1"/>
  <c r="I749" i="11"/>
  <c r="X749" i="11" s="1"/>
  <c r="I750" i="11"/>
  <c r="X750" i="11" s="1"/>
  <c r="I751" i="11"/>
  <c r="X751" i="11" s="1"/>
  <c r="I752" i="11"/>
  <c r="X752" i="11" s="1"/>
  <c r="I753" i="11"/>
  <c r="X753" i="11" s="1"/>
  <c r="I754" i="11"/>
  <c r="X754" i="11" s="1"/>
  <c r="I755" i="11"/>
  <c r="X755" i="11" s="1"/>
  <c r="I756" i="11"/>
  <c r="X756" i="11" s="1"/>
  <c r="I757" i="11"/>
  <c r="X757" i="11" s="1"/>
  <c r="I758" i="11"/>
  <c r="X758" i="11" s="1"/>
  <c r="I759" i="11"/>
  <c r="X759" i="11" s="1"/>
  <c r="I760" i="11"/>
  <c r="X760" i="11" s="1"/>
  <c r="I761" i="11"/>
  <c r="X761" i="11" s="1"/>
  <c r="I762" i="11"/>
  <c r="X762" i="11" s="1"/>
  <c r="I763" i="11"/>
  <c r="X763" i="11" s="1"/>
  <c r="I764" i="11"/>
  <c r="X764" i="11" s="1"/>
  <c r="I765" i="11"/>
  <c r="X765" i="11" s="1"/>
  <c r="I766" i="11"/>
  <c r="X766" i="11" s="1"/>
  <c r="I767" i="11"/>
  <c r="X767" i="11" s="1"/>
  <c r="I768" i="11"/>
  <c r="X768" i="11" s="1"/>
  <c r="I769" i="11"/>
  <c r="X769" i="11" s="1"/>
  <c r="I770" i="11"/>
  <c r="X770" i="11" s="1"/>
  <c r="I771" i="11"/>
  <c r="X771" i="11" s="1"/>
  <c r="I772" i="11"/>
  <c r="X772" i="11" s="1"/>
  <c r="I773" i="11"/>
  <c r="X773" i="11" s="1"/>
  <c r="I774" i="11"/>
  <c r="X774" i="11" s="1"/>
  <c r="I775" i="11"/>
  <c r="X775" i="11" s="1"/>
  <c r="I776" i="11"/>
  <c r="X776" i="11" s="1"/>
  <c r="I777" i="11"/>
  <c r="X777" i="11" s="1"/>
  <c r="I778" i="11"/>
  <c r="X778" i="11" s="1"/>
  <c r="I779" i="11"/>
  <c r="X779" i="11" s="1"/>
  <c r="I780" i="11"/>
  <c r="X780" i="11" s="1"/>
  <c r="I781" i="11"/>
  <c r="X781" i="11" s="1"/>
  <c r="I782" i="11"/>
  <c r="X782" i="11" s="1"/>
  <c r="I783" i="11"/>
  <c r="X783" i="11" s="1"/>
  <c r="I784" i="11"/>
  <c r="X784" i="11" s="1"/>
  <c r="I785" i="11"/>
  <c r="X785" i="11" s="1"/>
  <c r="I786" i="11"/>
  <c r="X786" i="11" s="1"/>
  <c r="I787" i="11"/>
  <c r="X787" i="11" s="1"/>
  <c r="I788" i="11"/>
  <c r="X788" i="11" s="1"/>
  <c r="I789" i="11"/>
  <c r="X789" i="11" s="1"/>
  <c r="I790" i="11"/>
  <c r="X790" i="11" s="1"/>
  <c r="I791" i="11"/>
  <c r="X791" i="11" s="1"/>
  <c r="I792" i="11"/>
  <c r="X792" i="11" s="1"/>
  <c r="I793" i="11"/>
  <c r="X793" i="11" s="1"/>
  <c r="I794" i="11"/>
  <c r="X794" i="11" s="1"/>
  <c r="I795" i="11"/>
  <c r="X795" i="11" s="1"/>
  <c r="I796" i="11"/>
  <c r="X796" i="11" s="1"/>
  <c r="I797" i="11"/>
  <c r="X797" i="11" s="1"/>
  <c r="I798" i="11"/>
  <c r="X798" i="11" s="1"/>
  <c r="I799" i="11"/>
  <c r="X799" i="11" s="1"/>
  <c r="I800" i="11"/>
  <c r="X800" i="11" s="1"/>
  <c r="I801" i="11"/>
  <c r="X801" i="11" s="1"/>
  <c r="I802" i="11"/>
  <c r="X802" i="11" s="1"/>
  <c r="I803" i="11"/>
  <c r="X803" i="11" s="1"/>
  <c r="I804" i="11"/>
  <c r="X804" i="11" s="1"/>
  <c r="I805" i="11"/>
  <c r="X805" i="11" s="1"/>
  <c r="I806" i="11"/>
  <c r="X806" i="11" s="1"/>
  <c r="I807" i="11"/>
  <c r="X807" i="11" s="1"/>
  <c r="I808" i="11"/>
  <c r="X808" i="11" s="1"/>
  <c r="I809" i="11"/>
  <c r="X809" i="11" s="1"/>
  <c r="I810" i="11"/>
  <c r="X810" i="11" s="1"/>
  <c r="I811" i="11"/>
  <c r="X811" i="11" s="1"/>
  <c r="I812" i="11"/>
  <c r="X812" i="11" s="1"/>
  <c r="I813" i="11"/>
  <c r="X813" i="11" s="1"/>
  <c r="I814" i="11"/>
  <c r="X814" i="11" s="1"/>
  <c r="I815" i="11"/>
  <c r="X815" i="11" s="1"/>
  <c r="I816" i="11"/>
  <c r="X816" i="11" s="1"/>
  <c r="I817" i="11"/>
  <c r="X817" i="11" s="1"/>
  <c r="I818" i="11"/>
  <c r="X818" i="11" s="1"/>
  <c r="I819" i="11"/>
  <c r="X819" i="11" s="1"/>
  <c r="I820" i="11"/>
  <c r="X820" i="11" s="1"/>
  <c r="I821" i="11"/>
  <c r="X821" i="11" s="1"/>
  <c r="I822" i="11"/>
  <c r="X822" i="11" s="1"/>
  <c r="I823" i="11"/>
  <c r="X823" i="11" s="1"/>
  <c r="I824" i="11"/>
  <c r="X824" i="11" s="1"/>
  <c r="I825" i="11"/>
  <c r="X825" i="11" s="1"/>
  <c r="I826" i="11"/>
  <c r="X826" i="11" s="1"/>
  <c r="I827" i="11"/>
  <c r="X827" i="11" s="1"/>
  <c r="I828" i="11"/>
  <c r="X828" i="11" s="1"/>
  <c r="I829" i="11"/>
  <c r="X829" i="11" s="1"/>
  <c r="I830" i="11"/>
  <c r="X830" i="11" s="1"/>
  <c r="I831" i="11"/>
  <c r="X831" i="11" s="1"/>
  <c r="I832" i="11"/>
  <c r="X832" i="11" s="1"/>
  <c r="I833" i="11"/>
  <c r="X833" i="11" s="1"/>
  <c r="I834" i="11"/>
  <c r="X834" i="11" s="1"/>
  <c r="I835" i="11"/>
  <c r="X835" i="11" s="1"/>
  <c r="I836" i="11"/>
  <c r="X836" i="11" s="1"/>
  <c r="I837" i="11"/>
  <c r="X837" i="11" s="1"/>
  <c r="I838" i="11"/>
  <c r="X838" i="11" s="1"/>
  <c r="I839" i="11"/>
  <c r="X839" i="11" s="1"/>
  <c r="I840" i="11"/>
  <c r="X840" i="11" s="1"/>
  <c r="I841" i="11"/>
  <c r="X841" i="11" s="1"/>
  <c r="I842" i="11"/>
  <c r="X842" i="11" s="1"/>
  <c r="I843" i="11"/>
  <c r="X843" i="11" s="1"/>
  <c r="I844" i="11"/>
  <c r="X844" i="11" s="1"/>
  <c r="I845" i="11"/>
  <c r="X845" i="11" s="1"/>
  <c r="I846" i="11"/>
  <c r="X846" i="11" s="1"/>
  <c r="I847" i="11"/>
  <c r="X847" i="11" s="1"/>
  <c r="I848" i="11"/>
  <c r="X848" i="11" s="1"/>
  <c r="I849" i="11"/>
  <c r="X849" i="11" s="1"/>
  <c r="I850" i="11"/>
  <c r="X850" i="11" s="1"/>
  <c r="I851" i="11"/>
  <c r="X851" i="11" s="1"/>
  <c r="I852" i="11"/>
  <c r="X852" i="11" s="1"/>
  <c r="I853" i="11"/>
  <c r="X853" i="11" s="1"/>
  <c r="I854" i="11"/>
  <c r="X854" i="11" s="1"/>
  <c r="I855" i="11"/>
  <c r="X855" i="11" s="1"/>
  <c r="I856" i="11"/>
  <c r="X856" i="11" s="1"/>
  <c r="I857" i="11"/>
  <c r="X857" i="11" s="1"/>
  <c r="I858" i="11"/>
  <c r="X858" i="11" s="1"/>
  <c r="I859" i="11"/>
  <c r="X859" i="11" s="1"/>
  <c r="I860" i="11"/>
  <c r="X860" i="11" s="1"/>
  <c r="I861" i="11"/>
  <c r="X861" i="11" s="1"/>
  <c r="I862" i="11"/>
  <c r="X862" i="11" s="1"/>
  <c r="I863" i="11"/>
  <c r="X863" i="11" s="1"/>
  <c r="I864" i="11"/>
  <c r="X864" i="11" s="1"/>
  <c r="I865" i="11"/>
  <c r="X865" i="11" s="1"/>
  <c r="I866" i="11"/>
  <c r="X866" i="11" s="1"/>
  <c r="I867" i="11"/>
  <c r="X867" i="11" s="1"/>
  <c r="I868" i="11"/>
  <c r="X868" i="11" s="1"/>
  <c r="I869" i="11"/>
  <c r="X869" i="11" s="1"/>
  <c r="I870" i="11"/>
  <c r="X870" i="11" s="1"/>
  <c r="I871" i="11"/>
  <c r="X871" i="11" s="1"/>
  <c r="I872" i="11"/>
  <c r="X872" i="11" s="1"/>
  <c r="I873" i="11"/>
  <c r="X873" i="11" s="1"/>
  <c r="I874" i="11"/>
  <c r="X874" i="11" s="1"/>
  <c r="I875" i="11"/>
  <c r="X875" i="11" s="1"/>
  <c r="I876" i="11"/>
  <c r="X876" i="11" s="1"/>
  <c r="I877" i="11"/>
  <c r="X877" i="11" s="1"/>
  <c r="I878" i="11"/>
  <c r="X878" i="11" s="1"/>
  <c r="I879" i="11"/>
  <c r="X879" i="11" s="1"/>
  <c r="I880" i="11"/>
  <c r="X880" i="11" s="1"/>
  <c r="I881" i="11"/>
  <c r="X881" i="11" s="1"/>
  <c r="I882" i="11"/>
  <c r="X882" i="11" s="1"/>
  <c r="I883" i="11"/>
  <c r="X883" i="11" s="1"/>
  <c r="I884" i="11"/>
  <c r="X884" i="11" s="1"/>
  <c r="I885" i="11"/>
  <c r="X885" i="11" s="1"/>
  <c r="I886" i="11"/>
  <c r="X886" i="11" s="1"/>
  <c r="I887" i="11"/>
  <c r="X887" i="11" s="1"/>
  <c r="I888" i="11"/>
  <c r="X888" i="11" s="1"/>
  <c r="I889" i="11"/>
  <c r="X889" i="11" s="1"/>
  <c r="I890" i="11"/>
  <c r="X890" i="11" s="1"/>
  <c r="I891" i="11"/>
  <c r="X891" i="11" s="1"/>
  <c r="I892" i="11"/>
  <c r="X892" i="11" s="1"/>
  <c r="I893" i="11"/>
  <c r="X893" i="11" s="1"/>
  <c r="I894" i="11"/>
  <c r="X894" i="11" s="1"/>
  <c r="I895" i="11"/>
  <c r="X895" i="11" s="1"/>
  <c r="I896" i="11"/>
  <c r="X896" i="11" s="1"/>
  <c r="I897" i="11"/>
  <c r="X897" i="11" s="1"/>
  <c r="I898" i="11"/>
  <c r="X898" i="11" s="1"/>
  <c r="I899" i="11"/>
  <c r="X899" i="11" s="1"/>
  <c r="I900" i="11"/>
  <c r="X900" i="11" s="1"/>
  <c r="I901" i="11"/>
  <c r="X901" i="11" s="1"/>
  <c r="I902" i="11"/>
  <c r="X902" i="11" s="1"/>
  <c r="I903" i="11"/>
  <c r="X903" i="11" s="1"/>
  <c r="I904" i="11"/>
  <c r="X904" i="11" s="1"/>
  <c r="I905" i="11"/>
  <c r="X905" i="11" s="1"/>
  <c r="I906" i="11"/>
  <c r="X906" i="11" s="1"/>
  <c r="I907" i="11"/>
  <c r="X907" i="11" s="1"/>
  <c r="I908" i="11"/>
  <c r="X908" i="11" s="1"/>
  <c r="I909" i="11"/>
  <c r="X909" i="11" s="1"/>
  <c r="I910" i="11"/>
  <c r="X910" i="11" s="1"/>
  <c r="I911" i="11"/>
  <c r="X911" i="11" s="1"/>
  <c r="I912" i="11"/>
  <c r="X912" i="11" s="1"/>
  <c r="I913" i="11"/>
  <c r="X913" i="11" s="1"/>
  <c r="I914" i="11"/>
  <c r="X914" i="11" s="1"/>
  <c r="I915" i="11"/>
  <c r="X915" i="11" s="1"/>
  <c r="I916" i="11"/>
  <c r="X916" i="11" s="1"/>
  <c r="I917" i="11"/>
  <c r="X917" i="11" s="1"/>
  <c r="I918" i="11"/>
  <c r="X918" i="11" s="1"/>
  <c r="I919" i="11"/>
  <c r="X919" i="11" s="1"/>
  <c r="I920" i="11"/>
  <c r="X920" i="11" s="1"/>
  <c r="I921" i="11"/>
  <c r="X921" i="11" s="1"/>
  <c r="I922" i="11"/>
  <c r="X922" i="11" s="1"/>
  <c r="I923" i="11"/>
  <c r="X923" i="11" s="1"/>
  <c r="I924" i="11"/>
  <c r="X924" i="11" s="1"/>
  <c r="I925" i="11"/>
  <c r="X925" i="11" s="1"/>
  <c r="I926" i="11"/>
  <c r="X926" i="11" s="1"/>
  <c r="I927" i="11"/>
  <c r="X927" i="11" s="1"/>
  <c r="I928" i="11"/>
  <c r="X928" i="11" s="1"/>
  <c r="I929" i="11"/>
  <c r="X929" i="11" s="1"/>
  <c r="I930" i="11"/>
  <c r="X930" i="11" s="1"/>
  <c r="I931" i="11"/>
  <c r="X931" i="11" s="1"/>
  <c r="I932" i="11"/>
  <c r="X932" i="11" s="1"/>
  <c r="I933" i="11"/>
  <c r="X933" i="11" s="1"/>
  <c r="I934" i="11"/>
  <c r="X934" i="11" s="1"/>
  <c r="I935" i="11"/>
  <c r="X935" i="11" s="1"/>
  <c r="I936" i="11"/>
  <c r="X936" i="11" s="1"/>
  <c r="I937" i="11"/>
  <c r="X937" i="11" s="1"/>
  <c r="I938" i="11"/>
  <c r="X938" i="11" s="1"/>
  <c r="I939" i="11"/>
  <c r="X939" i="11" s="1"/>
  <c r="I940" i="11"/>
  <c r="X940" i="11" s="1"/>
  <c r="I941" i="11"/>
  <c r="X941" i="11" s="1"/>
  <c r="I942" i="11"/>
  <c r="X942" i="11" s="1"/>
  <c r="I943" i="11"/>
  <c r="X943" i="11" s="1"/>
  <c r="I944" i="11"/>
  <c r="X944" i="11" s="1"/>
  <c r="I945" i="11"/>
  <c r="X945" i="11" s="1"/>
  <c r="I946" i="11"/>
  <c r="X946" i="11" s="1"/>
  <c r="I947" i="11"/>
  <c r="X947" i="11" s="1"/>
  <c r="I948" i="11"/>
  <c r="X948" i="11" s="1"/>
  <c r="I949" i="11"/>
  <c r="X949" i="11" s="1"/>
  <c r="I950" i="11"/>
  <c r="X950" i="11" s="1"/>
  <c r="I951" i="11"/>
  <c r="X951" i="11" s="1"/>
  <c r="I952" i="11"/>
  <c r="X952" i="11" s="1"/>
  <c r="I953" i="11"/>
  <c r="X953" i="11" s="1"/>
  <c r="I954" i="11"/>
  <c r="X954" i="11" s="1"/>
  <c r="I955" i="11"/>
  <c r="X955" i="11" s="1"/>
  <c r="I956" i="11"/>
  <c r="X956" i="11" s="1"/>
  <c r="I957" i="11"/>
  <c r="X957" i="11" s="1"/>
  <c r="I958" i="11"/>
  <c r="X958" i="11" s="1"/>
  <c r="I959" i="11"/>
  <c r="X959" i="11" s="1"/>
  <c r="I960" i="11"/>
  <c r="X960" i="11" s="1"/>
  <c r="I961" i="11"/>
  <c r="X961" i="11" s="1"/>
  <c r="I962" i="11"/>
  <c r="X962" i="11" s="1"/>
  <c r="I963" i="11"/>
  <c r="X963" i="11" s="1"/>
  <c r="I964" i="11"/>
  <c r="X964" i="11" s="1"/>
  <c r="I965" i="11"/>
  <c r="X965" i="11" s="1"/>
  <c r="I966" i="11"/>
  <c r="X966" i="11" s="1"/>
  <c r="I967" i="11"/>
  <c r="X967" i="11" s="1"/>
  <c r="I968" i="11"/>
  <c r="X968" i="11" s="1"/>
  <c r="I969" i="11"/>
  <c r="X969" i="11" s="1"/>
  <c r="I970" i="11"/>
  <c r="X970" i="11" s="1"/>
  <c r="I971" i="11"/>
  <c r="X971" i="11" s="1"/>
  <c r="I972" i="11"/>
  <c r="X972" i="11" s="1"/>
  <c r="I973" i="11"/>
  <c r="X973" i="11" s="1"/>
  <c r="I974" i="11"/>
  <c r="X974" i="11" s="1"/>
  <c r="I975" i="11"/>
  <c r="X975" i="11" s="1"/>
  <c r="I976" i="11"/>
  <c r="X976" i="11" s="1"/>
  <c r="I977" i="11"/>
  <c r="X977" i="11" s="1"/>
  <c r="I978" i="11"/>
  <c r="X978" i="11" s="1"/>
  <c r="I979" i="11"/>
  <c r="X979" i="11" s="1"/>
  <c r="I980" i="11"/>
  <c r="X980" i="11" s="1"/>
  <c r="I981" i="11"/>
  <c r="X981" i="11" s="1"/>
  <c r="I982" i="11"/>
  <c r="X982" i="11" s="1"/>
  <c r="I983" i="11"/>
  <c r="X983" i="11" s="1"/>
  <c r="I984" i="11"/>
  <c r="X984" i="11" s="1"/>
  <c r="I985" i="11"/>
  <c r="X985" i="11" s="1"/>
  <c r="I986" i="11"/>
  <c r="X986" i="11" s="1"/>
  <c r="I987" i="11"/>
  <c r="X987" i="11" s="1"/>
  <c r="I988" i="11"/>
  <c r="X988" i="11" s="1"/>
  <c r="I989" i="11"/>
  <c r="X989" i="11" s="1"/>
  <c r="I990" i="11"/>
  <c r="X990" i="11" s="1"/>
  <c r="I991" i="11"/>
  <c r="X991" i="11" s="1"/>
  <c r="I992" i="11"/>
  <c r="X992" i="11" s="1"/>
  <c r="I993" i="11"/>
  <c r="X993" i="11" s="1"/>
  <c r="I994" i="11"/>
  <c r="X994" i="11" s="1"/>
  <c r="I995" i="11"/>
  <c r="X995" i="11" s="1"/>
  <c r="I996" i="11"/>
  <c r="X996" i="11" s="1"/>
  <c r="I997" i="11"/>
  <c r="X997" i="11" s="1"/>
  <c r="I998" i="11"/>
  <c r="X998" i="11" s="1"/>
  <c r="I999" i="11"/>
  <c r="X999" i="11" s="1"/>
  <c r="I1000" i="11"/>
  <c r="X1000" i="11" s="1"/>
  <c r="I1001" i="11"/>
  <c r="X1001" i="11" s="1"/>
  <c r="I1002" i="11"/>
  <c r="X1002" i="11" s="1"/>
  <c r="I1003" i="11"/>
  <c r="X1003" i="11" s="1"/>
  <c r="I1004" i="11"/>
  <c r="X1004" i="11" s="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2" i="11"/>
  <c r="H63" i="11"/>
  <c r="H61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000" i="11"/>
  <c r="H1001" i="11"/>
  <c r="H1002" i="11"/>
  <c r="H1003" i="11"/>
  <c r="H1004" i="11"/>
  <c r="G5" i="11"/>
  <c r="M5" i="11" s="1"/>
  <c r="G6" i="11"/>
  <c r="M6" i="11" s="1"/>
  <c r="G7" i="11"/>
  <c r="M7" i="11" s="1"/>
  <c r="G8" i="11"/>
  <c r="M8" i="11" s="1"/>
  <c r="G9" i="11"/>
  <c r="M9" i="11" s="1"/>
  <c r="G10" i="11"/>
  <c r="M10" i="11" s="1"/>
  <c r="G11" i="11"/>
  <c r="M11" i="11" s="1"/>
  <c r="G12" i="11"/>
  <c r="M12" i="11" s="1"/>
  <c r="G13" i="11"/>
  <c r="M13" i="11" s="1"/>
  <c r="G14" i="11"/>
  <c r="M14" i="11" s="1"/>
  <c r="G15" i="11"/>
  <c r="M15" i="11" s="1"/>
  <c r="G16" i="11"/>
  <c r="M16" i="11" s="1"/>
  <c r="G17" i="11"/>
  <c r="M17" i="11" s="1"/>
  <c r="G18" i="11"/>
  <c r="M18" i="11" s="1"/>
  <c r="G19" i="11"/>
  <c r="M19" i="11" s="1"/>
  <c r="G20" i="11"/>
  <c r="M20" i="11" s="1"/>
  <c r="G21" i="11"/>
  <c r="M21" i="11" s="1"/>
  <c r="G22" i="11"/>
  <c r="M22" i="11" s="1"/>
  <c r="G23" i="11"/>
  <c r="M23" i="11" s="1"/>
  <c r="G24" i="11"/>
  <c r="M24" i="11" s="1"/>
  <c r="G25" i="11"/>
  <c r="M25" i="11" s="1"/>
  <c r="G26" i="11"/>
  <c r="M26" i="11" s="1"/>
  <c r="G27" i="11"/>
  <c r="M27" i="11" s="1"/>
  <c r="G28" i="11"/>
  <c r="M28" i="11" s="1"/>
  <c r="G29" i="11"/>
  <c r="M29" i="11" s="1"/>
  <c r="G30" i="11"/>
  <c r="M30" i="11" s="1"/>
  <c r="G31" i="11"/>
  <c r="M31" i="11" s="1"/>
  <c r="G32" i="11"/>
  <c r="M32" i="11" s="1"/>
  <c r="G33" i="11"/>
  <c r="M33" i="11" s="1"/>
  <c r="G34" i="11"/>
  <c r="M34" i="11" s="1"/>
  <c r="G35" i="11"/>
  <c r="M35" i="11" s="1"/>
  <c r="G36" i="11"/>
  <c r="M36" i="11" s="1"/>
  <c r="G37" i="11"/>
  <c r="M37" i="11" s="1"/>
  <c r="G38" i="11"/>
  <c r="M38" i="11" s="1"/>
  <c r="G39" i="11"/>
  <c r="M39" i="11" s="1"/>
  <c r="G40" i="11"/>
  <c r="M40" i="11" s="1"/>
  <c r="G41" i="11"/>
  <c r="M41" i="11" s="1"/>
  <c r="G42" i="11"/>
  <c r="M42" i="11" s="1"/>
  <c r="G43" i="11"/>
  <c r="M43" i="11" s="1"/>
  <c r="G44" i="11"/>
  <c r="M44" i="11" s="1"/>
  <c r="G45" i="11"/>
  <c r="M45" i="11" s="1"/>
  <c r="G46" i="11"/>
  <c r="M46" i="11" s="1"/>
  <c r="G47" i="11"/>
  <c r="M47" i="11" s="1"/>
  <c r="G48" i="11"/>
  <c r="M48" i="11" s="1"/>
  <c r="G49" i="11"/>
  <c r="M49" i="11" s="1"/>
  <c r="G50" i="11"/>
  <c r="M50" i="11" s="1"/>
  <c r="G51" i="11"/>
  <c r="M51" i="11" s="1"/>
  <c r="G52" i="11"/>
  <c r="M52" i="11" s="1"/>
  <c r="G53" i="11"/>
  <c r="M53" i="11" s="1"/>
  <c r="G54" i="11"/>
  <c r="M54" i="11" s="1"/>
  <c r="G55" i="11"/>
  <c r="M55" i="11" s="1"/>
  <c r="G56" i="11"/>
  <c r="M56" i="11" s="1"/>
  <c r="G57" i="11"/>
  <c r="M57" i="11" s="1"/>
  <c r="G58" i="11"/>
  <c r="M58" i="11" s="1"/>
  <c r="G59" i="11"/>
  <c r="M59" i="11" s="1"/>
  <c r="G60" i="11"/>
  <c r="M60" i="11" s="1"/>
  <c r="G62" i="11"/>
  <c r="M62" i="11" s="1"/>
  <c r="G63" i="11"/>
  <c r="M63" i="11" s="1"/>
  <c r="G61" i="11"/>
  <c r="M61" i="11" s="1"/>
  <c r="G64" i="11"/>
  <c r="M64" i="11" s="1"/>
  <c r="G65" i="11"/>
  <c r="M65" i="11" s="1"/>
  <c r="G66" i="11"/>
  <c r="M66" i="11" s="1"/>
  <c r="G67" i="11"/>
  <c r="M67" i="11" s="1"/>
  <c r="G68" i="11"/>
  <c r="M68" i="11" s="1"/>
  <c r="G69" i="11"/>
  <c r="M69" i="11" s="1"/>
  <c r="G70" i="11"/>
  <c r="M70" i="11" s="1"/>
  <c r="G71" i="11"/>
  <c r="M71" i="11" s="1"/>
  <c r="G72" i="11"/>
  <c r="M72" i="11" s="1"/>
  <c r="G73" i="11"/>
  <c r="M73" i="11" s="1"/>
  <c r="G74" i="11"/>
  <c r="M74" i="11" s="1"/>
  <c r="G75" i="11"/>
  <c r="M75" i="11" s="1"/>
  <c r="G76" i="11"/>
  <c r="M76" i="11" s="1"/>
  <c r="G77" i="11"/>
  <c r="M77" i="11" s="1"/>
  <c r="G78" i="11"/>
  <c r="M78" i="11" s="1"/>
  <c r="G79" i="11"/>
  <c r="M79" i="11" s="1"/>
  <c r="G80" i="11"/>
  <c r="M80" i="11" s="1"/>
  <c r="G81" i="11"/>
  <c r="M81" i="11" s="1"/>
  <c r="G82" i="11"/>
  <c r="M82" i="11" s="1"/>
  <c r="G83" i="11"/>
  <c r="M83" i="11" s="1"/>
  <c r="G84" i="11"/>
  <c r="M84" i="11" s="1"/>
  <c r="G85" i="11"/>
  <c r="M85" i="11" s="1"/>
  <c r="G86" i="11"/>
  <c r="M86" i="11" s="1"/>
  <c r="G87" i="11"/>
  <c r="M87" i="11" s="1"/>
  <c r="G88" i="11"/>
  <c r="M88" i="11" s="1"/>
  <c r="G89" i="11"/>
  <c r="M89" i="11" s="1"/>
  <c r="G90" i="11"/>
  <c r="M90" i="11" s="1"/>
  <c r="G91" i="11"/>
  <c r="M91" i="11" s="1"/>
  <c r="G92" i="11"/>
  <c r="M92" i="11" s="1"/>
  <c r="G93" i="11"/>
  <c r="M93" i="11" s="1"/>
  <c r="G94" i="11"/>
  <c r="M94" i="11" s="1"/>
  <c r="G95" i="11"/>
  <c r="M95" i="11" s="1"/>
  <c r="G96" i="11"/>
  <c r="M96" i="11" s="1"/>
  <c r="G97" i="11"/>
  <c r="M97" i="11" s="1"/>
  <c r="G98" i="11"/>
  <c r="M98" i="11" s="1"/>
  <c r="G99" i="11"/>
  <c r="M99" i="11" s="1"/>
  <c r="G100" i="11"/>
  <c r="M100" i="11" s="1"/>
  <c r="G101" i="11"/>
  <c r="M101" i="11" s="1"/>
  <c r="G102" i="11"/>
  <c r="M102" i="11" s="1"/>
  <c r="G103" i="11"/>
  <c r="M103" i="11" s="1"/>
  <c r="G104" i="11"/>
  <c r="M104" i="11" s="1"/>
  <c r="G105" i="11"/>
  <c r="M105" i="11" s="1"/>
  <c r="G106" i="11"/>
  <c r="M106" i="11" s="1"/>
  <c r="G107" i="11"/>
  <c r="M107" i="11" s="1"/>
  <c r="G108" i="11"/>
  <c r="M108" i="11" s="1"/>
  <c r="G109" i="11"/>
  <c r="M109" i="11" s="1"/>
  <c r="G110" i="11"/>
  <c r="M110" i="11" s="1"/>
  <c r="G111" i="11"/>
  <c r="M111" i="11" s="1"/>
  <c r="G112" i="11"/>
  <c r="M112" i="11" s="1"/>
  <c r="G113" i="11"/>
  <c r="M113" i="11" s="1"/>
  <c r="G114" i="11"/>
  <c r="M114" i="11" s="1"/>
  <c r="G115" i="11"/>
  <c r="M115" i="11" s="1"/>
  <c r="G116" i="11"/>
  <c r="M116" i="11" s="1"/>
  <c r="G117" i="11"/>
  <c r="M117" i="11" s="1"/>
  <c r="G118" i="11"/>
  <c r="M118" i="11" s="1"/>
  <c r="G119" i="11"/>
  <c r="M119" i="11" s="1"/>
  <c r="G120" i="11"/>
  <c r="M120" i="11" s="1"/>
  <c r="G121" i="11"/>
  <c r="M121" i="11" s="1"/>
  <c r="G122" i="11"/>
  <c r="M122" i="11" s="1"/>
  <c r="G123" i="11"/>
  <c r="M123" i="11" s="1"/>
  <c r="G124" i="11"/>
  <c r="M124" i="11" s="1"/>
  <c r="G125" i="11"/>
  <c r="M125" i="11" s="1"/>
  <c r="G126" i="11"/>
  <c r="M126" i="11" s="1"/>
  <c r="G127" i="11"/>
  <c r="M127" i="11" s="1"/>
  <c r="G128" i="11"/>
  <c r="M128" i="11" s="1"/>
  <c r="G129" i="11"/>
  <c r="M129" i="11" s="1"/>
  <c r="G130" i="11"/>
  <c r="M130" i="11" s="1"/>
  <c r="G131" i="11"/>
  <c r="M131" i="11" s="1"/>
  <c r="G132" i="11"/>
  <c r="M132" i="11" s="1"/>
  <c r="G133" i="11"/>
  <c r="M133" i="11" s="1"/>
  <c r="G134" i="11"/>
  <c r="M134" i="11" s="1"/>
  <c r="G135" i="11"/>
  <c r="M135" i="11" s="1"/>
  <c r="G136" i="11"/>
  <c r="M136" i="11" s="1"/>
  <c r="G137" i="11"/>
  <c r="M137" i="11" s="1"/>
  <c r="G138" i="11"/>
  <c r="M138" i="11" s="1"/>
  <c r="G139" i="11"/>
  <c r="M139" i="11" s="1"/>
  <c r="G140" i="11"/>
  <c r="M140" i="11" s="1"/>
  <c r="G141" i="11"/>
  <c r="M141" i="11" s="1"/>
  <c r="G142" i="11"/>
  <c r="M142" i="11" s="1"/>
  <c r="G143" i="11"/>
  <c r="M143" i="11" s="1"/>
  <c r="G144" i="11"/>
  <c r="M144" i="11" s="1"/>
  <c r="G145" i="11"/>
  <c r="M145" i="11" s="1"/>
  <c r="G146" i="11"/>
  <c r="M146" i="11" s="1"/>
  <c r="G147" i="11"/>
  <c r="M147" i="11" s="1"/>
  <c r="G148" i="11"/>
  <c r="M148" i="11" s="1"/>
  <c r="G149" i="11"/>
  <c r="M149" i="11" s="1"/>
  <c r="G150" i="11"/>
  <c r="M150" i="11" s="1"/>
  <c r="G151" i="11"/>
  <c r="M151" i="11" s="1"/>
  <c r="G152" i="11"/>
  <c r="M152" i="11" s="1"/>
  <c r="G153" i="11"/>
  <c r="M153" i="11" s="1"/>
  <c r="G154" i="11"/>
  <c r="M154" i="11" s="1"/>
  <c r="G155" i="11"/>
  <c r="M155" i="11" s="1"/>
  <c r="G156" i="11"/>
  <c r="M156" i="11" s="1"/>
  <c r="G157" i="11"/>
  <c r="M157" i="11" s="1"/>
  <c r="G158" i="11"/>
  <c r="M158" i="11" s="1"/>
  <c r="G159" i="11"/>
  <c r="M159" i="11" s="1"/>
  <c r="G160" i="11"/>
  <c r="M160" i="11" s="1"/>
  <c r="G161" i="11"/>
  <c r="M161" i="11" s="1"/>
  <c r="G162" i="11"/>
  <c r="M162" i="11" s="1"/>
  <c r="G163" i="11"/>
  <c r="M163" i="11" s="1"/>
  <c r="G164" i="11"/>
  <c r="M164" i="11" s="1"/>
  <c r="G165" i="11"/>
  <c r="M165" i="11" s="1"/>
  <c r="G166" i="11"/>
  <c r="M166" i="11" s="1"/>
  <c r="G167" i="11"/>
  <c r="M167" i="11" s="1"/>
  <c r="G168" i="11"/>
  <c r="M168" i="11" s="1"/>
  <c r="G169" i="11"/>
  <c r="M169" i="11" s="1"/>
  <c r="G170" i="11"/>
  <c r="M170" i="11" s="1"/>
  <c r="G171" i="11"/>
  <c r="M171" i="11" s="1"/>
  <c r="G172" i="11"/>
  <c r="M172" i="11" s="1"/>
  <c r="G173" i="11"/>
  <c r="M173" i="11" s="1"/>
  <c r="G174" i="11"/>
  <c r="M174" i="11" s="1"/>
  <c r="G175" i="11"/>
  <c r="M175" i="11" s="1"/>
  <c r="G176" i="11"/>
  <c r="M176" i="11" s="1"/>
  <c r="G177" i="11"/>
  <c r="M177" i="11" s="1"/>
  <c r="G178" i="11"/>
  <c r="M178" i="11" s="1"/>
  <c r="G179" i="11"/>
  <c r="M179" i="11" s="1"/>
  <c r="G180" i="11"/>
  <c r="M180" i="11" s="1"/>
  <c r="G181" i="11"/>
  <c r="M181" i="11" s="1"/>
  <c r="G182" i="11"/>
  <c r="M182" i="11" s="1"/>
  <c r="G183" i="11"/>
  <c r="M183" i="11" s="1"/>
  <c r="G184" i="11"/>
  <c r="M184" i="11" s="1"/>
  <c r="G185" i="11"/>
  <c r="M185" i="11" s="1"/>
  <c r="G186" i="11"/>
  <c r="M186" i="11" s="1"/>
  <c r="G187" i="11"/>
  <c r="M187" i="11" s="1"/>
  <c r="G188" i="11"/>
  <c r="M188" i="11" s="1"/>
  <c r="G189" i="11"/>
  <c r="M189" i="11" s="1"/>
  <c r="G190" i="11"/>
  <c r="M190" i="11" s="1"/>
  <c r="G191" i="11"/>
  <c r="M191" i="11" s="1"/>
  <c r="G192" i="11"/>
  <c r="M192" i="11" s="1"/>
  <c r="G193" i="11"/>
  <c r="M193" i="11" s="1"/>
  <c r="G194" i="11"/>
  <c r="M194" i="11" s="1"/>
  <c r="G195" i="11"/>
  <c r="M195" i="11" s="1"/>
  <c r="G196" i="11"/>
  <c r="M196" i="11" s="1"/>
  <c r="G197" i="11"/>
  <c r="M197" i="11" s="1"/>
  <c r="G198" i="11"/>
  <c r="M198" i="11" s="1"/>
  <c r="G199" i="11"/>
  <c r="M199" i="11" s="1"/>
  <c r="G200" i="11"/>
  <c r="M200" i="11" s="1"/>
  <c r="G201" i="11"/>
  <c r="M201" i="11" s="1"/>
  <c r="G202" i="11"/>
  <c r="M202" i="11" s="1"/>
  <c r="G203" i="11"/>
  <c r="M203" i="11" s="1"/>
  <c r="G204" i="11"/>
  <c r="M204" i="11" s="1"/>
  <c r="G205" i="11"/>
  <c r="M205" i="11" s="1"/>
  <c r="G206" i="11"/>
  <c r="M206" i="11" s="1"/>
  <c r="G207" i="11"/>
  <c r="M207" i="11" s="1"/>
  <c r="G208" i="11"/>
  <c r="M208" i="11" s="1"/>
  <c r="G209" i="11"/>
  <c r="M209" i="11" s="1"/>
  <c r="G210" i="11"/>
  <c r="M210" i="11" s="1"/>
  <c r="G211" i="11"/>
  <c r="M211" i="11" s="1"/>
  <c r="G212" i="11"/>
  <c r="M212" i="11" s="1"/>
  <c r="G213" i="11"/>
  <c r="M213" i="11" s="1"/>
  <c r="G214" i="11"/>
  <c r="M214" i="11" s="1"/>
  <c r="G215" i="11"/>
  <c r="M215" i="11" s="1"/>
  <c r="G216" i="11"/>
  <c r="M216" i="11" s="1"/>
  <c r="G217" i="11"/>
  <c r="M217" i="11" s="1"/>
  <c r="G218" i="11"/>
  <c r="M218" i="11" s="1"/>
  <c r="G219" i="11"/>
  <c r="M219" i="11" s="1"/>
  <c r="G220" i="11"/>
  <c r="M220" i="11" s="1"/>
  <c r="G221" i="11"/>
  <c r="M221" i="11" s="1"/>
  <c r="G222" i="11"/>
  <c r="M222" i="11" s="1"/>
  <c r="G223" i="11"/>
  <c r="M223" i="11" s="1"/>
  <c r="G224" i="11"/>
  <c r="M224" i="11" s="1"/>
  <c r="G225" i="11"/>
  <c r="M225" i="11" s="1"/>
  <c r="G226" i="11"/>
  <c r="M226" i="11" s="1"/>
  <c r="G227" i="11"/>
  <c r="M227" i="11" s="1"/>
  <c r="G228" i="11"/>
  <c r="M228" i="11" s="1"/>
  <c r="G229" i="11"/>
  <c r="M229" i="11" s="1"/>
  <c r="G230" i="11"/>
  <c r="M230" i="11" s="1"/>
  <c r="G231" i="11"/>
  <c r="M231" i="11" s="1"/>
  <c r="G232" i="11"/>
  <c r="M232" i="11" s="1"/>
  <c r="G233" i="11"/>
  <c r="M233" i="11" s="1"/>
  <c r="G234" i="11"/>
  <c r="M234" i="11" s="1"/>
  <c r="G235" i="11"/>
  <c r="M235" i="11" s="1"/>
  <c r="G236" i="11"/>
  <c r="M236" i="11" s="1"/>
  <c r="G237" i="11"/>
  <c r="M237" i="11" s="1"/>
  <c r="G238" i="11"/>
  <c r="M238" i="11" s="1"/>
  <c r="G239" i="11"/>
  <c r="M239" i="11" s="1"/>
  <c r="G240" i="11"/>
  <c r="M240" i="11" s="1"/>
  <c r="G241" i="11"/>
  <c r="M241" i="11" s="1"/>
  <c r="G242" i="11"/>
  <c r="M242" i="11" s="1"/>
  <c r="G243" i="11"/>
  <c r="M243" i="11" s="1"/>
  <c r="G244" i="11"/>
  <c r="M244" i="11" s="1"/>
  <c r="G245" i="11"/>
  <c r="M245" i="11" s="1"/>
  <c r="G246" i="11"/>
  <c r="M246" i="11" s="1"/>
  <c r="G247" i="11"/>
  <c r="M247" i="11" s="1"/>
  <c r="G248" i="11"/>
  <c r="M248" i="11" s="1"/>
  <c r="G249" i="11"/>
  <c r="M249" i="11" s="1"/>
  <c r="G250" i="11"/>
  <c r="M250" i="11" s="1"/>
  <c r="G251" i="11"/>
  <c r="M251" i="11" s="1"/>
  <c r="G252" i="11"/>
  <c r="M252" i="11" s="1"/>
  <c r="G253" i="11"/>
  <c r="M253" i="11" s="1"/>
  <c r="G254" i="11"/>
  <c r="M254" i="11" s="1"/>
  <c r="G255" i="11"/>
  <c r="M255" i="11" s="1"/>
  <c r="G256" i="11"/>
  <c r="M256" i="11" s="1"/>
  <c r="G257" i="11"/>
  <c r="M257" i="11" s="1"/>
  <c r="G258" i="11"/>
  <c r="M258" i="11" s="1"/>
  <c r="G259" i="11"/>
  <c r="M259" i="11" s="1"/>
  <c r="G260" i="11"/>
  <c r="M260" i="11" s="1"/>
  <c r="G261" i="11"/>
  <c r="M261" i="11" s="1"/>
  <c r="G262" i="11"/>
  <c r="M262" i="11" s="1"/>
  <c r="G263" i="11"/>
  <c r="M263" i="11" s="1"/>
  <c r="G264" i="11"/>
  <c r="M264" i="11" s="1"/>
  <c r="G265" i="11"/>
  <c r="M265" i="11" s="1"/>
  <c r="G266" i="11"/>
  <c r="M266" i="11" s="1"/>
  <c r="G267" i="11"/>
  <c r="M267" i="11" s="1"/>
  <c r="G268" i="11"/>
  <c r="M268" i="11" s="1"/>
  <c r="G269" i="11"/>
  <c r="M269" i="11" s="1"/>
  <c r="G270" i="11"/>
  <c r="M270" i="11" s="1"/>
  <c r="G271" i="11"/>
  <c r="M271" i="11" s="1"/>
  <c r="G272" i="11"/>
  <c r="M272" i="11" s="1"/>
  <c r="G273" i="11"/>
  <c r="M273" i="11" s="1"/>
  <c r="G274" i="11"/>
  <c r="M274" i="11" s="1"/>
  <c r="G275" i="11"/>
  <c r="M275" i="11" s="1"/>
  <c r="G276" i="11"/>
  <c r="M276" i="11" s="1"/>
  <c r="G277" i="11"/>
  <c r="M277" i="11" s="1"/>
  <c r="G278" i="11"/>
  <c r="M278" i="11" s="1"/>
  <c r="G279" i="11"/>
  <c r="M279" i="11" s="1"/>
  <c r="G280" i="11"/>
  <c r="M280" i="11" s="1"/>
  <c r="G281" i="11"/>
  <c r="M281" i="11" s="1"/>
  <c r="G282" i="11"/>
  <c r="M282" i="11" s="1"/>
  <c r="G283" i="11"/>
  <c r="M283" i="11" s="1"/>
  <c r="G284" i="11"/>
  <c r="M284" i="11" s="1"/>
  <c r="G285" i="11"/>
  <c r="M285" i="11" s="1"/>
  <c r="G286" i="11"/>
  <c r="M286" i="11" s="1"/>
  <c r="G287" i="11"/>
  <c r="M287" i="11" s="1"/>
  <c r="G288" i="11"/>
  <c r="M288" i="11" s="1"/>
  <c r="G289" i="11"/>
  <c r="M289" i="11" s="1"/>
  <c r="G290" i="11"/>
  <c r="M290" i="11" s="1"/>
  <c r="G291" i="11"/>
  <c r="M291" i="11" s="1"/>
  <c r="G292" i="11"/>
  <c r="M292" i="11" s="1"/>
  <c r="G293" i="11"/>
  <c r="M293" i="11" s="1"/>
  <c r="G294" i="11"/>
  <c r="M294" i="11" s="1"/>
  <c r="G295" i="11"/>
  <c r="M295" i="11" s="1"/>
  <c r="G296" i="11"/>
  <c r="M296" i="11" s="1"/>
  <c r="G297" i="11"/>
  <c r="M297" i="11" s="1"/>
  <c r="G298" i="11"/>
  <c r="M298" i="11" s="1"/>
  <c r="G299" i="11"/>
  <c r="M299" i="11" s="1"/>
  <c r="G300" i="11"/>
  <c r="M300" i="11" s="1"/>
  <c r="G301" i="11"/>
  <c r="M301" i="11" s="1"/>
  <c r="G302" i="11"/>
  <c r="M302" i="11" s="1"/>
  <c r="G303" i="11"/>
  <c r="M303" i="11" s="1"/>
  <c r="G304" i="11"/>
  <c r="M304" i="11" s="1"/>
  <c r="G305" i="11"/>
  <c r="M305" i="11" s="1"/>
  <c r="G306" i="11"/>
  <c r="M306" i="11" s="1"/>
  <c r="G307" i="11"/>
  <c r="M307" i="11" s="1"/>
  <c r="G308" i="11"/>
  <c r="M308" i="11" s="1"/>
  <c r="G309" i="11"/>
  <c r="M309" i="11" s="1"/>
  <c r="G310" i="11"/>
  <c r="M310" i="11" s="1"/>
  <c r="G311" i="11"/>
  <c r="M311" i="11" s="1"/>
  <c r="G312" i="11"/>
  <c r="M312" i="11" s="1"/>
  <c r="G313" i="11"/>
  <c r="M313" i="11" s="1"/>
  <c r="G314" i="11"/>
  <c r="M314" i="11" s="1"/>
  <c r="G315" i="11"/>
  <c r="M315" i="11" s="1"/>
  <c r="G316" i="11"/>
  <c r="M316" i="11" s="1"/>
  <c r="G317" i="11"/>
  <c r="M317" i="11" s="1"/>
  <c r="G318" i="11"/>
  <c r="M318" i="11" s="1"/>
  <c r="G319" i="11"/>
  <c r="M319" i="11" s="1"/>
  <c r="G320" i="11"/>
  <c r="M320" i="11" s="1"/>
  <c r="G321" i="11"/>
  <c r="M321" i="11" s="1"/>
  <c r="G322" i="11"/>
  <c r="M322" i="11" s="1"/>
  <c r="G323" i="11"/>
  <c r="M323" i="11" s="1"/>
  <c r="G324" i="11"/>
  <c r="M324" i="11" s="1"/>
  <c r="G325" i="11"/>
  <c r="M325" i="11" s="1"/>
  <c r="G326" i="11"/>
  <c r="M326" i="11" s="1"/>
  <c r="G327" i="11"/>
  <c r="M327" i="11" s="1"/>
  <c r="G328" i="11"/>
  <c r="M328" i="11" s="1"/>
  <c r="G329" i="11"/>
  <c r="M329" i="11" s="1"/>
  <c r="G330" i="11"/>
  <c r="M330" i="11" s="1"/>
  <c r="G331" i="11"/>
  <c r="M331" i="11" s="1"/>
  <c r="G332" i="11"/>
  <c r="M332" i="11" s="1"/>
  <c r="G333" i="11"/>
  <c r="M333" i="11" s="1"/>
  <c r="G334" i="11"/>
  <c r="M334" i="11" s="1"/>
  <c r="G335" i="11"/>
  <c r="M335" i="11" s="1"/>
  <c r="G336" i="11"/>
  <c r="M336" i="11" s="1"/>
  <c r="G337" i="11"/>
  <c r="M337" i="11" s="1"/>
  <c r="G338" i="11"/>
  <c r="M338" i="11" s="1"/>
  <c r="G339" i="11"/>
  <c r="M339" i="11" s="1"/>
  <c r="G340" i="11"/>
  <c r="M340" i="11" s="1"/>
  <c r="G341" i="11"/>
  <c r="M341" i="11" s="1"/>
  <c r="G342" i="11"/>
  <c r="M342" i="11" s="1"/>
  <c r="G343" i="11"/>
  <c r="M343" i="11" s="1"/>
  <c r="G344" i="11"/>
  <c r="M344" i="11" s="1"/>
  <c r="G345" i="11"/>
  <c r="M345" i="11" s="1"/>
  <c r="G346" i="11"/>
  <c r="M346" i="11" s="1"/>
  <c r="G347" i="11"/>
  <c r="M347" i="11" s="1"/>
  <c r="G348" i="11"/>
  <c r="M348" i="11" s="1"/>
  <c r="G349" i="11"/>
  <c r="M349" i="11" s="1"/>
  <c r="G350" i="11"/>
  <c r="M350" i="11" s="1"/>
  <c r="G351" i="11"/>
  <c r="M351" i="11" s="1"/>
  <c r="G352" i="11"/>
  <c r="M352" i="11" s="1"/>
  <c r="G353" i="11"/>
  <c r="M353" i="11" s="1"/>
  <c r="G354" i="11"/>
  <c r="M354" i="11" s="1"/>
  <c r="G355" i="11"/>
  <c r="M355" i="11" s="1"/>
  <c r="G356" i="11"/>
  <c r="M356" i="11" s="1"/>
  <c r="G357" i="11"/>
  <c r="M357" i="11" s="1"/>
  <c r="G358" i="11"/>
  <c r="M358" i="11" s="1"/>
  <c r="G359" i="11"/>
  <c r="M359" i="11" s="1"/>
  <c r="G360" i="11"/>
  <c r="M360" i="11" s="1"/>
  <c r="G361" i="11"/>
  <c r="M361" i="11" s="1"/>
  <c r="G362" i="11"/>
  <c r="M362" i="11" s="1"/>
  <c r="G363" i="11"/>
  <c r="M363" i="11" s="1"/>
  <c r="G364" i="11"/>
  <c r="M364" i="11" s="1"/>
  <c r="G365" i="11"/>
  <c r="M365" i="11" s="1"/>
  <c r="G366" i="11"/>
  <c r="M366" i="11" s="1"/>
  <c r="G367" i="11"/>
  <c r="M367" i="11" s="1"/>
  <c r="G368" i="11"/>
  <c r="M368" i="11" s="1"/>
  <c r="G369" i="11"/>
  <c r="M369" i="11" s="1"/>
  <c r="G370" i="11"/>
  <c r="M370" i="11" s="1"/>
  <c r="G371" i="11"/>
  <c r="M371" i="11" s="1"/>
  <c r="G372" i="11"/>
  <c r="M372" i="11" s="1"/>
  <c r="G373" i="11"/>
  <c r="M373" i="11" s="1"/>
  <c r="G374" i="11"/>
  <c r="M374" i="11" s="1"/>
  <c r="G375" i="11"/>
  <c r="M375" i="11" s="1"/>
  <c r="G376" i="11"/>
  <c r="M376" i="11" s="1"/>
  <c r="G377" i="11"/>
  <c r="M377" i="11" s="1"/>
  <c r="G378" i="11"/>
  <c r="M378" i="11" s="1"/>
  <c r="G379" i="11"/>
  <c r="M379" i="11" s="1"/>
  <c r="G380" i="11"/>
  <c r="M380" i="11" s="1"/>
  <c r="G381" i="11"/>
  <c r="M381" i="11" s="1"/>
  <c r="G382" i="11"/>
  <c r="M382" i="11" s="1"/>
  <c r="G383" i="11"/>
  <c r="M383" i="11" s="1"/>
  <c r="G384" i="11"/>
  <c r="M384" i="11" s="1"/>
  <c r="G385" i="11"/>
  <c r="M385" i="11" s="1"/>
  <c r="G386" i="11"/>
  <c r="M386" i="11" s="1"/>
  <c r="G387" i="11"/>
  <c r="M387" i="11" s="1"/>
  <c r="G388" i="11"/>
  <c r="M388" i="11" s="1"/>
  <c r="G389" i="11"/>
  <c r="M389" i="11" s="1"/>
  <c r="G390" i="11"/>
  <c r="M390" i="11" s="1"/>
  <c r="G391" i="11"/>
  <c r="M391" i="11" s="1"/>
  <c r="G392" i="11"/>
  <c r="M392" i="11" s="1"/>
  <c r="G393" i="11"/>
  <c r="M393" i="11" s="1"/>
  <c r="G394" i="11"/>
  <c r="M394" i="11" s="1"/>
  <c r="G395" i="11"/>
  <c r="M395" i="11" s="1"/>
  <c r="G396" i="11"/>
  <c r="M396" i="11" s="1"/>
  <c r="G397" i="11"/>
  <c r="M397" i="11" s="1"/>
  <c r="G398" i="11"/>
  <c r="M398" i="11" s="1"/>
  <c r="G399" i="11"/>
  <c r="M399" i="11" s="1"/>
  <c r="G400" i="11"/>
  <c r="M400" i="11" s="1"/>
  <c r="G401" i="11"/>
  <c r="M401" i="11" s="1"/>
  <c r="G402" i="11"/>
  <c r="M402" i="11" s="1"/>
  <c r="G403" i="11"/>
  <c r="M403" i="11" s="1"/>
  <c r="G404" i="11"/>
  <c r="M404" i="11" s="1"/>
  <c r="G405" i="11"/>
  <c r="M405" i="11" s="1"/>
  <c r="G406" i="11"/>
  <c r="M406" i="11" s="1"/>
  <c r="G407" i="11"/>
  <c r="M407" i="11" s="1"/>
  <c r="G408" i="11"/>
  <c r="M408" i="11" s="1"/>
  <c r="G409" i="11"/>
  <c r="M409" i="11" s="1"/>
  <c r="G410" i="11"/>
  <c r="M410" i="11" s="1"/>
  <c r="G411" i="11"/>
  <c r="M411" i="11" s="1"/>
  <c r="G412" i="11"/>
  <c r="M412" i="11" s="1"/>
  <c r="G413" i="11"/>
  <c r="M413" i="11" s="1"/>
  <c r="G414" i="11"/>
  <c r="M414" i="11" s="1"/>
  <c r="G415" i="11"/>
  <c r="M415" i="11" s="1"/>
  <c r="G416" i="11"/>
  <c r="M416" i="11" s="1"/>
  <c r="G417" i="11"/>
  <c r="M417" i="11" s="1"/>
  <c r="G418" i="11"/>
  <c r="M418" i="11" s="1"/>
  <c r="G419" i="11"/>
  <c r="M419" i="11" s="1"/>
  <c r="G420" i="11"/>
  <c r="M420" i="11" s="1"/>
  <c r="G421" i="11"/>
  <c r="M421" i="11" s="1"/>
  <c r="G422" i="11"/>
  <c r="M422" i="11" s="1"/>
  <c r="G423" i="11"/>
  <c r="M423" i="11" s="1"/>
  <c r="G424" i="11"/>
  <c r="M424" i="11" s="1"/>
  <c r="G425" i="11"/>
  <c r="M425" i="11" s="1"/>
  <c r="G426" i="11"/>
  <c r="M426" i="11" s="1"/>
  <c r="G427" i="11"/>
  <c r="M427" i="11" s="1"/>
  <c r="G428" i="11"/>
  <c r="M428" i="11" s="1"/>
  <c r="G429" i="11"/>
  <c r="M429" i="11" s="1"/>
  <c r="G430" i="11"/>
  <c r="M430" i="11" s="1"/>
  <c r="G431" i="11"/>
  <c r="M431" i="11" s="1"/>
  <c r="G432" i="11"/>
  <c r="M432" i="11" s="1"/>
  <c r="G433" i="11"/>
  <c r="M433" i="11" s="1"/>
  <c r="G434" i="11"/>
  <c r="M434" i="11" s="1"/>
  <c r="G435" i="11"/>
  <c r="M435" i="11" s="1"/>
  <c r="G436" i="11"/>
  <c r="M436" i="11" s="1"/>
  <c r="G437" i="11"/>
  <c r="M437" i="11" s="1"/>
  <c r="G438" i="11"/>
  <c r="M438" i="11" s="1"/>
  <c r="G439" i="11"/>
  <c r="M439" i="11" s="1"/>
  <c r="G440" i="11"/>
  <c r="M440" i="11" s="1"/>
  <c r="G441" i="11"/>
  <c r="M441" i="11" s="1"/>
  <c r="G442" i="11"/>
  <c r="M442" i="11" s="1"/>
  <c r="G443" i="11"/>
  <c r="M443" i="11" s="1"/>
  <c r="G444" i="11"/>
  <c r="M444" i="11" s="1"/>
  <c r="G445" i="11"/>
  <c r="M445" i="11" s="1"/>
  <c r="G446" i="11"/>
  <c r="M446" i="11" s="1"/>
  <c r="G447" i="11"/>
  <c r="M447" i="11" s="1"/>
  <c r="G448" i="11"/>
  <c r="M448" i="11" s="1"/>
  <c r="G449" i="11"/>
  <c r="M449" i="11" s="1"/>
  <c r="G450" i="11"/>
  <c r="M450" i="11" s="1"/>
  <c r="G451" i="11"/>
  <c r="M451" i="11" s="1"/>
  <c r="G452" i="11"/>
  <c r="M452" i="11" s="1"/>
  <c r="G453" i="11"/>
  <c r="M453" i="11" s="1"/>
  <c r="G454" i="11"/>
  <c r="M454" i="11" s="1"/>
  <c r="G455" i="11"/>
  <c r="M455" i="11" s="1"/>
  <c r="G456" i="11"/>
  <c r="M456" i="11" s="1"/>
  <c r="G457" i="11"/>
  <c r="M457" i="11" s="1"/>
  <c r="G458" i="11"/>
  <c r="M458" i="11" s="1"/>
  <c r="G459" i="11"/>
  <c r="M459" i="11" s="1"/>
  <c r="G460" i="11"/>
  <c r="M460" i="11" s="1"/>
  <c r="G461" i="11"/>
  <c r="M461" i="11" s="1"/>
  <c r="G462" i="11"/>
  <c r="M462" i="11" s="1"/>
  <c r="G463" i="11"/>
  <c r="M463" i="11" s="1"/>
  <c r="G464" i="11"/>
  <c r="M464" i="11" s="1"/>
  <c r="G465" i="11"/>
  <c r="M465" i="11" s="1"/>
  <c r="G466" i="11"/>
  <c r="M466" i="11" s="1"/>
  <c r="G467" i="11"/>
  <c r="M467" i="11" s="1"/>
  <c r="G468" i="11"/>
  <c r="M468" i="11" s="1"/>
  <c r="G469" i="11"/>
  <c r="M469" i="11" s="1"/>
  <c r="G470" i="11"/>
  <c r="M470" i="11" s="1"/>
  <c r="G471" i="11"/>
  <c r="M471" i="11" s="1"/>
  <c r="G472" i="11"/>
  <c r="M472" i="11" s="1"/>
  <c r="G473" i="11"/>
  <c r="M473" i="11" s="1"/>
  <c r="G474" i="11"/>
  <c r="M474" i="11" s="1"/>
  <c r="G475" i="11"/>
  <c r="M475" i="11" s="1"/>
  <c r="G476" i="11"/>
  <c r="M476" i="11" s="1"/>
  <c r="G477" i="11"/>
  <c r="M477" i="11" s="1"/>
  <c r="G478" i="11"/>
  <c r="M478" i="11" s="1"/>
  <c r="G479" i="11"/>
  <c r="M479" i="11" s="1"/>
  <c r="G480" i="11"/>
  <c r="M480" i="11" s="1"/>
  <c r="G481" i="11"/>
  <c r="M481" i="11" s="1"/>
  <c r="G482" i="11"/>
  <c r="M482" i="11" s="1"/>
  <c r="G483" i="11"/>
  <c r="M483" i="11" s="1"/>
  <c r="G484" i="11"/>
  <c r="M484" i="11" s="1"/>
  <c r="G485" i="11"/>
  <c r="M485" i="11" s="1"/>
  <c r="G486" i="11"/>
  <c r="M486" i="11" s="1"/>
  <c r="G487" i="11"/>
  <c r="M487" i="11" s="1"/>
  <c r="G488" i="11"/>
  <c r="M488" i="11" s="1"/>
  <c r="G489" i="11"/>
  <c r="M489" i="11" s="1"/>
  <c r="G490" i="11"/>
  <c r="M490" i="11" s="1"/>
  <c r="G491" i="11"/>
  <c r="M491" i="11" s="1"/>
  <c r="G492" i="11"/>
  <c r="M492" i="11" s="1"/>
  <c r="G493" i="11"/>
  <c r="M493" i="11" s="1"/>
  <c r="G494" i="11"/>
  <c r="M494" i="11" s="1"/>
  <c r="G495" i="11"/>
  <c r="M495" i="11" s="1"/>
  <c r="G496" i="11"/>
  <c r="M496" i="11" s="1"/>
  <c r="G497" i="11"/>
  <c r="M497" i="11" s="1"/>
  <c r="G498" i="11"/>
  <c r="M498" i="11" s="1"/>
  <c r="G499" i="11"/>
  <c r="M499" i="11" s="1"/>
  <c r="G500" i="11"/>
  <c r="M500" i="11" s="1"/>
  <c r="G501" i="11"/>
  <c r="M501" i="11" s="1"/>
  <c r="G502" i="11"/>
  <c r="M502" i="11" s="1"/>
  <c r="G503" i="11"/>
  <c r="M503" i="11" s="1"/>
  <c r="G504" i="11"/>
  <c r="M504" i="11" s="1"/>
  <c r="G505" i="11"/>
  <c r="M505" i="11" s="1"/>
  <c r="G506" i="11"/>
  <c r="M506" i="11" s="1"/>
  <c r="G507" i="11"/>
  <c r="M507" i="11" s="1"/>
  <c r="G508" i="11"/>
  <c r="M508" i="11" s="1"/>
  <c r="G509" i="11"/>
  <c r="M509" i="11" s="1"/>
  <c r="G510" i="11"/>
  <c r="M510" i="11" s="1"/>
  <c r="G511" i="11"/>
  <c r="M511" i="11" s="1"/>
  <c r="G512" i="11"/>
  <c r="M512" i="11" s="1"/>
  <c r="G513" i="11"/>
  <c r="M513" i="11" s="1"/>
  <c r="G514" i="11"/>
  <c r="M514" i="11" s="1"/>
  <c r="G515" i="11"/>
  <c r="M515" i="11" s="1"/>
  <c r="G516" i="11"/>
  <c r="M516" i="11" s="1"/>
  <c r="G517" i="11"/>
  <c r="M517" i="11" s="1"/>
  <c r="G518" i="11"/>
  <c r="M518" i="11" s="1"/>
  <c r="G519" i="11"/>
  <c r="M519" i="11" s="1"/>
  <c r="G520" i="11"/>
  <c r="M520" i="11" s="1"/>
  <c r="G521" i="11"/>
  <c r="M521" i="11" s="1"/>
  <c r="G522" i="11"/>
  <c r="M522" i="11" s="1"/>
  <c r="G523" i="11"/>
  <c r="M523" i="11" s="1"/>
  <c r="G524" i="11"/>
  <c r="M524" i="11" s="1"/>
  <c r="G525" i="11"/>
  <c r="M525" i="11" s="1"/>
  <c r="G526" i="11"/>
  <c r="M526" i="11" s="1"/>
  <c r="G527" i="11"/>
  <c r="M527" i="11" s="1"/>
  <c r="G528" i="11"/>
  <c r="M528" i="11" s="1"/>
  <c r="G529" i="11"/>
  <c r="M529" i="11" s="1"/>
  <c r="G530" i="11"/>
  <c r="M530" i="11" s="1"/>
  <c r="G531" i="11"/>
  <c r="M531" i="11" s="1"/>
  <c r="G532" i="11"/>
  <c r="M532" i="11" s="1"/>
  <c r="G533" i="11"/>
  <c r="M533" i="11" s="1"/>
  <c r="G534" i="11"/>
  <c r="M534" i="11" s="1"/>
  <c r="G535" i="11"/>
  <c r="M535" i="11" s="1"/>
  <c r="G536" i="11"/>
  <c r="M536" i="11" s="1"/>
  <c r="G537" i="11"/>
  <c r="M537" i="11" s="1"/>
  <c r="G538" i="11"/>
  <c r="M538" i="11" s="1"/>
  <c r="G539" i="11"/>
  <c r="M539" i="11" s="1"/>
  <c r="G540" i="11"/>
  <c r="M540" i="11" s="1"/>
  <c r="G541" i="11"/>
  <c r="M541" i="11" s="1"/>
  <c r="G542" i="11"/>
  <c r="M542" i="11" s="1"/>
  <c r="G543" i="11"/>
  <c r="M543" i="11" s="1"/>
  <c r="G544" i="11"/>
  <c r="M544" i="11" s="1"/>
  <c r="G545" i="11"/>
  <c r="M545" i="11" s="1"/>
  <c r="G546" i="11"/>
  <c r="M546" i="11" s="1"/>
  <c r="G547" i="11"/>
  <c r="M547" i="11" s="1"/>
  <c r="G548" i="11"/>
  <c r="M548" i="11" s="1"/>
  <c r="G549" i="11"/>
  <c r="M549" i="11" s="1"/>
  <c r="G550" i="11"/>
  <c r="M550" i="11" s="1"/>
  <c r="G551" i="11"/>
  <c r="M551" i="11" s="1"/>
  <c r="G552" i="11"/>
  <c r="M552" i="11" s="1"/>
  <c r="G553" i="11"/>
  <c r="M553" i="11" s="1"/>
  <c r="G554" i="11"/>
  <c r="M554" i="11" s="1"/>
  <c r="G555" i="11"/>
  <c r="M555" i="11" s="1"/>
  <c r="G556" i="11"/>
  <c r="M556" i="11" s="1"/>
  <c r="G557" i="11"/>
  <c r="M557" i="11" s="1"/>
  <c r="G558" i="11"/>
  <c r="M558" i="11" s="1"/>
  <c r="G559" i="11"/>
  <c r="M559" i="11" s="1"/>
  <c r="G560" i="11"/>
  <c r="M560" i="11" s="1"/>
  <c r="G561" i="11"/>
  <c r="M561" i="11" s="1"/>
  <c r="G562" i="11"/>
  <c r="M562" i="11" s="1"/>
  <c r="G563" i="11"/>
  <c r="M563" i="11" s="1"/>
  <c r="G564" i="11"/>
  <c r="M564" i="11" s="1"/>
  <c r="G565" i="11"/>
  <c r="M565" i="11" s="1"/>
  <c r="G566" i="11"/>
  <c r="M566" i="11" s="1"/>
  <c r="G567" i="11"/>
  <c r="M567" i="11" s="1"/>
  <c r="G568" i="11"/>
  <c r="M568" i="11" s="1"/>
  <c r="G569" i="11"/>
  <c r="M569" i="11" s="1"/>
  <c r="G570" i="11"/>
  <c r="M570" i="11" s="1"/>
  <c r="G571" i="11"/>
  <c r="M571" i="11" s="1"/>
  <c r="G572" i="11"/>
  <c r="M572" i="11" s="1"/>
  <c r="G573" i="11"/>
  <c r="M573" i="11" s="1"/>
  <c r="G574" i="11"/>
  <c r="M574" i="11" s="1"/>
  <c r="G575" i="11"/>
  <c r="M575" i="11" s="1"/>
  <c r="G576" i="11"/>
  <c r="M576" i="11" s="1"/>
  <c r="G577" i="11"/>
  <c r="M577" i="11" s="1"/>
  <c r="G578" i="11"/>
  <c r="M578" i="11" s="1"/>
  <c r="G579" i="11"/>
  <c r="M579" i="11" s="1"/>
  <c r="G580" i="11"/>
  <c r="M580" i="11" s="1"/>
  <c r="G581" i="11"/>
  <c r="M581" i="11" s="1"/>
  <c r="G582" i="11"/>
  <c r="M582" i="11" s="1"/>
  <c r="G583" i="11"/>
  <c r="M583" i="11" s="1"/>
  <c r="G584" i="11"/>
  <c r="M584" i="11" s="1"/>
  <c r="G585" i="11"/>
  <c r="M585" i="11" s="1"/>
  <c r="G586" i="11"/>
  <c r="M586" i="11" s="1"/>
  <c r="G587" i="11"/>
  <c r="M587" i="11" s="1"/>
  <c r="G588" i="11"/>
  <c r="M588" i="11" s="1"/>
  <c r="G589" i="11"/>
  <c r="M589" i="11" s="1"/>
  <c r="G590" i="11"/>
  <c r="M590" i="11" s="1"/>
  <c r="G591" i="11"/>
  <c r="M591" i="11" s="1"/>
  <c r="G592" i="11"/>
  <c r="M592" i="11" s="1"/>
  <c r="G593" i="11"/>
  <c r="M593" i="11" s="1"/>
  <c r="G594" i="11"/>
  <c r="M594" i="11" s="1"/>
  <c r="G595" i="11"/>
  <c r="M595" i="11" s="1"/>
  <c r="G596" i="11"/>
  <c r="M596" i="11" s="1"/>
  <c r="G597" i="11"/>
  <c r="M597" i="11" s="1"/>
  <c r="G598" i="11"/>
  <c r="M598" i="11" s="1"/>
  <c r="G599" i="11"/>
  <c r="M599" i="11" s="1"/>
  <c r="G600" i="11"/>
  <c r="M600" i="11" s="1"/>
  <c r="G601" i="11"/>
  <c r="M601" i="11" s="1"/>
  <c r="G602" i="11"/>
  <c r="M602" i="11" s="1"/>
  <c r="G603" i="11"/>
  <c r="M603" i="11" s="1"/>
  <c r="G604" i="11"/>
  <c r="M604" i="11" s="1"/>
  <c r="G605" i="11"/>
  <c r="M605" i="11" s="1"/>
  <c r="G606" i="11"/>
  <c r="M606" i="11" s="1"/>
  <c r="G607" i="11"/>
  <c r="M607" i="11" s="1"/>
  <c r="G608" i="11"/>
  <c r="M608" i="11" s="1"/>
  <c r="G609" i="11"/>
  <c r="M609" i="11" s="1"/>
  <c r="G610" i="11"/>
  <c r="M610" i="11" s="1"/>
  <c r="G611" i="11"/>
  <c r="M611" i="11" s="1"/>
  <c r="G612" i="11"/>
  <c r="M612" i="11" s="1"/>
  <c r="G613" i="11"/>
  <c r="M613" i="11" s="1"/>
  <c r="G614" i="11"/>
  <c r="M614" i="11" s="1"/>
  <c r="G615" i="11"/>
  <c r="M615" i="11" s="1"/>
  <c r="G616" i="11"/>
  <c r="M616" i="11" s="1"/>
  <c r="G617" i="11"/>
  <c r="M617" i="11" s="1"/>
  <c r="G618" i="11"/>
  <c r="M618" i="11" s="1"/>
  <c r="G619" i="11"/>
  <c r="M619" i="11" s="1"/>
  <c r="G620" i="11"/>
  <c r="M620" i="11" s="1"/>
  <c r="G621" i="11"/>
  <c r="M621" i="11" s="1"/>
  <c r="G622" i="11"/>
  <c r="M622" i="11" s="1"/>
  <c r="G623" i="11"/>
  <c r="M623" i="11" s="1"/>
  <c r="G624" i="11"/>
  <c r="M624" i="11" s="1"/>
  <c r="G625" i="11"/>
  <c r="M625" i="11" s="1"/>
  <c r="G626" i="11"/>
  <c r="M626" i="11" s="1"/>
  <c r="G627" i="11"/>
  <c r="M627" i="11" s="1"/>
  <c r="G628" i="11"/>
  <c r="M628" i="11" s="1"/>
  <c r="G629" i="11"/>
  <c r="M629" i="11" s="1"/>
  <c r="G630" i="11"/>
  <c r="M630" i="11" s="1"/>
  <c r="G631" i="11"/>
  <c r="M631" i="11" s="1"/>
  <c r="G632" i="11"/>
  <c r="M632" i="11" s="1"/>
  <c r="G633" i="11"/>
  <c r="M633" i="11" s="1"/>
  <c r="G634" i="11"/>
  <c r="M634" i="11" s="1"/>
  <c r="G635" i="11"/>
  <c r="M635" i="11" s="1"/>
  <c r="G636" i="11"/>
  <c r="M636" i="11" s="1"/>
  <c r="G637" i="11"/>
  <c r="M637" i="11" s="1"/>
  <c r="G638" i="11"/>
  <c r="M638" i="11" s="1"/>
  <c r="G639" i="11"/>
  <c r="M639" i="11" s="1"/>
  <c r="G640" i="11"/>
  <c r="M640" i="11" s="1"/>
  <c r="G641" i="11"/>
  <c r="M641" i="11" s="1"/>
  <c r="G642" i="11"/>
  <c r="M642" i="11" s="1"/>
  <c r="G643" i="11"/>
  <c r="M643" i="11" s="1"/>
  <c r="G644" i="11"/>
  <c r="M644" i="11" s="1"/>
  <c r="G645" i="11"/>
  <c r="M645" i="11" s="1"/>
  <c r="G646" i="11"/>
  <c r="M646" i="11" s="1"/>
  <c r="G647" i="11"/>
  <c r="M647" i="11" s="1"/>
  <c r="G648" i="11"/>
  <c r="M648" i="11" s="1"/>
  <c r="G649" i="11"/>
  <c r="M649" i="11" s="1"/>
  <c r="G650" i="11"/>
  <c r="M650" i="11" s="1"/>
  <c r="G651" i="11"/>
  <c r="M651" i="11" s="1"/>
  <c r="G652" i="11"/>
  <c r="M652" i="11" s="1"/>
  <c r="G653" i="11"/>
  <c r="M653" i="11" s="1"/>
  <c r="G654" i="11"/>
  <c r="M654" i="11" s="1"/>
  <c r="G655" i="11"/>
  <c r="M655" i="11" s="1"/>
  <c r="G656" i="11"/>
  <c r="M656" i="11" s="1"/>
  <c r="G657" i="11"/>
  <c r="M657" i="11" s="1"/>
  <c r="G658" i="11"/>
  <c r="M658" i="11" s="1"/>
  <c r="G659" i="11"/>
  <c r="M659" i="11" s="1"/>
  <c r="G660" i="11"/>
  <c r="M660" i="11" s="1"/>
  <c r="G661" i="11"/>
  <c r="M661" i="11" s="1"/>
  <c r="G662" i="11"/>
  <c r="M662" i="11" s="1"/>
  <c r="G663" i="11"/>
  <c r="M663" i="11" s="1"/>
  <c r="G664" i="11"/>
  <c r="M664" i="11" s="1"/>
  <c r="G665" i="11"/>
  <c r="M665" i="11" s="1"/>
  <c r="G666" i="11"/>
  <c r="M666" i="11" s="1"/>
  <c r="G667" i="11"/>
  <c r="M667" i="11" s="1"/>
  <c r="G668" i="11"/>
  <c r="M668" i="11" s="1"/>
  <c r="G669" i="11"/>
  <c r="M669" i="11" s="1"/>
  <c r="G670" i="11"/>
  <c r="M670" i="11" s="1"/>
  <c r="G671" i="11"/>
  <c r="M671" i="11" s="1"/>
  <c r="G672" i="11"/>
  <c r="M672" i="11" s="1"/>
  <c r="G673" i="11"/>
  <c r="M673" i="11" s="1"/>
  <c r="G674" i="11"/>
  <c r="M674" i="11" s="1"/>
  <c r="G675" i="11"/>
  <c r="M675" i="11" s="1"/>
  <c r="G676" i="11"/>
  <c r="M676" i="11" s="1"/>
  <c r="G677" i="11"/>
  <c r="M677" i="11" s="1"/>
  <c r="G678" i="11"/>
  <c r="M678" i="11" s="1"/>
  <c r="G679" i="11"/>
  <c r="M679" i="11" s="1"/>
  <c r="G680" i="11"/>
  <c r="M680" i="11" s="1"/>
  <c r="G681" i="11"/>
  <c r="M681" i="11" s="1"/>
  <c r="G682" i="11"/>
  <c r="M682" i="11" s="1"/>
  <c r="G683" i="11"/>
  <c r="M683" i="11" s="1"/>
  <c r="G684" i="11"/>
  <c r="M684" i="11" s="1"/>
  <c r="G685" i="11"/>
  <c r="M685" i="11" s="1"/>
  <c r="G686" i="11"/>
  <c r="M686" i="11" s="1"/>
  <c r="G687" i="11"/>
  <c r="M687" i="11" s="1"/>
  <c r="G688" i="11"/>
  <c r="M688" i="11" s="1"/>
  <c r="G689" i="11"/>
  <c r="M689" i="11" s="1"/>
  <c r="G690" i="11"/>
  <c r="M690" i="11" s="1"/>
  <c r="G691" i="11"/>
  <c r="M691" i="11" s="1"/>
  <c r="G692" i="11"/>
  <c r="M692" i="11" s="1"/>
  <c r="G693" i="11"/>
  <c r="M693" i="11" s="1"/>
  <c r="G694" i="11"/>
  <c r="M694" i="11" s="1"/>
  <c r="G695" i="11"/>
  <c r="M695" i="11" s="1"/>
  <c r="G696" i="11"/>
  <c r="M696" i="11" s="1"/>
  <c r="G697" i="11"/>
  <c r="M697" i="11" s="1"/>
  <c r="G698" i="11"/>
  <c r="M698" i="11" s="1"/>
  <c r="G699" i="11"/>
  <c r="M699" i="11" s="1"/>
  <c r="G700" i="11"/>
  <c r="M700" i="11" s="1"/>
  <c r="G701" i="11"/>
  <c r="M701" i="11" s="1"/>
  <c r="G702" i="11"/>
  <c r="M702" i="11" s="1"/>
  <c r="G703" i="11"/>
  <c r="M703" i="11" s="1"/>
  <c r="G704" i="11"/>
  <c r="M704" i="11" s="1"/>
  <c r="G705" i="11"/>
  <c r="M705" i="11" s="1"/>
  <c r="G706" i="11"/>
  <c r="M706" i="11" s="1"/>
  <c r="G707" i="11"/>
  <c r="M707" i="11" s="1"/>
  <c r="G708" i="11"/>
  <c r="M708" i="11" s="1"/>
  <c r="G709" i="11"/>
  <c r="M709" i="11" s="1"/>
  <c r="G710" i="11"/>
  <c r="M710" i="11" s="1"/>
  <c r="G711" i="11"/>
  <c r="M711" i="11" s="1"/>
  <c r="G712" i="11"/>
  <c r="M712" i="11" s="1"/>
  <c r="G713" i="11"/>
  <c r="M713" i="11" s="1"/>
  <c r="G714" i="11"/>
  <c r="M714" i="11" s="1"/>
  <c r="G715" i="11"/>
  <c r="M715" i="11" s="1"/>
  <c r="G716" i="11"/>
  <c r="M716" i="11" s="1"/>
  <c r="G717" i="11"/>
  <c r="M717" i="11" s="1"/>
  <c r="G718" i="11"/>
  <c r="M718" i="11" s="1"/>
  <c r="G719" i="11"/>
  <c r="M719" i="11" s="1"/>
  <c r="G720" i="11"/>
  <c r="M720" i="11" s="1"/>
  <c r="G721" i="11"/>
  <c r="M721" i="11" s="1"/>
  <c r="G722" i="11"/>
  <c r="M722" i="11" s="1"/>
  <c r="G723" i="11"/>
  <c r="M723" i="11" s="1"/>
  <c r="G724" i="11"/>
  <c r="M724" i="11" s="1"/>
  <c r="G725" i="11"/>
  <c r="M725" i="11" s="1"/>
  <c r="G726" i="11"/>
  <c r="M726" i="11" s="1"/>
  <c r="G727" i="11"/>
  <c r="M727" i="11" s="1"/>
  <c r="G728" i="11"/>
  <c r="M728" i="11" s="1"/>
  <c r="G729" i="11"/>
  <c r="M729" i="11" s="1"/>
  <c r="G730" i="11"/>
  <c r="M730" i="11" s="1"/>
  <c r="G731" i="11"/>
  <c r="M731" i="11" s="1"/>
  <c r="G732" i="11"/>
  <c r="M732" i="11" s="1"/>
  <c r="G733" i="11"/>
  <c r="M733" i="11" s="1"/>
  <c r="G734" i="11"/>
  <c r="M734" i="11" s="1"/>
  <c r="G735" i="11"/>
  <c r="M735" i="11" s="1"/>
  <c r="G736" i="11"/>
  <c r="M736" i="11" s="1"/>
  <c r="G737" i="11"/>
  <c r="M737" i="11" s="1"/>
  <c r="G738" i="11"/>
  <c r="M738" i="11" s="1"/>
  <c r="G739" i="11"/>
  <c r="M739" i="11" s="1"/>
  <c r="G740" i="11"/>
  <c r="M740" i="11" s="1"/>
  <c r="G741" i="11"/>
  <c r="M741" i="11" s="1"/>
  <c r="G742" i="11"/>
  <c r="M742" i="11" s="1"/>
  <c r="G743" i="11"/>
  <c r="M743" i="11" s="1"/>
  <c r="G744" i="11"/>
  <c r="M744" i="11" s="1"/>
  <c r="G745" i="11"/>
  <c r="M745" i="11" s="1"/>
  <c r="G746" i="11"/>
  <c r="M746" i="11" s="1"/>
  <c r="G747" i="11"/>
  <c r="M747" i="11" s="1"/>
  <c r="G748" i="11"/>
  <c r="M748" i="11" s="1"/>
  <c r="G749" i="11"/>
  <c r="M749" i="11" s="1"/>
  <c r="G750" i="11"/>
  <c r="M750" i="11" s="1"/>
  <c r="G751" i="11"/>
  <c r="M751" i="11" s="1"/>
  <c r="G752" i="11"/>
  <c r="M752" i="11" s="1"/>
  <c r="G753" i="11"/>
  <c r="M753" i="11" s="1"/>
  <c r="G754" i="11"/>
  <c r="M754" i="11" s="1"/>
  <c r="G755" i="11"/>
  <c r="M755" i="11" s="1"/>
  <c r="G756" i="11"/>
  <c r="M756" i="11" s="1"/>
  <c r="G757" i="11"/>
  <c r="M757" i="11" s="1"/>
  <c r="G758" i="11"/>
  <c r="M758" i="11" s="1"/>
  <c r="G759" i="11"/>
  <c r="M759" i="11" s="1"/>
  <c r="G760" i="11"/>
  <c r="M760" i="11" s="1"/>
  <c r="G761" i="11"/>
  <c r="M761" i="11" s="1"/>
  <c r="G762" i="11"/>
  <c r="M762" i="11" s="1"/>
  <c r="G763" i="11"/>
  <c r="M763" i="11" s="1"/>
  <c r="G764" i="11"/>
  <c r="M764" i="11" s="1"/>
  <c r="G765" i="11"/>
  <c r="M765" i="11" s="1"/>
  <c r="G766" i="11"/>
  <c r="M766" i="11" s="1"/>
  <c r="G767" i="11"/>
  <c r="M767" i="11" s="1"/>
  <c r="G768" i="11"/>
  <c r="M768" i="11" s="1"/>
  <c r="G769" i="11"/>
  <c r="M769" i="11" s="1"/>
  <c r="G770" i="11"/>
  <c r="M770" i="11" s="1"/>
  <c r="G771" i="11"/>
  <c r="M771" i="11" s="1"/>
  <c r="G772" i="11"/>
  <c r="M772" i="11" s="1"/>
  <c r="G773" i="11"/>
  <c r="M773" i="11" s="1"/>
  <c r="G774" i="11"/>
  <c r="M774" i="11" s="1"/>
  <c r="G775" i="11"/>
  <c r="M775" i="11" s="1"/>
  <c r="G776" i="11"/>
  <c r="M776" i="11" s="1"/>
  <c r="G777" i="11"/>
  <c r="M777" i="11" s="1"/>
  <c r="G778" i="11"/>
  <c r="M778" i="11" s="1"/>
  <c r="G779" i="11"/>
  <c r="M779" i="11" s="1"/>
  <c r="G780" i="11"/>
  <c r="M780" i="11" s="1"/>
  <c r="G781" i="11"/>
  <c r="M781" i="11" s="1"/>
  <c r="G782" i="11"/>
  <c r="M782" i="11" s="1"/>
  <c r="G783" i="11"/>
  <c r="M783" i="11" s="1"/>
  <c r="G784" i="11"/>
  <c r="M784" i="11" s="1"/>
  <c r="G785" i="11"/>
  <c r="M785" i="11" s="1"/>
  <c r="G786" i="11"/>
  <c r="M786" i="11" s="1"/>
  <c r="G787" i="11"/>
  <c r="M787" i="11" s="1"/>
  <c r="G788" i="11"/>
  <c r="M788" i="11" s="1"/>
  <c r="G789" i="11"/>
  <c r="M789" i="11" s="1"/>
  <c r="G790" i="11"/>
  <c r="M790" i="11" s="1"/>
  <c r="G791" i="11"/>
  <c r="M791" i="11" s="1"/>
  <c r="G792" i="11"/>
  <c r="M792" i="11" s="1"/>
  <c r="G793" i="11"/>
  <c r="M793" i="11" s="1"/>
  <c r="G794" i="11"/>
  <c r="M794" i="11" s="1"/>
  <c r="G795" i="11"/>
  <c r="M795" i="11" s="1"/>
  <c r="G796" i="11"/>
  <c r="M796" i="11" s="1"/>
  <c r="G797" i="11"/>
  <c r="M797" i="11" s="1"/>
  <c r="G798" i="11"/>
  <c r="M798" i="11" s="1"/>
  <c r="G799" i="11"/>
  <c r="M799" i="11" s="1"/>
  <c r="G800" i="11"/>
  <c r="M800" i="11" s="1"/>
  <c r="G801" i="11"/>
  <c r="M801" i="11" s="1"/>
  <c r="G802" i="11"/>
  <c r="M802" i="11" s="1"/>
  <c r="G803" i="11"/>
  <c r="M803" i="11" s="1"/>
  <c r="G804" i="11"/>
  <c r="M804" i="11" s="1"/>
  <c r="G805" i="11"/>
  <c r="M805" i="11" s="1"/>
  <c r="G806" i="11"/>
  <c r="M806" i="11" s="1"/>
  <c r="G807" i="11"/>
  <c r="M807" i="11" s="1"/>
  <c r="G808" i="11"/>
  <c r="M808" i="11" s="1"/>
  <c r="G809" i="11"/>
  <c r="M809" i="11" s="1"/>
  <c r="G810" i="11"/>
  <c r="M810" i="11" s="1"/>
  <c r="G811" i="11"/>
  <c r="M811" i="11" s="1"/>
  <c r="G812" i="11"/>
  <c r="M812" i="11" s="1"/>
  <c r="G813" i="11"/>
  <c r="M813" i="11" s="1"/>
  <c r="G814" i="11"/>
  <c r="M814" i="11" s="1"/>
  <c r="G815" i="11"/>
  <c r="M815" i="11" s="1"/>
  <c r="G816" i="11"/>
  <c r="M816" i="11" s="1"/>
  <c r="G817" i="11"/>
  <c r="M817" i="11" s="1"/>
  <c r="G818" i="11"/>
  <c r="M818" i="11" s="1"/>
  <c r="G819" i="11"/>
  <c r="M819" i="11" s="1"/>
  <c r="G820" i="11"/>
  <c r="M820" i="11" s="1"/>
  <c r="G821" i="11"/>
  <c r="M821" i="11" s="1"/>
  <c r="G822" i="11"/>
  <c r="M822" i="11" s="1"/>
  <c r="G823" i="11"/>
  <c r="M823" i="11" s="1"/>
  <c r="G824" i="11"/>
  <c r="M824" i="11" s="1"/>
  <c r="G825" i="11"/>
  <c r="M825" i="11" s="1"/>
  <c r="G826" i="11"/>
  <c r="M826" i="11" s="1"/>
  <c r="G827" i="11"/>
  <c r="M827" i="11" s="1"/>
  <c r="G828" i="11"/>
  <c r="M828" i="11" s="1"/>
  <c r="G829" i="11"/>
  <c r="M829" i="11" s="1"/>
  <c r="G830" i="11"/>
  <c r="M830" i="11" s="1"/>
  <c r="G831" i="11"/>
  <c r="M831" i="11" s="1"/>
  <c r="G832" i="11"/>
  <c r="M832" i="11" s="1"/>
  <c r="G833" i="11"/>
  <c r="M833" i="11" s="1"/>
  <c r="G834" i="11"/>
  <c r="M834" i="11" s="1"/>
  <c r="G835" i="11"/>
  <c r="M835" i="11" s="1"/>
  <c r="G836" i="11"/>
  <c r="M836" i="11" s="1"/>
  <c r="G837" i="11"/>
  <c r="M837" i="11" s="1"/>
  <c r="G838" i="11"/>
  <c r="M838" i="11" s="1"/>
  <c r="G839" i="11"/>
  <c r="M839" i="11" s="1"/>
  <c r="G840" i="11"/>
  <c r="M840" i="11" s="1"/>
  <c r="G841" i="11"/>
  <c r="M841" i="11" s="1"/>
  <c r="G842" i="11"/>
  <c r="M842" i="11" s="1"/>
  <c r="G843" i="11"/>
  <c r="M843" i="11" s="1"/>
  <c r="G844" i="11"/>
  <c r="M844" i="11" s="1"/>
  <c r="G845" i="11"/>
  <c r="M845" i="11" s="1"/>
  <c r="G846" i="11"/>
  <c r="M846" i="11" s="1"/>
  <c r="G847" i="11"/>
  <c r="M847" i="11" s="1"/>
  <c r="G848" i="11"/>
  <c r="M848" i="11" s="1"/>
  <c r="G849" i="11"/>
  <c r="M849" i="11" s="1"/>
  <c r="G850" i="11"/>
  <c r="M850" i="11" s="1"/>
  <c r="G851" i="11"/>
  <c r="M851" i="11" s="1"/>
  <c r="G852" i="11"/>
  <c r="M852" i="11" s="1"/>
  <c r="G853" i="11"/>
  <c r="M853" i="11" s="1"/>
  <c r="G854" i="11"/>
  <c r="M854" i="11" s="1"/>
  <c r="G855" i="11"/>
  <c r="M855" i="11" s="1"/>
  <c r="G856" i="11"/>
  <c r="M856" i="11" s="1"/>
  <c r="G857" i="11"/>
  <c r="M857" i="11" s="1"/>
  <c r="G858" i="11"/>
  <c r="M858" i="11" s="1"/>
  <c r="G859" i="11"/>
  <c r="M859" i="11" s="1"/>
  <c r="G860" i="11"/>
  <c r="M860" i="11" s="1"/>
  <c r="G861" i="11"/>
  <c r="M861" i="11" s="1"/>
  <c r="G862" i="11"/>
  <c r="M862" i="11" s="1"/>
  <c r="G863" i="11"/>
  <c r="M863" i="11" s="1"/>
  <c r="G864" i="11"/>
  <c r="M864" i="11" s="1"/>
  <c r="G865" i="11"/>
  <c r="M865" i="11" s="1"/>
  <c r="G866" i="11"/>
  <c r="M866" i="11" s="1"/>
  <c r="G867" i="11"/>
  <c r="M867" i="11" s="1"/>
  <c r="G868" i="11"/>
  <c r="M868" i="11" s="1"/>
  <c r="G869" i="11"/>
  <c r="M869" i="11" s="1"/>
  <c r="G870" i="11"/>
  <c r="M870" i="11" s="1"/>
  <c r="G871" i="11"/>
  <c r="M871" i="11" s="1"/>
  <c r="G872" i="11"/>
  <c r="M872" i="11" s="1"/>
  <c r="G873" i="11"/>
  <c r="M873" i="11" s="1"/>
  <c r="G874" i="11"/>
  <c r="M874" i="11" s="1"/>
  <c r="G875" i="11"/>
  <c r="M875" i="11" s="1"/>
  <c r="G876" i="11"/>
  <c r="M876" i="11" s="1"/>
  <c r="G877" i="11"/>
  <c r="M877" i="11" s="1"/>
  <c r="G878" i="11"/>
  <c r="M878" i="11" s="1"/>
  <c r="G879" i="11"/>
  <c r="M879" i="11" s="1"/>
  <c r="G880" i="11"/>
  <c r="M880" i="11" s="1"/>
  <c r="G881" i="11"/>
  <c r="M881" i="11" s="1"/>
  <c r="G882" i="11"/>
  <c r="M882" i="11" s="1"/>
  <c r="G883" i="11"/>
  <c r="M883" i="11" s="1"/>
  <c r="G884" i="11"/>
  <c r="M884" i="11" s="1"/>
  <c r="G885" i="11"/>
  <c r="M885" i="11" s="1"/>
  <c r="G886" i="11"/>
  <c r="M886" i="11" s="1"/>
  <c r="G887" i="11"/>
  <c r="M887" i="11" s="1"/>
  <c r="G888" i="11"/>
  <c r="M888" i="11" s="1"/>
  <c r="G889" i="11"/>
  <c r="M889" i="11" s="1"/>
  <c r="G890" i="11"/>
  <c r="M890" i="11" s="1"/>
  <c r="G891" i="11"/>
  <c r="M891" i="11" s="1"/>
  <c r="G892" i="11"/>
  <c r="M892" i="11" s="1"/>
  <c r="G893" i="11"/>
  <c r="M893" i="11" s="1"/>
  <c r="G894" i="11"/>
  <c r="M894" i="11" s="1"/>
  <c r="G895" i="11"/>
  <c r="M895" i="11" s="1"/>
  <c r="G896" i="11"/>
  <c r="M896" i="11" s="1"/>
  <c r="G897" i="11"/>
  <c r="M897" i="11" s="1"/>
  <c r="G898" i="11"/>
  <c r="M898" i="11" s="1"/>
  <c r="G899" i="11"/>
  <c r="M899" i="11" s="1"/>
  <c r="G900" i="11"/>
  <c r="M900" i="11" s="1"/>
  <c r="G901" i="11"/>
  <c r="M901" i="11" s="1"/>
  <c r="G902" i="11"/>
  <c r="M902" i="11" s="1"/>
  <c r="G903" i="11"/>
  <c r="M903" i="11" s="1"/>
  <c r="G904" i="11"/>
  <c r="M904" i="11" s="1"/>
  <c r="G905" i="11"/>
  <c r="M905" i="11" s="1"/>
  <c r="G906" i="11"/>
  <c r="M906" i="11" s="1"/>
  <c r="G907" i="11"/>
  <c r="M907" i="11" s="1"/>
  <c r="G908" i="11"/>
  <c r="M908" i="11" s="1"/>
  <c r="G909" i="11"/>
  <c r="M909" i="11" s="1"/>
  <c r="G910" i="11"/>
  <c r="M910" i="11" s="1"/>
  <c r="G911" i="11"/>
  <c r="M911" i="11" s="1"/>
  <c r="G912" i="11"/>
  <c r="M912" i="11" s="1"/>
  <c r="G913" i="11"/>
  <c r="M913" i="11" s="1"/>
  <c r="G914" i="11"/>
  <c r="M914" i="11" s="1"/>
  <c r="G915" i="11"/>
  <c r="M915" i="11" s="1"/>
  <c r="G916" i="11"/>
  <c r="M916" i="11" s="1"/>
  <c r="G917" i="11"/>
  <c r="M917" i="11" s="1"/>
  <c r="G918" i="11"/>
  <c r="M918" i="11" s="1"/>
  <c r="G919" i="11"/>
  <c r="M919" i="11" s="1"/>
  <c r="G920" i="11"/>
  <c r="M920" i="11" s="1"/>
  <c r="G921" i="11"/>
  <c r="M921" i="11" s="1"/>
  <c r="G922" i="11"/>
  <c r="M922" i="11" s="1"/>
  <c r="G923" i="11"/>
  <c r="M923" i="11" s="1"/>
  <c r="G924" i="11"/>
  <c r="M924" i="11" s="1"/>
  <c r="G925" i="11"/>
  <c r="M925" i="11" s="1"/>
  <c r="G926" i="11"/>
  <c r="M926" i="11" s="1"/>
  <c r="G927" i="11"/>
  <c r="M927" i="11" s="1"/>
  <c r="G928" i="11"/>
  <c r="M928" i="11" s="1"/>
  <c r="G929" i="11"/>
  <c r="M929" i="11" s="1"/>
  <c r="G930" i="11"/>
  <c r="M930" i="11" s="1"/>
  <c r="G931" i="11"/>
  <c r="M931" i="11" s="1"/>
  <c r="G932" i="11"/>
  <c r="M932" i="11" s="1"/>
  <c r="G933" i="11"/>
  <c r="M933" i="11" s="1"/>
  <c r="G934" i="11"/>
  <c r="M934" i="11" s="1"/>
  <c r="G935" i="11"/>
  <c r="M935" i="11" s="1"/>
  <c r="G936" i="11"/>
  <c r="M936" i="11" s="1"/>
  <c r="G937" i="11"/>
  <c r="M937" i="11" s="1"/>
  <c r="G938" i="11"/>
  <c r="M938" i="11" s="1"/>
  <c r="G939" i="11"/>
  <c r="M939" i="11" s="1"/>
  <c r="G940" i="11"/>
  <c r="M940" i="11" s="1"/>
  <c r="G941" i="11"/>
  <c r="M941" i="11" s="1"/>
  <c r="G942" i="11"/>
  <c r="M942" i="11" s="1"/>
  <c r="G943" i="11"/>
  <c r="M943" i="11" s="1"/>
  <c r="G944" i="11"/>
  <c r="M944" i="11" s="1"/>
  <c r="G945" i="11"/>
  <c r="M945" i="11" s="1"/>
  <c r="G946" i="11"/>
  <c r="M946" i="11" s="1"/>
  <c r="G947" i="11"/>
  <c r="M947" i="11" s="1"/>
  <c r="G948" i="11"/>
  <c r="M948" i="11" s="1"/>
  <c r="G949" i="11"/>
  <c r="M949" i="11" s="1"/>
  <c r="G950" i="11"/>
  <c r="M950" i="11" s="1"/>
  <c r="G951" i="11"/>
  <c r="M951" i="11" s="1"/>
  <c r="G952" i="11"/>
  <c r="M952" i="11" s="1"/>
  <c r="G953" i="11"/>
  <c r="M953" i="11" s="1"/>
  <c r="G954" i="11"/>
  <c r="M954" i="11" s="1"/>
  <c r="G955" i="11"/>
  <c r="M955" i="11" s="1"/>
  <c r="G956" i="11"/>
  <c r="M956" i="11" s="1"/>
  <c r="G957" i="11"/>
  <c r="M957" i="11" s="1"/>
  <c r="G958" i="11"/>
  <c r="M958" i="11" s="1"/>
  <c r="G959" i="11"/>
  <c r="M959" i="11" s="1"/>
  <c r="G960" i="11"/>
  <c r="M960" i="11" s="1"/>
  <c r="G961" i="11"/>
  <c r="M961" i="11" s="1"/>
  <c r="G962" i="11"/>
  <c r="M962" i="11" s="1"/>
  <c r="G963" i="11"/>
  <c r="M963" i="11" s="1"/>
  <c r="G964" i="11"/>
  <c r="M964" i="11" s="1"/>
  <c r="G965" i="11"/>
  <c r="M965" i="11" s="1"/>
  <c r="G966" i="11"/>
  <c r="M966" i="11" s="1"/>
  <c r="G967" i="11"/>
  <c r="M967" i="11" s="1"/>
  <c r="G968" i="11"/>
  <c r="M968" i="11" s="1"/>
  <c r="G969" i="11"/>
  <c r="M969" i="11" s="1"/>
  <c r="G970" i="11"/>
  <c r="M970" i="11" s="1"/>
  <c r="G971" i="11"/>
  <c r="M971" i="11" s="1"/>
  <c r="G972" i="11"/>
  <c r="M972" i="11" s="1"/>
  <c r="G973" i="11"/>
  <c r="M973" i="11" s="1"/>
  <c r="G974" i="11"/>
  <c r="M974" i="11" s="1"/>
  <c r="G975" i="11"/>
  <c r="M975" i="11" s="1"/>
  <c r="G976" i="11"/>
  <c r="M976" i="11" s="1"/>
  <c r="G977" i="11"/>
  <c r="M977" i="11" s="1"/>
  <c r="G978" i="11"/>
  <c r="M978" i="11" s="1"/>
  <c r="G979" i="11"/>
  <c r="M979" i="11" s="1"/>
  <c r="G980" i="11"/>
  <c r="M980" i="11" s="1"/>
  <c r="G981" i="11"/>
  <c r="M981" i="11" s="1"/>
  <c r="G982" i="11"/>
  <c r="M982" i="11" s="1"/>
  <c r="G983" i="11"/>
  <c r="M983" i="11" s="1"/>
  <c r="G984" i="11"/>
  <c r="M984" i="11" s="1"/>
  <c r="G985" i="11"/>
  <c r="M985" i="11" s="1"/>
  <c r="G986" i="11"/>
  <c r="M986" i="11" s="1"/>
  <c r="G987" i="11"/>
  <c r="M987" i="11" s="1"/>
  <c r="G988" i="11"/>
  <c r="M988" i="11" s="1"/>
  <c r="G989" i="11"/>
  <c r="M989" i="11" s="1"/>
  <c r="G990" i="11"/>
  <c r="M990" i="11" s="1"/>
  <c r="G991" i="11"/>
  <c r="M991" i="11" s="1"/>
  <c r="G992" i="11"/>
  <c r="M992" i="11" s="1"/>
  <c r="G993" i="11"/>
  <c r="M993" i="11" s="1"/>
  <c r="G994" i="11"/>
  <c r="M994" i="11" s="1"/>
  <c r="G995" i="11"/>
  <c r="M995" i="11" s="1"/>
  <c r="G996" i="11"/>
  <c r="M996" i="11" s="1"/>
  <c r="G997" i="11"/>
  <c r="M997" i="11" s="1"/>
  <c r="G998" i="11"/>
  <c r="M998" i="11" s="1"/>
  <c r="G999" i="11"/>
  <c r="M999" i="11" s="1"/>
  <c r="G1000" i="11"/>
  <c r="M1000" i="11" s="1"/>
  <c r="G1001" i="11"/>
  <c r="M1001" i="11" s="1"/>
  <c r="G1002" i="11"/>
  <c r="M1002" i="11" s="1"/>
  <c r="G1003" i="11"/>
  <c r="M1003" i="11" s="1"/>
  <c r="G1004" i="11"/>
  <c r="M1004" i="11" s="1"/>
  <c r="F5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2" i="11"/>
  <c r="E63" i="11"/>
  <c r="E61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2" i="11"/>
  <c r="F63" i="11"/>
  <c r="F61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W1000" i="11" l="1"/>
  <c r="W992" i="11"/>
  <c r="W984" i="11"/>
  <c r="W976" i="11"/>
  <c r="W968" i="11"/>
  <c r="W960" i="11"/>
  <c r="W952" i="11"/>
  <c r="W944" i="11"/>
  <c r="W936" i="11"/>
  <c r="W928" i="11"/>
  <c r="W920" i="11"/>
  <c r="W912" i="11"/>
  <c r="W904" i="11"/>
  <c r="W896" i="11"/>
  <c r="W888" i="11"/>
  <c r="W880" i="11"/>
  <c r="W872" i="11"/>
  <c r="W864" i="11"/>
  <c r="W856" i="11"/>
  <c r="W848" i="11"/>
  <c r="W840" i="11"/>
  <c r="W832" i="11"/>
  <c r="W824" i="11"/>
  <c r="W816" i="11"/>
  <c r="W808" i="11"/>
  <c r="W800" i="11"/>
  <c r="W792" i="11"/>
  <c r="W784" i="11"/>
  <c r="W776" i="11"/>
  <c r="W768" i="11"/>
  <c r="W760" i="11"/>
  <c r="W752" i="11"/>
  <c r="W744" i="11"/>
  <c r="W736" i="11"/>
  <c r="W728" i="11"/>
  <c r="W720" i="11"/>
  <c r="W712" i="11"/>
  <c r="W704" i="11"/>
  <c r="W696" i="11"/>
  <c r="W688" i="11"/>
  <c r="W680" i="11"/>
  <c r="W672" i="11"/>
  <c r="W664" i="11"/>
  <c r="W656" i="11"/>
  <c r="W648" i="11"/>
  <c r="W640" i="11"/>
  <c r="W632" i="11"/>
  <c r="W624" i="11"/>
  <c r="W616" i="11"/>
  <c r="W608" i="11"/>
  <c r="W600" i="11"/>
  <c r="W592" i="11"/>
  <c r="W584" i="11"/>
  <c r="W576" i="11"/>
  <c r="W568" i="11"/>
  <c r="W560" i="11"/>
  <c r="W552" i="11"/>
  <c r="W544" i="11"/>
  <c r="W536" i="11"/>
  <c r="W528" i="11"/>
  <c r="W520" i="11"/>
  <c r="W512" i="11"/>
  <c r="W504" i="11"/>
  <c r="W496" i="11"/>
  <c r="W488" i="11"/>
  <c r="W480" i="11"/>
  <c r="W472" i="11"/>
  <c r="W464" i="11"/>
  <c r="W456" i="11"/>
  <c r="W448" i="11"/>
  <c r="W440" i="11"/>
  <c r="W432" i="11"/>
  <c r="W424" i="11"/>
  <c r="W416" i="11"/>
  <c r="W408" i="11"/>
  <c r="W400" i="11"/>
  <c r="W392" i="11"/>
  <c r="W384" i="11"/>
  <c r="W376" i="11"/>
  <c r="W368" i="11"/>
  <c r="W360" i="11"/>
  <c r="W352" i="11"/>
  <c r="W999" i="11"/>
  <c r="W991" i="11"/>
  <c r="W983" i="11"/>
  <c r="W975" i="11"/>
  <c r="W967" i="11"/>
  <c r="W959" i="11"/>
  <c r="W951" i="11"/>
  <c r="W943" i="11"/>
  <c r="W935" i="11"/>
  <c r="W927" i="11"/>
  <c r="W919" i="11"/>
  <c r="W911" i="11"/>
  <c r="W903" i="11"/>
  <c r="W895" i="11"/>
  <c r="W887" i="11"/>
  <c r="W879" i="11"/>
  <c r="W871" i="11"/>
  <c r="W863" i="11"/>
  <c r="W855" i="11"/>
  <c r="W847" i="11"/>
  <c r="W839" i="11"/>
  <c r="W831" i="11"/>
  <c r="W823" i="11"/>
  <c r="W815" i="11"/>
  <c r="W807" i="11"/>
  <c r="W799" i="11"/>
  <c r="W791" i="11"/>
  <c r="W783" i="11"/>
  <c r="W775" i="11"/>
  <c r="W767" i="11"/>
  <c r="W759" i="11"/>
  <c r="W751" i="11"/>
  <c r="W743" i="11"/>
  <c r="W735" i="11"/>
  <c r="W727" i="11"/>
  <c r="W719" i="11"/>
  <c r="W711" i="11"/>
  <c r="W703" i="11"/>
  <c r="W695" i="11"/>
  <c r="W687" i="11"/>
  <c r="W679" i="11"/>
  <c r="W671" i="11"/>
  <c r="W663" i="11"/>
  <c r="W655" i="11"/>
  <c r="W647" i="11"/>
  <c r="W639" i="11"/>
  <c r="W631" i="11"/>
  <c r="W623" i="11"/>
  <c r="W615" i="11"/>
  <c r="W607" i="11"/>
  <c r="W599" i="11"/>
  <c r="W591" i="11"/>
  <c r="W583" i="11"/>
  <c r="W575" i="11"/>
  <c r="W567" i="11"/>
  <c r="W559" i="11"/>
  <c r="W551" i="11"/>
  <c r="W543" i="11"/>
  <c r="W535" i="11"/>
  <c r="W527" i="11"/>
  <c r="W519" i="11"/>
  <c r="W511" i="11"/>
  <c r="W503" i="11"/>
  <c r="W495" i="11"/>
  <c r="W487" i="11"/>
  <c r="W479" i="11"/>
  <c r="W471" i="11"/>
  <c r="W463" i="11"/>
  <c r="W455" i="11"/>
  <c r="W447" i="11"/>
  <c r="W439" i="11"/>
  <c r="W431" i="11"/>
  <c r="W423" i="11"/>
  <c r="W415" i="11"/>
  <c r="W407" i="11"/>
  <c r="W399" i="11"/>
  <c r="W391" i="11"/>
  <c r="W383" i="11"/>
  <c r="W375" i="11"/>
  <c r="W367" i="11"/>
  <c r="W359" i="11"/>
  <c r="W351" i="11"/>
  <c r="W998" i="11"/>
  <c r="W990" i="11"/>
  <c r="W982" i="11"/>
  <c r="W974" i="11"/>
  <c r="W966" i="11"/>
  <c r="W958" i="11"/>
  <c r="W950" i="11"/>
  <c r="W942" i="11"/>
  <c r="W934" i="11"/>
  <c r="W926" i="11"/>
  <c r="W918" i="11"/>
  <c r="W910" i="11"/>
  <c r="W902" i="11"/>
  <c r="W894" i="11"/>
  <c r="W886" i="11"/>
  <c r="W878" i="11"/>
  <c r="W870" i="11"/>
  <c r="W862" i="11"/>
  <c r="W854" i="11"/>
  <c r="W846" i="11"/>
  <c r="W838" i="11"/>
  <c r="W830" i="11"/>
  <c r="W822" i="11"/>
  <c r="W814" i="11"/>
  <c r="W806" i="11"/>
  <c r="W798" i="11"/>
  <c r="W790" i="11"/>
  <c r="W782" i="11"/>
  <c r="W774" i="11"/>
  <c r="W766" i="11"/>
  <c r="W758" i="11"/>
  <c r="W750" i="11"/>
  <c r="W742" i="11"/>
  <c r="W734" i="11"/>
  <c r="W726" i="11"/>
  <c r="W718" i="11"/>
  <c r="W710" i="11"/>
  <c r="W702" i="11"/>
  <c r="W694" i="11"/>
  <c r="W686" i="11"/>
  <c r="W678" i="11"/>
  <c r="W670" i="11"/>
  <c r="W662" i="11"/>
  <c r="W654" i="11"/>
  <c r="W646" i="11"/>
  <c r="W638" i="11"/>
  <c r="W630" i="11"/>
  <c r="W622" i="11"/>
  <c r="W614" i="11"/>
  <c r="W606" i="11"/>
  <c r="W598" i="11"/>
  <c r="W590" i="11"/>
  <c r="W582" i="11"/>
  <c r="W574" i="11"/>
  <c r="W566" i="11"/>
  <c r="W558" i="11"/>
  <c r="W550" i="11"/>
  <c r="W542" i="11"/>
  <c r="W534" i="11"/>
  <c r="W526" i="11"/>
  <c r="W518" i="11"/>
  <c r="W510" i="11"/>
  <c r="W502" i="11"/>
  <c r="W494" i="11"/>
  <c r="W486" i="11"/>
  <c r="W478" i="11"/>
  <c r="W470" i="11"/>
  <c r="W462" i="11"/>
  <c r="W454" i="11"/>
  <c r="W446" i="11"/>
  <c r="W438" i="11"/>
  <c r="W430" i="11"/>
  <c r="W422" i="11"/>
  <c r="W414" i="11"/>
  <c r="W406" i="11"/>
  <c r="W398" i="11"/>
  <c r="W390" i="11"/>
  <c r="W382" i="11"/>
  <c r="W374" i="11"/>
  <c r="W366" i="11"/>
  <c r="W358" i="11"/>
  <c r="W350" i="11"/>
  <c r="W342" i="11"/>
  <c r="W334" i="11"/>
  <c r="W326" i="11"/>
  <c r="W318" i="11"/>
  <c r="W310" i="11"/>
  <c r="W302" i="11"/>
  <c r="W294" i="11"/>
  <c r="W286" i="11"/>
  <c r="W278" i="11"/>
  <c r="W270" i="11"/>
  <c r="W262" i="11"/>
  <c r="W254" i="11"/>
  <c r="W246" i="11"/>
  <c r="W238" i="11"/>
  <c r="W230" i="11"/>
  <c r="W222" i="11"/>
  <c r="W214" i="11"/>
  <c r="W206" i="11"/>
  <c r="W198" i="11"/>
  <c r="W190" i="11"/>
  <c r="W182" i="11"/>
  <c r="W174" i="11"/>
  <c r="W166" i="11"/>
  <c r="W158" i="11"/>
  <c r="W150" i="11"/>
  <c r="W142" i="11"/>
  <c r="W134" i="11"/>
  <c r="W126" i="11"/>
  <c r="W118" i="11"/>
  <c r="W110" i="11"/>
  <c r="W102" i="11"/>
  <c r="W94" i="11"/>
  <c r="W86" i="11"/>
  <c r="W78" i="11"/>
  <c r="W70" i="11"/>
  <c r="W63" i="11"/>
  <c r="W54" i="11"/>
  <c r="W997" i="11"/>
  <c r="W989" i="11"/>
  <c r="W981" i="11"/>
  <c r="W973" i="11"/>
  <c r="W965" i="11"/>
  <c r="W957" i="11"/>
  <c r="W949" i="11"/>
  <c r="W941" i="11"/>
  <c r="W933" i="11"/>
  <c r="W925" i="11"/>
  <c r="W917" i="11"/>
  <c r="W909" i="11"/>
  <c r="W901" i="11"/>
  <c r="W893" i="11"/>
  <c r="W885" i="11"/>
  <c r="W877" i="11"/>
  <c r="W869" i="11"/>
  <c r="W861" i="11"/>
  <c r="W853" i="11"/>
  <c r="W845" i="11"/>
  <c r="W837" i="11"/>
  <c r="W829" i="11"/>
  <c r="W821" i="11"/>
  <c r="W813" i="11"/>
  <c r="W805" i="11"/>
  <c r="W797" i="11"/>
  <c r="W789" i="11"/>
  <c r="W781" i="11"/>
  <c r="W773" i="11"/>
  <c r="W765" i="11"/>
  <c r="W757" i="11"/>
  <c r="W749" i="11"/>
  <c r="W741" i="11"/>
  <c r="W733" i="11"/>
  <c r="W725" i="11"/>
  <c r="W717" i="11"/>
  <c r="W709" i="11"/>
  <c r="W701" i="11"/>
  <c r="W693" i="11"/>
  <c r="W685" i="11"/>
  <c r="W677" i="11"/>
  <c r="W669" i="11"/>
  <c r="W661" i="11"/>
  <c r="W653" i="11"/>
  <c r="W645" i="11"/>
  <c r="W637" i="11"/>
  <c r="W629" i="11"/>
  <c r="W621" i="11"/>
  <c r="W613" i="11"/>
  <c r="W605" i="11"/>
  <c r="W597" i="11"/>
  <c r="W589" i="11"/>
  <c r="W581" i="11"/>
  <c r="W573" i="11"/>
  <c r="W565" i="11"/>
  <c r="W557" i="11"/>
  <c r="W549" i="11"/>
  <c r="W541" i="11"/>
  <c r="W533" i="11"/>
  <c r="W525" i="11"/>
  <c r="W517" i="11"/>
  <c r="W509" i="11"/>
  <c r="W501" i="11"/>
  <c r="W493" i="11"/>
  <c r="W485" i="11"/>
  <c r="W477" i="11"/>
  <c r="W469" i="11"/>
  <c r="W461" i="11"/>
  <c r="W453" i="11"/>
  <c r="W445" i="11"/>
  <c r="W437" i="11"/>
  <c r="W429" i="11"/>
  <c r="W421" i="11"/>
  <c r="W413" i="11"/>
  <c r="W405" i="11"/>
  <c r="W397" i="11"/>
  <c r="W389" i="11"/>
  <c r="W381" i="11"/>
  <c r="W373" i="11"/>
  <c r="W365" i="11"/>
  <c r="W357" i="11"/>
  <c r="W349" i="11"/>
  <c r="W1004" i="11"/>
  <c r="W996" i="11"/>
  <c r="W988" i="11"/>
  <c r="W980" i="11"/>
  <c r="W972" i="11"/>
  <c r="W964" i="11"/>
  <c r="W956" i="11"/>
  <c r="W948" i="11"/>
  <c r="W940" i="11"/>
  <c r="W932" i="11"/>
  <c r="W924" i="11"/>
  <c r="W916" i="11"/>
  <c r="W908" i="11"/>
  <c r="W900" i="11"/>
  <c r="W892" i="11"/>
  <c r="W884" i="11"/>
  <c r="W876" i="11"/>
  <c r="W868" i="11"/>
  <c r="W860" i="11"/>
  <c r="W852" i="11"/>
  <c r="W844" i="11"/>
  <c r="W836" i="11"/>
  <c r="W828" i="11"/>
  <c r="W820" i="11"/>
  <c r="W812" i="11"/>
  <c r="W804" i="11"/>
  <c r="W796" i="11"/>
  <c r="W788" i="11"/>
  <c r="W780" i="11"/>
  <c r="W772" i="11"/>
  <c r="W764" i="11"/>
  <c r="W756" i="11"/>
  <c r="W748" i="11"/>
  <c r="W740" i="11"/>
  <c r="W732" i="11"/>
  <c r="W724" i="11"/>
  <c r="W716" i="11"/>
  <c r="W708" i="11"/>
  <c r="W700" i="11"/>
  <c r="W692" i="11"/>
  <c r="W684" i="11"/>
  <c r="W676" i="11"/>
  <c r="W668" i="11"/>
  <c r="W660" i="11"/>
  <c r="W652" i="11"/>
  <c r="W644" i="11"/>
  <c r="W636" i="11"/>
  <c r="W628" i="11"/>
  <c r="W620" i="11"/>
  <c r="W612" i="11"/>
  <c r="W604" i="11"/>
  <c r="W596" i="11"/>
  <c r="W588" i="11"/>
  <c r="W580" i="11"/>
  <c r="W572" i="11"/>
  <c r="W564" i="11"/>
  <c r="W556" i="11"/>
  <c r="W548" i="11"/>
  <c r="W540" i="11"/>
  <c r="W532" i="11"/>
  <c r="W524" i="11"/>
  <c r="W516" i="11"/>
  <c r="W508" i="11"/>
  <c r="W500" i="11"/>
  <c r="W492" i="11"/>
  <c r="W484" i="11"/>
  <c r="W476" i="11"/>
  <c r="W468" i="11"/>
  <c r="W460" i="11"/>
  <c r="W452" i="11"/>
  <c r="W444" i="11"/>
  <c r="W436" i="11"/>
  <c r="W428" i="11"/>
  <c r="W420" i="11"/>
  <c r="W412" i="11"/>
  <c r="W404" i="11"/>
  <c r="W396" i="11"/>
  <c r="W388" i="11"/>
  <c r="W380" i="11"/>
  <c r="W372" i="11"/>
  <c r="W364" i="11"/>
  <c r="W356" i="11"/>
  <c r="W1003" i="11"/>
  <c r="W995" i="11"/>
  <c r="W987" i="11"/>
  <c r="W979" i="11"/>
  <c r="W971" i="11"/>
  <c r="W963" i="11"/>
  <c r="W955" i="11"/>
  <c r="W947" i="11"/>
  <c r="W939" i="11"/>
  <c r="W931" i="11"/>
  <c r="W923" i="11"/>
  <c r="W915" i="11"/>
  <c r="W907" i="11"/>
  <c r="W899" i="11"/>
  <c r="W891" i="11"/>
  <c r="W883" i="11"/>
  <c r="W875" i="11"/>
  <c r="W867" i="11"/>
  <c r="W859" i="11"/>
  <c r="W851" i="11"/>
  <c r="W843" i="11"/>
  <c r="W835" i="11"/>
  <c r="W827" i="11"/>
  <c r="W819" i="11"/>
  <c r="W811" i="11"/>
  <c r="W803" i="11"/>
  <c r="W795" i="11"/>
  <c r="W787" i="11"/>
  <c r="W779" i="11"/>
  <c r="W771" i="11"/>
  <c r="W763" i="11"/>
  <c r="W755" i="11"/>
  <c r="W747" i="11"/>
  <c r="W739" i="11"/>
  <c r="W731" i="11"/>
  <c r="W723" i="11"/>
  <c r="W715" i="11"/>
  <c r="W707" i="11"/>
  <c r="W699" i="11"/>
  <c r="W691" i="11"/>
  <c r="W683" i="11"/>
  <c r="W675" i="11"/>
  <c r="W667" i="11"/>
  <c r="W659" i="11"/>
  <c r="W651" i="11"/>
  <c r="W643" i="11"/>
  <c r="W635" i="11"/>
  <c r="W627" i="11"/>
  <c r="W619" i="11"/>
  <c r="W611" i="11"/>
  <c r="W603" i="11"/>
  <c r="W595" i="11"/>
  <c r="W587" i="11"/>
  <c r="W579" i="11"/>
  <c r="W571" i="11"/>
  <c r="W563" i="11"/>
  <c r="W555" i="11"/>
  <c r="W547" i="11"/>
  <c r="W539" i="11"/>
  <c r="W531" i="11"/>
  <c r="W523" i="11"/>
  <c r="W515" i="11"/>
  <c r="W507" i="11"/>
  <c r="W499" i="11"/>
  <c r="W491" i="11"/>
  <c r="W483" i="11"/>
  <c r="W475" i="11"/>
  <c r="W467" i="11"/>
  <c r="W459" i="11"/>
  <c r="W451" i="11"/>
  <c r="W443" i="11"/>
  <c r="W435" i="11"/>
  <c r="W427" i="11"/>
  <c r="W419" i="11"/>
  <c r="W411" i="11"/>
  <c r="W403" i="11"/>
  <c r="W395" i="11"/>
  <c r="W387" i="11"/>
  <c r="W379" i="11"/>
  <c r="W371" i="11"/>
  <c r="W363" i="11"/>
  <c r="W355" i="11"/>
  <c r="W347" i="11"/>
  <c r="AP59" i="20"/>
  <c r="AQ59" i="20" s="1"/>
  <c r="AP66" i="20"/>
  <c r="AQ66" i="20" s="1"/>
  <c r="AP62" i="20"/>
  <c r="AQ62" i="20" s="1"/>
  <c r="AP67" i="20"/>
  <c r="AQ67" i="20" s="1"/>
  <c r="AP60" i="20"/>
  <c r="AQ60" i="20" s="1"/>
  <c r="AP58" i="20"/>
  <c r="AQ58" i="20" s="1"/>
  <c r="AP61" i="20"/>
  <c r="AQ61" i="20" s="1"/>
  <c r="AP65" i="20"/>
  <c r="AQ65" i="20" s="1"/>
  <c r="AP63" i="20"/>
  <c r="AQ63" i="20" s="1"/>
  <c r="AP64" i="20"/>
  <c r="AQ64" i="20" s="1"/>
  <c r="W1002" i="11"/>
  <c r="W994" i="11"/>
  <c r="W986" i="11"/>
  <c r="W978" i="11"/>
  <c r="W970" i="11"/>
  <c r="W962" i="11"/>
  <c r="W954" i="11"/>
  <c r="W946" i="11"/>
  <c r="W938" i="11"/>
  <c r="W930" i="11"/>
  <c r="W922" i="11"/>
  <c r="W914" i="11"/>
  <c r="W906" i="11"/>
  <c r="W898" i="11"/>
  <c r="W890" i="11"/>
  <c r="W882" i="11"/>
  <c r="W874" i="11"/>
  <c r="W866" i="11"/>
  <c r="W858" i="11"/>
  <c r="W850" i="11"/>
  <c r="W842" i="11"/>
  <c r="W834" i="11"/>
  <c r="W826" i="11"/>
  <c r="W818" i="11"/>
  <c r="W810" i="11"/>
  <c r="W802" i="11"/>
  <c r="W794" i="11"/>
  <c r="W786" i="11"/>
  <c r="W778" i="11"/>
  <c r="W770" i="11"/>
  <c r="W762" i="11"/>
  <c r="W754" i="11"/>
  <c r="W746" i="11"/>
  <c r="W738" i="11"/>
  <c r="W730" i="11"/>
  <c r="W722" i="11"/>
  <c r="W714" i="11"/>
  <c r="W706" i="11"/>
  <c r="W698" i="11"/>
  <c r="W690" i="11"/>
  <c r="W682" i="11"/>
  <c r="W674" i="11"/>
  <c r="W666" i="11"/>
  <c r="W658" i="11"/>
  <c r="W650" i="11"/>
  <c r="W642" i="11"/>
  <c r="W634" i="11"/>
  <c r="W626" i="11"/>
  <c r="W618" i="11"/>
  <c r="W610" i="11"/>
  <c r="W602" i="11"/>
  <c r="W594" i="11"/>
  <c r="W586" i="11"/>
  <c r="W578" i="11"/>
  <c r="W570" i="11"/>
  <c r="W562" i="11"/>
  <c r="W554" i="11"/>
  <c r="W546" i="11"/>
  <c r="W538" i="11"/>
  <c r="W530" i="11"/>
  <c r="W522" i="11"/>
  <c r="W514" i="11"/>
  <c r="W506" i="11"/>
  <c r="W498" i="11"/>
  <c r="W490" i="11"/>
  <c r="W482" i="11"/>
  <c r="W474" i="11"/>
  <c r="W466" i="11"/>
  <c r="W458" i="11"/>
  <c r="W450" i="11"/>
  <c r="W442" i="11"/>
  <c r="W434" i="11"/>
  <c r="W426" i="11"/>
  <c r="W418" i="11"/>
  <c r="W410" i="11"/>
  <c r="W402" i="11"/>
  <c r="W394" i="11"/>
  <c r="W386" i="11"/>
  <c r="W378" i="11"/>
  <c r="W370" i="11"/>
  <c r="W1001" i="11"/>
  <c r="W993" i="11"/>
  <c r="W985" i="11"/>
  <c r="W977" i="11"/>
  <c r="W969" i="11"/>
  <c r="W961" i="11"/>
  <c r="W953" i="11"/>
  <c r="W945" i="11"/>
  <c r="W937" i="11"/>
  <c r="W929" i="11"/>
  <c r="W921" i="11"/>
  <c r="W913" i="11"/>
  <c r="W905" i="11"/>
  <c r="W897" i="11"/>
  <c r="W889" i="11"/>
  <c r="W881" i="11"/>
  <c r="W873" i="11"/>
  <c r="W865" i="11"/>
  <c r="W857" i="11"/>
  <c r="W849" i="11"/>
  <c r="W841" i="11"/>
  <c r="W833" i="11"/>
  <c r="W825" i="11"/>
  <c r="W817" i="11"/>
  <c r="W809" i="11"/>
  <c r="W801" i="11"/>
  <c r="W793" i="11"/>
  <c r="W785" i="11"/>
  <c r="W777" i="11"/>
  <c r="W769" i="11"/>
  <c r="W761" i="11"/>
  <c r="W753" i="11"/>
  <c r="W745" i="11"/>
  <c r="W737" i="11"/>
  <c r="W729" i="11"/>
  <c r="W721" i="11"/>
  <c r="W344" i="11"/>
  <c r="W336" i="11"/>
  <c r="W328" i="11"/>
  <c r="W320" i="11"/>
  <c r="W312" i="11"/>
  <c r="W304" i="11"/>
  <c r="W296" i="11"/>
  <c r="W288" i="11"/>
  <c r="W280" i="11"/>
  <c r="W272" i="11"/>
  <c r="W264" i="11"/>
  <c r="W256" i="11"/>
  <c r="W248" i="11"/>
  <c r="W240" i="11"/>
  <c r="W232" i="11"/>
  <c r="W224" i="11"/>
  <c r="W216" i="11"/>
  <c r="W208" i="11"/>
  <c r="W200" i="11"/>
  <c r="W192" i="11"/>
  <c r="W184" i="11"/>
  <c r="W176" i="11"/>
  <c r="W168" i="11"/>
  <c r="W160" i="11"/>
  <c r="W152" i="11"/>
  <c r="W144" i="11"/>
  <c r="W136" i="11"/>
  <c r="W128" i="11"/>
  <c r="W120" i="11"/>
  <c r="W112" i="11"/>
  <c r="W104" i="11"/>
  <c r="W96" i="11"/>
  <c r="W88" i="11"/>
  <c r="W80" i="11"/>
  <c r="W72" i="11"/>
  <c r="W64" i="11"/>
  <c r="W56" i="11"/>
  <c r="W48" i="11"/>
  <c r="W343" i="11"/>
  <c r="W335" i="11"/>
  <c r="W327" i="11"/>
  <c r="W319" i="11"/>
  <c r="W311" i="11"/>
  <c r="W303" i="11"/>
  <c r="W295" i="11"/>
  <c r="W287" i="11"/>
  <c r="W279" i="11"/>
  <c r="W271" i="11"/>
  <c r="W263" i="11"/>
  <c r="W255" i="11"/>
  <c r="W247" i="11"/>
  <c r="W239" i="11"/>
  <c r="W231" i="11"/>
  <c r="W223" i="11"/>
  <c r="W215" i="11"/>
  <c r="W207" i="11"/>
  <c r="W199" i="11"/>
  <c r="W191" i="11"/>
  <c r="W183" i="11"/>
  <c r="W175" i="11"/>
  <c r="W167" i="11"/>
  <c r="W159" i="11"/>
  <c r="W151" i="11"/>
  <c r="W143" i="11"/>
  <c r="W135" i="11"/>
  <c r="W127" i="11"/>
  <c r="W119" i="11"/>
  <c r="W111" i="11"/>
  <c r="W103" i="11"/>
  <c r="W95" i="11"/>
  <c r="W87" i="11"/>
  <c r="W79" i="11"/>
  <c r="W71" i="11"/>
  <c r="W61" i="11"/>
  <c r="W55" i="11"/>
  <c r="W47" i="11"/>
  <c r="W341" i="11"/>
  <c r="W333" i="11"/>
  <c r="W325" i="11"/>
  <c r="W317" i="11"/>
  <c r="W309" i="11"/>
  <c r="W301" i="11"/>
  <c r="W293" i="11"/>
  <c r="W285" i="11"/>
  <c r="W277" i="11"/>
  <c r="W269" i="11"/>
  <c r="W261" i="11"/>
  <c r="W253" i="11"/>
  <c r="W245" i="11"/>
  <c r="W237" i="11"/>
  <c r="W229" i="11"/>
  <c r="W221" i="11"/>
  <c r="W213" i="11"/>
  <c r="W205" i="11"/>
  <c r="W197" i="11"/>
  <c r="W189" i="11"/>
  <c r="W181" i="11"/>
  <c r="W173" i="11"/>
  <c r="W165" i="11"/>
  <c r="W157" i="11"/>
  <c r="W149" i="11"/>
  <c r="W141" i="11"/>
  <c r="W133" i="11"/>
  <c r="W125" i="11"/>
  <c r="W117" i="11"/>
  <c r="W109" i="11"/>
  <c r="W101" i="11"/>
  <c r="W93" i="11"/>
  <c r="W85" i="11"/>
  <c r="W77" i="11"/>
  <c r="W69" i="11"/>
  <c r="W62" i="11"/>
  <c r="W53" i="11"/>
  <c r="W348" i="11"/>
  <c r="W340" i="11"/>
  <c r="W332" i="11"/>
  <c r="W324" i="11"/>
  <c r="W316" i="11"/>
  <c r="W308" i="11"/>
  <c r="W300" i="11"/>
  <c r="W292" i="11"/>
  <c r="W284" i="11"/>
  <c r="W276" i="11"/>
  <c r="W268" i="11"/>
  <c r="W260" i="11"/>
  <c r="W252" i="11"/>
  <c r="W244" i="11"/>
  <c r="W236" i="11"/>
  <c r="W228" i="11"/>
  <c r="W220" i="11"/>
  <c r="W212" i="11"/>
  <c r="W204" i="11"/>
  <c r="W196" i="11"/>
  <c r="W188" i="11"/>
  <c r="W180" i="11"/>
  <c r="W172" i="11"/>
  <c r="W164" i="11"/>
  <c r="W156" i="11"/>
  <c r="W148" i="11"/>
  <c r="W140" i="11"/>
  <c r="W132" i="11"/>
  <c r="W124" i="11"/>
  <c r="W116" i="11"/>
  <c r="W108" i="11"/>
  <c r="W100" i="11"/>
  <c r="W92" i="11"/>
  <c r="W84" i="11"/>
  <c r="W76" i="11"/>
  <c r="W68" i="11"/>
  <c r="W60" i="11"/>
  <c r="W52" i="11"/>
  <c r="W339" i="11"/>
  <c r="W331" i="11"/>
  <c r="W323" i="11"/>
  <c r="W315" i="11"/>
  <c r="W307" i="11"/>
  <c r="W299" i="11"/>
  <c r="W291" i="11"/>
  <c r="W283" i="11"/>
  <c r="W275" i="11"/>
  <c r="W267" i="11"/>
  <c r="W259" i="11"/>
  <c r="W251" i="11"/>
  <c r="W243" i="11"/>
  <c r="W235" i="11"/>
  <c r="W227" i="11"/>
  <c r="W219" i="11"/>
  <c r="W211" i="11"/>
  <c r="W203" i="11"/>
  <c r="W195" i="11"/>
  <c r="W187" i="11"/>
  <c r="W179" i="11"/>
  <c r="W171" i="11"/>
  <c r="W163" i="11"/>
  <c r="W155" i="11"/>
  <c r="W147" i="11"/>
  <c r="W139" i="11"/>
  <c r="W131" i="11"/>
  <c r="W123" i="11"/>
  <c r="W115" i="11"/>
  <c r="W107" i="11"/>
  <c r="W99" i="11"/>
  <c r="W91" i="11"/>
  <c r="W83" i="11"/>
  <c r="W75" i="11"/>
  <c r="W67" i="11"/>
  <c r="W59" i="11"/>
  <c r="W51" i="11"/>
  <c r="W362" i="11"/>
  <c r="W354" i="11"/>
  <c r="W346" i="11"/>
  <c r="W338" i="11"/>
  <c r="W330" i="11"/>
  <c r="W322" i="11"/>
  <c r="W314" i="11"/>
  <c r="W306" i="11"/>
  <c r="W298" i="11"/>
  <c r="W290" i="11"/>
  <c r="W282" i="11"/>
  <c r="W274" i="11"/>
  <c r="W266" i="11"/>
  <c r="W258" i="11"/>
  <c r="W250" i="11"/>
  <c r="W242" i="11"/>
  <c r="W234" i="11"/>
  <c r="W226" i="11"/>
  <c r="W218" i="11"/>
  <c r="W210" i="11"/>
  <c r="W202" i="11"/>
  <c r="W194" i="11"/>
  <c r="W186" i="11"/>
  <c r="W178" i="11"/>
  <c r="W170" i="11"/>
  <c r="W162" i="11"/>
  <c r="W154" i="11"/>
  <c r="W146" i="11"/>
  <c r="W138" i="11"/>
  <c r="W130" i="11"/>
  <c r="W122" i="11"/>
  <c r="W114" i="11"/>
  <c r="W106" i="11"/>
  <c r="W98" i="11"/>
  <c r="W90" i="11"/>
  <c r="W82" i="11"/>
  <c r="W74" i="11"/>
  <c r="W66" i="11"/>
  <c r="W58" i="11"/>
  <c r="W50" i="11"/>
  <c r="AP75" i="20"/>
  <c r="W713" i="11"/>
  <c r="W705" i="11"/>
  <c r="W697" i="11"/>
  <c r="W689" i="11"/>
  <c r="W681" i="11"/>
  <c r="W673" i="11"/>
  <c r="W665" i="11"/>
  <c r="W657" i="11"/>
  <c r="W649" i="11"/>
  <c r="W641" i="11"/>
  <c r="W633" i="11"/>
  <c r="W625" i="11"/>
  <c r="W617" i="11"/>
  <c r="W609" i="11"/>
  <c r="W601" i="11"/>
  <c r="W593" i="11"/>
  <c r="W585" i="11"/>
  <c r="W577" i="11"/>
  <c r="W569" i="11"/>
  <c r="W561" i="11"/>
  <c r="W553" i="11"/>
  <c r="W545" i="11"/>
  <c r="W537" i="11"/>
  <c r="W529" i="11"/>
  <c r="W521" i="11"/>
  <c r="W513" i="11"/>
  <c r="W505" i="11"/>
  <c r="W497" i="11"/>
  <c r="W489" i="11"/>
  <c r="W481" i="11"/>
  <c r="W473" i="11"/>
  <c r="W465" i="11"/>
  <c r="W457" i="11"/>
  <c r="W449" i="11"/>
  <c r="W441" i="11"/>
  <c r="W433" i="11"/>
  <c r="W425" i="11"/>
  <c r="W417" i="11"/>
  <c r="W409" i="11"/>
  <c r="W401" i="11"/>
  <c r="W393" i="11"/>
  <c r="W385" i="11"/>
  <c r="W377" i="11"/>
  <c r="W369" i="11"/>
  <c r="W361" i="11"/>
  <c r="W353" i="11"/>
  <c r="W345" i="11"/>
  <c r="W337" i="11"/>
  <c r="W329" i="11"/>
  <c r="W321" i="11"/>
  <c r="W313" i="11"/>
  <c r="W305" i="11"/>
  <c r="W297" i="11"/>
  <c r="W289" i="11"/>
  <c r="W281" i="11"/>
  <c r="W273" i="11"/>
  <c r="W265" i="11"/>
  <c r="W257" i="11"/>
  <c r="W249" i="11"/>
  <c r="W241" i="11"/>
  <c r="W233" i="11"/>
  <c r="W225" i="11"/>
  <c r="W217" i="11"/>
  <c r="W209" i="11"/>
  <c r="W201" i="11"/>
  <c r="W193" i="11"/>
  <c r="W185" i="11"/>
  <c r="W177" i="11"/>
  <c r="W169" i="11"/>
  <c r="W161" i="11"/>
  <c r="W153" i="11"/>
  <c r="W145" i="11"/>
  <c r="W137" i="11"/>
  <c r="W129" i="11"/>
  <c r="W121" i="11"/>
  <c r="W113" i="11"/>
  <c r="W105" i="11"/>
  <c r="W97" i="11"/>
  <c r="W89" i="11"/>
  <c r="W81" i="11"/>
  <c r="W73" i="11"/>
  <c r="W65" i="11"/>
  <c r="W57" i="11"/>
  <c r="W49" i="11"/>
  <c r="W4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3" i="11"/>
  <c r="W32" i="11"/>
  <c r="W31" i="11"/>
  <c r="W30" i="11"/>
  <c r="W29" i="11"/>
  <c r="W28" i="11"/>
  <c r="W27" i="11"/>
  <c r="W26" i="11"/>
  <c r="W25" i="11"/>
  <c r="W24" i="11"/>
  <c r="W23" i="11"/>
  <c r="W22" i="11"/>
  <c r="W21" i="11"/>
  <c r="W20" i="11"/>
  <c r="W19" i="11"/>
  <c r="W18" i="11"/>
  <c r="W17" i="11"/>
  <c r="W16" i="11"/>
  <c r="W15" i="11"/>
  <c r="W14" i="11"/>
  <c r="W13" i="11"/>
  <c r="W12" i="11"/>
  <c r="W11" i="11"/>
  <c r="W10" i="11"/>
  <c r="W9" i="11"/>
  <c r="W8" i="11"/>
  <c r="W7" i="11"/>
  <c r="W6" i="11"/>
  <c r="W5" i="11"/>
  <c r="S155" i="19"/>
  <c r="S164" i="19" s="1"/>
  <c r="R155" i="19"/>
  <c r="R163" i="19" s="1"/>
  <c r="Q155" i="19"/>
  <c r="Q162" i="19" s="1"/>
  <c r="P155" i="19"/>
  <c r="P160" i="19" s="1"/>
  <c r="O155" i="19"/>
  <c r="O160" i="19" s="1"/>
  <c r="N155" i="19"/>
  <c r="N170" i="19" s="1"/>
  <c r="L155" i="19"/>
  <c r="K155" i="19"/>
  <c r="J155" i="19"/>
  <c r="I155" i="19"/>
  <c r="H155" i="19"/>
  <c r="G155" i="19"/>
  <c r="F155" i="19"/>
  <c r="E155" i="19"/>
  <c r="M155" i="19"/>
  <c r="X135" i="19"/>
  <c r="X136" i="19"/>
  <c r="X137" i="19"/>
  <c r="X138" i="19"/>
  <c r="X139" i="19"/>
  <c r="X140" i="19"/>
  <c r="X141" i="19"/>
  <c r="X142" i="19"/>
  <c r="X143" i="19"/>
  <c r="X144" i="19"/>
  <c r="X145" i="19"/>
  <c r="X146" i="19"/>
  <c r="X147" i="19"/>
  <c r="X148" i="19"/>
  <c r="X134" i="19"/>
  <c r="Q104" i="19" l="1"/>
  <c r="Q111" i="19" s="1"/>
  <c r="P106" i="19"/>
  <c r="P108" i="19"/>
  <c r="P110" i="19"/>
  <c r="P109" i="19"/>
  <c r="AP106" i="19"/>
  <c r="AP105" i="19"/>
  <c r="AP108" i="19"/>
  <c r="AP109" i="19"/>
  <c r="AP110" i="19"/>
  <c r="P171" i="19"/>
  <c r="P163" i="19"/>
  <c r="S179" i="19"/>
  <c r="O171" i="19"/>
  <c r="P161" i="19"/>
  <c r="P179" i="19"/>
  <c r="S168" i="19"/>
  <c r="S157" i="19"/>
  <c r="S177" i="19"/>
  <c r="P168" i="19"/>
  <c r="P157" i="19"/>
  <c r="P177" i="19"/>
  <c r="P166" i="19"/>
  <c r="S175" i="19"/>
  <c r="P173" i="19"/>
  <c r="O164" i="19"/>
  <c r="O166" i="19"/>
  <c r="P175" i="19"/>
  <c r="S165" i="19"/>
  <c r="O177" i="19"/>
  <c r="P170" i="19"/>
  <c r="O168" i="19"/>
  <c r="O163" i="19"/>
  <c r="O157" i="19"/>
  <c r="O178" i="19"/>
  <c r="O176" i="19"/>
  <c r="O174" i="19"/>
  <c r="O169" i="19"/>
  <c r="P164" i="19"/>
  <c r="O158" i="19"/>
  <c r="O179" i="19"/>
  <c r="O175" i="19"/>
  <c r="P159" i="19"/>
  <c r="O173" i="19"/>
  <c r="S172" i="19"/>
  <c r="O170" i="19"/>
  <c r="P165" i="19"/>
  <c r="O159" i="19"/>
  <c r="S178" i="19"/>
  <c r="S176" i="19"/>
  <c r="S174" i="19"/>
  <c r="P172" i="19"/>
  <c r="P167" i="19"/>
  <c r="O165" i="19"/>
  <c r="S162" i="19"/>
  <c r="P156" i="19"/>
  <c r="P178" i="19"/>
  <c r="P176" i="19"/>
  <c r="P174" i="19"/>
  <c r="O172" i="19"/>
  <c r="P169" i="19"/>
  <c r="O167" i="19"/>
  <c r="P162" i="19"/>
  <c r="P158" i="19"/>
  <c r="O156" i="19"/>
  <c r="S169" i="19"/>
  <c r="S160" i="19"/>
  <c r="S158" i="19"/>
  <c r="S173" i="19"/>
  <c r="S166" i="19"/>
  <c r="S163" i="19"/>
  <c r="S170" i="19"/>
  <c r="S159" i="19"/>
  <c r="S167" i="19"/>
  <c r="S161" i="19"/>
  <c r="S156" i="19"/>
  <c r="S171" i="19"/>
  <c r="R169" i="19"/>
  <c r="R170" i="19"/>
  <c r="R160" i="19"/>
  <c r="R165" i="19"/>
  <c r="R157" i="19"/>
  <c r="R178" i="19"/>
  <c r="R161" i="19"/>
  <c r="R158" i="19"/>
  <c r="R175" i="19"/>
  <c r="R156" i="19"/>
  <c r="R164" i="19"/>
  <c r="R179" i="19"/>
  <c r="R166" i="19"/>
  <c r="R173" i="19"/>
  <c r="R167" i="19"/>
  <c r="R162" i="19"/>
  <c r="R176" i="19"/>
  <c r="R177" i="19"/>
  <c r="R171" i="19"/>
  <c r="R172" i="19"/>
  <c r="R174" i="19"/>
  <c r="R159" i="19"/>
  <c r="R168" i="19"/>
  <c r="Q158" i="19"/>
  <c r="Q167" i="19"/>
  <c r="Q166" i="19"/>
  <c r="Q156" i="19"/>
  <c r="Q165" i="19"/>
  <c r="Q171" i="19"/>
  <c r="Q170" i="19"/>
  <c r="Q169" i="19"/>
  <c r="Q168" i="19"/>
  <c r="Q157" i="19"/>
  <c r="Q174" i="19"/>
  <c r="Q179" i="19"/>
  <c r="Q177" i="19"/>
  <c r="Q175" i="19"/>
  <c r="Q160" i="19"/>
  <c r="Q164" i="19"/>
  <c r="Q176" i="19"/>
  <c r="Q173" i="19"/>
  <c r="Q161" i="19"/>
  <c r="Q163" i="19"/>
  <c r="Q159" i="19"/>
  <c r="Q172" i="19"/>
  <c r="Q178" i="19"/>
  <c r="O162" i="19"/>
  <c r="O161" i="19"/>
  <c r="N178" i="19"/>
  <c r="N176" i="19"/>
  <c r="N165" i="19"/>
  <c r="N164" i="19"/>
  <c r="N163" i="19"/>
  <c r="N162" i="19"/>
  <c r="N169" i="19"/>
  <c r="N167" i="19"/>
  <c r="N177" i="19"/>
  <c r="N166" i="19"/>
  <c r="N175" i="19"/>
  <c r="N174" i="19"/>
  <c r="N161" i="19"/>
  <c r="N159" i="19"/>
  <c r="N179" i="19"/>
  <c r="N168" i="19"/>
  <c r="N173" i="19"/>
  <c r="N160" i="19"/>
  <c r="N158" i="19"/>
  <c r="N172" i="19"/>
  <c r="N171" i="19"/>
  <c r="N157" i="19"/>
  <c r="N156" i="19"/>
  <c r="AQ104" i="19"/>
  <c r="AQ111" i="19" s="1"/>
  <c r="Q114" i="19"/>
  <c r="R114" i="19" s="1"/>
  <c r="O135" i="19"/>
  <c r="O136" i="19"/>
  <c r="O137" i="19"/>
  <c r="O138" i="19"/>
  <c r="O139" i="19"/>
  <c r="O140" i="19"/>
  <c r="O141" i="19"/>
  <c r="O142" i="19"/>
  <c r="O143" i="19"/>
  <c r="O144" i="19"/>
  <c r="O145" i="19"/>
  <c r="O146" i="19"/>
  <c r="O147" i="19"/>
  <c r="O148" i="19"/>
  <c r="O134" i="19"/>
  <c r="O127" i="19"/>
  <c r="O128" i="19"/>
  <c r="O129" i="19"/>
  <c r="O116" i="19"/>
  <c r="O117" i="19"/>
  <c r="O118" i="19"/>
  <c r="O119" i="19"/>
  <c r="O120" i="19"/>
  <c r="O121" i="19"/>
  <c r="O122" i="19"/>
  <c r="O123" i="19"/>
  <c r="O124" i="19"/>
  <c r="O125" i="19"/>
  <c r="O126" i="19"/>
  <c r="O115" i="19"/>
  <c r="A103" i="19"/>
  <c r="B105" i="19"/>
  <c r="B156" i="19"/>
  <c r="S148" i="19" l="1"/>
  <c r="T148" i="19"/>
  <c r="U148" i="19"/>
  <c r="Q148" i="19"/>
  <c r="Q140" i="19"/>
  <c r="S140" i="19"/>
  <c r="T140" i="19"/>
  <c r="U140" i="19"/>
  <c r="Q147" i="19"/>
  <c r="S147" i="19"/>
  <c r="T147" i="19"/>
  <c r="U147" i="19"/>
  <c r="Q139" i="19"/>
  <c r="S139" i="19"/>
  <c r="T139" i="19"/>
  <c r="U139" i="19"/>
  <c r="T146" i="19"/>
  <c r="U146" i="19"/>
  <c r="S146" i="19"/>
  <c r="Q146" i="19"/>
  <c r="S143" i="19"/>
  <c r="T143" i="19"/>
  <c r="U143" i="19"/>
  <c r="Q143" i="19"/>
  <c r="Q142" i="19"/>
  <c r="S142" i="19"/>
  <c r="T142" i="19"/>
  <c r="U142" i="19"/>
  <c r="Q145" i="19"/>
  <c r="S145" i="19"/>
  <c r="T145" i="19"/>
  <c r="U145" i="19"/>
  <c r="U144" i="19"/>
  <c r="Q144" i="19"/>
  <c r="S144" i="19"/>
  <c r="T144" i="19"/>
  <c r="U141" i="19"/>
  <c r="Q141" i="19"/>
  <c r="S141" i="19"/>
  <c r="T141" i="19"/>
  <c r="S138" i="19"/>
  <c r="T138" i="19"/>
  <c r="U138" i="19"/>
  <c r="Q138" i="19"/>
  <c r="S137" i="19"/>
  <c r="T137" i="19"/>
  <c r="U137" i="19"/>
  <c r="Q137" i="19"/>
  <c r="S136" i="19"/>
  <c r="T136" i="19"/>
  <c r="U136" i="19"/>
  <c r="Q136" i="19"/>
  <c r="S135" i="19"/>
  <c r="Q135" i="19"/>
  <c r="T135" i="19"/>
  <c r="U135" i="19"/>
  <c r="Q134" i="19"/>
  <c r="S134" i="19"/>
  <c r="T134" i="19"/>
  <c r="U134" i="19"/>
  <c r="AQ105" i="19"/>
  <c r="AQ110" i="19"/>
  <c r="AQ109" i="19"/>
  <c r="AQ106" i="19"/>
  <c r="AQ108" i="19"/>
  <c r="R104" i="19"/>
  <c r="R111" i="19" s="1"/>
  <c r="Q110" i="19"/>
  <c r="Q106" i="19"/>
  <c r="Q109" i="19"/>
  <c r="Q108" i="19"/>
  <c r="Q105" i="19"/>
  <c r="B157" i="19"/>
  <c r="S114" i="19"/>
  <c r="AR104" i="19"/>
  <c r="AR111" i="19" s="1"/>
  <c r="B106" i="19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A81" i="20" s="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2" i="11"/>
  <c r="A63" i="11"/>
  <c r="AA74" i="20" s="1"/>
  <c r="A61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P74" i="20" l="1"/>
  <c r="AP88" i="20"/>
  <c r="AP73" i="20"/>
  <c r="AF73" i="20"/>
  <c r="AP81" i="20"/>
  <c r="AP82" i="20"/>
  <c r="AP76" i="20"/>
  <c r="Z81" i="20"/>
  <c r="AF81" i="20"/>
  <c r="AD81" i="20"/>
  <c r="AE81" i="20"/>
  <c r="AA76" i="20"/>
  <c r="AA75" i="20"/>
  <c r="Z74" i="20"/>
  <c r="Z76" i="20"/>
  <c r="Z75" i="20"/>
  <c r="AR105" i="19"/>
  <c r="AR110" i="19"/>
  <c r="AR106" i="19"/>
  <c r="AR109" i="19"/>
  <c r="AR108" i="19"/>
  <c r="R105" i="19"/>
  <c r="R110" i="19"/>
  <c r="R109" i="19"/>
  <c r="R108" i="19"/>
  <c r="R106" i="19"/>
  <c r="S104" i="19"/>
  <c r="S111" i="19" s="1"/>
  <c r="B158" i="19"/>
  <c r="T114" i="19"/>
  <c r="AS104" i="19"/>
  <c r="AS111" i="19" s="1"/>
  <c r="B107" i="19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2" i="11"/>
  <c r="B63" i="11"/>
  <c r="B61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AA31" i="11"/>
  <c r="AB31" i="11" s="1"/>
  <c r="AA32" i="11"/>
  <c r="AB32" i="11" s="1"/>
  <c r="AA33" i="11"/>
  <c r="AA34" i="11"/>
  <c r="AA35" i="11"/>
  <c r="AB35" i="11" s="1"/>
  <c r="AA36" i="11"/>
  <c r="AB36" i="11" s="1"/>
  <c r="AA37" i="11"/>
  <c r="AB37" i="11" s="1"/>
  <c r="AA38" i="11"/>
  <c r="AB38" i="11" s="1"/>
  <c r="AA39" i="11"/>
  <c r="AB39" i="11" s="1"/>
  <c r="AA40" i="11"/>
  <c r="AB40" i="11" s="1"/>
  <c r="AA41" i="11"/>
  <c r="AA42" i="11"/>
  <c r="AB42" i="11" s="1"/>
  <c r="AA43" i="11"/>
  <c r="AB43" i="11" s="1"/>
  <c r="AA44" i="11"/>
  <c r="AB44" i="11" s="1"/>
  <c r="AA45" i="11"/>
  <c r="AB45" i="11" s="1"/>
  <c r="AA46" i="11"/>
  <c r="AB46" i="11" s="1"/>
  <c r="AA47" i="11"/>
  <c r="AB47" i="11" s="1"/>
  <c r="AA48" i="11"/>
  <c r="AB48" i="11" s="1"/>
  <c r="AA49" i="11"/>
  <c r="AB49" i="11" s="1"/>
  <c r="AA50" i="11"/>
  <c r="AA51" i="11"/>
  <c r="AB51" i="11" s="1"/>
  <c r="AA52" i="11"/>
  <c r="AB52" i="11" s="1"/>
  <c r="AA53" i="11"/>
  <c r="AB53" i="11" s="1"/>
  <c r="AA54" i="11"/>
  <c r="AB54" i="11" s="1"/>
  <c r="AA55" i="11"/>
  <c r="AB55" i="11" s="1"/>
  <c r="AA56" i="11"/>
  <c r="AB56" i="11" s="1"/>
  <c r="AA57" i="11"/>
  <c r="AA58" i="11"/>
  <c r="AB58" i="11" s="1"/>
  <c r="AA59" i="11"/>
  <c r="AB59" i="11" s="1"/>
  <c r="AA62" i="11"/>
  <c r="AA61" i="11"/>
  <c r="AB61" i="11" s="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35" i="11"/>
  <c r="AA136" i="11"/>
  <c r="AA137" i="11"/>
  <c r="AA138" i="11"/>
  <c r="AA139" i="11"/>
  <c r="AA140" i="11"/>
  <c r="AA141" i="11"/>
  <c r="AA142" i="11"/>
  <c r="AA143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159" i="11"/>
  <c r="AA160" i="11"/>
  <c r="AA161" i="11"/>
  <c r="AA162" i="11"/>
  <c r="AA163" i="11"/>
  <c r="AA164" i="11"/>
  <c r="AA165" i="11"/>
  <c r="AA166" i="11"/>
  <c r="AA167" i="11"/>
  <c r="AA168" i="11"/>
  <c r="AA169" i="11"/>
  <c r="AA170" i="11"/>
  <c r="AA171" i="11"/>
  <c r="AA172" i="11"/>
  <c r="AA173" i="11"/>
  <c r="AA174" i="11"/>
  <c r="AA175" i="11"/>
  <c r="AA176" i="11"/>
  <c r="AA177" i="11"/>
  <c r="AA178" i="11"/>
  <c r="AA179" i="11"/>
  <c r="AA180" i="11"/>
  <c r="AA181" i="11"/>
  <c r="AA182" i="11"/>
  <c r="AA183" i="11"/>
  <c r="AA184" i="11"/>
  <c r="AA185" i="11"/>
  <c r="AA186" i="11"/>
  <c r="AA187" i="11"/>
  <c r="AA188" i="11"/>
  <c r="AA189" i="11"/>
  <c r="AA190" i="11"/>
  <c r="AA191" i="11"/>
  <c r="AA192" i="11"/>
  <c r="AA193" i="11"/>
  <c r="AA194" i="11"/>
  <c r="AA195" i="11"/>
  <c r="AA196" i="11"/>
  <c r="AA197" i="11"/>
  <c r="AA198" i="11"/>
  <c r="AA199" i="11"/>
  <c r="AA200" i="11"/>
  <c r="AA201" i="11"/>
  <c r="AA202" i="11"/>
  <c r="AA203" i="11"/>
  <c r="AA204" i="11"/>
  <c r="AA205" i="11"/>
  <c r="AA206" i="11"/>
  <c r="AA207" i="11"/>
  <c r="AA208" i="11"/>
  <c r="AA209" i="11"/>
  <c r="AA210" i="11"/>
  <c r="AA211" i="11"/>
  <c r="AA212" i="11"/>
  <c r="AA213" i="11"/>
  <c r="AA214" i="11"/>
  <c r="AA215" i="11"/>
  <c r="AA216" i="11"/>
  <c r="AA217" i="11"/>
  <c r="AA218" i="11"/>
  <c r="AA219" i="11"/>
  <c r="AA220" i="11"/>
  <c r="AA221" i="11"/>
  <c r="AA222" i="11"/>
  <c r="AA223" i="11"/>
  <c r="AA224" i="11"/>
  <c r="AA225" i="11"/>
  <c r="AA226" i="11"/>
  <c r="AA227" i="11"/>
  <c r="AA228" i="11"/>
  <c r="AA229" i="11"/>
  <c r="AA230" i="11"/>
  <c r="AA231" i="11"/>
  <c r="AA232" i="11"/>
  <c r="AA233" i="11"/>
  <c r="AA234" i="11"/>
  <c r="AA235" i="11"/>
  <c r="AA236" i="11"/>
  <c r="AA237" i="11"/>
  <c r="AA238" i="11"/>
  <c r="AA239" i="11"/>
  <c r="AA240" i="11"/>
  <c r="AA241" i="11"/>
  <c r="AA242" i="11"/>
  <c r="AA243" i="11"/>
  <c r="AA244" i="11"/>
  <c r="AA245" i="11"/>
  <c r="AA246" i="11"/>
  <c r="AA247" i="11"/>
  <c r="AA248" i="11"/>
  <c r="AA249" i="11"/>
  <c r="AA250" i="11"/>
  <c r="AA251" i="11"/>
  <c r="AA252" i="11"/>
  <c r="AA253" i="11"/>
  <c r="AA254" i="11"/>
  <c r="AA255" i="11"/>
  <c r="AA256" i="11"/>
  <c r="AA257" i="11"/>
  <c r="AA258" i="11"/>
  <c r="AA259" i="11"/>
  <c r="AA260" i="11"/>
  <c r="AA261" i="11"/>
  <c r="AA262" i="11"/>
  <c r="AA263" i="11"/>
  <c r="AA264" i="11"/>
  <c r="AA265" i="11"/>
  <c r="AA266" i="11"/>
  <c r="AA267" i="11"/>
  <c r="AA268" i="11"/>
  <c r="AA269" i="11"/>
  <c r="AA270" i="11"/>
  <c r="AA271" i="11"/>
  <c r="AA272" i="11"/>
  <c r="AA273" i="11"/>
  <c r="AA274" i="11"/>
  <c r="AA275" i="11"/>
  <c r="AA276" i="11"/>
  <c r="AA277" i="11"/>
  <c r="AA278" i="11"/>
  <c r="AA279" i="11"/>
  <c r="AA280" i="11"/>
  <c r="AA281" i="11"/>
  <c r="AA282" i="11"/>
  <c r="AA283" i="11"/>
  <c r="AA284" i="11"/>
  <c r="AA285" i="11"/>
  <c r="AA286" i="11"/>
  <c r="AA287" i="11"/>
  <c r="AA288" i="11"/>
  <c r="AA289" i="11"/>
  <c r="AA290" i="11"/>
  <c r="AA291" i="11"/>
  <c r="AA292" i="11"/>
  <c r="AA293" i="11"/>
  <c r="AA294" i="11"/>
  <c r="AA295" i="11"/>
  <c r="AA296" i="11"/>
  <c r="AA297" i="11"/>
  <c r="AA298" i="11"/>
  <c r="AA299" i="11"/>
  <c r="AA300" i="11"/>
  <c r="AA301" i="11"/>
  <c r="AA302" i="11"/>
  <c r="AA303" i="11"/>
  <c r="AA304" i="11"/>
  <c r="AA305" i="11"/>
  <c r="AA306" i="11"/>
  <c r="AA307" i="11"/>
  <c r="AA308" i="11"/>
  <c r="AA309" i="11"/>
  <c r="AA310" i="11"/>
  <c r="AA311" i="11"/>
  <c r="AA312" i="11"/>
  <c r="AA313" i="11"/>
  <c r="AA314" i="11"/>
  <c r="AA315" i="11"/>
  <c r="AA316" i="11"/>
  <c r="AA317" i="11"/>
  <c r="AA318" i="11"/>
  <c r="AA319" i="11"/>
  <c r="AA320" i="11"/>
  <c r="AA321" i="11"/>
  <c r="AA322" i="11"/>
  <c r="AA323" i="11"/>
  <c r="AA324" i="11"/>
  <c r="AA325" i="11"/>
  <c r="AA326" i="11"/>
  <c r="AA327" i="11"/>
  <c r="AA328" i="11"/>
  <c r="AA329" i="11"/>
  <c r="AA330" i="11"/>
  <c r="AA331" i="11"/>
  <c r="AA332" i="11"/>
  <c r="AA333" i="11"/>
  <c r="AA334" i="11"/>
  <c r="AA335" i="11"/>
  <c r="AA336" i="11"/>
  <c r="AA337" i="11"/>
  <c r="AA338" i="11"/>
  <c r="AA339" i="11"/>
  <c r="AA340" i="11"/>
  <c r="AA341" i="11"/>
  <c r="AA342" i="11"/>
  <c r="AA343" i="11"/>
  <c r="AA344" i="11"/>
  <c r="AA345" i="11"/>
  <c r="AA346" i="11"/>
  <c r="AA347" i="11"/>
  <c r="AA348" i="11"/>
  <c r="AA349" i="11"/>
  <c r="AA350" i="11"/>
  <c r="AA351" i="11"/>
  <c r="AA352" i="11"/>
  <c r="AA353" i="11"/>
  <c r="AA354" i="11"/>
  <c r="AA355" i="11"/>
  <c r="AA356" i="11"/>
  <c r="AA357" i="11"/>
  <c r="AA358" i="11"/>
  <c r="AA359" i="11"/>
  <c r="AA360" i="11"/>
  <c r="AA361" i="11"/>
  <c r="AA362" i="11"/>
  <c r="AA363" i="11"/>
  <c r="AA364" i="11"/>
  <c r="AA365" i="11"/>
  <c r="AA366" i="11"/>
  <c r="AA367" i="11"/>
  <c r="AA368" i="11"/>
  <c r="AA369" i="11"/>
  <c r="AA370" i="11"/>
  <c r="AA371" i="11"/>
  <c r="AA372" i="11"/>
  <c r="AA373" i="11"/>
  <c r="AA374" i="11"/>
  <c r="AA375" i="11"/>
  <c r="AA376" i="11"/>
  <c r="AA377" i="11"/>
  <c r="AA378" i="11"/>
  <c r="AA379" i="11"/>
  <c r="AA380" i="11"/>
  <c r="AA381" i="11"/>
  <c r="AA382" i="11"/>
  <c r="AA383" i="11"/>
  <c r="AA384" i="11"/>
  <c r="AA385" i="11"/>
  <c r="AA386" i="11"/>
  <c r="AA387" i="11"/>
  <c r="AA388" i="11"/>
  <c r="AA389" i="11"/>
  <c r="AA390" i="11"/>
  <c r="AA391" i="11"/>
  <c r="AA392" i="11"/>
  <c r="AA393" i="11"/>
  <c r="AA394" i="11"/>
  <c r="AA395" i="11"/>
  <c r="AA396" i="11"/>
  <c r="AA397" i="11"/>
  <c r="AA398" i="11"/>
  <c r="AA399" i="11"/>
  <c r="AA400" i="11"/>
  <c r="AA401" i="11"/>
  <c r="AA402" i="11"/>
  <c r="AA403" i="11"/>
  <c r="AA404" i="11"/>
  <c r="AA405" i="11"/>
  <c r="AA406" i="11"/>
  <c r="AA407" i="11"/>
  <c r="AA408" i="11"/>
  <c r="AA409" i="11"/>
  <c r="AA410" i="11"/>
  <c r="AA411" i="11"/>
  <c r="AA412" i="11"/>
  <c r="AA413" i="11"/>
  <c r="AA414" i="11"/>
  <c r="AA415" i="11"/>
  <c r="AA416" i="11"/>
  <c r="AA417" i="11"/>
  <c r="AA418" i="11"/>
  <c r="AA419" i="11"/>
  <c r="AA420" i="11"/>
  <c r="AA421" i="11"/>
  <c r="AA422" i="11"/>
  <c r="AA423" i="11"/>
  <c r="AA424" i="11"/>
  <c r="AA425" i="11"/>
  <c r="AA426" i="11"/>
  <c r="AA427" i="11"/>
  <c r="AA428" i="11"/>
  <c r="AA429" i="11"/>
  <c r="AA430" i="11"/>
  <c r="AA431" i="11"/>
  <c r="AA432" i="11"/>
  <c r="AA433" i="11"/>
  <c r="AA434" i="11"/>
  <c r="AA435" i="11"/>
  <c r="AA436" i="11"/>
  <c r="AA437" i="11"/>
  <c r="AA438" i="11"/>
  <c r="AA439" i="11"/>
  <c r="AA440" i="11"/>
  <c r="AA441" i="11"/>
  <c r="AA442" i="11"/>
  <c r="AA443" i="11"/>
  <c r="AA444" i="11"/>
  <c r="AA445" i="11"/>
  <c r="AA446" i="11"/>
  <c r="AA447" i="11"/>
  <c r="AA448" i="11"/>
  <c r="AA449" i="11"/>
  <c r="AA450" i="11"/>
  <c r="AA451" i="11"/>
  <c r="AA452" i="11"/>
  <c r="AA453" i="11"/>
  <c r="AA454" i="11"/>
  <c r="AA455" i="11"/>
  <c r="AA456" i="11"/>
  <c r="AA457" i="11"/>
  <c r="AA458" i="11"/>
  <c r="AA459" i="11"/>
  <c r="AA460" i="11"/>
  <c r="AA461" i="11"/>
  <c r="AA462" i="11"/>
  <c r="AA463" i="11"/>
  <c r="AA464" i="11"/>
  <c r="AA465" i="11"/>
  <c r="AA466" i="11"/>
  <c r="AA467" i="11"/>
  <c r="AA468" i="11"/>
  <c r="AA469" i="11"/>
  <c r="AA470" i="11"/>
  <c r="AA471" i="11"/>
  <c r="AA472" i="11"/>
  <c r="AA473" i="11"/>
  <c r="AA474" i="11"/>
  <c r="AA475" i="11"/>
  <c r="AA476" i="11"/>
  <c r="AA477" i="11"/>
  <c r="AA478" i="11"/>
  <c r="AA479" i="11"/>
  <c r="AA480" i="11"/>
  <c r="AA481" i="11"/>
  <c r="AA482" i="11"/>
  <c r="AA483" i="11"/>
  <c r="AA484" i="11"/>
  <c r="AA485" i="11"/>
  <c r="AA486" i="11"/>
  <c r="AA487" i="11"/>
  <c r="AA488" i="11"/>
  <c r="AA489" i="11"/>
  <c r="AA490" i="11"/>
  <c r="AA491" i="11"/>
  <c r="AA492" i="11"/>
  <c r="AA493" i="11"/>
  <c r="AA494" i="11"/>
  <c r="AA495" i="11"/>
  <c r="AA496" i="11"/>
  <c r="AA497" i="11"/>
  <c r="AA498" i="11"/>
  <c r="AA499" i="11"/>
  <c r="AA500" i="11"/>
  <c r="AA501" i="11"/>
  <c r="AA502" i="11"/>
  <c r="AA503" i="11"/>
  <c r="AA504" i="11"/>
  <c r="AA505" i="11"/>
  <c r="AA506" i="11"/>
  <c r="AA507" i="11"/>
  <c r="AA508" i="11"/>
  <c r="AA509" i="11"/>
  <c r="AA510" i="11"/>
  <c r="AA511" i="11"/>
  <c r="AA512" i="11"/>
  <c r="AA513" i="11"/>
  <c r="AA514" i="11"/>
  <c r="AA515" i="11"/>
  <c r="AA516" i="11"/>
  <c r="AA517" i="11"/>
  <c r="AA518" i="11"/>
  <c r="AA519" i="11"/>
  <c r="AA520" i="11"/>
  <c r="AA521" i="11"/>
  <c r="AA522" i="11"/>
  <c r="AA523" i="11"/>
  <c r="AA524" i="11"/>
  <c r="AA525" i="11"/>
  <c r="AA526" i="11"/>
  <c r="AA527" i="11"/>
  <c r="AA528" i="11"/>
  <c r="AA529" i="11"/>
  <c r="AA530" i="11"/>
  <c r="AA531" i="11"/>
  <c r="AA532" i="11"/>
  <c r="AA533" i="11"/>
  <c r="AA534" i="11"/>
  <c r="AA535" i="11"/>
  <c r="AA536" i="11"/>
  <c r="AA537" i="11"/>
  <c r="AA538" i="11"/>
  <c r="AA539" i="11"/>
  <c r="AA540" i="11"/>
  <c r="AA541" i="11"/>
  <c r="AA542" i="11"/>
  <c r="AA543" i="11"/>
  <c r="AA544" i="11"/>
  <c r="AA545" i="11"/>
  <c r="AA546" i="11"/>
  <c r="AA547" i="11"/>
  <c r="AA548" i="11"/>
  <c r="AA549" i="11"/>
  <c r="AA550" i="11"/>
  <c r="AA551" i="11"/>
  <c r="AA552" i="11"/>
  <c r="AA553" i="11"/>
  <c r="AA554" i="11"/>
  <c r="AA555" i="11"/>
  <c r="AA556" i="11"/>
  <c r="AA557" i="11"/>
  <c r="AA558" i="11"/>
  <c r="AA559" i="11"/>
  <c r="AA560" i="11"/>
  <c r="AA561" i="11"/>
  <c r="AA562" i="11"/>
  <c r="AA563" i="11"/>
  <c r="AA564" i="11"/>
  <c r="AA565" i="11"/>
  <c r="AA566" i="11"/>
  <c r="AA567" i="11"/>
  <c r="AA568" i="11"/>
  <c r="AA569" i="11"/>
  <c r="AA570" i="11"/>
  <c r="AA571" i="11"/>
  <c r="AA572" i="11"/>
  <c r="AA573" i="11"/>
  <c r="AA574" i="11"/>
  <c r="AA575" i="11"/>
  <c r="AA576" i="11"/>
  <c r="AA577" i="11"/>
  <c r="AA578" i="11"/>
  <c r="AA579" i="11"/>
  <c r="AA580" i="11"/>
  <c r="AA581" i="11"/>
  <c r="AA582" i="11"/>
  <c r="AA583" i="11"/>
  <c r="AA584" i="11"/>
  <c r="AA585" i="11"/>
  <c r="AA586" i="11"/>
  <c r="AA587" i="11"/>
  <c r="AA588" i="11"/>
  <c r="AA589" i="11"/>
  <c r="AA590" i="11"/>
  <c r="AA591" i="11"/>
  <c r="AA592" i="11"/>
  <c r="AA593" i="11"/>
  <c r="AA594" i="11"/>
  <c r="AA595" i="11"/>
  <c r="AA596" i="11"/>
  <c r="AA597" i="11"/>
  <c r="AA598" i="11"/>
  <c r="AA599" i="11"/>
  <c r="AA600" i="11"/>
  <c r="AA601" i="11"/>
  <c r="AA602" i="11"/>
  <c r="AA603" i="11"/>
  <c r="AA604" i="11"/>
  <c r="AA605" i="11"/>
  <c r="AA606" i="11"/>
  <c r="AA607" i="11"/>
  <c r="AA608" i="11"/>
  <c r="AA609" i="11"/>
  <c r="AA610" i="11"/>
  <c r="AA611" i="11"/>
  <c r="AA612" i="11"/>
  <c r="AA613" i="11"/>
  <c r="AA614" i="11"/>
  <c r="AA615" i="11"/>
  <c r="AA616" i="11"/>
  <c r="AA617" i="11"/>
  <c r="AA618" i="11"/>
  <c r="AA619" i="11"/>
  <c r="AA620" i="11"/>
  <c r="AA621" i="11"/>
  <c r="AA622" i="11"/>
  <c r="AA623" i="11"/>
  <c r="AA624" i="11"/>
  <c r="AA625" i="11"/>
  <c r="AA626" i="11"/>
  <c r="AA627" i="11"/>
  <c r="AA628" i="11"/>
  <c r="AA629" i="11"/>
  <c r="AA630" i="11"/>
  <c r="AA631" i="11"/>
  <c r="AA632" i="11"/>
  <c r="AA633" i="11"/>
  <c r="AA634" i="11"/>
  <c r="AA635" i="11"/>
  <c r="AA636" i="11"/>
  <c r="AA637" i="11"/>
  <c r="AA638" i="11"/>
  <c r="AA639" i="11"/>
  <c r="AA640" i="11"/>
  <c r="AA641" i="11"/>
  <c r="AA642" i="11"/>
  <c r="AA643" i="11"/>
  <c r="AA644" i="11"/>
  <c r="AA645" i="11"/>
  <c r="AA646" i="11"/>
  <c r="AA647" i="11"/>
  <c r="AA648" i="11"/>
  <c r="AA649" i="11"/>
  <c r="AA650" i="11"/>
  <c r="AA651" i="11"/>
  <c r="AA652" i="11"/>
  <c r="AA653" i="11"/>
  <c r="AA654" i="11"/>
  <c r="AA655" i="11"/>
  <c r="AA656" i="11"/>
  <c r="AA657" i="11"/>
  <c r="AA658" i="11"/>
  <c r="AA659" i="11"/>
  <c r="AA660" i="11"/>
  <c r="AA661" i="11"/>
  <c r="AA662" i="11"/>
  <c r="AA663" i="11"/>
  <c r="AA664" i="11"/>
  <c r="AA665" i="11"/>
  <c r="AA666" i="11"/>
  <c r="AA667" i="11"/>
  <c r="AA668" i="11"/>
  <c r="AA669" i="11"/>
  <c r="AA670" i="11"/>
  <c r="AA671" i="11"/>
  <c r="AA672" i="11"/>
  <c r="AA673" i="11"/>
  <c r="AA674" i="11"/>
  <c r="AA675" i="11"/>
  <c r="AA676" i="11"/>
  <c r="AA677" i="11"/>
  <c r="AA678" i="11"/>
  <c r="AA679" i="11"/>
  <c r="AA680" i="11"/>
  <c r="AA681" i="11"/>
  <c r="AA682" i="11"/>
  <c r="AA683" i="11"/>
  <c r="AA684" i="11"/>
  <c r="AA685" i="11"/>
  <c r="AA686" i="11"/>
  <c r="AA687" i="11"/>
  <c r="AA688" i="11"/>
  <c r="AA689" i="11"/>
  <c r="AA690" i="11"/>
  <c r="AA691" i="11"/>
  <c r="AA692" i="11"/>
  <c r="AA693" i="11"/>
  <c r="AA694" i="11"/>
  <c r="AA695" i="11"/>
  <c r="AA696" i="11"/>
  <c r="AA697" i="11"/>
  <c r="AA698" i="11"/>
  <c r="AA699" i="11"/>
  <c r="AA700" i="11"/>
  <c r="AA701" i="11"/>
  <c r="AA702" i="11"/>
  <c r="AA703" i="11"/>
  <c r="AA704" i="11"/>
  <c r="AA705" i="11"/>
  <c r="AA706" i="11"/>
  <c r="AA707" i="11"/>
  <c r="AA708" i="11"/>
  <c r="AA709" i="11"/>
  <c r="AA710" i="11"/>
  <c r="AA711" i="11"/>
  <c r="AA712" i="11"/>
  <c r="AA713" i="11"/>
  <c r="AA714" i="11"/>
  <c r="AA715" i="11"/>
  <c r="AA716" i="11"/>
  <c r="AA717" i="11"/>
  <c r="AA718" i="11"/>
  <c r="AA719" i="11"/>
  <c r="AA720" i="11"/>
  <c r="AA721" i="11"/>
  <c r="AA722" i="11"/>
  <c r="AA723" i="11"/>
  <c r="AA724" i="11"/>
  <c r="AA725" i="11"/>
  <c r="AA726" i="11"/>
  <c r="AA727" i="11"/>
  <c r="AA728" i="11"/>
  <c r="AA729" i="11"/>
  <c r="AA730" i="11"/>
  <c r="AA731" i="11"/>
  <c r="AA732" i="11"/>
  <c r="AA733" i="11"/>
  <c r="AA734" i="11"/>
  <c r="AA735" i="11"/>
  <c r="AA736" i="11"/>
  <c r="AA737" i="11"/>
  <c r="AA738" i="11"/>
  <c r="AA739" i="11"/>
  <c r="AA740" i="11"/>
  <c r="AA741" i="11"/>
  <c r="AA742" i="11"/>
  <c r="AA743" i="11"/>
  <c r="AA744" i="11"/>
  <c r="AA745" i="11"/>
  <c r="AA746" i="11"/>
  <c r="AA747" i="11"/>
  <c r="AA748" i="11"/>
  <c r="AA749" i="11"/>
  <c r="AA750" i="11"/>
  <c r="AA751" i="11"/>
  <c r="AA752" i="11"/>
  <c r="AA753" i="11"/>
  <c r="AA754" i="11"/>
  <c r="AA755" i="11"/>
  <c r="AA756" i="11"/>
  <c r="AA757" i="11"/>
  <c r="AA758" i="11"/>
  <c r="AA759" i="11"/>
  <c r="AA760" i="11"/>
  <c r="AA761" i="11"/>
  <c r="AA762" i="11"/>
  <c r="AA763" i="11"/>
  <c r="AA764" i="11"/>
  <c r="AA765" i="11"/>
  <c r="AA766" i="11"/>
  <c r="AA767" i="11"/>
  <c r="AA768" i="11"/>
  <c r="AA769" i="11"/>
  <c r="AA770" i="11"/>
  <c r="AA771" i="11"/>
  <c r="AA772" i="11"/>
  <c r="AA773" i="11"/>
  <c r="AA774" i="11"/>
  <c r="AA775" i="11"/>
  <c r="AA776" i="11"/>
  <c r="AA777" i="11"/>
  <c r="AA778" i="11"/>
  <c r="AA779" i="11"/>
  <c r="AA780" i="11"/>
  <c r="AA781" i="11"/>
  <c r="AA782" i="11"/>
  <c r="AA783" i="11"/>
  <c r="AA784" i="11"/>
  <c r="AA785" i="11"/>
  <c r="AA786" i="11"/>
  <c r="AA787" i="11"/>
  <c r="AA788" i="11"/>
  <c r="AA789" i="11"/>
  <c r="AA790" i="11"/>
  <c r="AA791" i="11"/>
  <c r="AA792" i="11"/>
  <c r="AA793" i="11"/>
  <c r="AA794" i="11"/>
  <c r="AA795" i="11"/>
  <c r="AA796" i="11"/>
  <c r="AA797" i="11"/>
  <c r="AA798" i="11"/>
  <c r="AA799" i="11"/>
  <c r="AA800" i="11"/>
  <c r="AA801" i="11"/>
  <c r="AA802" i="11"/>
  <c r="AA803" i="11"/>
  <c r="AA804" i="11"/>
  <c r="AA805" i="11"/>
  <c r="AA806" i="11"/>
  <c r="AA807" i="11"/>
  <c r="AA808" i="11"/>
  <c r="AA809" i="11"/>
  <c r="AA810" i="11"/>
  <c r="AA811" i="11"/>
  <c r="AA812" i="11"/>
  <c r="AA813" i="11"/>
  <c r="AA814" i="11"/>
  <c r="AA815" i="11"/>
  <c r="AA816" i="11"/>
  <c r="AA817" i="11"/>
  <c r="AA818" i="11"/>
  <c r="AA819" i="11"/>
  <c r="AA820" i="11"/>
  <c r="AA821" i="11"/>
  <c r="AA822" i="11"/>
  <c r="AA823" i="11"/>
  <c r="AA824" i="11"/>
  <c r="AA825" i="11"/>
  <c r="AA826" i="11"/>
  <c r="AA827" i="11"/>
  <c r="AA828" i="11"/>
  <c r="AA829" i="11"/>
  <c r="AA830" i="11"/>
  <c r="AA831" i="11"/>
  <c r="AA832" i="11"/>
  <c r="AA833" i="11"/>
  <c r="AA834" i="11"/>
  <c r="AA835" i="11"/>
  <c r="AA836" i="11"/>
  <c r="AA837" i="11"/>
  <c r="AA838" i="11"/>
  <c r="AA839" i="11"/>
  <c r="AA840" i="11"/>
  <c r="AA841" i="11"/>
  <c r="AA842" i="11"/>
  <c r="AA843" i="11"/>
  <c r="AA844" i="11"/>
  <c r="AA845" i="11"/>
  <c r="AA846" i="11"/>
  <c r="AA847" i="11"/>
  <c r="AA848" i="11"/>
  <c r="AA849" i="11"/>
  <c r="AA850" i="11"/>
  <c r="AA851" i="11"/>
  <c r="AA852" i="11"/>
  <c r="AA853" i="11"/>
  <c r="AA854" i="11"/>
  <c r="AA855" i="11"/>
  <c r="AA856" i="11"/>
  <c r="AA857" i="11"/>
  <c r="AA858" i="11"/>
  <c r="AA859" i="11"/>
  <c r="AA860" i="11"/>
  <c r="AA861" i="11"/>
  <c r="AA862" i="11"/>
  <c r="AA863" i="11"/>
  <c r="AA864" i="11"/>
  <c r="AA865" i="11"/>
  <c r="AA866" i="11"/>
  <c r="AA867" i="11"/>
  <c r="AA868" i="11"/>
  <c r="AA869" i="11"/>
  <c r="AA870" i="11"/>
  <c r="AA871" i="11"/>
  <c r="AA872" i="11"/>
  <c r="AA873" i="11"/>
  <c r="AA874" i="11"/>
  <c r="AA875" i="11"/>
  <c r="AA876" i="11"/>
  <c r="AA877" i="11"/>
  <c r="AA878" i="11"/>
  <c r="AA879" i="11"/>
  <c r="AA880" i="11"/>
  <c r="AA881" i="11"/>
  <c r="AA882" i="11"/>
  <c r="AA883" i="11"/>
  <c r="AA884" i="11"/>
  <c r="AA885" i="11"/>
  <c r="AA886" i="11"/>
  <c r="AA887" i="11"/>
  <c r="AA888" i="11"/>
  <c r="AA889" i="11"/>
  <c r="AA890" i="11"/>
  <c r="AA891" i="11"/>
  <c r="AA892" i="11"/>
  <c r="AA893" i="11"/>
  <c r="AA894" i="11"/>
  <c r="AA895" i="11"/>
  <c r="AA896" i="11"/>
  <c r="AA897" i="11"/>
  <c r="AA898" i="11"/>
  <c r="AA899" i="11"/>
  <c r="AA900" i="11"/>
  <c r="AA901" i="11"/>
  <c r="AA902" i="11"/>
  <c r="AA903" i="11"/>
  <c r="AA904" i="11"/>
  <c r="AA905" i="11"/>
  <c r="AA906" i="11"/>
  <c r="AA907" i="11"/>
  <c r="AA908" i="11"/>
  <c r="AA909" i="11"/>
  <c r="AA910" i="11"/>
  <c r="AA911" i="11"/>
  <c r="AA912" i="11"/>
  <c r="AA913" i="11"/>
  <c r="AA914" i="11"/>
  <c r="AA915" i="11"/>
  <c r="AA916" i="11"/>
  <c r="AA917" i="11"/>
  <c r="AA918" i="11"/>
  <c r="AA919" i="11"/>
  <c r="AA920" i="11"/>
  <c r="AA921" i="11"/>
  <c r="AA922" i="11"/>
  <c r="AA923" i="11"/>
  <c r="AA924" i="11"/>
  <c r="AA925" i="11"/>
  <c r="AA926" i="11"/>
  <c r="AA927" i="11"/>
  <c r="AA928" i="11"/>
  <c r="AA929" i="11"/>
  <c r="AA930" i="11"/>
  <c r="AA931" i="11"/>
  <c r="AA932" i="11"/>
  <c r="AA933" i="11"/>
  <c r="AA934" i="11"/>
  <c r="AA935" i="11"/>
  <c r="AA936" i="11"/>
  <c r="AA937" i="11"/>
  <c r="AA938" i="11"/>
  <c r="AA939" i="11"/>
  <c r="AA940" i="11"/>
  <c r="AA941" i="11"/>
  <c r="AA942" i="11"/>
  <c r="AA943" i="11"/>
  <c r="AA944" i="11"/>
  <c r="AA945" i="11"/>
  <c r="AA946" i="11"/>
  <c r="AA947" i="11"/>
  <c r="AA948" i="11"/>
  <c r="AA949" i="11"/>
  <c r="AA950" i="11"/>
  <c r="AA951" i="11"/>
  <c r="AA952" i="11"/>
  <c r="AA953" i="11"/>
  <c r="AA954" i="11"/>
  <c r="AA955" i="11"/>
  <c r="AA956" i="11"/>
  <c r="AA957" i="11"/>
  <c r="AA958" i="11"/>
  <c r="AA959" i="11"/>
  <c r="AA960" i="11"/>
  <c r="AA961" i="11"/>
  <c r="AA962" i="11"/>
  <c r="AA963" i="11"/>
  <c r="AA964" i="11"/>
  <c r="AA965" i="11"/>
  <c r="AA966" i="11"/>
  <c r="AA967" i="11"/>
  <c r="AA968" i="11"/>
  <c r="AA969" i="11"/>
  <c r="AA970" i="11"/>
  <c r="AA971" i="11"/>
  <c r="AA972" i="11"/>
  <c r="AA973" i="11"/>
  <c r="AA974" i="11"/>
  <c r="AA975" i="11"/>
  <c r="AA976" i="11"/>
  <c r="AA977" i="11"/>
  <c r="AA978" i="11"/>
  <c r="AA979" i="11"/>
  <c r="AA980" i="11"/>
  <c r="AA981" i="11"/>
  <c r="AA982" i="11"/>
  <c r="AA983" i="11"/>
  <c r="AA984" i="11"/>
  <c r="AA985" i="11"/>
  <c r="AA986" i="11"/>
  <c r="AA987" i="11"/>
  <c r="AA988" i="11"/>
  <c r="AA989" i="11"/>
  <c r="AA990" i="11"/>
  <c r="AA991" i="11"/>
  <c r="AA992" i="11"/>
  <c r="AA993" i="11"/>
  <c r="AA994" i="11"/>
  <c r="AA995" i="11"/>
  <c r="AA996" i="11"/>
  <c r="AA997" i="11"/>
  <c r="AA998" i="11"/>
  <c r="AA999" i="11"/>
  <c r="AA1000" i="11"/>
  <c r="AA1001" i="11"/>
  <c r="AA1002" i="11"/>
  <c r="AA1003" i="11"/>
  <c r="AA1004" i="11"/>
  <c r="AB33" i="11"/>
  <c r="AB34" i="11"/>
  <c r="AB41" i="11"/>
  <c r="AB50" i="11"/>
  <c r="AB57" i="11"/>
  <c r="AB60" i="11"/>
  <c r="AB62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135" i="11"/>
  <c r="AB136" i="11"/>
  <c r="AB137" i="11"/>
  <c r="AB138" i="11"/>
  <c r="AB139" i="11"/>
  <c r="AB140" i="11"/>
  <c r="AB141" i="11"/>
  <c r="AB142" i="11"/>
  <c r="AB143" i="11"/>
  <c r="AB144" i="11"/>
  <c r="AB145" i="11"/>
  <c r="AB146" i="11"/>
  <c r="AB147" i="11"/>
  <c r="AB148" i="11"/>
  <c r="AB149" i="11"/>
  <c r="AB150" i="11"/>
  <c r="AB151" i="11"/>
  <c r="AB152" i="11"/>
  <c r="AB153" i="11"/>
  <c r="AB154" i="11"/>
  <c r="AB155" i="11"/>
  <c r="AB156" i="11"/>
  <c r="AB157" i="11"/>
  <c r="AB158" i="11"/>
  <c r="AB159" i="11"/>
  <c r="AB160" i="11"/>
  <c r="AB161" i="11"/>
  <c r="AB162" i="11"/>
  <c r="AB163" i="11"/>
  <c r="AB164" i="11"/>
  <c r="AB165" i="11"/>
  <c r="AB166" i="11"/>
  <c r="AB167" i="11"/>
  <c r="AB168" i="11"/>
  <c r="AB169" i="11"/>
  <c r="AB170" i="11"/>
  <c r="AB171" i="11"/>
  <c r="AB172" i="11"/>
  <c r="AB173" i="11"/>
  <c r="AB174" i="11"/>
  <c r="AB175" i="11"/>
  <c r="AB176" i="11"/>
  <c r="AB177" i="11"/>
  <c r="AB178" i="11"/>
  <c r="AB179" i="11"/>
  <c r="AB180" i="11"/>
  <c r="AB181" i="11"/>
  <c r="AB182" i="11"/>
  <c r="AB183" i="11"/>
  <c r="AB184" i="11"/>
  <c r="AB185" i="11"/>
  <c r="AB186" i="11"/>
  <c r="AB187" i="11"/>
  <c r="AB188" i="11"/>
  <c r="AB189" i="11"/>
  <c r="AB190" i="11"/>
  <c r="AB191" i="11"/>
  <c r="AB192" i="11"/>
  <c r="AB193" i="11"/>
  <c r="AB194" i="11"/>
  <c r="AB195" i="11"/>
  <c r="AB196" i="11"/>
  <c r="AB197" i="11"/>
  <c r="AB198" i="11"/>
  <c r="AB199" i="11"/>
  <c r="AB200" i="11"/>
  <c r="AB201" i="11"/>
  <c r="AB202" i="11"/>
  <c r="AB203" i="11"/>
  <c r="AB204" i="11"/>
  <c r="AB205" i="11"/>
  <c r="AB206" i="11"/>
  <c r="AB207" i="11"/>
  <c r="AB208" i="11"/>
  <c r="AB209" i="11"/>
  <c r="AB210" i="11"/>
  <c r="AB211" i="11"/>
  <c r="AB212" i="11"/>
  <c r="AB213" i="11"/>
  <c r="AB214" i="11"/>
  <c r="AB215" i="11"/>
  <c r="AB216" i="11"/>
  <c r="AB217" i="11"/>
  <c r="AB218" i="11"/>
  <c r="AB219" i="11"/>
  <c r="AB220" i="11"/>
  <c r="AB221" i="11"/>
  <c r="AB222" i="11"/>
  <c r="AB223" i="11"/>
  <c r="AB224" i="11"/>
  <c r="AB225" i="11"/>
  <c r="AB226" i="11"/>
  <c r="AB227" i="11"/>
  <c r="AB228" i="11"/>
  <c r="AB229" i="11"/>
  <c r="AB230" i="11"/>
  <c r="AB231" i="11"/>
  <c r="AB232" i="11"/>
  <c r="AB233" i="11"/>
  <c r="AB234" i="11"/>
  <c r="AB235" i="11"/>
  <c r="AB236" i="11"/>
  <c r="AB237" i="11"/>
  <c r="AB238" i="11"/>
  <c r="AB239" i="11"/>
  <c r="AB240" i="11"/>
  <c r="AB241" i="11"/>
  <c r="AB242" i="11"/>
  <c r="AB243" i="11"/>
  <c r="AB244" i="11"/>
  <c r="AB245" i="11"/>
  <c r="AB246" i="11"/>
  <c r="AB247" i="11"/>
  <c r="AB248" i="11"/>
  <c r="AB249" i="11"/>
  <c r="AB250" i="11"/>
  <c r="AB251" i="11"/>
  <c r="AB252" i="11"/>
  <c r="AB253" i="11"/>
  <c r="AB254" i="11"/>
  <c r="AB255" i="11"/>
  <c r="AB256" i="11"/>
  <c r="AB257" i="11"/>
  <c r="AB258" i="11"/>
  <c r="AB259" i="11"/>
  <c r="AB260" i="11"/>
  <c r="AB261" i="11"/>
  <c r="AB262" i="11"/>
  <c r="AB263" i="11"/>
  <c r="AB264" i="11"/>
  <c r="AB265" i="11"/>
  <c r="AB266" i="11"/>
  <c r="AB267" i="11"/>
  <c r="AB268" i="11"/>
  <c r="AB269" i="11"/>
  <c r="AB270" i="11"/>
  <c r="AB271" i="11"/>
  <c r="AB272" i="11"/>
  <c r="AB273" i="11"/>
  <c r="AB274" i="11"/>
  <c r="AB275" i="11"/>
  <c r="AB276" i="11"/>
  <c r="AB277" i="11"/>
  <c r="AB278" i="11"/>
  <c r="AB279" i="11"/>
  <c r="AB280" i="11"/>
  <c r="AB281" i="11"/>
  <c r="AB282" i="11"/>
  <c r="AB283" i="11"/>
  <c r="AB284" i="11"/>
  <c r="AB285" i="11"/>
  <c r="AB286" i="11"/>
  <c r="AB287" i="11"/>
  <c r="AB288" i="11"/>
  <c r="AB289" i="11"/>
  <c r="AB290" i="11"/>
  <c r="AB291" i="11"/>
  <c r="AB292" i="11"/>
  <c r="AB293" i="11"/>
  <c r="AB294" i="11"/>
  <c r="AB295" i="11"/>
  <c r="AB296" i="11"/>
  <c r="AB297" i="11"/>
  <c r="AB298" i="11"/>
  <c r="AB299" i="11"/>
  <c r="AB300" i="11"/>
  <c r="AB301" i="11"/>
  <c r="AB302" i="11"/>
  <c r="AB303" i="11"/>
  <c r="AB304" i="11"/>
  <c r="AB305" i="11"/>
  <c r="AB306" i="11"/>
  <c r="AB307" i="11"/>
  <c r="AB308" i="11"/>
  <c r="AB309" i="11"/>
  <c r="AB310" i="11"/>
  <c r="AB311" i="11"/>
  <c r="AB312" i="11"/>
  <c r="AB313" i="11"/>
  <c r="AB314" i="11"/>
  <c r="AB315" i="11"/>
  <c r="AB316" i="11"/>
  <c r="AB317" i="11"/>
  <c r="AB318" i="11"/>
  <c r="AB319" i="11"/>
  <c r="AB320" i="11"/>
  <c r="AB321" i="11"/>
  <c r="AB322" i="11"/>
  <c r="AB323" i="11"/>
  <c r="AB324" i="11"/>
  <c r="AB325" i="11"/>
  <c r="AB326" i="11"/>
  <c r="AB327" i="11"/>
  <c r="AB328" i="11"/>
  <c r="AB329" i="11"/>
  <c r="AB330" i="11"/>
  <c r="AB331" i="11"/>
  <c r="AB332" i="11"/>
  <c r="AB333" i="11"/>
  <c r="AB334" i="11"/>
  <c r="AB335" i="11"/>
  <c r="AB336" i="11"/>
  <c r="AB337" i="11"/>
  <c r="AB338" i="11"/>
  <c r="AB339" i="11"/>
  <c r="AB340" i="11"/>
  <c r="AB341" i="11"/>
  <c r="AB342" i="11"/>
  <c r="AB343" i="11"/>
  <c r="AB344" i="11"/>
  <c r="AB345" i="11"/>
  <c r="AB346" i="11"/>
  <c r="AB347" i="11"/>
  <c r="AB348" i="11"/>
  <c r="AB349" i="11"/>
  <c r="AB350" i="11"/>
  <c r="AB351" i="11"/>
  <c r="AB352" i="11"/>
  <c r="AB353" i="11"/>
  <c r="AB354" i="11"/>
  <c r="AB355" i="11"/>
  <c r="AB356" i="11"/>
  <c r="AB357" i="11"/>
  <c r="AB358" i="11"/>
  <c r="AB359" i="11"/>
  <c r="AB360" i="11"/>
  <c r="AB361" i="11"/>
  <c r="AB362" i="11"/>
  <c r="AB363" i="11"/>
  <c r="AB364" i="11"/>
  <c r="AB365" i="11"/>
  <c r="AB366" i="11"/>
  <c r="AB367" i="11"/>
  <c r="AB368" i="11"/>
  <c r="AB369" i="11"/>
  <c r="AB370" i="11"/>
  <c r="AB371" i="11"/>
  <c r="AB372" i="11"/>
  <c r="AB373" i="11"/>
  <c r="AB374" i="11"/>
  <c r="AB375" i="11"/>
  <c r="AB376" i="11"/>
  <c r="AB377" i="11"/>
  <c r="AB378" i="11"/>
  <c r="AB379" i="11"/>
  <c r="AB380" i="11"/>
  <c r="AB381" i="11"/>
  <c r="AB382" i="11"/>
  <c r="AB383" i="11"/>
  <c r="AB384" i="11"/>
  <c r="AB385" i="11"/>
  <c r="AB386" i="11"/>
  <c r="AB387" i="11"/>
  <c r="AB388" i="11"/>
  <c r="AB389" i="11"/>
  <c r="AB390" i="11"/>
  <c r="AB391" i="11"/>
  <c r="AB392" i="11"/>
  <c r="AB393" i="11"/>
  <c r="AB394" i="11"/>
  <c r="AB395" i="11"/>
  <c r="AB396" i="11"/>
  <c r="AB397" i="11"/>
  <c r="AB398" i="11"/>
  <c r="AB399" i="11"/>
  <c r="AB400" i="11"/>
  <c r="AB401" i="11"/>
  <c r="AB402" i="11"/>
  <c r="AB403" i="11"/>
  <c r="AB404" i="11"/>
  <c r="AB405" i="11"/>
  <c r="AB406" i="11"/>
  <c r="AB407" i="11"/>
  <c r="AB408" i="11"/>
  <c r="AB409" i="11"/>
  <c r="AB410" i="11"/>
  <c r="AB411" i="11"/>
  <c r="AB412" i="11"/>
  <c r="AB413" i="11"/>
  <c r="AB414" i="11"/>
  <c r="AB415" i="11"/>
  <c r="AB416" i="11"/>
  <c r="AB417" i="11"/>
  <c r="AB418" i="11"/>
  <c r="AB419" i="11"/>
  <c r="AB420" i="11"/>
  <c r="AB421" i="11"/>
  <c r="AB422" i="11"/>
  <c r="AB423" i="11"/>
  <c r="AB424" i="11"/>
  <c r="AB425" i="11"/>
  <c r="AB426" i="11"/>
  <c r="AB427" i="11"/>
  <c r="AB428" i="11"/>
  <c r="AB429" i="11"/>
  <c r="AB430" i="11"/>
  <c r="AB431" i="11"/>
  <c r="AB432" i="11"/>
  <c r="AB433" i="11"/>
  <c r="AB434" i="11"/>
  <c r="AB435" i="11"/>
  <c r="AB436" i="11"/>
  <c r="AB437" i="11"/>
  <c r="AB438" i="11"/>
  <c r="AB439" i="11"/>
  <c r="AB440" i="11"/>
  <c r="AB441" i="11"/>
  <c r="AB442" i="11"/>
  <c r="AB443" i="11"/>
  <c r="AB444" i="11"/>
  <c r="AB445" i="11"/>
  <c r="AB446" i="11"/>
  <c r="AB447" i="11"/>
  <c r="AB448" i="11"/>
  <c r="AB449" i="11"/>
  <c r="AB450" i="11"/>
  <c r="AB451" i="11"/>
  <c r="AB452" i="11"/>
  <c r="AB453" i="11"/>
  <c r="AB454" i="11"/>
  <c r="AB455" i="11"/>
  <c r="AB456" i="11"/>
  <c r="AB457" i="11"/>
  <c r="AB458" i="11"/>
  <c r="AB459" i="11"/>
  <c r="AB460" i="11"/>
  <c r="AB461" i="11"/>
  <c r="AB462" i="11"/>
  <c r="AB463" i="11"/>
  <c r="AB464" i="11"/>
  <c r="AB465" i="11"/>
  <c r="AB466" i="11"/>
  <c r="AB467" i="11"/>
  <c r="AB468" i="11"/>
  <c r="AB469" i="11"/>
  <c r="AB470" i="11"/>
  <c r="AB471" i="11"/>
  <c r="AB472" i="11"/>
  <c r="AB473" i="11"/>
  <c r="AB474" i="11"/>
  <c r="AB475" i="11"/>
  <c r="AB476" i="11"/>
  <c r="AB477" i="11"/>
  <c r="AB478" i="11"/>
  <c r="AB479" i="11"/>
  <c r="AB480" i="11"/>
  <c r="AB481" i="11"/>
  <c r="AB482" i="11"/>
  <c r="AB483" i="11"/>
  <c r="AB484" i="11"/>
  <c r="AB485" i="11"/>
  <c r="AB486" i="11"/>
  <c r="AB487" i="11"/>
  <c r="AB488" i="11"/>
  <c r="AB489" i="11"/>
  <c r="AB490" i="11"/>
  <c r="AB491" i="11"/>
  <c r="AB492" i="11"/>
  <c r="AB493" i="11"/>
  <c r="AB494" i="11"/>
  <c r="AB495" i="11"/>
  <c r="AB496" i="11"/>
  <c r="AB497" i="11"/>
  <c r="AB498" i="11"/>
  <c r="AB499" i="11"/>
  <c r="AB500" i="11"/>
  <c r="AB501" i="11"/>
  <c r="AB502" i="11"/>
  <c r="AB503" i="11"/>
  <c r="AB504" i="11"/>
  <c r="AB505" i="11"/>
  <c r="AB506" i="11"/>
  <c r="AB507" i="11"/>
  <c r="AB508" i="11"/>
  <c r="AB509" i="11"/>
  <c r="AB510" i="11"/>
  <c r="AB511" i="11"/>
  <c r="AB512" i="11"/>
  <c r="AB513" i="11"/>
  <c r="AB514" i="11"/>
  <c r="AB515" i="11"/>
  <c r="AB516" i="11"/>
  <c r="AB517" i="11"/>
  <c r="AB518" i="11"/>
  <c r="AB519" i="11"/>
  <c r="AB520" i="11"/>
  <c r="AB521" i="11"/>
  <c r="AB522" i="11"/>
  <c r="AB523" i="11"/>
  <c r="AB524" i="11"/>
  <c r="AB525" i="11"/>
  <c r="AB526" i="11"/>
  <c r="AB527" i="11"/>
  <c r="AB528" i="11"/>
  <c r="AB529" i="11"/>
  <c r="AB530" i="11"/>
  <c r="AB531" i="11"/>
  <c r="AB532" i="11"/>
  <c r="AB533" i="11"/>
  <c r="AB534" i="11"/>
  <c r="AB535" i="11"/>
  <c r="AB536" i="11"/>
  <c r="AB537" i="11"/>
  <c r="AB538" i="11"/>
  <c r="AB539" i="11"/>
  <c r="AB540" i="11"/>
  <c r="AB541" i="11"/>
  <c r="AB542" i="11"/>
  <c r="AB543" i="11"/>
  <c r="AB544" i="11"/>
  <c r="AB545" i="11"/>
  <c r="AB546" i="11"/>
  <c r="AB547" i="11"/>
  <c r="AB548" i="11"/>
  <c r="AB549" i="11"/>
  <c r="AB550" i="11"/>
  <c r="AB551" i="11"/>
  <c r="AB552" i="11"/>
  <c r="AB553" i="11"/>
  <c r="AB554" i="11"/>
  <c r="AB555" i="11"/>
  <c r="AB556" i="11"/>
  <c r="AB557" i="11"/>
  <c r="AB558" i="11"/>
  <c r="AB559" i="11"/>
  <c r="AB560" i="11"/>
  <c r="AB561" i="11"/>
  <c r="AB562" i="11"/>
  <c r="AB563" i="11"/>
  <c r="AB564" i="11"/>
  <c r="AB565" i="11"/>
  <c r="AB566" i="11"/>
  <c r="AB567" i="11"/>
  <c r="AB568" i="11"/>
  <c r="AB569" i="11"/>
  <c r="AB570" i="11"/>
  <c r="AB571" i="11"/>
  <c r="AB572" i="11"/>
  <c r="AB573" i="11"/>
  <c r="AB574" i="11"/>
  <c r="AB575" i="11"/>
  <c r="AB576" i="11"/>
  <c r="AB577" i="11"/>
  <c r="AB578" i="11"/>
  <c r="AB579" i="11"/>
  <c r="AB580" i="11"/>
  <c r="AB581" i="11"/>
  <c r="AB582" i="11"/>
  <c r="AB583" i="11"/>
  <c r="AB584" i="11"/>
  <c r="AB585" i="11"/>
  <c r="AB586" i="11"/>
  <c r="AB587" i="11"/>
  <c r="AB588" i="11"/>
  <c r="AB589" i="11"/>
  <c r="AB590" i="11"/>
  <c r="AB591" i="11"/>
  <c r="AB592" i="11"/>
  <c r="AB593" i="11"/>
  <c r="AB594" i="11"/>
  <c r="AB595" i="11"/>
  <c r="AB596" i="11"/>
  <c r="AB597" i="11"/>
  <c r="AB598" i="11"/>
  <c r="AB599" i="11"/>
  <c r="AB600" i="11"/>
  <c r="AB601" i="11"/>
  <c r="AB602" i="11"/>
  <c r="AB603" i="11"/>
  <c r="AB604" i="11"/>
  <c r="AB605" i="11"/>
  <c r="AB606" i="11"/>
  <c r="AB607" i="11"/>
  <c r="AB608" i="11"/>
  <c r="AB609" i="11"/>
  <c r="AB610" i="11"/>
  <c r="AB611" i="11"/>
  <c r="AB612" i="11"/>
  <c r="AB613" i="11"/>
  <c r="AB614" i="11"/>
  <c r="AB615" i="11"/>
  <c r="AB616" i="11"/>
  <c r="AB617" i="11"/>
  <c r="AB618" i="11"/>
  <c r="AB619" i="11"/>
  <c r="AB620" i="11"/>
  <c r="AB621" i="11"/>
  <c r="AB622" i="11"/>
  <c r="AB623" i="11"/>
  <c r="AB624" i="11"/>
  <c r="AB625" i="11"/>
  <c r="AB626" i="11"/>
  <c r="AB627" i="11"/>
  <c r="AB628" i="11"/>
  <c r="AB629" i="11"/>
  <c r="AB630" i="11"/>
  <c r="AB631" i="11"/>
  <c r="AB632" i="11"/>
  <c r="AB633" i="11"/>
  <c r="AB634" i="11"/>
  <c r="AB635" i="11"/>
  <c r="AB636" i="11"/>
  <c r="AB637" i="11"/>
  <c r="AB638" i="11"/>
  <c r="AB639" i="11"/>
  <c r="AB640" i="11"/>
  <c r="AB641" i="11"/>
  <c r="AB642" i="11"/>
  <c r="AB643" i="11"/>
  <c r="AB644" i="11"/>
  <c r="AB645" i="11"/>
  <c r="AB646" i="11"/>
  <c r="AB647" i="11"/>
  <c r="AB648" i="11"/>
  <c r="AB649" i="11"/>
  <c r="AB650" i="11"/>
  <c r="AB651" i="11"/>
  <c r="AB652" i="11"/>
  <c r="AB653" i="11"/>
  <c r="AB654" i="11"/>
  <c r="AB655" i="11"/>
  <c r="AB656" i="11"/>
  <c r="AB657" i="11"/>
  <c r="AB658" i="11"/>
  <c r="AB659" i="11"/>
  <c r="AB660" i="11"/>
  <c r="AB661" i="11"/>
  <c r="AB662" i="11"/>
  <c r="AB663" i="11"/>
  <c r="AB664" i="11"/>
  <c r="AB665" i="11"/>
  <c r="AB666" i="11"/>
  <c r="AB667" i="11"/>
  <c r="AB668" i="11"/>
  <c r="AB669" i="11"/>
  <c r="AB670" i="11"/>
  <c r="AB671" i="11"/>
  <c r="AB672" i="11"/>
  <c r="AB673" i="11"/>
  <c r="AB674" i="11"/>
  <c r="AB675" i="11"/>
  <c r="AB676" i="11"/>
  <c r="AB677" i="11"/>
  <c r="AB678" i="11"/>
  <c r="AB679" i="11"/>
  <c r="AB680" i="11"/>
  <c r="AB681" i="11"/>
  <c r="AB682" i="11"/>
  <c r="AB683" i="11"/>
  <c r="AB684" i="11"/>
  <c r="AB685" i="11"/>
  <c r="AB686" i="11"/>
  <c r="AB687" i="11"/>
  <c r="AB688" i="11"/>
  <c r="AB689" i="11"/>
  <c r="AB690" i="11"/>
  <c r="AB691" i="11"/>
  <c r="AB692" i="11"/>
  <c r="AB693" i="11"/>
  <c r="AB694" i="11"/>
  <c r="AB695" i="11"/>
  <c r="AB696" i="11"/>
  <c r="AB697" i="11"/>
  <c r="AB698" i="11"/>
  <c r="AB699" i="11"/>
  <c r="AB700" i="11"/>
  <c r="AB701" i="11"/>
  <c r="AB702" i="11"/>
  <c r="AB703" i="11"/>
  <c r="AB704" i="11"/>
  <c r="AB705" i="11"/>
  <c r="AB706" i="11"/>
  <c r="AB707" i="11"/>
  <c r="AB708" i="11"/>
  <c r="AB709" i="11"/>
  <c r="AB710" i="11"/>
  <c r="AB711" i="11"/>
  <c r="AB712" i="11"/>
  <c r="AB713" i="11"/>
  <c r="AB714" i="11"/>
  <c r="AB715" i="11"/>
  <c r="AB716" i="11"/>
  <c r="AB717" i="11"/>
  <c r="AB718" i="11"/>
  <c r="AB719" i="11"/>
  <c r="AB720" i="11"/>
  <c r="AB721" i="11"/>
  <c r="AB722" i="11"/>
  <c r="AB723" i="11"/>
  <c r="AB724" i="11"/>
  <c r="AB725" i="11"/>
  <c r="AB726" i="11"/>
  <c r="AB727" i="11"/>
  <c r="AB728" i="11"/>
  <c r="AB729" i="11"/>
  <c r="AB730" i="11"/>
  <c r="AB731" i="11"/>
  <c r="AB732" i="11"/>
  <c r="AB733" i="11"/>
  <c r="AB734" i="11"/>
  <c r="AB735" i="11"/>
  <c r="AB736" i="11"/>
  <c r="AB737" i="11"/>
  <c r="AB738" i="11"/>
  <c r="AB739" i="11"/>
  <c r="AB740" i="11"/>
  <c r="AB741" i="11"/>
  <c r="AB742" i="11"/>
  <c r="AB743" i="11"/>
  <c r="AB744" i="11"/>
  <c r="AB745" i="11"/>
  <c r="AB746" i="11"/>
  <c r="AB747" i="11"/>
  <c r="AB748" i="11"/>
  <c r="AB749" i="11"/>
  <c r="AB750" i="11"/>
  <c r="AB751" i="11"/>
  <c r="AB752" i="11"/>
  <c r="AB753" i="11"/>
  <c r="AB754" i="11"/>
  <c r="AB755" i="11"/>
  <c r="AB756" i="11"/>
  <c r="AB757" i="11"/>
  <c r="AB758" i="11"/>
  <c r="AB759" i="11"/>
  <c r="AB760" i="11"/>
  <c r="AB761" i="11"/>
  <c r="AB762" i="11"/>
  <c r="AB763" i="11"/>
  <c r="AB764" i="11"/>
  <c r="AB765" i="11"/>
  <c r="AB766" i="11"/>
  <c r="AB767" i="11"/>
  <c r="AB768" i="11"/>
  <c r="AB769" i="11"/>
  <c r="AB770" i="11"/>
  <c r="AB771" i="11"/>
  <c r="AB772" i="11"/>
  <c r="AB773" i="11"/>
  <c r="AB774" i="11"/>
  <c r="AB775" i="11"/>
  <c r="AB776" i="11"/>
  <c r="AB777" i="11"/>
  <c r="AB778" i="11"/>
  <c r="AB779" i="11"/>
  <c r="AB780" i="11"/>
  <c r="AB781" i="11"/>
  <c r="AB782" i="11"/>
  <c r="AB783" i="11"/>
  <c r="AB784" i="11"/>
  <c r="AB785" i="11"/>
  <c r="AB786" i="11"/>
  <c r="AB787" i="11"/>
  <c r="AB788" i="11"/>
  <c r="AB789" i="11"/>
  <c r="AB790" i="11"/>
  <c r="AB791" i="11"/>
  <c r="AB792" i="11"/>
  <c r="AB793" i="11"/>
  <c r="AB794" i="11"/>
  <c r="AB795" i="11"/>
  <c r="AB796" i="11"/>
  <c r="AB797" i="11"/>
  <c r="AB798" i="11"/>
  <c r="AB799" i="11"/>
  <c r="AB800" i="11"/>
  <c r="AB801" i="11"/>
  <c r="AB802" i="11"/>
  <c r="AB803" i="11"/>
  <c r="AB804" i="11"/>
  <c r="AB805" i="11"/>
  <c r="AB806" i="11"/>
  <c r="AB807" i="11"/>
  <c r="AB808" i="11"/>
  <c r="AB809" i="11"/>
  <c r="AB810" i="11"/>
  <c r="AB811" i="11"/>
  <c r="AB812" i="11"/>
  <c r="AB813" i="11"/>
  <c r="AB814" i="11"/>
  <c r="AB815" i="11"/>
  <c r="AB816" i="11"/>
  <c r="AB817" i="11"/>
  <c r="AB818" i="11"/>
  <c r="AB819" i="11"/>
  <c r="AB820" i="11"/>
  <c r="AB821" i="11"/>
  <c r="AB822" i="11"/>
  <c r="AB823" i="11"/>
  <c r="AB824" i="11"/>
  <c r="AB825" i="11"/>
  <c r="AB826" i="11"/>
  <c r="AB827" i="11"/>
  <c r="AB828" i="11"/>
  <c r="AB829" i="11"/>
  <c r="AB830" i="11"/>
  <c r="AB831" i="11"/>
  <c r="AB832" i="11"/>
  <c r="AB833" i="11"/>
  <c r="AB834" i="11"/>
  <c r="AB835" i="11"/>
  <c r="AB836" i="11"/>
  <c r="AB837" i="11"/>
  <c r="AB838" i="11"/>
  <c r="AB839" i="11"/>
  <c r="AB840" i="11"/>
  <c r="AB841" i="11"/>
  <c r="AB842" i="11"/>
  <c r="AB843" i="11"/>
  <c r="AB844" i="11"/>
  <c r="AB845" i="11"/>
  <c r="AB846" i="11"/>
  <c r="AB847" i="11"/>
  <c r="AB848" i="11"/>
  <c r="AB849" i="11"/>
  <c r="AB850" i="11"/>
  <c r="AB851" i="11"/>
  <c r="AB852" i="11"/>
  <c r="AB853" i="11"/>
  <c r="AB854" i="11"/>
  <c r="AB855" i="11"/>
  <c r="AB856" i="11"/>
  <c r="AB857" i="11"/>
  <c r="AB858" i="11"/>
  <c r="AB859" i="11"/>
  <c r="AB860" i="11"/>
  <c r="AB861" i="11"/>
  <c r="AB862" i="11"/>
  <c r="AB863" i="11"/>
  <c r="AB864" i="11"/>
  <c r="AB865" i="11"/>
  <c r="AB866" i="11"/>
  <c r="AB867" i="11"/>
  <c r="AB868" i="11"/>
  <c r="AB869" i="11"/>
  <c r="AB870" i="11"/>
  <c r="AB871" i="11"/>
  <c r="AB872" i="11"/>
  <c r="AB873" i="11"/>
  <c r="AB874" i="11"/>
  <c r="AB875" i="11"/>
  <c r="AB876" i="11"/>
  <c r="AB877" i="11"/>
  <c r="AB878" i="11"/>
  <c r="AB879" i="11"/>
  <c r="AB880" i="11"/>
  <c r="AB881" i="11"/>
  <c r="AB882" i="11"/>
  <c r="AB883" i="11"/>
  <c r="AB884" i="11"/>
  <c r="AB885" i="11"/>
  <c r="AB886" i="11"/>
  <c r="AB887" i="11"/>
  <c r="AB888" i="11"/>
  <c r="AB889" i="11"/>
  <c r="AB890" i="11"/>
  <c r="AB891" i="11"/>
  <c r="AB892" i="11"/>
  <c r="AB893" i="11"/>
  <c r="AB894" i="11"/>
  <c r="AB895" i="11"/>
  <c r="AB896" i="11"/>
  <c r="AB897" i="11"/>
  <c r="AB898" i="11"/>
  <c r="AB899" i="11"/>
  <c r="AB900" i="11"/>
  <c r="AB901" i="11"/>
  <c r="AB902" i="11"/>
  <c r="AB903" i="11"/>
  <c r="AB904" i="11"/>
  <c r="AB905" i="11"/>
  <c r="AB906" i="11"/>
  <c r="AB907" i="11"/>
  <c r="AB908" i="11"/>
  <c r="AB909" i="11"/>
  <c r="AB910" i="11"/>
  <c r="AB911" i="11"/>
  <c r="AB912" i="11"/>
  <c r="AB913" i="11"/>
  <c r="AB914" i="11"/>
  <c r="AB915" i="11"/>
  <c r="AB916" i="11"/>
  <c r="AB917" i="11"/>
  <c r="AB918" i="11"/>
  <c r="AB919" i="11"/>
  <c r="AB920" i="11"/>
  <c r="AB921" i="11"/>
  <c r="AB922" i="11"/>
  <c r="AB923" i="11"/>
  <c r="AB924" i="11"/>
  <c r="AB925" i="11"/>
  <c r="AB926" i="11"/>
  <c r="AB927" i="11"/>
  <c r="AB928" i="11"/>
  <c r="AB929" i="11"/>
  <c r="AB930" i="11"/>
  <c r="AB931" i="11"/>
  <c r="AB932" i="11"/>
  <c r="AB933" i="11"/>
  <c r="AB934" i="11"/>
  <c r="AB935" i="11"/>
  <c r="AB936" i="11"/>
  <c r="AB937" i="11"/>
  <c r="AB938" i="11"/>
  <c r="AB939" i="11"/>
  <c r="AB940" i="11"/>
  <c r="AB941" i="11"/>
  <c r="AB942" i="11"/>
  <c r="AB943" i="11"/>
  <c r="AB944" i="11"/>
  <c r="AB945" i="11"/>
  <c r="AB946" i="11"/>
  <c r="AB947" i="11"/>
  <c r="AB948" i="11"/>
  <c r="AB949" i="11"/>
  <c r="AB950" i="11"/>
  <c r="AB951" i="11"/>
  <c r="AB952" i="11"/>
  <c r="AB953" i="11"/>
  <c r="AB954" i="11"/>
  <c r="AB955" i="11"/>
  <c r="AB956" i="11"/>
  <c r="AB957" i="11"/>
  <c r="AB958" i="11"/>
  <c r="AB959" i="11"/>
  <c r="AB960" i="11"/>
  <c r="AB961" i="11"/>
  <c r="AB962" i="11"/>
  <c r="AB963" i="11"/>
  <c r="AB964" i="11"/>
  <c r="AB965" i="11"/>
  <c r="AB966" i="11"/>
  <c r="AB967" i="11"/>
  <c r="AB968" i="11"/>
  <c r="AB969" i="11"/>
  <c r="AB970" i="11"/>
  <c r="AB971" i="11"/>
  <c r="AB972" i="11"/>
  <c r="AB973" i="11"/>
  <c r="AB974" i="11"/>
  <c r="AB975" i="11"/>
  <c r="AB976" i="11"/>
  <c r="AB977" i="11"/>
  <c r="AB978" i="11"/>
  <c r="AB979" i="11"/>
  <c r="AB980" i="11"/>
  <c r="AB981" i="11"/>
  <c r="AB982" i="11"/>
  <c r="AB983" i="11"/>
  <c r="AB984" i="11"/>
  <c r="AB985" i="11"/>
  <c r="AB986" i="11"/>
  <c r="AB987" i="11"/>
  <c r="AB988" i="11"/>
  <c r="AB989" i="11"/>
  <c r="AB990" i="11"/>
  <c r="AB991" i="11"/>
  <c r="AB992" i="11"/>
  <c r="AB993" i="11"/>
  <c r="AB994" i="11"/>
  <c r="AB995" i="11"/>
  <c r="AB996" i="11"/>
  <c r="AB997" i="11"/>
  <c r="AB998" i="11"/>
  <c r="AB999" i="11"/>
  <c r="AB1000" i="11"/>
  <c r="AB1001" i="11"/>
  <c r="AB1002" i="11"/>
  <c r="AB1003" i="11"/>
  <c r="AB1004" i="11"/>
  <c r="AA25" i="11"/>
  <c r="AB25" i="11" s="1"/>
  <c r="AA26" i="11"/>
  <c r="AB26" i="11" s="1"/>
  <c r="AA27" i="11"/>
  <c r="AB27" i="11" s="1"/>
  <c r="AA28" i="11"/>
  <c r="AB28" i="11" s="1"/>
  <c r="AA29" i="11"/>
  <c r="AB29" i="11" s="1"/>
  <c r="AA30" i="11"/>
  <c r="AB30" i="11" s="1"/>
  <c r="AA24" i="11"/>
  <c r="AB24" i="11" s="1"/>
  <c r="S106" i="19" l="1"/>
  <c r="S105" i="19"/>
  <c r="S108" i="19"/>
  <c r="S109" i="19"/>
  <c r="S110" i="19"/>
  <c r="T104" i="19"/>
  <c r="T111" i="19" s="1"/>
  <c r="AS106" i="19"/>
  <c r="AS105" i="19"/>
  <c r="AS108" i="19"/>
  <c r="AS110" i="19"/>
  <c r="AS109" i="19"/>
  <c r="AC441" i="11"/>
  <c r="B159" i="19"/>
  <c r="U114" i="19"/>
  <c r="AT104" i="19"/>
  <c r="AT111" i="19" s="1"/>
  <c r="AC995" i="11"/>
  <c r="AC979" i="11"/>
  <c r="AC963" i="11"/>
  <c r="AC947" i="11"/>
  <c r="AC931" i="11"/>
  <c r="AC915" i="11"/>
  <c r="AC899" i="11"/>
  <c r="AC883" i="11"/>
  <c r="AC867" i="11"/>
  <c r="AC851" i="11"/>
  <c r="AC835" i="11"/>
  <c r="AC819" i="11"/>
  <c r="AC803" i="11"/>
  <c r="AC787" i="11"/>
  <c r="AC771" i="11"/>
  <c r="AC755" i="11"/>
  <c r="AC739" i="11"/>
  <c r="AC723" i="11"/>
  <c r="AC707" i="11"/>
  <c r="AC691" i="11"/>
  <c r="AC675" i="11"/>
  <c r="AC659" i="11"/>
  <c r="AC635" i="11"/>
  <c r="AC619" i="11"/>
  <c r="AC603" i="11"/>
  <c r="AC587" i="11"/>
  <c r="AC571" i="11"/>
  <c r="AC555" i="11"/>
  <c r="AC539" i="11"/>
  <c r="AC523" i="11"/>
  <c r="AC507" i="11"/>
  <c r="AC491" i="11"/>
  <c r="AC475" i="11"/>
  <c r="AC459" i="11"/>
  <c r="AC443" i="11"/>
  <c r="AC427" i="11"/>
  <c r="AC411" i="11"/>
  <c r="AC395" i="11"/>
  <c r="AC379" i="11"/>
  <c r="AC363" i="11"/>
  <c r="AC347" i="11"/>
  <c r="AC331" i="11"/>
  <c r="AC315" i="11"/>
  <c r="AC299" i="11"/>
  <c r="AC283" i="11"/>
  <c r="AC267" i="11"/>
  <c r="AC251" i="11"/>
  <c r="AC235" i="11"/>
  <c r="AC219" i="11"/>
  <c r="AC203" i="11"/>
  <c r="AC187" i="11"/>
  <c r="AC171" i="11"/>
  <c r="AC147" i="11"/>
  <c r="AC131" i="11"/>
  <c r="AC115" i="11"/>
  <c r="AC99" i="11"/>
  <c r="AC83" i="11"/>
  <c r="AC59" i="11"/>
  <c r="AC929" i="11"/>
  <c r="AC1003" i="11"/>
  <c r="AC987" i="11"/>
  <c r="AC971" i="11"/>
  <c r="AC955" i="11"/>
  <c r="AC939" i="11"/>
  <c r="AC923" i="11"/>
  <c r="AC907" i="11"/>
  <c r="AC891" i="11"/>
  <c r="AC875" i="11"/>
  <c r="AC859" i="11"/>
  <c r="AC843" i="11"/>
  <c r="AC827" i="11"/>
  <c r="AC811" i="11"/>
  <c r="AC795" i="11"/>
  <c r="AC779" i="11"/>
  <c r="AC763" i="11"/>
  <c r="AC747" i="11"/>
  <c r="AC731" i="11"/>
  <c r="AC715" i="11"/>
  <c r="AC699" i="11"/>
  <c r="AC683" i="11"/>
  <c r="AC667" i="11"/>
  <c r="AC651" i="11"/>
  <c r="AC643" i="11"/>
  <c r="AC627" i="11"/>
  <c r="AC611" i="11"/>
  <c r="AC595" i="11"/>
  <c r="AC579" i="11"/>
  <c r="AC563" i="11"/>
  <c r="AC547" i="11"/>
  <c r="AC515" i="11"/>
  <c r="AC499" i="11"/>
  <c r="AC483" i="11"/>
  <c r="AC467" i="11"/>
  <c r="AC451" i="11"/>
  <c r="AC435" i="11"/>
  <c r="AC419" i="11"/>
  <c r="AC403" i="11"/>
  <c r="AC387" i="11"/>
  <c r="AC371" i="11"/>
  <c r="AC355" i="11"/>
  <c r="AC339" i="11"/>
  <c r="AC323" i="11"/>
  <c r="AC307" i="11"/>
  <c r="AC291" i="11"/>
  <c r="AC275" i="11"/>
  <c r="AC259" i="11"/>
  <c r="AC243" i="11"/>
  <c r="AC227" i="11"/>
  <c r="AC211" i="11"/>
  <c r="AC195" i="11"/>
  <c r="AC179" i="11"/>
  <c r="AC163" i="11"/>
  <c r="AC155" i="11"/>
  <c r="AC139" i="11"/>
  <c r="AC123" i="11"/>
  <c r="AC107" i="11"/>
  <c r="AC91" i="11"/>
  <c r="AC75" i="11"/>
  <c r="AC67" i="11"/>
  <c r="AC51" i="11"/>
  <c r="AC43" i="11"/>
  <c r="AC35" i="11"/>
  <c r="AC1001" i="11"/>
  <c r="AC993" i="11"/>
  <c r="AC985" i="11"/>
  <c r="AC977" i="11"/>
  <c r="AC969" i="11"/>
  <c r="AC961" i="11"/>
  <c r="AC953" i="11"/>
  <c r="AC945" i="11"/>
  <c r="AC937" i="11"/>
  <c r="AC921" i="11"/>
  <c r="AC839" i="11"/>
  <c r="AC807" i="11"/>
  <c r="AC703" i="11"/>
  <c r="AC431" i="11"/>
  <c r="AC295" i="11"/>
  <c r="AC913" i="11"/>
  <c r="AC905" i="11"/>
  <c r="AC897" i="11"/>
  <c r="AC889" i="11"/>
  <c r="AC881" i="11"/>
  <c r="AC873" i="11"/>
  <c r="AC865" i="11"/>
  <c r="AC857" i="11"/>
  <c r="AC849" i="11"/>
  <c r="AC841" i="11"/>
  <c r="AC833" i="11"/>
  <c r="AC825" i="11"/>
  <c r="AC817" i="11"/>
  <c r="AC809" i="11"/>
  <c r="AC801" i="11"/>
  <c r="AC793" i="11"/>
  <c r="AC785" i="11"/>
  <c r="AC777" i="11"/>
  <c r="AC769" i="11"/>
  <c r="AC761" i="11"/>
  <c r="AC753" i="11"/>
  <c r="AC745" i="11"/>
  <c r="AC737" i="11"/>
  <c r="AC729" i="11"/>
  <c r="AC721" i="11"/>
  <c r="AC713" i="11"/>
  <c r="AC705" i="11"/>
  <c r="AC697" i="11"/>
  <c r="AC689" i="11"/>
  <c r="AC681" i="11"/>
  <c r="AC673" i="11"/>
  <c r="AC665" i="11"/>
  <c r="AC657" i="11"/>
  <c r="AC649" i="11"/>
  <c r="AC641" i="11"/>
  <c r="AC633" i="11"/>
  <c r="AC625" i="11"/>
  <c r="AC617" i="11"/>
  <c r="AC609" i="11"/>
  <c r="AC601" i="11"/>
  <c r="AC593" i="11"/>
  <c r="AC585" i="11"/>
  <c r="AC577" i="11"/>
  <c r="AC569" i="11"/>
  <c r="AC561" i="11"/>
  <c r="AC553" i="11"/>
  <c r="AC545" i="11"/>
  <c r="AC537" i="11"/>
  <c r="AC529" i="11"/>
  <c r="AC521" i="11"/>
  <c r="AC513" i="11"/>
  <c r="AC505" i="11"/>
  <c r="AC497" i="11"/>
  <c r="AC489" i="11"/>
  <c r="AC481" i="11"/>
  <c r="AC473" i="11"/>
  <c r="AC465" i="11"/>
  <c r="AC457" i="11"/>
  <c r="AC449" i="11"/>
  <c r="AC433" i="11"/>
  <c r="AC425" i="11"/>
  <c r="AC417" i="11"/>
  <c r="AC409" i="11"/>
  <c r="AC401" i="11"/>
  <c r="AC393" i="11"/>
  <c r="AC385" i="11"/>
  <c r="AC377" i="11"/>
  <c r="AC369" i="11"/>
  <c r="AC361" i="11"/>
  <c r="AC353" i="11"/>
  <c r="AC345" i="11"/>
  <c r="AC337" i="11"/>
  <c r="AC329" i="11"/>
  <c r="AC321" i="11"/>
  <c r="AC313" i="11"/>
  <c r="AC305" i="11"/>
  <c r="AC297" i="11"/>
  <c r="AC289" i="11"/>
  <c r="AC281" i="11"/>
  <c r="AC273" i="11"/>
  <c r="AC265" i="11"/>
  <c r="AC257" i="11"/>
  <c r="AC185" i="11"/>
  <c r="AC137" i="11"/>
  <c r="AC57" i="11"/>
  <c r="AC717" i="11"/>
  <c r="AC1000" i="11"/>
  <c r="AC992" i="11"/>
  <c r="AC984" i="11"/>
  <c r="AC976" i="11"/>
  <c r="AC968" i="11"/>
  <c r="AC960" i="11"/>
  <c r="AC952" i="11"/>
  <c r="AC944" i="11"/>
  <c r="AC936" i="11"/>
  <c r="AC920" i="11"/>
  <c r="AC912" i="11"/>
  <c r="AC904" i="11"/>
  <c r="AC896" i="11"/>
  <c r="AC997" i="11"/>
  <c r="AC989" i="11"/>
  <c r="AC981" i="11"/>
  <c r="AC973" i="11"/>
  <c r="AC965" i="11"/>
  <c r="AC957" i="11"/>
  <c r="AC949" i="11"/>
  <c r="AC941" i="11"/>
  <c r="AC933" i="11"/>
  <c r="AC925" i="11"/>
  <c r="AC917" i="11"/>
  <c r="AC909" i="11"/>
  <c r="AC901" i="11"/>
  <c r="AC893" i="11"/>
  <c r="AC885" i="11"/>
  <c r="AC877" i="11"/>
  <c r="AC869" i="11"/>
  <c r="AC861" i="11"/>
  <c r="AC853" i="11"/>
  <c r="AC845" i="11"/>
  <c r="AC837" i="11"/>
  <c r="AC829" i="11"/>
  <c r="AC821" i="11"/>
  <c r="AC813" i="11"/>
  <c r="AC805" i="11"/>
  <c r="AC797" i="11"/>
  <c r="AC789" i="11"/>
  <c r="AC781" i="11"/>
  <c r="AC773" i="11"/>
  <c r="AC765" i="11"/>
  <c r="AC757" i="11"/>
  <c r="AC749" i="11"/>
  <c r="AC741" i="11"/>
  <c r="AC733" i="11"/>
  <c r="AC725" i="11"/>
  <c r="AC888" i="11"/>
  <c r="AC880" i="11"/>
  <c r="AC856" i="11"/>
  <c r="AC840" i="11"/>
  <c r="AC824" i="11"/>
  <c r="AC808" i="11"/>
  <c r="AC800" i="11"/>
  <c r="AC784" i="11"/>
  <c r="AC776" i="11"/>
  <c r="AC768" i="11"/>
  <c r="AC760" i="11"/>
  <c r="AC752" i="11"/>
  <c r="AC744" i="11"/>
  <c r="AC728" i="11"/>
  <c r="AC720" i="11"/>
  <c r="AC712" i="11"/>
  <c r="AC696" i="11"/>
  <c r="AC688" i="11"/>
  <c r="AC680" i="11"/>
  <c r="AC672" i="11"/>
  <c r="AC656" i="11"/>
  <c r="AC648" i="11"/>
  <c r="AC640" i="11"/>
  <c r="AC624" i="11"/>
  <c r="AC608" i="11"/>
  <c r="AC600" i="11"/>
  <c r="AC592" i="11"/>
  <c r="AC584" i="11"/>
  <c r="AC576" i="11"/>
  <c r="AC568" i="11"/>
  <c r="AC552" i="11"/>
  <c r="AC544" i="11"/>
  <c r="AC536" i="11"/>
  <c r="AC528" i="11"/>
  <c r="AC520" i="11"/>
  <c r="AC512" i="11"/>
  <c r="AC504" i="11"/>
  <c r="AC496" i="11"/>
  <c r="AC488" i="11"/>
  <c r="AC480" i="11"/>
  <c r="AC472" i="11"/>
  <c r="AC464" i="11"/>
  <c r="AC456" i="11"/>
  <c r="AC448" i="11"/>
  <c r="AC432" i="11"/>
  <c r="AC416" i="11"/>
  <c r="AC400" i="11"/>
  <c r="AC392" i="11"/>
  <c r="AC376" i="11"/>
  <c r="AC360" i="11"/>
  <c r="AC344" i="11"/>
  <c r="AC328" i="11"/>
  <c r="AC312" i="11"/>
  <c r="AC296" i="11"/>
  <c r="AC288" i="11"/>
  <c r="AC280" i="11"/>
  <c r="AC272" i="11"/>
  <c r="AC264" i="11"/>
  <c r="AC256" i="11"/>
  <c r="AC248" i="11"/>
  <c r="AC240" i="11"/>
  <c r="AC232" i="11"/>
  <c r="AC216" i="11"/>
  <c r="AC208" i="11"/>
  <c r="AC200" i="11"/>
  <c r="AC192" i="11"/>
  <c r="AC184" i="11"/>
  <c r="AC176" i="11"/>
  <c r="AC168" i="11"/>
  <c r="AC160" i="11"/>
  <c r="AC152" i="11"/>
  <c r="AC136" i="11"/>
  <c r="AC128" i="11"/>
  <c r="AC120" i="11"/>
  <c r="AC112" i="11"/>
  <c r="AC104" i="11"/>
  <c r="AC96" i="11"/>
  <c r="AC88" i="11"/>
  <c r="AC80" i="11"/>
  <c r="AC72" i="11"/>
  <c r="AC64" i="11"/>
  <c r="AC56" i="11"/>
  <c r="AC48" i="11"/>
  <c r="AC40" i="11"/>
  <c r="AC32" i="11"/>
  <c r="AC709" i="11"/>
  <c r="AC701" i="11"/>
  <c r="AC693" i="11"/>
  <c r="AC685" i="11"/>
  <c r="AC677" i="11"/>
  <c r="AC669" i="11"/>
  <c r="AC661" i="11"/>
  <c r="AC653" i="11"/>
  <c r="AC645" i="11"/>
  <c r="AC637" i="11"/>
  <c r="AC629" i="11"/>
  <c r="AC621" i="11"/>
  <c r="AC613" i="11"/>
  <c r="AC605" i="11"/>
  <c r="AC597" i="11"/>
  <c r="AC589" i="11"/>
  <c r="AC581" i="11"/>
  <c r="AC573" i="11"/>
  <c r="AC565" i="11"/>
  <c r="AC557" i="11"/>
  <c r="AC549" i="11"/>
  <c r="AC541" i="11"/>
  <c r="AC533" i="11"/>
  <c r="AC525" i="11"/>
  <c r="AC517" i="11"/>
  <c r="AC509" i="11"/>
  <c r="AC501" i="11"/>
  <c r="AC493" i="11"/>
  <c r="AC485" i="11"/>
  <c r="AC477" i="11"/>
  <c r="AC469" i="11"/>
  <c r="AC461" i="11"/>
  <c r="AC453" i="11"/>
  <c r="AC445" i="11"/>
  <c r="AC437" i="11"/>
  <c r="AC429" i="11"/>
  <c r="AC421" i="11"/>
  <c r="AC413" i="11"/>
  <c r="AC405" i="11"/>
  <c r="AC397" i="11"/>
  <c r="AC389" i="11"/>
  <c r="AC381" i="11"/>
  <c r="AC373" i="11"/>
  <c r="AC365" i="11"/>
  <c r="AC357" i="11"/>
  <c r="AC349" i="11"/>
  <c r="AC341" i="11"/>
  <c r="AC333" i="11"/>
  <c r="AC325" i="11"/>
  <c r="AC317" i="11"/>
  <c r="AC309" i="11"/>
  <c r="AC301" i="11"/>
  <c r="AC293" i="11"/>
  <c r="AC285" i="11"/>
  <c r="AC277" i="11"/>
  <c r="AC269" i="11"/>
  <c r="AC261" i="11"/>
  <c r="AC253" i="11"/>
  <c r="AC245" i="11"/>
  <c r="AC237" i="11"/>
  <c r="AC229" i="11"/>
  <c r="AC221" i="11"/>
  <c r="AC213" i="11"/>
  <c r="AC205" i="11"/>
  <c r="AC197" i="11"/>
  <c r="AC189" i="11"/>
  <c r="AC181" i="11"/>
  <c r="AC173" i="11"/>
  <c r="AC165" i="11"/>
  <c r="AC157" i="11"/>
  <c r="AC149" i="11"/>
  <c r="AC141" i="11"/>
  <c r="AC133" i="11"/>
  <c r="AC125" i="11"/>
  <c r="AC117" i="11"/>
  <c r="AC109" i="11"/>
  <c r="AC101" i="11"/>
  <c r="AC93" i="11"/>
  <c r="AC85" i="11"/>
  <c r="AC77" i="11"/>
  <c r="AC69" i="11"/>
  <c r="AC62" i="11"/>
  <c r="AC53" i="11"/>
  <c r="AC45" i="11"/>
  <c r="AC37" i="11"/>
  <c r="AC1004" i="11"/>
  <c r="AC988" i="11"/>
  <c r="AC972" i="11"/>
  <c r="AC948" i="11"/>
  <c r="AC932" i="11"/>
  <c r="AC916" i="11"/>
  <c r="AC908" i="11"/>
  <c r="AC892" i="11"/>
  <c r="AC876" i="11"/>
  <c r="AC860" i="11"/>
  <c r="AC852" i="11"/>
  <c r="AC844" i="11"/>
  <c r="AC828" i="11"/>
  <c r="AC820" i="11"/>
  <c r="AC812" i="11"/>
  <c r="AC804" i="11"/>
  <c r="AC788" i="11"/>
  <c r="AC780" i="11"/>
  <c r="AC764" i="11"/>
  <c r="AC756" i="11"/>
  <c r="AC748" i="11"/>
  <c r="AC964" i="11"/>
  <c r="AC796" i="11"/>
  <c r="AC996" i="11"/>
  <c r="AC980" i="11"/>
  <c r="AC956" i="11"/>
  <c r="AC940" i="11"/>
  <c r="AC924" i="11"/>
  <c r="AC900" i="11"/>
  <c r="AC884" i="11"/>
  <c r="AC868" i="11"/>
  <c r="AC836" i="11"/>
  <c r="AC772" i="11"/>
  <c r="AC998" i="11"/>
  <c r="AC990" i="11"/>
  <c r="AC982" i="11"/>
  <c r="AC974" i="11"/>
  <c r="AC966" i="11"/>
  <c r="AC958" i="11"/>
  <c r="AC950" i="11"/>
  <c r="AC942" i="11"/>
  <c r="AC934" i="11"/>
  <c r="AC926" i="11"/>
  <c r="AC918" i="11"/>
  <c r="AC910" i="11"/>
  <c r="AC902" i="11"/>
  <c r="AC894" i="11"/>
  <c r="AC886" i="11"/>
  <c r="AC878" i="11"/>
  <c r="AC870" i="11"/>
  <c r="AC862" i="11"/>
  <c r="AC854" i="11"/>
  <c r="AC846" i="11"/>
  <c r="AC838" i="11"/>
  <c r="AC830" i="11"/>
  <c r="AC822" i="11"/>
  <c r="AC814" i="11"/>
  <c r="AC806" i="11"/>
  <c r="AC798" i="11"/>
  <c r="AC790" i="11"/>
  <c r="AC782" i="11"/>
  <c r="AC774" i="11"/>
  <c r="AC766" i="11"/>
  <c r="AC758" i="11"/>
  <c r="AC750" i="11"/>
  <c r="AC742" i="11"/>
  <c r="AC734" i="11"/>
  <c r="AC726" i="11"/>
  <c r="AC718" i="11"/>
  <c r="AC710" i="11"/>
  <c r="AC702" i="11"/>
  <c r="AC694" i="11"/>
  <c r="AC686" i="11"/>
  <c r="AC678" i="11"/>
  <c r="AC670" i="11"/>
  <c r="AC662" i="11"/>
  <c r="AC654" i="11"/>
  <c r="AC646" i="11"/>
  <c r="AC638" i="11"/>
  <c r="AC630" i="11"/>
  <c r="AC622" i="11"/>
  <c r="AC614" i="11"/>
  <c r="AC606" i="11"/>
  <c r="AC598" i="11"/>
  <c r="AC590" i="11"/>
  <c r="AC582" i="11"/>
  <c r="AC574" i="11"/>
  <c r="AC566" i="11"/>
  <c r="AC558" i="11"/>
  <c r="AC550" i="11"/>
  <c r="AC542" i="11"/>
  <c r="AC534" i="11"/>
  <c r="AC526" i="11"/>
  <c r="AC518" i="11"/>
  <c r="AC510" i="11"/>
  <c r="AC502" i="11"/>
  <c r="AC494" i="11"/>
  <c r="AC486" i="11"/>
  <c r="AC478" i="11"/>
  <c r="AC470" i="11"/>
  <c r="AC462" i="11"/>
  <c r="AC454" i="11"/>
  <c r="AC446" i="11"/>
  <c r="AC438" i="11"/>
  <c r="AC430" i="11"/>
  <c r="AC422" i="11"/>
  <c r="AC414" i="11"/>
  <c r="AC406" i="11"/>
  <c r="AC398" i="11"/>
  <c r="AC390" i="11"/>
  <c r="AC382" i="11"/>
  <c r="AC374" i="11"/>
  <c r="AC366" i="11"/>
  <c r="AC358" i="11"/>
  <c r="AC350" i="11"/>
  <c r="AC342" i="11"/>
  <c r="AC334" i="11"/>
  <c r="AC326" i="11"/>
  <c r="AC318" i="11"/>
  <c r="AC310" i="11"/>
  <c r="AC302" i="11"/>
  <c r="AC294" i="11"/>
  <c r="AC286" i="11"/>
  <c r="AC278" i="11"/>
  <c r="AC270" i="11"/>
  <c r="AC262" i="11"/>
  <c r="AC254" i="11"/>
  <c r="AC246" i="11"/>
  <c r="AC238" i="11"/>
  <c r="AC230" i="11"/>
  <c r="AC222" i="11"/>
  <c r="AC214" i="11"/>
  <c r="AC206" i="11"/>
  <c r="AC198" i="11"/>
  <c r="AC190" i="11"/>
  <c r="AC182" i="11"/>
  <c r="AC174" i="11"/>
  <c r="AC166" i="11"/>
  <c r="AC158" i="11"/>
  <c r="AC150" i="11"/>
  <c r="AC142" i="11"/>
  <c r="AC134" i="11"/>
  <c r="AC126" i="11"/>
  <c r="AC118" i="11"/>
  <c r="AC110" i="11"/>
  <c r="AC102" i="11"/>
  <c r="AC94" i="11"/>
  <c r="AC86" i="11"/>
  <c r="AC78" i="11"/>
  <c r="AC70" i="11"/>
  <c r="AC54" i="11"/>
  <c r="AC46" i="11"/>
  <c r="AC38" i="11"/>
  <c r="AC740" i="11"/>
  <c r="AC732" i="11"/>
  <c r="AC724" i="11"/>
  <c r="AC716" i="11"/>
  <c r="AC708" i="11"/>
  <c r="AC700" i="11"/>
  <c r="AC692" i="11"/>
  <c r="AC684" i="11"/>
  <c r="AC676" i="11"/>
  <c r="AC668" i="11"/>
  <c r="AC660" i="11"/>
  <c r="AC652" i="11"/>
  <c r="AC644" i="11"/>
  <c r="AC636" i="11"/>
  <c r="AC628" i="11"/>
  <c r="AC620" i="11"/>
  <c r="AC604" i="11"/>
  <c r="AC596" i="11"/>
  <c r="AC588" i="11"/>
  <c r="AC580" i="11"/>
  <c r="AC572" i="11"/>
  <c r="AC564" i="11"/>
  <c r="AC556" i="11"/>
  <c r="AC548" i="11"/>
  <c r="AC540" i="11"/>
  <c r="AC524" i="11"/>
  <c r="AC516" i="11"/>
  <c r="AC508" i="11"/>
  <c r="AC500" i="11"/>
  <c r="AC492" i="11"/>
  <c r="AC484" i="11"/>
  <c r="AC476" i="11"/>
  <c r="AC468" i="11"/>
  <c r="AC460" i="11"/>
  <c r="AC452" i="11"/>
  <c r="AC444" i="11"/>
  <c r="AC436" i="11"/>
  <c r="AC428" i="11"/>
  <c r="AC420" i="11"/>
  <c r="AC412" i="11"/>
  <c r="AC396" i="11"/>
  <c r="AC388" i="11"/>
  <c r="AC380" i="11"/>
  <c r="AC372" i="11"/>
  <c r="AC364" i="11"/>
  <c r="AC356" i="11"/>
  <c r="AC348" i="11"/>
  <c r="AC340" i="11"/>
  <c r="AC332" i="11"/>
  <c r="AC324" i="11"/>
  <c r="AC316" i="11"/>
  <c r="AC308" i="11"/>
  <c r="AC300" i="11"/>
  <c r="AC292" i="11"/>
  <c r="AC284" i="11"/>
  <c r="AC268" i="11"/>
  <c r="AC260" i="11"/>
  <c r="AC252" i="11"/>
  <c r="AC244" i="11"/>
  <c r="AC236" i="11"/>
  <c r="AC228" i="11"/>
  <c r="AC220" i="11"/>
  <c r="AC212" i="11"/>
  <c r="AC204" i="11"/>
  <c r="AC196" i="11"/>
  <c r="AC188" i="11"/>
  <c r="AC180" i="11"/>
  <c r="AC172" i="11"/>
  <c r="AC164" i="11"/>
  <c r="AC156" i="11"/>
  <c r="AC140" i="11"/>
  <c r="AC132" i="11"/>
  <c r="AC124" i="11"/>
  <c r="AC116" i="11"/>
  <c r="AC108" i="11"/>
  <c r="AC100" i="11"/>
  <c r="AC92" i="11"/>
  <c r="AC84" i="11"/>
  <c r="AC76" i="11"/>
  <c r="AC68" i="11"/>
  <c r="AC60" i="11"/>
  <c r="AC52" i="11"/>
  <c r="AC44" i="11"/>
  <c r="AC36" i="11"/>
  <c r="B108" i="19"/>
  <c r="AC986" i="11"/>
  <c r="AC864" i="11"/>
  <c r="AC736" i="11"/>
  <c r="AC704" i="11"/>
  <c r="AC664" i="11"/>
  <c r="AC560" i="11"/>
  <c r="AC304" i="11"/>
  <c r="AC224" i="11"/>
  <c r="AC927" i="11"/>
  <c r="AC863" i="11"/>
  <c r="AC775" i="11"/>
  <c r="AC623" i="11"/>
  <c r="AC391" i="11"/>
  <c r="AC351" i="11"/>
  <c r="AC223" i="11"/>
  <c r="AC999" i="11"/>
  <c r="AC975" i="11"/>
  <c r="AC951" i="11"/>
  <c r="AC903" i="11"/>
  <c r="AC887" i="11"/>
  <c r="AC847" i="11"/>
  <c r="AC823" i="11"/>
  <c r="AC799" i="11"/>
  <c r="AC751" i="11"/>
  <c r="AC719" i="11"/>
  <c r="AC695" i="11"/>
  <c r="AC671" i="11"/>
  <c r="AC631" i="11"/>
  <c r="AC607" i="11"/>
  <c r="AC583" i="11"/>
  <c r="AC559" i="11"/>
  <c r="AC535" i="11"/>
  <c r="AC511" i="11"/>
  <c r="AC487" i="11"/>
  <c r="AC463" i="11"/>
  <c r="AC439" i="11"/>
  <c r="AC399" i="11"/>
  <c r="AC375" i="11"/>
  <c r="AC335" i="11"/>
  <c r="AC311" i="11"/>
  <c r="AC279" i="11"/>
  <c r="AC231" i="11"/>
  <c r="AC207" i="11"/>
  <c r="AC183" i="11"/>
  <c r="AC159" i="11"/>
  <c r="AC135" i="11"/>
  <c r="AC103" i="11"/>
  <c r="AC79" i="11"/>
  <c r="AC55" i="11"/>
  <c r="AC31" i="11"/>
  <c r="AC25" i="11"/>
  <c r="AC983" i="11"/>
  <c r="AC959" i="11"/>
  <c r="AC935" i="11"/>
  <c r="AC911" i="11"/>
  <c r="AC879" i="11"/>
  <c r="AC831" i="11"/>
  <c r="AC783" i="11"/>
  <c r="AC759" i="11"/>
  <c r="AC735" i="11"/>
  <c r="AC711" i="11"/>
  <c r="AC687" i="11"/>
  <c r="AC663" i="11"/>
  <c r="AC647" i="11"/>
  <c r="AC599" i="11"/>
  <c r="AC575" i="11"/>
  <c r="AC551" i="11"/>
  <c r="AC527" i="11"/>
  <c r="AC503" i="11"/>
  <c r="AC479" i="11"/>
  <c r="AC455" i="11"/>
  <c r="AC407" i="11"/>
  <c r="AC383" i="11"/>
  <c r="AC367" i="11"/>
  <c r="AC327" i="11"/>
  <c r="AC303" i="11"/>
  <c r="AC287" i="11"/>
  <c r="AC263" i="11"/>
  <c r="AC247" i="11"/>
  <c r="AC199" i="11"/>
  <c r="AC175" i="11"/>
  <c r="AC151" i="11"/>
  <c r="AC127" i="11"/>
  <c r="AC111" i="11"/>
  <c r="AC87" i="11"/>
  <c r="AC61" i="11"/>
  <c r="AC39" i="11"/>
  <c r="AC991" i="11"/>
  <c r="AC967" i="11"/>
  <c r="AC943" i="11"/>
  <c r="AC919" i="11"/>
  <c r="AC895" i="11"/>
  <c r="AC871" i="11"/>
  <c r="AC855" i="11"/>
  <c r="AC815" i="11"/>
  <c r="AC791" i="11"/>
  <c r="AC767" i="11"/>
  <c r="AC743" i="11"/>
  <c r="AC727" i="11"/>
  <c r="AC679" i="11"/>
  <c r="AC655" i="11"/>
  <c r="AC639" i="11"/>
  <c r="AC615" i="11"/>
  <c r="AC591" i="11"/>
  <c r="AC567" i="11"/>
  <c r="AC543" i="11"/>
  <c r="AC519" i="11"/>
  <c r="AC495" i="11"/>
  <c r="AC471" i="11"/>
  <c r="AC447" i="11"/>
  <c r="AC423" i="11"/>
  <c r="AC415" i="11"/>
  <c r="AC359" i="11"/>
  <c r="AC343" i="11"/>
  <c r="AC319" i="11"/>
  <c r="AC271" i="11"/>
  <c r="AC255" i="11"/>
  <c r="AC239" i="11"/>
  <c r="AC215" i="11"/>
  <c r="AC191" i="11"/>
  <c r="AC167" i="11"/>
  <c r="AC143" i="11"/>
  <c r="AC119" i="11"/>
  <c r="AC95" i="11"/>
  <c r="AC71" i="11"/>
  <c r="AC47" i="11"/>
  <c r="AC1002" i="11"/>
  <c r="AC994" i="11"/>
  <c r="AC978" i="11"/>
  <c r="AC970" i="11"/>
  <c r="AC962" i="11"/>
  <c r="AC954" i="11"/>
  <c r="AC946" i="11"/>
  <c r="AC938" i="11"/>
  <c r="AC930" i="11"/>
  <c r="AC922" i="11"/>
  <c r="AC914" i="11"/>
  <c r="AC906" i="11"/>
  <c r="AC898" i="11"/>
  <c r="AC890" i="11"/>
  <c r="AC882" i="11"/>
  <c r="AC874" i="11"/>
  <c r="AC866" i="11"/>
  <c r="AC858" i="11"/>
  <c r="AC850" i="11"/>
  <c r="AC842" i="11"/>
  <c r="AC834" i="11"/>
  <c r="AC826" i="11"/>
  <c r="AC818" i="11"/>
  <c r="AC810" i="11"/>
  <c r="AC802" i="11"/>
  <c r="AC794" i="11"/>
  <c r="AC786" i="11"/>
  <c r="AC778" i="11"/>
  <c r="AC770" i="11"/>
  <c r="AC762" i="11"/>
  <c r="AC754" i="11"/>
  <c r="AC746" i="11"/>
  <c r="AC738" i="11"/>
  <c r="AC730" i="11"/>
  <c r="AC722" i="11"/>
  <c r="AC714" i="11"/>
  <c r="AC706" i="11"/>
  <c r="AC698" i="11"/>
  <c r="AC690" i="11"/>
  <c r="AC682" i="11"/>
  <c r="AC674" i="11"/>
  <c r="AC666" i="11"/>
  <c r="AC658" i="11"/>
  <c r="AC650" i="11"/>
  <c r="AC642" i="11"/>
  <c r="AC634" i="11"/>
  <c r="AC626" i="11"/>
  <c r="AC618" i="11"/>
  <c r="AC610" i="11"/>
  <c r="AC602" i="11"/>
  <c r="AC594" i="11"/>
  <c r="AC586" i="11"/>
  <c r="AC578" i="11"/>
  <c r="AC570" i="11"/>
  <c r="AC562" i="11"/>
  <c r="AC554" i="11"/>
  <c r="AC546" i="11"/>
  <c r="AC538" i="11"/>
  <c r="AC530" i="11"/>
  <c r="AC522" i="11"/>
  <c r="AC514" i="11"/>
  <c r="AC506" i="11"/>
  <c r="AC498" i="11"/>
  <c r="AC490" i="11"/>
  <c r="AC482" i="11"/>
  <c r="AC474" i="11"/>
  <c r="AC466" i="11"/>
  <c r="AC458" i="11"/>
  <c r="AC450" i="11"/>
  <c r="AC442" i="11"/>
  <c r="AC434" i="11"/>
  <c r="AC426" i="11"/>
  <c r="AC418" i="11"/>
  <c r="AC410" i="11"/>
  <c r="AC402" i="11"/>
  <c r="AC394" i="11"/>
  <c r="AC386" i="11"/>
  <c r="AC378" i="11"/>
  <c r="AC370" i="11"/>
  <c r="AC362" i="11"/>
  <c r="AC354" i="11"/>
  <c r="AC346" i="11"/>
  <c r="AC338" i="11"/>
  <c r="AC330" i="11"/>
  <c r="AC322" i="11"/>
  <c r="AC314" i="11"/>
  <c r="AC306" i="11"/>
  <c r="AC298" i="11"/>
  <c r="AC290" i="11"/>
  <c r="AC282" i="11"/>
  <c r="AC274" i="11"/>
  <c r="AC266" i="11"/>
  <c r="AC258" i="11"/>
  <c r="AC250" i="11"/>
  <c r="AC242" i="11"/>
  <c r="AC234" i="11"/>
  <c r="AC226" i="11"/>
  <c r="AC218" i="11"/>
  <c r="AC210" i="11"/>
  <c r="AC202" i="11"/>
  <c r="AC194" i="11"/>
  <c r="AC186" i="11"/>
  <c r="AC178" i="11"/>
  <c r="AC170" i="11"/>
  <c r="AC162" i="11"/>
  <c r="AC154" i="11"/>
  <c r="AC146" i="11"/>
  <c r="AC138" i="11"/>
  <c r="AC130" i="11"/>
  <c r="AC122" i="11"/>
  <c r="AC114" i="11"/>
  <c r="AC106" i="11"/>
  <c r="AC98" i="11"/>
  <c r="AC90" i="11"/>
  <c r="AC82" i="11"/>
  <c r="AC74" i="11"/>
  <c r="AC66" i="11"/>
  <c r="AC58" i="11"/>
  <c r="AC50" i="11"/>
  <c r="AC42" i="11"/>
  <c r="AC34" i="11"/>
  <c r="AC612" i="11"/>
  <c r="AC532" i="11"/>
  <c r="AC404" i="11"/>
  <c r="AC276" i="11"/>
  <c r="AC148" i="11"/>
  <c r="AC531" i="11"/>
  <c r="AC928" i="11"/>
  <c r="AC872" i="11"/>
  <c r="AC848" i="11"/>
  <c r="AC832" i="11"/>
  <c r="AC816" i="11"/>
  <c r="AC792" i="11"/>
  <c r="AC632" i="11"/>
  <c r="AC616" i="11"/>
  <c r="AC440" i="11"/>
  <c r="AC424" i="11"/>
  <c r="AC408" i="11"/>
  <c r="AC384" i="11"/>
  <c r="AC368" i="11"/>
  <c r="AC352" i="11"/>
  <c r="AC336" i="11"/>
  <c r="AC320" i="11"/>
  <c r="AC144" i="11"/>
  <c r="AC29" i="11"/>
  <c r="AC249" i="11"/>
  <c r="AC241" i="11"/>
  <c r="AC233" i="11"/>
  <c r="AC225" i="11"/>
  <c r="AC217" i="11"/>
  <c r="AC209" i="11"/>
  <c r="AC201" i="11"/>
  <c r="AC193" i="11"/>
  <c r="AC177" i="11"/>
  <c r="AC169" i="11"/>
  <c r="AC161" i="11"/>
  <c r="AC153" i="11"/>
  <c r="AC145" i="11"/>
  <c r="AC129" i="11"/>
  <c r="AC121" i="11"/>
  <c r="AC113" i="11"/>
  <c r="AC105" i="11"/>
  <c r="AC97" i="11"/>
  <c r="AC89" i="11"/>
  <c r="AC81" i="11"/>
  <c r="AC73" i="11"/>
  <c r="AC65" i="11"/>
  <c r="AC49" i="11"/>
  <c r="AC41" i="11"/>
  <c r="AC33" i="11"/>
  <c r="AC30" i="11"/>
  <c r="AC28" i="11"/>
  <c r="AC27" i="11"/>
  <c r="AC26" i="11"/>
  <c r="AC24" i="11"/>
  <c r="T106" i="19" l="1"/>
  <c r="T109" i="19"/>
  <c r="T105" i="19"/>
  <c r="T110" i="19"/>
  <c r="T108" i="19"/>
  <c r="U104" i="19"/>
  <c r="U111" i="19" s="1"/>
  <c r="AT106" i="19"/>
  <c r="AT109" i="19"/>
  <c r="AT105" i="19"/>
  <c r="AT110" i="19"/>
  <c r="AT108" i="19"/>
  <c r="B160" i="19"/>
  <c r="V114" i="19"/>
  <c r="AU104" i="19"/>
  <c r="AU111" i="19" s="1"/>
  <c r="B109" i="19"/>
  <c r="J6" i="18"/>
  <c r="J7" i="18"/>
  <c r="J8" i="18"/>
  <c r="H10" i="28" s="1"/>
  <c r="J9" i="18"/>
  <c r="J10" i="18"/>
  <c r="J11" i="18"/>
  <c r="H13" i="28" s="1"/>
  <c r="J12" i="18"/>
  <c r="H14" i="28" s="1"/>
  <c r="J13" i="18"/>
  <c r="H15" i="28" s="1"/>
  <c r="J14" i="18"/>
  <c r="H16" i="28" s="1"/>
  <c r="J15" i="18"/>
  <c r="H17" i="28" s="1"/>
  <c r="J16" i="18"/>
  <c r="H18" i="28" s="1"/>
  <c r="J17" i="18"/>
  <c r="H19" i="28" s="1"/>
  <c r="J18" i="18"/>
  <c r="H20" i="28" s="1"/>
  <c r="J19" i="18"/>
  <c r="H21" i="28" s="1"/>
  <c r="J20" i="18"/>
  <c r="J21" i="18"/>
  <c r="H23" i="28" s="1"/>
  <c r="J22" i="18"/>
  <c r="H24" i="28" s="1"/>
  <c r="J23" i="18"/>
  <c r="H25" i="28" s="1"/>
  <c r="J24" i="18"/>
  <c r="H26" i="28" s="1"/>
  <c r="J25" i="18"/>
  <c r="H27" i="28" s="1"/>
  <c r="J26" i="18"/>
  <c r="H28" i="28" s="1"/>
  <c r="J27" i="18"/>
  <c r="H29" i="28" s="1"/>
  <c r="J28" i="18"/>
  <c r="H30" i="28" s="1"/>
  <c r="J29" i="18"/>
  <c r="H31" i="28" s="1"/>
  <c r="J30" i="18"/>
  <c r="H32" i="28" s="1"/>
  <c r="J31" i="18"/>
  <c r="H33" i="28" s="1"/>
  <c r="J32" i="18"/>
  <c r="H34" i="28" s="1"/>
  <c r="J33" i="18"/>
  <c r="H35" i="28" s="1"/>
  <c r="J34" i="18"/>
  <c r="H36" i="28" s="1"/>
  <c r="J35" i="18"/>
  <c r="J36" i="18"/>
  <c r="H38" i="28" s="1"/>
  <c r="J37" i="18"/>
  <c r="H39" i="28" s="1"/>
  <c r="J38" i="18"/>
  <c r="H40" i="28" s="1"/>
  <c r="J39" i="18"/>
  <c r="H41" i="28" s="1"/>
  <c r="J40" i="18"/>
  <c r="H42" i="28" s="1"/>
  <c r="J41" i="18"/>
  <c r="H43" i="28" s="1"/>
  <c r="J42" i="18"/>
  <c r="H44" i="28" s="1"/>
  <c r="J43" i="18"/>
  <c r="H45" i="28" s="1"/>
  <c r="J44" i="18"/>
  <c r="H46" i="28" s="1"/>
  <c r="J45" i="18"/>
  <c r="H47" i="28" s="1"/>
  <c r="J46" i="18"/>
  <c r="H48" i="28" s="1"/>
  <c r="J47" i="18"/>
  <c r="H49" i="28" s="1"/>
  <c r="J48" i="18"/>
  <c r="H50" i="28" s="1"/>
  <c r="J49" i="18"/>
  <c r="H51" i="28" s="1"/>
  <c r="J50" i="18"/>
  <c r="J51" i="18"/>
  <c r="H53" i="28" s="1"/>
  <c r="J52" i="18"/>
  <c r="H54" i="28" s="1"/>
  <c r="J53" i="18"/>
  <c r="H55" i="28" s="1"/>
  <c r="J54" i="18"/>
  <c r="H56" i="28" s="1"/>
  <c r="J55" i="18"/>
  <c r="H57" i="28" s="1"/>
  <c r="J56" i="18"/>
  <c r="H58" i="28" s="1"/>
  <c r="J57" i="18"/>
  <c r="H59" i="28" s="1"/>
  <c r="J58" i="18"/>
  <c r="H60" i="28" s="1"/>
  <c r="J59" i="18"/>
  <c r="H61" i="28" s="1"/>
  <c r="J60" i="18"/>
  <c r="H62" i="28" s="1"/>
  <c r="J61" i="18"/>
  <c r="H63" i="28" s="1"/>
  <c r="J62" i="18"/>
  <c r="H64" i="28" s="1"/>
  <c r="J63" i="18"/>
  <c r="H65" i="28" s="1"/>
  <c r="J64" i="18"/>
  <c r="H66" i="28" s="1"/>
  <c r="J65" i="18"/>
  <c r="J66" i="18"/>
  <c r="H68" i="28" s="1"/>
  <c r="J67" i="18"/>
  <c r="H69" i="28" s="1"/>
  <c r="J68" i="18"/>
  <c r="H70" i="28" s="1"/>
  <c r="J69" i="18"/>
  <c r="H71" i="28" s="1"/>
  <c r="J70" i="18"/>
  <c r="H72" i="28" s="1"/>
  <c r="J71" i="18"/>
  <c r="H73" i="28" s="1"/>
  <c r="J72" i="18"/>
  <c r="H74" i="28" s="1"/>
  <c r="J73" i="18"/>
  <c r="H75" i="28" s="1"/>
  <c r="J74" i="18"/>
  <c r="H76" i="28" s="1"/>
  <c r="J75" i="18"/>
  <c r="H77" i="28" s="1"/>
  <c r="J76" i="18"/>
  <c r="H78" i="28" s="1"/>
  <c r="J77" i="18"/>
  <c r="H79" i="28" s="1"/>
  <c r="J78" i="18"/>
  <c r="H80" i="28" s="1"/>
  <c r="J79" i="18"/>
  <c r="H81" i="28" s="1"/>
  <c r="J80" i="18"/>
  <c r="J81" i="18"/>
  <c r="H83" i="28" s="1"/>
  <c r="J82" i="18"/>
  <c r="H84" i="28" s="1"/>
  <c r="J83" i="18"/>
  <c r="H85" i="28" s="1"/>
  <c r="J84" i="18"/>
  <c r="H86" i="28" s="1"/>
  <c r="J85" i="18"/>
  <c r="H87" i="28" s="1"/>
  <c r="J86" i="18"/>
  <c r="H88" i="28" s="1"/>
  <c r="J87" i="18"/>
  <c r="H89" i="28" s="1"/>
  <c r="J88" i="18"/>
  <c r="H90" i="28" s="1"/>
  <c r="J89" i="18"/>
  <c r="H91" i="28" s="1"/>
  <c r="J90" i="18"/>
  <c r="H92" i="28" s="1"/>
  <c r="J91" i="18"/>
  <c r="H93" i="28" s="1"/>
  <c r="J92" i="18"/>
  <c r="H94" i="28" s="1"/>
  <c r="J93" i="18"/>
  <c r="H95" i="28" s="1"/>
  <c r="J94" i="18"/>
  <c r="H96" i="28" s="1"/>
  <c r="J95" i="18"/>
  <c r="J96" i="18"/>
  <c r="H98" i="28" s="1"/>
  <c r="J97" i="18"/>
  <c r="H99" i="28" s="1"/>
  <c r="J98" i="18"/>
  <c r="H100" i="28" s="1"/>
  <c r="J99" i="18"/>
  <c r="H101" i="28" s="1"/>
  <c r="J100" i="18"/>
  <c r="H102" i="28" s="1"/>
  <c r="J101" i="18"/>
  <c r="H103" i="28" s="1"/>
  <c r="J102" i="18"/>
  <c r="H104" i="28" s="1"/>
  <c r="J103" i="18"/>
  <c r="H105" i="28" s="1"/>
  <c r="J104" i="18"/>
  <c r="H106" i="28" s="1"/>
  <c r="J105" i="18"/>
  <c r="H107" i="28" s="1"/>
  <c r="J106" i="18"/>
  <c r="H108" i="28" s="1"/>
  <c r="J107" i="18"/>
  <c r="H109" i="28" s="1"/>
  <c r="J108" i="18"/>
  <c r="H110" i="28" s="1"/>
  <c r="J109" i="18"/>
  <c r="H111" i="28" s="1"/>
  <c r="J110" i="18"/>
  <c r="J111" i="18"/>
  <c r="H113" i="28" s="1"/>
  <c r="J112" i="18"/>
  <c r="H114" i="28" s="1"/>
  <c r="J113" i="18"/>
  <c r="H115" i="28" s="1"/>
  <c r="J114" i="18"/>
  <c r="H116" i="28" s="1"/>
  <c r="J115" i="18"/>
  <c r="H117" i="28" s="1"/>
  <c r="J116" i="18"/>
  <c r="H118" i="28" s="1"/>
  <c r="J117" i="18"/>
  <c r="H119" i="28" s="1"/>
  <c r="J118" i="18"/>
  <c r="H120" i="28" s="1"/>
  <c r="J119" i="18"/>
  <c r="H121" i="28" s="1"/>
  <c r="J120" i="18"/>
  <c r="H122" i="28" s="1"/>
  <c r="J121" i="18"/>
  <c r="H123" i="28" s="1"/>
  <c r="J122" i="18"/>
  <c r="H124" i="28" s="1"/>
  <c r="J123" i="18"/>
  <c r="H125" i="28" s="1"/>
  <c r="J124" i="18"/>
  <c r="H126" i="28" s="1"/>
  <c r="J125" i="18"/>
  <c r="W6" i="20" s="1"/>
  <c r="J126" i="18"/>
  <c r="H128" i="28" s="1"/>
  <c r="J127" i="18"/>
  <c r="H129" i="28" s="1"/>
  <c r="J128" i="18"/>
  <c r="H130" i="28" s="1"/>
  <c r="J129" i="18"/>
  <c r="H131" i="28" s="1"/>
  <c r="J130" i="18"/>
  <c r="H132" i="28" s="1"/>
  <c r="J131" i="18"/>
  <c r="H133" i="28" s="1"/>
  <c r="J132" i="18"/>
  <c r="H134" i="28" s="1"/>
  <c r="J133" i="18"/>
  <c r="H135" i="28" s="1"/>
  <c r="J134" i="18"/>
  <c r="H136" i="28" s="1"/>
  <c r="J135" i="18"/>
  <c r="H137" i="28" s="1"/>
  <c r="J136" i="18"/>
  <c r="H138" i="28" s="1"/>
  <c r="J137" i="18"/>
  <c r="H139" i="28" s="1"/>
  <c r="J138" i="18"/>
  <c r="H140" i="28" s="1"/>
  <c r="J139" i="18"/>
  <c r="H141" i="28" s="1"/>
  <c r="J140" i="18"/>
  <c r="J141" i="18"/>
  <c r="H143" i="28" s="1"/>
  <c r="J142" i="18"/>
  <c r="H144" i="28" s="1"/>
  <c r="J143" i="18"/>
  <c r="H145" i="28" s="1"/>
  <c r="J144" i="18"/>
  <c r="H146" i="28" s="1"/>
  <c r="J145" i="18"/>
  <c r="H147" i="28" s="1"/>
  <c r="J146" i="18"/>
  <c r="H148" i="28" s="1"/>
  <c r="J147" i="18"/>
  <c r="H149" i="28" s="1"/>
  <c r="J148" i="18"/>
  <c r="H150" i="28" s="1"/>
  <c r="J149" i="18"/>
  <c r="H151" i="28" s="1"/>
  <c r="J150" i="18"/>
  <c r="H152" i="28" s="1"/>
  <c r="J151" i="18"/>
  <c r="H153" i="28" s="1"/>
  <c r="J152" i="18"/>
  <c r="H154" i="28" s="1"/>
  <c r="J153" i="18"/>
  <c r="H155" i="28" s="1"/>
  <c r="J154" i="18"/>
  <c r="H156" i="28" s="1"/>
  <c r="J155" i="18"/>
  <c r="J156" i="18"/>
  <c r="H158" i="28" s="1"/>
  <c r="J157" i="18"/>
  <c r="H159" i="28" s="1"/>
  <c r="J158" i="18"/>
  <c r="H160" i="28" s="1"/>
  <c r="J159" i="18"/>
  <c r="H161" i="28" s="1"/>
  <c r="J160" i="18"/>
  <c r="H162" i="28" s="1"/>
  <c r="J161" i="18"/>
  <c r="H163" i="28" s="1"/>
  <c r="J162" i="18"/>
  <c r="H164" i="28" s="1"/>
  <c r="J163" i="18"/>
  <c r="H165" i="28" s="1"/>
  <c r="J164" i="18"/>
  <c r="H166" i="28" s="1"/>
  <c r="J165" i="18"/>
  <c r="H167" i="28" s="1"/>
  <c r="J166" i="18"/>
  <c r="H168" i="28" s="1"/>
  <c r="J167" i="18"/>
  <c r="H169" i="28" s="1"/>
  <c r="J168" i="18"/>
  <c r="H170" i="28" s="1"/>
  <c r="J169" i="18"/>
  <c r="H171" i="28" s="1"/>
  <c r="J170" i="18"/>
  <c r="J171" i="18"/>
  <c r="H173" i="28" s="1"/>
  <c r="J172" i="18"/>
  <c r="H174" i="28" s="1"/>
  <c r="J173" i="18"/>
  <c r="H175" i="28" s="1"/>
  <c r="J174" i="18"/>
  <c r="H176" i="28" s="1"/>
  <c r="J175" i="18"/>
  <c r="H177" i="28" s="1"/>
  <c r="J176" i="18"/>
  <c r="H178" i="28" s="1"/>
  <c r="J177" i="18"/>
  <c r="H179" i="28" s="1"/>
  <c r="J178" i="18"/>
  <c r="H180" i="28" s="1"/>
  <c r="J179" i="18"/>
  <c r="H181" i="28" s="1"/>
  <c r="J180" i="18"/>
  <c r="H182" i="28" s="1"/>
  <c r="J181" i="18"/>
  <c r="H183" i="28" s="1"/>
  <c r="J182" i="18"/>
  <c r="H184" i="28" s="1"/>
  <c r="J183" i="18"/>
  <c r="H185" i="28" s="1"/>
  <c r="J184" i="18"/>
  <c r="H186" i="28" s="1"/>
  <c r="J185" i="18"/>
  <c r="J186" i="18"/>
  <c r="H188" i="28" s="1"/>
  <c r="J187" i="18"/>
  <c r="H189" i="28" s="1"/>
  <c r="J188" i="18"/>
  <c r="H190" i="28" s="1"/>
  <c r="J189" i="18"/>
  <c r="H191" i="28" s="1"/>
  <c r="J190" i="18"/>
  <c r="H192" i="28" s="1"/>
  <c r="J191" i="18"/>
  <c r="H193" i="28" s="1"/>
  <c r="J192" i="18"/>
  <c r="H194" i="28" s="1"/>
  <c r="J193" i="18"/>
  <c r="H195" i="28" s="1"/>
  <c r="J194" i="18"/>
  <c r="H196" i="28" s="1"/>
  <c r="J195" i="18"/>
  <c r="H197" i="28" s="1"/>
  <c r="J196" i="18"/>
  <c r="H198" i="28" s="1"/>
  <c r="J197" i="18"/>
  <c r="H199" i="28" s="1"/>
  <c r="J198" i="18"/>
  <c r="H200" i="28" s="1"/>
  <c r="J199" i="18"/>
  <c r="H201" i="28" s="1"/>
  <c r="J200" i="18"/>
  <c r="J201" i="18"/>
  <c r="J202" i="18"/>
  <c r="J203" i="18"/>
  <c r="J204" i="18"/>
  <c r="H206" i="28" s="1"/>
  <c r="J205" i="18"/>
  <c r="H207" i="28" s="1"/>
  <c r="J206" i="18"/>
  <c r="H208" i="28" s="1"/>
  <c r="J207" i="18"/>
  <c r="H209" i="28" s="1"/>
  <c r="J208" i="18"/>
  <c r="H210" i="28" s="1"/>
  <c r="J209" i="18"/>
  <c r="H211" i="28" s="1"/>
  <c r="J210" i="18"/>
  <c r="H212" i="28" s="1"/>
  <c r="J211" i="18"/>
  <c r="H213" i="28" s="1"/>
  <c r="J212" i="18"/>
  <c r="H214" i="28" s="1"/>
  <c r="J213" i="18"/>
  <c r="H215" i="28" s="1"/>
  <c r="J214" i="18"/>
  <c r="H216" i="28" s="1"/>
  <c r="J215" i="18"/>
  <c r="J216" i="18"/>
  <c r="H218" i="28" s="1"/>
  <c r="J217" i="18"/>
  <c r="H219" i="28" s="1"/>
  <c r="J218" i="18"/>
  <c r="H220" i="28" s="1"/>
  <c r="J219" i="18"/>
  <c r="H221" i="28" s="1"/>
  <c r="J220" i="18"/>
  <c r="H222" i="28" s="1"/>
  <c r="J221" i="18"/>
  <c r="H223" i="28" s="1"/>
  <c r="J222" i="18"/>
  <c r="H224" i="28" s="1"/>
  <c r="J223" i="18"/>
  <c r="H225" i="28" s="1"/>
  <c r="J224" i="18"/>
  <c r="H226" i="28" s="1"/>
  <c r="J225" i="18"/>
  <c r="H227" i="28" s="1"/>
  <c r="J226" i="18"/>
  <c r="H228" i="28" s="1"/>
  <c r="J227" i="18"/>
  <c r="H229" i="28" s="1"/>
  <c r="J228" i="18"/>
  <c r="H230" i="28" s="1"/>
  <c r="J229" i="18"/>
  <c r="H231" i="28" s="1"/>
  <c r="J230" i="18"/>
  <c r="J231" i="18"/>
  <c r="H233" i="28" s="1"/>
  <c r="J232" i="18"/>
  <c r="H234" i="28" s="1"/>
  <c r="J233" i="18"/>
  <c r="H235" i="28" s="1"/>
  <c r="J234" i="18"/>
  <c r="H236" i="28" s="1"/>
  <c r="J235" i="18"/>
  <c r="H237" i="28" s="1"/>
  <c r="J236" i="18"/>
  <c r="H238" i="28" s="1"/>
  <c r="J237" i="18"/>
  <c r="H239" i="28" s="1"/>
  <c r="J238" i="18"/>
  <c r="H240" i="28" s="1"/>
  <c r="J239" i="18"/>
  <c r="H241" i="28" s="1"/>
  <c r="J240" i="18"/>
  <c r="H242" i="28" s="1"/>
  <c r="J241" i="18"/>
  <c r="H243" i="28" s="1"/>
  <c r="J242" i="18"/>
  <c r="H244" i="28" s="1"/>
  <c r="J243" i="18"/>
  <c r="H245" i="28" s="1"/>
  <c r="J244" i="18"/>
  <c r="H246" i="28" s="1"/>
  <c r="J245" i="18"/>
  <c r="J246" i="18"/>
  <c r="H248" i="28" s="1"/>
  <c r="J247" i="18"/>
  <c r="H249" i="28" s="1"/>
  <c r="J248" i="18"/>
  <c r="H250" i="28" s="1"/>
  <c r="J249" i="18"/>
  <c r="H251" i="28" s="1"/>
  <c r="J250" i="18"/>
  <c r="H252" i="28" s="1"/>
  <c r="J251" i="18"/>
  <c r="H253" i="28" s="1"/>
  <c r="J252" i="18"/>
  <c r="H254" i="28" s="1"/>
  <c r="J253" i="18"/>
  <c r="H255" i="28" s="1"/>
  <c r="J254" i="18"/>
  <c r="H256" i="28" s="1"/>
  <c r="J255" i="18"/>
  <c r="H257" i="28" s="1"/>
  <c r="J256" i="18"/>
  <c r="H258" i="28" s="1"/>
  <c r="J257" i="18"/>
  <c r="H259" i="28" s="1"/>
  <c r="J258" i="18"/>
  <c r="H260" i="28" s="1"/>
  <c r="J259" i="18"/>
  <c r="H261" i="28" s="1"/>
  <c r="J260" i="18"/>
  <c r="J261" i="18"/>
  <c r="H263" i="28" s="1"/>
  <c r="J262" i="18"/>
  <c r="H264" i="28" s="1"/>
  <c r="J263" i="18"/>
  <c r="H265" i="28" s="1"/>
  <c r="J264" i="18"/>
  <c r="H266" i="28" s="1"/>
  <c r="J265" i="18"/>
  <c r="H267" i="28" s="1"/>
  <c r="J266" i="18"/>
  <c r="H268" i="28" s="1"/>
  <c r="J267" i="18"/>
  <c r="H269" i="28" s="1"/>
  <c r="J268" i="18"/>
  <c r="H270" i="28" s="1"/>
  <c r="J269" i="18"/>
  <c r="H271" i="28" s="1"/>
  <c r="J270" i="18"/>
  <c r="H272" i="28" s="1"/>
  <c r="J271" i="18"/>
  <c r="H273" i="28" s="1"/>
  <c r="J272" i="18"/>
  <c r="H274" i="28" s="1"/>
  <c r="J273" i="18"/>
  <c r="H275" i="28" s="1"/>
  <c r="J274" i="18"/>
  <c r="H276" i="28" s="1"/>
  <c r="J275" i="18"/>
  <c r="J276" i="18"/>
  <c r="H278" i="28" s="1"/>
  <c r="J277" i="18"/>
  <c r="H279" i="28" s="1"/>
  <c r="J278" i="18"/>
  <c r="H280" i="28" s="1"/>
  <c r="J279" i="18"/>
  <c r="H281" i="28" s="1"/>
  <c r="J280" i="18"/>
  <c r="H282" i="28" s="1"/>
  <c r="J281" i="18"/>
  <c r="H283" i="28" s="1"/>
  <c r="J282" i="18"/>
  <c r="H284" i="28" s="1"/>
  <c r="J283" i="18"/>
  <c r="H285" i="28" s="1"/>
  <c r="J284" i="18"/>
  <c r="H286" i="28" s="1"/>
  <c r="J285" i="18"/>
  <c r="H287" i="28" s="1"/>
  <c r="J286" i="18"/>
  <c r="H288" i="28" s="1"/>
  <c r="J287" i="18"/>
  <c r="H289" i="28" s="1"/>
  <c r="J288" i="18"/>
  <c r="H290" i="28" s="1"/>
  <c r="J289" i="18"/>
  <c r="H291" i="28" s="1"/>
  <c r="J290" i="18"/>
  <c r="J291" i="18"/>
  <c r="H293" i="28" s="1"/>
  <c r="J292" i="18"/>
  <c r="H294" i="28" s="1"/>
  <c r="J293" i="18"/>
  <c r="H295" i="28" s="1"/>
  <c r="J294" i="18"/>
  <c r="H296" i="28" s="1"/>
  <c r="J295" i="18"/>
  <c r="H297" i="28" s="1"/>
  <c r="J296" i="18"/>
  <c r="H298" i="28" s="1"/>
  <c r="J297" i="18"/>
  <c r="H299" i="28" s="1"/>
  <c r="J298" i="18"/>
  <c r="H300" i="28" s="1"/>
  <c r="J299" i="18"/>
  <c r="H301" i="28" s="1"/>
  <c r="J300" i="18"/>
  <c r="H302" i="28" s="1"/>
  <c r="J301" i="18"/>
  <c r="H303" i="28" s="1"/>
  <c r="J302" i="18"/>
  <c r="H304" i="28" s="1"/>
  <c r="J303" i="18"/>
  <c r="H305" i="28" s="1"/>
  <c r="J304" i="18"/>
  <c r="H306" i="28" s="1"/>
  <c r="J305" i="18"/>
  <c r="J306" i="18"/>
  <c r="H308" i="28" s="1"/>
  <c r="J307" i="18"/>
  <c r="H309" i="28" s="1"/>
  <c r="J308" i="18"/>
  <c r="H310" i="28" s="1"/>
  <c r="J309" i="18"/>
  <c r="H311" i="28" s="1"/>
  <c r="J310" i="18"/>
  <c r="H312" i="28" s="1"/>
  <c r="J311" i="18"/>
  <c r="H313" i="28" s="1"/>
  <c r="J312" i="18"/>
  <c r="H314" i="28" s="1"/>
  <c r="J313" i="18"/>
  <c r="H315" i="28" s="1"/>
  <c r="J314" i="18"/>
  <c r="H316" i="28" s="1"/>
  <c r="J315" i="18"/>
  <c r="H317" i="28" s="1"/>
  <c r="J316" i="18"/>
  <c r="H318" i="28" s="1"/>
  <c r="J317" i="18"/>
  <c r="H319" i="28" s="1"/>
  <c r="J318" i="18"/>
  <c r="H320" i="28" s="1"/>
  <c r="J319" i="18"/>
  <c r="H321" i="28" s="1"/>
  <c r="J320" i="18"/>
  <c r="J321" i="18"/>
  <c r="H323" i="28" s="1"/>
  <c r="J322" i="18"/>
  <c r="H324" i="28" s="1"/>
  <c r="J323" i="18"/>
  <c r="H325" i="28" s="1"/>
  <c r="J324" i="18"/>
  <c r="H326" i="28" s="1"/>
  <c r="J325" i="18"/>
  <c r="H327" i="28" s="1"/>
  <c r="J326" i="18"/>
  <c r="H328" i="28" s="1"/>
  <c r="J327" i="18"/>
  <c r="H329" i="28" s="1"/>
  <c r="J328" i="18"/>
  <c r="H330" i="28" s="1"/>
  <c r="J329" i="18"/>
  <c r="H331" i="28" s="1"/>
  <c r="J330" i="18"/>
  <c r="H332" i="28" s="1"/>
  <c r="J331" i="18"/>
  <c r="H333" i="28" s="1"/>
  <c r="J332" i="18"/>
  <c r="H334" i="28" s="1"/>
  <c r="J333" i="18"/>
  <c r="H335" i="28" s="1"/>
  <c r="J334" i="18"/>
  <c r="H336" i="28" s="1"/>
  <c r="J335" i="18"/>
  <c r="J336" i="18"/>
  <c r="H338" i="28" s="1"/>
  <c r="J337" i="18"/>
  <c r="H339" i="28" s="1"/>
  <c r="J338" i="18"/>
  <c r="H340" i="28" s="1"/>
  <c r="J339" i="18"/>
  <c r="H341" i="28" s="1"/>
  <c r="J340" i="18"/>
  <c r="H342" i="28" s="1"/>
  <c r="J341" i="18"/>
  <c r="H343" i="28" s="1"/>
  <c r="J342" i="18"/>
  <c r="H344" i="28" s="1"/>
  <c r="J343" i="18"/>
  <c r="H345" i="28" s="1"/>
  <c r="J344" i="18"/>
  <c r="H346" i="28" s="1"/>
  <c r="J345" i="18"/>
  <c r="H347" i="28" s="1"/>
  <c r="J346" i="18"/>
  <c r="H348" i="28" s="1"/>
  <c r="J347" i="18"/>
  <c r="H349" i="28" s="1"/>
  <c r="J348" i="18"/>
  <c r="H350" i="28" s="1"/>
  <c r="J349" i="18"/>
  <c r="H351" i="28" s="1"/>
  <c r="J350" i="18"/>
  <c r="J351" i="18"/>
  <c r="H353" i="28" s="1"/>
  <c r="J352" i="18"/>
  <c r="H354" i="28" s="1"/>
  <c r="J353" i="18"/>
  <c r="H355" i="28" s="1"/>
  <c r="J354" i="18"/>
  <c r="H356" i="28" s="1"/>
  <c r="J355" i="18"/>
  <c r="H357" i="28" s="1"/>
  <c r="J356" i="18"/>
  <c r="H358" i="28" s="1"/>
  <c r="J357" i="18"/>
  <c r="H359" i="28" s="1"/>
  <c r="J358" i="18"/>
  <c r="H360" i="28" s="1"/>
  <c r="J359" i="18"/>
  <c r="H361" i="28" s="1"/>
  <c r="J360" i="18"/>
  <c r="H362" i="28" s="1"/>
  <c r="J361" i="18"/>
  <c r="H363" i="28" s="1"/>
  <c r="J362" i="18"/>
  <c r="H364" i="28" s="1"/>
  <c r="J363" i="18"/>
  <c r="H365" i="28" s="1"/>
  <c r="J364" i="18"/>
  <c r="H366" i="28" s="1"/>
  <c r="J365" i="18"/>
  <c r="J366" i="18"/>
  <c r="H368" i="28" s="1"/>
  <c r="J367" i="18"/>
  <c r="H369" i="28" s="1"/>
  <c r="J368" i="18"/>
  <c r="H370" i="28" s="1"/>
  <c r="J369" i="18"/>
  <c r="H371" i="28" s="1"/>
  <c r="J370" i="18"/>
  <c r="H372" i="28" s="1"/>
  <c r="J371" i="18"/>
  <c r="H373" i="28" s="1"/>
  <c r="J372" i="18"/>
  <c r="H374" i="28" s="1"/>
  <c r="J373" i="18"/>
  <c r="H375" i="28" s="1"/>
  <c r="J374" i="18"/>
  <c r="H376" i="28" s="1"/>
  <c r="J375" i="18"/>
  <c r="H377" i="28" s="1"/>
  <c r="J376" i="18"/>
  <c r="H378" i="28" s="1"/>
  <c r="J377" i="18"/>
  <c r="H379" i="28" s="1"/>
  <c r="J378" i="18"/>
  <c r="H380" i="28" s="1"/>
  <c r="J379" i="18"/>
  <c r="H381" i="28" s="1"/>
  <c r="J380" i="18"/>
  <c r="J381" i="18"/>
  <c r="H383" i="28" s="1"/>
  <c r="J382" i="18"/>
  <c r="H384" i="28" s="1"/>
  <c r="J383" i="18"/>
  <c r="H385" i="28" s="1"/>
  <c r="J384" i="18"/>
  <c r="H386" i="28" s="1"/>
  <c r="J385" i="18"/>
  <c r="H387" i="28" s="1"/>
  <c r="J386" i="18"/>
  <c r="H388" i="28" s="1"/>
  <c r="J387" i="18"/>
  <c r="H389" i="28" s="1"/>
  <c r="J388" i="18"/>
  <c r="H390" i="28" s="1"/>
  <c r="J389" i="18"/>
  <c r="H391" i="28" s="1"/>
  <c r="J390" i="18"/>
  <c r="H392" i="28" s="1"/>
  <c r="J391" i="18"/>
  <c r="H393" i="28" s="1"/>
  <c r="J392" i="18"/>
  <c r="H394" i="28" s="1"/>
  <c r="J393" i="18"/>
  <c r="H395" i="28" s="1"/>
  <c r="J394" i="18"/>
  <c r="H396" i="28" s="1"/>
  <c r="J395" i="18"/>
  <c r="J396" i="18"/>
  <c r="H398" i="28" s="1"/>
  <c r="J397" i="18"/>
  <c r="H399" i="28" s="1"/>
  <c r="J398" i="18"/>
  <c r="H400" i="28" s="1"/>
  <c r="J399" i="18"/>
  <c r="H401" i="28" s="1"/>
  <c r="J400" i="18"/>
  <c r="H402" i="28" s="1"/>
  <c r="J401" i="18"/>
  <c r="H403" i="28" s="1"/>
  <c r="J402" i="18"/>
  <c r="H404" i="28" s="1"/>
  <c r="J403" i="18"/>
  <c r="H405" i="28" s="1"/>
  <c r="J404" i="18"/>
  <c r="H406" i="28" s="1"/>
  <c r="J405" i="18"/>
  <c r="H407" i="28" s="1"/>
  <c r="J406" i="18"/>
  <c r="H408" i="28" s="1"/>
  <c r="J407" i="18"/>
  <c r="H409" i="28" s="1"/>
  <c r="J408" i="18"/>
  <c r="H410" i="28" s="1"/>
  <c r="J409" i="18"/>
  <c r="H411" i="28" s="1"/>
  <c r="J410" i="18"/>
  <c r="J411" i="18"/>
  <c r="H413" i="28" s="1"/>
  <c r="J412" i="18"/>
  <c r="H414" i="28" s="1"/>
  <c r="J413" i="18"/>
  <c r="H415" i="28" s="1"/>
  <c r="J414" i="18"/>
  <c r="H416" i="28" s="1"/>
  <c r="J415" i="18"/>
  <c r="H417" i="28" s="1"/>
  <c r="J416" i="18"/>
  <c r="H418" i="28" s="1"/>
  <c r="J417" i="18"/>
  <c r="H419" i="28" s="1"/>
  <c r="J418" i="18"/>
  <c r="H420" i="28" s="1"/>
  <c r="J419" i="18"/>
  <c r="H421" i="28" s="1"/>
  <c r="J420" i="18"/>
  <c r="H422" i="28" s="1"/>
  <c r="J421" i="18"/>
  <c r="H423" i="28" s="1"/>
  <c r="J422" i="18"/>
  <c r="H424" i="28" s="1"/>
  <c r="J423" i="18"/>
  <c r="H425" i="28" s="1"/>
  <c r="J424" i="18"/>
  <c r="H426" i="28" s="1"/>
  <c r="J425" i="18"/>
  <c r="J426" i="18"/>
  <c r="H428" i="28" s="1"/>
  <c r="J427" i="18"/>
  <c r="H429" i="28" s="1"/>
  <c r="J428" i="18"/>
  <c r="H430" i="28" s="1"/>
  <c r="J429" i="18"/>
  <c r="H431" i="28" s="1"/>
  <c r="J430" i="18"/>
  <c r="H432" i="28" s="1"/>
  <c r="J431" i="18"/>
  <c r="H433" i="28" s="1"/>
  <c r="J432" i="18"/>
  <c r="H434" i="28" s="1"/>
  <c r="J433" i="18"/>
  <c r="H435" i="28" s="1"/>
  <c r="J434" i="18"/>
  <c r="H436" i="28" s="1"/>
  <c r="J435" i="18"/>
  <c r="H437" i="28" s="1"/>
  <c r="J436" i="18"/>
  <c r="H438" i="28" s="1"/>
  <c r="J437" i="18"/>
  <c r="H439" i="28" s="1"/>
  <c r="J438" i="18"/>
  <c r="H440" i="28" s="1"/>
  <c r="J439" i="18"/>
  <c r="H441" i="28" s="1"/>
  <c r="J440" i="18"/>
  <c r="J441" i="18"/>
  <c r="H443" i="28" s="1"/>
  <c r="J442" i="18"/>
  <c r="H444" i="28" s="1"/>
  <c r="J443" i="18"/>
  <c r="H445" i="28" s="1"/>
  <c r="J444" i="18"/>
  <c r="H446" i="28" s="1"/>
  <c r="J445" i="18"/>
  <c r="H447" i="28" s="1"/>
  <c r="J446" i="18"/>
  <c r="H448" i="28" s="1"/>
  <c r="J447" i="18"/>
  <c r="H449" i="28" s="1"/>
  <c r="J448" i="18"/>
  <c r="H450" i="28" s="1"/>
  <c r="J449" i="18"/>
  <c r="H451" i="28" s="1"/>
  <c r="J450" i="18"/>
  <c r="H452" i="28" s="1"/>
  <c r="J451" i="18"/>
  <c r="H453" i="28" s="1"/>
  <c r="J452" i="18"/>
  <c r="H454" i="28" s="1"/>
  <c r="J453" i="18"/>
  <c r="H455" i="28" s="1"/>
  <c r="J454" i="18"/>
  <c r="H456" i="28" s="1"/>
  <c r="J455" i="18"/>
  <c r="J456" i="18"/>
  <c r="H458" i="28" s="1"/>
  <c r="J457" i="18"/>
  <c r="H459" i="28" s="1"/>
  <c r="J458" i="18"/>
  <c r="H460" i="28" s="1"/>
  <c r="J459" i="18"/>
  <c r="H461" i="28" s="1"/>
  <c r="J460" i="18"/>
  <c r="H462" i="28" s="1"/>
  <c r="J461" i="18"/>
  <c r="H463" i="28" s="1"/>
  <c r="J462" i="18"/>
  <c r="H464" i="28" s="1"/>
  <c r="J463" i="18"/>
  <c r="H465" i="28" s="1"/>
  <c r="J464" i="18"/>
  <c r="H466" i="28" s="1"/>
  <c r="J465" i="18"/>
  <c r="H467" i="28" s="1"/>
  <c r="J466" i="18"/>
  <c r="H468" i="28" s="1"/>
  <c r="J467" i="18"/>
  <c r="H469" i="28" s="1"/>
  <c r="J468" i="18"/>
  <c r="H470" i="28" s="1"/>
  <c r="J469" i="18"/>
  <c r="H471" i="28" s="1"/>
  <c r="J470" i="18"/>
  <c r="J471" i="18"/>
  <c r="H473" i="28" s="1"/>
  <c r="J472" i="18"/>
  <c r="H474" i="28" s="1"/>
  <c r="J473" i="18"/>
  <c r="H475" i="28" s="1"/>
  <c r="J474" i="18"/>
  <c r="H476" i="28" s="1"/>
  <c r="J475" i="18"/>
  <c r="H477" i="28" s="1"/>
  <c r="J476" i="18"/>
  <c r="H478" i="28" s="1"/>
  <c r="J477" i="18"/>
  <c r="H479" i="28" s="1"/>
  <c r="J478" i="18"/>
  <c r="H480" i="28" s="1"/>
  <c r="J479" i="18"/>
  <c r="H481" i="28" s="1"/>
  <c r="J480" i="18"/>
  <c r="H482" i="28" s="1"/>
  <c r="J481" i="18"/>
  <c r="H483" i="28" s="1"/>
  <c r="J482" i="18"/>
  <c r="H484" i="28" s="1"/>
  <c r="J483" i="18"/>
  <c r="H485" i="28" s="1"/>
  <c r="J484" i="18"/>
  <c r="H486" i="28" s="1"/>
  <c r="J485" i="18"/>
  <c r="J486" i="18"/>
  <c r="H488" i="28" s="1"/>
  <c r="J487" i="18"/>
  <c r="H489" i="28" s="1"/>
  <c r="J488" i="18"/>
  <c r="H490" i="28" s="1"/>
  <c r="J489" i="18"/>
  <c r="H491" i="28" s="1"/>
  <c r="J490" i="18"/>
  <c r="H492" i="28" s="1"/>
  <c r="J491" i="18"/>
  <c r="H493" i="28" s="1"/>
  <c r="J492" i="18"/>
  <c r="H494" i="28" s="1"/>
  <c r="J493" i="18"/>
  <c r="H495" i="28" s="1"/>
  <c r="J494" i="18"/>
  <c r="H496" i="28" s="1"/>
  <c r="J495" i="18"/>
  <c r="H497" i="28" s="1"/>
  <c r="J496" i="18"/>
  <c r="H498" i="28" s="1"/>
  <c r="J497" i="18"/>
  <c r="H499" i="28" s="1"/>
  <c r="J498" i="18"/>
  <c r="H500" i="28" s="1"/>
  <c r="J499" i="18"/>
  <c r="H501" i="28" s="1"/>
  <c r="J500" i="18"/>
  <c r="J501" i="18"/>
  <c r="H503" i="28" s="1"/>
  <c r="J502" i="18"/>
  <c r="H504" i="28" s="1"/>
  <c r="J503" i="18"/>
  <c r="H505" i="28" s="1"/>
  <c r="J504" i="18"/>
  <c r="H506" i="28" s="1"/>
  <c r="J505" i="18"/>
  <c r="H507" i="28" s="1"/>
  <c r="J506" i="18"/>
  <c r="H508" i="28" s="1"/>
  <c r="J507" i="18"/>
  <c r="H509" i="28" s="1"/>
  <c r="J508" i="18"/>
  <c r="H510" i="28" s="1"/>
  <c r="J509" i="18"/>
  <c r="H511" i="28" s="1"/>
  <c r="J510" i="18"/>
  <c r="H512" i="28" s="1"/>
  <c r="J511" i="18"/>
  <c r="H513" i="28" s="1"/>
  <c r="J512" i="18"/>
  <c r="H514" i="28" s="1"/>
  <c r="J513" i="18"/>
  <c r="H515" i="28" s="1"/>
  <c r="J514" i="18"/>
  <c r="H516" i="28" s="1"/>
  <c r="J515" i="18"/>
  <c r="J516" i="18"/>
  <c r="H518" i="28" s="1"/>
  <c r="J517" i="18"/>
  <c r="H519" i="28" s="1"/>
  <c r="J518" i="18"/>
  <c r="H520" i="28" s="1"/>
  <c r="J519" i="18"/>
  <c r="H521" i="28" s="1"/>
  <c r="J520" i="18"/>
  <c r="H522" i="28" s="1"/>
  <c r="J521" i="18"/>
  <c r="H523" i="28" s="1"/>
  <c r="J522" i="18"/>
  <c r="H524" i="28" s="1"/>
  <c r="J523" i="18"/>
  <c r="H525" i="28" s="1"/>
  <c r="J524" i="18"/>
  <c r="H526" i="28" s="1"/>
  <c r="J525" i="18"/>
  <c r="H527" i="28" s="1"/>
  <c r="J526" i="18"/>
  <c r="H528" i="28" s="1"/>
  <c r="J527" i="18"/>
  <c r="H529" i="28" s="1"/>
  <c r="J528" i="18"/>
  <c r="H530" i="28" s="1"/>
  <c r="J529" i="18"/>
  <c r="H531" i="28" s="1"/>
  <c r="J530" i="18"/>
  <c r="J531" i="18"/>
  <c r="H533" i="28" s="1"/>
  <c r="J532" i="18"/>
  <c r="H534" i="28" s="1"/>
  <c r="J533" i="18"/>
  <c r="H535" i="28" s="1"/>
  <c r="J534" i="18"/>
  <c r="H536" i="28" s="1"/>
  <c r="J535" i="18"/>
  <c r="H537" i="28" s="1"/>
  <c r="J536" i="18"/>
  <c r="H538" i="28" s="1"/>
  <c r="J537" i="18"/>
  <c r="H539" i="28" s="1"/>
  <c r="J538" i="18"/>
  <c r="H540" i="28" s="1"/>
  <c r="J539" i="18"/>
  <c r="H541" i="28" s="1"/>
  <c r="J540" i="18"/>
  <c r="H542" i="28" s="1"/>
  <c r="J541" i="18"/>
  <c r="H543" i="28" s="1"/>
  <c r="J542" i="18"/>
  <c r="H544" i="28" s="1"/>
  <c r="J543" i="18"/>
  <c r="H545" i="28" s="1"/>
  <c r="J544" i="18"/>
  <c r="H546" i="28" s="1"/>
  <c r="J545" i="18"/>
  <c r="J546" i="18"/>
  <c r="H548" i="28" s="1"/>
  <c r="J547" i="18"/>
  <c r="H549" i="28" s="1"/>
  <c r="J548" i="18"/>
  <c r="H550" i="28" s="1"/>
  <c r="J549" i="18"/>
  <c r="H551" i="28" s="1"/>
  <c r="J550" i="18"/>
  <c r="H552" i="28" s="1"/>
  <c r="J551" i="18"/>
  <c r="H553" i="28" s="1"/>
  <c r="J552" i="18"/>
  <c r="H554" i="28" s="1"/>
  <c r="J553" i="18"/>
  <c r="H555" i="28" s="1"/>
  <c r="J554" i="18"/>
  <c r="H556" i="28" s="1"/>
  <c r="J555" i="18"/>
  <c r="H557" i="28" s="1"/>
  <c r="J556" i="18"/>
  <c r="H558" i="28" s="1"/>
  <c r="J557" i="18"/>
  <c r="H559" i="28" s="1"/>
  <c r="J558" i="18"/>
  <c r="H560" i="28" s="1"/>
  <c r="J559" i="18"/>
  <c r="H561" i="28" s="1"/>
  <c r="J560" i="18"/>
  <c r="J561" i="18"/>
  <c r="H563" i="28" s="1"/>
  <c r="J562" i="18"/>
  <c r="H564" i="28" s="1"/>
  <c r="J563" i="18"/>
  <c r="H565" i="28" s="1"/>
  <c r="J564" i="18"/>
  <c r="H566" i="28" s="1"/>
  <c r="J565" i="18"/>
  <c r="H567" i="28" s="1"/>
  <c r="J566" i="18"/>
  <c r="H568" i="28" s="1"/>
  <c r="J567" i="18"/>
  <c r="H569" i="28" s="1"/>
  <c r="J568" i="18"/>
  <c r="H570" i="28" s="1"/>
  <c r="J569" i="18"/>
  <c r="H571" i="28" s="1"/>
  <c r="J570" i="18"/>
  <c r="H572" i="28" s="1"/>
  <c r="J571" i="18"/>
  <c r="H573" i="28" s="1"/>
  <c r="J572" i="18"/>
  <c r="H574" i="28" s="1"/>
  <c r="J573" i="18"/>
  <c r="H575" i="28" s="1"/>
  <c r="J574" i="18"/>
  <c r="H576" i="28" s="1"/>
  <c r="J575" i="18"/>
  <c r="J576" i="18"/>
  <c r="H578" i="28" s="1"/>
  <c r="J577" i="18"/>
  <c r="H579" i="28" s="1"/>
  <c r="J578" i="18"/>
  <c r="H580" i="28" s="1"/>
  <c r="J579" i="18"/>
  <c r="H581" i="28" s="1"/>
  <c r="J580" i="18"/>
  <c r="H582" i="28" s="1"/>
  <c r="J581" i="18"/>
  <c r="H583" i="28" s="1"/>
  <c r="J582" i="18"/>
  <c r="H584" i="28" s="1"/>
  <c r="J583" i="18"/>
  <c r="H585" i="28" s="1"/>
  <c r="J584" i="18"/>
  <c r="H586" i="28" s="1"/>
  <c r="J585" i="18"/>
  <c r="H587" i="28" s="1"/>
  <c r="J586" i="18"/>
  <c r="H588" i="28" s="1"/>
  <c r="J587" i="18"/>
  <c r="H589" i="28" s="1"/>
  <c r="J588" i="18"/>
  <c r="H590" i="28" s="1"/>
  <c r="J589" i="18"/>
  <c r="H591" i="28" s="1"/>
  <c r="J590" i="18"/>
  <c r="J591" i="18"/>
  <c r="H593" i="28" s="1"/>
  <c r="J592" i="18"/>
  <c r="H594" i="28" s="1"/>
  <c r="J593" i="18"/>
  <c r="H595" i="28" s="1"/>
  <c r="J594" i="18"/>
  <c r="H596" i="28" s="1"/>
  <c r="J595" i="18"/>
  <c r="H597" i="28" s="1"/>
  <c r="J596" i="18"/>
  <c r="H598" i="28" s="1"/>
  <c r="J597" i="18"/>
  <c r="H599" i="28" s="1"/>
  <c r="J598" i="18"/>
  <c r="H600" i="28" s="1"/>
  <c r="J599" i="18"/>
  <c r="H601" i="28" s="1"/>
  <c r="J600" i="18"/>
  <c r="H602" i="28" s="1"/>
  <c r="J601" i="18"/>
  <c r="H603" i="28" s="1"/>
  <c r="J602" i="18"/>
  <c r="H604" i="28" s="1"/>
  <c r="J603" i="18"/>
  <c r="H605" i="28" s="1"/>
  <c r="J604" i="18"/>
  <c r="H606" i="28" s="1"/>
  <c r="J605" i="18"/>
  <c r="J606" i="18"/>
  <c r="H608" i="28" s="1"/>
  <c r="J607" i="18"/>
  <c r="H609" i="28" s="1"/>
  <c r="J608" i="18"/>
  <c r="H610" i="28" s="1"/>
  <c r="J609" i="18"/>
  <c r="H611" i="28" s="1"/>
  <c r="J610" i="18"/>
  <c r="H612" i="28" s="1"/>
  <c r="J611" i="18"/>
  <c r="H613" i="28" s="1"/>
  <c r="J612" i="18"/>
  <c r="H614" i="28" s="1"/>
  <c r="J613" i="18"/>
  <c r="H615" i="28" s="1"/>
  <c r="J614" i="18"/>
  <c r="H616" i="28" s="1"/>
  <c r="J615" i="18"/>
  <c r="H617" i="28" s="1"/>
  <c r="J616" i="18"/>
  <c r="H618" i="28" s="1"/>
  <c r="J617" i="18"/>
  <c r="H619" i="28" s="1"/>
  <c r="J618" i="18"/>
  <c r="H620" i="28" s="1"/>
  <c r="J619" i="18"/>
  <c r="H621" i="28" s="1"/>
  <c r="J620" i="18"/>
  <c r="J621" i="18"/>
  <c r="H623" i="28" s="1"/>
  <c r="J622" i="18"/>
  <c r="H624" i="28" s="1"/>
  <c r="J623" i="18"/>
  <c r="H625" i="28" s="1"/>
  <c r="J624" i="18"/>
  <c r="H626" i="28" s="1"/>
  <c r="J625" i="18"/>
  <c r="H627" i="28" s="1"/>
  <c r="J626" i="18"/>
  <c r="H628" i="28" s="1"/>
  <c r="J627" i="18"/>
  <c r="H629" i="28" s="1"/>
  <c r="J628" i="18"/>
  <c r="H630" i="28" s="1"/>
  <c r="J629" i="18"/>
  <c r="H631" i="28" s="1"/>
  <c r="J630" i="18"/>
  <c r="H632" i="28" s="1"/>
  <c r="J631" i="18"/>
  <c r="H633" i="28" s="1"/>
  <c r="J632" i="18"/>
  <c r="H634" i="28" s="1"/>
  <c r="J633" i="18"/>
  <c r="H635" i="28" s="1"/>
  <c r="J634" i="18"/>
  <c r="H636" i="28" s="1"/>
  <c r="J635" i="18"/>
  <c r="J636" i="18"/>
  <c r="H638" i="28" s="1"/>
  <c r="J637" i="18"/>
  <c r="H639" i="28" s="1"/>
  <c r="J638" i="18"/>
  <c r="H640" i="28" s="1"/>
  <c r="J639" i="18"/>
  <c r="H641" i="28" s="1"/>
  <c r="J640" i="18"/>
  <c r="H642" i="28" s="1"/>
  <c r="J641" i="18"/>
  <c r="H643" i="28" s="1"/>
  <c r="J642" i="18"/>
  <c r="H644" i="28" s="1"/>
  <c r="J643" i="18"/>
  <c r="H645" i="28" s="1"/>
  <c r="J644" i="18"/>
  <c r="H646" i="28" s="1"/>
  <c r="J645" i="18"/>
  <c r="H647" i="28" s="1"/>
  <c r="J646" i="18"/>
  <c r="H648" i="28" s="1"/>
  <c r="J647" i="18"/>
  <c r="H649" i="28" s="1"/>
  <c r="J648" i="18"/>
  <c r="H650" i="28" s="1"/>
  <c r="J649" i="18"/>
  <c r="H651" i="28" s="1"/>
  <c r="J650" i="18"/>
  <c r="J651" i="18"/>
  <c r="H653" i="28" s="1"/>
  <c r="J652" i="18"/>
  <c r="H654" i="28" s="1"/>
  <c r="J653" i="18"/>
  <c r="H655" i="28" s="1"/>
  <c r="J654" i="18"/>
  <c r="H656" i="28" s="1"/>
  <c r="J655" i="18"/>
  <c r="H657" i="28" s="1"/>
  <c r="J656" i="18"/>
  <c r="H658" i="28" s="1"/>
  <c r="J657" i="18"/>
  <c r="H659" i="28" s="1"/>
  <c r="J658" i="18"/>
  <c r="H660" i="28" s="1"/>
  <c r="J659" i="18"/>
  <c r="H661" i="28" s="1"/>
  <c r="J660" i="18"/>
  <c r="H662" i="28" s="1"/>
  <c r="J661" i="18"/>
  <c r="H663" i="28" s="1"/>
  <c r="J662" i="18"/>
  <c r="H664" i="28" s="1"/>
  <c r="J663" i="18"/>
  <c r="H665" i="28" s="1"/>
  <c r="J664" i="18"/>
  <c r="H666" i="28" s="1"/>
  <c r="J665" i="18"/>
  <c r="J666" i="18"/>
  <c r="H668" i="28" s="1"/>
  <c r="J667" i="18"/>
  <c r="H669" i="28" s="1"/>
  <c r="J668" i="18"/>
  <c r="H670" i="28" s="1"/>
  <c r="J669" i="18"/>
  <c r="H671" i="28" s="1"/>
  <c r="J670" i="18"/>
  <c r="H672" i="28" s="1"/>
  <c r="J671" i="18"/>
  <c r="H673" i="28" s="1"/>
  <c r="J672" i="18"/>
  <c r="H674" i="28" s="1"/>
  <c r="J673" i="18"/>
  <c r="H675" i="28" s="1"/>
  <c r="J674" i="18"/>
  <c r="H676" i="28" s="1"/>
  <c r="J675" i="18"/>
  <c r="H677" i="28" s="1"/>
  <c r="J676" i="18"/>
  <c r="H678" i="28" s="1"/>
  <c r="J677" i="18"/>
  <c r="H679" i="28" s="1"/>
  <c r="J678" i="18"/>
  <c r="H680" i="28" s="1"/>
  <c r="J679" i="18"/>
  <c r="H681" i="28" s="1"/>
  <c r="J680" i="18"/>
  <c r="J681" i="18"/>
  <c r="H683" i="28" s="1"/>
  <c r="J682" i="18"/>
  <c r="H684" i="28" s="1"/>
  <c r="J683" i="18"/>
  <c r="H685" i="28" s="1"/>
  <c r="J684" i="18"/>
  <c r="H686" i="28" s="1"/>
  <c r="J685" i="18"/>
  <c r="H687" i="28" s="1"/>
  <c r="J686" i="18"/>
  <c r="H688" i="28" s="1"/>
  <c r="J687" i="18"/>
  <c r="H689" i="28" s="1"/>
  <c r="J688" i="18"/>
  <c r="H690" i="28" s="1"/>
  <c r="J689" i="18"/>
  <c r="H691" i="28" s="1"/>
  <c r="J690" i="18"/>
  <c r="H692" i="28" s="1"/>
  <c r="J691" i="18"/>
  <c r="H693" i="28" s="1"/>
  <c r="J692" i="18"/>
  <c r="H694" i="28" s="1"/>
  <c r="J693" i="18"/>
  <c r="H695" i="28" s="1"/>
  <c r="J694" i="18"/>
  <c r="H696" i="28" s="1"/>
  <c r="J695" i="18"/>
  <c r="J696" i="18"/>
  <c r="H698" i="28" s="1"/>
  <c r="J697" i="18"/>
  <c r="H699" i="28" s="1"/>
  <c r="J698" i="18"/>
  <c r="H700" i="28" s="1"/>
  <c r="J699" i="18"/>
  <c r="H701" i="28" s="1"/>
  <c r="J700" i="18"/>
  <c r="H702" i="28" s="1"/>
  <c r="J701" i="18"/>
  <c r="H703" i="28" s="1"/>
  <c r="J702" i="18"/>
  <c r="H704" i="28" s="1"/>
  <c r="J703" i="18"/>
  <c r="H705" i="28" s="1"/>
  <c r="J704" i="18"/>
  <c r="H706" i="28" s="1"/>
  <c r="J705" i="18"/>
  <c r="H707" i="28" s="1"/>
  <c r="J706" i="18"/>
  <c r="H708" i="28" s="1"/>
  <c r="J707" i="18"/>
  <c r="H709" i="28" s="1"/>
  <c r="J708" i="18"/>
  <c r="H710" i="28" s="1"/>
  <c r="J709" i="18"/>
  <c r="H711" i="28" s="1"/>
  <c r="J710" i="18"/>
  <c r="J711" i="18"/>
  <c r="H713" i="28" s="1"/>
  <c r="J712" i="18"/>
  <c r="H714" i="28" s="1"/>
  <c r="J713" i="18"/>
  <c r="H715" i="28" s="1"/>
  <c r="J714" i="18"/>
  <c r="H716" i="28" s="1"/>
  <c r="J715" i="18"/>
  <c r="H717" i="28" s="1"/>
  <c r="J716" i="18"/>
  <c r="H718" i="28" s="1"/>
  <c r="J717" i="18"/>
  <c r="H719" i="28" s="1"/>
  <c r="J718" i="18"/>
  <c r="H720" i="28" s="1"/>
  <c r="J719" i="18"/>
  <c r="H721" i="28" s="1"/>
  <c r="J720" i="18"/>
  <c r="H722" i="28" s="1"/>
  <c r="J721" i="18"/>
  <c r="H723" i="28" s="1"/>
  <c r="J722" i="18"/>
  <c r="H724" i="28" s="1"/>
  <c r="J723" i="18"/>
  <c r="H725" i="28" s="1"/>
  <c r="J724" i="18"/>
  <c r="H726" i="28" s="1"/>
  <c r="J725" i="18"/>
  <c r="J726" i="18"/>
  <c r="H728" i="28" s="1"/>
  <c r="J727" i="18"/>
  <c r="H729" i="28" s="1"/>
  <c r="J728" i="18"/>
  <c r="H730" i="28" s="1"/>
  <c r="J729" i="18"/>
  <c r="H731" i="28" s="1"/>
  <c r="J730" i="18"/>
  <c r="H732" i="28" s="1"/>
  <c r="J731" i="18"/>
  <c r="H733" i="28" s="1"/>
  <c r="J732" i="18"/>
  <c r="H734" i="28" s="1"/>
  <c r="J733" i="18"/>
  <c r="H735" i="28" s="1"/>
  <c r="J734" i="18"/>
  <c r="H736" i="28" s="1"/>
  <c r="J735" i="18"/>
  <c r="H737" i="28" s="1"/>
  <c r="J736" i="18"/>
  <c r="H738" i="28" s="1"/>
  <c r="J737" i="18"/>
  <c r="H739" i="28" s="1"/>
  <c r="J738" i="18"/>
  <c r="H740" i="28" s="1"/>
  <c r="J739" i="18"/>
  <c r="H741" i="28" s="1"/>
  <c r="J740" i="18"/>
  <c r="J741" i="18"/>
  <c r="H743" i="28" s="1"/>
  <c r="J742" i="18"/>
  <c r="H744" i="28" s="1"/>
  <c r="J743" i="18"/>
  <c r="H745" i="28" s="1"/>
  <c r="J744" i="18"/>
  <c r="H746" i="28" s="1"/>
  <c r="J745" i="18"/>
  <c r="H747" i="28" s="1"/>
  <c r="J746" i="18"/>
  <c r="H748" i="28" s="1"/>
  <c r="J747" i="18"/>
  <c r="H749" i="28" s="1"/>
  <c r="J748" i="18"/>
  <c r="H750" i="28" s="1"/>
  <c r="J749" i="18"/>
  <c r="H751" i="28" s="1"/>
  <c r="J750" i="18"/>
  <c r="H752" i="28" s="1"/>
  <c r="J751" i="18"/>
  <c r="H753" i="28" s="1"/>
  <c r="J752" i="18"/>
  <c r="H754" i="28" s="1"/>
  <c r="J753" i="18"/>
  <c r="H755" i="28" s="1"/>
  <c r="J754" i="18"/>
  <c r="H756" i="28" s="1"/>
  <c r="J755" i="18"/>
  <c r="J756" i="18"/>
  <c r="H758" i="28" s="1"/>
  <c r="J757" i="18"/>
  <c r="H759" i="28" s="1"/>
  <c r="J758" i="18"/>
  <c r="H760" i="28" s="1"/>
  <c r="J759" i="18"/>
  <c r="H761" i="28" s="1"/>
  <c r="J760" i="18"/>
  <c r="H762" i="28" s="1"/>
  <c r="J761" i="18"/>
  <c r="H763" i="28" s="1"/>
  <c r="J762" i="18"/>
  <c r="H764" i="28" s="1"/>
  <c r="J763" i="18"/>
  <c r="H765" i="28" s="1"/>
  <c r="J764" i="18"/>
  <c r="H766" i="28" s="1"/>
  <c r="J765" i="18"/>
  <c r="H767" i="28" s="1"/>
  <c r="J766" i="18"/>
  <c r="H768" i="28" s="1"/>
  <c r="J767" i="18"/>
  <c r="H769" i="28" s="1"/>
  <c r="J768" i="18"/>
  <c r="H770" i="28" s="1"/>
  <c r="J769" i="18"/>
  <c r="H771" i="28" s="1"/>
  <c r="J770" i="18"/>
  <c r="J771" i="18"/>
  <c r="H773" i="28" s="1"/>
  <c r="J772" i="18"/>
  <c r="H774" i="28" s="1"/>
  <c r="J773" i="18"/>
  <c r="H775" i="28" s="1"/>
  <c r="J774" i="18"/>
  <c r="H776" i="28" s="1"/>
  <c r="J775" i="18"/>
  <c r="H777" i="28" s="1"/>
  <c r="J776" i="18"/>
  <c r="H778" i="28" s="1"/>
  <c r="J777" i="18"/>
  <c r="H779" i="28" s="1"/>
  <c r="J778" i="18"/>
  <c r="H780" i="28" s="1"/>
  <c r="J779" i="18"/>
  <c r="H781" i="28" s="1"/>
  <c r="J780" i="18"/>
  <c r="H782" i="28" s="1"/>
  <c r="J781" i="18"/>
  <c r="H783" i="28" s="1"/>
  <c r="J782" i="18"/>
  <c r="H784" i="28" s="1"/>
  <c r="J783" i="18"/>
  <c r="H785" i="28" s="1"/>
  <c r="J784" i="18"/>
  <c r="H786" i="28" s="1"/>
  <c r="J785" i="18"/>
  <c r="J786" i="18"/>
  <c r="H788" i="28" s="1"/>
  <c r="J787" i="18"/>
  <c r="H789" i="28" s="1"/>
  <c r="J788" i="18"/>
  <c r="H790" i="28" s="1"/>
  <c r="J789" i="18"/>
  <c r="H791" i="28" s="1"/>
  <c r="J790" i="18"/>
  <c r="H792" i="28" s="1"/>
  <c r="J791" i="18"/>
  <c r="H793" i="28" s="1"/>
  <c r="J792" i="18"/>
  <c r="H794" i="28" s="1"/>
  <c r="J793" i="18"/>
  <c r="H795" i="28" s="1"/>
  <c r="J794" i="18"/>
  <c r="H796" i="28" s="1"/>
  <c r="J795" i="18"/>
  <c r="H797" i="28" s="1"/>
  <c r="J796" i="18"/>
  <c r="H798" i="28" s="1"/>
  <c r="J797" i="18"/>
  <c r="H799" i="28" s="1"/>
  <c r="J798" i="18"/>
  <c r="H800" i="28" s="1"/>
  <c r="J799" i="18"/>
  <c r="H801" i="28" s="1"/>
  <c r="J800" i="18"/>
  <c r="J801" i="18"/>
  <c r="H803" i="28" s="1"/>
  <c r="J802" i="18"/>
  <c r="H804" i="28" s="1"/>
  <c r="J803" i="18"/>
  <c r="H805" i="28" s="1"/>
  <c r="J804" i="18"/>
  <c r="H806" i="28" s="1"/>
  <c r="J805" i="18"/>
  <c r="H807" i="28" s="1"/>
  <c r="J806" i="18"/>
  <c r="H808" i="28" s="1"/>
  <c r="J807" i="18"/>
  <c r="H809" i="28" s="1"/>
  <c r="J808" i="18"/>
  <c r="H810" i="28" s="1"/>
  <c r="J809" i="18"/>
  <c r="H811" i="28" s="1"/>
  <c r="J810" i="18"/>
  <c r="H812" i="28" s="1"/>
  <c r="J811" i="18"/>
  <c r="H813" i="28" s="1"/>
  <c r="J812" i="18"/>
  <c r="H814" i="28" s="1"/>
  <c r="J813" i="18"/>
  <c r="H815" i="28" s="1"/>
  <c r="J814" i="18"/>
  <c r="H816" i="28" s="1"/>
  <c r="J815" i="18"/>
  <c r="J816" i="18"/>
  <c r="H818" i="28" s="1"/>
  <c r="J817" i="18"/>
  <c r="H819" i="28" s="1"/>
  <c r="J818" i="18"/>
  <c r="H820" i="28" s="1"/>
  <c r="J819" i="18"/>
  <c r="H821" i="28" s="1"/>
  <c r="J820" i="18"/>
  <c r="H822" i="28" s="1"/>
  <c r="J821" i="18"/>
  <c r="H823" i="28" s="1"/>
  <c r="J822" i="18"/>
  <c r="H824" i="28" s="1"/>
  <c r="J823" i="18"/>
  <c r="H825" i="28" s="1"/>
  <c r="J824" i="18"/>
  <c r="H826" i="28" s="1"/>
  <c r="J825" i="18"/>
  <c r="H827" i="28" s="1"/>
  <c r="J826" i="18"/>
  <c r="H828" i="28" s="1"/>
  <c r="J827" i="18"/>
  <c r="H829" i="28" s="1"/>
  <c r="J828" i="18"/>
  <c r="H830" i="28" s="1"/>
  <c r="J829" i="18"/>
  <c r="H831" i="28" s="1"/>
  <c r="J830" i="18"/>
  <c r="J831" i="18"/>
  <c r="H833" i="28" s="1"/>
  <c r="J832" i="18"/>
  <c r="H834" i="28" s="1"/>
  <c r="J833" i="18"/>
  <c r="H835" i="28" s="1"/>
  <c r="J834" i="18"/>
  <c r="H836" i="28" s="1"/>
  <c r="J835" i="18"/>
  <c r="H837" i="28" s="1"/>
  <c r="J836" i="18"/>
  <c r="H838" i="28" s="1"/>
  <c r="J837" i="18"/>
  <c r="H839" i="28" s="1"/>
  <c r="J838" i="18"/>
  <c r="H840" i="28" s="1"/>
  <c r="J839" i="18"/>
  <c r="H841" i="28" s="1"/>
  <c r="J840" i="18"/>
  <c r="H842" i="28" s="1"/>
  <c r="J841" i="18"/>
  <c r="H843" i="28" s="1"/>
  <c r="J842" i="18"/>
  <c r="H844" i="28" s="1"/>
  <c r="J843" i="18"/>
  <c r="H845" i="28" s="1"/>
  <c r="J844" i="18"/>
  <c r="H846" i="28" s="1"/>
  <c r="J845" i="18"/>
  <c r="J846" i="18"/>
  <c r="H848" i="28" s="1"/>
  <c r="J847" i="18"/>
  <c r="H849" i="28" s="1"/>
  <c r="J848" i="18"/>
  <c r="H850" i="28" s="1"/>
  <c r="J849" i="18"/>
  <c r="H851" i="28" s="1"/>
  <c r="J850" i="18"/>
  <c r="H852" i="28" s="1"/>
  <c r="J851" i="18"/>
  <c r="H853" i="28" s="1"/>
  <c r="J852" i="18"/>
  <c r="H854" i="28" s="1"/>
  <c r="J853" i="18"/>
  <c r="H855" i="28" s="1"/>
  <c r="J854" i="18"/>
  <c r="H856" i="28" s="1"/>
  <c r="J855" i="18"/>
  <c r="H857" i="28" s="1"/>
  <c r="J856" i="18"/>
  <c r="H858" i="28" s="1"/>
  <c r="J857" i="18"/>
  <c r="H859" i="28" s="1"/>
  <c r="J858" i="18"/>
  <c r="H860" i="28" s="1"/>
  <c r="J859" i="18"/>
  <c r="H861" i="28" s="1"/>
  <c r="J860" i="18"/>
  <c r="J861" i="18"/>
  <c r="H863" i="28" s="1"/>
  <c r="J862" i="18"/>
  <c r="H864" i="28" s="1"/>
  <c r="J863" i="18"/>
  <c r="H865" i="28" s="1"/>
  <c r="J864" i="18"/>
  <c r="H866" i="28" s="1"/>
  <c r="J865" i="18"/>
  <c r="H867" i="28" s="1"/>
  <c r="J866" i="18"/>
  <c r="H868" i="28" s="1"/>
  <c r="J867" i="18"/>
  <c r="H869" i="28" s="1"/>
  <c r="J868" i="18"/>
  <c r="H870" i="28" s="1"/>
  <c r="J869" i="18"/>
  <c r="H871" i="28" s="1"/>
  <c r="J870" i="18"/>
  <c r="H872" i="28" s="1"/>
  <c r="J871" i="18"/>
  <c r="H873" i="28" s="1"/>
  <c r="J872" i="18"/>
  <c r="H874" i="28" s="1"/>
  <c r="J873" i="18"/>
  <c r="H875" i="28" s="1"/>
  <c r="J874" i="18"/>
  <c r="H876" i="28" s="1"/>
  <c r="J875" i="18"/>
  <c r="J876" i="18"/>
  <c r="H878" i="28" s="1"/>
  <c r="J877" i="18"/>
  <c r="H879" i="28" s="1"/>
  <c r="J878" i="18"/>
  <c r="H880" i="28" s="1"/>
  <c r="J879" i="18"/>
  <c r="H881" i="28" s="1"/>
  <c r="J880" i="18"/>
  <c r="H882" i="28" s="1"/>
  <c r="J881" i="18"/>
  <c r="H883" i="28" s="1"/>
  <c r="J882" i="18"/>
  <c r="H884" i="28" s="1"/>
  <c r="J883" i="18"/>
  <c r="H885" i="28" s="1"/>
  <c r="J884" i="18"/>
  <c r="H886" i="28" s="1"/>
  <c r="J885" i="18"/>
  <c r="H887" i="28" s="1"/>
  <c r="J886" i="18"/>
  <c r="H888" i="28" s="1"/>
  <c r="J887" i="18"/>
  <c r="H889" i="28" s="1"/>
  <c r="J888" i="18"/>
  <c r="H890" i="28" s="1"/>
  <c r="J889" i="18"/>
  <c r="H891" i="28" s="1"/>
  <c r="J890" i="18"/>
  <c r="J891" i="18"/>
  <c r="H893" i="28" s="1"/>
  <c r="J892" i="18"/>
  <c r="H894" i="28" s="1"/>
  <c r="J893" i="18"/>
  <c r="H895" i="28" s="1"/>
  <c r="J894" i="18"/>
  <c r="H896" i="28" s="1"/>
  <c r="J895" i="18"/>
  <c r="H897" i="28" s="1"/>
  <c r="J896" i="18"/>
  <c r="H898" i="28" s="1"/>
  <c r="J897" i="18"/>
  <c r="H899" i="28" s="1"/>
  <c r="J898" i="18"/>
  <c r="H900" i="28" s="1"/>
  <c r="J899" i="18"/>
  <c r="H901" i="28" s="1"/>
  <c r="J900" i="18"/>
  <c r="H902" i="28" s="1"/>
  <c r="J901" i="18"/>
  <c r="H903" i="28" s="1"/>
  <c r="J902" i="18"/>
  <c r="H904" i="28" s="1"/>
  <c r="J903" i="18"/>
  <c r="H905" i="28" s="1"/>
  <c r="J904" i="18"/>
  <c r="H906" i="28" s="1"/>
  <c r="B72" i="19"/>
  <c r="B39" i="19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S72" i="19"/>
  <c r="S73" i="19"/>
  <c r="S74" i="19"/>
  <c r="S75" i="19"/>
  <c r="S76" i="19"/>
  <c r="S77" i="19"/>
  <c r="S78" i="19"/>
  <c r="S79" i="19"/>
  <c r="S80" i="19"/>
  <c r="S81" i="19"/>
  <c r="S82" i="19"/>
  <c r="S83" i="19"/>
  <c r="S84" i="19"/>
  <c r="S85" i="19"/>
  <c r="S86" i="19"/>
  <c r="S87" i="19"/>
  <c r="S88" i="19"/>
  <c r="S89" i="19"/>
  <c r="S90" i="19"/>
  <c r="S91" i="19"/>
  <c r="S92" i="19"/>
  <c r="S93" i="19"/>
  <c r="S94" i="19"/>
  <c r="S95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Y53" i="20"/>
  <c r="Y54" i="20"/>
  <c r="AP54" i="20" s="1"/>
  <c r="Y55" i="20"/>
  <c r="AP55" i="20" s="1"/>
  <c r="Y56" i="20"/>
  <c r="AP56" i="20" s="1"/>
  <c r="Y57" i="20"/>
  <c r="AP57" i="20" s="1"/>
  <c r="AH87" i="20"/>
  <c r="AH86" i="20"/>
  <c r="AH85" i="20"/>
  <c r="AH84" i="20"/>
  <c r="AH83" i="20"/>
  <c r="AH82" i="20"/>
  <c r="AH81" i="20"/>
  <c r="AH80" i="20"/>
  <c r="AH79" i="20"/>
  <c r="AH78" i="20"/>
  <c r="AH77" i="20"/>
  <c r="AH76" i="20"/>
  <c r="AL76" i="20" s="1"/>
  <c r="AH75" i="20"/>
  <c r="AH74" i="20"/>
  <c r="AH73" i="20"/>
  <c r="Y77" i="20"/>
  <c r="AP77" i="20" s="1"/>
  <c r="Y78" i="20"/>
  <c r="AP78" i="20" s="1"/>
  <c r="Y79" i="20"/>
  <c r="AP79" i="20" s="1"/>
  <c r="Y80" i="20"/>
  <c r="AP80" i="20" s="1"/>
  <c r="Y83" i="20"/>
  <c r="AP83" i="20" s="1"/>
  <c r="Y84" i="20"/>
  <c r="AP84" i="20" s="1"/>
  <c r="Y85" i="20"/>
  <c r="AP85" i="20" s="1"/>
  <c r="Y86" i="20"/>
  <c r="AP86" i="20" s="1"/>
  <c r="Y87" i="20"/>
  <c r="AP87" i="20" s="1"/>
  <c r="AP53" i="20" l="1"/>
  <c r="B73" i="19"/>
  <c r="I2" i="5"/>
  <c r="K2" i="5" s="1"/>
  <c r="H12" i="28"/>
  <c r="H11" i="28"/>
  <c r="H205" i="28"/>
  <c r="H204" i="28"/>
  <c r="H203" i="28"/>
  <c r="H847" i="28"/>
  <c r="I58" i="5"/>
  <c r="K58" i="5" s="1"/>
  <c r="H727" i="28"/>
  <c r="I50" i="5"/>
  <c r="K50" i="5" s="1"/>
  <c r="H607" i="28"/>
  <c r="I42" i="5"/>
  <c r="K42" i="5" s="1"/>
  <c r="H487" i="28"/>
  <c r="I34" i="5"/>
  <c r="K34" i="5" s="1"/>
  <c r="H367" i="28"/>
  <c r="I26" i="5"/>
  <c r="K26" i="5" s="1"/>
  <c r="H247" i="28"/>
  <c r="I18" i="5"/>
  <c r="K18" i="5" s="1"/>
  <c r="H127" i="28"/>
  <c r="I10" i="5"/>
  <c r="K10" i="5" s="1"/>
  <c r="H712" i="28"/>
  <c r="I49" i="5"/>
  <c r="K49" i="5" s="1"/>
  <c r="H352" i="28"/>
  <c r="I25" i="5"/>
  <c r="K25" i="5" s="1"/>
  <c r="H232" i="28"/>
  <c r="I17" i="5"/>
  <c r="K17" i="5" s="1"/>
  <c r="H862" i="28"/>
  <c r="I59" i="5"/>
  <c r="K59" i="5" s="1"/>
  <c r="H742" i="28"/>
  <c r="I51" i="5"/>
  <c r="K51" i="5" s="1"/>
  <c r="H622" i="28"/>
  <c r="I43" i="5"/>
  <c r="K43" i="5" s="1"/>
  <c r="H502" i="28"/>
  <c r="I35" i="5"/>
  <c r="K35" i="5" s="1"/>
  <c r="H382" i="28"/>
  <c r="I27" i="5"/>
  <c r="K27" i="5" s="1"/>
  <c r="H262" i="28"/>
  <c r="I19" i="5"/>
  <c r="K19" i="5" s="1"/>
  <c r="H142" i="28"/>
  <c r="I11" i="5"/>
  <c r="K11" i="5" s="1"/>
  <c r="H22" i="28"/>
  <c r="I3" i="5"/>
  <c r="K3" i="5" s="1"/>
  <c r="H517" i="28"/>
  <c r="I36" i="5"/>
  <c r="K36" i="5" s="1"/>
  <c r="H397" i="28"/>
  <c r="I28" i="5"/>
  <c r="K28" i="5" s="1"/>
  <c r="H277" i="28"/>
  <c r="I20" i="5"/>
  <c r="K20" i="5" s="1"/>
  <c r="H157" i="28"/>
  <c r="I12" i="5"/>
  <c r="K12" i="5" s="1"/>
  <c r="H37" i="28"/>
  <c r="I4" i="5"/>
  <c r="K4" i="5" s="1"/>
  <c r="H592" i="28"/>
  <c r="I41" i="5"/>
  <c r="K41" i="5" s="1"/>
  <c r="H472" i="28"/>
  <c r="I33" i="5"/>
  <c r="K33" i="5" s="1"/>
  <c r="H112" i="28"/>
  <c r="I9" i="5"/>
  <c r="K9" i="5" s="1"/>
  <c r="H892" i="28"/>
  <c r="I61" i="5"/>
  <c r="K61" i="5" s="1"/>
  <c r="H772" i="28"/>
  <c r="I53" i="5"/>
  <c r="K53" i="5" s="1"/>
  <c r="H652" i="28"/>
  <c r="I45" i="5"/>
  <c r="K45" i="5" s="1"/>
  <c r="H532" i="28"/>
  <c r="I37" i="5"/>
  <c r="K37" i="5" s="1"/>
  <c r="H412" i="28"/>
  <c r="I29" i="5"/>
  <c r="K29" i="5" s="1"/>
  <c r="H292" i="28"/>
  <c r="I21" i="5"/>
  <c r="K21" i="5" s="1"/>
  <c r="H172" i="28"/>
  <c r="I13" i="5"/>
  <c r="K13" i="5" s="1"/>
  <c r="H52" i="28"/>
  <c r="I5" i="5"/>
  <c r="K5" i="5" s="1"/>
  <c r="H832" i="28"/>
  <c r="I57" i="5"/>
  <c r="K57" i="5" s="1"/>
  <c r="H787" i="28"/>
  <c r="I54" i="5"/>
  <c r="K54" i="5" s="1"/>
  <c r="H667" i="28"/>
  <c r="I46" i="5"/>
  <c r="K46" i="5" s="1"/>
  <c r="H547" i="28"/>
  <c r="I38" i="5"/>
  <c r="K38" i="5" s="1"/>
  <c r="H427" i="28"/>
  <c r="I30" i="5"/>
  <c r="K30" i="5" s="1"/>
  <c r="H307" i="28"/>
  <c r="I22" i="5"/>
  <c r="K22" i="5" s="1"/>
  <c r="H187" i="28"/>
  <c r="I14" i="5"/>
  <c r="K14" i="5" s="1"/>
  <c r="H67" i="28"/>
  <c r="I6" i="5"/>
  <c r="K6" i="5" s="1"/>
  <c r="H877" i="28"/>
  <c r="I60" i="5"/>
  <c r="K60" i="5" s="1"/>
  <c r="H802" i="28"/>
  <c r="I55" i="5"/>
  <c r="K55" i="5" s="1"/>
  <c r="H682" i="28"/>
  <c r="I47" i="5"/>
  <c r="K47" i="5" s="1"/>
  <c r="H562" i="28"/>
  <c r="I39" i="5"/>
  <c r="K39" i="5" s="1"/>
  <c r="H442" i="28"/>
  <c r="I31" i="5"/>
  <c r="K31" i="5" s="1"/>
  <c r="H322" i="28"/>
  <c r="I23" i="5"/>
  <c r="K23" i="5" s="1"/>
  <c r="H202" i="28"/>
  <c r="I15" i="5"/>
  <c r="H82" i="28"/>
  <c r="I7" i="5"/>
  <c r="K7" i="5" s="1"/>
  <c r="H757" i="28"/>
  <c r="I52" i="5"/>
  <c r="K52" i="5" s="1"/>
  <c r="H637" i="28"/>
  <c r="I44" i="5"/>
  <c r="K44" i="5" s="1"/>
  <c r="H817" i="28"/>
  <c r="I56" i="5"/>
  <c r="K56" i="5" s="1"/>
  <c r="H697" i="28"/>
  <c r="I48" i="5"/>
  <c r="K48" i="5" s="1"/>
  <c r="H577" i="28"/>
  <c r="I40" i="5"/>
  <c r="K40" i="5" s="1"/>
  <c r="H457" i="28"/>
  <c r="I32" i="5"/>
  <c r="K32" i="5" s="1"/>
  <c r="H337" i="28"/>
  <c r="I24" i="5"/>
  <c r="K24" i="5" s="1"/>
  <c r="H217" i="28"/>
  <c r="I16" i="5"/>
  <c r="K16" i="5" s="1"/>
  <c r="H97" i="28"/>
  <c r="I8" i="5"/>
  <c r="K8" i="5" s="1"/>
  <c r="H9" i="28"/>
  <c r="AD86" i="20"/>
  <c r="AE86" i="20"/>
  <c r="AD83" i="20"/>
  <c r="AE83" i="20"/>
  <c r="AD85" i="20"/>
  <c r="AE85" i="20"/>
  <c r="AD84" i="20"/>
  <c r="AE84" i="20"/>
  <c r="AD82" i="20"/>
  <c r="AE82" i="20"/>
  <c r="AE80" i="20"/>
  <c r="AD80" i="20"/>
  <c r="AD54" i="20"/>
  <c r="AD79" i="20"/>
  <c r="AE79" i="20"/>
  <c r="AD87" i="20"/>
  <c r="AE87" i="20"/>
  <c r="AD78" i="20"/>
  <c r="AE78" i="20"/>
  <c r="H8" i="28"/>
  <c r="L6" i="18"/>
  <c r="J8" i="28" s="1"/>
  <c r="AA87" i="20"/>
  <c r="AF87" i="20"/>
  <c r="Z87" i="20"/>
  <c r="AL87" i="20"/>
  <c r="AJ87" i="20"/>
  <c r="AI87" i="20"/>
  <c r="AK87" i="20"/>
  <c r="Z86" i="20"/>
  <c r="AA86" i="20"/>
  <c r="AF86" i="20"/>
  <c r="AA77" i="20"/>
  <c r="Z77" i="20"/>
  <c r="Z85" i="20"/>
  <c r="AA85" i="20"/>
  <c r="AF85" i="20"/>
  <c r="AL73" i="20"/>
  <c r="AI73" i="20"/>
  <c r="AJ73" i="20"/>
  <c r="AK73" i="20"/>
  <c r="AA84" i="20"/>
  <c r="Z84" i="20"/>
  <c r="AF84" i="20"/>
  <c r="AK82" i="20"/>
  <c r="AL82" i="20"/>
  <c r="AI82" i="20"/>
  <c r="AJ82" i="20"/>
  <c r="AF83" i="20"/>
  <c r="AA83" i="20"/>
  <c r="Z83" i="20"/>
  <c r="AJ75" i="20"/>
  <c r="AK75" i="20"/>
  <c r="AI75" i="20"/>
  <c r="AL75" i="20"/>
  <c r="AK83" i="20"/>
  <c r="AL83" i="20"/>
  <c r="AJ83" i="20"/>
  <c r="AI83" i="20"/>
  <c r="AA82" i="20"/>
  <c r="Z82" i="20"/>
  <c r="AF82" i="20"/>
  <c r="AK76" i="20"/>
  <c r="AJ76" i="20"/>
  <c r="AI76" i="20"/>
  <c r="AI84" i="20"/>
  <c r="AK84" i="20"/>
  <c r="AL84" i="20"/>
  <c r="AJ84" i="20"/>
  <c r="AJ77" i="20"/>
  <c r="AK77" i="20"/>
  <c r="AL77" i="20"/>
  <c r="AI77" i="20"/>
  <c r="AI85" i="20"/>
  <c r="AL85" i="20"/>
  <c r="AJ85" i="20"/>
  <c r="AK85" i="20"/>
  <c r="AA73" i="20"/>
  <c r="Z73" i="20"/>
  <c r="AJ86" i="20"/>
  <c r="AK86" i="20"/>
  <c r="AI86" i="20"/>
  <c r="AL86" i="20"/>
  <c r="AF79" i="20"/>
  <c r="Z79" i="20"/>
  <c r="AA79" i="20"/>
  <c r="AF78" i="20"/>
  <c r="AA78" i="20"/>
  <c r="Z78" i="20"/>
  <c r="AJ81" i="20"/>
  <c r="AI81" i="20"/>
  <c r="AK81" i="20"/>
  <c r="AL81" i="20"/>
  <c r="AK80" i="20"/>
  <c r="AJ80" i="20"/>
  <c r="AI80" i="20"/>
  <c r="AL80" i="20"/>
  <c r="AI78" i="20"/>
  <c r="AJ78" i="20"/>
  <c r="AK78" i="20"/>
  <c r="AL78" i="20"/>
  <c r="AK79" i="20"/>
  <c r="AJ79" i="20"/>
  <c r="AI79" i="20"/>
  <c r="AL79" i="20"/>
  <c r="Z80" i="20"/>
  <c r="AF80" i="20"/>
  <c r="AA80" i="20"/>
  <c r="AL74" i="20"/>
  <c r="AK74" i="20"/>
  <c r="AJ74" i="20"/>
  <c r="AI74" i="20"/>
  <c r="U108" i="19"/>
  <c r="U106" i="19"/>
  <c r="U105" i="19"/>
  <c r="U110" i="19"/>
  <c r="U109" i="19"/>
  <c r="V104" i="19"/>
  <c r="V111" i="19" s="1"/>
  <c r="AU108" i="19"/>
  <c r="AU106" i="19"/>
  <c r="AU110" i="19"/>
  <c r="AU105" i="19"/>
  <c r="AU109" i="19"/>
  <c r="L838" i="18"/>
  <c r="J840" i="28" s="1"/>
  <c r="M838" i="18"/>
  <c r="L879" i="18"/>
  <c r="J881" i="28" s="1"/>
  <c r="M879" i="18"/>
  <c r="L855" i="18"/>
  <c r="J857" i="28" s="1"/>
  <c r="M855" i="18"/>
  <c r="L839" i="18"/>
  <c r="J841" i="28" s="1"/>
  <c r="M839" i="18"/>
  <c r="L815" i="18"/>
  <c r="J817" i="28" s="1"/>
  <c r="M815" i="18"/>
  <c r="L783" i="18"/>
  <c r="J785" i="28" s="1"/>
  <c r="M783" i="18"/>
  <c r="L759" i="18"/>
  <c r="J761" i="28" s="1"/>
  <c r="M759" i="18"/>
  <c r="L735" i="18"/>
  <c r="J737" i="28" s="1"/>
  <c r="M735" i="18"/>
  <c r="L719" i="18"/>
  <c r="J721" i="28" s="1"/>
  <c r="M719" i="18"/>
  <c r="L695" i="18"/>
  <c r="J697" i="28" s="1"/>
  <c r="M695" i="18"/>
  <c r="L671" i="18"/>
  <c r="J673" i="28" s="1"/>
  <c r="M671" i="18"/>
  <c r="L647" i="18"/>
  <c r="J649" i="28" s="1"/>
  <c r="M647" i="18"/>
  <c r="L631" i="18"/>
  <c r="J633" i="28" s="1"/>
  <c r="M631" i="18"/>
  <c r="L615" i="18"/>
  <c r="J617" i="28" s="1"/>
  <c r="M615" i="18"/>
  <c r="L599" i="18"/>
  <c r="J601" i="28" s="1"/>
  <c r="M599" i="18"/>
  <c r="L575" i="18"/>
  <c r="J577" i="28" s="1"/>
  <c r="M575" i="18"/>
  <c r="L543" i="18"/>
  <c r="J545" i="28" s="1"/>
  <c r="M543" i="18"/>
  <c r="L503" i="18"/>
  <c r="J505" i="28" s="1"/>
  <c r="M503" i="18"/>
  <c r="L215" i="18"/>
  <c r="J217" i="28" s="1"/>
  <c r="M215" i="18"/>
  <c r="L902" i="18"/>
  <c r="J904" i="28" s="1"/>
  <c r="M902" i="18"/>
  <c r="L846" i="18"/>
  <c r="J848" i="28" s="1"/>
  <c r="M846" i="18"/>
  <c r="L898" i="18"/>
  <c r="J900" i="28" s="1"/>
  <c r="M898" i="18"/>
  <c r="L890" i="18"/>
  <c r="J892" i="28" s="1"/>
  <c r="M890" i="18"/>
  <c r="L882" i="18"/>
  <c r="J884" i="28" s="1"/>
  <c r="M882" i="18"/>
  <c r="L874" i="18"/>
  <c r="J876" i="28" s="1"/>
  <c r="M874" i="18"/>
  <c r="L866" i="18"/>
  <c r="J868" i="28" s="1"/>
  <c r="M866" i="18"/>
  <c r="L858" i="18"/>
  <c r="J860" i="28" s="1"/>
  <c r="M858" i="18"/>
  <c r="L850" i="18"/>
  <c r="J852" i="28" s="1"/>
  <c r="M850" i="18"/>
  <c r="L842" i="18"/>
  <c r="J844" i="28" s="1"/>
  <c r="M842" i="18"/>
  <c r="L834" i="18"/>
  <c r="J836" i="28" s="1"/>
  <c r="M834" i="18"/>
  <c r="L826" i="18"/>
  <c r="J828" i="28" s="1"/>
  <c r="M826" i="18"/>
  <c r="L818" i="18"/>
  <c r="J820" i="28" s="1"/>
  <c r="M818" i="18"/>
  <c r="L810" i="18"/>
  <c r="J812" i="28" s="1"/>
  <c r="M810" i="18"/>
  <c r="L802" i="18"/>
  <c r="J804" i="28" s="1"/>
  <c r="M802" i="18"/>
  <c r="L794" i="18"/>
  <c r="J796" i="28" s="1"/>
  <c r="M794" i="18"/>
  <c r="L786" i="18"/>
  <c r="J788" i="28" s="1"/>
  <c r="M786" i="18"/>
  <c r="L778" i="18"/>
  <c r="J780" i="28" s="1"/>
  <c r="M778" i="18"/>
  <c r="L770" i="18"/>
  <c r="J772" i="28" s="1"/>
  <c r="M770" i="18"/>
  <c r="L762" i="18"/>
  <c r="J764" i="28" s="1"/>
  <c r="M762" i="18"/>
  <c r="L754" i="18"/>
  <c r="J756" i="28" s="1"/>
  <c r="M754" i="18"/>
  <c r="L746" i="18"/>
  <c r="J748" i="28" s="1"/>
  <c r="M746" i="18"/>
  <c r="L738" i="18"/>
  <c r="J740" i="28" s="1"/>
  <c r="M738" i="18"/>
  <c r="L730" i="18"/>
  <c r="J732" i="28" s="1"/>
  <c r="M730" i="18"/>
  <c r="L722" i="18"/>
  <c r="J724" i="28" s="1"/>
  <c r="M722" i="18"/>
  <c r="L714" i="18"/>
  <c r="J716" i="28" s="1"/>
  <c r="M714" i="18"/>
  <c r="L706" i="18"/>
  <c r="J708" i="28" s="1"/>
  <c r="M706" i="18"/>
  <c r="L698" i="18"/>
  <c r="J700" i="28" s="1"/>
  <c r="M698" i="18"/>
  <c r="L690" i="18"/>
  <c r="J692" i="28" s="1"/>
  <c r="M690" i="18"/>
  <c r="L682" i="18"/>
  <c r="J684" i="28" s="1"/>
  <c r="M682" i="18"/>
  <c r="L674" i="18"/>
  <c r="J676" i="28" s="1"/>
  <c r="M674" i="18"/>
  <c r="L666" i="18"/>
  <c r="J668" i="28" s="1"/>
  <c r="M666" i="18"/>
  <c r="L658" i="18"/>
  <c r="J660" i="28" s="1"/>
  <c r="M658" i="18"/>
  <c r="L650" i="18"/>
  <c r="J652" i="28" s="1"/>
  <c r="M650" i="18"/>
  <c r="L642" i="18"/>
  <c r="J644" i="28" s="1"/>
  <c r="M642" i="18"/>
  <c r="L634" i="18"/>
  <c r="J636" i="28" s="1"/>
  <c r="M634" i="18"/>
  <c r="L626" i="18"/>
  <c r="J628" i="28" s="1"/>
  <c r="M626" i="18"/>
  <c r="L618" i="18"/>
  <c r="J620" i="28" s="1"/>
  <c r="M618" i="18"/>
  <c r="L610" i="18"/>
  <c r="J612" i="28" s="1"/>
  <c r="M610" i="18"/>
  <c r="L602" i="18"/>
  <c r="J604" i="28" s="1"/>
  <c r="M602" i="18"/>
  <c r="L594" i="18"/>
  <c r="J596" i="28" s="1"/>
  <c r="M594" i="18"/>
  <c r="L586" i="18"/>
  <c r="J588" i="28" s="1"/>
  <c r="M586" i="18"/>
  <c r="L578" i="18"/>
  <c r="J580" i="28" s="1"/>
  <c r="M578" i="18"/>
  <c r="L570" i="18"/>
  <c r="J572" i="28" s="1"/>
  <c r="M570" i="18"/>
  <c r="L562" i="18"/>
  <c r="J564" i="28" s="1"/>
  <c r="M562" i="18"/>
  <c r="L554" i="18"/>
  <c r="J556" i="28" s="1"/>
  <c r="M554" i="18"/>
  <c r="L546" i="18"/>
  <c r="J548" i="28" s="1"/>
  <c r="M546" i="18"/>
  <c r="L538" i="18"/>
  <c r="J540" i="28" s="1"/>
  <c r="M538" i="18"/>
  <c r="L530" i="18"/>
  <c r="J532" i="28" s="1"/>
  <c r="M530" i="18"/>
  <c r="L522" i="18"/>
  <c r="J524" i="28" s="1"/>
  <c r="M522" i="18"/>
  <c r="L514" i="18"/>
  <c r="J516" i="28" s="1"/>
  <c r="M514" i="18"/>
  <c r="L506" i="18"/>
  <c r="J508" i="28" s="1"/>
  <c r="M506" i="18"/>
  <c r="L498" i="18"/>
  <c r="J500" i="28" s="1"/>
  <c r="M498" i="18"/>
  <c r="L490" i="18"/>
  <c r="J492" i="28" s="1"/>
  <c r="M490" i="18"/>
  <c r="L482" i="18"/>
  <c r="J484" i="28" s="1"/>
  <c r="M482" i="18"/>
  <c r="L474" i="18"/>
  <c r="J476" i="28" s="1"/>
  <c r="M474" i="18"/>
  <c r="L466" i="18"/>
  <c r="J468" i="28" s="1"/>
  <c r="M466" i="18"/>
  <c r="L458" i="18"/>
  <c r="J460" i="28" s="1"/>
  <c r="M458" i="18"/>
  <c r="L450" i="18"/>
  <c r="J452" i="28" s="1"/>
  <c r="M450" i="18"/>
  <c r="L442" i="18"/>
  <c r="J444" i="28" s="1"/>
  <c r="M442" i="18"/>
  <c r="L434" i="18"/>
  <c r="J436" i="28" s="1"/>
  <c r="M434" i="18"/>
  <c r="L426" i="18"/>
  <c r="J428" i="28" s="1"/>
  <c r="M426" i="18"/>
  <c r="L418" i="18"/>
  <c r="J420" i="28" s="1"/>
  <c r="M418" i="18"/>
  <c r="L410" i="18"/>
  <c r="J412" i="28" s="1"/>
  <c r="M410" i="18"/>
  <c r="L402" i="18"/>
  <c r="J404" i="28" s="1"/>
  <c r="M402" i="18"/>
  <c r="L394" i="18"/>
  <c r="J396" i="28" s="1"/>
  <c r="M394" i="18"/>
  <c r="L386" i="18"/>
  <c r="J388" i="28" s="1"/>
  <c r="M386" i="18"/>
  <c r="L378" i="18"/>
  <c r="J380" i="28" s="1"/>
  <c r="M378" i="18"/>
  <c r="L370" i="18"/>
  <c r="J372" i="28" s="1"/>
  <c r="M370" i="18"/>
  <c r="L362" i="18"/>
  <c r="J364" i="28" s="1"/>
  <c r="M362" i="18"/>
  <c r="L354" i="18"/>
  <c r="J356" i="28" s="1"/>
  <c r="M354" i="18"/>
  <c r="L346" i="18"/>
  <c r="J348" i="28" s="1"/>
  <c r="M346" i="18"/>
  <c r="L338" i="18"/>
  <c r="J340" i="28" s="1"/>
  <c r="M338" i="18"/>
  <c r="L330" i="18"/>
  <c r="J332" i="28" s="1"/>
  <c r="M330" i="18"/>
  <c r="L322" i="18"/>
  <c r="J324" i="28" s="1"/>
  <c r="M322" i="18"/>
  <c r="L314" i="18"/>
  <c r="J316" i="28" s="1"/>
  <c r="M314" i="18"/>
  <c r="L306" i="18"/>
  <c r="J308" i="28" s="1"/>
  <c r="M306" i="18"/>
  <c r="L298" i="18"/>
  <c r="J300" i="28" s="1"/>
  <c r="M298" i="18"/>
  <c r="L290" i="18"/>
  <c r="J292" i="28" s="1"/>
  <c r="M290" i="18"/>
  <c r="L282" i="18"/>
  <c r="J284" i="28" s="1"/>
  <c r="M282" i="18"/>
  <c r="L274" i="18"/>
  <c r="J276" i="28" s="1"/>
  <c r="M274" i="18"/>
  <c r="L266" i="18"/>
  <c r="J268" i="28" s="1"/>
  <c r="M266" i="18"/>
  <c r="L258" i="18"/>
  <c r="J260" i="28" s="1"/>
  <c r="M258" i="18"/>
  <c r="L250" i="18"/>
  <c r="J252" i="28" s="1"/>
  <c r="M250" i="18"/>
  <c r="L242" i="18"/>
  <c r="J244" i="28" s="1"/>
  <c r="M242" i="18"/>
  <c r="L234" i="18"/>
  <c r="J236" i="28" s="1"/>
  <c r="M234" i="18"/>
  <c r="L226" i="18"/>
  <c r="J228" i="28" s="1"/>
  <c r="M226" i="18"/>
  <c r="L218" i="18"/>
  <c r="J220" i="28" s="1"/>
  <c r="M218" i="18"/>
  <c r="L210" i="18"/>
  <c r="J212" i="28" s="1"/>
  <c r="M210" i="18"/>
  <c r="L202" i="18"/>
  <c r="J204" i="28" s="1"/>
  <c r="M202" i="18"/>
  <c r="L194" i="18"/>
  <c r="J196" i="28" s="1"/>
  <c r="M194" i="18"/>
  <c r="L186" i="18"/>
  <c r="J188" i="28" s="1"/>
  <c r="M186" i="18"/>
  <c r="L178" i="18"/>
  <c r="J180" i="28" s="1"/>
  <c r="M178" i="18"/>
  <c r="L170" i="18"/>
  <c r="J172" i="28" s="1"/>
  <c r="M170" i="18"/>
  <c r="L162" i="18"/>
  <c r="J164" i="28" s="1"/>
  <c r="M162" i="18"/>
  <c r="L154" i="18"/>
  <c r="J156" i="28" s="1"/>
  <c r="M154" i="18"/>
  <c r="L146" i="18"/>
  <c r="J148" i="28" s="1"/>
  <c r="M146" i="18"/>
  <c r="L138" i="18"/>
  <c r="J140" i="28" s="1"/>
  <c r="M138" i="18"/>
  <c r="L130" i="18"/>
  <c r="J132" i="28" s="1"/>
  <c r="M130" i="18"/>
  <c r="L122" i="18"/>
  <c r="J124" i="28" s="1"/>
  <c r="M122" i="18"/>
  <c r="L114" i="18"/>
  <c r="J116" i="28" s="1"/>
  <c r="M114" i="18"/>
  <c r="L106" i="18"/>
  <c r="J108" i="28" s="1"/>
  <c r="M106" i="18"/>
  <c r="L98" i="18"/>
  <c r="J100" i="28" s="1"/>
  <c r="M98" i="18"/>
  <c r="L90" i="18"/>
  <c r="J92" i="28" s="1"/>
  <c r="M90" i="18"/>
  <c r="L82" i="18"/>
  <c r="J84" i="28" s="1"/>
  <c r="M82" i="18"/>
  <c r="L74" i="18"/>
  <c r="J76" i="28" s="1"/>
  <c r="M74" i="18"/>
  <c r="L66" i="18"/>
  <c r="J68" i="28" s="1"/>
  <c r="M66" i="18"/>
  <c r="L58" i="18"/>
  <c r="J60" i="28" s="1"/>
  <c r="M58" i="18"/>
  <c r="L50" i="18"/>
  <c r="J52" i="28" s="1"/>
  <c r="M50" i="18"/>
  <c r="L42" i="18"/>
  <c r="J44" i="28" s="1"/>
  <c r="M42" i="18"/>
  <c r="L34" i="18"/>
  <c r="J36" i="28" s="1"/>
  <c r="M34" i="18"/>
  <c r="L26" i="18"/>
  <c r="J28" i="28" s="1"/>
  <c r="M26" i="18"/>
  <c r="L18" i="18"/>
  <c r="J20" i="28" s="1"/>
  <c r="M18" i="18"/>
  <c r="L10" i="18"/>
  <c r="J12" i="28" s="1"/>
  <c r="M10" i="18"/>
  <c r="L5" i="18"/>
  <c r="J7" i="28" s="1"/>
  <c r="M5" i="18"/>
  <c r="L897" i="18"/>
  <c r="J899" i="28" s="1"/>
  <c r="M897" i="18"/>
  <c r="L889" i="18"/>
  <c r="J891" i="28" s="1"/>
  <c r="M889" i="18"/>
  <c r="L881" i="18"/>
  <c r="J883" i="28" s="1"/>
  <c r="M881" i="18"/>
  <c r="L873" i="18"/>
  <c r="J875" i="28" s="1"/>
  <c r="M873" i="18"/>
  <c r="L865" i="18"/>
  <c r="J867" i="28" s="1"/>
  <c r="M865" i="18"/>
  <c r="L857" i="18"/>
  <c r="J859" i="28" s="1"/>
  <c r="M857" i="18"/>
  <c r="L849" i="18"/>
  <c r="J851" i="28" s="1"/>
  <c r="M849" i="18"/>
  <c r="L841" i="18"/>
  <c r="J843" i="28" s="1"/>
  <c r="M841" i="18"/>
  <c r="L833" i="18"/>
  <c r="J835" i="28" s="1"/>
  <c r="M833" i="18"/>
  <c r="L825" i="18"/>
  <c r="J827" i="28" s="1"/>
  <c r="M825" i="18"/>
  <c r="L817" i="18"/>
  <c r="J819" i="28" s="1"/>
  <c r="M817" i="18"/>
  <c r="L809" i="18"/>
  <c r="J811" i="28" s="1"/>
  <c r="M809" i="18"/>
  <c r="L801" i="18"/>
  <c r="J803" i="28" s="1"/>
  <c r="M801" i="18"/>
  <c r="L793" i="18"/>
  <c r="J795" i="28" s="1"/>
  <c r="M793" i="18"/>
  <c r="L785" i="18"/>
  <c r="J787" i="28" s="1"/>
  <c r="M785" i="18"/>
  <c r="L777" i="18"/>
  <c r="J779" i="28" s="1"/>
  <c r="M777" i="18"/>
  <c r="L769" i="18"/>
  <c r="J771" i="28" s="1"/>
  <c r="M769" i="18"/>
  <c r="L761" i="18"/>
  <c r="J763" i="28" s="1"/>
  <c r="M761" i="18"/>
  <c r="L753" i="18"/>
  <c r="J755" i="28" s="1"/>
  <c r="M753" i="18"/>
  <c r="L745" i="18"/>
  <c r="J747" i="28" s="1"/>
  <c r="M745" i="18"/>
  <c r="L737" i="18"/>
  <c r="J739" i="28" s="1"/>
  <c r="M737" i="18"/>
  <c r="L729" i="18"/>
  <c r="J731" i="28" s="1"/>
  <c r="M729" i="18"/>
  <c r="L721" i="18"/>
  <c r="J723" i="28" s="1"/>
  <c r="M721" i="18"/>
  <c r="L713" i="18"/>
  <c r="J715" i="28" s="1"/>
  <c r="M713" i="18"/>
  <c r="L705" i="18"/>
  <c r="J707" i="28" s="1"/>
  <c r="M705" i="18"/>
  <c r="L697" i="18"/>
  <c r="J699" i="28" s="1"/>
  <c r="M697" i="18"/>
  <c r="L689" i="18"/>
  <c r="J691" i="28" s="1"/>
  <c r="M689" i="18"/>
  <c r="L681" i="18"/>
  <c r="J683" i="28" s="1"/>
  <c r="M681" i="18"/>
  <c r="L673" i="18"/>
  <c r="J675" i="28" s="1"/>
  <c r="M673" i="18"/>
  <c r="L665" i="18"/>
  <c r="J667" i="28" s="1"/>
  <c r="M665" i="18"/>
  <c r="L657" i="18"/>
  <c r="J659" i="28" s="1"/>
  <c r="M657" i="18"/>
  <c r="L649" i="18"/>
  <c r="J651" i="28" s="1"/>
  <c r="M649" i="18"/>
  <c r="L641" i="18"/>
  <c r="J643" i="28" s="1"/>
  <c r="M641" i="18"/>
  <c r="L633" i="18"/>
  <c r="J635" i="28" s="1"/>
  <c r="M633" i="18"/>
  <c r="L625" i="18"/>
  <c r="J627" i="28" s="1"/>
  <c r="M625" i="18"/>
  <c r="L617" i="18"/>
  <c r="J619" i="28" s="1"/>
  <c r="M617" i="18"/>
  <c r="L609" i="18"/>
  <c r="J611" i="28" s="1"/>
  <c r="M609" i="18"/>
  <c r="L601" i="18"/>
  <c r="J603" i="28" s="1"/>
  <c r="M601" i="18"/>
  <c r="L593" i="18"/>
  <c r="J595" i="28" s="1"/>
  <c r="M593" i="18"/>
  <c r="L585" i="18"/>
  <c r="J587" i="28" s="1"/>
  <c r="M585" i="18"/>
  <c r="L577" i="18"/>
  <c r="J579" i="28" s="1"/>
  <c r="M577" i="18"/>
  <c r="L569" i="18"/>
  <c r="J571" i="28" s="1"/>
  <c r="M569" i="18"/>
  <c r="L561" i="18"/>
  <c r="J563" i="28" s="1"/>
  <c r="M561" i="18"/>
  <c r="L553" i="18"/>
  <c r="J555" i="28" s="1"/>
  <c r="M553" i="18"/>
  <c r="L545" i="18"/>
  <c r="J547" i="28" s="1"/>
  <c r="M545" i="18"/>
  <c r="L537" i="18"/>
  <c r="J539" i="28" s="1"/>
  <c r="M537" i="18"/>
  <c r="L529" i="18"/>
  <c r="J531" i="28" s="1"/>
  <c r="M529" i="18"/>
  <c r="L521" i="18"/>
  <c r="J523" i="28" s="1"/>
  <c r="M521" i="18"/>
  <c r="L513" i="18"/>
  <c r="J515" i="28" s="1"/>
  <c r="M513" i="18"/>
  <c r="L505" i="18"/>
  <c r="J507" i="28" s="1"/>
  <c r="M505" i="18"/>
  <c r="L497" i="18"/>
  <c r="J499" i="28" s="1"/>
  <c r="M497" i="18"/>
  <c r="L489" i="18"/>
  <c r="J491" i="28" s="1"/>
  <c r="M489" i="18"/>
  <c r="L481" i="18"/>
  <c r="J483" i="28" s="1"/>
  <c r="M481" i="18"/>
  <c r="L473" i="18"/>
  <c r="J475" i="28" s="1"/>
  <c r="M473" i="18"/>
  <c r="L465" i="18"/>
  <c r="J467" i="28" s="1"/>
  <c r="M465" i="18"/>
  <c r="L457" i="18"/>
  <c r="J459" i="28" s="1"/>
  <c r="M457" i="18"/>
  <c r="L449" i="18"/>
  <c r="J451" i="28" s="1"/>
  <c r="M449" i="18"/>
  <c r="L441" i="18"/>
  <c r="J443" i="28" s="1"/>
  <c r="M441" i="18"/>
  <c r="L433" i="18"/>
  <c r="J435" i="28" s="1"/>
  <c r="M433" i="18"/>
  <c r="L425" i="18"/>
  <c r="J427" i="28" s="1"/>
  <c r="M425" i="18"/>
  <c r="L417" i="18"/>
  <c r="J419" i="28" s="1"/>
  <c r="M417" i="18"/>
  <c r="L409" i="18"/>
  <c r="J411" i="28" s="1"/>
  <c r="M409" i="18"/>
  <c r="L401" i="18"/>
  <c r="J403" i="28" s="1"/>
  <c r="M401" i="18"/>
  <c r="L393" i="18"/>
  <c r="J395" i="28" s="1"/>
  <c r="M393" i="18"/>
  <c r="L385" i="18"/>
  <c r="J387" i="28" s="1"/>
  <c r="M385" i="18"/>
  <c r="L377" i="18"/>
  <c r="J379" i="28" s="1"/>
  <c r="M377" i="18"/>
  <c r="L369" i="18"/>
  <c r="J371" i="28" s="1"/>
  <c r="M369" i="18"/>
  <c r="L361" i="18"/>
  <c r="J363" i="28" s="1"/>
  <c r="M361" i="18"/>
  <c r="L353" i="18"/>
  <c r="J355" i="28" s="1"/>
  <c r="M353" i="18"/>
  <c r="L345" i="18"/>
  <c r="J347" i="28" s="1"/>
  <c r="M345" i="18"/>
  <c r="L337" i="18"/>
  <c r="J339" i="28" s="1"/>
  <c r="M337" i="18"/>
  <c r="L329" i="18"/>
  <c r="J331" i="28" s="1"/>
  <c r="M329" i="18"/>
  <c r="L321" i="18"/>
  <c r="J323" i="28" s="1"/>
  <c r="M321" i="18"/>
  <c r="L313" i="18"/>
  <c r="J315" i="28" s="1"/>
  <c r="M313" i="18"/>
  <c r="L305" i="18"/>
  <c r="J307" i="28" s="1"/>
  <c r="M305" i="18"/>
  <c r="L297" i="18"/>
  <c r="J299" i="28" s="1"/>
  <c r="M297" i="18"/>
  <c r="L289" i="18"/>
  <c r="J291" i="28" s="1"/>
  <c r="M289" i="18"/>
  <c r="L281" i="18"/>
  <c r="J283" i="28" s="1"/>
  <c r="M281" i="18"/>
  <c r="L273" i="18"/>
  <c r="J275" i="28" s="1"/>
  <c r="M273" i="18"/>
  <c r="L265" i="18"/>
  <c r="J267" i="28" s="1"/>
  <c r="M265" i="18"/>
  <c r="L257" i="18"/>
  <c r="J259" i="28" s="1"/>
  <c r="M257" i="18"/>
  <c r="L249" i="18"/>
  <c r="J251" i="28" s="1"/>
  <c r="M249" i="18"/>
  <c r="L241" i="18"/>
  <c r="J243" i="28" s="1"/>
  <c r="M241" i="18"/>
  <c r="L233" i="18"/>
  <c r="J235" i="28" s="1"/>
  <c r="M233" i="18"/>
  <c r="L225" i="18"/>
  <c r="J227" i="28" s="1"/>
  <c r="M225" i="18"/>
  <c r="L217" i="18"/>
  <c r="J219" i="28" s="1"/>
  <c r="M217" i="18"/>
  <c r="L209" i="18"/>
  <c r="J211" i="28" s="1"/>
  <c r="M209" i="18"/>
  <c r="L201" i="18"/>
  <c r="J203" i="28" s="1"/>
  <c r="M201" i="18"/>
  <c r="L193" i="18"/>
  <c r="J195" i="28" s="1"/>
  <c r="M193" i="18"/>
  <c r="L185" i="18"/>
  <c r="J187" i="28" s="1"/>
  <c r="M185" i="18"/>
  <c r="L177" i="18"/>
  <c r="J179" i="28" s="1"/>
  <c r="M177" i="18"/>
  <c r="L169" i="18"/>
  <c r="J171" i="28" s="1"/>
  <c r="M169" i="18"/>
  <c r="L161" i="18"/>
  <c r="J163" i="28" s="1"/>
  <c r="M161" i="18"/>
  <c r="L153" i="18"/>
  <c r="J155" i="28" s="1"/>
  <c r="M153" i="18"/>
  <c r="L145" i="18"/>
  <c r="J147" i="28" s="1"/>
  <c r="M145" i="18"/>
  <c r="L137" i="18"/>
  <c r="J139" i="28" s="1"/>
  <c r="M137" i="18"/>
  <c r="L129" i="18"/>
  <c r="J131" i="28" s="1"/>
  <c r="M129" i="18"/>
  <c r="L121" i="18"/>
  <c r="J123" i="28" s="1"/>
  <c r="M121" i="18"/>
  <c r="L113" i="18"/>
  <c r="J115" i="28" s="1"/>
  <c r="M113" i="18"/>
  <c r="L105" i="18"/>
  <c r="J107" i="28" s="1"/>
  <c r="M105" i="18"/>
  <c r="L97" i="18"/>
  <c r="J99" i="28" s="1"/>
  <c r="M97" i="18"/>
  <c r="L89" i="18"/>
  <c r="J91" i="28" s="1"/>
  <c r="M89" i="18"/>
  <c r="L81" i="18"/>
  <c r="J83" i="28" s="1"/>
  <c r="M81" i="18"/>
  <c r="L73" i="18"/>
  <c r="J75" i="28" s="1"/>
  <c r="M73" i="18"/>
  <c r="L65" i="18"/>
  <c r="J67" i="28" s="1"/>
  <c r="M65" i="18"/>
  <c r="L57" i="18"/>
  <c r="J59" i="28" s="1"/>
  <c r="M57" i="18"/>
  <c r="L49" i="18"/>
  <c r="J51" i="28" s="1"/>
  <c r="M49" i="18"/>
  <c r="L41" i="18"/>
  <c r="J43" i="28" s="1"/>
  <c r="M41" i="18"/>
  <c r="L33" i="18"/>
  <c r="J35" i="28" s="1"/>
  <c r="M33" i="18"/>
  <c r="L25" i="18"/>
  <c r="J27" i="28" s="1"/>
  <c r="M25" i="18"/>
  <c r="L17" i="18"/>
  <c r="J19" i="28" s="1"/>
  <c r="M17" i="18"/>
  <c r="L9" i="18"/>
  <c r="J11" i="28" s="1"/>
  <c r="M9" i="18"/>
  <c r="L904" i="18"/>
  <c r="J906" i="28" s="1"/>
  <c r="M904" i="18"/>
  <c r="L896" i="18"/>
  <c r="J898" i="28" s="1"/>
  <c r="M896" i="18"/>
  <c r="L888" i="18"/>
  <c r="J890" i="28" s="1"/>
  <c r="M888" i="18"/>
  <c r="L880" i="18"/>
  <c r="J882" i="28" s="1"/>
  <c r="M880" i="18"/>
  <c r="L872" i="18"/>
  <c r="J874" i="28" s="1"/>
  <c r="M872" i="18"/>
  <c r="L864" i="18"/>
  <c r="J866" i="28" s="1"/>
  <c r="M864" i="18"/>
  <c r="L856" i="18"/>
  <c r="J858" i="28" s="1"/>
  <c r="M856" i="18"/>
  <c r="L848" i="18"/>
  <c r="J850" i="28" s="1"/>
  <c r="M848" i="18"/>
  <c r="L840" i="18"/>
  <c r="J842" i="28" s="1"/>
  <c r="M840" i="18"/>
  <c r="L832" i="18"/>
  <c r="J834" i="28" s="1"/>
  <c r="M832" i="18"/>
  <c r="L824" i="18"/>
  <c r="J826" i="28" s="1"/>
  <c r="M824" i="18"/>
  <c r="L816" i="18"/>
  <c r="J818" i="28" s="1"/>
  <c r="M816" i="18"/>
  <c r="L808" i="18"/>
  <c r="J810" i="28" s="1"/>
  <c r="M808" i="18"/>
  <c r="L800" i="18"/>
  <c r="J802" i="28" s="1"/>
  <c r="M800" i="18"/>
  <c r="L792" i="18"/>
  <c r="J794" i="28" s="1"/>
  <c r="M792" i="18"/>
  <c r="L784" i="18"/>
  <c r="J786" i="28" s="1"/>
  <c r="M784" i="18"/>
  <c r="L776" i="18"/>
  <c r="J778" i="28" s="1"/>
  <c r="M776" i="18"/>
  <c r="L768" i="18"/>
  <c r="J770" i="28" s="1"/>
  <c r="M768" i="18"/>
  <c r="L760" i="18"/>
  <c r="J762" i="28" s="1"/>
  <c r="M760" i="18"/>
  <c r="L752" i="18"/>
  <c r="J754" i="28" s="1"/>
  <c r="M752" i="18"/>
  <c r="L744" i="18"/>
  <c r="J746" i="28" s="1"/>
  <c r="M744" i="18"/>
  <c r="L736" i="18"/>
  <c r="J738" i="28" s="1"/>
  <c r="M736" i="18"/>
  <c r="L728" i="18"/>
  <c r="J730" i="28" s="1"/>
  <c r="M728" i="18"/>
  <c r="L720" i="18"/>
  <c r="J722" i="28" s="1"/>
  <c r="M720" i="18"/>
  <c r="L712" i="18"/>
  <c r="J714" i="28" s="1"/>
  <c r="M712" i="18"/>
  <c r="L704" i="18"/>
  <c r="J706" i="28" s="1"/>
  <c r="M704" i="18"/>
  <c r="L696" i="18"/>
  <c r="J698" i="28" s="1"/>
  <c r="M696" i="18"/>
  <c r="L688" i="18"/>
  <c r="J690" i="28" s="1"/>
  <c r="M688" i="18"/>
  <c r="L680" i="18"/>
  <c r="J682" i="28" s="1"/>
  <c r="M680" i="18"/>
  <c r="L672" i="18"/>
  <c r="J674" i="28" s="1"/>
  <c r="M672" i="18"/>
  <c r="L664" i="18"/>
  <c r="J666" i="28" s="1"/>
  <c r="M664" i="18"/>
  <c r="L656" i="18"/>
  <c r="J658" i="28" s="1"/>
  <c r="M656" i="18"/>
  <c r="L648" i="18"/>
  <c r="J650" i="28" s="1"/>
  <c r="M648" i="18"/>
  <c r="L640" i="18"/>
  <c r="J642" i="28" s="1"/>
  <c r="M640" i="18"/>
  <c r="L632" i="18"/>
  <c r="J634" i="28" s="1"/>
  <c r="M632" i="18"/>
  <c r="L624" i="18"/>
  <c r="J626" i="28" s="1"/>
  <c r="M624" i="18"/>
  <c r="L616" i="18"/>
  <c r="J618" i="28" s="1"/>
  <c r="M616" i="18"/>
  <c r="L608" i="18"/>
  <c r="J610" i="28" s="1"/>
  <c r="M608" i="18"/>
  <c r="L600" i="18"/>
  <c r="J602" i="28" s="1"/>
  <c r="M600" i="18"/>
  <c r="L592" i="18"/>
  <c r="J594" i="28" s="1"/>
  <c r="M592" i="18"/>
  <c r="L584" i="18"/>
  <c r="J586" i="28" s="1"/>
  <c r="M584" i="18"/>
  <c r="L576" i="18"/>
  <c r="J578" i="28" s="1"/>
  <c r="M576" i="18"/>
  <c r="L568" i="18"/>
  <c r="J570" i="28" s="1"/>
  <c r="M568" i="18"/>
  <c r="L560" i="18"/>
  <c r="J562" i="28" s="1"/>
  <c r="M560" i="18"/>
  <c r="L552" i="18"/>
  <c r="J554" i="28" s="1"/>
  <c r="M552" i="18"/>
  <c r="L544" i="18"/>
  <c r="J546" i="28" s="1"/>
  <c r="M544" i="18"/>
  <c r="L536" i="18"/>
  <c r="J538" i="28" s="1"/>
  <c r="M536" i="18"/>
  <c r="L528" i="18"/>
  <c r="J530" i="28" s="1"/>
  <c r="M528" i="18"/>
  <c r="L520" i="18"/>
  <c r="J522" i="28" s="1"/>
  <c r="M520" i="18"/>
  <c r="L512" i="18"/>
  <c r="J514" i="28" s="1"/>
  <c r="M512" i="18"/>
  <c r="L504" i="18"/>
  <c r="J506" i="28" s="1"/>
  <c r="M504" i="18"/>
  <c r="L496" i="18"/>
  <c r="J498" i="28" s="1"/>
  <c r="M496" i="18"/>
  <c r="L488" i="18"/>
  <c r="J490" i="28" s="1"/>
  <c r="M488" i="18"/>
  <c r="L480" i="18"/>
  <c r="J482" i="28" s="1"/>
  <c r="M480" i="18"/>
  <c r="L472" i="18"/>
  <c r="J474" i="28" s="1"/>
  <c r="M472" i="18"/>
  <c r="L464" i="18"/>
  <c r="J466" i="28" s="1"/>
  <c r="M464" i="18"/>
  <c r="L456" i="18"/>
  <c r="J458" i="28" s="1"/>
  <c r="M456" i="18"/>
  <c r="L448" i="18"/>
  <c r="J450" i="28" s="1"/>
  <c r="M448" i="18"/>
  <c r="L440" i="18"/>
  <c r="J442" i="28" s="1"/>
  <c r="M440" i="18"/>
  <c r="L432" i="18"/>
  <c r="J434" i="28" s="1"/>
  <c r="M432" i="18"/>
  <c r="L424" i="18"/>
  <c r="J426" i="28" s="1"/>
  <c r="M424" i="18"/>
  <c r="L416" i="18"/>
  <c r="J418" i="28" s="1"/>
  <c r="M416" i="18"/>
  <c r="L408" i="18"/>
  <c r="J410" i="28" s="1"/>
  <c r="M408" i="18"/>
  <c r="L400" i="18"/>
  <c r="J402" i="28" s="1"/>
  <c r="M400" i="18"/>
  <c r="L392" i="18"/>
  <c r="J394" i="28" s="1"/>
  <c r="M392" i="18"/>
  <c r="L384" i="18"/>
  <c r="J386" i="28" s="1"/>
  <c r="M384" i="18"/>
  <c r="L376" i="18"/>
  <c r="J378" i="28" s="1"/>
  <c r="M376" i="18"/>
  <c r="L368" i="18"/>
  <c r="J370" i="28" s="1"/>
  <c r="M368" i="18"/>
  <c r="L360" i="18"/>
  <c r="J362" i="28" s="1"/>
  <c r="M360" i="18"/>
  <c r="L352" i="18"/>
  <c r="J354" i="28" s="1"/>
  <c r="M352" i="18"/>
  <c r="L344" i="18"/>
  <c r="J346" i="28" s="1"/>
  <c r="M344" i="18"/>
  <c r="L336" i="18"/>
  <c r="J338" i="28" s="1"/>
  <c r="M336" i="18"/>
  <c r="L328" i="18"/>
  <c r="J330" i="28" s="1"/>
  <c r="M328" i="18"/>
  <c r="L320" i="18"/>
  <c r="J322" i="28" s="1"/>
  <c r="M320" i="18"/>
  <c r="L312" i="18"/>
  <c r="J314" i="28" s="1"/>
  <c r="M312" i="18"/>
  <c r="L304" i="18"/>
  <c r="J306" i="28" s="1"/>
  <c r="M304" i="18"/>
  <c r="L296" i="18"/>
  <c r="J298" i="28" s="1"/>
  <c r="M296" i="18"/>
  <c r="L288" i="18"/>
  <c r="J290" i="28" s="1"/>
  <c r="M288" i="18"/>
  <c r="L280" i="18"/>
  <c r="J282" i="28" s="1"/>
  <c r="M280" i="18"/>
  <c r="L272" i="18"/>
  <c r="J274" i="28" s="1"/>
  <c r="M272" i="18"/>
  <c r="L264" i="18"/>
  <c r="J266" i="28" s="1"/>
  <c r="M264" i="18"/>
  <c r="L256" i="18"/>
  <c r="J258" i="28" s="1"/>
  <c r="M256" i="18"/>
  <c r="L248" i="18"/>
  <c r="J250" i="28" s="1"/>
  <c r="M248" i="18"/>
  <c r="L240" i="18"/>
  <c r="J242" i="28" s="1"/>
  <c r="M240" i="18"/>
  <c r="L232" i="18"/>
  <c r="J234" i="28" s="1"/>
  <c r="M232" i="18"/>
  <c r="L224" i="18"/>
  <c r="J226" i="28" s="1"/>
  <c r="M224" i="18"/>
  <c r="L216" i="18"/>
  <c r="J218" i="28" s="1"/>
  <c r="M216" i="18"/>
  <c r="L208" i="18"/>
  <c r="J210" i="28" s="1"/>
  <c r="M208" i="18"/>
  <c r="L200" i="18"/>
  <c r="J202" i="28" s="1"/>
  <c r="M200" i="18"/>
  <c r="L192" i="18"/>
  <c r="J194" i="28" s="1"/>
  <c r="M192" i="18"/>
  <c r="L184" i="18"/>
  <c r="J186" i="28" s="1"/>
  <c r="M184" i="18"/>
  <c r="L176" i="18"/>
  <c r="J178" i="28" s="1"/>
  <c r="M176" i="18"/>
  <c r="L168" i="18"/>
  <c r="J170" i="28" s="1"/>
  <c r="M168" i="18"/>
  <c r="L160" i="18"/>
  <c r="J162" i="28" s="1"/>
  <c r="M160" i="18"/>
  <c r="L152" i="18"/>
  <c r="J154" i="28" s="1"/>
  <c r="M152" i="18"/>
  <c r="L144" i="18"/>
  <c r="J146" i="28" s="1"/>
  <c r="M144" i="18"/>
  <c r="L136" i="18"/>
  <c r="J138" i="28" s="1"/>
  <c r="M136" i="18"/>
  <c r="L128" i="18"/>
  <c r="J130" i="28" s="1"/>
  <c r="M128" i="18"/>
  <c r="L120" i="18"/>
  <c r="J122" i="28" s="1"/>
  <c r="M120" i="18"/>
  <c r="L112" i="18"/>
  <c r="J114" i="28" s="1"/>
  <c r="M112" i="18"/>
  <c r="L104" i="18"/>
  <c r="J106" i="28" s="1"/>
  <c r="M104" i="18"/>
  <c r="L96" i="18"/>
  <c r="J98" i="28" s="1"/>
  <c r="M96" i="18"/>
  <c r="L88" i="18"/>
  <c r="J90" i="28" s="1"/>
  <c r="M88" i="18"/>
  <c r="L80" i="18"/>
  <c r="J82" i="28" s="1"/>
  <c r="M80" i="18"/>
  <c r="L72" i="18"/>
  <c r="J74" i="28" s="1"/>
  <c r="M72" i="18"/>
  <c r="L64" i="18"/>
  <c r="J66" i="28" s="1"/>
  <c r="M64" i="18"/>
  <c r="L56" i="18"/>
  <c r="J58" i="28" s="1"/>
  <c r="M56" i="18"/>
  <c r="L48" i="18"/>
  <c r="J50" i="28" s="1"/>
  <c r="M48" i="18"/>
  <c r="L40" i="18"/>
  <c r="J42" i="28" s="1"/>
  <c r="M40" i="18"/>
  <c r="L32" i="18"/>
  <c r="J34" i="28" s="1"/>
  <c r="M32" i="18"/>
  <c r="L24" i="18"/>
  <c r="J26" i="28" s="1"/>
  <c r="M24" i="18"/>
  <c r="L16" i="18"/>
  <c r="J18" i="28" s="1"/>
  <c r="M16" i="18"/>
  <c r="L8" i="18"/>
  <c r="J10" i="28" s="1"/>
  <c r="M8" i="18"/>
  <c r="L895" i="18"/>
  <c r="J897" i="28" s="1"/>
  <c r="M895" i="18"/>
  <c r="L863" i="18"/>
  <c r="J865" i="28" s="1"/>
  <c r="M863" i="18"/>
  <c r="L831" i="18"/>
  <c r="J833" i="28" s="1"/>
  <c r="M831" i="18"/>
  <c r="L799" i="18"/>
  <c r="J801" i="28" s="1"/>
  <c r="M799" i="18"/>
  <c r="L775" i="18"/>
  <c r="J777" i="28" s="1"/>
  <c r="M775" i="18"/>
  <c r="L743" i="18"/>
  <c r="J745" i="28" s="1"/>
  <c r="M743" i="18"/>
  <c r="L711" i="18"/>
  <c r="J713" i="28" s="1"/>
  <c r="M711" i="18"/>
  <c r="L687" i="18"/>
  <c r="J689" i="28" s="1"/>
  <c r="M687" i="18"/>
  <c r="L655" i="18"/>
  <c r="J657" i="28" s="1"/>
  <c r="M655" i="18"/>
  <c r="L623" i="18"/>
  <c r="J625" i="28" s="1"/>
  <c r="M623" i="18"/>
  <c r="L591" i="18"/>
  <c r="J593" i="28" s="1"/>
  <c r="M591" i="18"/>
  <c r="L567" i="18"/>
  <c r="J569" i="28" s="1"/>
  <c r="M567" i="18"/>
  <c r="L551" i="18"/>
  <c r="J553" i="28" s="1"/>
  <c r="M551" i="18"/>
  <c r="L527" i="18"/>
  <c r="J529" i="28" s="1"/>
  <c r="M527" i="18"/>
  <c r="L519" i="18"/>
  <c r="J521" i="28" s="1"/>
  <c r="M519" i="18"/>
  <c r="L511" i="18"/>
  <c r="J513" i="28" s="1"/>
  <c r="M511" i="18"/>
  <c r="L495" i="18"/>
  <c r="J497" i="28" s="1"/>
  <c r="M495" i="18"/>
  <c r="L479" i="18"/>
  <c r="J481" i="28" s="1"/>
  <c r="M479" i="18"/>
  <c r="L471" i="18"/>
  <c r="J473" i="28" s="1"/>
  <c r="M471" i="18"/>
  <c r="L463" i="18"/>
  <c r="J465" i="28" s="1"/>
  <c r="M463" i="18"/>
  <c r="L455" i="18"/>
  <c r="J457" i="28" s="1"/>
  <c r="M455" i="18"/>
  <c r="L447" i="18"/>
  <c r="J449" i="28" s="1"/>
  <c r="M447" i="18"/>
  <c r="L439" i="18"/>
  <c r="J441" i="28" s="1"/>
  <c r="M439" i="18"/>
  <c r="L431" i="18"/>
  <c r="J433" i="28" s="1"/>
  <c r="M431" i="18"/>
  <c r="L423" i="18"/>
  <c r="J425" i="28" s="1"/>
  <c r="M423" i="18"/>
  <c r="L415" i="18"/>
  <c r="J417" i="28" s="1"/>
  <c r="M415" i="18"/>
  <c r="L407" i="18"/>
  <c r="J409" i="28" s="1"/>
  <c r="M407" i="18"/>
  <c r="L399" i="18"/>
  <c r="J401" i="28" s="1"/>
  <c r="M399" i="18"/>
  <c r="L391" i="18"/>
  <c r="J393" i="28" s="1"/>
  <c r="M391" i="18"/>
  <c r="L383" i="18"/>
  <c r="J385" i="28" s="1"/>
  <c r="M383" i="18"/>
  <c r="L375" i="18"/>
  <c r="J377" i="28" s="1"/>
  <c r="M375" i="18"/>
  <c r="L367" i="18"/>
  <c r="J369" i="28" s="1"/>
  <c r="M367" i="18"/>
  <c r="L359" i="18"/>
  <c r="J361" i="28" s="1"/>
  <c r="M359" i="18"/>
  <c r="L351" i="18"/>
  <c r="J353" i="28" s="1"/>
  <c r="M351" i="18"/>
  <c r="L343" i="18"/>
  <c r="J345" i="28" s="1"/>
  <c r="M343" i="18"/>
  <c r="L335" i="18"/>
  <c r="J337" i="28" s="1"/>
  <c r="M335" i="18"/>
  <c r="L327" i="18"/>
  <c r="J329" i="28" s="1"/>
  <c r="M327" i="18"/>
  <c r="L319" i="18"/>
  <c r="J321" i="28" s="1"/>
  <c r="M319" i="18"/>
  <c r="L311" i="18"/>
  <c r="J313" i="28" s="1"/>
  <c r="M311" i="18"/>
  <c r="L303" i="18"/>
  <c r="J305" i="28" s="1"/>
  <c r="M303" i="18"/>
  <c r="L295" i="18"/>
  <c r="J297" i="28" s="1"/>
  <c r="M295" i="18"/>
  <c r="L287" i="18"/>
  <c r="J289" i="28" s="1"/>
  <c r="M287" i="18"/>
  <c r="L279" i="18"/>
  <c r="J281" i="28" s="1"/>
  <c r="M279" i="18"/>
  <c r="L271" i="18"/>
  <c r="J273" i="28" s="1"/>
  <c r="M271" i="18"/>
  <c r="L263" i="18"/>
  <c r="J265" i="28" s="1"/>
  <c r="M263" i="18"/>
  <c r="L255" i="18"/>
  <c r="J257" i="28" s="1"/>
  <c r="M255" i="18"/>
  <c r="L247" i="18"/>
  <c r="J249" i="28" s="1"/>
  <c r="M247" i="18"/>
  <c r="L239" i="18"/>
  <c r="J241" i="28" s="1"/>
  <c r="M239" i="18"/>
  <c r="L231" i="18"/>
  <c r="J233" i="28" s="1"/>
  <c r="M231" i="18"/>
  <c r="L223" i="18"/>
  <c r="J225" i="28" s="1"/>
  <c r="M223" i="18"/>
  <c r="L199" i="18"/>
  <c r="J201" i="28" s="1"/>
  <c r="M199" i="18"/>
  <c r="L191" i="18"/>
  <c r="J193" i="28" s="1"/>
  <c r="M191" i="18"/>
  <c r="L183" i="18"/>
  <c r="J185" i="28" s="1"/>
  <c r="M183" i="18"/>
  <c r="L175" i="18"/>
  <c r="J177" i="28" s="1"/>
  <c r="M175" i="18"/>
  <c r="L167" i="18"/>
  <c r="J169" i="28" s="1"/>
  <c r="M167" i="18"/>
  <c r="L159" i="18"/>
  <c r="J161" i="28" s="1"/>
  <c r="M159" i="18"/>
  <c r="L151" i="18"/>
  <c r="J153" i="28" s="1"/>
  <c r="M151" i="18"/>
  <c r="L143" i="18"/>
  <c r="J145" i="28" s="1"/>
  <c r="M143" i="18"/>
  <c r="L135" i="18"/>
  <c r="J137" i="28" s="1"/>
  <c r="M135" i="18"/>
  <c r="L127" i="18"/>
  <c r="J129" i="28" s="1"/>
  <c r="M127" i="18"/>
  <c r="L119" i="18"/>
  <c r="J121" i="28" s="1"/>
  <c r="M119" i="18"/>
  <c r="L111" i="18"/>
  <c r="J113" i="28" s="1"/>
  <c r="M111" i="18"/>
  <c r="L103" i="18"/>
  <c r="J105" i="28" s="1"/>
  <c r="M103" i="18"/>
  <c r="L95" i="18"/>
  <c r="J97" i="28" s="1"/>
  <c r="M95" i="18"/>
  <c r="L87" i="18"/>
  <c r="J89" i="28" s="1"/>
  <c r="M87" i="18"/>
  <c r="L79" i="18"/>
  <c r="J81" i="28" s="1"/>
  <c r="M79" i="18"/>
  <c r="L71" i="18"/>
  <c r="J73" i="28" s="1"/>
  <c r="M71" i="18"/>
  <c r="L63" i="18"/>
  <c r="J65" i="28" s="1"/>
  <c r="M63" i="18"/>
  <c r="L55" i="18"/>
  <c r="J57" i="28" s="1"/>
  <c r="M55" i="18"/>
  <c r="L47" i="18"/>
  <c r="J49" i="28" s="1"/>
  <c r="M47" i="18"/>
  <c r="L39" i="18"/>
  <c r="J41" i="28" s="1"/>
  <c r="M39" i="18"/>
  <c r="L31" i="18"/>
  <c r="J33" i="28" s="1"/>
  <c r="M31" i="18"/>
  <c r="L23" i="18"/>
  <c r="J25" i="28" s="1"/>
  <c r="M23" i="18"/>
  <c r="L15" i="18"/>
  <c r="J17" i="28" s="1"/>
  <c r="M15" i="18"/>
  <c r="L7" i="18"/>
  <c r="J9" i="28" s="1"/>
  <c r="M7" i="18"/>
  <c r="L903" i="18"/>
  <c r="J905" i="28" s="1"/>
  <c r="M903" i="18"/>
  <c r="L887" i="18"/>
  <c r="J889" i="28" s="1"/>
  <c r="M887" i="18"/>
  <c r="L871" i="18"/>
  <c r="J873" i="28" s="1"/>
  <c r="M871" i="18"/>
  <c r="L847" i="18"/>
  <c r="J849" i="28" s="1"/>
  <c r="M847" i="18"/>
  <c r="L823" i="18"/>
  <c r="J825" i="28" s="1"/>
  <c r="M823" i="18"/>
  <c r="L807" i="18"/>
  <c r="J809" i="28" s="1"/>
  <c r="M807" i="18"/>
  <c r="L791" i="18"/>
  <c r="J793" i="28" s="1"/>
  <c r="M791" i="18"/>
  <c r="L767" i="18"/>
  <c r="J769" i="28" s="1"/>
  <c r="M767" i="18"/>
  <c r="L751" i="18"/>
  <c r="J753" i="28" s="1"/>
  <c r="M751" i="18"/>
  <c r="L727" i="18"/>
  <c r="J729" i="28" s="1"/>
  <c r="M727" i="18"/>
  <c r="L703" i="18"/>
  <c r="J705" i="28" s="1"/>
  <c r="M703" i="18"/>
  <c r="L679" i="18"/>
  <c r="J681" i="28" s="1"/>
  <c r="M679" i="18"/>
  <c r="L663" i="18"/>
  <c r="J665" i="28" s="1"/>
  <c r="M663" i="18"/>
  <c r="L639" i="18"/>
  <c r="J641" i="28" s="1"/>
  <c r="M639" i="18"/>
  <c r="L607" i="18"/>
  <c r="J609" i="28" s="1"/>
  <c r="M607" i="18"/>
  <c r="L583" i="18"/>
  <c r="J585" i="28" s="1"/>
  <c r="M583" i="18"/>
  <c r="L559" i="18"/>
  <c r="J561" i="28" s="1"/>
  <c r="M559" i="18"/>
  <c r="L535" i="18"/>
  <c r="J537" i="28" s="1"/>
  <c r="M535" i="18"/>
  <c r="L487" i="18"/>
  <c r="J489" i="28" s="1"/>
  <c r="M487" i="18"/>
  <c r="L207" i="18"/>
  <c r="J209" i="28" s="1"/>
  <c r="M207" i="18"/>
  <c r="L894" i="18"/>
  <c r="J896" i="28" s="1"/>
  <c r="M894" i="18"/>
  <c r="L886" i="18"/>
  <c r="J888" i="28" s="1"/>
  <c r="M886" i="18"/>
  <c r="L878" i="18"/>
  <c r="J880" i="28" s="1"/>
  <c r="M878" i="18"/>
  <c r="L870" i="18"/>
  <c r="J872" i="28" s="1"/>
  <c r="M870" i="18"/>
  <c r="L854" i="18"/>
  <c r="J856" i="28" s="1"/>
  <c r="M854" i="18"/>
  <c r="L862" i="18"/>
  <c r="J864" i="28" s="1"/>
  <c r="M862" i="18"/>
  <c r="L822" i="18"/>
  <c r="J824" i="28" s="1"/>
  <c r="M822" i="18"/>
  <c r="L806" i="18"/>
  <c r="J808" i="28" s="1"/>
  <c r="M806" i="18"/>
  <c r="L790" i="18"/>
  <c r="J792" i="28" s="1"/>
  <c r="M790" i="18"/>
  <c r="L774" i="18"/>
  <c r="J776" i="28" s="1"/>
  <c r="M774" i="18"/>
  <c r="L758" i="18"/>
  <c r="J760" i="28" s="1"/>
  <c r="M758" i="18"/>
  <c r="L742" i="18"/>
  <c r="J744" i="28" s="1"/>
  <c r="M742" i="18"/>
  <c r="L726" i="18"/>
  <c r="J728" i="28" s="1"/>
  <c r="M726" i="18"/>
  <c r="L710" i="18"/>
  <c r="J712" i="28" s="1"/>
  <c r="M710" i="18"/>
  <c r="L694" i="18"/>
  <c r="J696" i="28" s="1"/>
  <c r="M694" i="18"/>
  <c r="L678" i="18"/>
  <c r="J680" i="28" s="1"/>
  <c r="M678" i="18"/>
  <c r="L662" i="18"/>
  <c r="J664" i="28" s="1"/>
  <c r="M662" i="18"/>
  <c r="L646" i="18"/>
  <c r="J648" i="28" s="1"/>
  <c r="M646" i="18"/>
  <c r="L622" i="18"/>
  <c r="J624" i="28" s="1"/>
  <c r="M622" i="18"/>
  <c r="L606" i="18"/>
  <c r="J608" i="28" s="1"/>
  <c r="M606" i="18"/>
  <c r="L590" i="18"/>
  <c r="J592" i="28" s="1"/>
  <c r="M590" i="18"/>
  <c r="L574" i="18"/>
  <c r="J576" i="28" s="1"/>
  <c r="M574" i="18"/>
  <c r="L558" i="18"/>
  <c r="J560" i="28" s="1"/>
  <c r="M558" i="18"/>
  <c r="L542" i="18"/>
  <c r="J544" i="28" s="1"/>
  <c r="M542" i="18"/>
  <c r="L526" i="18"/>
  <c r="J528" i="28" s="1"/>
  <c r="M526" i="18"/>
  <c r="L510" i="18"/>
  <c r="J512" i="28" s="1"/>
  <c r="M510" i="18"/>
  <c r="L494" i="18"/>
  <c r="J496" i="28" s="1"/>
  <c r="M494" i="18"/>
  <c r="L470" i="18"/>
  <c r="J472" i="28" s="1"/>
  <c r="M470" i="18"/>
  <c r="L454" i="18"/>
  <c r="J456" i="28" s="1"/>
  <c r="M454" i="18"/>
  <c r="L438" i="18"/>
  <c r="J440" i="28" s="1"/>
  <c r="M438" i="18"/>
  <c r="L422" i="18"/>
  <c r="J424" i="28" s="1"/>
  <c r="M422" i="18"/>
  <c r="L406" i="18"/>
  <c r="J408" i="28" s="1"/>
  <c r="M406" i="18"/>
  <c r="L382" i="18"/>
  <c r="J384" i="28" s="1"/>
  <c r="M382" i="18"/>
  <c r="L366" i="18"/>
  <c r="J368" i="28" s="1"/>
  <c r="M366" i="18"/>
  <c r="L350" i="18"/>
  <c r="J352" i="28" s="1"/>
  <c r="M350" i="18"/>
  <c r="L334" i="18"/>
  <c r="J336" i="28" s="1"/>
  <c r="M334" i="18"/>
  <c r="L318" i="18"/>
  <c r="J320" i="28" s="1"/>
  <c r="M318" i="18"/>
  <c r="L294" i="18"/>
  <c r="J296" i="28" s="1"/>
  <c r="M294" i="18"/>
  <c r="L262" i="18"/>
  <c r="J264" i="28" s="1"/>
  <c r="M262" i="18"/>
  <c r="L206" i="18"/>
  <c r="J208" i="28" s="1"/>
  <c r="M206" i="18"/>
  <c r="L198" i="18"/>
  <c r="J200" i="28" s="1"/>
  <c r="M198" i="18"/>
  <c r="L190" i="18"/>
  <c r="J192" i="28" s="1"/>
  <c r="M190" i="18"/>
  <c r="L182" i="18"/>
  <c r="J184" i="28" s="1"/>
  <c r="M182" i="18"/>
  <c r="L174" i="18"/>
  <c r="J176" i="28" s="1"/>
  <c r="M174" i="18"/>
  <c r="L166" i="18"/>
  <c r="J168" i="28" s="1"/>
  <c r="M166" i="18"/>
  <c r="L158" i="18"/>
  <c r="J160" i="28" s="1"/>
  <c r="M158" i="18"/>
  <c r="L150" i="18"/>
  <c r="J152" i="28" s="1"/>
  <c r="M150" i="18"/>
  <c r="L142" i="18"/>
  <c r="J144" i="28" s="1"/>
  <c r="M142" i="18"/>
  <c r="L134" i="18"/>
  <c r="J136" i="28" s="1"/>
  <c r="M134" i="18"/>
  <c r="L126" i="18"/>
  <c r="J128" i="28" s="1"/>
  <c r="M126" i="18"/>
  <c r="L118" i="18"/>
  <c r="J120" i="28" s="1"/>
  <c r="M118" i="18"/>
  <c r="L110" i="18"/>
  <c r="J112" i="28" s="1"/>
  <c r="M110" i="18"/>
  <c r="L102" i="18"/>
  <c r="J104" i="28" s="1"/>
  <c r="M102" i="18"/>
  <c r="L94" i="18"/>
  <c r="J96" i="28" s="1"/>
  <c r="M94" i="18"/>
  <c r="L86" i="18"/>
  <c r="J88" i="28" s="1"/>
  <c r="M86" i="18"/>
  <c r="L78" i="18"/>
  <c r="J80" i="28" s="1"/>
  <c r="M78" i="18"/>
  <c r="L70" i="18"/>
  <c r="J72" i="28" s="1"/>
  <c r="M70" i="18"/>
  <c r="L62" i="18"/>
  <c r="J64" i="28" s="1"/>
  <c r="M62" i="18"/>
  <c r="L54" i="18"/>
  <c r="J56" i="28" s="1"/>
  <c r="M54" i="18"/>
  <c r="L46" i="18"/>
  <c r="J48" i="28" s="1"/>
  <c r="M46" i="18"/>
  <c r="L38" i="18"/>
  <c r="J40" i="28" s="1"/>
  <c r="M38" i="18"/>
  <c r="L30" i="18"/>
  <c r="J32" i="28" s="1"/>
  <c r="M30" i="18"/>
  <c r="L22" i="18"/>
  <c r="J24" i="28" s="1"/>
  <c r="M22" i="18"/>
  <c r="M6" i="18"/>
  <c r="L893" i="18"/>
  <c r="J895" i="28" s="1"/>
  <c r="M893" i="18"/>
  <c r="L877" i="18"/>
  <c r="J879" i="28" s="1"/>
  <c r="M877" i="18"/>
  <c r="L853" i="18"/>
  <c r="J855" i="28" s="1"/>
  <c r="M853" i="18"/>
  <c r="L837" i="18"/>
  <c r="J839" i="28" s="1"/>
  <c r="M837" i="18"/>
  <c r="L821" i="18"/>
  <c r="J823" i="28" s="1"/>
  <c r="M821" i="18"/>
  <c r="L805" i="18"/>
  <c r="J807" i="28" s="1"/>
  <c r="M805" i="18"/>
  <c r="L789" i="18"/>
  <c r="J791" i="28" s="1"/>
  <c r="M789" i="18"/>
  <c r="L773" i="18"/>
  <c r="J775" i="28" s="1"/>
  <c r="M773" i="18"/>
  <c r="L757" i="18"/>
  <c r="J759" i="28" s="1"/>
  <c r="M757" i="18"/>
  <c r="L733" i="18"/>
  <c r="J735" i="28" s="1"/>
  <c r="M733" i="18"/>
  <c r="L717" i="18"/>
  <c r="J719" i="28" s="1"/>
  <c r="M717" i="18"/>
  <c r="L701" i="18"/>
  <c r="J703" i="28" s="1"/>
  <c r="M701" i="18"/>
  <c r="L685" i="18"/>
  <c r="J687" i="28" s="1"/>
  <c r="M685" i="18"/>
  <c r="L669" i="18"/>
  <c r="J671" i="28" s="1"/>
  <c r="M669" i="18"/>
  <c r="L653" i="18"/>
  <c r="J655" i="28" s="1"/>
  <c r="M653" i="18"/>
  <c r="L637" i="18"/>
  <c r="J639" i="28" s="1"/>
  <c r="M637" i="18"/>
  <c r="L621" i="18"/>
  <c r="J623" i="28" s="1"/>
  <c r="M621" i="18"/>
  <c r="L613" i="18"/>
  <c r="J615" i="28" s="1"/>
  <c r="M613" i="18"/>
  <c r="L597" i="18"/>
  <c r="J599" i="28" s="1"/>
  <c r="M597" i="18"/>
  <c r="L581" i="18"/>
  <c r="J583" i="28" s="1"/>
  <c r="M581" i="18"/>
  <c r="L565" i="18"/>
  <c r="J567" i="28" s="1"/>
  <c r="M565" i="18"/>
  <c r="L549" i="18"/>
  <c r="J551" i="28" s="1"/>
  <c r="M549" i="18"/>
  <c r="L533" i="18"/>
  <c r="J535" i="28" s="1"/>
  <c r="M533" i="18"/>
  <c r="L525" i="18"/>
  <c r="J527" i="28" s="1"/>
  <c r="M525" i="18"/>
  <c r="L509" i="18"/>
  <c r="J511" i="28" s="1"/>
  <c r="M509" i="18"/>
  <c r="L493" i="18"/>
  <c r="J495" i="28" s="1"/>
  <c r="M493" i="18"/>
  <c r="L485" i="18"/>
  <c r="J487" i="28" s="1"/>
  <c r="M485" i="18"/>
  <c r="L477" i="18"/>
  <c r="J479" i="28" s="1"/>
  <c r="M477" i="18"/>
  <c r="L461" i="18"/>
  <c r="J463" i="28" s="1"/>
  <c r="M461" i="18"/>
  <c r="L453" i="18"/>
  <c r="J455" i="28" s="1"/>
  <c r="M453" i="18"/>
  <c r="L445" i="18"/>
  <c r="J447" i="28" s="1"/>
  <c r="M445" i="18"/>
  <c r="L437" i="18"/>
  <c r="J439" i="28" s="1"/>
  <c r="M437" i="18"/>
  <c r="L429" i="18"/>
  <c r="J431" i="28" s="1"/>
  <c r="M429" i="18"/>
  <c r="L421" i="18"/>
  <c r="J423" i="28" s="1"/>
  <c r="M421" i="18"/>
  <c r="L413" i="18"/>
  <c r="J415" i="28" s="1"/>
  <c r="M413" i="18"/>
  <c r="L397" i="18"/>
  <c r="J399" i="28" s="1"/>
  <c r="M397" i="18"/>
  <c r="L389" i="18"/>
  <c r="J391" i="28" s="1"/>
  <c r="M389" i="18"/>
  <c r="L381" i="18"/>
  <c r="J383" i="28" s="1"/>
  <c r="M381" i="18"/>
  <c r="L373" i="18"/>
  <c r="J375" i="28" s="1"/>
  <c r="M373" i="18"/>
  <c r="L365" i="18"/>
  <c r="J367" i="28" s="1"/>
  <c r="M365" i="18"/>
  <c r="L357" i="18"/>
  <c r="J359" i="28" s="1"/>
  <c r="M357" i="18"/>
  <c r="L349" i="18"/>
  <c r="J351" i="28" s="1"/>
  <c r="M349" i="18"/>
  <c r="L341" i="18"/>
  <c r="J343" i="28" s="1"/>
  <c r="M341" i="18"/>
  <c r="L333" i="18"/>
  <c r="J335" i="28" s="1"/>
  <c r="M333" i="18"/>
  <c r="L325" i="18"/>
  <c r="J327" i="28" s="1"/>
  <c r="M325" i="18"/>
  <c r="L317" i="18"/>
  <c r="J319" i="28" s="1"/>
  <c r="M317" i="18"/>
  <c r="L309" i="18"/>
  <c r="J311" i="28" s="1"/>
  <c r="M309" i="18"/>
  <c r="L301" i="18"/>
  <c r="J303" i="28" s="1"/>
  <c r="M301" i="18"/>
  <c r="L293" i="18"/>
  <c r="J295" i="28" s="1"/>
  <c r="M293" i="18"/>
  <c r="L285" i="18"/>
  <c r="J287" i="28" s="1"/>
  <c r="M285" i="18"/>
  <c r="L277" i="18"/>
  <c r="J279" i="28" s="1"/>
  <c r="M277" i="18"/>
  <c r="L269" i="18"/>
  <c r="J271" i="28" s="1"/>
  <c r="M269" i="18"/>
  <c r="L261" i="18"/>
  <c r="J263" i="28" s="1"/>
  <c r="M261" i="18"/>
  <c r="L253" i="18"/>
  <c r="J255" i="28" s="1"/>
  <c r="M253" i="18"/>
  <c r="L245" i="18"/>
  <c r="J247" i="28" s="1"/>
  <c r="M245" i="18"/>
  <c r="L237" i="18"/>
  <c r="J239" i="28" s="1"/>
  <c r="M237" i="18"/>
  <c r="L229" i="18"/>
  <c r="J231" i="28" s="1"/>
  <c r="M229" i="18"/>
  <c r="L221" i="18"/>
  <c r="J223" i="28" s="1"/>
  <c r="M221" i="18"/>
  <c r="L213" i="18"/>
  <c r="J215" i="28" s="1"/>
  <c r="M213" i="18"/>
  <c r="L205" i="18"/>
  <c r="J207" i="28" s="1"/>
  <c r="M205" i="18"/>
  <c r="L197" i="18"/>
  <c r="J199" i="28" s="1"/>
  <c r="M197" i="18"/>
  <c r="L189" i="18"/>
  <c r="J191" i="28" s="1"/>
  <c r="M189" i="18"/>
  <c r="L181" i="18"/>
  <c r="J183" i="28" s="1"/>
  <c r="M181" i="18"/>
  <c r="L173" i="18"/>
  <c r="J175" i="28" s="1"/>
  <c r="M173" i="18"/>
  <c r="L165" i="18"/>
  <c r="J167" i="28" s="1"/>
  <c r="M165" i="18"/>
  <c r="L157" i="18"/>
  <c r="J159" i="28" s="1"/>
  <c r="M157" i="18"/>
  <c r="L149" i="18"/>
  <c r="J151" i="28" s="1"/>
  <c r="M149" i="18"/>
  <c r="L141" i="18"/>
  <c r="J143" i="28" s="1"/>
  <c r="M141" i="18"/>
  <c r="L133" i="18"/>
  <c r="J135" i="28" s="1"/>
  <c r="M133" i="18"/>
  <c r="L125" i="18"/>
  <c r="J127" i="28" s="1"/>
  <c r="M125" i="18"/>
  <c r="AM53" i="20" s="1"/>
  <c r="L117" i="18"/>
  <c r="J119" i="28" s="1"/>
  <c r="M117" i="18"/>
  <c r="L109" i="18"/>
  <c r="J111" i="28" s="1"/>
  <c r="M109" i="18"/>
  <c r="L101" i="18"/>
  <c r="J103" i="28" s="1"/>
  <c r="M101" i="18"/>
  <c r="L93" i="18"/>
  <c r="J95" i="28" s="1"/>
  <c r="M93" i="18"/>
  <c r="L85" i="18"/>
  <c r="J87" i="28" s="1"/>
  <c r="M85" i="18"/>
  <c r="L77" i="18"/>
  <c r="J79" i="28" s="1"/>
  <c r="M77" i="18"/>
  <c r="L69" i="18"/>
  <c r="J71" i="28" s="1"/>
  <c r="M69" i="18"/>
  <c r="L61" i="18"/>
  <c r="J63" i="28" s="1"/>
  <c r="M61" i="18"/>
  <c r="L53" i="18"/>
  <c r="J55" i="28" s="1"/>
  <c r="M53" i="18"/>
  <c r="L45" i="18"/>
  <c r="J47" i="28" s="1"/>
  <c r="M45" i="18"/>
  <c r="L37" i="18"/>
  <c r="J39" i="28" s="1"/>
  <c r="M37" i="18"/>
  <c r="L29" i="18"/>
  <c r="J31" i="28" s="1"/>
  <c r="M29" i="18"/>
  <c r="L13" i="18"/>
  <c r="J15" i="28" s="1"/>
  <c r="M13" i="18"/>
  <c r="L900" i="18"/>
  <c r="J902" i="28" s="1"/>
  <c r="M900" i="18"/>
  <c r="L892" i="18"/>
  <c r="J894" i="28" s="1"/>
  <c r="M892" i="18"/>
  <c r="L884" i="18"/>
  <c r="J886" i="28" s="1"/>
  <c r="M884" i="18"/>
  <c r="L876" i="18"/>
  <c r="J878" i="28" s="1"/>
  <c r="M876" i="18"/>
  <c r="L868" i="18"/>
  <c r="J870" i="28" s="1"/>
  <c r="M868" i="18"/>
  <c r="L860" i="18"/>
  <c r="J862" i="28" s="1"/>
  <c r="M860" i="18"/>
  <c r="L852" i="18"/>
  <c r="J854" i="28" s="1"/>
  <c r="M852" i="18"/>
  <c r="L844" i="18"/>
  <c r="J846" i="28" s="1"/>
  <c r="M844" i="18"/>
  <c r="L836" i="18"/>
  <c r="J838" i="28" s="1"/>
  <c r="M836" i="18"/>
  <c r="L828" i="18"/>
  <c r="J830" i="28" s="1"/>
  <c r="M828" i="18"/>
  <c r="L820" i="18"/>
  <c r="J822" i="28" s="1"/>
  <c r="M820" i="18"/>
  <c r="L812" i="18"/>
  <c r="J814" i="28" s="1"/>
  <c r="M812" i="18"/>
  <c r="L804" i="18"/>
  <c r="J806" i="28" s="1"/>
  <c r="M804" i="18"/>
  <c r="L796" i="18"/>
  <c r="J798" i="28" s="1"/>
  <c r="M796" i="18"/>
  <c r="L788" i="18"/>
  <c r="J790" i="28" s="1"/>
  <c r="M788" i="18"/>
  <c r="L780" i="18"/>
  <c r="J782" i="28" s="1"/>
  <c r="M780" i="18"/>
  <c r="L772" i="18"/>
  <c r="J774" i="28" s="1"/>
  <c r="M772" i="18"/>
  <c r="L764" i="18"/>
  <c r="J766" i="28" s="1"/>
  <c r="M764" i="18"/>
  <c r="L756" i="18"/>
  <c r="J758" i="28" s="1"/>
  <c r="M756" i="18"/>
  <c r="L748" i="18"/>
  <c r="J750" i="28" s="1"/>
  <c r="M748" i="18"/>
  <c r="L740" i="18"/>
  <c r="J742" i="28" s="1"/>
  <c r="M740" i="18"/>
  <c r="L732" i="18"/>
  <c r="J734" i="28" s="1"/>
  <c r="M732" i="18"/>
  <c r="L724" i="18"/>
  <c r="J726" i="28" s="1"/>
  <c r="M724" i="18"/>
  <c r="L716" i="18"/>
  <c r="J718" i="28" s="1"/>
  <c r="M716" i="18"/>
  <c r="L708" i="18"/>
  <c r="J710" i="28" s="1"/>
  <c r="M708" i="18"/>
  <c r="L700" i="18"/>
  <c r="J702" i="28" s="1"/>
  <c r="M700" i="18"/>
  <c r="L692" i="18"/>
  <c r="J694" i="28" s="1"/>
  <c r="M692" i="18"/>
  <c r="L684" i="18"/>
  <c r="J686" i="28" s="1"/>
  <c r="M684" i="18"/>
  <c r="L676" i="18"/>
  <c r="J678" i="28" s="1"/>
  <c r="M676" i="18"/>
  <c r="L668" i="18"/>
  <c r="J670" i="28" s="1"/>
  <c r="M668" i="18"/>
  <c r="L660" i="18"/>
  <c r="J662" i="28" s="1"/>
  <c r="M660" i="18"/>
  <c r="L652" i="18"/>
  <c r="J654" i="28" s="1"/>
  <c r="M652" i="18"/>
  <c r="L644" i="18"/>
  <c r="J646" i="28" s="1"/>
  <c r="M644" i="18"/>
  <c r="L636" i="18"/>
  <c r="J638" i="28" s="1"/>
  <c r="M636" i="18"/>
  <c r="L628" i="18"/>
  <c r="J630" i="28" s="1"/>
  <c r="M628" i="18"/>
  <c r="L620" i="18"/>
  <c r="J622" i="28" s="1"/>
  <c r="M620" i="18"/>
  <c r="L612" i="18"/>
  <c r="J614" i="28" s="1"/>
  <c r="M612" i="18"/>
  <c r="L604" i="18"/>
  <c r="J606" i="28" s="1"/>
  <c r="M604" i="18"/>
  <c r="L596" i="18"/>
  <c r="J598" i="28" s="1"/>
  <c r="M596" i="18"/>
  <c r="L588" i="18"/>
  <c r="J590" i="28" s="1"/>
  <c r="M588" i="18"/>
  <c r="L580" i="18"/>
  <c r="J582" i="28" s="1"/>
  <c r="M580" i="18"/>
  <c r="L572" i="18"/>
  <c r="J574" i="28" s="1"/>
  <c r="M572" i="18"/>
  <c r="L564" i="18"/>
  <c r="J566" i="28" s="1"/>
  <c r="M564" i="18"/>
  <c r="L556" i="18"/>
  <c r="J558" i="28" s="1"/>
  <c r="M556" i="18"/>
  <c r="L548" i="18"/>
  <c r="J550" i="28" s="1"/>
  <c r="M548" i="18"/>
  <c r="L540" i="18"/>
  <c r="J542" i="28" s="1"/>
  <c r="M540" i="18"/>
  <c r="L532" i="18"/>
  <c r="J534" i="28" s="1"/>
  <c r="M532" i="18"/>
  <c r="L524" i="18"/>
  <c r="J526" i="28" s="1"/>
  <c r="M524" i="18"/>
  <c r="L516" i="18"/>
  <c r="J518" i="28" s="1"/>
  <c r="M516" i="18"/>
  <c r="L508" i="18"/>
  <c r="J510" i="28" s="1"/>
  <c r="M508" i="18"/>
  <c r="L500" i="18"/>
  <c r="J502" i="28" s="1"/>
  <c r="M500" i="18"/>
  <c r="L492" i="18"/>
  <c r="J494" i="28" s="1"/>
  <c r="M492" i="18"/>
  <c r="L484" i="18"/>
  <c r="J486" i="28" s="1"/>
  <c r="M484" i="18"/>
  <c r="L476" i="18"/>
  <c r="J478" i="28" s="1"/>
  <c r="M476" i="18"/>
  <c r="L468" i="18"/>
  <c r="J470" i="28" s="1"/>
  <c r="M468" i="18"/>
  <c r="L460" i="18"/>
  <c r="J462" i="28" s="1"/>
  <c r="M460" i="18"/>
  <c r="L452" i="18"/>
  <c r="J454" i="28" s="1"/>
  <c r="M452" i="18"/>
  <c r="L444" i="18"/>
  <c r="J446" i="28" s="1"/>
  <c r="M444" i="18"/>
  <c r="L436" i="18"/>
  <c r="J438" i="28" s="1"/>
  <c r="M436" i="18"/>
  <c r="L428" i="18"/>
  <c r="J430" i="28" s="1"/>
  <c r="M428" i="18"/>
  <c r="L420" i="18"/>
  <c r="J422" i="28" s="1"/>
  <c r="M420" i="18"/>
  <c r="L412" i="18"/>
  <c r="J414" i="28" s="1"/>
  <c r="M412" i="18"/>
  <c r="L404" i="18"/>
  <c r="J406" i="28" s="1"/>
  <c r="M404" i="18"/>
  <c r="L396" i="18"/>
  <c r="J398" i="28" s="1"/>
  <c r="M396" i="18"/>
  <c r="L388" i="18"/>
  <c r="J390" i="28" s="1"/>
  <c r="M388" i="18"/>
  <c r="L380" i="18"/>
  <c r="J382" i="28" s="1"/>
  <c r="M380" i="18"/>
  <c r="L372" i="18"/>
  <c r="J374" i="28" s="1"/>
  <c r="M372" i="18"/>
  <c r="L364" i="18"/>
  <c r="J366" i="28" s="1"/>
  <c r="M364" i="18"/>
  <c r="L356" i="18"/>
  <c r="J358" i="28" s="1"/>
  <c r="M356" i="18"/>
  <c r="L348" i="18"/>
  <c r="J350" i="28" s="1"/>
  <c r="M348" i="18"/>
  <c r="L340" i="18"/>
  <c r="J342" i="28" s="1"/>
  <c r="M340" i="18"/>
  <c r="L332" i="18"/>
  <c r="J334" i="28" s="1"/>
  <c r="M332" i="18"/>
  <c r="L324" i="18"/>
  <c r="J326" i="28" s="1"/>
  <c r="M324" i="18"/>
  <c r="L316" i="18"/>
  <c r="J318" i="28" s="1"/>
  <c r="M316" i="18"/>
  <c r="L308" i="18"/>
  <c r="J310" i="28" s="1"/>
  <c r="M308" i="18"/>
  <c r="L300" i="18"/>
  <c r="J302" i="28" s="1"/>
  <c r="M300" i="18"/>
  <c r="L292" i="18"/>
  <c r="J294" i="28" s="1"/>
  <c r="M292" i="18"/>
  <c r="L284" i="18"/>
  <c r="J286" i="28" s="1"/>
  <c r="M284" i="18"/>
  <c r="L276" i="18"/>
  <c r="J278" i="28" s="1"/>
  <c r="M276" i="18"/>
  <c r="L268" i="18"/>
  <c r="J270" i="28" s="1"/>
  <c r="M268" i="18"/>
  <c r="L260" i="18"/>
  <c r="J262" i="28" s="1"/>
  <c r="M260" i="18"/>
  <c r="L252" i="18"/>
  <c r="J254" i="28" s="1"/>
  <c r="M252" i="18"/>
  <c r="L244" i="18"/>
  <c r="J246" i="28" s="1"/>
  <c r="M244" i="18"/>
  <c r="L236" i="18"/>
  <c r="J238" i="28" s="1"/>
  <c r="M236" i="18"/>
  <c r="L228" i="18"/>
  <c r="J230" i="28" s="1"/>
  <c r="M228" i="18"/>
  <c r="L220" i="18"/>
  <c r="J222" i="28" s="1"/>
  <c r="M220" i="18"/>
  <c r="L212" i="18"/>
  <c r="J214" i="28" s="1"/>
  <c r="M212" i="18"/>
  <c r="L204" i="18"/>
  <c r="J206" i="28" s="1"/>
  <c r="M204" i="18"/>
  <c r="L196" i="18"/>
  <c r="J198" i="28" s="1"/>
  <c r="M196" i="18"/>
  <c r="L188" i="18"/>
  <c r="J190" i="28" s="1"/>
  <c r="M188" i="18"/>
  <c r="L180" i="18"/>
  <c r="J182" i="28" s="1"/>
  <c r="M180" i="18"/>
  <c r="L172" i="18"/>
  <c r="J174" i="28" s="1"/>
  <c r="M172" i="18"/>
  <c r="L164" i="18"/>
  <c r="J166" i="28" s="1"/>
  <c r="M164" i="18"/>
  <c r="L156" i="18"/>
  <c r="J158" i="28" s="1"/>
  <c r="M156" i="18"/>
  <c r="L148" i="18"/>
  <c r="J150" i="28" s="1"/>
  <c r="M148" i="18"/>
  <c r="L140" i="18"/>
  <c r="J142" i="28" s="1"/>
  <c r="M140" i="18"/>
  <c r="L132" i="18"/>
  <c r="J134" i="28" s="1"/>
  <c r="M132" i="18"/>
  <c r="L124" i="18"/>
  <c r="J126" i="28" s="1"/>
  <c r="M124" i="18"/>
  <c r="L116" i="18"/>
  <c r="J118" i="28" s="1"/>
  <c r="M116" i="18"/>
  <c r="L108" i="18"/>
  <c r="J110" i="28" s="1"/>
  <c r="M108" i="18"/>
  <c r="L100" i="18"/>
  <c r="J102" i="28" s="1"/>
  <c r="M100" i="18"/>
  <c r="M92" i="18"/>
  <c r="L92" i="18"/>
  <c r="J94" i="28" s="1"/>
  <c r="L84" i="18"/>
  <c r="J86" i="28" s="1"/>
  <c r="M84" i="18"/>
  <c r="L76" i="18"/>
  <c r="J78" i="28" s="1"/>
  <c r="M76" i="18"/>
  <c r="L68" i="18"/>
  <c r="J70" i="28" s="1"/>
  <c r="M68" i="18"/>
  <c r="L60" i="18"/>
  <c r="J62" i="28" s="1"/>
  <c r="M60" i="18"/>
  <c r="L52" i="18"/>
  <c r="J54" i="28" s="1"/>
  <c r="M52" i="18"/>
  <c r="L44" i="18"/>
  <c r="J46" i="28" s="1"/>
  <c r="M44" i="18"/>
  <c r="L36" i="18"/>
  <c r="J38" i="28" s="1"/>
  <c r="M36" i="18"/>
  <c r="M28" i="18"/>
  <c r="L28" i="18"/>
  <c r="J30" i="28" s="1"/>
  <c r="L20" i="18"/>
  <c r="J22" i="28" s="1"/>
  <c r="M20" i="18"/>
  <c r="L12" i="18"/>
  <c r="J14" i="28" s="1"/>
  <c r="M12" i="18"/>
  <c r="L830" i="18"/>
  <c r="J832" i="28" s="1"/>
  <c r="M830" i="18"/>
  <c r="L814" i="18"/>
  <c r="J816" i="28" s="1"/>
  <c r="M814" i="18"/>
  <c r="L798" i="18"/>
  <c r="J800" i="28" s="1"/>
  <c r="M798" i="18"/>
  <c r="L782" i="18"/>
  <c r="J784" i="28" s="1"/>
  <c r="M782" i="18"/>
  <c r="L766" i="18"/>
  <c r="J768" i="28" s="1"/>
  <c r="M766" i="18"/>
  <c r="L750" i="18"/>
  <c r="J752" i="28" s="1"/>
  <c r="M750" i="18"/>
  <c r="L734" i="18"/>
  <c r="J736" i="28" s="1"/>
  <c r="M734" i="18"/>
  <c r="L718" i="18"/>
  <c r="J720" i="28" s="1"/>
  <c r="M718" i="18"/>
  <c r="L702" i="18"/>
  <c r="J704" i="28" s="1"/>
  <c r="M702" i="18"/>
  <c r="L686" i="18"/>
  <c r="J688" i="28" s="1"/>
  <c r="M686" i="18"/>
  <c r="L670" i="18"/>
  <c r="J672" i="28" s="1"/>
  <c r="M670" i="18"/>
  <c r="L654" i="18"/>
  <c r="J656" i="28" s="1"/>
  <c r="M654" i="18"/>
  <c r="L638" i="18"/>
  <c r="J640" i="28" s="1"/>
  <c r="M638" i="18"/>
  <c r="L630" i="18"/>
  <c r="J632" i="28" s="1"/>
  <c r="M630" i="18"/>
  <c r="L614" i="18"/>
  <c r="J616" i="28" s="1"/>
  <c r="M614" i="18"/>
  <c r="L598" i="18"/>
  <c r="J600" i="28" s="1"/>
  <c r="M598" i="18"/>
  <c r="L582" i="18"/>
  <c r="J584" i="28" s="1"/>
  <c r="M582" i="18"/>
  <c r="L566" i="18"/>
  <c r="J568" i="28" s="1"/>
  <c r="M566" i="18"/>
  <c r="L550" i="18"/>
  <c r="J552" i="28" s="1"/>
  <c r="M550" i="18"/>
  <c r="L534" i="18"/>
  <c r="J536" i="28" s="1"/>
  <c r="M534" i="18"/>
  <c r="L518" i="18"/>
  <c r="J520" i="28" s="1"/>
  <c r="M518" i="18"/>
  <c r="L502" i="18"/>
  <c r="J504" i="28" s="1"/>
  <c r="M502" i="18"/>
  <c r="L486" i="18"/>
  <c r="J488" i="28" s="1"/>
  <c r="M486" i="18"/>
  <c r="L478" i="18"/>
  <c r="J480" i="28" s="1"/>
  <c r="M478" i="18"/>
  <c r="L462" i="18"/>
  <c r="J464" i="28" s="1"/>
  <c r="M462" i="18"/>
  <c r="L446" i="18"/>
  <c r="J448" i="28" s="1"/>
  <c r="M446" i="18"/>
  <c r="L430" i="18"/>
  <c r="J432" i="28" s="1"/>
  <c r="M430" i="18"/>
  <c r="L414" i="18"/>
  <c r="J416" i="28" s="1"/>
  <c r="M414" i="18"/>
  <c r="L398" i="18"/>
  <c r="J400" i="28" s="1"/>
  <c r="M398" i="18"/>
  <c r="L390" i="18"/>
  <c r="J392" i="28" s="1"/>
  <c r="M390" i="18"/>
  <c r="L374" i="18"/>
  <c r="J376" i="28" s="1"/>
  <c r="M374" i="18"/>
  <c r="L358" i="18"/>
  <c r="J360" i="28" s="1"/>
  <c r="M358" i="18"/>
  <c r="L342" i="18"/>
  <c r="J344" i="28" s="1"/>
  <c r="M342" i="18"/>
  <c r="L326" i="18"/>
  <c r="J328" i="28" s="1"/>
  <c r="M326" i="18"/>
  <c r="L310" i="18"/>
  <c r="J312" i="28" s="1"/>
  <c r="M310" i="18"/>
  <c r="L302" i="18"/>
  <c r="J304" i="28" s="1"/>
  <c r="M302" i="18"/>
  <c r="L286" i="18"/>
  <c r="J288" i="28" s="1"/>
  <c r="M286" i="18"/>
  <c r="L278" i="18"/>
  <c r="J280" i="28" s="1"/>
  <c r="M278" i="18"/>
  <c r="L270" i="18"/>
  <c r="J272" i="28" s="1"/>
  <c r="M270" i="18"/>
  <c r="L254" i="18"/>
  <c r="J256" i="28" s="1"/>
  <c r="M254" i="18"/>
  <c r="L246" i="18"/>
  <c r="J248" i="28" s="1"/>
  <c r="M246" i="18"/>
  <c r="L238" i="18"/>
  <c r="J240" i="28" s="1"/>
  <c r="M238" i="18"/>
  <c r="L230" i="18"/>
  <c r="J232" i="28" s="1"/>
  <c r="M230" i="18"/>
  <c r="L222" i="18"/>
  <c r="J224" i="28" s="1"/>
  <c r="M222" i="18"/>
  <c r="L214" i="18"/>
  <c r="J216" i="28" s="1"/>
  <c r="M214" i="18"/>
  <c r="L14" i="18"/>
  <c r="J16" i="28" s="1"/>
  <c r="M14" i="18"/>
  <c r="L901" i="18"/>
  <c r="J903" i="28" s="1"/>
  <c r="M901" i="18"/>
  <c r="L885" i="18"/>
  <c r="J887" i="28" s="1"/>
  <c r="M885" i="18"/>
  <c r="L869" i="18"/>
  <c r="J871" i="28" s="1"/>
  <c r="M869" i="18"/>
  <c r="L861" i="18"/>
  <c r="J863" i="28" s="1"/>
  <c r="M861" i="18"/>
  <c r="L845" i="18"/>
  <c r="J847" i="28" s="1"/>
  <c r="M845" i="18"/>
  <c r="L829" i="18"/>
  <c r="J831" i="28" s="1"/>
  <c r="M829" i="18"/>
  <c r="L813" i="18"/>
  <c r="J815" i="28" s="1"/>
  <c r="M813" i="18"/>
  <c r="L797" i="18"/>
  <c r="J799" i="28" s="1"/>
  <c r="M797" i="18"/>
  <c r="L781" i="18"/>
  <c r="J783" i="28" s="1"/>
  <c r="M781" i="18"/>
  <c r="L765" i="18"/>
  <c r="J767" i="28" s="1"/>
  <c r="M765" i="18"/>
  <c r="L749" i="18"/>
  <c r="J751" i="28" s="1"/>
  <c r="M749" i="18"/>
  <c r="L741" i="18"/>
  <c r="J743" i="28" s="1"/>
  <c r="M741" i="18"/>
  <c r="L725" i="18"/>
  <c r="J727" i="28" s="1"/>
  <c r="M725" i="18"/>
  <c r="L709" i="18"/>
  <c r="J711" i="28" s="1"/>
  <c r="M709" i="18"/>
  <c r="L693" i="18"/>
  <c r="J695" i="28" s="1"/>
  <c r="M693" i="18"/>
  <c r="L677" i="18"/>
  <c r="J679" i="28" s="1"/>
  <c r="M677" i="18"/>
  <c r="L661" i="18"/>
  <c r="J663" i="28" s="1"/>
  <c r="M661" i="18"/>
  <c r="L645" i="18"/>
  <c r="J647" i="28" s="1"/>
  <c r="M645" i="18"/>
  <c r="L629" i="18"/>
  <c r="J631" i="28" s="1"/>
  <c r="M629" i="18"/>
  <c r="L605" i="18"/>
  <c r="J607" i="28" s="1"/>
  <c r="M605" i="18"/>
  <c r="L589" i="18"/>
  <c r="J591" i="28" s="1"/>
  <c r="M589" i="18"/>
  <c r="L573" i="18"/>
  <c r="J575" i="28" s="1"/>
  <c r="M573" i="18"/>
  <c r="L557" i="18"/>
  <c r="J559" i="28" s="1"/>
  <c r="M557" i="18"/>
  <c r="L541" i="18"/>
  <c r="J543" i="28" s="1"/>
  <c r="M541" i="18"/>
  <c r="L517" i="18"/>
  <c r="J519" i="28" s="1"/>
  <c r="M517" i="18"/>
  <c r="L501" i="18"/>
  <c r="J503" i="28" s="1"/>
  <c r="M501" i="18"/>
  <c r="L469" i="18"/>
  <c r="J471" i="28" s="1"/>
  <c r="M469" i="18"/>
  <c r="L405" i="18"/>
  <c r="J407" i="28" s="1"/>
  <c r="M405" i="18"/>
  <c r="L21" i="18"/>
  <c r="J23" i="28" s="1"/>
  <c r="M21" i="18"/>
  <c r="L899" i="18"/>
  <c r="J901" i="28" s="1"/>
  <c r="M899" i="18"/>
  <c r="L891" i="18"/>
  <c r="J893" i="28" s="1"/>
  <c r="M891" i="18"/>
  <c r="L883" i="18"/>
  <c r="J885" i="28" s="1"/>
  <c r="M883" i="18"/>
  <c r="L875" i="18"/>
  <c r="J877" i="28" s="1"/>
  <c r="M875" i="18"/>
  <c r="L867" i="18"/>
  <c r="J869" i="28" s="1"/>
  <c r="M867" i="18"/>
  <c r="L859" i="18"/>
  <c r="J861" i="28" s="1"/>
  <c r="M859" i="18"/>
  <c r="L851" i="18"/>
  <c r="J853" i="28" s="1"/>
  <c r="M851" i="18"/>
  <c r="L843" i="18"/>
  <c r="J845" i="28" s="1"/>
  <c r="M843" i="18"/>
  <c r="L835" i="18"/>
  <c r="J837" i="28" s="1"/>
  <c r="M835" i="18"/>
  <c r="L827" i="18"/>
  <c r="J829" i="28" s="1"/>
  <c r="M827" i="18"/>
  <c r="L819" i="18"/>
  <c r="J821" i="28" s="1"/>
  <c r="M819" i="18"/>
  <c r="L811" i="18"/>
  <c r="J813" i="28" s="1"/>
  <c r="M811" i="18"/>
  <c r="L803" i="18"/>
  <c r="J805" i="28" s="1"/>
  <c r="M803" i="18"/>
  <c r="L795" i="18"/>
  <c r="J797" i="28" s="1"/>
  <c r="M795" i="18"/>
  <c r="L787" i="18"/>
  <c r="J789" i="28" s="1"/>
  <c r="M787" i="18"/>
  <c r="L779" i="18"/>
  <c r="J781" i="28" s="1"/>
  <c r="M779" i="18"/>
  <c r="L771" i="18"/>
  <c r="J773" i="28" s="1"/>
  <c r="M771" i="18"/>
  <c r="L763" i="18"/>
  <c r="J765" i="28" s="1"/>
  <c r="M763" i="18"/>
  <c r="L755" i="18"/>
  <c r="J757" i="28" s="1"/>
  <c r="M755" i="18"/>
  <c r="L747" i="18"/>
  <c r="J749" i="28" s="1"/>
  <c r="M747" i="18"/>
  <c r="L739" i="18"/>
  <c r="J741" i="28" s="1"/>
  <c r="M739" i="18"/>
  <c r="L731" i="18"/>
  <c r="J733" i="28" s="1"/>
  <c r="M731" i="18"/>
  <c r="L723" i="18"/>
  <c r="J725" i="28" s="1"/>
  <c r="M723" i="18"/>
  <c r="L715" i="18"/>
  <c r="J717" i="28" s="1"/>
  <c r="M715" i="18"/>
  <c r="L707" i="18"/>
  <c r="J709" i="28" s="1"/>
  <c r="M707" i="18"/>
  <c r="L699" i="18"/>
  <c r="J701" i="28" s="1"/>
  <c r="M699" i="18"/>
  <c r="L691" i="18"/>
  <c r="J693" i="28" s="1"/>
  <c r="M691" i="18"/>
  <c r="L683" i="18"/>
  <c r="J685" i="28" s="1"/>
  <c r="M683" i="18"/>
  <c r="L675" i="18"/>
  <c r="J677" i="28" s="1"/>
  <c r="M675" i="18"/>
  <c r="L667" i="18"/>
  <c r="J669" i="28" s="1"/>
  <c r="M667" i="18"/>
  <c r="L659" i="18"/>
  <c r="J661" i="28" s="1"/>
  <c r="M659" i="18"/>
  <c r="L651" i="18"/>
  <c r="J653" i="28" s="1"/>
  <c r="M651" i="18"/>
  <c r="L643" i="18"/>
  <c r="J645" i="28" s="1"/>
  <c r="M643" i="18"/>
  <c r="L635" i="18"/>
  <c r="J637" i="28" s="1"/>
  <c r="M635" i="18"/>
  <c r="L627" i="18"/>
  <c r="J629" i="28" s="1"/>
  <c r="M627" i="18"/>
  <c r="L619" i="18"/>
  <c r="J621" i="28" s="1"/>
  <c r="M619" i="18"/>
  <c r="L611" i="18"/>
  <c r="J613" i="28" s="1"/>
  <c r="M611" i="18"/>
  <c r="L603" i="18"/>
  <c r="J605" i="28" s="1"/>
  <c r="M603" i="18"/>
  <c r="L595" i="18"/>
  <c r="J597" i="28" s="1"/>
  <c r="M595" i="18"/>
  <c r="L587" i="18"/>
  <c r="J589" i="28" s="1"/>
  <c r="M587" i="18"/>
  <c r="L579" i="18"/>
  <c r="J581" i="28" s="1"/>
  <c r="M579" i="18"/>
  <c r="L571" i="18"/>
  <c r="J573" i="28" s="1"/>
  <c r="M571" i="18"/>
  <c r="L563" i="18"/>
  <c r="J565" i="28" s="1"/>
  <c r="M563" i="18"/>
  <c r="L555" i="18"/>
  <c r="J557" i="28" s="1"/>
  <c r="M555" i="18"/>
  <c r="L547" i="18"/>
  <c r="J549" i="28" s="1"/>
  <c r="M547" i="18"/>
  <c r="L539" i="18"/>
  <c r="J541" i="28" s="1"/>
  <c r="M539" i="18"/>
  <c r="L531" i="18"/>
  <c r="J533" i="28" s="1"/>
  <c r="M531" i="18"/>
  <c r="L523" i="18"/>
  <c r="J525" i="28" s="1"/>
  <c r="M523" i="18"/>
  <c r="L515" i="18"/>
  <c r="J517" i="28" s="1"/>
  <c r="M515" i="18"/>
  <c r="L507" i="18"/>
  <c r="J509" i="28" s="1"/>
  <c r="M507" i="18"/>
  <c r="L499" i="18"/>
  <c r="J501" i="28" s="1"/>
  <c r="M499" i="18"/>
  <c r="L491" i="18"/>
  <c r="J493" i="28" s="1"/>
  <c r="M491" i="18"/>
  <c r="L483" i="18"/>
  <c r="J485" i="28" s="1"/>
  <c r="M483" i="18"/>
  <c r="L475" i="18"/>
  <c r="J477" i="28" s="1"/>
  <c r="M475" i="18"/>
  <c r="L467" i="18"/>
  <c r="J469" i="28" s="1"/>
  <c r="M467" i="18"/>
  <c r="L459" i="18"/>
  <c r="J461" i="28" s="1"/>
  <c r="M459" i="18"/>
  <c r="L451" i="18"/>
  <c r="J453" i="28" s="1"/>
  <c r="M451" i="18"/>
  <c r="L443" i="18"/>
  <c r="J445" i="28" s="1"/>
  <c r="M443" i="18"/>
  <c r="L435" i="18"/>
  <c r="J437" i="28" s="1"/>
  <c r="M435" i="18"/>
  <c r="L427" i="18"/>
  <c r="J429" i="28" s="1"/>
  <c r="M427" i="18"/>
  <c r="L419" i="18"/>
  <c r="J421" i="28" s="1"/>
  <c r="M419" i="18"/>
  <c r="L411" i="18"/>
  <c r="J413" i="28" s="1"/>
  <c r="M411" i="18"/>
  <c r="L403" i="18"/>
  <c r="J405" i="28" s="1"/>
  <c r="M403" i="18"/>
  <c r="L395" i="18"/>
  <c r="J397" i="28" s="1"/>
  <c r="M395" i="18"/>
  <c r="L387" i="18"/>
  <c r="J389" i="28" s="1"/>
  <c r="M387" i="18"/>
  <c r="L379" i="18"/>
  <c r="J381" i="28" s="1"/>
  <c r="M379" i="18"/>
  <c r="L371" i="18"/>
  <c r="J373" i="28" s="1"/>
  <c r="M371" i="18"/>
  <c r="L363" i="18"/>
  <c r="J365" i="28" s="1"/>
  <c r="M363" i="18"/>
  <c r="L355" i="18"/>
  <c r="J357" i="28" s="1"/>
  <c r="M355" i="18"/>
  <c r="L347" i="18"/>
  <c r="J349" i="28" s="1"/>
  <c r="M347" i="18"/>
  <c r="L339" i="18"/>
  <c r="J341" i="28" s="1"/>
  <c r="M339" i="18"/>
  <c r="L331" i="18"/>
  <c r="J333" i="28" s="1"/>
  <c r="M331" i="18"/>
  <c r="L323" i="18"/>
  <c r="J325" i="28" s="1"/>
  <c r="M323" i="18"/>
  <c r="L315" i="18"/>
  <c r="J317" i="28" s="1"/>
  <c r="M315" i="18"/>
  <c r="L307" i="18"/>
  <c r="J309" i="28" s="1"/>
  <c r="M307" i="18"/>
  <c r="L299" i="18"/>
  <c r="J301" i="28" s="1"/>
  <c r="M299" i="18"/>
  <c r="L291" i="18"/>
  <c r="J293" i="28" s="1"/>
  <c r="M291" i="18"/>
  <c r="L283" i="18"/>
  <c r="J285" i="28" s="1"/>
  <c r="M283" i="18"/>
  <c r="L275" i="18"/>
  <c r="J277" i="28" s="1"/>
  <c r="M275" i="18"/>
  <c r="L267" i="18"/>
  <c r="J269" i="28" s="1"/>
  <c r="M267" i="18"/>
  <c r="L259" i="18"/>
  <c r="J261" i="28" s="1"/>
  <c r="M259" i="18"/>
  <c r="L251" i="18"/>
  <c r="J253" i="28" s="1"/>
  <c r="M251" i="18"/>
  <c r="L243" i="18"/>
  <c r="J245" i="28" s="1"/>
  <c r="M243" i="18"/>
  <c r="L235" i="18"/>
  <c r="J237" i="28" s="1"/>
  <c r="M235" i="18"/>
  <c r="L227" i="18"/>
  <c r="J229" i="28" s="1"/>
  <c r="M227" i="18"/>
  <c r="L219" i="18"/>
  <c r="J221" i="28" s="1"/>
  <c r="M219" i="18"/>
  <c r="L211" i="18"/>
  <c r="J213" i="28" s="1"/>
  <c r="M211" i="18"/>
  <c r="L203" i="18"/>
  <c r="J205" i="28" s="1"/>
  <c r="M203" i="18"/>
  <c r="L195" i="18"/>
  <c r="J197" i="28" s="1"/>
  <c r="M195" i="18"/>
  <c r="L187" i="18"/>
  <c r="J189" i="28" s="1"/>
  <c r="M187" i="18"/>
  <c r="L179" i="18"/>
  <c r="J181" i="28" s="1"/>
  <c r="M179" i="18"/>
  <c r="L171" i="18"/>
  <c r="J173" i="28" s="1"/>
  <c r="M171" i="18"/>
  <c r="L163" i="18"/>
  <c r="J165" i="28" s="1"/>
  <c r="M163" i="18"/>
  <c r="L155" i="18"/>
  <c r="J157" i="28" s="1"/>
  <c r="M155" i="18"/>
  <c r="L147" i="18"/>
  <c r="J149" i="28" s="1"/>
  <c r="M147" i="18"/>
  <c r="L139" i="18"/>
  <c r="J141" i="28" s="1"/>
  <c r="M139" i="18"/>
  <c r="L131" i="18"/>
  <c r="J133" i="28" s="1"/>
  <c r="M131" i="18"/>
  <c r="L123" i="18"/>
  <c r="J125" i="28" s="1"/>
  <c r="M123" i="18"/>
  <c r="L115" i="18"/>
  <c r="J117" i="28" s="1"/>
  <c r="M115" i="18"/>
  <c r="L107" i="18"/>
  <c r="J109" i="28" s="1"/>
  <c r="M107" i="18"/>
  <c r="L99" i="18"/>
  <c r="J101" i="28" s="1"/>
  <c r="M99" i="18"/>
  <c r="L91" i="18"/>
  <c r="J93" i="28" s="1"/>
  <c r="M91" i="18"/>
  <c r="L83" i="18"/>
  <c r="J85" i="28" s="1"/>
  <c r="M83" i="18"/>
  <c r="L75" i="18"/>
  <c r="J77" i="28" s="1"/>
  <c r="M75" i="18"/>
  <c r="L67" i="18"/>
  <c r="J69" i="28" s="1"/>
  <c r="M67" i="18"/>
  <c r="L59" i="18"/>
  <c r="J61" i="28" s="1"/>
  <c r="M59" i="18"/>
  <c r="L51" i="18"/>
  <c r="J53" i="28" s="1"/>
  <c r="M51" i="18"/>
  <c r="L43" i="18"/>
  <c r="J45" i="28" s="1"/>
  <c r="M43" i="18"/>
  <c r="L35" i="18"/>
  <c r="J37" i="28" s="1"/>
  <c r="M35" i="18"/>
  <c r="L27" i="18"/>
  <c r="J29" i="28" s="1"/>
  <c r="M27" i="18"/>
  <c r="L19" i="18"/>
  <c r="J21" i="28" s="1"/>
  <c r="M19" i="18"/>
  <c r="L11" i="18"/>
  <c r="J13" i="28" s="1"/>
  <c r="M11" i="18"/>
  <c r="B161" i="19"/>
  <c r="W114" i="19"/>
  <c r="AV104" i="19"/>
  <c r="AV111" i="19" s="1"/>
  <c r="B110" i="19"/>
  <c r="S66" i="19"/>
  <c r="S70" i="19" s="1"/>
  <c r="S71" i="19" s="1"/>
  <c r="AM85" i="20" l="1"/>
  <c r="AM84" i="20"/>
  <c r="AM78" i="20"/>
  <c r="AM86" i="20"/>
  <c r="AM77" i="20"/>
  <c r="AM76" i="20"/>
  <c r="AM74" i="20"/>
  <c r="AM79" i="20"/>
  <c r="AM80" i="20"/>
  <c r="AM82" i="20"/>
  <c r="AM73" i="20"/>
  <c r="AM75" i="20"/>
  <c r="AM87" i="20"/>
  <c r="AM81" i="20"/>
  <c r="AM83" i="20"/>
  <c r="B74" i="19"/>
  <c r="K15" i="5"/>
  <c r="L45" i="5"/>
  <c r="L56" i="5"/>
  <c r="K14" i="28"/>
  <c r="L11" i="5"/>
  <c r="L43" i="5"/>
  <c r="K15" i="28"/>
  <c r="L18" i="5"/>
  <c r="L34" i="5"/>
  <c r="L19" i="5"/>
  <c r="L51" i="5"/>
  <c r="L25" i="5"/>
  <c r="L13" i="5"/>
  <c r="L4" i="5"/>
  <c r="L36" i="5"/>
  <c r="K32" i="28"/>
  <c r="L49" i="5"/>
  <c r="K25" i="28"/>
  <c r="L32" i="5"/>
  <c r="K34" i="28"/>
  <c r="L23" i="5"/>
  <c r="L55" i="5"/>
  <c r="K27" i="28"/>
  <c r="L14" i="5"/>
  <c r="L46" i="5"/>
  <c r="K20" i="28"/>
  <c r="L5" i="5"/>
  <c r="L37" i="5"/>
  <c r="L40" i="5"/>
  <c r="K8" i="28"/>
  <c r="L31" i="5"/>
  <c r="L54" i="5"/>
  <c r="K13" i="28"/>
  <c r="L28" i="5"/>
  <c r="L60" i="5"/>
  <c r="K23" i="28"/>
  <c r="L50" i="5"/>
  <c r="L58" i="5"/>
  <c r="L17" i="5"/>
  <c r="K22" i="28"/>
  <c r="L3" i="5"/>
  <c r="L35" i="5"/>
  <c r="K31" i="28"/>
  <c r="L10" i="5"/>
  <c r="K29" i="28"/>
  <c r="L12" i="5"/>
  <c r="K17" i="28"/>
  <c r="K26" i="28"/>
  <c r="L41" i="5"/>
  <c r="K33" i="28"/>
  <c r="L8" i="5"/>
  <c r="L24" i="5"/>
  <c r="K10" i="28"/>
  <c r="L15" i="5"/>
  <c r="L47" i="5"/>
  <c r="K35" i="28"/>
  <c r="L6" i="5"/>
  <c r="L38" i="5"/>
  <c r="K28" i="28"/>
  <c r="L29" i="5"/>
  <c r="L61" i="5"/>
  <c r="L16" i="5"/>
  <c r="L26" i="5"/>
  <c r="K24" i="28"/>
  <c r="K21" i="28"/>
  <c r="L20" i="5"/>
  <c r="L52" i="5"/>
  <c r="L42" i="5"/>
  <c r="K16" i="28"/>
  <c r="L27" i="5"/>
  <c r="L59" i="5"/>
  <c r="L44" i="5"/>
  <c r="L57" i="5"/>
  <c r="K19" i="28"/>
  <c r="L22" i="5"/>
  <c r="K30" i="28"/>
  <c r="L9" i="5"/>
  <c r="L33" i="5"/>
  <c r="K9" i="28"/>
  <c r="K18" i="28"/>
  <c r="L7" i="5"/>
  <c r="L39" i="5"/>
  <c r="K11" i="28"/>
  <c r="L30" i="5"/>
  <c r="L2" i="5"/>
  <c r="K36" i="28"/>
  <c r="L21" i="5"/>
  <c r="L53" i="5"/>
  <c r="L48" i="5"/>
  <c r="K7" i="28"/>
  <c r="K56" i="28"/>
  <c r="W54" i="18"/>
  <c r="K264" i="28"/>
  <c r="W262" i="18"/>
  <c r="K560" i="28"/>
  <c r="W558" i="18"/>
  <c r="K489" i="28"/>
  <c r="W487" i="18"/>
  <c r="K113" i="28"/>
  <c r="K289" i="28"/>
  <c r="W287" i="18"/>
  <c r="K449" i="28"/>
  <c r="W447" i="18"/>
  <c r="K154" i="28"/>
  <c r="W152" i="18"/>
  <c r="K250" i="28"/>
  <c r="W248" i="18"/>
  <c r="K378" i="28"/>
  <c r="W376" i="18"/>
  <c r="K506" i="28"/>
  <c r="W504" i="18"/>
  <c r="K602" i="28"/>
  <c r="W600" i="18"/>
  <c r="K730" i="28"/>
  <c r="W728" i="18"/>
  <c r="K858" i="28"/>
  <c r="W856" i="18"/>
  <c r="K51" i="28"/>
  <c r="W49" i="18"/>
  <c r="K179" i="28"/>
  <c r="W177" i="18"/>
  <c r="K243" i="28"/>
  <c r="W241" i="18"/>
  <c r="K339" i="28"/>
  <c r="W337" i="18"/>
  <c r="K499" i="28"/>
  <c r="W497" i="18"/>
  <c r="K563" i="28"/>
  <c r="W561" i="18"/>
  <c r="K691" i="28"/>
  <c r="W689" i="18"/>
  <c r="K787" i="28"/>
  <c r="W785" i="18"/>
  <c r="K12" i="28"/>
  <c r="K172" i="28"/>
  <c r="K300" i="28"/>
  <c r="W298" i="18"/>
  <c r="K364" i="28"/>
  <c r="W362" i="18"/>
  <c r="K460" i="28"/>
  <c r="W458" i="18"/>
  <c r="K588" i="28"/>
  <c r="W586" i="18"/>
  <c r="K684" i="28"/>
  <c r="W682" i="18"/>
  <c r="K780" i="28"/>
  <c r="W778" i="18"/>
  <c r="K545" i="28"/>
  <c r="W543" i="18"/>
  <c r="K69" i="28"/>
  <c r="W67" i="18"/>
  <c r="K165" i="28"/>
  <c r="W163" i="18"/>
  <c r="K325" i="28"/>
  <c r="W323" i="18"/>
  <c r="K645" i="28"/>
  <c r="W643" i="18"/>
  <c r="K85" i="28"/>
  <c r="K149" i="28"/>
  <c r="W147" i="18"/>
  <c r="K245" i="28"/>
  <c r="W243" i="18"/>
  <c r="K277" i="28"/>
  <c r="W275" i="18"/>
  <c r="K373" i="28"/>
  <c r="W371" i="18"/>
  <c r="K437" i="28"/>
  <c r="W435" i="18"/>
  <c r="K533" i="28"/>
  <c r="W531" i="18"/>
  <c r="K565" i="28"/>
  <c r="W563" i="18"/>
  <c r="K661" i="28"/>
  <c r="W659" i="18"/>
  <c r="K725" i="28"/>
  <c r="W723" i="18"/>
  <c r="K821" i="28"/>
  <c r="W819" i="18"/>
  <c r="K407" i="28"/>
  <c r="W405" i="18"/>
  <c r="K607" i="28"/>
  <c r="W605" i="18"/>
  <c r="K743" i="28"/>
  <c r="W741" i="18"/>
  <c r="K240" i="28"/>
  <c r="W238" i="18"/>
  <c r="K328" i="28"/>
  <c r="W326" i="18"/>
  <c r="K448" i="28"/>
  <c r="W446" i="18"/>
  <c r="K504" i="28"/>
  <c r="W502" i="18"/>
  <c r="K632" i="28"/>
  <c r="W630" i="18"/>
  <c r="K688" i="28"/>
  <c r="W686" i="18"/>
  <c r="K752" i="28"/>
  <c r="W750" i="18"/>
  <c r="K816" i="28"/>
  <c r="W814" i="18"/>
  <c r="K126" i="28"/>
  <c r="W124" i="18"/>
  <c r="K190" i="28"/>
  <c r="K222" i="28"/>
  <c r="W220" i="18"/>
  <c r="K286" i="28"/>
  <c r="W284" i="18"/>
  <c r="K318" i="28"/>
  <c r="W316" i="18"/>
  <c r="K382" i="28"/>
  <c r="W380" i="18"/>
  <c r="K414" i="28"/>
  <c r="W412" i="18"/>
  <c r="K478" i="28"/>
  <c r="W476" i="18"/>
  <c r="K510" i="28"/>
  <c r="W508" i="18"/>
  <c r="K606" i="28"/>
  <c r="W604" i="18"/>
  <c r="K638" i="28"/>
  <c r="W636" i="18"/>
  <c r="K702" i="28"/>
  <c r="W700" i="18"/>
  <c r="K734" i="28"/>
  <c r="W732" i="18"/>
  <c r="K798" i="28"/>
  <c r="W796" i="18"/>
  <c r="K830" i="28"/>
  <c r="W828" i="18"/>
  <c r="K894" i="28"/>
  <c r="W892" i="18"/>
  <c r="K39" i="28"/>
  <c r="W37" i="18"/>
  <c r="K103" i="28"/>
  <c r="W101" i="18"/>
  <c r="K135" i="28"/>
  <c r="W133" i="18"/>
  <c r="K199" i="28"/>
  <c r="W197" i="18"/>
  <c r="K231" i="28"/>
  <c r="W229" i="18"/>
  <c r="K295" i="28"/>
  <c r="W293" i="18"/>
  <c r="K327" i="28"/>
  <c r="W325" i="18"/>
  <c r="K391" i="28"/>
  <c r="W389" i="18"/>
  <c r="K431" i="28"/>
  <c r="W429" i="18"/>
  <c r="K511" i="28"/>
  <c r="W509" i="18"/>
  <c r="K623" i="28"/>
  <c r="W621" i="18"/>
  <c r="K759" i="28"/>
  <c r="W757" i="18"/>
  <c r="K61" i="28"/>
  <c r="W59" i="18"/>
  <c r="K93" i="28"/>
  <c r="W91" i="18"/>
  <c r="K125" i="28"/>
  <c r="W123" i="18"/>
  <c r="K157" i="28"/>
  <c r="K189" i="28"/>
  <c r="K221" i="28"/>
  <c r="W219" i="18"/>
  <c r="K253" i="28"/>
  <c r="W251" i="18"/>
  <c r="K285" i="28"/>
  <c r="W283" i="18"/>
  <c r="K317" i="28"/>
  <c r="W315" i="18"/>
  <c r="K349" i="28"/>
  <c r="W347" i="18"/>
  <c r="K381" i="28"/>
  <c r="W379" i="18"/>
  <c r="K413" i="28"/>
  <c r="W411" i="18"/>
  <c r="K445" i="28"/>
  <c r="W443" i="18"/>
  <c r="K477" i="28"/>
  <c r="W475" i="18"/>
  <c r="K509" i="28"/>
  <c r="W507" i="18"/>
  <c r="K541" i="28"/>
  <c r="W539" i="18"/>
  <c r="K573" i="28"/>
  <c r="W571" i="18"/>
  <c r="K605" i="28"/>
  <c r="W603" i="18"/>
  <c r="K637" i="28"/>
  <c r="W635" i="18"/>
  <c r="K669" i="28"/>
  <c r="W667" i="18"/>
  <c r="K701" i="28"/>
  <c r="W699" i="18"/>
  <c r="K733" i="28"/>
  <c r="W731" i="18"/>
  <c r="K765" i="28"/>
  <c r="W763" i="18"/>
  <c r="K797" i="28"/>
  <c r="W795" i="18"/>
  <c r="K829" i="28"/>
  <c r="W827" i="18"/>
  <c r="K861" i="28"/>
  <c r="W859" i="18"/>
  <c r="K893" i="28"/>
  <c r="W891" i="18"/>
  <c r="K471" i="28"/>
  <c r="W469" i="18"/>
  <c r="K559" i="28"/>
  <c r="W557" i="18"/>
  <c r="K631" i="28"/>
  <c r="W629" i="18"/>
  <c r="K695" i="28"/>
  <c r="W693" i="18"/>
  <c r="K751" i="28"/>
  <c r="W749" i="18"/>
  <c r="K815" i="28"/>
  <c r="W813" i="18"/>
  <c r="K871" i="28"/>
  <c r="W869" i="18"/>
  <c r="K216" i="28"/>
  <c r="W214" i="18"/>
  <c r="K248" i="28"/>
  <c r="W246" i="18"/>
  <c r="K288" i="28"/>
  <c r="W286" i="18"/>
  <c r="K344" i="28"/>
  <c r="W342" i="18"/>
  <c r="K400" i="28"/>
  <c r="W398" i="18"/>
  <c r="K464" i="28"/>
  <c r="W462" i="18"/>
  <c r="K520" i="28"/>
  <c r="W518" i="18"/>
  <c r="K584" i="28"/>
  <c r="W582" i="18"/>
  <c r="K640" i="28"/>
  <c r="W638" i="18"/>
  <c r="K704" i="28"/>
  <c r="W702" i="18"/>
  <c r="K768" i="28"/>
  <c r="W766" i="18"/>
  <c r="K832" i="28"/>
  <c r="W830" i="18"/>
  <c r="K38" i="28"/>
  <c r="W36" i="18"/>
  <c r="K70" i="28"/>
  <c r="K102" i="28"/>
  <c r="W100" i="18"/>
  <c r="K134" i="28"/>
  <c r="W132" i="18"/>
  <c r="K166" i="28"/>
  <c r="W164" i="18"/>
  <c r="K198" i="28"/>
  <c r="W196" i="18"/>
  <c r="K230" i="28"/>
  <c r="W228" i="18"/>
  <c r="K262" i="28"/>
  <c r="W260" i="18"/>
  <c r="K294" i="28"/>
  <c r="W292" i="18"/>
  <c r="K326" i="28"/>
  <c r="W324" i="18"/>
  <c r="K358" i="28"/>
  <c r="W356" i="18"/>
  <c r="K390" i="28"/>
  <c r="W388" i="18"/>
  <c r="K422" i="28"/>
  <c r="W420" i="18"/>
  <c r="K454" i="28"/>
  <c r="W452" i="18"/>
  <c r="K486" i="28"/>
  <c r="W484" i="18"/>
  <c r="K518" i="28"/>
  <c r="W516" i="18"/>
  <c r="K550" i="28"/>
  <c r="W548" i="18"/>
  <c r="K582" i="28"/>
  <c r="W580" i="18"/>
  <c r="K614" i="28"/>
  <c r="W612" i="18"/>
  <c r="K646" i="28"/>
  <c r="W644" i="18"/>
  <c r="K678" i="28"/>
  <c r="W676" i="18"/>
  <c r="K710" i="28"/>
  <c r="W708" i="18"/>
  <c r="K742" i="28"/>
  <c r="W740" i="18"/>
  <c r="K774" i="28"/>
  <c r="W772" i="18"/>
  <c r="K806" i="28"/>
  <c r="W804" i="18"/>
  <c r="K838" i="28"/>
  <c r="W836" i="18"/>
  <c r="K870" i="28"/>
  <c r="W868" i="18"/>
  <c r="K902" i="28"/>
  <c r="W900" i="18"/>
  <c r="K47" i="28"/>
  <c r="W45" i="18"/>
  <c r="K79" i="28"/>
  <c r="W77" i="18"/>
  <c r="K111" i="28"/>
  <c r="W109" i="18"/>
  <c r="K143" i="28"/>
  <c r="K175" i="28"/>
  <c r="K207" i="28"/>
  <c r="W205" i="18"/>
  <c r="K239" i="28"/>
  <c r="W237" i="18"/>
  <c r="K271" i="28"/>
  <c r="W269" i="18"/>
  <c r="K303" i="28"/>
  <c r="W301" i="18"/>
  <c r="K335" i="28"/>
  <c r="W333" i="18"/>
  <c r="K367" i="28"/>
  <c r="W365" i="18"/>
  <c r="K399" i="28"/>
  <c r="W397" i="18"/>
  <c r="K439" i="28"/>
  <c r="W437" i="18"/>
  <c r="K479" i="28"/>
  <c r="W477" i="18"/>
  <c r="K527" i="28"/>
  <c r="W525" i="18"/>
  <c r="K583" i="28"/>
  <c r="W581" i="18"/>
  <c r="K639" i="28"/>
  <c r="W637" i="18"/>
  <c r="K703" i="28"/>
  <c r="W701" i="18"/>
  <c r="K775" i="28"/>
  <c r="W773" i="18"/>
  <c r="K839" i="28"/>
  <c r="W837" i="18"/>
  <c r="K184" i="28"/>
  <c r="W182" i="18"/>
  <c r="K624" i="28"/>
  <c r="W622" i="18"/>
  <c r="K609" i="28"/>
  <c r="W607" i="18"/>
  <c r="K873" i="28"/>
  <c r="W871" i="18"/>
  <c r="K81" i="28"/>
  <c r="W79" i="18"/>
  <c r="K257" i="28"/>
  <c r="W255" i="18"/>
  <c r="K417" i="28"/>
  <c r="W415" i="18"/>
  <c r="K481" i="28"/>
  <c r="W479" i="18"/>
  <c r="K865" i="28"/>
  <c r="W863" i="18"/>
  <c r="K90" i="28"/>
  <c r="W88" i="18"/>
  <c r="K218" i="28"/>
  <c r="K346" i="28"/>
  <c r="W344" i="18"/>
  <c r="K474" i="28"/>
  <c r="W472" i="18"/>
  <c r="K570" i="28"/>
  <c r="W568" i="18"/>
  <c r="K762" i="28"/>
  <c r="W760" i="18"/>
  <c r="K147" i="28"/>
  <c r="W145" i="18"/>
  <c r="K275" i="28"/>
  <c r="W273" i="18"/>
  <c r="K371" i="28"/>
  <c r="W369" i="18"/>
  <c r="K531" i="28"/>
  <c r="W529" i="18"/>
  <c r="K595" i="28"/>
  <c r="W593" i="18"/>
  <c r="K723" i="28"/>
  <c r="W721" i="18"/>
  <c r="K819" i="28"/>
  <c r="W817" i="18"/>
  <c r="K44" i="28"/>
  <c r="W42" i="18"/>
  <c r="K140" i="28"/>
  <c r="W138" i="18"/>
  <c r="K236" i="28"/>
  <c r="W234" i="18"/>
  <c r="K332" i="28"/>
  <c r="W330" i="18"/>
  <c r="K428" i="28"/>
  <c r="W426" i="18"/>
  <c r="K556" i="28"/>
  <c r="W554" i="18"/>
  <c r="K652" i="28"/>
  <c r="W650" i="18"/>
  <c r="K748" i="28"/>
  <c r="W746" i="18"/>
  <c r="K844" i="28"/>
  <c r="W842" i="18"/>
  <c r="K848" i="28"/>
  <c r="W846" i="18"/>
  <c r="K721" i="28"/>
  <c r="W719" i="18"/>
  <c r="K817" i="28"/>
  <c r="W815" i="18"/>
  <c r="K101" i="28"/>
  <c r="W99" i="18"/>
  <c r="K293" i="28"/>
  <c r="W291" i="18"/>
  <c r="K357" i="28"/>
  <c r="W355" i="18"/>
  <c r="K517" i="28"/>
  <c r="W515" i="18"/>
  <c r="K613" i="28"/>
  <c r="W611" i="18"/>
  <c r="K741" i="28"/>
  <c r="W739" i="18"/>
  <c r="K837" i="28"/>
  <c r="W835" i="18"/>
  <c r="K503" i="28"/>
  <c r="W501" i="18"/>
  <c r="K711" i="28"/>
  <c r="W709" i="18"/>
  <c r="K224" i="28"/>
  <c r="W222" i="18"/>
  <c r="K360" i="28"/>
  <c r="W358" i="18"/>
  <c r="K536" i="28"/>
  <c r="W534" i="18"/>
  <c r="K720" i="28"/>
  <c r="W718" i="18"/>
  <c r="K46" i="28"/>
  <c r="W44" i="18"/>
  <c r="K142" i="28"/>
  <c r="K238" i="28"/>
  <c r="W236" i="18"/>
  <c r="K334" i="28"/>
  <c r="W332" i="18"/>
  <c r="K430" i="28"/>
  <c r="W428" i="18"/>
  <c r="K526" i="28"/>
  <c r="W524" i="18"/>
  <c r="K622" i="28"/>
  <c r="W620" i="18"/>
  <c r="K718" i="28"/>
  <c r="W716" i="18"/>
  <c r="K814" i="28"/>
  <c r="W812" i="18"/>
  <c r="K878" i="28"/>
  <c r="W876" i="18"/>
  <c r="K119" i="28"/>
  <c r="W117" i="18"/>
  <c r="K215" i="28"/>
  <c r="W213" i="18"/>
  <c r="K311" i="28"/>
  <c r="W309" i="18"/>
  <c r="K415" i="28"/>
  <c r="W413" i="18"/>
  <c r="K487" i="28"/>
  <c r="K655" i="28"/>
  <c r="W653" i="18"/>
  <c r="K855" i="28"/>
  <c r="W853" i="18"/>
  <c r="K64" i="28"/>
  <c r="W62" i="18"/>
  <c r="K96" i="28"/>
  <c r="W94" i="18"/>
  <c r="K128" i="28"/>
  <c r="K160" i="28"/>
  <c r="K192" i="28"/>
  <c r="W190" i="18"/>
  <c r="K296" i="28"/>
  <c r="W294" i="18"/>
  <c r="K368" i="28"/>
  <c r="W366" i="18"/>
  <c r="K440" i="28"/>
  <c r="W438" i="18"/>
  <c r="K512" i="28"/>
  <c r="W510" i="18"/>
  <c r="K576" i="28"/>
  <c r="W574" i="18"/>
  <c r="K648" i="28"/>
  <c r="W646" i="18"/>
  <c r="K712" i="28"/>
  <c r="W710" i="18"/>
  <c r="K776" i="28"/>
  <c r="W774" i="18"/>
  <c r="K864" i="28"/>
  <c r="W862" i="18"/>
  <c r="K888" i="28"/>
  <c r="W886" i="18"/>
  <c r="K537" i="28"/>
  <c r="W535" i="18"/>
  <c r="K641" i="28"/>
  <c r="W639" i="18"/>
  <c r="K729" i="28"/>
  <c r="W727" i="18"/>
  <c r="K809" i="28"/>
  <c r="W807" i="18"/>
  <c r="K889" i="28"/>
  <c r="W887" i="18"/>
  <c r="K57" i="28"/>
  <c r="W55" i="18"/>
  <c r="K89" i="28"/>
  <c r="W87" i="18"/>
  <c r="K121" i="28"/>
  <c r="W119" i="18"/>
  <c r="K153" i="28"/>
  <c r="W151" i="18"/>
  <c r="K185" i="28"/>
  <c r="W183" i="18"/>
  <c r="K233" i="28"/>
  <c r="W231" i="18"/>
  <c r="K265" i="28"/>
  <c r="W263" i="18"/>
  <c r="K297" i="28"/>
  <c r="W295" i="18"/>
  <c r="K329" i="28"/>
  <c r="W327" i="18"/>
  <c r="K361" i="28"/>
  <c r="W359" i="18"/>
  <c r="K393" i="28"/>
  <c r="W391" i="18"/>
  <c r="K425" i="28"/>
  <c r="W423" i="18"/>
  <c r="K457" i="28"/>
  <c r="W455" i="18"/>
  <c r="K497" i="28"/>
  <c r="W495" i="18"/>
  <c r="K553" i="28"/>
  <c r="W551" i="18"/>
  <c r="K657" i="28"/>
  <c r="W655" i="18"/>
  <c r="K777" i="28"/>
  <c r="W775" i="18"/>
  <c r="K897" i="28"/>
  <c r="W895" i="18"/>
  <c r="K66" i="28"/>
  <c r="W64" i="18"/>
  <c r="K98" i="28"/>
  <c r="K130" i="28"/>
  <c r="K162" i="28"/>
  <c r="W160" i="18"/>
  <c r="K194" i="28"/>
  <c r="W192" i="18"/>
  <c r="K226" i="28"/>
  <c r="W224" i="18"/>
  <c r="K258" i="28"/>
  <c r="W256" i="18"/>
  <c r="K290" i="28"/>
  <c r="W288" i="18"/>
  <c r="K322" i="28"/>
  <c r="W320" i="18"/>
  <c r="K354" i="28"/>
  <c r="W352" i="18"/>
  <c r="K386" i="28"/>
  <c r="W384" i="18"/>
  <c r="K418" i="28"/>
  <c r="W416" i="18"/>
  <c r="K450" i="28"/>
  <c r="W448" i="18"/>
  <c r="K482" i="28"/>
  <c r="W480" i="18"/>
  <c r="K514" i="28"/>
  <c r="W512" i="18"/>
  <c r="K546" i="28"/>
  <c r="W544" i="18"/>
  <c r="K578" i="28"/>
  <c r="W576" i="18"/>
  <c r="K610" i="28"/>
  <c r="W608" i="18"/>
  <c r="K642" i="28"/>
  <c r="W640" i="18"/>
  <c r="K674" i="28"/>
  <c r="W672" i="18"/>
  <c r="K706" i="28"/>
  <c r="W704" i="18"/>
  <c r="K738" i="28"/>
  <c r="W736" i="18"/>
  <c r="K770" i="28"/>
  <c r="W768" i="18"/>
  <c r="K802" i="28"/>
  <c r="W800" i="18"/>
  <c r="K834" i="28"/>
  <c r="W832" i="18"/>
  <c r="K866" i="28"/>
  <c r="W864" i="18"/>
  <c r="K898" i="28"/>
  <c r="W896" i="18"/>
  <c r="K59" i="28"/>
  <c r="W57" i="18"/>
  <c r="K91" i="28"/>
  <c r="W89" i="18"/>
  <c r="K123" i="28"/>
  <c r="W121" i="18"/>
  <c r="K155" i="28"/>
  <c r="W153" i="18"/>
  <c r="K187" i="28"/>
  <c r="K219" i="28"/>
  <c r="K251" i="28"/>
  <c r="W249" i="18"/>
  <c r="K283" i="28"/>
  <c r="W281" i="18"/>
  <c r="K315" i="28"/>
  <c r="W313" i="18"/>
  <c r="K347" i="28"/>
  <c r="W345" i="18"/>
  <c r="K379" i="28"/>
  <c r="W377" i="18"/>
  <c r="K411" i="28"/>
  <c r="W409" i="18"/>
  <c r="K443" i="28"/>
  <c r="W441" i="18"/>
  <c r="K475" i="28"/>
  <c r="W473" i="18"/>
  <c r="K507" i="28"/>
  <c r="W505" i="18"/>
  <c r="K539" i="28"/>
  <c r="W537" i="18"/>
  <c r="K571" i="28"/>
  <c r="W569" i="18"/>
  <c r="K603" i="28"/>
  <c r="W601" i="18"/>
  <c r="K635" i="28"/>
  <c r="W633" i="18"/>
  <c r="K667" i="28"/>
  <c r="W665" i="18"/>
  <c r="K699" i="28"/>
  <c r="W697" i="18"/>
  <c r="K731" i="28"/>
  <c r="W729" i="18"/>
  <c r="K763" i="28"/>
  <c r="W761" i="18"/>
  <c r="K795" i="28"/>
  <c r="W793" i="18"/>
  <c r="K827" i="28"/>
  <c r="W825" i="18"/>
  <c r="K859" i="28"/>
  <c r="W857" i="18"/>
  <c r="K891" i="28"/>
  <c r="W889" i="18"/>
  <c r="K52" i="28"/>
  <c r="K84" i="28"/>
  <c r="W82" i="18"/>
  <c r="K116" i="28"/>
  <c r="W114" i="18"/>
  <c r="K148" i="28"/>
  <c r="W146" i="18"/>
  <c r="K180" i="28"/>
  <c r="W178" i="18"/>
  <c r="K212" i="28"/>
  <c r="W210" i="18"/>
  <c r="K244" i="28"/>
  <c r="W242" i="18"/>
  <c r="K276" i="28"/>
  <c r="W274" i="18"/>
  <c r="K308" i="28"/>
  <c r="W306" i="18"/>
  <c r="K340" i="28"/>
  <c r="W338" i="18"/>
  <c r="K372" i="28"/>
  <c r="W370" i="18"/>
  <c r="K404" i="28"/>
  <c r="W402" i="18"/>
  <c r="K436" i="28"/>
  <c r="W434" i="18"/>
  <c r="K468" i="28"/>
  <c r="W466" i="18"/>
  <c r="K500" i="28"/>
  <c r="W498" i="18"/>
  <c r="K532" i="28"/>
  <c r="W530" i="18"/>
  <c r="K564" i="28"/>
  <c r="W562" i="18"/>
  <c r="K596" i="28"/>
  <c r="W594" i="18"/>
  <c r="K628" i="28"/>
  <c r="W626" i="18"/>
  <c r="K660" i="28"/>
  <c r="W658" i="18"/>
  <c r="K692" i="28"/>
  <c r="W690" i="18"/>
  <c r="K724" i="28"/>
  <c r="W722" i="18"/>
  <c r="K756" i="28"/>
  <c r="W754" i="18"/>
  <c r="K788" i="28"/>
  <c r="W786" i="18"/>
  <c r="K820" i="28"/>
  <c r="W818" i="18"/>
  <c r="K852" i="28"/>
  <c r="W850" i="18"/>
  <c r="K884" i="28"/>
  <c r="W882" i="18"/>
  <c r="K904" i="28"/>
  <c r="W902" i="18"/>
  <c r="K577" i="28"/>
  <c r="W575" i="18"/>
  <c r="K649" i="28"/>
  <c r="W647" i="18"/>
  <c r="K737" i="28"/>
  <c r="W735" i="18"/>
  <c r="K841" i="28"/>
  <c r="W839" i="18"/>
  <c r="K152" i="28"/>
  <c r="W150" i="18"/>
  <c r="K424" i="28"/>
  <c r="W422" i="18"/>
  <c r="K880" i="28"/>
  <c r="W878" i="18"/>
  <c r="K225" i="28"/>
  <c r="W223" i="18"/>
  <c r="K698" i="28"/>
  <c r="W696" i="18"/>
  <c r="K37" i="28"/>
  <c r="K261" i="28"/>
  <c r="W259" i="18"/>
  <c r="K421" i="28"/>
  <c r="W419" i="18"/>
  <c r="K581" i="28"/>
  <c r="W579" i="18"/>
  <c r="K709" i="28"/>
  <c r="W707" i="18"/>
  <c r="K805" i="28"/>
  <c r="W803" i="18"/>
  <c r="K901" i="28"/>
  <c r="W899" i="18"/>
  <c r="K647" i="28"/>
  <c r="W645" i="18"/>
  <c r="K831" i="28"/>
  <c r="W829" i="18"/>
  <c r="K256" i="28"/>
  <c r="W254" i="18"/>
  <c r="K416" i="28"/>
  <c r="W414" i="18"/>
  <c r="K600" i="28"/>
  <c r="W598" i="18"/>
  <c r="K110" i="28"/>
  <c r="W108" i="18"/>
  <c r="K206" i="28"/>
  <c r="W204" i="18"/>
  <c r="K302" i="28"/>
  <c r="W300" i="18"/>
  <c r="K398" i="28"/>
  <c r="W396" i="18"/>
  <c r="K494" i="28"/>
  <c r="W492" i="18"/>
  <c r="K590" i="28"/>
  <c r="W588" i="18"/>
  <c r="K686" i="28"/>
  <c r="W684" i="18"/>
  <c r="K782" i="28"/>
  <c r="W780" i="18"/>
  <c r="K87" i="28"/>
  <c r="W85" i="18"/>
  <c r="K183" i="28"/>
  <c r="W181" i="18"/>
  <c r="K279" i="28"/>
  <c r="W277" i="18"/>
  <c r="K375" i="28"/>
  <c r="W373" i="18"/>
  <c r="K535" i="28"/>
  <c r="W533" i="18"/>
  <c r="K719" i="28"/>
  <c r="W717" i="18"/>
  <c r="K45" i="28"/>
  <c r="W43" i="18"/>
  <c r="K109" i="28"/>
  <c r="W107" i="18"/>
  <c r="K173" i="28"/>
  <c r="K237" i="28"/>
  <c r="W235" i="18"/>
  <c r="K301" i="28"/>
  <c r="W299" i="18"/>
  <c r="K365" i="28"/>
  <c r="W363" i="18"/>
  <c r="K397" i="28"/>
  <c r="W395" i="18"/>
  <c r="K429" i="28"/>
  <c r="W427" i="18"/>
  <c r="K493" i="28"/>
  <c r="W491" i="18"/>
  <c r="K525" i="28"/>
  <c r="W523" i="18"/>
  <c r="K557" i="28"/>
  <c r="W555" i="18"/>
  <c r="K589" i="28"/>
  <c r="W587" i="18"/>
  <c r="K621" i="28"/>
  <c r="W619" i="18"/>
  <c r="K653" i="28"/>
  <c r="W651" i="18"/>
  <c r="K685" i="28"/>
  <c r="W683" i="18"/>
  <c r="K717" i="28"/>
  <c r="W715" i="18"/>
  <c r="K749" i="28"/>
  <c r="W747" i="18"/>
  <c r="K781" i="28"/>
  <c r="W779" i="18"/>
  <c r="K813" i="28"/>
  <c r="W811" i="18"/>
  <c r="K845" i="28"/>
  <c r="W843" i="18"/>
  <c r="K877" i="28"/>
  <c r="W875" i="18"/>
  <c r="K519" i="28"/>
  <c r="W517" i="18"/>
  <c r="K591" i="28"/>
  <c r="W589" i="18"/>
  <c r="K663" i="28"/>
  <c r="W661" i="18"/>
  <c r="K727" i="28"/>
  <c r="W725" i="18"/>
  <c r="K783" i="28"/>
  <c r="W781" i="18"/>
  <c r="K847" i="28"/>
  <c r="W845" i="18"/>
  <c r="K903" i="28"/>
  <c r="W901" i="18"/>
  <c r="K232" i="28"/>
  <c r="W230" i="18"/>
  <c r="K272" i="28"/>
  <c r="W270" i="18"/>
  <c r="K312" i="28"/>
  <c r="W310" i="18"/>
  <c r="K376" i="28"/>
  <c r="W374" i="18"/>
  <c r="K432" i="28"/>
  <c r="W430" i="18"/>
  <c r="K488" i="28"/>
  <c r="W486" i="18"/>
  <c r="K552" i="28"/>
  <c r="W550" i="18"/>
  <c r="K616" i="28"/>
  <c r="W614" i="18"/>
  <c r="K672" i="28"/>
  <c r="W670" i="18"/>
  <c r="K736" i="28"/>
  <c r="W734" i="18"/>
  <c r="K800" i="28"/>
  <c r="W798" i="18"/>
  <c r="K54" i="28"/>
  <c r="W52" i="18"/>
  <c r="K86" i="28"/>
  <c r="W84" i="18"/>
  <c r="K118" i="28"/>
  <c r="W116" i="18"/>
  <c r="K150" i="28"/>
  <c r="W148" i="18"/>
  <c r="K182" i="28"/>
  <c r="W180" i="18"/>
  <c r="K214" i="28"/>
  <c r="W212" i="18"/>
  <c r="K246" i="28"/>
  <c r="W244" i="18"/>
  <c r="K278" i="28"/>
  <c r="W276" i="18"/>
  <c r="K310" i="28"/>
  <c r="W308" i="18"/>
  <c r="K342" i="28"/>
  <c r="W340" i="18"/>
  <c r="K374" i="28"/>
  <c r="W372" i="18"/>
  <c r="K406" i="28"/>
  <c r="W404" i="18"/>
  <c r="K438" i="28"/>
  <c r="W436" i="18"/>
  <c r="K470" i="28"/>
  <c r="W468" i="18"/>
  <c r="K502" i="28"/>
  <c r="W500" i="18"/>
  <c r="K534" i="28"/>
  <c r="W532" i="18"/>
  <c r="K566" i="28"/>
  <c r="W564" i="18"/>
  <c r="K598" i="28"/>
  <c r="W596" i="18"/>
  <c r="K630" i="28"/>
  <c r="W628" i="18"/>
  <c r="K662" i="28"/>
  <c r="W660" i="18"/>
  <c r="K694" i="28"/>
  <c r="W692" i="18"/>
  <c r="K726" i="28"/>
  <c r="W724" i="18"/>
  <c r="K758" i="28"/>
  <c r="W756" i="18"/>
  <c r="K790" i="28"/>
  <c r="W788" i="18"/>
  <c r="K822" i="28"/>
  <c r="W820" i="18"/>
  <c r="K854" i="28"/>
  <c r="W852" i="18"/>
  <c r="K886" i="28"/>
  <c r="W884" i="18"/>
  <c r="K63" i="28"/>
  <c r="W61" i="18"/>
  <c r="K95" i="28"/>
  <c r="W93" i="18"/>
  <c r="K127" i="28"/>
  <c r="K159" i="28"/>
  <c r="K191" i="28"/>
  <c r="W189" i="18"/>
  <c r="K223" i="28"/>
  <c r="W221" i="18"/>
  <c r="K255" i="28"/>
  <c r="W253" i="18"/>
  <c r="K287" i="28"/>
  <c r="W285" i="18"/>
  <c r="K319" i="28"/>
  <c r="W317" i="18"/>
  <c r="K351" i="28"/>
  <c r="W349" i="18"/>
  <c r="K383" i="28"/>
  <c r="W381" i="18"/>
  <c r="K423" i="28"/>
  <c r="W421" i="18"/>
  <c r="K455" i="28"/>
  <c r="W453" i="18"/>
  <c r="K495" i="28"/>
  <c r="W493" i="18"/>
  <c r="K551" i="28"/>
  <c r="W549" i="18"/>
  <c r="K615" i="28"/>
  <c r="W613" i="18"/>
  <c r="K671" i="28"/>
  <c r="W669" i="18"/>
  <c r="K735" i="28"/>
  <c r="W733" i="18"/>
  <c r="K807" i="28"/>
  <c r="W805" i="18"/>
  <c r="K879" i="28"/>
  <c r="W877" i="18"/>
  <c r="K120" i="28"/>
  <c r="W118" i="18"/>
  <c r="K496" i="28"/>
  <c r="W494" i="18"/>
  <c r="K824" i="28"/>
  <c r="W822" i="18"/>
  <c r="K705" i="28"/>
  <c r="W703" i="18"/>
  <c r="K145" i="28"/>
  <c r="K353" i="28"/>
  <c r="W351" i="18"/>
  <c r="K529" i="28"/>
  <c r="W527" i="18"/>
  <c r="K58" i="28"/>
  <c r="W56" i="18"/>
  <c r="K282" i="28"/>
  <c r="W280" i="18"/>
  <c r="K442" i="28"/>
  <c r="W440" i="18"/>
  <c r="K634" i="28"/>
  <c r="W632" i="18"/>
  <c r="K826" i="28"/>
  <c r="W824" i="18"/>
  <c r="K83" i="28"/>
  <c r="W81" i="18"/>
  <c r="K307" i="28"/>
  <c r="W305" i="18"/>
  <c r="K435" i="28"/>
  <c r="W433" i="18"/>
  <c r="K627" i="28"/>
  <c r="W625" i="18"/>
  <c r="K755" i="28"/>
  <c r="W753" i="18"/>
  <c r="K883" i="28"/>
  <c r="W881" i="18"/>
  <c r="K108" i="28"/>
  <c r="W106" i="18"/>
  <c r="K268" i="28"/>
  <c r="W266" i="18"/>
  <c r="K396" i="28"/>
  <c r="W394" i="18"/>
  <c r="K492" i="28"/>
  <c r="W490" i="18"/>
  <c r="K620" i="28"/>
  <c r="W618" i="18"/>
  <c r="K716" i="28"/>
  <c r="W714" i="18"/>
  <c r="K812" i="28"/>
  <c r="W810" i="18"/>
  <c r="K876" i="28"/>
  <c r="W874" i="18"/>
  <c r="K633" i="28"/>
  <c r="W631" i="18"/>
  <c r="K840" i="28"/>
  <c r="W838" i="18"/>
  <c r="K229" i="28"/>
  <c r="W227" i="18"/>
  <c r="K389" i="28"/>
  <c r="W387" i="18"/>
  <c r="K549" i="28"/>
  <c r="W547" i="18"/>
  <c r="K677" i="28"/>
  <c r="W675" i="18"/>
  <c r="K773" i="28"/>
  <c r="W771" i="18"/>
  <c r="K869" i="28"/>
  <c r="W867" i="18"/>
  <c r="K575" i="28"/>
  <c r="W573" i="18"/>
  <c r="K767" i="28"/>
  <c r="W765" i="18"/>
  <c r="K887" i="28"/>
  <c r="W885" i="18"/>
  <c r="K304" i="28"/>
  <c r="W302" i="18"/>
  <c r="K480" i="28"/>
  <c r="W478" i="18"/>
  <c r="K656" i="28"/>
  <c r="W654" i="18"/>
  <c r="K784" i="28"/>
  <c r="W782" i="18"/>
  <c r="K78" i="28"/>
  <c r="W76" i="18"/>
  <c r="K174" i="28"/>
  <c r="K270" i="28"/>
  <c r="W268" i="18"/>
  <c r="K366" i="28"/>
  <c r="W364" i="18"/>
  <c r="K462" i="28"/>
  <c r="W460" i="18"/>
  <c r="K558" i="28"/>
  <c r="W556" i="18"/>
  <c r="K654" i="28"/>
  <c r="W652" i="18"/>
  <c r="K750" i="28"/>
  <c r="W748" i="18"/>
  <c r="K846" i="28"/>
  <c r="W844" i="18"/>
  <c r="K55" i="28"/>
  <c r="W53" i="18"/>
  <c r="K151" i="28"/>
  <c r="W149" i="18"/>
  <c r="K247" i="28"/>
  <c r="W245" i="18"/>
  <c r="K343" i="28"/>
  <c r="W341" i="18"/>
  <c r="K447" i="28"/>
  <c r="W445" i="18"/>
  <c r="K599" i="28"/>
  <c r="W597" i="18"/>
  <c r="K791" i="28"/>
  <c r="W789" i="18"/>
  <c r="K77" i="28"/>
  <c r="W75" i="18"/>
  <c r="K141" i="28"/>
  <c r="W139" i="18"/>
  <c r="K205" i="28"/>
  <c r="K269" i="28"/>
  <c r="W267" i="18"/>
  <c r="K333" i="28"/>
  <c r="W331" i="18"/>
  <c r="K461" i="28"/>
  <c r="W459" i="18"/>
  <c r="K40" i="28"/>
  <c r="W38" i="18"/>
  <c r="K72" i="28"/>
  <c r="W70" i="18"/>
  <c r="K104" i="28"/>
  <c r="W102" i="18"/>
  <c r="K136" i="28"/>
  <c r="W134" i="18"/>
  <c r="K168" i="28"/>
  <c r="W166" i="18"/>
  <c r="K200" i="28"/>
  <c r="W198" i="18"/>
  <c r="K320" i="28"/>
  <c r="W318" i="18"/>
  <c r="K384" i="28"/>
  <c r="W382" i="18"/>
  <c r="K456" i="28"/>
  <c r="W454" i="18"/>
  <c r="K528" i="28"/>
  <c r="W526" i="18"/>
  <c r="K592" i="28"/>
  <c r="W590" i="18"/>
  <c r="K664" i="28"/>
  <c r="W662" i="18"/>
  <c r="K728" i="28"/>
  <c r="W726" i="18"/>
  <c r="K792" i="28"/>
  <c r="W790" i="18"/>
  <c r="K856" i="28"/>
  <c r="W854" i="18"/>
  <c r="K896" i="28"/>
  <c r="W894" i="18"/>
  <c r="K561" i="28"/>
  <c r="W559" i="18"/>
  <c r="K665" i="28"/>
  <c r="W663" i="18"/>
  <c r="K753" i="28"/>
  <c r="W751" i="18"/>
  <c r="K825" i="28"/>
  <c r="W823" i="18"/>
  <c r="K905" i="28"/>
  <c r="W903" i="18"/>
  <c r="K65" i="28"/>
  <c r="W63" i="18"/>
  <c r="K97" i="28"/>
  <c r="K129" i="28"/>
  <c r="W127" i="18"/>
  <c r="K161" i="28"/>
  <c r="K193" i="28"/>
  <c r="W191" i="18"/>
  <c r="K241" i="28"/>
  <c r="W239" i="18"/>
  <c r="K273" i="28"/>
  <c r="W271" i="18"/>
  <c r="K305" i="28"/>
  <c r="W303" i="18"/>
  <c r="K337" i="28"/>
  <c r="W335" i="18"/>
  <c r="K369" i="28"/>
  <c r="W367" i="18"/>
  <c r="K401" i="28"/>
  <c r="W399" i="18"/>
  <c r="K433" i="28"/>
  <c r="W431" i="18"/>
  <c r="K465" i="28"/>
  <c r="W463" i="18"/>
  <c r="K513" i="28"/>
  <c r="W511" i="18"/>
  <c r="K569" i="28"/>
  <c r="W567" i="18"/>
  <c r="K689" i="28"/>
  <c r="W687" i="18"/>
  <c r="K801" i="28"/>
  <c r="W799" i="18"/>
  <c r="K42" i="28"/>
  <c r="W40" i="18"/>
  <c r="K74" i="28"/>
  <c r="W72" i="18"/>
  <c r="K106" i="28"/>
  <c r="W104" i="18"/>
  <c r="K138" i="28"/>
  <c r="W136" i="18"/>
  <c r="K170" i="28"/>
  <c r="W168" i="18"/>
  <c r="K202" i="28"/>
  <c r="K234" i="28"/>
  <c r="W232" i="18"/>
  <c r="K266" i="28"/>
  <c r="W264" i="18"/>
  <c r="K298" i="28"/>
  <c r="W296" i="18"/>
  <c r="K330" i="28"/>
  <c r="W328" i="18"/>
  <c r="K362" i="28"/>
  <c r="W360" i="18"/>
  <c r="K394" i="28"/>
  <c r="W392" i="18"/>
  <c r="K426" i="28"/>
  <c r="W424" i="18"/>
  <c r="K458" i="28"/>
  <c r="W456" i="18"/>
  <c r="K490" i="28"/>
  <c r="W488" i="18"/>
  <c r="K522" i="28"/>
  <c r="W520" i="18"/>
  <c r="K554" i="28"/>
  <c r="W552" i="18"/>
  <c r="K586" i="28"/>
  <c r="W584" i="18"/>
  <c r="K618" i="28"/>
  <c r="W616" i="18"/>
  <c r="K650" i="28"/>
  <c r="W648" i="18"/>
  <c r="K682" i="28"/>
  <c r="W680" i="18"/>
  <c r="K714" i="28"/>
  <c r="W712" i="18"/>
  <c r="K746" i="28"/>
  <c r="W744" i="18"/>
  <c r="K778" i="28"/>
  <c r="W776" i="18"/>
  <c r="K810" i="28"/>
  <c r="W808" i="18"/>
  <c r="K842" i="28"/>
  <c r="W840" i="18"/>
  <c r="K874" i="28"/>
  <c r="W872" i="18"/>
  <c r="K906" i="28"/>
  <c r="W904" i="18"/>
  <c r="K67" i="28"/>
  <c r="K99" i="28"/>
  <c r="W97" i="18"/>
  <c r="K131" i="28"/>
  <c r="W129" i="18"/>
  <c r="K163" i="28"/>
  <c r="W161" i="18"/>
  <c r="K195" i="28"/>
  <c r="W193" i="18"/>
  <c r="K227" i="28"/>
  <c r="W225" i="18"/>
  <c r="K259" i="28"/>
  <c r="W257" i="18"/>
  <c r="K291" i="28"/>
  <c r="W289" i="18"/>
  <c r="K323" i="28"/>
  <c r="W321" i="18"/>
  <c r="K355" i="28"/>
  <c r="W353" i="18"/>
  <c r="K387" i="28"/>
  <c r="W385" i="18"/>
  <c r="K419" i="28"/>
  <c r="W417" i="18"/>
  <c r="K451" i="28"/>
  <c r="W449" i="18"/>
  <c r="K483" i="28"/>
  <c r="W481" i="18"/>
  <c r="K515" i="28"/>
  <c r="W513" i="18"/>
  <c r="K547" i="28"/>
  <c r="W545" i="18"/>
  <c r="K579" i="28"/>
  <c r="W577" i="18"/>
  <c r="K611" i="28"/>
  <c r="W609" i="18"/>
  <c r="K643" i="28"/>
  <c r="W641" i="18"/>
  <c r="K675" i="28"/>
  <c r="W673" i="18"/>
  <c r="K707" i="28"/>
  <c r="W705" i="18"/>
  <c r="K739" i="28"/>
  <c r="W737" i="18"/>
  <c r="K771" i="28"/>
  <c r="W769" i="18"/>
  <c r="K803" i="28"/>
  <c r="W801" i="18"/>
  <c r="K835" i="28"/>
  <c r="W833" i="18"/>
  <c r="K867" i="28"/>
  <c r="W865" i="18"/>
  <c r="K899" i="28"/>
  <c r="W897" i="18"/>
  <c r="K60" i="28"/>
  <c r="W58" i="18"/>
  <c r="K92" i="28"/>
  <c r="W90" i="18"/>
  <c r="K124" i="28"/>
  <c r="W122" i="18"/>
  <c r="K156" i="28"/>
  <c r="W154" i="18"/>
  <c r="K188" i="28"/>
  <c r="K220" i="28"/>
  <c r="K252" i="28"/>
  <c r="W250" i="18"/>
  <c r="K284" i="28"/>
  <c r="W282" i="18"/>
  <c r="K316" i="28"/>
  <c r="W314" i="18"/>
  <c r="K348" i="28"/>
  <c r="W346" i="18"/>
  <c r="K380" i="28"/>
  <c r="W378" i="18"/>
  <c r="K412" i="28"/>
  <c r="W410" i="18"/>
  <c r="K444" i="28"/>
  <c r="W442" i="18"/>
  <c r="K476" i="28"/>
  <c r="W474" i="18"/>
  <c r="K508" i="28"/>
  <c r="W506" i="18"/>
  <c r="K540" i="28"/>
  <c r="W538" i="18"/>
  <c r="K572" i="28"/>
  <c r="W570" i="18"/>
  <c r="K604" i="28"/>
  <c r="W602" i="18"/>
  <c r="K636" i="28"/>
  <c r="W634" i="18"/>
  <c r="K668" i="28"/>
  <c r="W666" i="18"/>
  <c r="K700" i="28"/>
  <c r="W698" i="18"/>
  <c r="K732" i="28"/>
  <c r="W730" i="18"/>
  <c r="K764" i="28"/>
  <c r="W762" i="18"/>
  <c r="K796" i="28"/>
  <c r="W794" i="18"/>
  <c r="K828" i="28"/>
  <c r="W826" i="18"/>
  <c r="K860" i="28"/>
  <c r="W858" i="18"/>
  <c r="K892" i="28"/>
  <c r="W890" i="18"/>
  <c r="K217" i="28"/>
  <c r="K601" i="28"/>
  <c r="W599" i="18"/>
  <c r="K673" i="28"/>
  <c r="W671" i="18"/>
  <c r="K761" i="28"/>
  <c r="W759" i="18"/>
  <c r="K857" i="28"/>
  <c r="W855" i="18"/>
  <c r="K88" i="28"/>
  <c r="W86" i="18"/>
  <c r="K696" i="28"/>
  <c r="W694" i="18"/>
  <c r="K49" i="28"/>
  <c r="W47" i="18"/>
  <c r="K321" i="28"/>
  <c r="W319" i="18"/>
  <c r="K745" i="28"/>
  <c r="W743" i="18"/>
  <c r="K186" i="28"/>
  <c r="W184" i="18"/>
  <c r="K410" i="28"/>
  <c r="W408" i="18"/>
  <c r="K666" i="28"/>
  <c r="W664" i="18"/>
  <c r="K890" i="28"/>
  <c r="W888" i="18"/>
  <c r="K211" i="28"/>
  <c r="W209" i="18"/>
  <c r="K403" i="28"/>
  <c r="W401" i="18"/>
  <c r="K659" i="28"/>
  <c r="W657" i="18"/>
  <c r="K851" i="28"/>
  <c r="W849" i="18"/>
  <c r="K204" i="28"/>
  <c r="K524" i="28"/>
  <c r="W522" i="18"/>
  <c r="K197" i="28"/>
  <c r="W195" i="18"/>
  <c r="K485" i="28"/>
  <c r="W483" i="18"/>
  <c r="K53" i="28"/>
  <c r="W51" i="18"/>
  <c r="K181" i="28"/>
  <c r="W179" i="18"/>
  <c r="K309" i="28"/>
  <c r="W307" i="18"/>
  <c r="K469" i="28"/>
  <c r="W467" i="18"/>
  <c r="K629" i="28"/>
  <c r="W627" i="18"/>
  <c r="K757" i="28"/>
  <c r="W755" i="18"/>
  <c r="K885" i="28"/>
  <c r="W883" i="18"/>
  <c r="K679" i="28"/>
  <c r="W677" i="18"/>
  <c r="K863" i="28"/>
  <c r="W861" i="18"/>
  <c r="K280" i="28"/>
  <c r="W278" i="18"/>
  <c r="K568" i="28"/>
  <c r="W566" i="18"/>
  <c r="K62" i="28"/>
  <c r="W60" i="18"/>
  <c r="K158" i="28"/>
  <c r="K254" i="28"/>
  <c r="W252" i="18"/>
  <c r="K350" i="28"/>
  <c r="W348" i="18"/>
  <c r="K446" i="28"/>
  <c r="W444" i="18"/>
  <c r="K542" i="28"/>
  <c r="W540" i="18"/>
  <c r="K670" i="28"/>
  <c r="W668" i="18"/>
  <c r="K766" i="28"/>
  <c r="W764" i="18"/>
  <c r="K862" i="28"/>
  <c r="W860" i="18"/>
  <c r="K71" i="28"/>
  <c r="W69" i="18"/>
  <c r="K167" i="28"/>
  <c r="W165" i="18"/>
  <c r="K263" i="28"/>
  <c r="W261" i="18"/>
  <c r="K359" i="28"/>
  <c r="W357" i="18"/>
  <c r="K463" i="28"/>
  <c r="W461" i="18"/>
  <c r="K567" i="28"/>
  <c r="W565" i="18"/>
  <c r="K687" i="28"/>
  <c r="W685" i="18"/>
  <c r="K823" i="28"/>
  <c r="W821" i="18"/>
  <c r="K895" i="28"/>
  <c r="W893" i="18"/>
  <c r="K352" i="28"/>
  <c r="W350" i="18"/>
  <c r="K760" i="28"/>
  <c r="W758" i="18"/>
  <c r="K793" i="28"/>
  <c r="W791" i="18"/>
  <c r="K177" i="28"/>
  <c r="W175" i="18"/>
  <c r="K385" i="28"/>
  <c r="W383" i="18"/>
  <c r="K625" i="28"/>
  <c r="W623" i="18"/>
  <c r="K122" i="28"/>
  <c r="W120" i="18"/>
  <c r="K314" i="28"/>
  <c r="W312" i="18"/>
  <c r="K538" i="28"/>
  <c r="W536" i="18"/>
  <c r="K794" i="28"/>
  <c r="W792" i="18"/>
  <c r="K115" i="28"/>
  <c r="K467" i="28"/>
  <c r="W465" i="18"/>
  <c r="K76" i="28"/>
  <c r="W74" i="18"/>
  <c r="K133" i="28"/>
  <c r="W131" i="18"/>
  <c r="K453" i="28"/>
  <c r="W451" i="18"/>
  <c r="K117" i="28"/>
  <c r="W115" i="18"/>
  <c r="K213" i="28"/>
  <c r="W211" i="18"/>
  <c r="K341" i="28"/>
  <c r="W339" i="18"/>
  <c r="K405" i="28"/>
  <c r="W403" i="18"/>
  <c r="K501" i="28"/>
  <c r="W499" i="18"/>
  <c r="K597" i="28"/>
  <c r="W595" i="18"/>
  <c r="K693" i="28"/>
  <c r="W691" i="18"/>
  <c r="K789" i="28"/>
  <c r="W787" i="18"/>
  <c r="K853" i="28"/>
  <c r="W851" i="18"/>
  <c r="K543" i="28"/>
  <c r="W541" i="18"/>
  <c r="K799" i="28"/>
  <c r="W797" i="18"/>
  <c r="K392" i="28"/>
  <c r="W390" i="18"/>
  <c r="K574" i="28"/>
  <c r="W572" i="18"/>
  <c r="K94" i="28"/>
  <c r="W92" i="18"/>
  <c r="K48" i="28"/>
  <c r="W46" i="18"/>
  <c r="K80" i="28"/>
  <c r="W78" i="18"/>
  <c r="K112" i="28"/>
  <c r="K144" i="28"/>
  <c r="K176" i="28"/>
  <c r="W174" i="18"/>
  <c r="K208" i="28"/>
  <c r="W206" i="18"/>
  <c r="K336" i="28"/>
  <c r="W334" i="18"/>
  <c r="K408" i="28"/>
  <c r="W406" i="18"/>
  <c r="K472" i="28"/>
  <c r="W470" i="18"/>
  <c r="K544" i="28"/>
  <c r="W542" i="18"/>
  <c r="K608" i="28"/>
  <c r="W606" i="18"/>
  <c r="K680" i="28"/>
  <c r="W678" i="18"/>
  <c r="K744" i="28"/>
  <c r="W742" i="18"/>
  <c r="K808" i="28"/>
  <c r="W806" i="18"/>
  <c r="K872" i="28"/>
  <c r="W870" i="18"/>
  <c r="K209" i="28"/>
  <c r="W207" i="18"/>
  <c r="K585" i="28"/>
  <c r="W583" i="18"/>
  <c r="K681" i="28"/>
  <c r="W679" i="18"/>
  <c r="K769" i="28"/>
  <c r="W767" i="18"/>
  <c r="K849" i="28"/>
  <c r="W847" i="18"/>
  <c r="K41" i="28"/>
  <c r="W39" i="18"/>
  <c r="K73" i="28"/>
  <c r="W71" i="18"/>
  <c r="K105" i="28"/>
  <c r="W103" i="18"/>
  <c r="K137" i="28"/>
  <c r="W135" i="18"/>
  <c r="K169" i="28"/>
  <c r="W167" i="18"/>
  <c r="K201" i="28"/>
  <c r="W199" i="18"/>
  <c r="K249" i="28"/>
  <c r="W247" i="18"/>
  <c r="K281" i="28"/>
  <c r="W279" i="18"/>
  <c r="K313" i="28"/>
  <c r="W311" i="18"/>
  <c r="K345" i="28"/>
  <c r="W343" i="18"/>
  <c r="K377" i="28"/>
  <c r="W375" i="18"/>
  <c r="K409" i="28"/>
  <c r="W407" i="18"/>
  <c r="K441" i="28"/>
  <c r="W439" i="18"/>
  <c r="K473" i="28"/>
  <c r="W471" i="18"/>
  <c r="K521" i="28"/>
  <c r="W519" i="18"/>
  <c r="K593" i="28"/>
  <c r="W591" i="18"/>
  <c r="K713" i="28"/>
  <c r="W711" i="18"/>
  <c r="K833" i="28"/>
  <c r="W831" i="18"/>
  <c r="K50" i="28"/>
  <c r="W48" i="18"/>
  <c r="K82" i="28"/>
  <c r="K114" i="28"/>
  <c r="W112" i="18"/>
  <c r="K146" i="28"/>
  <c r="K178" i="28"/>
  <c r="W176" i="18"/>
  <c r="K210" i="28"/>
  <c r="W208" i="18"/>
  <c r="K242" i="28"/>
  <c r="W240" i="18"/>
  <c r="K274" i="28"/>
  <c r="W272" i="18"/>
  <c r="K306" i="28"/>
  <c r="W304" i="18"/>
  <c r="K338" i="28"/>
  <c r="W336" i="18"/>
  <c r="K370" i="28"/>
  <c r="W368" i="18"/>
  <c r="K402" i="28"/>
  <c r="W400" i="18"/>
  <c r="K434" i="28"/>
  <c r="W432" i="18"/>
  <c r="K466" i="28"/>
  <c r="W464" i="18"/>
  <c r="K498" i="28"/>
  <c r="W496" i="18"/>
  <c r="K530" i="28"/>
  <c r="W528" i="18"/>
  <c r="K562" i="28"/>
  <c r="W560" i="18"/>
  <c r="K594" i="28"/>
  <c r="W592" i="18"/>
  <c r="K626" i="28"/>
  <c r="W624" i="18"/>
  <c r="K658" i="28"/>
  <c r="W656" i="18"/>
  <c r="K690" i="28"/>
  <c r="W688" i="18"/>
  <c r="K722" i="28"/>
  <c r="W720" i="18"/>
  <c r="K754" i="28"/>
  <c r="W752" i="18"/>
  <c r="K786" i="28"/>
  <c r="W784" i="18"/>
  <c r="K818" i="28"/>
  <c r="W816" i="18"/>
  <c r="K850" i="28"/>
  <c r="W848" i="18"/>
  <c r="K882" i="28"/>
  <c r="W880" i="18"/>
  <c r="K43" i="28"/>
  <c r="W41" i="18"/>
  <c r="K75" i="28"/>
  <c r="W73" i="18"/>
  <c r="K107" i="28"/>
  <c r="W105" i="18"/>
  <c r="K139" i="28"/>
  <c r="W137" i="18"/>
  <c r="K171" i="28"/>
  <c r="W169" i="18"/>
  <c r="K203" i="28"/>
  <c r="K235" i="28"/>
  <c r="W233" i="18"/>
  <c r="K267" i="28"/>
  <c r="W265" i="18"/>
  <c r="K299" i="28"/>
  <c r="W297" i="18"/>
  <c r="K331" i="28"/>
  <c r="W329" i="18"/>
  <c r="K363" i="28"/>
  <c r="W361" i="18"/>
  <c r="K395" i="28"/>
  <c r="W393" i="18"/>
  <c r="K427" i="28"/>
  <c r="W425" i="18"/>
  <c r="K459" i="28"/>
  <c r="W457" i="18"/>
  <c r="K491" i="28"/>
  <c r="W489" i="18"/>
  <c r="K523" i="28"/>
  <c r="W521" i="18"/>
  <c r="K555" i="28"/>
  <c r="W553" i="18"/>
  <c r="K587" i="28"/>
  <c r="W585" i="18"/>
  <c r="K619" i="28"/>
  <c r="W617" i="18"/>
  <c r="K651" i="28"/>
  <c r="W649" i="18"/>
  <c r="K683" i="28"/>
  <c r="W681" i="18"/>
  <c r="K715" i="28"/>
  <c r="W713" i="18"/>
  <c r="K747" i="28"/>
  <c r="W745" i="18"/>
  <c r="K779" i="28"/>
  <c r="W777" i="18"/>
  <c r="K811" i="28"/>
  <c r="W809" i="18"/>
  <c r="K843" i="28"/>
  <c r="W841" i="18"/>
  <c r="K875" i="28"/>
  <c r="W873" i="18"/>
  <c r="K68" i="28"/>
  <c r="W66" i="18"/>
  <c r="K100" i="28"/>
  <c r="K132" i="28"/>
  <c r="W130" i="18"/>
  <c r="K164" i="28"/>
  <c r="W162" i="18"/>
  <c r="K196" i="28"/>
  <c r="W194" i="18"/>
  <c r="K228" i="28"/>
  <c r="W226" i="18"/>
  <c r="K260" i="28"/>
  <c r="W258" i="18"/>
  <c r="K292" i="28"/>
  <c r="W290" i="18"/>
  <c r="K324" i="28"/>
  <c r="W322" i="18"/>
  <c r="K356" i="28"/>
  <c r="W354" i="18"/>
  <c r="K388" i="28"/>
  <c r="W386" i="18"/>
  <c r="K420" i="28"/>
  <c r="W418" i="18"/>
  <c r="K452" i="28"/>
  <c r="W450" i="18"/>
  <c r="K484" i="28"/>
  <c r="W482" i="18"/>
  <c r="K516" i="28"/>
  <c r="W514" i="18"/>
  <c r="K548" i="28"/>
  <c r="W546" i="18"/>
  <c r="K580" i="28"/>
  <c r="W578" i="18"/>
  <c r="K612" i="28"/>
  <c r="W610" i="18"/>
  <c r="K644" i="28"/>
  <c r="W642" i="18"/>
  <c r="K676" i="28"/>
  <c r="W674" i="18"/>
  <c r="K708" i="28"/>
  <c r="W706" i="18"/>
  <c r="K740" i="28"/>
  <c r="W738" i="18"/>
  <c r="K772" i="28"/>
  <c r="W770" i="18"/>
  <c r="K804" i="28"/>
  <c r="W802" i="18"/>
  <c r="K836" i="28"/>
  <c r="W834" i="18"/>
  <c r="K868" i="28"/>
  <c r="W866" i="18"/>
  <c r="K900" i="28"/>
  <c r="W898" i="18"/>
  <c r="K505" i="28"/>
  <c r="W503" i="18"/>
  <c r="K617" i="28"/>
  <c r="W615" i="18"/>
  <c r="K697" i="28"/>
  <c r="W695" i="18"/>
  <c r="K785" i="28"/>
  <c r="W783" i="18"/>
  <c r="K881" i="28"/>
  <c r="W879" i="18"/>
  <c r="Z88" i="20"/>
  <c r="I6" i="20" s="1"/>
  <c r="AL88" i="20"/>
  <c r="AK88" i="20"/>
  <c r="V109" i="19"/>
  <c r="V108" i="19"/>
  <c r="V106" i="19"/>
  <c r="V105" i="19"/>
  <c r="V110" i="19"/>
  <c r="W104" i="19"/>
  <c r="W111" i="19" s="1"/>
  <c r="AV109" i="19"/>
  <c r="AV108" i="19"/>
  <c r="AV106" i="19"/>
  <c r="AV105" i="19"/>
  <c r="AV110" i="19"/>
  <c r="B162" i="19"/>
  <c r="X114" i="19"/>
  <c r="AW104" i="19"/>
  <c r="AW111" i="19" s="1"/>
  <c r="B111" i="19"/>
  <c r="E7" i="3"/>
  <c r="D12" i="3" s="1"/>
  <c r="AA6" i="11"/>
  <c r="AB6" i="11" s="1"/>
  <c r="AA7" i="11"/>
  <c r="AB7" i="11" s="1"/>
  <c r="AA8" i="11"/>
  <c r="AB8" i="11" s="1"/>
  <c r="AA9" i="11"/>
  <c r="AB9" i="11" s="1"/>
  <c r="AA10" i="11"/>
  <c r="AB10" i="11" s="1"/>
  <c r="AA11" i="11"/>
  <c r="AB11" i="11" s="1"/>
  <c r="AA12" i="11"/>
  <c r="AB12" i="11" s="1"/>
  <c r="AA13" i="11"/>
  <c r="AB13" i="11" s="1"/>
  <c r="AA14" i="11"/>
  <c r="AB14" i="11" s="1"/>
  <c r="AA15" i="11"/>
  <c r="AB15" i="11" s="1"/>
  <c r="AA16" i="11"/>
  <c r="AB16" i="11" s="1"/>
  <c r="AA17" i="11"/>
  <c r="AB17" i="11" s="1"/>
  <c r="AA18" i="11"/>
  <c r="AB18" i="11" s="1"/>
  <c r="AA19" i="11"/>
  <c r="AB19" i="11" s="1"/>
  <c r="AA20" i="11"/>
  <c r="AB20" i="11" s="1"/>
  <c r="AA21" i="11"/>
  <c r="AB21" i="11" s="1"/>
  <c r="AA22" i="11"/>
  <c r="AB22" i="11" s="1"/>
  <c r="AA23" i="11"/>
  <c r="AB23" i="11" s="1"/>
  <c r="AA5" i="11"/>
  <c r="AB5" i="11" s="1"/>
  <c r="B6" i="19"/>
  <c r="A50" i="18"/>
  <c r="C50" i="18"/>
  <c r="A52" i="28" s="1"/>
  <c r="AA50" i="18"/>
  <c r="AJ50" i="18"/>
  <c r="A51" i="18"/>
  <c r="B51" i="18" s="1"/>
  <c r="C51" i="18"/>
  <c r="A53" i="28" s="1"/>
  <c r="AA51" i="18"/>
  <c r="AF51" i="18" s="1"/>
  <c r="AJ51" i="18"/>
  <c r="AH53" i="28" s="1"/>
  <c r="A52" i="18"/>
  <c r="B52" i="18" s="1"/>
  <c r="C52" i="18"/>
  <c r="A54" i="28" s="1"/>
  <c r="AA52" i="18"/>
  <c r="AF52" i="18" s="1"/>
  <c r="AJ52" i="18"/>
  <c r="AO52" i="18" s="1"/>
  <c r="A53" i="18"/>
  <c r="B53" i="18" s="1"/>
  <c r="C53" i="18"/>
  <c r="A55" i="28" s="1"/>
  <c r="AA53" i="18"/>
  <c r="AF53" i="18" s="1"/>
  <c r="AJ53" i="18"/>
  <c r="AO53" i="18" s="1"/>
  <c r="A54" i="18"/>
  <c r="B54" i="18" s="1"/>
  <c r="C54" i="18"/>
  <c r="A56" i="28" s="1"/>
  <c r="AA54" i="18"/>
  <c r="AF54" i="18" s="1"/>
  <c r="AJ54" i="18"/>
  <c r="AO54" i="18" s="1"/>
  <c r="A55" i="18"/>
  <c r="B55" i="18" s="1"/>
  <c r="C55" i="18"/>
  <c r="A57" i="28" s="1"/>
  <c r="AA55" i="18"/>
  <c r="AF55" i="18" s="1"/>
  <c r="AJ55" i="18"/>
  <c r="AO55" i="18" s="1"/>
  <c r="A56" i="18"/>
  <c r="B56" i="18" s="1"/>
  <c r="C56" i="18"/>
  <c r="A58" i="28" s="1"/>
  <c r="AA56" i="18"/>
  <c r="AF56" i="18" s="1"/>
  <c r="AJ56" i="18"/>
  <c r="AH58" i="28" s="1"/>
  <c r="A57" i="18"/>
  <c r="B57" i="18" s="1"/>
  <c r="C57" i="18"/>
  <c r="A59" i="28" s="1"/>
  <c r="AA57" i="18"/>
  <c r="AF57" i="18" s="1"/>
  <c r="AJ57" i="18"/>
  <c r="AO57" i="18" s="1"/>
  <c r="A58" i="18"/>
  <c r="B58" i="18" s="1"/>
  <c r="C58" i="18"/>
  <c r="A60" i="28" s="1"/>
  <c r="AA58" i="18"/>
  <c r="AF58" i="18" s="1"/>
  <c r="AJ58" i="18"/>
  <c r="AO58" i="18" s="1"/>
  <c r="A59" i="18"/>
  <c r="B59" i="18" s="1"/>
  <c r="C59" i="18"/>
  <c r="A61" i="28" s="1"/>
  <c r="AA59" i="18"/>
  <c r="AF59" i="18" s="1"/>
  <c r="AJ59" i="18"/>
  <c r="AO59" i="18" s="1"/>
  <c r="A60" i="18"/>
  <c r="B60" i="18" s="1"/>
  <c r="C60" i="18"/>
  <c r="A62" i="28" s="1"/>
  <c r="AA60" i="18"/>
  <c r="AF60" i="18" s="1"/>
  <c r="AJ60" i="18"/>
  <c r="AO60" i="18" s="1"/>
  <c r="A61" i="18"/>
  <c r="B61" i="18" s="1"/>
  <c r="C61" i="18"/>
  <c r="A63" i="28" s="1"/>
  <c r="AA61" i="18"/>
  <c r="AF61" i="18" s="1"/>
  <c r="AJ61" i="18"/>
  <c r="AO61" i="18" s="1"/>
  <c r="A62" i="18"/>
  <c r="B62" i="18" s="1"/>
  <c r="C62" i="18"/>
  <c r="A64" i="28" s="1"/>
  <c r="AA62" i="18"/>
  <c r="AF62" i="18" s="1"/>
  <c r="AJ62" i="18"/>
  <c r="A63" i="18"/>
  <c r="B63" i="18" s="1"/>
  <c r="C63" i="18"/>
  <c r="A65" i="28" s="1"/>
  <c r="AA63" i="18"/>
  <c r="AF63" i="18" s="1"/>
  <c r="AJ63" i="18"/>
  <c r="AO63" i="18" s="1"/>
  <c r="A64" i="18"/>
  <c r="C64" i="18"/>
  <c r="A66" i="28" s="1"/>
  <c r="AA64" i="18"/>
  <c r="AF64" i="18" s="1"/>
  <c r="AJ64" i="18"/>
  <c r="AO64" i="18" s="1"/>
  <c r="A65" i="18"/>
  <c r="A6" i="5" s="1"/>
  <c r="C65" i="18"/>
  <c r="A67" i="28" s="1"/>
  <c r="AA65" i="18"/>
  <c r="AJ65" i="18"/>
  <c r="A66" i="18"/>
  <c r="B66" i="18" s="1"/>
  <c r="C66" i="18"/>
  <c r="A68" i="28" s="1"/>
  <c r="AA66" i="18"/>
  <c r="Y68" i="28" s="1"/>
  <c r="AJ66" i="18"/>
  <c r="AH68" i="28" s="1"/>
  <c r="A67" i="18"/>
  <c r="B67" i="18" s="1"/>
  <c r="C67" i="18"/>
  <c r="A69" i="28" s="1"/>
  <c r="AA67" i="18"/>
  <c r="AF67" i="18" s="1"/>
  <c r="AJ67" i="18"/>
  <c r="AO67" i="18" s="1"/>
  <c r="A68" i="18"/>
  <c r="B68" i="18" s="1"/>
  <c r="C68" i="18"/>
  <c r="A70" i="28" s="1"/>
  <c r="AA68" i="18"/>
  <c r="AJ68" i="18"/>
  <c r="A69" i="18"/>
  <c r="B69" i="18" s="1"/>
  <c r="C69" i="18"/>
  <c r="A71" i="28" s="1"/>
  <c r="AA69" i="18"/>
  <c r="AF69" i="18" s="1"/>
  <c r="AJ69" i="18"/>
  <c r="AH71" i="28" s="1"/>
  <c r="A70" i="18"/>
  <c r="B70" i="18" s="1"/>
  <c r="C70" i="18"/>
  <c r="A72" i="28" s="1"/>
  <c r="AA70" i="18"/>
  <c r="AF70" i="18" s="1"/>
  <c r="AJ70" i="18"/>
  <c r="AO70" i="18" s="1"/>
  <c r="A71" i="18"/>
  <c r="B71" i="18" s="1"/>
  <c r="C71" i="18"/>
  <c r="A73" i="28" s="1"/>
  <c r="AA71" i="18"/>
  <c r="AF71" i="18" s="1"/>
  <c r="AJ71" i="18"/>
  <c r="AO71" i="18" s="1"/>
  <c r="A72" i="18"/>
  <c r="B72" i="18" s="1"/>
  <c r="C72" i="18"/>
  <c r="A74" i="28" s="1"/>
  <c r="AA72" i="18"/>
  <c r="AF72" i="18" s="1"/>
  <c r="AJ72" i="18"/>
  <c r="AO72" i="18" s="1"/>
  <c r="A73" i="18"/>
  <c r="B73" i="18" s="1"/>
  <c r="C73" i="18"/>
  <c r="A75" i="28" s="1"/>
  <c r="AA73" i="18"/>
  <c r="Y75" i="28" s="1"/>
  <c r="AJ73" i="18"/>
  <c r="AH75" i="28" s="1"/>
  <c r="A74" i="18"/>
  <c r="B74" i="18" s="1"/>
  <c r="C74" i="18"/>
  <c r="A76" i="28" s="1"/>
  <c r="AA74" i="18"/>
  <c r="AF74" i="18" s="1"/>
  <c r="AJ74" i="18"/>
  <c r="AO74" i="18" s="1"/>
  <c r="A75" i="18"/>
  <c r="B75" i="18" s="1"/>
  <c r="C75" i="18"/>
  <c r="A77" i="28" s="1"/>
  <c r="AA75" i="18"/>
  <c r="AF75" i="18" s="1"/>
  <c r="AJ75" i="18"/>
  <c r="A76" i="18"/>
  <c r="B76" i="18" s="1"/>
  <c r="C76" i="18"/>
  <c r="A78" i="28" s="1"/>
  <c r="AA76" i="18"/>
  <c r="AF76" i="18" s="1"/>
  <c r="AJ76" i="18"/>
  <c r="AH78" i="28" s="1"/>
  <c r="A77" i="18"/>
  <c r="B77" i="18" s="1"/>
  <c r="C77" i="18"/>
  <c r="A79" i="28" s="1"/>
  <c r="AA77" i="18"/>
  <c r="AF77" i="18" s="1"/>
  <c r="AJ77" i="18"/>
  <c r="AO77" i="18" s="1"/>
  <c r="A78" i="18"/>
  <c r="B78" i="18" s="1"/>
  <c r="C78" i="18"/>
  <c r="A80" i="28" s="1"/>
  <c r="AA78" i="18"/>
  <c r="AF78" i="18" s="1"/>
  <c r="AJ78" i="18"/>
  <c r="AO78" i="18" s="1"/>
  <c r="A79" i="18"/>
  <c r="B79" i="18" s="1"/>
  <c r="C79" i="18"/>
  <c r="A81" i="28" s="1"/>
  <c r="AA79" i="18"/>
  <c r="AF79" i="18" s="1"/>
  <c r="AJ79" i="18"/>
  <c r="AO79" i="18" s="1"/>
  <c r="A80" i="18"/>
  <c r="C80" i="18"/>
  <c r="A82" i="28" s="1"/>
  <c r="AA80" i="18"/>
  <c r="AJ80" i="18"/>
  <c r="A81" i="18"/>
  <c r="B81" i="18" s="1"/>
  <c r="C81" i="18"/>
  <c r="A83" i="28" s="1"/>
  <c r="AA81" i="18"/>
  <c r="AF81" i="18" s="1"/>
  <c r="AJ81" i="18"/>
  <c r="AO81" i="18" s="1"/>
  <c r="A82" i="18"/>
  <c r="B82" i="18" s="1"/>
  <c r="C82" i="18"/>
  <c r="A84" i="28" s="1"/>
  <c r="AA82" i="18"/>
  <c r="AF82" i="18" s="1"/>
  <c r="AJ82" i="18"/>
  <c r="AO82" i="18" s="1"/>
  <c r="A83" i="18"/>
  <c r="B83" i="18" s="1"/>
  <c r="C83" i="18"/>
  <c r="A85" i="28" s="1"/>
  <c r="AA83" i="18"/>
  <c r="AJ83" i="18"/>
  <c r="A84" i="18"/>
  <c r="B84" i="18" s="1"/>
  <c r="C84" i="18"/>
  <c r="A86" i="28" s="1"/>
  <c r="AA84" i="18"/>
  <c r="AF84" i="18" s="1"/>
  <c r="AJ84" i="18"/>
  <c r="AO84" i="18" s="1"/>
  <c r="A85" i="18"/>
  <c r="B85" i="18" s="1"/>
  <c r="C85" i="18"/>
  <c r="A87" i="28" s="1"/>
  <c r="AA85" i="18"/>
  <c r="AF85" i="18" s="1"/>
  <c r="AJ85" i="18"/>
  <c r="AO85" i="18" s="1"/>
  <c r="A86" i="18"/>
  <c r="B86" i="18" s="1"/>
  <c r="C86" i="18"/>
  <c r="A88" i="28" s="1"/>
  <c r="AA86" i="18"/>
  <c r="AF86" i="18" s="1"/>
  <c r="AJ86" i="18"/>
  <c r="AO86" i="18" s="1"/>
  <c r="A87" i="18"/>
  <c r="B87" i="18" s="1"/>
  <c r="C87" i="18"/>
  <c r="A89" i="28" s="1"/>
  <c r="AA87" i="18"/>
  <c r="AF87" i="18" s="1"/>
  <c r="AJ87" i="18"/>
  <c r="AO87" i="18" s="1"/>
  <c r="A88" i="18"/>
  <c r="B88" i="18" s="1"/>
  <c r="C88" i="18"/>
  <c r="A90" i="28" s="1"/>
  <c r="AA88" i="18"/>
  <c r="AF88" i="18" s="1"/>
  <c r="AJ88" i="18"/>
  <c r="AO88" i="18" s="1"/>
  <c r="A89" i="18"/>
  <c r="B89" i="18" s="1"/>
  <c r="C89" i="18"/>
  <c r="A91" i="28" s="1"/>
  <c r="AA89" i="18"/>
  <c r="AF89" i="18" s="1"/>
  <c r="AJ89" i="18"/>
  <c r="AO89" i="18" s="1"/>
  <c r="A90" i="18"/>
  <c r="B90" i="18" s="1"/>
  <c r="C90" i="18"/>
  <c r="A92" i="28" s="1"/>
  <c r="AA90" i="18"/>
  <c r="AF90" i="18" s="1"/>
  <c r="AJ90" i="18"/>
  <c r="A91" i="18"/>
  <c r="B91" i="18" s="1"/>
  <c r="C91" i="18"/>
  <c r="A93" i="28" s="1"/>
  <c r="AA91" i="18"/>
  <c r="AF91" i="18" s="1"/>
  <c r="AJ91" i="18"/>
  <c r="AO91" i="18" s="1"/>
  <c r="A92" i="18"/>
  <c r="B92" i="18" s="1"/>
  <c r="C92" i="18"/>
  <c r="A94" i="28" s="1"/>
  <c r="AA92" i="18"/>
  <c r="AF92" i="18" s="1"/>
  <c r="AJ92" i="18"/>
  <c r="AO92" i="18" s="1"/>
  <c r="A93" i="18"/>
  <c r="C93" i="18"/>
  <c r="A95" i="28" s="1"/>
  <c r="AA93" i="18"/>
  <c r="AF93" i="18" s="1"/>
  <c r="AJ93" i="18"/>
  <c r="AO93" i="18" s="1"/>
  <c r="A94" i="18"/>
  <c r="B94" i="18" s="1"/>
  <c r="C94" i="18"/>
  <c r="A96" i="28" s="1"/>
  <c r="AA94" i="18"/>
  <c r="AF94" i="18" s="1"/>
  <c r="AJ94" i="18"/>
  <c r="AO94" i="18" s="1"/>
  <c r="A95" i="18"/>
  <c r="C95" i="18"/>
  <c r="AA95" i="18"/>
  <c r="AJ95" i="18"/>
  <c r="A96" i="18"/>
  <c r="C96" i="18"/>
  <c r="A98" i="28" s="1"/>
  <c r="AA96" i="18"/>
  <c r="AJ96" i="18"/>
  <c r="A97" i="18"/>
  <c r="B97" i="18" s="1"/>
  <c r="C97" i="18"/>
  <c r="A99" i="28" s="1"/>
  <c r="AA97" i="18"/>
  <c r="AF97" i="18" s="1"/>
  <c r="AJ97" i="18"/>
  <c r="AO97" i="18" s="1"/>
  <c r="A98" i="18"/>
  <c r="C98" i="18"/>
  <c r="A100" i="28" s="1"/>
  <c r="AA98" i="18"/>
  <c r="Y100" i="28" s="1"/>
  <c r="AJ98" i="18"/>
  <c r="AH100" i="28" s="1"/>
  <c r="A99" i="18"/>
  <c r="B99" i="18" s="1"/>
  <c r="C99" i="18"/>
  <c r="A101" i="28" s="1"/>
  <c r="AA99" i="18"/>
  <c r="AF99" i="18" s="1"/>
  <c r="AJ99" i="18"/>
  <c r="AO99" i="18" s="1"/>
  <c r="A100" i="18"/>
  <c r="B100" i="18" s="1"/>
  <c r="C100" i="18"/>
  <c r="A102" i="28" s="1"/>
  <c r="AA100" i="18"/>
  <c r="AF100" i="18" s="1"/>
  <c r="AJ100" i="18"/>
  <c r="A101" i="18"/>
  <c r="C101" i="18"/>
  <c r="A103" i="28" s="1"/>
  <c r="AA101" i="18"/>
  <c r="AF101" i="18" s="1"/>
  <c r="AJ101" i="18"/>
  <c r="AO101" i="18" s="1"/>
  <c r="A102" i="18"/>
  <c r="B102" i="18" s="1"/>
  <c r="C102" i="18"/>
  <c r="A104" i="28" s="1"/>
  <c r="AA102" i="18"/>
  <c r="AF102" i="18" s="1"/>
  <c r="AJ102" i="18"/>
  <c r="A103" i="18"/>
  <c r="B103" i="18" s="1"/>
  <c r="C103" i="18"/>
  <c r="A105" i="28" s="1"/>
  <c r="AA103" i="18"/>
  <c r="AF103" i="18" s="1"/>
  <c r="AJ103" i="18"/>
  <c r="AH105" i="28" s="1"/>
  <c r="A104" i="18"/>
  <c r="B104" i="18" s="1"/>
  <c r="C104" i="18"/>
  <c r="A106" i="28" s="1"/>
  <c r="AA104" i="18"/>
  <c r="AF104" i="18" s="1"/>
  <c r="AJ104" i="18"/>
  <c r="A105" i="18"/>
  <c r="B105" i="18" s="1"/>
  <c r="C105" i="18"/>
  <c r="A107" i="28" s="1"/>
  <c r="AA105" i="18"/>
  <c r="Y107" i="28" s="1"/>
  <c r="AJ105" i="18"/>
  <c r="AH107" i="28" s="1"/>
  <c r="A106" i="18"/>
  <c r="B106" i="18" s="1"/>
  <c r="C106" i="18"/>
  <c r="A108" i="28" s="1"/>
  <c r="AA106" i="18"/>
  <c r="AF106" i="18" s="1"/>
  <c r="AJ106" i="18"/>
  <c r="AO106" i="18" s="1"/>
  <c r="A107" i="18"/>
  <c r="B107" i="18" s="1"/>
  <c r="C107" i="18"/>
  <c r="A109" i="28" s="1"/>
  <c r="AA107" i="18"/>
  <c r="AF107" i="18" s="1"/>
  <c r="AJ107" i="18"/>
  <c r="A108" i="18"/>
  <c r="B108" i="18" s="1"/>
  <c r="C108" i="18"/>
  <c r="A110" i="28" s="1"/>
  <c r="AA108" i="18"/>
  <c r="AF108" i="18" s="1"/>
  <c r="AJ108" i="18"/>
  <c r="AO108" i="18" s="1"/>
  <c r="A109" i="18"/>
  <c r="B109" i="18" s="1"/>
  <c r="C109" i="18"/>
  <c r="A111" i="28" s="1"/>
  <c r="AA109" i="18"/>
  <c r="AF109" i="18" s="1"/>
  <c r="AJ109" i="18"/>
  <c r="AO109" i="18" s="1"/>
  <c r="A110" i="18"/>
  <c r="A9" i="5" s="1"/>
  <c r="C110" i="18"/>
  <c r="AA110" i="18"/>
  <c r="AJ110" i="18"/>
  <c r="A111" i="18"/>
  <c r="B111" i="18" s="1"/>
  <c r="C111" i="18"/>
  <c r="A113" i="28" s="1"/>
  <c r="AA111" i="18"/>
  <c r="AJ111" i="18"/>
  <c r="A112" i="18"/>
  <c r="B112" i="18" s="1"/>
  <c r="C112" i="18"/>
  <c r="A114" i="28" s="1"/>
  <c r="AA112" i="18"/>
  <c r="AF112" i="18" s="1"/>
  <c r="AJ112" i="18"/>
  <c r="AH114" i="28" s="1"/>
  <c r="A113" i="18"/>
  <c r="B113" i="18" s="1"/>
  <c r="C113" i="18"/>
  <c r="A115" i="28" s="1"/>
  <c r="AA113" i="18"/>
  <c r="AJ113" i="18"/>
  <c r="A114" i="18"/>
  <c r="B114" i="18" s="1"/>
  <c r="C114" i="18"/>
  <c r="A116" i="28" s="1"/>
  <c r="AA114" i="18"/>
  <c r="AF114" i="18" s="1"/>
  <c r="AJ114" i="18"/>
  <c r="AO114" i="18" s="1"/>
  <c r="A115" i="18"/>
  <c r="C115" i="18"/>
  <c r="A117" i="28" s="1"/>
  <c r="AA115" i="18"/>
  <c r="AF115" i="18" s="1"/>
  <c r="AJ115" i="18"/>
  <c r="A116" i="18"/>
  <c r="B116" i="18" s="1"/>
  <c r="C116" i="18"/>
  <c r="A118" i="28" s="1"/>
  <c r="AA116" i="18"/>
  <c r="AF116" i="18" s="1"/>
  <c r="AJ116" i="18"/>
  <c r="AO116" i="18" s="1"/>
  <c r="A117" i="18"/>
  <c r="C117" i="18"/>
  <c r="A119" i="28" s="1"/>
  <c r="AA117" i="18"/>
  <c r="AF117" i="18" s="1"/>
  <c r="AJ117" i="18"/>
  <c r="AO117" i="18" s="1"/>
  <c r="A118" i="18"/>
  <c r="B118" i="18" s="1"/>
  <c r="C118" i="18"/>
  <c r="A120" i="28" s="1"/>
  <c r="AA118" i="18"/>
  <c r="AF118" i="18" s="1"/>
  <c r="AJ118" i="18"/>
  <c r="AO118" i="18" s="1"/>
  <c r="A119" i="18"/>
  <c r="C119" i="18"/>
  <c r="A121" i="28" s="1"/>
  <c r="AA119" i="18"/>
  <c r="AF119" i="18" s="1"/>
  <c r="AJ119" i="18"/>
  <c r="AO119" i="18" s="1"/>
  <c r="A120" i="18"/>
  <c r="B120" i="18" s="1"/>
  <c r="C120" i="18"/>
  <c r="A122" i="28" s="1"/>
  <c r="AA120" i="18"/>
  <c r="AF120" i="18" s="1"/>
  <c r="AJ120" i="18"/>
  <c r="AO120" i="18" s="1"/>
  <c r="A121" i="18"/>
  <c r="B121" i="18" s="1"/>
  <c r="C121" i="18"/>
  <c r="A123" i="28" s="1"/>
  <c r="AA121" i="18"/>
  <c r="AF121" i="18" s="1"/>
  <c r="AJ121" i="18"/>
  <c r="AO121" i="18" s="1"/>
  <c r="A122" i="18"/>
  <c r="B122" i="18" s="1"/>
  <c r="C122" i="18"/>
  <c r="A124" i="28" s="1"/>
  <c r="AA122" i="18"/>
  <c r="AF122" i="18" s="1"/>
  <c r="AJ122" i="18"/>
  <c r="AO122" i="18" s="1"/>
  <c r="A123" i="18"/>
  <c r="B123" i="18" s="1"/>
  <c r="C123" i="18"/>
  <c r="A125" i="28" s="1"/>
  <c r="AA123" i="18"/>
  <c r="AF123" i="18" s="1"/>
  <c r="AJ123" i="18"/>
  <c r="AO123" i="18" s="1"/>
  <c r="A124" i="18"/>
  <c r="B124" i="18" s="1"/>
  <c r="C124" i="18"/>
  <c r="A126" i="28" s="1"/>
  <c r="AA124" i="18"/>
  <c r="AF124" i="18" s="1"/>
  <c r="AJ124" i="18"/>
  <c r="AO124" i="18" s="1"/>
  <c r="A125" i="18"/>
  <c r="C125" i="18"/>
  <c r="A127" i="28" s="1"/>
  <c r="AA125" i="18"/>
  <c r="AJ125" i="18"/>
  <c r="A126" i="18"/>
  <c r="B126" i="18" s="1"/>
  <c r="C126" i="18"/>
  <c r="A128" i="28" s="1"/>
  <c r="AA126" i="18"/>
  <c r="AJ126" i="18"/>
  <c r="A127" i="18"/>
  <c r="C127" i="18"/>
  <c r="A129" i="28" s="1"/>
  <c r="AA127" i="18"/>
  <c r="AF127" i="18" s="1"/>
  <c r="AJ127" i="18"/>
  <c r="AO127" i="18" s="1"/>
  <c r="A128" i="18"/>
  <c r="B128" i="18" s="1"/>
  <c r="C128" i="18"/>
  <c r="A130" i="28" s="1"/>
  <c r="AA128" i="18"/>
  <c r="AJ128" i="18"/>
  <c r="A129" i="18"/>
  <c r="B129" i="18" s="1"/>
  <c r="C129" i="18"/>
  <c r="A131" i="28" s="1"/>
  <c r="AA129" i="18"/>
  <c r="AF129" i="18" s="1"/>
  <c r="AJ129" i="18"/>
  <c r="A130" i="18"/>
  <c r="B130" i="18" s="1"/>
  <c r="C130" i="18"/>
  <c r="A132" i="28" s="1"/>
  <c r="AA130" i="18"/>
  <c r="Y132" i="28" s="1"/>
  <c r="AJ130" i="18"/>
  <c r="AH132" i="28" s="1"/>
  <c r="A131" i="18"/>
  <c r="C131" i="18"/>
  <c r="A133" i="28" s="1"/>
  <c r="AA131" i="18"/>
  <c r="AF131" i="18" s="1"/>
  <c r="AJ131" i="18"/>
  <c r="A132" i="18"/>
  <c r="B132" i="18" s="1"/>
  <c r="C132" i="18"/>
  <c r="A134" i="28" s="1"/>
  <c r="AA132" i="18"/>
  <c r="AF132" i="18" s="1"/>
  <c r="AJ132" i="18"/>
  <c r="AO132" i="18" s="1"/>
  <c r="A133" i="18"/>
  <c r="B133" i="18" s="1"/>
  <c r="C133" i="18"/>
  <c r="A135" i="28" s="1"/>
  <c r="AA133" i="18"/>
  <c r="AF133" i="18" s="1"/>
  <c r="AJ133" i="18"/>
  <c r="AO133" i="18" s="1"/>
  <c r="A134" i="18"/>
  <c r="C134" i="18"/>
  <c r="A136" i="28" s="1"/>
  <c r="AA134" i="18"/>
  <c r="AF134" i="18" s="1"/>
  <c r="AJ134" i="18"/>
  <c r="AO134" i="18" s="1"/>
  <c r="A135" i="18"/>
  <c r="C135" i="18"/>
  <c r="A137" i="28" s="1"/>
  <c r="AA135" i="18"/>
  <c r="AF135" i="18" s="1"/>
  <c r="AJ135" i="18"/>
  <c r="AO135" i="18" s="1"/>
  <c r="A136" i="18"/>
  <c r="B136" i="18" s="1"/>
  <c r="C136" i="18"/>
  <c r="A138" i="28" s="1"/>
  <c r="AA136" i="18"/>
  <c r="AF136" i="18" s="1"/>
  <c r="AJ136" i="18"/>
  <c r="AO136" i="18" s="1"/>
  <c r="A137" i="18"/>
  <c r="B137" i="18" s="1"/>
  <c r="C137" i="18"/>
  <c r="A139" i="28" s="1"/>
  <c r="AA137" i="18"/>
  <c r="AJ137" i="18"/>
  <c r="A138" i="18"/>
  <c r="C138" i="18"/>
  <c r="A140" i="28" s="1"/>
  <c r="AA138" i="18"/>
  <c r="AF138" i="18" s="1"/>
  <c r="AJ138" i="18"/>
  <c r="AO138" i="18" s="1"/>
  <c r="A139" i="18"/>
  <c r="C139" i="18"/>
  <c r="A141" i="28" s="1"/>
  <c r="AA139" i="18"/>
  <c r="AF139" i="18" s="1"/>
  <c r="AJ139" i="18"/>
  <c r="AO139" i="18" s="1"/>
  <c r="A140" i="18"/>
  <c r="C140" i="18"/>
  <c r="A142" i="28" s="1"/>
  <c r="AA140" i="18"/>
  <c r="AJ140" i="18"/>
  <c r="A141" i="18"/>
  <c r="B141" i="18" s="1"/>
  <c r="C141" i="18"/>
  <c r="A143" i="28" s="1"/>
  <c r="AA141" i="18"/>
  <c r="AJ141" i="18"/>
  <c r="A142" i="18"/>
  <c r="B142" i="18" s="1"/>
  <c r="C142" i="18"/>
  <c r="A144" i="28" s="1"/>
  <c r="AA142" i="18"/>
  <c r="AJ142" i="18"/>
  <c r="A143" i="18"/>
  <c r="B143" i="18" s="1"/>
  <c r="C143" i="18"/>
  <c r="A145" i="28" s="1"/>
  <c r="AA143" i="18"/>
  <c r="AJ143" i="18"/>
  <c r="A144" i="18"/>
  <c r="B144" i="18" s="1"/>
  <c r="C144" i="18"/>
  <c r="A146" i="28" s="1"/>
  <c r="AA144" i="18"/>
  <c r="AJ144" i="18"/>
  <c r="AH146" i="28" s="1"/>
  <c r="A145" i="18"/>
  <c r="B145" i="18" s="1"/>
  <c r="C145" i="18"/>
  <c r="A147" i="28" s="1"/>
  <c r="AA145" i="18"/>
  <c r="AF145" i="18" s="1"/>
  <c r="AJ145" i="18"/>
  <c r="AO145" i="18" s="1"/>
  <c r="A146" i="18"/>
  <c r="B146" i="18" s="1"/>
  <c r="C146" i="18"/>
  <c r="A148" i="28" s="1"/>
  <c r="AA146" i="18"/>
  <c r="AF146" i="18" s="1"/>
  <c r="AJ146" i="18"/>
  <c r="AO146" i="18" s="1"/>
  <c r="A147" i="18"/>
  <c r="C147" i="18"/>
  <c r="A149" i="28" s="1"/>
  <c r="AA147" i="18"/>
  <c r="AF147" i="18" s="1"/>
  <c r="AJ147" i="18"/>
  <c r="AO147" i="18" s="1"/>
  <c r="A148" i="18"/>
  <c r="B148" i="18" s="1"/>
  <c r="C148" i="18"/>
  <c r="A150" i="28" s="1"/>
  <c r="AA148" i="18"/>
  <c r="AF148" i="18" s="1"/>
  <c r="AJ148" i="18"/>
  <c r="AO148" i="18" s="1"/>
  <c r="A149" i="18"/>
  <c r="B149" i="18" s="1"/>
  <c r="C149" i="18"/>
  <c r="A151" i="28" s="1"/>
  <c r="AA149" i="18"/>
  <c r="AF149" i="18" s="1"/>
  <c r="AJ149" i="18"/>
  <c r="A150" i="18"/>
  <c r="B150" i="18" s="1"/>
  <c r="C150" i="18"/>
  <c r="A152" i="28" s="1"/>
  <c r="AA150" i="18"/>
  <c r="AF150" i="18" s="1"/>
  <c r="AJ150" i="18"/>
  <c r="A151" i="18"/>
  <c r="B151" i="18" s="1"/>
  <c r="C151" i="18"/>
  <c r="A153" i="28" s="1"/>
  <c r="AA151" i="18"/>
  <c r="AF151" i="18" s="1"/>
  <c r="AJ151" i="18"/>
  <c r="AO151" i="18" s="1"/>
  <c r="A152" i="18"/>
  <c r="B152" i="18" s="1"/>
  <c r="C152" i="18"/>
  <c r="A154" i="28" s="1"/>
  <c r="AA152" i="18"/>
  <c r="AF152" i="18" s="1"/>
  <c r="AJ152" i="18"/>
  <c r="AO152" i="18" s="1"/>
  <c r="A153" i="18"/>
  <c r="B153" i="18" s="1"/>
  <c r="C153" i="18"/>
  <c r="A155" i="28" s="1"/>
  <c r="AA153" i="18"/>
  <c r="AF153" i="18" s="1"/>
  <c r="AJ153" i="18"/>
  <c r="AO153" i="18" s="1"/>
  <c r="A154" i="18"/>
  <c r="B154" i="18" s="1"/>
  <c r="C154" i="18"/>
  <c r="A156" i="28" s="1"/>
  <c r="AA154" i="18"/>
  <c r="AF154" i="18" s="1"/>
  <c r="AJ154" i="18"/>
  <c r="AH156" i="28" s="1"/>
  <c r="A155" i="18"/>
  <c r="A12" i="5" s="1"/>
  <c r="C155" i="18"/>
  <c r="A157" i="28" s="1"/>
  <c r="AA155" i="18"/>
  <c r="AJ155" i="18"/>
  <c r="A156" i="18"/>
  <c r="B156" i="18" s="1"/>
  <c r="C156" i="18"/>
  <c r="A158" i="28" s="1"/>
  <c r="AA156" i="18"/>
  <c r="AJ156" i="18"/>
  <c r="A157" i="18"/>
  <c r="C157" i="18"/>
  <c r="A159" i="28" s="1"/>
  <c r="AA157" i="18"/>
  <c r="AJ157" i="18"/>
  <c r="A158" i="18"/>
  <c r="B158" i="18" s="1"/>
  <c r="C158" i="18"/>
  <c r="A160" i="28" s="1"/>
  <c r="AA158" i="18"/>
  <c r="AJ158" i="18"/>
  <c r="A159" i="18"/>
  <c r="B159" i="18" s="1"/>
  <c r="C159" i="18"/>
  <c r="A161" i="28" s="1"/>
  <c r="AA159" i="18"/>
  <c r="AJ159" i="18"/>
  <c r="A160" i="18"/>
  <c r="B160" i="18" s="1"/>
  <c r="C160" i="18"/>
  <c r="A162" i="28" s="1"/>
  <c r="AA160" i="18"/>
  <c r="AF160" i="18" s="1"/>
  <c r="AJ160" i="18"/>
  <c r="AO160" i="18" s="1"/>
  <c r="A161" i="18"/>
  <c r="B161" i="18" s="1"/>
  <c r="C161" i="18"/>
  <c r="A163" i="28" s="1"/>
  <c r="AA161" i="18"/>
  <c r="AF161" i="18" s="1"/>
  <c r="AJ161" i="18"/>
  <c r="AO161" i="18" s="1"/>
  <c r="A162" i="18"/>
  <c r="B162" i="18" s="1"/>
  <c r="C162" i="18"/>
  <c r="A164" i="28" s="1"/>
  <c r="AA162" i="18"/>
  <c r="Y164" i="28" s="1"/>
  <c r="AJ162" i="18"/>
  <c r="AH164" i="28" s="1"/>
  <c r="A163" i="18"/>
  <c r="C163" i="18"/>
  <c r="A165" i="28" s="1"/>
  <c r="AA163" i="18"/>
  <c r="AF163" i="18" s="1"/>
  <c r="AJ163" i="18"/>
  <c r="AO163" i="18" s="1"/>
  <c r="A164" i="18"/>
  <c r="B164" i="18" s="1"/>
  <c r="C164" i="18"/>
  <c r="A166" i="28" s="1"/>
  <c r="AA164" i="18"/>
  <c r="AF164" i="18" s="1"/>
  <c r="AJ164" i="18"/>
  <c r="AO164" i="18" s="1"/>
  <c r="A165" i="18"/>
  <c r="B165" i="18" s="1"/>
  <c r="C165" i="18"/>
  <c r="A167" i="28" s="1"/>
  <c r="AA165" i="18"/>
  <c r="AF165" i="18" s="1"/>
  <c r="AJ165" i="18"/>
  <c r="AO165" i="18" s="1"/>
  <c r="A166" i="18"/>
  <c r="B166" i="18" s="1"/>
  <c r="C166" i="18"/>
  <c r="A168" i="28" s="1"/>
  <c r="AA166" i="18"/>
  <c r="AF166" i="18" s="1"/>
  <c r="AJ166" i="18"/>
  <c r="A167" i="18"/>
  <c r="C167" i="18"/>
  <c r="A169" i="28" s="1"/>
  <c r="AA167" i="18"/>
  <c r="AF167" i="18" s="1"/>
  <c r="AJ167" i="18"/>
  <c r="A168" i="18"/>
  <c r="C168" i="18"/>
  <c r="A170" i="28" s="1"/>
  <c r="AA168" i="18"/>
  <c r="AF168" i="18" s="1"/>
  <c r="AJ168" i="18"/>
  <c r="A169" i="18"/>
  <c r="B169" i="18" s="1"/>
  <c r="C169" i="18"/>
  <c r="A171" i="28" s="1"/>
  <c r="AA169" i="18"/>
  <c r="Y171" i="28" s="1"/>
  <c r="AJ169" i="18"/>
  <c r="AH171" i="28" s="1"/>
  <c r="A170" i="18"/>
  <c r="C170" i="18"/>
  <c r="A172" i="28" s="1"/>
  <c r="AA170" i="18"/>
  <c r="AJ170" i="18"/>
  <c r="A171" i="18"/>
  <c r="B171" i="18" s="1"/>
  <c r="C171" i="18"/>
  <c r="A173" i="28" s="1"/>
  <c r="AA171" i="18"/>
  <c r="AJ171" i="18"/>
  <c r="A172" i="18"/>
  <c r="B172" i="18" s="1"/>
  <c r="C172" i="18"/>
  <c r="A174" i="28" s="1"/>
  <c r="AA172" i="18"/>
  <c r="AJ172" i="18"/>
  <c r="A173" i="18"/>
  <c r="B173" i="18" s="1"/>
  <c r="C173" i="18"/>
  <c r="A175" i="28" s="1"/>
  <c r="AA173" i="18"/>
  <c r="AJ173" i="18"/>
  <c r="A174" i="18"/>
  <c r="B174" i="18" s="1"/>
  <c r="C174" i="18"/>
  <c r="A176" i="28" s="1"/>
  <c r="AA174" i="18"/>
  <c r="AF174" i="18" s="1"/>
  <c r="AJ174" i="18"/>
  <c r="AH176" i="28" s="1"/>
  <c r="A175" i="18"/>
  <c r="B175" i="18" s="1"/>
  <c r="C175" i="18"/>
  <c r="A177" i="28" s="1"/>
  <c r="AA175" i="18"/>
  <c r="AF175" i="18" s="1"/>
  <c r="AJ175" i="18"/>
  <c r="A176" i="18"/>
  <c r="B176" i="18" s="1"/>
  <c r="C176" i="18"/>
  <c r="A178" i="28" s="1"/>
  <c r="AA176" i="18"/>
  <c r="AF176" i="18" s="1"/>
  <c r="AJ176" i="18"/>
  <c r="A177" i="18"/>
  <c r="B177" i="18" s="1"/>
  <c r="C177" i="18"/>
  <c r="A179" i="28" s="1"/>
  <c r="AA177" i="18"/>
  <c r="AF177" i="18" s="1"/>
  <c r="AJ177" i="18"/>
  <c r="AO177" i="18" s="1"/>
  <c r="A178" i="18"/>
  <c r="C178" i="18"/>
  <c r="A180" i="28" s="1"/>
  <c r="AA178" i="18"/>
  <c r="AF178" i="18" s="1"/>
  <c r="AJ178" i="18"/>
  <c r="AO178" i="18" s="1"/>
  <c r="A179" i="18"/>
  <c r="B179" i="18" s="1"/>
  <c r="C179" i="18"/>
  <c r="A181" i="28" s="1"/>
  <c r="AA179" i="18"/>
  <c r="AF179" i="18" s="1"/>
  <c r="AJ179" i="18"/>
  <c r="AO179" i="18" s="1"/>
  <c r="A180" i="18"/>
  <c r="B180" i="18" s="1"/>
  <c r="C180" i="18"/>
  <c r="A182" i="28" s="1"/>
  <c r="AA180" i="18"/>
  <c r="AF180" i="18" s="1"/>
  <c r="AJ180" i="18"/>
  <c r="AO180" i="18" s="1"/>
  <c r="A181" i="18"/>
  <c r="B181" i="18" s="1"/>
  <c r="C181" i="18"/>
  <c r="A183" i="28" s="1"/>
  <c r="AA181" i="18"/>
  <c r="AF181" i="18" s="1"/>
  <c r="AJ181" i="18"/>
  <c r="AO181" i="18" s="1"/>
  <c r="A182" i="18"/>
  <c r="C182" i="18"/>
  <c r="A184" i="28" s="1"/>
  <c r="AA182" i="18"/>
  <c r="AF182" i="18" s="1"/>
  <c r="AJ182" i="18"/>
  <c r="AO182" i="18" s="1"/>
  <c r="A183" i="18"/>
  <c r="B183" i="18" s="1"/>
  <c r="C183" i="18"/>
  <c r="A185" i="28" s="1"/>
  <c r="AA183" i="18"/>
  <c r="AF183" i="18" s="1"/>
  <c r="AJ183" i="18"/>
  <c r="AO183" i="18" s="1"/>
  <c r="A184" i="18"/>
  <c r="B184" i="18" s="1"/>
  <c r="C184" i="18"/>
  <c r="A186" i="28" s="1"/>
  <c r="AA184" i="18"/>
  <c r="AF184" i="18" s="1"/>
  <c r="AJ184" i="18"/>
  <c r="A185" i="18"/>
  <c r="C185" i="18"/>
  <c r="A187" i="28" s="1"/>
  <c r="AA185" i="18"/>
  <c r="AJ185" i="18"/>
  <c r="A186" i="18"/>
  <c r="B186" i="18" s="1"/>
  <c r="C186" i="18"/>
  <c r="A188" i="28" s="1"/>
  <c r="AA186" i="18"/>
  <c r="AJ186" i="18"/>
  <c r="A187" i="18"/>
  <c r="B187" i="18" s="1"/>
  <c r="C187" i="18"/>
  <c r="A189" i="28" s="1"/>
  <c r="AA187" i="18"/>
  <c r="AJ187" i="18"/>
  <c r="A188" i="18"/>
  <c r="B188" i="18" s="1"/>
  <c r="C188" i="18"/>
  <c r="A190" i="28" s="1"/>
  <c r="AA188" i="18"/>
  <c r="AJ188" i="18"/>
  <c r="A189" i="18"/>
  <c r="B189" i="18" s="1"/>
  <c r="C189" i="18"/>
  <c r="A191" i="28" s="1"/>
  <c r="AA189" i="18"/>
  <c r="AF189" i="18" s="1"/>
  <c r="AJ189" i="18"/>
  <c r="AO189" i="18" s="1"/>
  <c r="A190" i="18"/>
  <c r="C190" i="18"/>
  <c r="A192" i="28" s="1"/>
  <c r="AA190" i="18"/>
  <c r="AF190" i="18" s="1"/>
  <c r="AJ190" i="18"/>
  <c r="AO190" i="18" s="1"/>
  <c r="A191" i="18"/>
  <c r="B191" i="18" s="1"/>
  <c r="C191" i="18"/>
  <c r="A193" i="28" s="1"/>
  <c r="AA191" i="18"/>
  <c r="AF191" i="18" s="1"/>
  <c r="AJ191" i="18"/>
  <c r="AO191" i="18" s="1"/>
  <c r="A192" i="18"/>
  <c r="B192" i="18" s="1"/>
  <c r="C192" i="18"/>
  <c r="A194" i="28" s="1"/>
  <c r="AA192" i="18"/>
  <c r="AF192" i="18" s="1"/>
  <c r="AJ192" i="18"/>
  <c r="A193" i="18"/>
  <c r="B193" i="18" s="1"/>
  <c r="C193" i="18"/>
  <c r="A195" i="28" s="1"/>
  <c r="AA193" i="18"/>
  <c r="AF193" i="18" s="1"/>
  <c r="AJ193" i="18"/>
  <c r="AH195" i="28" s="1"/>
  <c r="A194" i="18"/>
  <c r="B194" i="18" s="1"/>
  <c r="C194" i="18"/>
  <c r="A196" i="28" s="1"/>
  <c r="AA194" i="18"/>
  <c r="Y196" i="28" s="1"/>
  <c r="AJ194" i="18"/>
  <c r="AH196" i="28" s="1"/>
  <c r="A195" i="18"/>
  <c r="C195" i="18"/>
  <c r="A197" i="28" s="1"/>
  <c r="AA195" i="18"/>
  <c r="AF195" i="18" s="1"/>
  <c r="AJ195" i="18"/>
  <c r="A196" i="18"/>
  <c r="B196" i="18" s="1"/>
  <c r="C196" i="18"/>
  <c r="A198" i="28" s="1"/>
  <c r="AA196" i="18"/>
  <c r="AF196" i="18" s="1"/>
  <c r="AJ196" i="18"/>
  <c r="AO196" i="18" s="1"/>
  <c r="A197" i="18"/>
  <c r="C197" i="18"/>
  <c r="A199" i="28" s="1"/>
  <c r="AA197" i="18"/>
  <c r="AF197" i="18" s="1"/>
  <c r="AJ197" i="18"/>
  <c r="AO197" i="18" s="1"/>
  <c r="A198" i="18"/>
  <c r="B198" i="18" s="1"/>
  <c r="C198" i="18"/>
  <c r="A200" i="28" s="1"/>
  <c r="AA198" i="18"/>
  <c r="AF198" i="18" s="1"/>
  <c r="AJ198" i="18"/>
  <c r="AO198" i="18" s="1"/>
  <c r="A199" i="18"/>
  <c r="B199" i="18" s="1"/>
  <c r="C199" i="18"/>
  <c r="A201" i="28" s="1"/>
  <c r="AA199" i="18"/>
  <c r="AF199" i="18" s="1"/>
  <c r="AJ199" i="18"/>
  <c r="AO199" i="18" s="1"/>
  <c r="A200" i="18"/>
  <c r="C200" i="18"/>
  <c r="A202" i="28" s="1"/>
  <c r="AA200" i="18"/>
  <c r="AJ200" i="18"/>
  <c r="A201" i="18"/>
  <c r="B201" i="18" s="1"/>
  <c r="C201" i="18"/>
  <c r="A203" i="28" s="1"/>
  <c r="AA201" i="18"/>
  <c r="Y203" i="28" s="1"/>
  <c r="AJ201" i="18"/>
  <c r="AH203" i="28" s="1"/>
  <c r="A202" i="18"/>
  <c r="B202" i="18" s="1"/>
  <c r="C202" i="18"/>
  <c r="A204" i="28" s="1"/>
  <c r="AA202" i="18"/>
  <c r="AJ202" i="18"/>
  <c r="A203" i="18"/>
  <c r="B203" i="18" s="1"/>
  <c r="C203" i="18"/>
  <c r="A205" i="28" s="1"/>
  <c r="AA203" i="18"/>
  <c r="AJ203" i="18"/>
  <c r="A204" i="18"/>
  <c r="C204" i="18"/>
  <c r="A206" i="28" s="1"/>
  <c r="AA204" i="18"/>
  <c r="AF204" i="18" s="1"/>
  <c r="AJ204" i="18"/>
  <c r="AO204" i="18" s="1"/>
  <c r="A205" i="18"/>
  <c r="C205" i="18"/>
  <c r="A207" i="28" s="1"/>
  <c r="AA205" i="18"/>
  <c r="AF205" i="18" s="1"/>
  <c r="AJ205" i="18"/>
  <c r="AO205" i="18" s="1"/>
  <c r="A206" i="18"/>
  <c r="C206" i="18"/>
  <c r="A208" i="28" s="1"/>
  <c r="AA206" i="18"/>
  <c r="AF206" i="18" s="1"/>
  <c r="AJ206" i="18"/>
  <c r="AO206" i="18" s="1"/>
  <c r="A207" i="18"/>
  <c r="C207" i="18"/>
  <c r="A209" i="28" s="1"/>
  <c r="AA207" i="18"/>
  <c r="AF207" i="18" s="1"/>
  <c r="AJ207" i="18"/>
  <c r="AO207" i="18" s="1"/>
  <c r="A208" i="18"/>
  <c r="B208" i="18" s="1"/>
  <c r="C208" i="18"/>
  <c r="A210" i="28" s="1"/>
  <c r="AA208" i="18"/>
  <c r="AF208" i="18" s="1"/>
  <c r="AJ208" i="18"/>
  <c r="AH210" i="28" s="1"/>
  <c r="A209" i="18"/>
  <c r="B209" i="18" s="1"/>
  <c r="C209" i="18"/>
  <c r="A211" i="28" s="1"/>
  <c r="AA209" i="18"/>
  <c r="AF209" i="18" s="1"/>
  <c r="AJ209" i="18"/>
  <c r="A210" i="18"/>
  <c r="B210" i="18" s="1"/>
  <c r="C210" i="18"/>
  <c r="A212" i="28" s="1"/>
  <c r="AA210" i="18"/>
  <c r="AF210" i="18" s="1"/>
  <c r="AJ210" i="18"/>
  <c r="AO210" i="18" s="1"/>
  <c r="A211" i="18"/>
  <c r="C211" i="18"/>
  <c r="A213" i="28" s="1"/>
  <c r="AA211" i="18"/>
  <c r="AF211" i="18" s="1"/>
  <c r="AJ211" i="18"/>
  <c r="AO211" i="18" s="1"/>
  <c r="A212" i="18"/>
  <c r="B212" i="18" s="1"/>
  <c r="C212" i="18"/>
  <c r="A214" i="28" s="1"/>
  <c r="AA212" i="18"/>
  <c r="AF212" i="18" s="1"/>
  <c r="AJ212" i="18"/>
  <c r="AO212" i="18" s="1"/>
  <c r="A213" i="18"/>
  <c r="B213" i="18" s="1"/>
  <c r="C213" i="18"/>
  <c r="A215" i="28" s="1"/>
  <c r="AA213" i="18"/>
  <c r="AF213" i="18" s="1"/>
  <c r="AJ213" i="18"/>
  <c r="AO213" i="18" s="1"/>
  <c r="A214" i="18"/>
  <c r="C214" i="18"/>
  <c r="A216" i="28" s="1"/>
  <c r="AA214" i="18"/>
  <c r="AF214" i="18" s="1"/>
  <c r="AJ214" i="18"/>
  <c r="AO214" i="18" s="1"/>
  <c r="A215" i="18"/>
  <c r="S215" i="18" s="1"/>
  <c r="C215" i="18"/>
  <c r="A217" i="28" s="1"/>
  <c r="AA215" i="18"/>
  <c r="AJ215" i="18"/>
  <c r="A216" i="18"/>
  <c r="B216" i="18" s="1"/>
  <c r="C216" i="18"/>
  <c r="A218" i="28" s="1"/>
  <c r="AA216" i="18"/>
  <c r="AJ216" i="18"/>
  <c r="A217" i="18"/>
  <c r="C217" i="18"/>
  <c r="A219" i="28" s="1"/>
  <c r="AA217" i="18"/>
  <c r="AJ217" i="18"/>
  <c r="A218" i="18"/>
  <c r="B218" i="18" s="1"/>
  <c r="C218" i="18"/>
  <c r="A220" i="28" s="1"/>
  <c r="AA218" i="18"/>
  <c r="AJ218" i="18"/>
  <c r="A219" i="18"/>
  <c r="B219" i="18" s="1"/>
  <c r="C219" i="18"/>
  <c r="A221" i="28" s="1"/>
  <c r="AA219" i="18"/>
  <c r="AF219" i="18" s="1"/>
  <c r="AJ219" i="18"/>
  <c r="AO219" i="18" s="1"/>
  <c r="A220" i="18"/>
  <c r="B220" i="18" s="1"/>
  <c r="C220" i="18"/>
  <c r="A222" i="28" s="1"/>
  <c r="AA220" i="18"/>
  <c r="AF220" i="18" s="1"/>
  <c r="AJ220" i="18"/>
  <c r="AO220" i="18" s="1"/>
  <c r="A221" i="18"/>
  <c r="B221" i="18" s="1"/>
  <c r="C221" i="18"/>
  <c r="A223" i="28" s="1"/>
  <c r="AA221" i="18"/>
  <c r="AF221" i="18" s="1"/>
  <c r="AJ221" i="18"/>
  <c r="AO221" i="18" s="1"/>
  <c r="A222" i="18"/>
  <c r="C222" i="18"/>
  <c r="A224" i="28" s="1"/>
  <c r="AA222" i="18"/>
  <c r="AF222" i="18" s="1"/>
  <c r="AJ222" i="18"/>
  <c r="AO222" i="18" s="1"/>
  <c r="A223" i="18"/>
  <c r="C223" i="18"/>
  <c r="A225" i="28" s="1"/>
  <c r="AA223" i="18"/>
  <c r="AF223" i="18" s="1"/>
  <c r="AJ223" i="18"/>
  <c r="AO223" i="18" s="1"/>
  <c r="A224" i="18"/>
  <c r="C224" i="18"/>
  <c r="A226" i="28" s="1"/>
  <c r="AA224" i="18"/>
  <c r="AF224" i="18" s="1"/>
  <c r="AJ224" i="18"/>
  <c r="AO224" i="18" s="1"/>
  <c r="A225" i="18"/>
  <c r="B225" i="18" s="1"/>
  <c r="C225" i="18"/>
  <c r="A227" i="28" s="1"/>
  <c r="AA225" i="18"/>
  <c r="AF225" i="18" s="1"/>
  <c r="AJ225" i="18"/>
  <c r="AO225" i="18" s="1"/>
  <c r="A226" i="18"/>
  <c r="B226" i="18" s="1"/>
  <c r="C226" i="18"/>
  <c r="A228" i="28" s="1"/>
  <c r="AA226" i="18"/>
  <c r="Y228" i="28" s="1"/>
  <c r="AJ226" i="18"/>
  <c r="AH228" i="28" s="1"/>
  <c r="A227" i="18"/>
  <c r="C227" i="18"/>
  <c r="A229" i="28" s="1"/>
  <c r="AA227" i="18"/>
  <c r="AF227" i="18" s="1"/>
  <c r="AJ227" i="18"/>
  <c r="AO227" i="18" s="1"/>
  <c r="A228" i="18"/>
  <c r="B228" i="18" s="1"/>
  <c r="C228" i="18"/>
  <c r="A230" i="28" s="1"/>
  <c r="AA228" i="18"/>
  <c r="AF228" i="18" s="1"/>
  <c r="AJ228" i="18"/>
  <c r="AO228" i="18" s="1"/>
  <c r="A229" i="18"/>
  <c r="C229" i="18"/>
  <c r="A231" i="28" s="1"/>
  <c r="AA229" i="18"/>
  <c r="AF229" i="18" s="1"/>
  <c r="AJ229" i="18"/>
  <c r="AO229" i="18" s="1"/>
  <c r="A230" i="18"/>
  <c r="C230" i="18"/>
  <c r="A232" i="28" s="1"/>
  <c r="AA230" i="18"/>
  <c r="AJ230" i="18"/>
  <c r="A231" i="18"/>
  <c r="C231" i="18"/>
  <c r="A233" i="28" s="1"/>
  <c r="AA231" i="18"/>
  <c r="AF231" i="18" s="1"/>
  <c r="AJ231" i="18"/>
  <c r="AO231" i="18" s="1"/>
  <c r="A232" i="18"/>
  <c r="B232" i="18" s="1"/>
  <c r="C232" i="18"/>
  <c r="A234" i="28" s="1"/>
  <c r="AA232" i="18"/>
  <c r="AJ232" i="18"/>
  <c r="A233" i="18"/>
  <c r="B233" i="18" s="1"/>
  <c r="C233" i="18"/>
  <c r="A235" i="28" s="1"/>
  <c r="AA233" i="18"/>
  <c r="Y235" i="28" s="1"/>
  <c r="AJ233" i="18"/>
  <c r="AH235" i="28" s="1"/>
  <c r="A234" i="18"/>
  <c r="B234" i="18" s="1"/>
  <c r="C234" i="18"/>
  <c r="A236" i="28" s="1"/>
  <c r="AA234" i="18"/>
  <c r="AF234" i="18" s="1"/>
  <c r="AJ234" i="18"/>
  <c r="AO234" i="18" s="1"/>
  <c r="A235" i="18"/>
  <c r="C235" i="18"/>
  <c r="A237" i="28" s="1"/>
  <c r="AA235" i="18"/>
  <c r="AF235" i="18" s="1"/>
  <c r="AJ235" i="18"/>
  <c r="AO235" i="18" s="1"/>
  <c r="A236" i="18"/>
  <c r="B236" i="18" s="1"/>
  <c r="C236" i="18"/>
  <c r="A238" i="28" s="1"/>
  <c r="AA236" i="18"/>
  <c r="AF236" i="18" s="1"/>
  <c r="AJ236" i="18"/>
  <c r="AO236" i="18" s="1"/>
  <c r="A237" i="18"/>
  <c r="B237" i="18" s="1"/>
  <c r="C237" i="18"/>
  <c r="A239" i="28" s="1"/>
  <c r="AA237" i="18"/>
  <c r="AF237" i="18" s="1"/>
  <c r="AJ237" i="18"/>
  <c r="AO237" i="18" s="1"/>
  <c r="A238" i="18"/>
  <c r="B238" i="18" s="1"/>
  <c r="C238" i="18"/>
  <c r="A240" i="28" s="1"/>
  <c r="AA238" i="18"/>
  <c r="AF238" i="18" s="1"/>
  <c r="AJ238" i="18"/>
  <c r="AO238" i="18" s="1"/>
  <c r="A239" i="18"/>
  <c r="B239" i="18" s="1"/>
  <c r="C239" i="18"/>
  <c r="A241" i="28" s="1"/>
  <c r="AA239" i="18"/>
  <c r="AF239" i="18" s="1"/>
  <c r="AJ239" i="18"/>
  <c r="A240" i="18"/>
  <c r="C240" i="18"/>
  <c r="A242" i="28" s="1"/>
  <c r="AA240" i="18"/>
  <c r="AF240" i="18" s="1"/>
  <c r="AJ240" i="18"/>
  <c r="AH242" i="28" s="1"/>
  <c r="A241" i="18"/>
  <c r="C241" i="18"/>
  <c r="A243" i="28" s="1"/>
  <c r="AA241" i="18"/>
  <c r="AF241" i="18" s="1"/>
  <c r="AJ241" i="18"/>
  <c r="AO241" i="18" s="1"/>
  <c r="A242" i="18"/>
  <c r="B242" i="18" s="1"/>
  <c r="C242" i="18"/>
  <c r="A244" i="28" s="1"/>
  <c r="AA242" i="18"/>
  <c r="AF242" i="18" s="1"/>
  <c r="AJ242" i="18"/>
  <c r="AO242" i="18" s="1"/>
  <c r="A243" i="18"/>
  <c r="C243" i="18"/>
  <c r="A245" i="28" s="1"/>
  <c r="AA243" i="18"/>
  <c r="AF243" i="18" s="1"/>
  <c r="AJ243" i="18"/>
  <c r="AO243" i="18" s="1"/>
  <c r="A244" i="18"/>
  <c r="B244" i="18" s="1"/>
  <c r="C244" i="18"/>
  <c r="A246" i="28" s="1"/>
  <c r="AA244" i="18"/>
  <c r="AF244" i="18" s="1"/>
  <c r="AJ244" i="18"/>
  <c r="AO244" i="18" s="1"/>
  <c r="A245" i="18"/>
  <c r="A18" i="5" s="1"/>
  <c r="C245" i="18"/>
  <c r="A247" i="28" s="1"/>
  <c r="AA245" i="18"/>
  <c r="AJ245" i="18"/>
  <c r="A246" i="18"/>
  <c r="C246" i="18"/>
  <c r="A248" i="28" s="1"/>
  <c r="AA246" i="18"/>
  <c r="AJ246" i="18"/>
  <c r="AO246" i="18" s="1"/>
  <c r="A247" i="18"/>
  <c r="B247" i="18" s="1"/>
  <c r="C247" i="18"/>
  <c r="A249" i="28" s="1"/>
  <c r="AA247" i="18"/>
  <c r="AJ247" i="18"/>
  <c r="AH249" i="28" s="1"/>
  <c r="A248" i="18"/>
  <c r="B248" i="18" s="1"/>
  <c r="C248" i="18"/>
  <c r="A250" i="28" s="1"/>
  <c r="AA248" i="18"/>
  <c r="AJ248" i="18"/>
  <c r="AO248" i="18" s="1"/>
  <c r="A249" i="18"/>
  <c r="B249" i="18" s="1"/>
  <c r="C249" i="18"/>
  <c r="A251" i="28" s="1"/>
  <c r="AA249" i="18"/>
  <c r="AJ249" i="18"/>
  <c r="AO249" i="18" s="1"/>
  <c r="A250" i="18"/>
  <c r="B250" i="18" s="1"/>
  <c r="C250" i="18"/>
  <c r="A252" i="28" s="1"/>
  <c r="AA250" i="18"/>
  <c r="AF250" i="18" s="1"/>
  <c r="AJ250" i="18"/>
  <c r="AO250" i="18" s="1"/>
  <c r="A251" i="18"/>
  <c r="B251" i="18" s="1"/>
  <c r="C251" i="18"/>
  <c r="A253" i="28" s="1"/>
  <c r="AA251" i="18"/>
  <c r="AF251" i="18" s="1"/>
  <c r="AJ251" i="18"/>
  <c r="AO251" i="18" s="1"/>
  <c r="A252" i="18"/>
  <c r="B252" i="18" s="1"/>
  <c r="C252" i="18"/>
  <c r="A254" i="28" s="1"/>
  <c r="AA252" i="18"/>
  <c r="AF252" i="18" s="1"/>
  <c r="AJ252" i="18"/>
  <c r="AO252" i="18" s="1"/>
  <c r="A253" i="18"/>
  <c r="B253" i="18" s="1"/>
  <c r="C253" i="18"/>
  <c r="A255" i="28" s="1"/>
  <c r="AA253" i="18"/>
  <c r="AF253" i="18" s="1"/>
  <c r="AJ253" i="18"/>
  <c r="AO253" i="18" s="1"/>
  <c r="A254" i="18"/>
  <c r="C254" i="18"/>
  <c r="A256" i="28" s="1"/>
  <c r="AA254" i="18"/>
  <c r="AF254" i="18" s="1"/>
  <c r="AJ254" i="18"/>
  <c r="AO254" i="18" s="1"/>
  <c r="A255" i="18"/>
  <c r="B255" i="18" s="1"/>
  <c r="C255" i="18"/>
  <c r="A257" i="28" s="1"/>
  <c r="AA255" i="18"/>
  <c r="AF255" i="18" s="1"/>
  <c r="AJ255" i="18"/>
  <c r="AO255" i="18" s="1"/>
  <c r="A256" i="18"/>
  <c r="B256" i="18" s="1"/>
  <c r="C256" i="18"/>
  <c r="A258" i="28" s="1"/>
  <c r="AA256" i="18"/>
  <c r="AF256" i="18" s="1"/>
  <c r="AJ256" i="18"/>
  <c r="AO256" i="18" s="1"/>
  <c r="A257" i="18"/>
  <c r="B257" i="18" s="1"/>
  <c r="C257" i="18"/>
  <c r="A259" i="28" s="1"/>
  <c r="AA257" i="18"/>
  <c r="AF257" i="18" s="1"/>
  <c r="AJ257" i="18"/>
  <c r="A258" i="18"/>
  <c r="B258" i="18" s="1"/>
  <c r="C258" i="18"/>
  <c r="A260" i="28" s="1"/>
  <c r="AA258" i="18"/>
  <c r="Y260" i="28" s="1"/>
  <c r="AJ258" i="18"/>
  <c r="AH260" i="28" s="1"/>
  <c r="A259" i="18"/>
  <c r="B259" i="18" s="1"/>
  <c r="C259" i="18"/>
  <c r="A261" i="28" s="1"/>
  <c r="AA259" i="18"/>
  <c r="AF259" i="18" s="1"/>
  <c r="AJ259" i="18"/>
  <c r="AO259" i="18" s="1"/>
  <c r="A260" i="18"/>
  <c r="A19" i="5" s="1"/>
  <c r="C260" i="18"/>
  <c r="A262" i="28" s="1"/>
  <c r="AA260" i="18"/>
  <c r="AJ260" i="18"/>
  <c r="A261" i="18"/>
  <c r="C261" i="18"/>
  <c r="A263" i="28" s="1"/>
  <c r="AA261" i="18"/>
  <c r="AJ261" i="18"/>
  <c r="A262" i="18"/>
  <c r="B262" i="18" s="1"/>
  <c r="C262" i="18"/>
  <c r="A264" i="28" s="1"/>
  <c r="AA262" i="18"/>
  <c r="AJ262" i="18"/>
  <c r="AO262" i="18" s="1"/>
  <c r="A263" i="18"/>
  <c r="B263" i="18" s="1"/>
  <c r="C263" i="18"/>
  <c r="A265" i="28" s="1"/>
  <c r="AA263" i="18"/>
  <c r="AJ263" i="18"/>
  <c r="A264" i="18"/>
  <c r="B264" i="18" s="1"/>
  <c r="C264" i="18"/>
  <c r="A266" i="28" s="1"/>
  <c r="AA264" i="18"/>
  <c r="AJ264" i="18"/>
  <c r="AO264" i="18" s="1"/>
  <c r="A265" i="18"/>
  <c r="B265" i="18" s="1"/>
  <c r="C265" i="18"/>
  <c r="A267" i="28" s="1"/>
  <c r="AA265" i="18"/>
  <c r="AJ265" i="18"/>
  <c r="A266" i="18"/>
  <c r="B266" i="18" s="1"/>
  <c r="C266" i="18"/>
  <c r="A268" i="28" s="1"/>
  <c r="AA266" i="18"/>
  <c r="AF266" i="18" s="1"/>
  <c r="AJ266" i="18"/>
  <c r="A267" i="18"/>
  <c r="B267" i="18" s="1"/>
  <c r="C267" i="18"/>
  <c r="A269" i="28" s="1"/>
  <c r="AA267" i="18"/>
  <c r="AF267" i="18" s="1"/>
  <c r="AJ267" i="18"/>
  <c r="AO267" i="18" s="1"/>
  <c r="A268" i="18"/>
  <c r="B268" i="18" s="1"/>
  <c r="C268" i="18"/>
  <c r="A270" i="28" s="1"/>
  <c r="AA268" i="18"/>
  <c r="AF268" i="18" s="1"/>
  <c r="AJ268" i="18"/>
  <c r="A269" i="18"/>
  <c r="C269" i="18"/>
  <c r="A271" i="28" s="1"/>
  <c r="AA269" i="18"/>
  <c r="AF269" i="18" s="1"/>
  <c r="AJ269" i="18"/>
  <c r="AO269" i="18" s="1"/>
  <c r="A270" i="18"/>
  <c r="B270" i="18" s="1"/>
  <c r="C270" i="18"/>
  <c r="A272" i="28" s="1"/>
  <c r="AA270" i="18"/>
  <c r="AF270" i="18" s="1"/>
  <c r="AJ270" i="18"/>
  <c r="AO270" i="18" s="1"/>
  <c r="A271" i="18"/>
  <c r="B271" i="18" s="1"/>
  <c r="C271" i="18"/>
  <c r="A273" i="28" s="1"/>
  <c r="AA271" i="18"/>
  <c r="AF271" i="18" s="1"/>
  <c r="AJ271" i="18"/>
  <c r="AO271" i="18" s="1"/>
  <c r="A272" i="18"/>
  <c r="B272" i="18" s="1"/>
  <c r="C272" i="18"/>
  <c r="A274" i="28" s="1"/>
  <c r="AA272" i="18"/>
  <c r="AF272" i="18" s="1"/>
  <c r="AJ272" i="18"/>
  <c r="AH274" i="28" s="1"/>
  <c r="A273" i="18"/>
  <c r="B273" i="18" s="1"/>
  <c r="C273" i="18"/>
  <c r="A275" i="28" s="1"/>
  <c r="AA273" i="18"/>
  <c r="AF273" i="18" s="1"/>
  <c r="AJ273" i="18"/>
  <c r="AO273" i="18" s="1"/>
  <c r="A274" i="18"/>
  <c r="B274" i="18" s="1"/>
  <c r="C274" i="18"/>
  <c r="A276" i="28" s="1"/>
  <c r="AA274" i="18"/>
  <c r="AF274" i="18" s="1"/>
  <c r="AJ274" i="18"/>
  <c r="AO274" i="18" s="1"/>
  <c r="A275" i="18"/>
  <c r="A20" i="5" s="1"/>
  <c r="C275" i="18"/>
  <c r="A277" i="28" s="1"/>
  <c r="AA275" i="18"/>
  <c r="AJ275" i="18"/>
  <c r="A276" i="18"/>
  <c r="C276" i="18"/>
  <c r="A278" i="28" s="1"/>
  <c r="AA276" i="18"/>
  <c r="AJ276" i="18"/>
  <c r="AO276" i="18" s="1"/>
  <c r="A277" i="18"/>
  <c r="B277" i="18" s="1"/>
  <c r="C277" i="18"/>
  <c r="A279" i="28" s="1"/>
  <c r="AA277" i="18"/>
  <c r="AJ277" i="18"/>
  <c r="AO277" i="18" s="1"/>
  <c r="A278" i="18"/>
  <c r="B278" i="18" s="1"/>
  <c r="C278" i="18"/>
  <c r="A280" i="28" s="1"/>
  <c r="AA278" i="18"/>
  <c r="AJ278" i="18"/>
  <c r="AO278" i="18" s="1"/>
  <c r="A279" i="18"/>
  <c r="C279" i="18"/>
  <c r="A281" i="28" s="1"/>
  <c r="AA279" i="18"/>
  <c r="AJ279" i="18"/>
  <c r="AO279" i="18" s="1"/>
  <c r="A280" i="18"/>
  <c r="B280" i="18" s="1"/>
  <c r="C280" i="18"/>
  <c r="A282" i="28" s="1"/>
  <c r="AA280" i="18"/>
  <c r="AF280" i="18" s="1"/>
  <c r="AJ280" i="18"/>
  <c r="AO280" i="18" s="1"/>
  <c r="A281" i="18"/>
  <c r="C281" i="18"/>
  <c r="A283" i="28" s="1"/>
  <c r="AA281" i="18"/>
  <c r="AF281" i="18" s="1"/>
  <c r="AJ281" i="18"/>
  <c r="AO281" i="18" s="1"/>
  <c r="A282" i="18"/>
  <c r="B282" i="18" s="1"/>
  <c r="C282" i="18"/>
  <c r="A284" i="28" s="1"/>
  <c r="AA282" i="18"/>
  <c r="AF282" i="18" s="1"/>
  <c r="AJ282" i="18"/>
  <c r="AH284" i="28" s="1"/>
  <c r="A283" i="18"/>
  <c r="B283" i="18" s="1"/>
  <c r="C283" i="18"/>
  <c r="A285" i="28" s="1"/>
  <c r="AA283" i="18"/>
  <c r="AF283" i="18" s="1"/>
  <c r="AJ283" i="18"/>
  <c r="AO283" i="18" s="1"/>
  <c r="A284" i="18"/>
  <c r="B284" i="18" s="1"/>
  <c r="C284" i="18"/>
  <c r="A286" i="28" s="1"/>
  <c r="AA284" i="18"/>
  <c r="AF284" i="18" s="1"/>
  <c r="AJ284" i="18"/>
  <c r="AO284" i="18" s="1"/>
  <c r="A285" i="18"/>
  <c r="B285" i="18" s="1"/>
  <c r="C285" i="18"/>
  <c r="A287" i="28" s="1"/>
  <c r="AA285" i="18"/>
  <c r="AF285" i="18" s="1"/>
  <c r="AJ285" i="18"/>
  <c r="AO285" i="18" s="1"/>
  <c r="A286" i="18"/>
  <c r="B286" i="18" s="1"/>
  <c r="C286" i="18"/>
  <c r="A288" i="28" s="1"/>
  <c r="AA286" i="18"/>
  <c r="AF286" i="18" s="1"/>
  <c r="AJ286" i="18"/>
  <c r="AO286" i="18" s="1"/>
  <c r="A287" i="18"/>
  <c r="B287" i="18" s="1"/>
  <c r="C287" i="18"/>
  <c r="A289" i="28" s="1"/>
  <c r="AA287" i="18"/>
  <c r="AF287" i="18" s="1"/>
  <c r="AJ287" i="18"/>
  <c r="AO287" i="18" s="1"/>
  <c r="A288" i="18"/>
  <c r="B288" i="18" s="1"/>
  <c r="C288" i="18"/>
  <c r="A290" i="28" s="1"/>
  <c r="AA288" i="18"/>
  <c r="AF288" i="18" s="1"/>
  <c r="AJ288" i="18"/>
  <c r="AO288" i="18" s="1"/>
  <c r="A289" i="18"/>
  <c r="B289" i="18" s="1"/>
  <c r="C289" i="18"/>
  <c r="A291" i="28" s="1"/>
  <c r="AA289" i="18"/>
  <c r="AF289" i="18" s="1"/>
  <c r="AJ289" i="18"/>
  <c r="AO289" i="18" s="1"/>
  <c r="A290" i="18"/>
  <c r="C290" i="18"/>
  <c r="A292" i="28" s="1"/>
  <c r="AA290" i="18"/>
  <c r="AJ290" i="18"/>
  <c r="AO290" i="18" s="1"/>
  <c r="A291" i="18"/>
  <c r="C291" i="18"/>
  <c r="A293" i="28" s="1"/>
  <c r="AA291" i="18"/>
  <c r="AJ291" i="18"/>
  <c r="AO291" i="18" s="1"/>
  <c r="A292" i="18"/>
  <c r="B292" i="18" s="1"/>
  <c r="C292" i="18"/>
  <c r="A294" i="28" s="1"/>
  <c r="AA292" i="18"/>
  <c r="AJ292" i="18"/>
  <c r="AO292" i="18" s="1"/>
  <c r="A293" i="18"/>
  <c r="C293" i="18"/>
  <c r="A295" i="28" s="1"/>
  <c r="AA293" i="18"/>
  <c r="AJ293" i="18"/>
  <c r="AO293" i="18" s="1"/>
  <c r="A294" i="18"/>
  <c r="B294" i="18" s="1"/>
  <c r="C294" i="18"/>
  <c r="A296" i="28" s="1"/>
  <c r="AA294" i="18"/>
  <c r="AJ294" i="18"/>
  <c r="AO294" i="18" s="1"/>
  <c r="A295" i="18"/>
  <c r="B295" i="18" s="1"/>
  <c r="C295" i="18"/>
  <c r="A297" i="28" s="1"/>
  <c r="AA295" i="18"/>
  <c r="AF295" i="18" s="1"/>
  <c r="AJ295" i="18"/>
  <c r="AO295" i="18" s="1"/>
  <c r="A296" i="18"/>
  <c r="B296" i="18" s="1"/>
  <c r="C296" i="18"/>
  <c r="A298" i="28" s="1"/>
  <c r="AA296" i="18"/>
  <c r="AF296" i="18" s="1"/>
  <c r="AJ296" i="18"/>
  <c r="A297" i="18"/>
  <c r="B297" i="18" s="1"/>
  <c r="C297" i="18"/>
  <c r="A299" i="28" s="1"/>
  <c r="AA297" i="18"/>
  <c r="Y299" i="28" s="1"/>
  <c r="AJ297" i="18"/>
  <c r="AH299" i="28" s="1"/>
  <c r="A298" i="18"/>
  <c r="B298" i="18" s="1"/>
  <c r="C298" i="18"/>
  <c r="A300" i="28" s="1"/>
  <c r="AA298" i="18"/>
  <c r="AF298" i="18" s="1"/>
  <c r="AJ298" i="18"/>
  <c r="AO298" i="18" s="1"/>
  <c r="A299" i="18"/>
  <c r="B299" i="18" s="1"/>
  <c r="C299" i="18"/>
  <c r="A301" i="28" s="1"/>
  <c r="AA299" i="18"/>
  <c r="AF299" i="18" s="1"/>
  <c r="AJ299" i="18"/>
  <c r="AO299" i="18" s="1"/>
  <c r="A300" i="18"/>
  <c r="B300" i="18" s="1"/>
  <c r="C300" i="18"/>
  <c r="A302" i="28" s="1"/>
  <c r="AA300" i="18"/>
  <c r="AF300" i="18" s="1"/>
  <c r="AJ300" i="18"/>
  <c r="AO300" i="18" s="1"/>
  <c r="A301" i="18"/>
  <c r="B301" i="18" s="1"/>
  <c r="C301" i="18"/>
  <c r="A303" i="28" s="1"/>
  <c r="AA301" i="18"/>
  <c r="AF301" i="18" s="1"/>
  <c r="AJ301" i="18"/>
  <c r="AO301" i="18" s="1"/>
  <c r="A302" i="18"/>
  <c r="B302" i="18" s="1"/>
  <c r="C302" i="18"/>
  <c r="A304" i="28" s="1"/>
  <c r="AA302" i="18"/>
  <c r="AF302" i="18" s="1"/>
  <c r="AJ302" i="18"/>
  <c r="A303" i="18"/>
  <c r="B303" i="18" s="1"/>
  <c r="C303" i="18"/>
  <c r="A305" i="28" s="1"/>
  <c r="AA303" i="18"/>
  <c r="AF303" i="18" s="1"/>
  <c r="AJ303" i="18"/>
  <c r="A304" i="18"/>
  <c r="B304" i="18" s="1"/>
  <c r="C304" i="18"/>
  <c r="A306" i="28" s="1"/>
  <c r="AA304" i="18"/>
  <c r="AJ304" i="18"/>
  <c r="A305" i="18"/>
  <c r="C305" i="18"/>
  <c r="A307" i="28" s="1"/>
  <c r="AA305" i="18"/>
  <c r="AJ305" i="18"/>
  <c r="A306" i="18"/>
  <c r="B306" i="18" s="1"/>
  <c r="C306" i="18"/>
  <c r="A308" i="28" s="1"/>
  <c r="AA306" i="18"/>
  <c r="AJ306" i="18"/>
  <c r="AO306" i="18" s="1"/>
  <c r="A307" i="18"/>
  <c r="B307" i="18" s="1"/>
  <c r="C307" i="18"/>
  <c r="A309" i="28" s="1"/>
  <c r="AA307" i="18"/>
  <c r="AJ307" i="18"/>
  <c r="A308" i="18"/>
  <c r="B308" i="18" s="1"/>
  <c r="C308" i="18"/>
  <c r="A310" i="28" s="1"/>
  <c r="AA308" i="18"/>
  <c r="AJ308" i="18"/>
  <c r="AO308" i="18" s="1"/>
  <c r="A309" i="18"/>
  <c r="B309" i="18" s="1"/>
  <c r="C309" i="18"/>
  <c r="A311" i="28" s="1"/>
  <c r="AA309" i="18"/>
  <c r="AJ309" i="18"/>
  <c r="AO309" i="18" s="1"/>
  <c r="A310" i="18"/>
  <c r="B310" i="18" s="1"/>
  <c r="C310" i="18"/>
  <c r="A312" i="28" s="1"/>
  <c r="AA310" i="18"/>
  <c r="AF310" i="18" s="1"/>
  <c r="AJ310" i="18"/>
  <c r="AO310" i="18" s="1"/>
  <c r="A311" i="18"/>
  <c r="B311" i="18" s="1"/>
  <c r="C311" i="18"/>
  <c r="A313" i="28" s="1"/>
  <c r="AA311" i="18"/>
  <c r="AF311" i="18" s="1"/>
  <c r="AJ311" i="18"/>
  <c r="A312" i="18"/>
  <c r="B312" i="18" s="1"/>
  <c r="C312" i="18"/>
  <c r="A314" i="28" s="1"/>
  <c r="AA312" i="18"/>
  <c r="AF312" i="18" s="1"/>
  <c r="AJ312" i="18"/>
  <c r="A313" i="18"/>
  <c r="B313" i="18" s="1"/>
  <c r="C313" i="18"/>
  <c r="A315" i="28" s="1"/>
  <c r="AA313" i="18"/>
  <c r="AF313" i="18" s="1"/>
  <c r="AJ313" i="18"/>
  <c r="AO313" i="18" s="1"/>
  <c r="A314" i="18"/>
  <c r="C314" i="18"/>
  <c r="A316" i="28" s="1"/>
  <c r="AA314" i="18"/>
  <c r="AF314" i="18" s="1"/>
  <c r="AJ314" i="18"/>
  <c r="AO314" i="18" s="1"/>
  <c r="A315" i="18"/>
  <c r="B315" i="18" s="1"/>
  <c r="C315" i="18"/>
  <c r="A317" i="28" s="1"/>
  <c r="AA315" i="18"/>
  <c r="AF315" i="18" s="1"/>
  <c r="AJ315" i="18"/>
  <c r="AO315" i="18" s="1"/>
  <c r="A316" i="18"/>
  <c r="B316" i="18" s="1"/>
  <c r="C316" i="18"/>
  <c r="A318" i="28" s="1"/>
  <c r="AA316" i="18"/>
  <c r="AF316" i="18" s="1"/>
  <c r="AJ316" i="18"/>
  <c r="AO316" i="18" s="1"/>
  <c r="A317" i="18"/>
  <c r="B317" i="18" s="1"/>
  <c r="C317" i="18"/>
  <c r="A319" i="28" s="1"/>
  <c r="AA317" i="18"/>
  <c r="AF317" i="18" s="1"/>
  <c r="AJ317" i="18"/>
  <c r="AO317" i="18" s="1"/>
  <c r="A318" i="18"/>
  <c r="B318" i="18" s="1"/>
  <c r="C318" i="18"/>
  <c r="A320" i="28" s="1"/>
  <c r="AA318" i="18"/>
  <c r="AF318" i="18" s="1"/>
  <c r="AJ318" i="18"/>
  <c r="A319" i="18"/>
  <c r="B319" i="18" s="1"/>
  <c r="C319" i="18"/>
  <c r="A321" i="28" s="1"/>
  <c r="AA319" i="18"/>
  <c r="AF319" i="18" s="1"/>
  <c r="AJ319" i="18"/>
  <c r="A320" i="18"/>
  <c r="C320" i="18"/>
  <c r="A322" i="28" s="1"/>
  <c r="AA320" i="18"/>
  <c r="AJ320" i="18"/>
  <c r="A321" i="18"/>
  <c r="B321" i="18" s="1"/>
  <c r="C321" i="18"/>
  <c r="A323" i="28" s="1"/>
  <c r="AA321" i="18"/>
  <c r="AJ321" i="18"/>
  <c r="AH323" i="28" s="1"/>
  <c r="A322" i="18"/>
  <c r="B322" i="18" s="1"/>
  <c r="C322" i="18"/>
  <c r="A324" i="28" s="1"/>
  <c r="AA322" i="18"/>
  <c r="Y324" i="28" s="1"/>
  <c r="AJ322" i="18"/>
  <c r="AH324" i="28" s="1"/>
  <c r="A323" i="18"/>
  <c r="B323" i="18" s="1"/>
  <c r="C323" i="18"/>
  <c r="A325" i="28" s="1"/>
  <c r="AA323" i="18"/>
  <c r="AJ323" i="18"/>
  <c r="AO323" i="18" s="1"/>
  <c r="A324" i="18"/>
  <c r="B324" i="18" s="1"/>
  <c r="C324" i="18"/>
  <c r="A326" i="28" s="1"/>
  <c r="AA324" i="18"/>
  <c r="AJ324" i="18"/>
  <c r="AO324" i="18" s="1"/>
  <c r="A325" i="18"/>
  <c r="B325" i="18" s="1"/>
  <c r="C325" i="18"/>
  <c r="A327" i="28" s="1"/>
  <c r="AA325" i="18"/>
  <c r="AF325" i="18" s="1"/>
  <c r="AJ325" i="18"/>
  <c r="AO325" i="18" s="1"/>
  <c r="A326" i="18"/>
  <c r="B326" i="18" s="1"/>
  <c r="C326" i="18"/>
  <c r="A328" i="28" s="1"/>
  <c r="AA326" i="18"/>
  <c r="AF326" i="18" s="1"/>
  <c r="AJ326" i="18"/>
  <c r="AO326" i="18" s="1"/>
  <c r="A327" i="18"/>
  <c r="B327" i="18" s="1"/>
  <c r="C327" i="18"/>
  <c r="A329" i="28" s="1"/>
  <c r="AA327" i="18"/>
  <c r="AF327" i="18" s="1"/>
  <c r="AJ327" i="18"/>
  <c r="AO327" i="18" s="1"/>
  <c r="A328" i="18"/>
  <c r="B328" i="18" s="1"/>
  <c r="C328" i="18"/>
  <c r="A330" i="28" s="1"/>
  <c r="AA328" i="18"/>
  <c r="AF328" i="18" s="1"/>
  <c r="AJ328" i="18"/>
  <c r="AO328" i="18" s="1"/>
  <c r="A329" i="18"/>
  <c r="B329" i="18" s="1"/>
  <c r="C329" i="18"/>
  <c r="A331" i="28" s="1"/>
  <c r="AA329" i="18"/>
  <c r="Y331" i="28" s="1"/>
  <c r="AJ329" i="18"/>
  <c r="AH331" i="28" s="1"/>
  <c r="A330" i="18"/>
  <c r="B330" i="18" s="1"/>
  <c r="C330" i="18"/>
  <c r="A332" i="28" s="1"/>
  <c r="AA330" i="18"/>
  <c r="AF330" i="18" s="1"/>
  <c r="AJ330" i="18"/>
  <c r="AO330" i="18" s="1"/>
  <c r="A331" i="18"/>
  <c r="C331" i="18"/>
  <c r="A333" i="28" s="1"/>
  <c r="AA331" i="18"/>
  <c r="AF331" i="18" s="1"/>
  <c r="AJ331" i="18"/>
  <c r="A332" i="18"/>
  <c r="B332" i="18" s="1"/>
  <c r="C332" i="18"/>
  <c r="A334" i="28" s="1"/>
  <c r="AA332" i="18"/>
  <c r="AF332" i="18" s="1"/>
  <c r="AJ332" i="18"/>
  <c r="AO332" i="18" s="1"/>
  <c r="A333" i="18"/>
  <c r="B333" i="18" s="1"/>
  <c r="C333" i="18"/>
  <c r="A335" i="28" s="1"/>
  <c r="AA333" i="18"/>
  <c r="AF333" i="18" s="1"/>
  <c r="AJ333" i="18"/>
  <c r="AO333" i="18" s="1"/>
  <c r="A334" i="18"/>
  <c r="B334" i="18" s="1"/>
  <c r="C334" i="18"/>
  <c r="A336" i="28" s="1"/>
  <c r="AA334" i="18"/>
  <c r="AF334" i="18" s="1"/>
  <c r="AJ334" i="18"/>
  <c r="A335" i="18"/>
  <c r="A24" i="5" s="1"/>
  <c r="C335" i="18"/>
  <c r="A337" i="28" s="1"/>
  <c r="AA335" i="18"/>
  <c r="AJ335" i="18"/>
  <c r="A336" i="18"/>
  <c r="C336" i="18"/>
  <c r="A338" i="28" s="1"/>
  <c r="AA336" i="18"/>
  <c r="Y338" i="28" s="1"/>
  <c r="AJ336" i="18"/>
  <c r="AH338" i="28" s="1"/>
  <c r="A337" i="18"/>
  <c r="B337" i="18" s="1"/>
  <c r="C337" i="18"/>
  <c r="A339" i="28" s="1"/>
  <c r="AA337" i="18"/>
  <c r="AJ337" i="18"/>
  <c r="AO337" i="18" s="1"/>
  <c r="A338" i="18"/>
  <c r="B338" i="18" s="1"/>
  <c r="C338" i="18"/>
  <c r="A340" i="28" s="1"/>
  <c r="AA338" i="18"/>
  <c r="AJ338" i="18"/>
  <c r="AO338" i="18" s="1"/>
  <c r="A339" i="18"/>
  <c r="C339" i="18"/>
  <c r="A341" i="28" s="1"/>
  <c r="AA339" i="18"/>
  <c r="AJ339" i="18"/>
  <c r="A340" i="18"/>
  <c r="B340" i="18" s="1"/>
  <c r="C340" i="18"/>
  <c r="A342" i="28" s="1"/>
  <c r="AA340" i="18"/>
  <c r="AF340" i="18" s="1"/>
  <c r="AJ340" i="18"/>
  <c r="AO340" i="18" s="1"/>
  <c r="A341" i="18"/>
  <c r="B341" i="18" s="1"/>
  <c r="C341" i="18"/>
  <c r="A343" i="28" s="1"/>
  <c r="AA341" i="18"/>
  <c r="AF341" i="18" s="1"/>
  <c r="AJ341" i="18"/>
  <c r="A342" i="18"/>
  <c r="C342" i="18"/>
  <c r="A344" i="28" s="1"/>
  <c r="AA342" i="18"/>
  <c r="AF342" i="18" s="1"/>
  <c r="AJ342" i="18"/>
  <c r="AO342" i="18" s="1"/>
  <c r="A343" i="18"/>
  <c r="B343" i="18" s="1"/>
  <c r="C343" i="18"/>
  <c r="A345" i="28" s="1"/>
  <c r="AA343" i="18"/>
  <c r="AF343" i="18" s="1"/>
  <c r="AJ343" i="18"/>
  <c r="AO343" i="18" s="1"/>
  <c r="A344" i="18"/>
  <c r="C344" i="18"/>
  <c r="A346" i="28" s="1"/>
  <c r="AA344" i="18"/>
  <c r="AF344" i="18" s="1"/>
  <c r="AJ344" i="18"/>
  <c r="AO344" i="18" s="1"/>
  <c r="A345" i="18"/>
  <c r="B345" i="18" s="1"/>
  <c r="C345" i="18"/>
  <c r="A347" i="28" s="1"/>
  <c r="AA345" i="18"/>
  <c r="AF345" i="18" s="1"/>
  <c r="AJ345" i="18"/>
  <c r="AO345" i="18" s="1"/>
  <c r="A346" i="18"/>
  <c r="B346" i="18" s="1"/>
  <c r="C346" i="18"/>
  <c r="A348" i="28" s="1"/>
  <c r="AA346" i="18"/>
  <c r="AF346" i="18" s="1"/>
  <c r="AJ346" i="18"/>
  <c r="A347" i="18"/>
  <c r="B347" i="18" s="1"/>
  <c r="C347" i="18"/>
  <c r="A349" i="28" s="1"/>
  <c r="AA347" i="18"/>
  <c r="AF347" i="18" s="1"/>
  <c r="AJ347" i="18"/>
  <c r="AO347" i="18" s="1"/>
  <c r="A348" i="18"/>
  <c r="C348" i="18"/>
  <c r="A350" i="28" s="1"/>
  <c r="AA348" i="18"/>
  <c r="AF348" i="18" s="1"/>
  <c r="AJ348" i="18"/>
  <c r="AH350" i="28" s="1"/>
  <c r="A349" i="18"/>
  <c r="B349" i="18" s="1"/>
  <c r="C349" i="18"/>
  <c r="A351" i="28" s="1"/>
  <c r="AA349" i="18"/>
  <c r="AF349" i="18" s="1"/>
  <c r="AJ349" i="18"/>
  <c r="AO349" i="18" s="1"/>
  <c r="A350" i="18"/>
  <c r="A25" i="5" s="1"/>
  <c r="C350" i="18"/>
  <c r="A352" i="28" s="1"/>
  <c r="AA350" i="18"/>
  <c r="AJ350" i="18"/>
  <c r="A351" i="18"/>
  <c r="B351" i="18" s="1"/>
  <c r="C351" i="18"/>
  <c r="A353" i="28" s="1"/>
  <c r="AA351" i="18"/>
  <c r="AF351" i="18" s="1"/>
  <c r="AJ351" i="18"/>
  <c r="A352" i="18"/>
  <c r="B352" i="18" s="1"/>
  <c r="C352" i="18"/>
  <c r="A354" i="28" s="1"/>
  <c r="AA352" i="18"/>
  <c r="AF352" i="18" s="1"/>
  <c r="AJ352" i="18"/>
  <c r="AO352" i="18" s="1"/>
  <c r="A353" i="18"/>
  <c r="B353" i="18" s="1"/>
  <c r="C353" i="18"/>
  <c r="A355" i="28" s="1"/>
  <c r="AA353" i="18"/>
  <c r="AF353" i="18" s="1"/>
  <c r="AJ353" i="18"/>
  <c r="AO353" i="18" s="1"/>
  <c r="A354" i="18"/>
  <c r="B354" i="18" s="1"/>
  <c r="C354" i="18"/>
  <c r="A356" i="28" s="1"/>
  <c r="AA354" i="18"/>
  <c r="Y356" i="28" s="1"/>
  <c r="AJ354" i="18"/>
  <c r="AH356" i="28" s="1"/>
  <c r="A355" i="18"/>
  <c r="B355" i="18" s="1"/>
  <c r="C355" i="18"/>
  <c r="A357" i="28" s="1"/>
  <c r="AA355" i="18"/>
  <c r="AF355" i="18" s="1"/>
  <c r="AJ355" i="18"/>
  <c r="AO355" i="18" s="1"/>
  <c r="A356" i="18"/>
  <c r="B356" i="18" s="1"/>
  <c r="C356" i="18"/>
  <c r="A358" i="28" s="1"/>
  <c r="AA356" i="18"/>
  <c r="AF356" i="18" s="1"/>
  <c r="AJ356" i="18"/>
  <c r="AO356" i="18" s="1"/>
  <c r="A357" i="18"/>
  <c r="B357" i="18" s="1"/>
  <c r="C357" i="18"/>
  <c r="A359" i="28" s="1"/>
  <c r="AA357" i="18"/>
  <c r="AF357" i="18" s="1"/>
  <c r="AJ357" i="18"/>
  <c r="AO357" i="18" s="1"/>
  <c r="A358" i="18"/>
  <c r="B358" i="18" s="1"/>
  <c r="C358" i="18"/>
  <c r="A360" i="28" s="1"/>
  <c r="AA358" i="18"/>
  <c r="AF358" i="18" s="1"/>
  <c r="AJ358" i="18"/>
  <c r="AO358" i="18" s="1"/>
  <c r="A359" i="18"/>
  <c r="B359" i="18" s="1"/>
  <c r="C359" i="18"/>
  <c r="A361" i="28" s="1"/>
  <c r="AA359" i="18"/>
  <c r="AF359" i="18" s="1"/>
  <c r="AJ359" i="18"/>
  <c r="AO359" i="18" s="1"/>
  <c r="A360" i="18"/>
  <c r="B360" i="18" s="1"/>
  <c r="C360" i="18"/>
  <c r="A362" i="28" s="1"/>
  <c r="AA360" i="18"/>
  <c r="AF360" i="18" s="1"/>
  <c r="AJ360" i="18"/>
  <c r="A361" i="18"/>
  <c r="B361" i="18" s="1"/>
  <c r="C361" i="18"/>
  <c r="A363" i="28" s="1"/>
  <c r="AA361" i="18"/>
  <c r="Y363" i="28" s="1"/>
  <c r="AJ361" i="18"/>
  <c r="AH363" i="28" s="1"/>
  <c r="A362" i="18"/>
  <c r="B362" i="18" s="1"/>
  <c r="C362" i="18"/>
  <c r="A364" i="28" s="1"/>
  <c r="AA362" i="18"/>
  <c r="AF362" i="18" s="1"/>
  <c r="AJ362" i="18"/>
  <c r="AO362" i="18" s="1"/>
  <c r="A363" i="18"/>
  <c r="B363" i="18" s="1"/>
  <c r="C363" i="18"/>
  <c r="A365" i="28" s="1"/>
  <c r="AA363" i="18"/>
  <c r="AF363" i="18" s="1"/>
  <c r="AJ363" i="18"/>
  <c r="AO363" i="18" s="1"/>
  <c r="A364" i="18"/>
  <c r="B364" i="18" s="1"/>
  <c r="C364" i="18"/>
  <c r="A366" i="28" s="1"/>
  <c r="AA364" i="18"/>
  <c r="AF364" i="18" s="1"/>
  <c r="AJ364" i="18"/>
  <c r="AO364" i="18" s="1"/>
  <c r="A365" i="18"/>
  <c r="C365" i="18"/>
  <c r="A367" i="28" s="1"/>
  <c r="AA365" i="18"/>
  <c r="AJ365" i="18"/>
  <c r="A366" i="18"/>
  <c r="C366" i="18"/>
  <c r="A368" i="28" s="1"/>
  <c r="AA366" i="18"/>
  <c r="AF366" i="18" s="1"/>
  <c r="AJ366" i="18"/>
  <c r="AO366" i="18" s="1"/>
  <c r="A367" i="18"/>
  <c r="B367" i="18" s="1"/>
  <c r="C367" i="18"/>
  <c r="A369" i="28" s="1"/>
  <c r="AA367" i="18"/>
  <c r="AF367" i="18" s="1"/>
  <c r="AJ367" i="18"/>
  <c r="A368" i="18"/>
  <c r="B368" i="18" s="1"/>
  <c r="C368" i="18"/>
  <c r="A370" i="28" s="1"/>
  <c r="AA368" i="18"/>
  <c r="Y370" i="28" s="1"/>
  <c r="AJ368" i="18"/>
  <c r="AH370" i="28" s="1"/>
  <c r="A369" i="18"/>
  <c r="B369" i="18" s="1"/>
  <c r="C369" i="18"/>
  <c r="A371" i="28" s="1"/>
  <c r="AA369" i="18"/>
  <c r="AF369" i="18" s="1"/>
  <c r="AJ369" i="18"/>
  <c r="AO369" i="18" s="1"/>
  <c r="A370" i="18"/>
  <c r="B370" i="18" s="1"/>
  <c r="C370" i="18"/>
  <c r="A372" i="28" s="1"/>
  <c r="AA370" i="18"/>
  <c r="AF370" i="18" s="1"/>
  <c r="AJ370" i="18"/>
  <c r="AO370" i="18" s="1"/>
  <c r="A371" i="18"/>
  <c r="C371" i="18"/>
  <c r="A373" i="28" s="1"/>
  <c r="AA371" i="18"/>
  <c r="AF371" i="18" s="1"/>
  <c r="AJ371" i="18"/>
  <c r="AO371" i="18" s="1"/>
  <c r="A372" i="18"/>
  <c r="B372" i="18" s="1"/>
  <c r="C372" i="18"/>
  <c r="A374" i="28" s="1"/>
  <c r="AA372" i="18"/>
  <c r="AJ372" i="18"/>
  <c r="AO372" i="18" s="1"/>
  <c r="A373" i="18"/>
  <c r="B373" i="18" s="1"/>
  <c r="C373" i="18"/>
  <c r="A375" i="28" s="1"/>
  <c r="AA373" i="18"/>
  <c r="AF373" i="18" s="1"/>
  <c r="AJ373" i="18"/>
  <c r="AO373" i="18" s="1"/>
  <c r="A374" i="18"/>
  <c r="B374" i="18" s="1"/>
  <c r="C374" i="18"/>
  <c r="A376" i="28" s="1"/>
  <c r="AA374" i="18"/>
  <c r="AF374" i="18" s="1"/>
  <c r="AJ374" i="18"/>
  <c r="AO374" i="18" s="1"/>
  <c r="A375" i="18"/>
  <c r="C375" i="18"/>
  <c r="A377" i="28" s="1"/>
  <c r="AA375" i="18"/>
  <c r="AF375" i="18" s="1"/>
  <c r="AJ375" i="18"/>
  <c r="AH377" i="28" s="1"/>
  <c r="A376" i="18"/>
  <c r="B376" i="18" s="1"/>
  <c r="C376" i="18"/>
  <c r="A378" i="28" s="1"/>
  <c r="AA376" i="18"/>
  <c r="AF376" i="18" s="1"/>
  <c r="AJ376" i="18"/>
  <c r="AO376" i="18" s="1"/>
  <c r="A377" i="18"/>
  <c r="B377" i="18" s="1"/>
  <c r="C377" i="18"/>
  <c r="A379" i="28" s="1"/>
  <c r="AA377" i="18"/>
  <c r="AF377" i="18" s="1"/>
  <c r="AJ377" i="18"/>
  <c r="AO377" i="18" s="1"/>
  <c r="A378" i="18"/>
  <c r="B378" i="18" s="1"/>
  <c r="C378" i="18"/>
  <c r="A380" i="28" s="1"/>
  <c r="AA378" i="18"/>
  <c r="AF378" i="18" s="1"/>
  <c r="AJ378" i="18"/>
  <c r="AO378" i="18" s="1"/>
  <c r="A379" i="18"/>
  <c r="B379" i="18" s="1"/>
  <c r="C379" i="18"/>
  <c r="A381" i="28" s="1"/>
  <c r="AA379" i="18"/>
  <c r="AF379" i="18" s="1"/>
  <c r="AJ379" i="18"/>
  <c r="AO379" i="18" s="1"/>
  <c r="A380" i="18"/>
  <c r="C380" i="18"/>
  <c r="A382" i="28" s="1"/>
  <c r="AA380" i="18"/>
  <c r="AJ380" i="18"/>
  <c r="A381" i="18"/>
  <c r="B381" i="18" s="1"/>
  <c r="C381" i="18"/>
  <c r="A383" i="28" s="1"/>
  <c r="AA381" i="18"/>
  <c r="AF381" i="18" s="1"/>
  <c r="AJ381" i="18"/>
  <c r="AO381" i="18" s="1"/>
  <c r="A382" i="18"/>
  <c r="B382" i="18" s="1"/>
  <c r="C382" i="18"/>
  <c r="A384" i="28" s="1"/>
  <c r="AA382" i="18"/>
  <c r="AF382" i="18" s="1"/>
  <c r="AJ382" i="18"/>
  <c r="AO382" i="18" s="1"/>
  <c r="A383" i="18"/>
  <c r="C383" i="18"/>
  <c r="A385" i="28" s="1"/>
  <c r="AA383" i="18"/>
  <c r="AF383" i="18" s="1"/>
  <c r="AJ383" i="18"/>
  <c r="AO383" i="18" s="1"/>
  <c r="A384" i="18"/>
  <c r="B384" i="18" s="1"/>
  <c r="C384" i="18"/>
  <c r="A386" i="28" s="1"/>
  <c r="AA384" i="18"/>
  <c r="AF384" i="18" s="1"/>
  <c r="AJ384" i="18"/>
  <c r="AO384" i="18" s="1"/>
  <c r="A385" i="18"/>
  <c r="B385" i="18" s="1"/>
  <c r="C385" i="18"/>
  <c r="A387" i="28" s="1"/>
  <c r="AA385" i="18"/>
  <c r="AF385" i="18" s="1"/>
  <c r="AJ385" i="18"/>
  <c r="A386" i="18"/>
  <c r="B386" i="18" s="1"/>
  <c r="C386" i="18"/>
  <c r="A388" i="28" s="1"/>
  <c r="AA386" i="18"/>
  <c r="Y388" i="28" s="1"/>
  <c r="AJ386" i="18"/>
  <c r="AH388" i="28" s="1"/>
  <c r="A387" i="18"/>
  <c r="C387" i="18"/>
  <c r="A389" i="28" s="1"/>
  <c r="AA387" i="18"/>
  <c r="AF387" i="18" s="1"/>
  <c r="AJ387" i="18"/>
  <c r="A388" i="18"/>
  <c r="B388" i="18" s="1"/>
  <c r="C388" i="18"/>
  <c r="A390" i="28" s="1"/>
  <c r="AA388" i="18"/>
  <c r="AF388" i="18" s="1"/>
  <c r="AJ388" i="18"/>
  <c r="AO388" i="18" s="1"/>
  <c r="A389" i="18"/>
  <c r="B389" i="18" s="1"/>
  <c r="C389" i="18"/>
  <c r="A391" i="28" s="1"/>
  <c r="AA389" i="18"/>
  <c r="AF389" i="18" s="1"/>
  <c r="AJ389" i="18"/>
  <c r="AO389" i="18" s="1"/>
  <c r="A390" i="18"/>
  <c r="B390" i="18" s="1"/>
  <c r="C390" i="18"/>
  <c r="A392" i="28" s="1"/>
  <c r="AA390" i="18"/>
  <c r="AF390" i="18" s="1"/>
  <c r="AJ390" i="18"/>
  <c r="AO390" i="18" s="1"/>
  <c r="A391" i="18"/>
  <c r="C391" i="18"/>
  <c r="A393" i="28" s="1"/>
  <c r="AA391" i="18"/>
  <c r="AF391" i="18" s="1"/>
  <c r="AJ391" i="18"/>
  <c r="AO391" i="18" s="1"/>
  <c r="A392" i="18"/>
  <c r="B392" i="18" s="1"/>
  <c r="C392" i="18"/>
  <c r="A394" i="28" s="1"/>
  <c r="AA392" i="18"/>
  <c r="AF392" i="18" s="1"/>
  <c r="AJ392" i="18"/>
  <c r="AO392" i="18" s="1"/>
  <c r="A393" i="18"/>
  <c r="B393" i="18" s="1"/>
  <c r="C393" i="18"/>
  <c r="A395" i="28" s="1"/>
  <c r="AA393" i="18"/>
  <c r="AJ393" i="18"/>
  <c r="AH395" i="28" s="1"/>
  <c r="A394" i="18"/>
  <c r="B394" i="18" s="1"/>
  <c r="C394" i="18"/>
  <c r="A396" i="28" s="1"/>
  <c r="AA394" i="18"/>
  <c r="AF394" i="18" s="1"/>
  <c r="AJ394" i="18"/>
  <c r="AO394" i="18" s="1"/>
  <c r="A395" i="18"/>
  <c r="C395" i="18"/>
  <c r="A397" i="28" s="1"/>
  <c r="AA395" i="18"/>
  <c r="AJ395" i="18"/>
  <c r="A396" i="18"/>
  <c r="B396" i="18" s="1"/>
  <c r="C396" i="18"/>
  <c r="A398" i="28" s="1"/>
  <c r="AA396" i="18"/>
  <c r="AF396" i="18" s="1"/>
  <c r="AJ396" i="18"/>
  <c r="AO396" i="18" s="1"/>
  <c r="A397" i="18"/>
  <c r="B397" i="18" s="1"/>
  <c r="C397" i="18"/>
  <c r="A399" i="28" s="1"/>
  <c r="AA397" i="18"/>
  <c r="AF397" i="18" s="1"/>
  <c r="AJ397" i="18"/>
  <c r="AO397" i="18" s="1"/>
  <c r="A398" i="18"/>
  <c r="B398" i="18" s="1"/>
  <c r="C398" i="18"/>
  <c r="A400" i="28" s="1"/>
  <c r="AA398" i="18"/>
  <c r="AF398" i="18" s="1"/>
  <c r="AJ398" i="18"/>
  <c r="AO398" i="18" s="1"/>
  <c r="A399" i="18"/>
  <c r="C399" i="18"/>
  <c r="A401" i="28" s="1"/>
  <c r="AA399" i="18"/>
  <c r="AF399" i="18" s="1"/>
  <c r="AJ399" i="18"/>
  <c r="AO399" i="18" s="1"/>
  <c r="A400" i="18"/>
  <c r="B400" i="18" s="1"/>
  <c r="C400" i="18"/>
  <c r="A402" i="28" s="1"/>
  <c r="AA400" i="18"/>
  <c r="Y402" i="28" s="1"/>
  <c r="AJ400" i="18"/>
  <c r="AH402" i="28" s="1"/>
  <c r="A401" i="18"/>
  <c r="B401" i="18" s="1"/>
  <c r="C401" i="18"/>
  <c r="A403" i="28" s="1"/>
  <c r="AA401" i="18"/>
  <c r="AF401" i="18" s="1"/>
  <c r="AJ401" i="18"/>
  <c r="AO401" i="18" s="1"/>
  <c r="A402" i="18"/>
  <c r="B402" i="18" s="1"/>
  <c r="C402" i="18"/>
  <c r="A404" i="28" s="1"/>
  <c r="AA402" i="18"/>
  <c r="AF402" i="18" s="1"/>
  <c r="AJ402" i="18"/>
  <c r="AO402" i="18" s="1"/>
  <c r="A403" i="18"/>
  <c r="B403" i="18" s="1"/>
  <c r="C403" i="18"/>
  <c r="A405" i="28" s="1"/>
  <c r="AA403" i="18"/>
  <c r="AF403" i="18" s="1"/>
  <c r="AJ403" i="18"/>
  <c r="AO403" i="18" s="1"/>
  <c r="A404" i="18"/>
  <c r="B404" i="18" s="1"/>
  <c r="C404" i="18"/>
  <c r="A406" i="28" s="1"/>
  <c r="AA404" i="18"/>
  <c r="AF404" i="18" s="1"/>
  <c r="AJ404" i="18"/>
  <c r="AO404" i="18" s="1"/>
  <c r="A405" i="18"/>
  <c r="B405" i="18" s="1"/>
  <c r="C405" i="18"/>
  <c r="A407" i="28" s="1"/>
  <c r="AA405" i="18"/>
  <c r="AF405" i="18" s="1"/>
  <c r="AJ405" i="18"/>
  <c r="AO405" i="18" s="1"/>
  <c r="A406" i="18"/>
  <c r="B406" i="18" s="1"/>
  <c r="C406" i="18"/>
  <c r="A408" i="28" s="1"/>
  <c r="AA406" i="18"/>
  <c r="AF406" i="18" s="1"/>
  <c r="AJ406" i="18"/>
  <c r="AO406" i="18" s="1"/>
  <c r="A407" i="18"/>
  <c r="C407" i="18"/>
  <c r="A409" i="28" s="1"/>
  <c r="AA407" i="18"/>
  <c r="AF407" i="18" s="1"/>
  <c r="AJ407" i="18"/>
  <c r="AO407" i="18" s="1"/>
  <c r="A408" i="18"/>
  <c r="B408" i="18" s="1"/>
  <c r="C408" i="18"/>
  <c r="A410" i="28" s="1"/>
  <c r="AA408" i="18"/>
  <c r="AF408" i="18" s="1"/>
  <c r="AJ408" i="18"/>
  <c r="AO408" i="18" s="1"/>
  <c r="A409" i="18"/>
  <c r="B409" i="18" s="1"/>
  <c r="C409" i="18"/>
  <c r="A411" i="28" s="1"/>
  <c r="AA409" i="18"/>
  <c r="AF409" i="18" s="1"/>
  <c r="AJ409" i="18"/>
  <c r="AO409" i="18" s="1"/>
  <c r="A410" i="18"/>
  <c r="C410" i="18"/>
  <c r="A412" i="28" s="1"/>
  <c r="AA410" i="18"/>
  <c r="AJ410" i="18"/>
  <c r="AO410" i="18" s="1"/>
  <c r="A411" i="18"/>
  <c r="B411" i="18" s="1"/>
  <c r="C411" i="18"/>
  <c r="A413" i="28" s="1"/>
  <c r="AA411" i="18"/>
  <c r="AF411" i="18" s="1"/>
  <c r="AJ411" i="18"/>
  <c r="AO411" i="18" s="1"/>
  <c r="A412" i="18"/>
  <c r="B412" i="18" s="1"/>
  <c r="C412" i="18"/>
  <c r="A414" i="28" s="1"/>
  <c r="AA412" i="18"/>
  <c r="AF412" i="18" s="1"/>
  <c r="AJ412" i="18"/>
  <c r="AO412" i="18" s="1"/>
  <c r="A413" i="18"/>
  <c r="B413" i="18" s="1"/>
  <c r="C413" i="18"/>
  <c r="A415" i="28" s="1"/>
  <c r="AA413" i="18"/>
  <c r="AF413" i="18" s="1"/>
  <c r="AJ413" i="18"/>
  <c r="AO413" i="18" s="1"/>
  <c r="A414" i="18"/>
  <c r="B414" i="18" s="1"/>
  <c r="C414" i="18"/>
  <c r="A416" i="28" s="1"/>
  <c r="AA414" i="18"/>
  <c r="AF414" i="18" s="1"/>
  <c r="AJ414" i="18"/>
  <c r="AO414" i="18" s="1"/>
  <c r="A415" i="18"/>
  <c r="C415" i="18"/>
  <c r="A417" i="28" s="1"/>
  <c r="AA415" i="18"/>
  <c r="AF415" i="18" s="1"/>
  <c r="AJ415" i="18"/>
  <c r="A416" i="18"/>
  <c r="B416" i="18" s="1"/>
  <c r="C416" i="18"/>
  <c r="A418" i="28" s="1"/>
  <c r="AA416" i="18"/>
  <c r="AF416" i="18" s="1"/>
  <c r="AJ416" i="18"/>
  <c r="AO416" i="18" s="1"/>
  <c r="A417" i="18"/>
  <c r="B417" i="18" s="1"/>
  <c r="C417" i="18"/>
  <c r="A419" i="28" s="1"/>
  <c r="AA417" i="18"/>
  <c r="AF417" i="18" s="1"/>
  <c r="AJ417" i="18"/>
  <c r="AO417" i="18" s="1"/>
  <c r="A418" i="18"/>
  <c r="B418" i="18" s="1"/>
  <c r="C418" i="18"/>
  <c r="A420" i="28" s="1"/>
  <c r="AA418" i="18"/>
  <c r="Y420" i="28" s="1"/>
  <c r="AJ418" i="18"/>
  <c r="AH420" i="28" s="1"/>
  <c r="A419" i="18"/>
  <c r="B419" i="18" s="1"/>
  <c r="C419" i="18"/>
  <c r="A421" i="28" s="1"/>
  <c r="AA419" i="18"/>
  <c r="AF419" i="18" s="1"/>
  <c r="AJ419" i="18"/>
  <c r="AO419" i="18" s="1"/>
  <c r="A420" i="18"/>
  <c r="B420" i="18" s="1"/>
  <c r="C420" i="18"/>
  <c r="A422" i="28" s="1"/>
  <c r="AA420" i="18"/>
  <c r="AF420" i="18" s="1"/>
  <c r="AJ420" i="18"/>
  <c r="AO420" i="18" s="1"/>
  <c r="A421" i="18"/>
  <c r="B421" i="18" s="1"/>
  <c r="C421" i="18"/>
  <c r="A423" i="28" s="1"/>
  <c r="AA421" i="18"/>
  <c r="AF421" i="18" s="1"/>
  <c r="AJ421" i="18"/>
  <c r="AO421" i="18" s="1"/>
  <c r="A422" i="18"/>
  <c r="B422" i="18" s="1"/>
  <c r="C422" i="18"/>
  <c r="A424" i="28" s="1"/>
  <c r="AA422" i="18"/>
  <c r="AF422" i="18" s="1"/>
  <c r="AJ422" i="18"/>
  <c r="AO422" i="18" s="1"/>
  <c r="A423" i="18"/>
  <c r="C423" i="18"/>
  <c r="A425" i="28" s="1"/>
  <c r="AA423" i="18"/>
  <c r="AF423" i="18" s="1"/>
  <c r="AJ423" i="18"/>
  <c r="AO423" i="18" s="1"/>
  <c r="A424" i="18"/>
  <c r="B424" i="18" s="1"/>
  <c r="C424" i="18"/>
  <c r="A426" i="28" s="1"/>
  <c r="AA424" i="18"/>
  <c r="AF424" i="18" s="1"/>
  <c r="AJ424" i="18"/>
  <c r="A425" i="18"/>
  <c r="C425" i="18"/>
  <c r="A427" i="28" s="1"/>
  <c r="AA425" i="18"/>
  <c r="AJ425" i="18"/>
  <c r="AO425" i="18" s="1"/>
  <c r="A426" i="18"/>
  <c r="B426" i="18" s="1"/>
  <c r="C426" i="18"/>
  <c r="A428" i="28" s="1"/>
  <c r="AA426" i="18"/>
  <c r="AF426" i="18" s="1"/>
  <c r="AJ426" i="18"/>
  <c r="AO426" i="18" s="1"/>
  <c r="A427" i="18"/>
  <c r="B427" i="18" s="1"/>
  <c r="C427" i="18"/>
  <c r="A429" i="28" s="1"/>
  <c r="AA427" i="18"/>
  <c r="AJ427" i="18"/>
  <c r="AO427" i="18" s="1"/>
  <c r="A428" i="18"/>
  <c r="B428" i="18" s="1"/>
  <c r="C428" i="18"/>
  <c r="A430" i="28" s="1"/>
  <c r="AA428" i="18"/>
  <c r="AF428" i="18" s="1"/>
  <c r="AJ428" i="18"/>
  <c r="AO428" i="18" s="1"/>
  <c r="A429" i="18"/>
  <c r="B429" i="18" s="1"/>
  <c r="C429" i="18"/>
  <c r="A431" i="28" s="1"/>
  <c r="AA429" i="18"/>
  <c r="AF429" i="18" s="1"/>
  <c r="AJ429" i="18"/>
  <c r="AO429" i="18" s="1"/>
  <c r="A430" i="18"/>
  <c r="B430" i="18" s="1"/>
  <c r="C430" i="18"/>
  <c r="A432" i="28" s="1"/>
  <c r="AA430" i="18"/>
  <c r="AF430" i="18" s="1"/>
  <c r="AJ430" i="18"/>
  <c r="AO430" i="18" s="1"/>
  <c r="A431" i="18"/>
  <c r="C431" i="18"/>
  <c r="A433" i="28" s="1"/>
  <c r="AA431" i="18"/>
  <c r="AF431" i="18" s="1"/>
  <c r="AJ431" i="18"/>
  <c r="A432" i="18"/>
  <c r="B432" i="18" s="1"/>
  <c r="C432" i="18"/>
  <c r="A434" i="28" s="1"/>
  <c r="AA432" i="18"/>
  <c r="AJ432" i="18"/>
  <c r="A433" i="18"/>
  <c r="B433" i="18" s="1"/>
  <c r="C433" i="18"/>
  <c r="A435" i="28" s="1"/>
  <c r="AA433" i="18"/>
  <c r="AF433" i="18" s="1"/>
  <c r="AJ433" i="18"/>
  <c r="AO433" i="18" s="1"/>
  <c r="A434" i="18"/>
  <c r="B434" i="18" s="1"/>
  <c r="C434" i="18"/>
  <c r="A436" i="28" s="1"/>
  <c r="AA434" i="18"/>
  <c r="AF434" i="18" s="1"/>
  <c r="AJ434" i="18"/>
  <c r="AO434" i="18" s="1"/>
  <c r="A435" i="18"/>
  <c r="C435" i="18"/>
  <c r="A437" i="28" s="1"/>
  <c r="AA435" i="18"/>
  <c r="AF435" i="18" s="1"/>
  <c r="AJ435" i="18"/>
  <c r="AO435" i="18" s="1"/>
  <c r="A436" i="18"/>
  <c r="B436" i="18" s="1"/>
  <c r="C436" i="18"/>
  <c r="A438" i="28" s="1"/>
  <c r="AA436" i="18"/>
  <c r="AF436" i="18" s="1"/>
  <c r="AJ436" i="18"/>
  <c r="AO436" i="18" s="1"/>
  <c r="A437" i="18"/>
  <c r="B437" i="18" s="1"/>
  <c r="C437" i="18"/>
  <c r="A439" i="28" s="1"/>
  <c r="AA437" i="18"/>
  <c r="AF437" i="18" s="1"/>
  <c r="AJ437" i="18"/>
  <c r="AO437" i="18" s="1"/>
  <c r="A438" i="18"/>
  <c r="B438" i="18" s="1"/>
  <c r="C438" i="18"/>
  <c r="A440" i="28" s="1"/>
  <c r="AA438" i="18"/>
  <c r="AF438" i="18" s="1"/>
  <c r="AJ438" i="18"/>
  <c r="AO438" i="18" s="1"/>
  <c r="A439" i="18"/>
  <c r="B439" i="18" s="1"/>
  <c r="C439" i="18"/>
  <c r="A441" i="28" s="1"/>
  <c r="AA439" i="18"/>
  <c r="AF439" i="18" s="1"/>
  <c r="AJ439" i="18"/>
  <c r="A440" i="18"/>
  <c r="C440" i="18"/>
  <c r="A442" i="28" s="1"/>
  <c r="AA440" i="18"/>
  <c r="AJ440" i="18"/>
  <c r="A441" i="18"/>
  <c r="B441" i="18" s="1"/>
  <c r="C441" i="18"/>
  <c r="A443" i="28" s="1"/>
  <c r="AA441" i="18"/>
  <c r="AF441" i="18" s="1"/>
  <c r="AJ441" i="18"/>
  <c r="AO441" i="18" s="1"/>
  <c r="A442" i="18"/>
  <c r="B442" i="18" s="1"/>
  <c r="C442" i="18"/>
  <c r="A444" i="28" s="1"/>
  <c r="AA442" i="18"/>
  <c r="AF442" i="18" s="1"/>
  <c r="AJ442" i="18"/>
  <c r="AO442" i="18" s="1"/>
  <c r="A443" i="18"/>
  <c r="B443" i="18" s="1"/>
  <c r="C443" i="18"/>
  <c r="A445" i="28" s="1"/>
  <c r="AA443" i="18"/>
  <c r="AF443" i="18" s="1"/>
  <c r="AJ443" i="18"/>
  <c r="AO443" i="18" s="1"/>
  <c r="A444" i="18"/>
  <c r="B444" i="18" s="1"/>
  <c r="C444" i="18"/>
  <c r="A446" i="28" s="1"/>
  <c r="AA444" i="18"/>
  <c r="AF444" i="18" s="1"/>
  <c r="AJ444" i="18"/>
  <c r="AO444" i="18" s="1"/>
  <c r="A445" i="18"/>
  <c r="B445" i="18" s="1"/>
  <c r="C445" i="18"/>
  <c r="A447" i="28" s="1"/>
  <c r="AA445" i="18"/>
  <c r="AF445" i="18" s="1"/>
  <c r="AJ445" i="18"/>
  <c r="AO445" i="18" s="1"/>
  <c r="A446" i="18"/>
  <c r="B446" i="18" s="1"/>
  <c r="C446" i="18"/>
  <c r="A448" i="28" s="1"/>
  <c r="AA446" i="18"/>
  <c r="AF446" i="18" s="1"/>
  <c r="AJ446" i="18"/>
  <c r="AO446" i="18" s="1"/>
  <c r="A447" i="18"/>
  <c r="B447" i="18" s="1"/>
  <c r="C447" i="18"/>
  <c r="A449" i="28" s="1"/>
  <c r="AA447" i="18"/>
  <c r="AF447" i="18" s="1"/>
  <c r="AJ447" i="18"/>
  <c r="AO447" i="18" s="1"/>
  <c r="A448" i="18"/>
  <c r="B448" i="18" s="1"/>
  <c r="C448" i="18"/>
  <c r="A450" i="28" s="1"/>
  <c r="AA448" i="18"/>
  <c r="AF448" i="18" s="1"/>
  <c r="AJ448" i="18"/>
  <c r="AO448" i="18" s="1"/>
  <c r="A449" i="18"/>
  <c r="B449" i="18" s="1"/>
  <c r="C449" i="18"/>
  <c r="A451" i="28" s="1"/>
  <c r="AA449" i="18"/>
  <c r="AF449" i="18" s="1"/>
  <c r="AJ449" i="18"/>
  <c r="AH451" i="28" s="1"/>
  <c r="A450" i="18"/>
  <c r="C450" i="18"/>
  <c r="A452" i="28" s="1"/>
  <c r="AA450" i="18"/>
  <c r="Y452" i="28" s="1"/>
  <c r="AJ450" i="18"/>
  <c r="AH452" i="28" s="1"/>
  <c r="A451" i="18"/>
  <c r="C451" i="18"/>
  <c r="A453" i="28" s="1"/>
  <c r="AA451" i="18"/>
  <c r="AF451" i="18" s="1"/>
  <c r="AJ451" i="18"/>
  <c r="AO451" i="18" s="1"/>
  <c r="A452" i="18"/>
  <c r="B452" i="18" s="1"/>
  <c r="C452" i="18"/>
  <c r="A454" i="28" s="1"/>
  <c r="AA452" i="18"/>
  <c r="AF452" i="18" s="1"/>
  <c r="AJ452" i="18"/>
  <c r="AO452" i="18" s="1"/>
  <c r="A453" i="18"/>
  <c r="B453" i="18" s="1"/>
  <c r="C453" i="18"/>
  <c r="A455" i="28" s="1"/>
  <c r="AA453" i="18"/>
  <c r="AF453" i="18" s="1"/>
  <c r="AJ453" i="18"/>
  <c r="AO453" i="18" s="1"/>
  <c r="A454" i="18"/>
  <c r="C454" i="18"/>
  <c r="A456" i="28" s="1"/>
  <c r="AA454" i="18"/>
  <c r="AF454" i="18" s="1"/>
  <c r="AJ454" i="18"/>
  <c r="A455" i="18"/>
  <c r="C455" i="18"/>
  <c r="A457" i="28" s="1"/>
  <c r="AA455" i="18"/>
  <c r="AJ455" i="18"/>
  <c r="A456" i="18"/>
  <c r="B456" i="18" s="1"/>
  <c r="C456" i="18"/>
  <c r="A458" i="28" s="1"/>
  <c r="AA456" i="18"/>
  <c r="AF456" i="18" s="1"/>
  <c r="AJ456" i="18"/>
  <c r="AO456" i="18" s="1"/>
  <c r="A457" i="18"/>
  <c r="B457" i="18" s="1"/>
  <c r="C457" i="18"/>
  <c r="A459" i="28" s="1"/>
  <c r="AA457" i="18"/>
  <c r="Y459" i="28" s="1"/>
  <c r="AJ457" i="18"/>
  <c r="AH459" i="28" s="1"/>
  <c r="A458" i="18"/>
  <c r="B458" i="18" s="1"/>
  <c r="C458" i="18"/>
  <c r="A460" i="28" s="1"/>
  <c r="AA458" i="18"/>
  <c r="AF458" i="18" s="1"/>
  <c r="AJ458" i="18"/>
  <c r="AO458" i="18" s="1"/>
  <c r="A459" i="18"/>
  <c r="B459" i="18" s="1"/>
  <c r="C459" i="18"/>
  <c r="A461" i="28" s="1"/>
  <c r="AA459" i="18"/>
  <c r="AF459" i="18" s="1"/>
  <c r="AJ459" i="18"/>
  <c r="AO459" i="18" s="1"/>
  <c r="A460" i="18"/>
  <c r="B460" i="18" s="1"/>
  <c r="C460" i="18"/>
  <c r="A462" i="28" s="1"/>
  <c r="AA460" i="18"/>
  <c r="AF460" i="18" s="1"/>
  <c r="AJ460" i="18"/>
  <c r="A461" i="18"/>
  <c r="B461" i="18" s="1"/>
  <c r="C461" i="18"/>
  <c r="A463" i="28" s="1"/>
  <c r="AA461" i="18"/>
  <c r="AJ461" i="18"/>
  <c r="AO461" i="18" s="1"/>
  <c r="A462" i="18"/>
  <c r="B462" i="18" s="1"/>
  <c r="C462" i="18"/>
  <c r="A464" i="28" s="1"/>
  <c r="AA462" i="18"/>
  <c r="AF462" i="18" s="1"/>
  <c r="AJ462" i="18"/>
  <c r="AO462" i="18" s="1"/>
  <c r="A463" i="18"/>
  <c r="B463" i="18" s="1"/>
  <c r="C463" i="18"/>
  <c r="A465" i="28" s="1"/>
  <c r="AA463" i="18"/>
  <c r="AF463" i="18" s="1"/>
  <c r="AJ463" i="18"/>
  <c r="AO463" i="18" s="1"/>
  <c r="A464" i="18"/>
  <c r="B464" i="18" s="1"/>
  <c r="C464" i="18"/>
  <c r="A466" i="28" s="1"/>
  <c r="AA464" i="18"/>
  <c r="Y466" i="28" s="1"/>
  <c r="AJ464" i="18"/>
  <c r="AH466" i="28" s="1"/>
  <c r="A465" i="18"/>
  <c r="B465" i="18" s="1"/>
  <c r="C465" i="18"/>
  <c r="A467" i="28" s="1"/>
  <c r="AA465" i="18"/>
  <c r="AF465" i="18" s="1"/>
  <c r="AJ465" i="18"/>
  <c r="A466" i="18"/>
  <c r="B466" i="18" s="1"/>
  <c r="C466" i="18"/>
  <c r="A468" i="28" s="1"/>
  <c r="AA466" i="18"/>
  <c r="AF466" i="18" s="1"/>
  <c r="AJ466" i="18"/>
  <c r="AO466" i="18" s="1"/>
  <c r="A467" i="18"/>
  <c r="B467" i="18" s="1"/>
  <c r="C467" i="18"/>
  <c r="A469" i="28" s="1"/>
  <c r="AA467" i="18"/>
  <c r="AF467" i="18" s="1"/>
  <c r="AJ467" i="18"/>
  <c r="AO467" i="18" s="1"/>
  <c r="A468" i="18"/>
  <c r="B468" i="18" s="1"/>
  <c r="C468" i="18"/>
  <c r="A470" i="28" s="1"/>
  <c r="AA468" i="18"/>
  <c r="AF468" i="18" s="1"/>
  <c r="AJ468" i="18"/>
  <c r="AO468" i="18" s="1"/>
  <c r="A469" i="18"/>
  <c r="B469" i="18" s="1"/>
  <c r="C469" i="18"/>
  <c r="A471" i="28" s="1"/>
  <c r="AA469" i="18"/>
  <c r="AF469" i="18" s="1"/>
  <c r="AJ469" i="18"/>
  <c r="AO469" i="18" s="1"/>
  <c r="A470" i="18"/>
  <c r="C470" i="18"/>
  <c r="A472" i="28" s="1"/>
  <c r="AA470" i="18"/>
  <c r="AJ470" i="18"/>
  <c r="AO470" i="18" s="1"/>
  <c r="A471" i="18"/>
  <c r="B471" i="18" s="1"/>
  <c r="C471" i="18"/>
  <c r="A473" i="28" s="1"/>
  <c r="AA471" i="18"/>
  <c r="AF471" i="18" s="1"/>
  <c r="AJ471" i="18"/>
  <c r="AO471" i="18" s="1"/>
  <c r="A472" i="18"/>
  <c r="B472" i="18" s="1"/>
  <c r="C472" i="18"/>
  <c r="A474" i="28" s="1"/>
  <c r="AA472" i="18"/>
  <c r="AF472" i="18" s="1"/>
  <c r="AJ472" i="18"/>
  <c r="AO472" i="18" s="1"/>
  <c r="A473" i="18"/>
  <c r="B473" i="18" s="1"/>
  <c r="C473" i="18"/>
  <c r="A475" i="28" s="1"/>
  <c r="AA473" i="18"/>
  <c r="AF473" i="18" s="1"/>
  <c r="AJ473" i="18"/>
  <c r="AO473" i="18" s="1"/>
  <c r="A474" i="18"/>
  <c r="B474" i="18" s="1"/>
  <c r="C474" i="18"/>
  <c r="A476" i="28" s="1"/>
  <c r="AA474" i="18"/>
  <c r="AF474" i="18" s="1"/>
  <c r="AJ474" i="18"/>
  <c r="A475" i="18"/>
  <c r="C475" i="18"/>
  <c r="A477" i="28" s="1"/>
  <c r="AA475" i="18"/>
  <c r="AF475" i="18" s="1"/>
  <c r="AJ475" i="18"/>
  <c r="AO475" i="18" s="1"/>
  <c r="A476" i="18"/>
  <c r="B476" i="18" s="1"/>
  <c r="C476" i="18"/>
  <c r="A478" i="28" s="1"/>
  <c r="AA476" i="18"/>
  <c r="AF476" i="18" s="1"/>
  <c r="AJ476" i="18"/>
  <c r="AO476" i="18" s="1"/>
  <c r="A477" i="18"/>
  <c r="B477" i="18" s="1"/>
  <c r="C477" i="18"/>
  <c r="A479" i="28" s="1"/>
  <c r="AA477" i="18"/>
  <c r="AF477" i="18" s="1"/>
  <c r="AJ477" i="18"/>
  <c r="AO477" i="18" s="1"/>
  <c r="A478" i="18"/>
  <c r="B478" i="18" s="1"/>
  <c r="C478" i="18"/>
  <c r="A480" i="28" s="1"/>
  <c r="AA478" i="18"/>
  <c r="AF478" i="18" s="1"/>
  <c r="AJ478" i="18"/>
  <c r="AO478" i="18" s="1"/>
  <c r="A479" i="18"/>
  <c r="B479" i="18" s="1"/>
  <c r="C479" i="18"/>
  <c r="A481" i="28" s="1"/>
  <c r="AA479" i="18"/>
  <c r="AF479" i="18" s="1"/>
  <c r="AJ479" i="18"/>
  <c r="AO479" i="18" s="1"/>
  <c r="A480" i="18"/>
  <c r="B480" i="18" s="1"/>
  <c r="C480" i="18"/>
  <c r="A482" i="28" s="1"/>
  <c r="AA480" i="18"/>
  <c r="AF480" i="18" s="1"/>
  <c r="AJ480" i="18"/>
  <c r="AO480" i="18" s="1"/>
  <c r="A481" i="18"/>
  <c r="B481" i="18" s="1"/>
  <c r="C481" i="18"/>
  <c r="A483" i="28" s="1"/>
  <c r="AA481" i="18"/>
  <c r="AF481" i="18" s="1"/>
  <c r="AJ481" i="18"/>
  <c r="AO481" i="18" s="1"/>
  <c r="A482" i="18"/>
  <c r="B482" i="18" s="1"/>
  <c r="C482" i="18"/>
  <c r="A484" i="28" s="1"/>
  <c r="AA482" i="18"/>
  <c r="Y484" i="28" s="1"/>
  <c r="AJ482" i="18"/>
  <c r="AH484" i="28" s="1"/>
  <c r="A483" i="18"/>
  <c r="B483" i="18" s="1"/>
  <c r="C483" i="18"/>
  <c r="A485" i="28" s="1"/>
  <c r="AA483" i="18"/>
  <c r="AF483" i="18" s="1"/>
  <c r="AJ483" i="18"/>
  <c r="AO483" i="18" s="1"/>
  <c r="A484" i="18"/>
  <c r="B484" i="18" s="1"/>
  <c r="C484" i="18"/>
  <c r="A486" i="28" s="1"/>
  <c r="AA484" i="18"/>
  <c r="AF484" i="18" s="1"/>
  <c r="AJ484" i="18"/>
  <c r="AO484" i="18" s="1"/>
  <c r="A485" i="18"/>
  <c r="C485" i="18"/>
  <c r="A487" i="28" s="1"/>
  <c r="AA485" i="18"/>
  <c r="AJ485" i="18"/>
  <c r="A486" i="18"/>
  <c r="B486" i="18" s="1"/>
  <c r="C486" i="18"/>
  <c r="A488" i="28" s="1"/>
  <c r="AA486" i="18"/>
  <c r="AF486" i="18" s="1"/>
  <c r="AJ486" i="18"/>
  <c r="A487" i="18"/>
  <c r="C487" i="18"/>
  <c r="A489" i="28" s="1"/>
  <c r="AA487" i="18"/>
  <c r="AF487" i="18" s="1"/>
  <c r="AJ487" i="18"/>
  <c r="AO487" i="18" s="1"/>
  <c r="A488" i="18"/>
  <c r="B488" i="18" s="1"/>
  <c r="C488" i="18"/>
  <c r="A490" i="28" s="1"/>
  <c r="AA488" i="18"/>
  <c r="AF488" i="18" s="1"/>
  <c r="AJ488" i="18"/>
  <c r="A489" i="18"/>
  <c r="B489" i="18" s="1"/>
  <c r="C489" i="18"/>
  <c r="A491" i="28" s="1"/>
  <c r="AA489" i="18"/>
  <c r="Y491" i="28" s="1"/>
  <c r="AJ489" i="18"/>
  <c r="AH491" i="28" s="1"/>
  <c r="A490" i="18"/>
  <c r="B490" i="18" s="1"/>
  <c r="C490" i="18"/>
  <c r="A492" i="28" s="1"/>
  <c r="AA490" i="18"/>
  <c r="AF490" i="18" s="1"/>
  <c r="AJ490" i="18"/>
  <c r="A491" i="18"/>
  <c r="B491" i="18" s="1"/>
  <c r="C491" i="18"/>
  <c r="A493" i="28" s="1"/>
  <c r="AA491" i="18"/>
  <c r="AF491" i="18" s="1"/>
  <c r="AJ491" i="18"/>
  <c r="AO491" i="18" s="1"/>
  <c r="A492" i="18"/>
  <c r="B492" i="18" s="1"/>
  <c r="C492" i="18"/>
  <c r="A494" i="28" s="1"/>
  <c r="AA492" i="18"/>
  <c r="AF492" i="18" s="1"/>
  <c r="AJ492" i="18"/>
  <c r="AO492" i="18" s="1"/>
  <c r="A493" i="18"/>
  <c r="B493" i="18" s="1"/>
  <c r="C493" i="18"/>
  <c r="A495" i="28" s="1"/>
  <c r="AA493" i="18"/>
  <c r="AF493" i="18" s="1"/>
  <c r="AJ493" i="18"/>
  <c r="AO493" i="18" s="1"/>
  <c r="A494" i="18"/>
  <c r="B494" i="18" s="1"/>
  <c r="C494" i="18"/>
  <c r="A496" i="28" s="1"/>
  <c r="AA494" i="18"/>
  <c r="AF494" i="18" s="1"/>
  <c r="AJ494" i="18"/>
  <c r="AO494" i="18" s="1"/>
  <c r="A495" i="18"/>
  <c r="B495" i="18" s="1"/>
  <c r="C495" i="18"/>
  <c r="A497" i="28" s="1"/>
  <c r="AA495" i="18"/>
  <c r="AF495" i="18" s="1"/>
  <c r="AJ495" i="18"/>
  <c r="AO495" i="18" s="1"/>
  <c r="A496" i="18"/>
  <c r="B496" i="18" s="1"/>
  <c r="C496" i="18"/>
  <c r="A498" i="28" s="1"/>
  <c r="AA496" i="18"/>
  <c r="Y498" i="28" s="1"/>
  <c r="AJ496" i="18"/>
  <c r="AH498" i="28" s="1"/>
  <c r="A497" i="18"/>
  <c r="B497" i="18" s="1"/>
  <c r="C497" i="18"/>
  <c r="A499" i="28" s="1"/>
  <c r="AA497" i="18"/>
  <c r="AF497" i="18" s="1"/>
  <c r="AJ497" i="18"/>
  <c r="AO497" i="18" s="1"/>
  <c r="A498" i="18"/>
  <c r="B498" i="18" s="1"/>
  <c r="C498" i="18"/>
  <c r="A500" i="28" s="1"/>
  <c r="AA498" i="18"/>
  <c r="AF498" i="18" s="1"/>
  <c r="AJ498" i="18"/>
  <c r="AO498" i="18" s="1"/>
  <c r="A499" i="18"/>
  <c r="B499" i="18" s="1"/>
  <c r="C499" i="18"/>
  <c r="A501" i="28" s="1"/>
  <c r="AA499" i="18"/>
  <c r="AF499" i="18" s="1"/>
  <c r="AJ499" i="18"/>
  <c r="A500" i="18"/>
  <c r="A35" i="5" s="1"/>
  <c r="C500" i="18"/>
  <c r="A502" i="28" s="1"/>
  <c r="AA500" i="18"/>
  <c r="AJ500" i="18"/>
  <c r="A501" i="18"/>
  <c r="B501" i="18" s="1"/>
  <c r="C501" i="18"/>
  <c r="A503" i="28" s="1"/>
  <c r="AA501" i="18"/>
  <c r="AF501" i="18" s="1"/>
  <c r="AJ501" i="18"/>
  <c r="AO501" i="18" s="1"/>
  <c r="A502" i="18"/>
  <c r="B502" i="18" s="1"/>
  <c r="C502" i="18"/>
  <c r="A504" i="28" s="1"/>
  <c r="AA502" i="18"/>
  <c r="AF502" i="18" s="1"/>
  <c r="AJ502" i="18"/>
  <c r="AO502" i="18" s="1"/>
  <c r="A503" i="18"/>
  <c r="B503" i="18" s="1"/>
  <c r="C503" i="18"/>
  <c r="A505" i="28" s="1"/>
  <c r="AA503" i="18"/>
  <c r="Y505" i="28" s="1"/>
  <c r="AJ503" i="18"/>
  <c r="AH505" i="28" s="1"/>
  <c r="A504" i="18"/>
  <c r="B504" i="18" s="1"/>
  <c r="C504" i="18"/>
  <c r="A506" i="28" s="1"/>
  <c r="AA504" i="18"/>
  <c r="AF504" i="18" s="1"/>
  <c r="AJ504" i="18"/>
  <c r="AO504" i="18" s="1"/>
  <c r="A505" i="18"/>
  <c r="B505" i="18" s="1"/>
  <c r="C505" i="18"/>
  <c r="A507" i="28" s="1"/>
  <c r="AA505" i="18"/>
  <c r="AF505" i="18" s="1"/>
  <c r="AJ505" i="18"/>
  <c r="AO505" i="18" s="1"/>
  <c r="A506" i="18"/>
  <c r="B506" i="18" s="1"/>
  <c r="C506" i="18"/>
  <c r="A508" i="28" s="1"/>
  <c r="AA506" i="18"/>
  <c r="AF506" i="18" s="1"/>
  <c r="AJ506" i="18"/>
  <c r="AO506" i="18" s="1"/>
  <c r="A507" i="18"/>
  <c r="B507" i="18" s="1"/>
  <c r="C507" i="18"/>
  <c r="A509" i="28" s="1"/>
  <c r="AA507" i="18"/>
  <c r="AF507" i="18" s="1"/>
  <c r="AJ507" i="18"/>
  <c r="AO507" i="18" s="1"/>
  <c r="A508" i="18"/>
  <c r="B508" i="18" s="1"/>
  <c r="C508" i="18"/>
  <c r="A510" i="28" s="1"/>
  <c r="AA508" i="18"/>
  <c r="AF508" i="18" s="1"/>
  <c r="AJ508" i="18"/>
  <c r="AO508" i="18" s="1"/>
  <c r="A509" i="18"/>
  <c r="B509" i="18" s="1"/>
  <c r="C509" i="18"/>
  <c r="A511" i="28" s="1"/>
  <c r="AA509" i="18"/>
  <c r="AF509" i="18" s="1"/>
  <c r="AJ509" i="18"/>
  <c r="AO509" i="18" s="1"/>
  <c r="A510" i="18"/>
  <c r="B510" i="18" s="1"/>
  <c r="C510" i="18"/>
  <c r="A512" i="28" s="1"/>
  <c r="AA510" i="18"/>
  <c r="AF510" i="18" s="1"/>
  <c r="AJ510" i="18"/>
  <c r="AO510" i="18" s="1"/>
  <c r="A511" i="18"/>
  <c r="C511" i="18"/>
  <c r="A513" i="28" s="1"/>
  <c r="AA511" i="18"/>
  <c r="AF511" i="18" s="1"/>
  <c r="AJ511" i="18"/>
  <c r="A512" i="18"/>
  <c r="B512" i="18" s="1"/>
  <c r="C512" i="18"/>
  <c r="A514" i="28" s="1"/>
  <c r="AA512" i="18"/>
  <c r="AF512" i="18" s="1"/>
  <c r="AJ512" i="18"/>
  <c r="AO512" i="18" s="1"/>
  <c r="A513" i="18"/>
  <c r="B513" i="18" s="1"/>
  <c r="C513" i="18"/>
  <c r="A515" i="28" s="1"/>
  <c r="AA513" i="18"/>
  <c r="AF513" i="18" s="1"/>
  <c r="AJ513" i="18"/>
  <c r="A514" i="18"/>
  <c r="B514" i="18" s="1"/>
  <c r="C514" i="18"/>
  <c r="A516" i="28" s="1"/>
  <c r="AA514" i="18"/>
  <c r="Y516" i="28" s="1"/>
  <c r="AJ514" i="18"/>
  <c r="AH516" i="28" s="1"/>
  <c r="A515" i="18"/>
  <c r="C515" i="18"/>
  <c r="A517" i="28" s="1"/>
  <c r="AA515" i="18"/>
  <c r="AJ515" i="18"/>
  <c r="A516" i="18"/>
  <c r="B516" i="18" s="1"/>
  <c r="C516" i="18"/>
  <c r="A518" i="28" s="1"/>
  <c r="AA516" i="18"/>
  <c r="AF516" i="18" s="1"/>
  <c r="AJ516" i="18"/>
  <c r="AO516" i="18" s="1"/>
  <c r="A517" i="18"/>
  <c r="B517" i="18" s="1"/>
  <c r="C517" i="18"/>
  <c r="A519" i="28" s="1"/>
  <c r="AA517" i="18"/>
  <c r="AF517" i="18" s="1"/>
  <c r="AJ517" i="18"/>
  <c r="AO517" i="18" s="1"/>
  <c r="A518" i="18"/>
  <c r="B518" i="18" s="1"/>
  <c r="C518" i="18"/>
  <c r="A520" i="28" s="1"/>
  <c r="AA518" i="18"/>
  <c r="AF518" i="18" s="1"/>
  <c r="AJ518" i="18"/>
  <c r="AO518" i="18" s="1"/>
  <c r="A519" i="18"/>
  <c r="C519" i="18"/>
  <c r="A521" i="28" s="1"/>
  <c r="AA519" i="18"/>
  <c r="AF519" i="18" s="1"/>
  <c r="AJ519" i="18"/>
  <c r="AH521" i="28" s="1"/>
  <c r="A520" i="18"/>
  <c r="B520" i="18" s="1"/>
  <c r="C520" i="18"/>
  <c r="A522" i="28" s="1"/>
  <c r="AA520" i="18"/>
  <c r="AF520" i="18" s="1"/>
  <c r="AJ520" i="18"/>
  <c r="AO520" i="18" s="1"/>
  <c r="A521" i="18"/>
  <c r="C521" i="18"/>
  <c r="A523" i="28" s="1"/>
  <c r="AA521" i="18"/>
  <c r="Y523" i="28" s="1"/>
  <c r="AJ521" i="18"/>
  <c r="AH523" i="28" s="1"/>
  <c r="A522" i="18"/>
  <c r="B522" i="18" s="1"/>
  <c r="C522" i="18"/>
  <c r="A524" i="28" s="1"/>
  <c r="AA522" i="18"/>
  <c r="AF522" i="18" s="1"/>
  <c r="AJ522" i="18"/>
  <c r="AO522" i="18" s="1"/>
  <c r="A523" i="18"/>
  <c r="B523" i="18" s="1"/>
  <c r="C523" i="18"/>
  <c r="A525" i="28" s="1"/>
  <c r="AA523" i="18"/>
  <c r="AF523" i="18" s="1"/>
  <c r="AJ523" i="18"/>
  <c r="AO523" i="18" s="1"/>
  <c r="A524" i="18"/>
  <c r="B524" i="18" s="1"/>
  <c r="C524" i="18"/>
  <c r="A526" i="28" s="1"/>
  <c r="AA524" i="18"/>
  <c r="AF524" i="18" s="1"/>
  <c r="AJ524" i="18"/>
  <c r="AO524" i="18" s="1"/>
  <c r="A525" i="18"/>
  <c r="B525" i="18" s="1"/>
  <c r="C525" i="18"/>
  <c r="A527" i="28" s="1"/>
  <c r="AA525" i="18"/>
  <c r="AF525" i="18" s="1"/>
  <c r="AJ525" i="18"/>
  <c r="AO525" i="18" s="1"/>
  <c r="A526" i="18"/>
  <c r="B526" i="18" s="1"/>
  <c r="C526" i="18"/>
  <c r="A528" i="28" s="1"/>
  <c r="AA526" i="18"/>
  <c r="AF526" i="18" s="1"/>
  <c r="AJ526" i="18"/>
  <c r="AO526" i="18" s="1"/>
  <c r="A527" i="18"/>
  <c r="C527" i="18"/>
  <c r="A529" i="28" s="1"/>
  <c r="AA527" i="18"/>
  <c r="AF527" i="18" s="1"/>
  <c r="AJ527" i="18"/>
  <c r="AO527" i="18" s="1"/>
  <c r="A528" i="18"/>
  <c r="B528" i="18" s="1"/>
  <c r="C528" i="18"/>
  <c r="A530" i="28" s="1"/>
  <c r="AA528" i="18"/>
  <c r="Y530" i="28" s="1"/>
  <c r="AJ528" i="18"/>
  <c r="AH530" i="28" s="1"/>
  <c r="A529" i="18"/>
  <c r="B529" i="18" s="1"/>
  <c r="C529" i="18"/>
  <c r="A531" i="28" s="1"/>
  <c r="AA529" i="18"/>
  <c r="AF529" i="18" s="1"/>
  <c r="AJ529" i="18"/>
  <c r="AO529" i="18" s="1"/>
  <c r="A530" i="18"/>
  <c r="C530" i="18"/>
  <c r="A532" i="28" s="1"/>
  <c r="AA530" i="18"/>
  <c r="AJ530" i="18"/>
  <c r="A531" i="18"/>
  <c r="B531" i="18" s="1"/>
  <c r="C531" i="18"/>
  <c r="A533" i="28" s="1"/>
  <c r="AA531" i="18"/>
  <c r="AF531" i="18" s="1"/>
  <c r="AJ531" i="18"/>
  <c r="AO531" i="18" s="1"/>
  <c r="A532" i="18"/>
  <c r="B532" i="18" s="1"/>
  <c r="C532" i="18"/>
  <c r="A534" i="28" s="1"/>
  <c r="AA532" i="18"/>
  <c r="AF532" i="18" s="1"/>
  <c r="AJ532" i="18"/>
  <c r="AO532" i="18" s="1"/>
  <c r="A533" i="18"/>
  <c r="B533" i="18" s="1"/>
  <c r="C533" i="18"/>
  <c r="A535" i="28" s="1"/>
  <c r="AA533" i="18"/>
  <c r="AF533" i="18" s="1"/>
  <c r="AJ533" i="18"/>
  <c r="AO533" i="18" s="1"/>
  <c r="A534" i="18"/>
  <c r="B534" i="18" s="1"/>
  <c r="C534" i="18"/>
  <c r="A536" i="28" s="1"/>
  <c r="AA534" i="18"/>
  <c r="AF534" i="18" s="1"/>
  <c r="AJ534" i="18"/>
  <c r="AO534" i="18" s="1"/>
  <c r="A535" i="18"/>
  <c r="C535" i="18"/>
  <c r="A537" i="28" s="1"/>
  <c r="AA535" i="18"/>
  <c r="AF535" i="18" s="1"/>
  <c r="AJ535" i="18"/>
  <c r="AO535" i="18" s="1"/>
  <c r="A536" i="18"/>
  <c r="B536" i="18" s="1"/>
  <c r="C536" i="18"/>
  <c r="A538" i="28" s="1"/>
  <c r="AA536" i="18"/>
  <c r="AF536" i="18" s="1"/>
  <c r="AJ536" i="18"/>
  <c r="AO536" i="18" s="1"/>
  <c r="A537" i="18"/>
  <c r="B537" i="18" s="1"/>
  <c r="C537" i="18"/>
  <c r="A539" i="28" s="1"/>
  <c r="AA537" i="18"/>
  <c r="AF537" i="18" s="1"/>
  <c r="AJ537" i="18"/>
  <c r="AO537" i="18" s="1"/>
  <c r="A538" i="18"/>
  <c r="B538" i="18" s="1"/>
  <c r="C538" i="18"/>
  <c r="A540" i="28" s="1"/>
  <c r="AA538" i="18"/>
  <c r="AJ538" i="18"/>
  <c r="AO538" i="18" s="1"/>
  <c r="A539" i="18"/>
  <c r="B539" i="18" s="1"/>
  <c r="C539" i="18"/>
  <c r="A541" i="28" s="1"/>
  <c r="AA539" i="18"/>
  <c r="AF539" i="18" s="1"/>
  <c r="AJ539" i="18"/>
  <c r="AO539" i="18" s="1"/>
  <c r="A540" i="18"/>
  <c r="B540" i="18" s="1"/>
  <c r="C540" i="18"/>
  <c r="A542" i="28" s="1"/>
  <c r="AA540" i="18"/>
  <c r="AF540" i="18" s="1"/>
  <c r="AJ540" i="18"/>
  <c r="A541" i="18"/>
  <c r="B541" i="18" s="1"/>
  <c r="C541" i="18"/>
  <c r="A543" i="28" s="1"/>
  <c r="AA541" i="18"/>
  <c r="AF541" i="18" s="1"/>
  <c r="AJ541" i="18"/>
  <c r="AO541" i="18" s="1"/>
  <c r="A542" i="18"/>
  <c r="B542" i="18" s="1"/>
  <c r="C542" i="18"/>
  <c r="A544" i="28" s="1"/>
  <c r="AA542" i="18"/>
  <c r="AF542" i="18" s="1"/>
  <c r="AJ542" i="18"/>
  <c r="AO542" i="18" s="1"/>
  <c r="A543" i="18"/>
  <c r="C543" i="18"/>
  <c r="A545" i="28" s="1"/>
  <c r="AA543" i="18"/>
  <c r="AF543" i="18" s="1"/>
  <c r="AJ543" i="18"/>
  <c r="AO543" i="18" s="1"/>
  <c r="A544" i="18"/>
  <c r="B544" i="18" s="1"/>
  <c r="C544" i="18"/>
  <c r="A546" i="28" s="1"/>
  <c r="AA544" i="18"/>
  <c r="AF544" i="18" s="1"/>
  <c r="AJ544" i="18"/>
  <c r="AO544" i="18" s="1"/>
  <c r="A545" i="18"/>
  <c r="C545" i="18"/>
  <c r="A547" i="28" s="1"/>
  <c r="AA545" i="18"/>
  <c r="AJ545" i="18"/>
  <c r="A546" i="18"/>
  <c r="B546" i="18" s="1"/>
  <c r="C546" i="18"/>
  <c r="A548" i="28" s="1"/>
  <c r="AA546" i="18"/>
  <c r="Y548" i="28" s="1"/>
  <c r="AJ546" i="18"/>
  <c r="AH548" i="28" s="1"/>
  <c r="A547" i="18"/>
  <c r="B547" i="18" s="1"/>
  <c r="C547" i="18"/>
  <c r="A549" i="28" s="1"/>
  <c r="AA547" i="18"/>
  <c r="AF547" i="18" s="1"/>
  <c r="AJ547" i="18"/>
  <c r="AO547" i="18" s="1"/>
  <c r="A548" i="18"/>
  <c r="B548" i="18" s="1"/>
  <c r="C548" i="18"/>
  <c r="A550" i="28" s="1"/>
  <c r="AA548" i="18"/>
  <c r="AF548" i="18" s="1"/>
  <c r="AJ548" i="18"/>
  <c r="AO548" i="18" s="1"/>
  <c r="A549" i="18"/>
  <c r="B549" i="18" s="1"/>
  <c r="C549" i="18"/>
  <c r="A551" i="28" s="1"/>
  <c r="AA549" i="18"/>
  <c r="AF549" i="18" s="1"/>
  <c r="AJ549" i="18"/>
  <c r="AO549" i="18" s="1"/>
  <c r="A550" i="18"/>
  <c r="B550" i="18" s="1"/>
  <c r="C550" i="18"/>
  <c r="A552" i="28" s="1"/>
  <c r="AA550" i="18"/>
  <c r="AF550" i="18" s="1"/>
  <c r="AJ550" i="18"/>
  <c r="AO550" i="18" s="1"/>
  <c r="A551" i="18"/>
  <c r="C551" i="18"/>
  <c r="A553" i="28" s="1"/>
  <c r="AA551" i="18"/>
  <c r="AF551" i="18" s="1"/>
  <c r="AJ551" i="18"/>
  <c r="AO551" i="18" s="1"/>
  <c r="A552" i="18"/>
  <c r="B552" i="18" s="1"/>
  <c r="C552" i="18"/>
  <c r="A554" i="28" s="1"/>
  <c r="AA552" i="18"/>
  <c r="AF552" i="18" s="1"/>
  <c r="AJ552" i="18"/>
  <c r="A553" i="18"/>
  <c r="B553" i="18" s="1"/>
  <c r="C553" i="18"/>
  <c r="A555" i="28" s="1"/>
  <c r="AA553" i="18"/>
  <c r="Y555" i="28" s="1"/>
  <c r="AJ553" i="18"/>
  <c r="AH555" i="28" s="1"/>
  <c r="A554" i="18"/>
  <c r="B554" i="18" s="1"/>
  <c r="C554" i="18"/>
  <c r="A556" i="28" s="1"/>
  <c r="AA554" i="18"/>
  <c r="AF554" i="18" s="1"/>
  <c r="AJ554" i="18"/>
  <c r="AO554" i="18" s="1"/>
  <c r="A555" i="18"/>
  <c r="B555" i="18" s="1"/>
  <c r="C555" i="18"/>
  <c r="A557" i="28" s="1"/>
  <c r="AA555" i="18"/>
  <c r="AF555" i="18" s="1"/>
  <c r="AJ555" i="18"/>
  <c r="AO555" i="18" s="1"/>
  <c r="A556" i="18"/>
  <c r="B556" i="18" s="1"/>
  <c r="C556" i="18"/>
  <c r="A558" i="28" s="1"/>
  <c r="AA556" i="18"/>
  <c r="AF556" i="18" s="1"/>
  <c r="AJ556" i="18"/>
  <c r="AO556" i="18" s="1"/>
  <c r="A557" i="18"/>
  <c r="B557" i="18" s="1"/>
  <c r="C557" i="18"/>
  <c r="A559" i="28" s="1"/>
  <c r="AA557" i="18"/>
  <c r="AF557" i="18" s="1"/>
  <c r="AJ557" i="18"/>
  <c r="AO557" i="18" s="1"/>
  <c r="A558" i="18"/>
  <c r="B558" i="18" s="1"/>
  <c r="C558" i="18"/>
  <c r="A560" i="28" s="1"/>
  <c r="AA558" i="18"/>
  <c r="AF558" i="18" s="1"/>
  <c r="AJ558" i="18"/>
  <c r="AO558" i="18" s="1"/>
  <c r="A559" i="18"/>
  <c r="C559" i="18"/>
  <c r="A561" i="28" s="1"/>
  <c r="AA559" i="18"/>
  <c r="AF559" i="18" s="1"/>
  <c r="AJ559" i="18"/>
  <c r="A560" i="18"/>
  <c r="C560" i="18"/>
  <c r="A562" i="28" s="1"/>
  <c r="AA560" i="18"/>
  <c r="AJ560" i="18"/>
  <c r="A561" i="18"/>
  <c r="B561" i="18" s="1"/>
  <c r="C561" i="18"/>
  <c r="A563" i="28" s="1"/>
  <c r="AA561" i="18"/>
  <c r="AF561" i="18" s="1"/>
  <c r="AJ561" i="18"/>
  <c r="AO561" i="18" s="1"/>
  <c r="A562" i="18"/>
  <c r="B562" i="18" s="1"/>
  <c r="C562" i="18"/>
  <c r="A564" i="28" s="1"/>
  <c r="AA562" i="18"/>
  <c r="AF562" i="18" s="1"/>
  <c r="AJ562" i="18"/>
  <c r="A563" i="18"/>
  <c r="B563" i="18" s="1"/>
  <c r="C563" i="18"/>
  <c r="A565" i="28" s="1"/>
  <c r="AA563" i="18"/>
  <c r="AF563" i="18" s="1"/>
  <c r="AJ563" i="18"/>
  <c r="AO563" i="18" s="1"/>
  <c r="A564" i="18"/>
  <c r="B564" i="18" s="1"/>
  <c r="C564" i="18"/>
  <c r="A566" i="28" s="1"/>
  <c r="AA564" i="18"/>
  <c r="AF564" i="18" s="1"/>
  <c r="AJ564" i="18"/>
  <c r="AO564" i="18" s="1"/>
  <c r="A565" i="18"/>
  <c r="B565" i="18" s="1"/>
  <c r="C565" i="18"/>
  <c r="A567" i="28" s="1"/>
  <c r="AA565" i="18"/>
  <c r="AF565" i="18" s="1"/>
  <c r="AJ565" i="18"/>
  <c r="AO565" i="18" s="1"/>
  <c r="A566" i="18"/>
  <c r="B566" i="18" s="1"/>
  <c r="C566" i="18"/>
  <c r="A568" i="28" s="1"/>
  <c r="AA566" i="18"/>
  <c r="AF566" i="18" s="1"/>
  <c r="AJ566" i="18"/>
  <c r="A567" i="18"/>
  <c r="B567" i="18" s="1"/>
  <c r="C567" i="18"/>
  <c r="A569" i="28" s="1"/>
  <c r="AA567" i="18"/>
  <c r="AF567" i="18" s="1"/>
  <c r="AJ567" i="18"/>
  <c r="AO567" i="18" s="1"/>
  <c r="A568" i="18"/>
  <c r="B568" i="18" s="1"/>
  <c r="C568" i="18"/>
  <c r="A570" i="28" s="1"/>
  <c r="AA568" i="18"/>
  <c r="AF568" i="18" s="1"/>
  <c r="AJ568" i="18"/>
  <c r="AO568" i="18" s="1"/>
  <c r="A569" i="18"/>
  <c r="B569" i="18" s="1"/>
  <c r="C569" i="18"/>
  <c r="A571" i="28" s="1"/>
  <c r="AA569" i="18"/>
  <c r="AF569" i="18" s="1"/>
  <c r="AJ569" i="18"/>
  <c r="AO569" i="18" s="1"/>
  <c r="A570" i="18"/>
  <c r="B570" i="18" s="1"/>
  <c r="C570" i="18"/>
  <c r="A572" i="28" s="1"/>
  <c r="AA570" i="18"/>
  <c r="AF570" i="18" s="1"/>
  <c r="AJ570" i="18"/>
  <c r="AO570" i="18" s="1"/>
  <c r="A571" i="18"/>
  <c r="B571" i="18" s="1"/>
  <c r="C571" i="18"/>
  <c r="A573" i="28" s="1"/>
  <c r="AA571" i="18"/>
  <c r="AF571" i="18" s="1"/>
  <c r="AJ571" i="18"/>
  <c r="AO571" i="18" s="1"/>
  <c r="A572" i="18"/>
  <c r="B572" i="18" s="1"/>
  <c r="C572" i="18"/>
  <c r="A574" i="28" s="1"/>
  <c r="AA572" i="18"/>
  <c r="AF572" i="18" s="1"/>
  <c r="AJ572" i="18"/>
  <c r="A573" i="18"/>
  <c r="B573" i="18" s="1"/>
  <c r="C573" i="18"/>
  <c r="A575" i="28" s="1"/>
  <c r="AA573" i="18"/>
  <c r="AF573" i="18" s="1"/>
  <c r="AJ573" i="18"/>
  <c r="AO573" i="18" s="1"/>
  <c r="A574" i="18"/>
  <c r="C574" i="18"/>
  <c r="A576" i="28" s="1"/>
  <c r="AA574" i="18"/>
  <c r="AF574" i="18" s="1"/>
  <c r="AJ574" i="18"/>
  <c r="AO574" i="18" s="1"/>
  <c r="A575" i="18"/>
  <c r="C575" i="18"/>
  <c r="A577" i="28" s="1"/>
  <c r="AA575" i="18"/>
  <c r="AJ575" i="18"/>
  <c r="AO575" i="18" s="1"/>
  <c r="A576" i="18"/>
  <c r="B576" i="18" s="1"/>
  <c r="C576" i="18"/>
  <c r="A578" i="28" s="1"/>
  <c r="AA576" i="18"/>
  <c r="AF576" i="18" s="1"/>
  <c r="AJ576" i="18"/>
  <c r="AO576" i="18" s="1"/>
  <c r="A577" i="18"/>
  <c r="B577" i="18" s="1"/>
  <c r="C577" i="18"/>
  <c r="A579" i="28" s="1"/>
  <c r="AA577" i="18"/>
  <c r="AF577" i="18" s="1"/>
  <c r="AJ577" i="18"/>
  <c r="A578" i="18"/>
  <c r="B578" i="18" s="1"/>
  <c r="C578" i="18"/>
  <c r="A580" i="28" s="1"/>
  <c r="AA578" i="18"/>
  <c r="Y580" i="28" s="1"/>
  <c r="AJ578" i="18"/>
  <c r="AH580" i="28" s="1"/>
  <c r="A579" i="18"/>
  <c r="B579" i="18" s="1"/>
  <c r="C579" i="18"/>
  <c r="A581" i="28" s="1"/>
  <c r="AA579" i="18"/>
  <c r="AF579" i="18" s="1"/>
  <c r="AJ579" i="18"/>
  <c r="AO579" i="18" s="1"/>
  <c r="A580" i="18"/>
  <c r="B580" i="18" s="1"/>
  <c r="C580" i="18"/>
  <c r="A582" i="28" s="1"/>
  <c r="AA580" i="18"/>
  <c r="AF580" i="18" s="1"/>
  <c r="AJ580" i="18"/>
  <c r="AO580" i="18" s="1"/>
  <c r="A581" i="18"/>
  <c r="C581" i="18"/>
  <c r="A583" i="28" s="1"/>
  <c r="AA581" i="18"/>
  <c r="AF581" i="18" s="1"/>
  <c r="AJ581" i="18"/>
  <c r="AO581" i="18" s="1"/>
  <c r="A582" i="18"/>
  <c r="B582" i="18" s="1"/>
  <c r="C582" i="18"/>
  <c r="A584" i="28" s="1"/>
  <c r="AA582" i="18"/>
  <c r="AF582" i="18" s="1"/>
  <c r="AJ582" i="18"/>
  <c r="AO582" i="18" s="1"/>
  <c r="A583" i="18"/>
  <c r="B583" i="18" s="1"/>
  <c r="C583" i="18"/>
  <c r="A585" i="28" s="1"/>
  <c r="AA583" i="18"/>
  <c r="AF583" i="18" s="1"/>
  <c r="AJ583" i="18"/>
  <c r="AH585" i="28" s="1"/>
  <c r="A584" i="18"/>
  <c r="B584" i="18" s="1"/>
  <c r="C584" i="18"/>
  <c r="A586" i="28" s="1"/>
  <c r="AA584" i="18"/>
  <c r="AF584" i="18" s="1"/>
  <c r="AJ584" i="18"/>
  <c r="AO584" i="18" s="1"/>
  <c r="A585" i="18"/>
  <c r="B585" i="18" s="1"/>
  <c r="C585" i="18"/>
  <c r="A587" i="28" s="1"/>
  <c r="AA585" i="18"/>
  <c r="Y587" i="28" s="1"/>
  <c r="AJ585" i="18"/>
  <c r="AH587" i="28" s="1"/>
  <c r="A586" i="18"/>
  <c r="B586" i="18" s="1"/>
  <c r="C586" i="18"/>
  <c r="A588" i="28" s="1"/>
  <c r="AA586" i="18"/>
  <c r="AF586" i="18" s="1"/>
  <c r="AJ586" i="18"/>
  <c r="AO586" i="18" s="1"/>
  <c r="A587" i="18"/>
  <c r="B587" i="18" s="1"/>
  <c r="C587" i="18"/>
  <c r="A589" i="28" s="1"/>
  <c r="AA587" i="18"/>
  <c r="AF587" i="18" s="1"/>
  <c r="AJ587" i="18"/>
  <c r="AO587" i="18" s="1"/>
  <c r="A588" i="18"/>
  <c r="B588" i="18" s="1"/>
  <c r="C588" i="18"/>
  <c r="A590" i="28" s="1"/>
  <c r="AA588" i="18"/>
  <c r="AF588" i="18" s="1"/>
  <c r="AJ588" i="18"/>
  <c r="AO588" i="18" s="1"/>
  <c r="A589" i="18"/>
  <c r="B589" i="18" s="1"/>
  <c r="C589" i="18"/>
  <c r="A591" i="28" s="1"/>
  <c r="AA589" i="18"/>
  <c r="AF589" i="18" s="1"/>
  <c r="AJ589" i="18"/>
  <c r="AO589" i="18" s="1"/>
  <c r="A590" i="18"/>
  <c r="C590" i="18"/>
  <c r="A592" i="28" s="1"/>
  <c r="AA590" i="18"/>
  <c r="AJ590" i="18"/>
  <c r="A591" i="18"/>
  <c r="C591" i="18"/>
  <c r="A593" i="28" s="1"/>
  <c r="AA591" i="18"/>
  <c r="AF591" i="18" s="1"/>
  <c r="AJ591" i="18"/>
  <c r="AO591" i="18" s="1"/>
  <c r="A592" i="18"/>
  <c r="B592" i="18" s="1"/>
  <c r="C592" i="18"/>
  <c r="A594" i="28" s="1"/>
  <c r="AA592" i="18"/>
  <c r="Y594" i="28" s="1"/>
  <c r="AJ592" i="18"/>
  <c r="AH594" i="28" s="1"/>
  <c r="A593" i="18"/>
  <c r="B593" i="18" s="1"/>
  <c r="C593" i="18"/>
  <c r="A595" i="28" s="1"/>
  <c r="AA593" i="18"/>
  <c r="AF593" i="18" s="1"/>
  <c r="AJ593" i="18"/>
  <c r="AO593" i="18" s="1"/>
  <c r="A594" i="18"/>
  <c r="B594" i="18" s="1"/>
  <c r="C594" i="18"/>
  <c r="A596" i="28" s="1"/>
  <c r="AA594" i="18"/>
  <c r="AF594" i="18" s="1"/>
  <c r="AJ594" i="18"/>
  <c r="AO594" i="18" s="1"/>
  <c r="A595" i="18"/>
  <c r="B595" i="18" s="1"/>
  <c r="C595" i="18"/>
  <c r="A597" i="28" s="1"/>
  <c r="AA595" i="18"/>
  <c r="AF595" i="18" s="1"/>
  <c r="AJ595" i="18"/>
  <c r="AO595" i="18" s="1"/>
  <c r="A596" i="18"/>
  <c r="B596" i="18" s="1"/>
  <c r="C596" i="18"/>
  <c r="A598" i="28" s="1"/>
  <c r="AA596" i="18"/>
  <c r="AF596" i="18" s="1"/>
  <c r="AJ596" i="18"/>
  <c r="AO596" i="18" s="1"/>
  <c r="A597" i="18"/>
  <c r="B597" i="18" s="1"/>
  <c r="C597" i="18"/>
  <c r="A599" i="28" s="1"/>
  <c r="AA597" i="18"/>
  <c r="AF597" i="18" s="1"/>
  <c r="AJ597" i="18"/>
  <c r="A598" i="18"/>
  <c r="C598" i="18"/>
  <c r="A600" i="28" s="1"/>
  <c r="AA598" i="18"/>
  <c r="AF598" i="18" s="1"/>
  <c r="AJ598" i="18"/>
  <c r="A599" i="18"/>
  <c r="C599" i="18"/>
  <c r="A601" i="28" s="1"/>
  <c r="AA599" i="18"/>
  <c r="AF599" i="18" s="1"/>
  <c r="AJ599" i="18"/>
  <c r="AO599" i="18" s="1"/>
  <c r="A600" i="18"/>
  <c r="B600" i="18" s="1"/>
  <c r="C600" i="18"/>
  <c r="A602" i="28" s="1"/>
  <c r="AA600" i="18"/>
  <c r="AF600" i="18" s="1"/>
  <c r="AJ600" i="18"/>
  <c r="AO600" i="18" s="1"/>
  <c r="A601" i="18"/>
  <c r="B601" i="18" s="1"/>
  <c r="C601" i="18"/>
  <c r="A603" i="28" s="1"/>
  <c r="AA601" i="18"/>
  <c r="AF601" i="18" s="1"/>
  <c r="AJ601" i="18"/>
  <c r="AO601" i="18" s="1"/>
  <c r="A602" i="18"/>
  <c r="B602" i="18" s="1"/>
  <c r="C602" i="18"/>
  <c r="A604" i="28" s="1"/>
  <c r="AA602" i="18"/>
  <c r="AJ602" i="18"/>
  <c r="AO602" i="18" s="1"/>
  <c r="A603" i="18"/>
  <c r="B603" i="18" s="1"/>
  <c r="C603" i="18"/>
  <c r="A605" i="28" s="1"/>
  <c r="AA603" i="18"/>
  <c r="AF603" i="18" s="1"/>
  <c r="AJ603" i="18"/>
  <c r="AO603" i="18" s="1"/>
  <c r="A604" i="18"/>
  <c r="B604" i="18" s="1"/>
  <c r="C604" i="18"/>
  <c r="A606" i="28" s="1"/>
  <c r="AA604" i="18"/>
  <c r="AF604" i="18" s="1"/>
  <c r="AJ604" i="18"/>
  <c r="AO604" i="18" s="1"/>
  <c r="A605" i="18"/>
  <c r="C605" i="18"/>
  <c r="A607" i="28" s="1"/>
  <c r="AA605" i="18"/>
  <c r="AJ605" i="18"/>
  <c r="A606" i="18"/>
  <c r="C606" i="18"/>
  <c r="A608" i="28" s="1"/>
  <c r="AA606" i="18"/>
  <c r="AF606" i="18" s="1"/>
  <c r="AJ606" i="18"/>
  <c r="A607" i="18"/>
  <c r="B607" i="18" s="1"/>
  <c r="C607" i="18"/>
  <c r="A609" i="28" s="1"/>
  <c r="AA607" i="18"/>
  <c r="AF607" i="18" s="1"/>
  <c r="AJ607" i="18"/>
  <c r="AO607" i="18" s="1"/>
  <c r="A608" i="18"/>
  <c r="B608" i="18" s="1"/>
  <c r="C608" i="18"/>
  <c r="A610" i="28" s="1"/>
  <c r="AA608" i="18"/>
  <c r="AF608" i="18" s="1"/>
  <c r="AJ608" i="18"/>
  <c r="AO608" i="18" s="1"/>
  <c r="A609" i="18"/>
  <c r="B609" i="18" s="1"/>
  <c r="C609" i="18"/>
  <c r="A611" i="28" s="1"/>
  <c r="AA609" i="18"/>
  <c r="AF609" i="18" s="1"/>
  <c r="AJ609" i="18"/>
  <c r="AO609" i="18" s="1"/>
  <c r="A610" i="18"/>
  <c r="B610" i="18" s="1"/>
  <c r="C610" i="18"/>
  <c r="A612" i="28" s="1"/>
  <c r="AA610" i="18"/>
  <c r="Y612" i="28" s="1"/>
  <c r="AJ610" i="18"/>
  <c r="AH612" i="28" s="1"/>
  <c r="A611" i="18"/>
  <c r="B611" i="18" s="1"/>
  <c r="C611" i="18"/>
  <c r="A613" i="28" s="1"/>
  <c r="AA611" i="18"/>
  <c r="AF611" i="18" s="1"/>
  <c r="AJ611" i="18"/>
  <c r="A612" i="18"/>
  <c r="B612" i="18" s="1"/>
  <c r="C612" i="18"/>
  <c r="A614" i="28" s="1"/>
  <c r="AA612" i="18"/>
  <c r="AF612" i="18" s="1"/>
  <c r="AJ612" i="18"/>
  <c r="AO612" i="18" s="1"/>
  <c r="A613" i="18"/>
  <c r="C613" i="18"/>
  <c r="A615" i="28" s="1"/>
  <c r="AA613" i="18"/>
  <c r="AF613" i="18" s="1"/>
  <c r="AJ613" i="18"/>
  <c r="A614" i="18"/>
  <c r="B614" i="18" s="1"/>
  <c r="C614" i="18"/>
  <c r="A616" i="28" s="1"/>
  <c r="AA614" i="18"/>
  <c r="AF614" i="18" s="1"/>
  <c r="AJ614" i="18"/>
  <c r="AO614" i="18" s="1"/>
  <c r="A615" i="18"/>
  <c r="B615" i="18" s="1"/>
  <c r="C615" i="18"/>
  <c r="A617" i="28" s="1"/>
  <c r="AA615" i="18"/>
  <c r="Y617" i="28" s="1"/>
  <c r="AJ615" i="18"/>
  <c r="AH617" i="28" s="1"/>
  <c r="A616" i="18"/>
  <c r="B616" i="18" s="1"/>
  <c r="C616" i="18"/>
  <c r="A618" i="28" s="1"/>
  <c r="AA616" i="18"/>
  <c r="AF616" i="18" s="1"/>
  <c r="AJ616" i="18"/>
  <c r="A617" i="18"/>
  <c r="C617" i="18"/>
  <c r="A619" i="28" s="1"/>
  <c r="AA617" i="18"/>
  <c r="Y619" i="28" s="1"/>
  <c r="AJ617" i="18"/>
  <c r="AH619" i="28" s="1"/>
  <c r="A618" i="18"/>
  <c r="B618" i="18" s="1"/>
  <c r="C618" i="18"/>
  <c r="A620" i="28" s="1"/>
  <c r="AA618" i="18"/>
  <c r="AF618" i="18" s="1"/>
  <c r="AJ618" i="18"/>
  <c r="AO618" i="18" s="1"/>
  <c r="A619" i="18"/>
  <c r="B619" i="18" s="1"/>
  <c r="C619" i="18"/>
  <c r="A621" i="28" s="1"/>
  <c r="AA619" i="18"/>
  <c r="AF619" i="18" s="1"/>
  <c r="AJ619" i="18"/>
  <c r="AO619" i="18" s="1"/>
  <c r="A620" i="18"/>
  <c r="C620" i="18"/>
  <c r="A622" i="28" s="1"/>
  <c r="AA620" i="18"/>
  <c r="AJ620" i="18"/>
  <c r="A621" i="18"/>
  <c r="C621" i="18"/>
  <c r="A623" i="28" s="1"/>
  <c r="AA621" i="18"/>
  <c r="AF621" i="18" s="1"/>
  <c r="AJ621" i="18"/>
  <c r="AO621" i="18" s="1"/>
  <c r="A622" i="18"/>
  <c r="B622" i="18" s="1"/>
  <c r="C622" i="18"/>
  <c r="A624" i="28" s="1"/>
  <c r="AA622" i="18"/>
  <c r="AF622" i="18" s="1"/>
  <c r="AJ622" i="18"/>
  <c r="AO622" i="18" s="1"/>
  <c r="A623" i="18"/>
  <c r="B623" i="18" s="1"/>
  <c r="C623" i="18"/>
  <c r="A625" i="28" s="1"/>
  <c r="AA623" i="18"/>
  <c r="AF623" i="18" s="1"/>
  <c r="AJ623" i="18"/>
  <c r="A624" i="18"/>
  <c r="B624" i="18" s="1"/>
  <c r="C624" i="18"/>
  <c r="A626" i="28" s="1"/>
  <c r="AA624" i="18"/>
  <c r="Y626" i="28" s="1"/>
  <c r="AJ624" i="18"/>
  <c r="AH626" i="28" s="1"/>
  <c r="A625" i="18"/>
  <c r="B625" i="18" s="1"/>
  <c r="C625" i="18"/>
  <c r="A627" i="28" s="1"/>
  <c r="AA625" i="18"/>
  <c r="AF625" i="18" s="1"/>
  <c r="AJ625" i="18"/>
  <c r="A626" i="18"/>
  <c r="B626" i="18" s="1"/>
  <c r="C626" i="18"/>
  <c r="A628" i="28" s="1"/>
  <c r="AA626" i="18"/>
  <c r="AF626" i="18" s="1"/>
  <c r="AJ626" i="18"/>
  <c r="AO626" i="18" s="1"/>
  <c r="A627" i="18"/>
  <c r="B627" i="18" s="1"/>
  <c r="C627" i="18"/>
  <c r="A629" i="28" s="1"/>
  <c r="AA627" i="18"/>
  <c r="AF627" i="18" s="1"/>
  <c r="AJ627" i="18"/>
  <c r="A628" i="18"/>
  <c r="B628" i="18" s="1"/>
  <c r="C628" i="18"/>
  <c r="A630" i="28" s="1"/>
  <c r="AA628" i="18"/>
  <c r="AF628" i="18" s="1"/>
  <c r="AJ628" i="18"/>
  <c r="AO628" i="18" s="1"/>
  <c r="A629" i="18"/>
  <c r="C629" i="18"/>
  <c r="A631" i="28" s="1"/>
  <c r="AA629" i="18"/>
  <c r="AF629" i="18" s="1"/>
  <c r="AJ629" i="18"/>
  <c r="AO629" i="18" s="1"/>
  <c r="A630" i="18"/>
  <c r="B630" i="18" s="1"/>
  <c r="C630" i="18"/>
  <c r="A632" i="28" s="1"/>
  <c r="AA630" i="18"/>
  <c r="AF630" i="18" s="1"/>
  <c r="AJ630" i="18"/>
  <c r="AO630" i="18" s="1"/>
  <c r="A631" i="18"/>
  <c r="B631" i="18" s="1"/>
  <c r="C631" i="18"/>
  <c r="A633" i="28" s="1"/>
  <c r="AA631" i="18"/>
  <c r="AF631" i="18" s="1"/>
  <c r="AJ631" i="18"/>
  <c r="AO631" i="18" s="1"/>
  <c r="A632" i="18"/>
  <c r="B632" i="18" s="1"/>
  <c r="C632" i="18"/>
  <c r="A634" i="28" s="1"/>
  <c r="AA632" i="18"/>
  <c r="AF632" i="18" s="1"/>
  <c r="AJ632" i="18"/>
  <c r="AO632" i="18" s="1"/>
  <c r="A633" i="18"/>
  <c r="C633" i="18"/>
  <c r="A635" i="28" s="1"/>
  <c r="AA633" i="18"/>
  <c r="AF633" i="18" s="1"/>
  <c r="AJ633" i="18"/>
  <c r="AO633" i="18" s="1"/>
  <c r="A634" i="18"/>
  <c r="B634" i="18" s="1"/>
  <c r="C634" i="18"/>
  <c r="A636" i="28" s="1"/>
  <c r="AA634" i="18"/>
  <c r="AF634" i="18" s="1"/>
  <c r="AJ634" i="18"/>
  <c r="AO634" i="18" s="1"/>
  <c r="A635" i="18"/>
  <c r="C635" i="18"/>
  <c r="A637" i="28" s="1"/>
  <c r="AA635" i="18"/>
  <c r="AJ635" i="18"/>
  <c r="A636" i="18"/>
  <c r="B636" i="18" s="1"/>
  <c r="C636" i="18"/>
  <c r="A638" i="28" s="1"/>
  <c r="AA636" i="18"/>
  <c r="AF636" i="18" s="1"/>
  <c r="AJ636" i="18"/>
  <c r="AO636" i="18" s="1"/>
  <c r="A637" i="18"/>
  <c r="C637" i="18"/>
  <c r="A639" i="28" s="1"/>
  <c r="AA637" i="18"/>
  <c r="AF637" i="18" s="1"/>
  <c r="AJ637" i="18"/>
  <c r="AO637" i="18" s="1"/>
  <c r="A638" i="18"/>
  <c r="B638" i="18" s="1"/>
  <c r="C638" i="18"/>
  <c r="A640" i="28" s="1"/>
  <c r="AA638" i="18"/>
  <c r="AF638" i="18" s="1"/>
  <c r="AJ638" i="18"/>
  <c r="AO638" i="18" s="1"/>
  <c r="A639" i="18"/>
  <c r="B639" i="18" s="1"/>
  <c r="C639" i="18"/>
  <c r="A641" i="28" s="1"/>
  <c r="AA639" i="18"/>
  <c r="AF639" i="18" s="1"/>
  <c r="AJ639" i="18"/>
  <c r="AO639" i="18" s="1"/>
  <c r="A640" i="18"/>
  <c r="B640" i="18" s="1"/>
  <c r="C640" i="18"/>
  <c r="A642" i="28" s="1"/>
  <c r="AA640" i="18"/>
  <c r="AF640" i="18" s="1"/>
  <c r="AJ640" i="18"/>
  <c r="AO640" i="18" s="1"/>
  <c r="A641" i="18"/>
  <c r="B641" i="18" s="1"/>
  <c r="C641" i="18"/>
  <c r="A643" i="28" s="1"/>
  <c r="AA641" i="18"/>
  <c r="AF641" i="18" s="1"/>
  <c r="AJ641" i="18"/>
  <c r="A642" i="18"/>
  <c r="B642" i="18" s="1"/>
  <c r="C642" i="18"/>
  <c r="A644" i="28" s="1"/>
  <c r="AA642" i="18"/>
  <c r="Y644" i="28" s="1"/>
  <c r="AJ642" i="18"/>
  <c r="AH644" i="28" s="1"/>
  <c r="A643" i="18"/>
  <c r="C643" i="18"/>
  <c r="A645" i="28" s="1"/>
  <c r="AA643" i="18"/>
  <c r="AF643" i="18" s="1"/>
  <c r="AJ643" i="18"/>
  <c r="AO643" i="18" s="1"/>
  <c r="A644" i="18"/>
  <c r="B644" i="18" s="1"/>
  <c r="C644" i="18"/>
  <c r="A646" i="28" s="1"/>
  <c r="AA644" i="18"/>
  <c r="AF644" i="18" s="1"/>
  <c r="AJ644" i="18"/>
  <c r="AO644" i="18" s="1"/>
  <c r="A645" i="18"/>
  <c r="C645" i="18"/>
  <c r="A647" i="28" s="1"/>
  <c r="AA645" i="18"/>
  <c r="AF645" i="18" s="1"/>
  <c r="AJ645" i="18"/>
  <c r="AO645" i="18" s="1"/>
  <c r="A646" i="18"/>
  <c r="B646" i="18" s="1"/>
  <c r="C646" i="18"/>
  <c r="A648" i="28" s="1"/>
  <c r="AA646" i="18"/>
  <c r="AF646" i="18" s="1"/>
  <c r="AJ646" i="18"/>
  <c r="A647" i="18"/>
  <c r="B647" i="18" s="1"/>
  <c r="C647" i="18"/>
  <c r="A649" i="28" s="1"/>
  <c r="AA647" i="18"/>
  <c r="AF647" i="18" s="1"/>
  <c r="AJ647" i="18"/>
  <c r="AO647" i="18" s="1"/>
  <c r="A648" i="18"/>
  <c r="B648" i="18" s="1"/>
  <c r="C648" i="18"/>
  <c r="A650" i="28" s="1"/>
  <c r="AA648" i="18"/>
  <c r="AF648" i="18" s="1"/>
  <c r="AJ648" i="18"/>
  <c r="AO648" i="18" s="1"/>
  <c r="A649" i="18"/>
  <c r="B649" i="18" s="1"/>
  <c r="C649" i="18"/>
  <c r="A651" i="28" s="1"/>
  <c r="AA649" i="18"/>
  <c r="Y651" i="28" s="1"/>
  <c r="AJ649" i="18"/>
  <c r="AH651" i="28" s="1"/>
  <c r="A650" i="18"/>
  <c r="C650" i="18"/>
  <c r="A652" i="28" s="1"/>
  <c r="AA650" i="18"/>
  <c r="AJ650" i="18"/>
  <c r="A651" i="18"/>
  <c r="C651" i="18"/>
  <c r="A653" i="28" s="1"/>
  <c r="AA651" i="18"/>
  <c r="AF651" i="18" s="1"/>
  <c r="AJ651" i="18"/>
  <c r="AO651" i="18" s="1"/>
  <c r="A652" i="18"/>
  <c r="B652" i="18" s="1"/>
  <c r="C652" i="18"/>
  <c r="A654" i="28" s="1"/>
  <c r="AA652" i="18"/>
  <c r="AF652" i="18" s="1"/>
  <c r="AJ652" i="18"/>
  <c r="A653" i="18"/>
  <c r="C653" i="18"/>
  <c r="A655" i="28" s="1"/>
  <c r="AA653" i="18"/>
  <c r="AF653" i="18" s="1"/>
  <c r="AJ653" i="18"/>
  <c r="AO653" i="18" s="1"/>
  <c r="A654" i="18"/>
  <c r="C654" i="18"/>
  <c r="A656" i="28" s="1"/>
  <c r="AA654" i="18"/>
  <c r="AF654" i="18" s="1"/>
  <c r="AJ654" i="18"/>
  <c r="A655" i="18"/>
  <c r="B655" i="18" s="1"/>
  <c r="C655" i="18"/>
  <c r="A657" i="28" s="1"/>
  <c r="AA655" i="18"/>
  <c r="AF655" i="18" s="1"/>
  <c r="AJ655" i="18"/>
  <c r="AO655" i="18" s="1"/>
  <c r="A656" i="18"/>
  <c r="B656" i="18" s="1"/>
  <c r="C656" i="18"/>
  <c r="A658" i="28" s="1"/>
  <c r="AA656" i="18"/>
  <c r="AJ656" i="18"/>
  <c r="AH658" i="28" s="1"/>
  <c r="A657" i="18"/>
  <c r="B657" i="18" s="1"/>
  <c r="C657" i="18"/>
  <c r="A659" i="28" s="1"/>
  <c r="AA657" i="18"/>
  <c r="AF657" i="18" s="1"/>
  <c r="AJ657" i="18"/>
  <c r="A658" i="18"/>
  <c r="B658" i="18" s="1"/>
  <c r="C658" i="18"/>
  <c r="A660" i="28" s="1"/>
  <c r="AA658" i="18"/>
  <c r="AF658" i="18" s="1"/>
  <c r="AJ658" i="18"/>
  <c r="AO658" i="18" s="1"/>
  <c r="A659" i="18"/>
  <c r="C659" i="18"/>
  <c r="A661" i="28" s="1"/>
  <c r="AA659" i="18"/>
  <c r="AF659" i="18" s="1"/>
  <c r="AJ659" i="18"/>
  <c r="AO659" i="18" s="1"/>
  <c r="A660" i="18"/>
  <c r="B660" i="18" s="1"/>
  <c r="C660" i="18"/>
  <c r="A662" i="28" s="1"/>
  <c r="AA660" i="18"/>
  <c r="AF660" i="18" s="1"/>
  <c r="AJ660" i="18"/>
  <c r="AO660" i="18" s="1"/>
  <c r="A661" i="18"/>
  <c r="C661" i="18"/>
  <c r="A663" i="28" s="1"/>
  <c r="AA661" i="18"/>
  <c r="AF661" i="18" s="1"/>
  <c r="AJ661" i="18"/>
  <c r="AO661" i="18" s="1"/>
  <c r="A662" i="18"/>
  <c r="B662" i="18" s="1"/>
  <c r="C662" i="18"/>
  <c r="A664" i="28" s="1"/>
  <c r="AA662" i="18"/>
  <c r="AF662" i="18" s="1"/>
  <c r="AJ662" i="18"/>
  <c r="AO662" i="18" s="1"/>
  <c r="A663" i="18"/>
  <c r="B663" i="18" s="1"/>
  <c r="C663" i="18"/>
  <c r="A665" i="28" s="1"/>
  <c r="AA663" i="18"/>
  <c r="AF663" i="18" s="1"/>
  <c r="AJ663" i="18"/>
  <c r="AO663" i="18" s="1"/>
  <c r="A664" i="18"/>
  <c r="B664" i="18" s="1"/>
  <c r="C664" i="18"/>
  <c r="A666" i="28" s="1"/>
  <c r="AA664" i="18"/>
  <c r="AF664" i="18" s="1"/>
  <c r="AJ664" i="18"/>
  <c r="A665" i="18"/>
  <c r="A46" i="5" s="1"/>
  <c r="C665" i="18"/>
  <c r="A667" i="28" s="1"/>
  <c r="AA665" i="18"/>
  <c r="AJ665" i="18"/>
  <c r="A666" i="18"/>
  <c r="B666" i="18" s="1"/>
  <c r="C666" i="18"/>
  <c r="A668" i="28" s="1"/>
  <c r="AA666" i="18"/>
  <c r="AF666" i="18" s="1"/>
  <c r="AJ666" i="18"/>
  <c r="A667" i="18"/>
  <c r="C667" i="18"/>
  <c r="A669" i="28" s="1"/>
  <c r="AA667" i="18"/>
  <c r="AF667" i="18" s="1"/>
  <c r="AJ667" i="18"/>
  <c r="AO667" i="18" s="1"/>
  <c r="A668" i="18"/>
  <c r="B668" i="18" s="1"/>
  <c r="C668" i="18"/>
  <c r="A670" i="28" s="1"/>
  <c r="AA668" i="18"/>
  <c r="AF668" i="18" s="1"/>
  <c r="AJ668" i="18"/>
  <c r="AO668" i="18" s="1"/>
  <c r="A669" i="18"/>
  <c r="C669" i="18"/>
  <c r="A671" i="28" s="1"/>
  <c r="AA669" i="18"/>
  <c r="AF669" i="18" s="1"/>
  <c r="AJ669" i="18"/>
  <c r="AO669" i="18" s="1"/>
  <c r="A670" i="18"/>
  <c r="B670" i="18" s="1"/>
  <c r="C670" i="18"/>
  <c r="A672" i="28" s="1"/>
  <c r="AA670" i="18"/>
  <c r="AF670" i="18" s="1"/>
  <c r="AJ670" i="18"/>
  <c r="AO670" i="18" s="1"/>
  <c r="A671" i="18"/>
  <c r="B671" i="18" s="1"/>
  <c r="C671" i="18"/>
  <c r="A673" i="28" s="1"/>
  <c r="AA671" i="18"/>
  <c r="AF671" i="18" s="1"/>
  <c r="AJ671" i="18"/>
  <c r="A672" i="18"/>
  <c r="B672" i="18" s="1"/>
  <c r="C672" i="18"/>
  <c r="A674" i="28" s="1"/>
  <c r="AA672" i="18"/>
  <c r="AF672" i="18" s="1"/>
  <c r="AJ672" i="18"/>
  <c r="AO672" i="18" s="1"/>
  <c r="A673" i="18"/>
  <c r="B673" i="18" s="1"/>
  <c r="C673" i="18"/>
  <c r="A675" i="28" s="1"/>
  <c r="AA673" i="18"/>
  <c r="AF673" i="18" s="1"/>
  <c r="AJ673" i="18"/>
  <c r="AO673" i="18" s="1"/>
  <c r="A674" i="18"/>
  <c r="B674" i="18" s="1"/>
  <c r="C674" i="18"/>
  <c r="A676" i="28" s="1"/>
  <c r="AA674" i="18"/>
  <c r="Y676" i="28" s="1"/>
  <c r="AJ674" i="18"/>
  <c r="AH676" i="28" s="1"/>
  <c r="A675" i="18"/>
  <c r="B675" i="18" s="1"/>
  <c r="C675" i="18"/>
  <c r="A677" i="28" s="1"/>
  <c r="AA675" i="18"/>
  <c r="AF675" i="18" s="1"/>
  <c r="AJ675" i="18"/>
  <c r="A676" i="18"/>
  <c r="B676" i="18" s="1"/>
  <c r="C676" i="18"/>
  <c r="A678" i="28" s="1"/>
  <c r="AA676" i="18"/>
  <c r="AF676" i="18" s="1"/>
  <c r="AJ676" i="18"/>
  <c r="AO676" i="18" s="1"/>
  <c r="A677" i="18"/>
  <c r="B677" i="18" s="1"/>
  <c r="C677" i="18"/>
  <c r="A679" i="28" s="1"/>
  <c r="AA677" i="18"/>
  <c r="AF677" i="18" s="1"/>
  <c r="AJ677" i="18"/>
  <c r="AO677" i="18" s="1"/>
  <c r="A678" i="18"/>
  <c r="B678" i="18" s="1"/>
  <c r="C678" i="18"/>
  <c r="A680" i="28" s="1"/>
  <c r="AA678" i="18"/>
  <c r="AF678" i="18" s="1"/>
  <c r="AJ678" i="18"/>
  <c r="AO678" i="18" s="1"/>
  <c r="A679" i="18"/>
  <c r="B679" i="18" s="1"/>
  <c r="C679" i="18"/>
  <c r="A681" i="28" s="1"/>
  <c r="AA679" i="18"/>
  <c r="AF679" i="18" s="1"/>
  <c r="AJ679" i="18"/>
  <c r="AO679" i="18" s="1"/>
  <c r="A680" i="18"/>
  <c r="C680" i="18"/>
  <c r="A682" i="28" s="1"/>
  <c r="AA680" i="18"/>
  <c r="AJ680" i="18"/>
  <c r="A681" i="18"/>
  <c r="C681" i="18"/>
  <c r="A683" i="28" s="1"/>
  <c r="AA681" i="18"/>
  <c r="Y683" i="28" s="1"/>
  <c r="AJ681" i="18"/>
  <c r="AH683" i="28" s="1"/>
  <c r="A682" i="18"/>
  <c r="B682" i="18" s="1"/>
  <c r="C682" i="18"/>
  <c r="A684" i="28" s="1"/>
  <c r="AA682" i="18"/>
  <c r="AF682" i="18" s="1"/>
  <c r="AJ682" i="18"/>
  <c r="AO682" i="18" s="1"/>
  <c r="A683" i="18"/>
  <c r="B683" i="18" s="1"/>
  <c r="C683" i="18"/>
  <c r="A685" i="28" s="1"/>
  <c r="AA683" i="18"/>
  <c r="AF683" i="18" s="1"/>
  <c r="AJ683" i="18"/>
  <c r="AO683" i="18" s="1"/>
  <c r="A684" i="18"/>
  <c r="B684" i="18" s="1"/>
  <c r="C684" i="18"/>
  <c r="A686" i="28" s="1"/>
  <c r="AA684" i="18"/>
  <c r="AF684" i="18" s="1"/>
  <c r="AJ684" i="18"/>
  <c r="AO684" i="18" s="1"/>
  <c r="A685" i="18"/>
  <c r="B685" i="18" s="1"/>
  <c r="C685" i="18"/>
  <c r="A687" i="28" s="1"/>
  <c r="AA685" i="18"/>
  <c r="AF685" i="18" s="1"/>
  <c r="AJ685" i="18"/>
  <c r="AH687" i="28" s="1"/>
  <c r="A686" i="18"/>
  <c r="B686" i="18" s="1"/>
  <c r="C686" i="18"/>
  <c r="A688" i="28" s="1"/>
  <c r="AA686" i="18"/>
  <c r="AF686" i="18" s="1"/>
  <c r="AJ686" i="18"/>
  <c r="AO686" i="18" s="1"/>
  <c r="A687" i="18"/>
  <c r="C687" i="18"/>
  <c r="A689" i="28" s="1"/>
  <c r="AA687" i="18"/>
  <c r="AF687" i="18" s="1"/>
  <c r="AJ687" i="18"/>
  <c r="A688" i="18"/>
  <c r="B688" i="18" s="1"/>
  <c r="C688" i="18"/>
  <c r="A690" i="28" s="1"/>
  <c r="AA688" i="18"/>
  <c r="Y690" i="28" s="1"/>
  <c r="AJ688" i="18"/>
  <c r="A689" i="18"/>
  <c r="B689" i="18" s="1"/>
  <c r="C689" i="18"/>
  <c r="A691" i="28" s="1"/>
  <c r="AA689" i="18"/>
  <c r="AF689" i="18" s="1"/>
  <c r="AJ689" i="18"/>
  <c r="AO689" i="18" s="1"/>
  <c r="A690" i="18"/>
  <c r="B690" i="18" s="1"/>
  <c r="C690" i="18"/>
  <c r="A692" i="28" s="1"/>
  <c r="AA690" i="18"/>
  <c r="AF690" i="18" s="1"/>
  <c r="AJ690" i="18"/>
  <c r="AO690" i="18" s="1"/>
  <c r="A691" i="18"/>
  <c r="B691" i="18" s="1"/>
  <c r="C691" i="18"/>
  <c r="A693" i="28" s="1"/>
  <c r="AA691" i="18"/>
  <c r="AF691" i="18" s="1"/>
  <c r="AJ691" i="18"/>
  <c r="A692" i="18"/>
  <c r="B692" i="18" s="1"/>
  <c r="C692" i="18"/>
  <c r="A694" i="28" s="1"/>
  <c r="AA692" i="18"/>
  <c r="AF692" i="18" s="1"/>
  <c r="AJ692" i="18"/>
  <c r="AO692" i="18" s="1"/>
  <c r="A693" i="18"/>
  <c r="C693" i="18"/>
  <c r="A695" i="28" s="1"/>
  <c r="AA693" i="18"/>
  <c r="AF693" i="18" s="1"/>
  <c r="AJ693" i="18"/>
  <c r="AO693" i="18" s="1"/>
  <c r="A694" i="18"/>
  <c r="B694" i="18" s="1"/>
  <c r="C694" i="18"/>
  <c r="A696" i="28" s="1"/>
  <c r="AA694" i="18"/>
  <c r="AF694" i="18" s="1"/>
  <c r="AJ694" i="18"/>
  <c r="AH696" i="28" s="1"/>
  <c r="A695" i="18"/>
  <c r="A48" i="5" s="1"/>
  <c r="C695" i="18"/>
  <c r="A697" i="28" s="1"/>
  <c r="AA695" i="18"/>
  <c r="AJ695" i="18"/>
  <c r="A696" i="18"/>
  <c r="B696" i="18" s="1"/>
  <c r="C696" i="18"/>
  <c r="A698" i="28" s="1"/>
  <c r="AA696" i="18"/>
  <c r="AF696" i="18" s="1"/>
  <c r="AJ696" i="18"/>
  <c r="AO696" i="18" s="1"/>
  <c r="A697" i="18"/>
  <c r="B697" i="18" s="1"/>
  <c r="C697" i="18"/>
  <c r="A699" i="28" s="1"/>
  <c r="AA697" i="18"/>
  <c r="AF697" i="18" s="1"/>
  <c r="AJ697" i="18"/>
  <c r="AO697" i="18" s="1"/>
  <c r="A698" i="18"/>
  <c r="B698" i="18" s="1"/>
  <c r="C698" i="18"/>
  <c r="A700" i="28" s="1"/>
  <c r="AA698" i="18"/>
  <c r="AF698" i="18" s="1"/>
  <c r="AJ698" i="18"/>
  <c r="AO698" i="18" s="1"/>
  <c r="A699" i="18"/>
  <c r="B699" i="18" s="1"/>
  <c r="C699" i="18"/>
  <c r="A701" i="28" s="1"/>
  <c r="AA699" i="18"/>
  <c r="AF699" i="18" s="1"/>
  <c r="AJ699" i="18"/>
  <c r="AO699" i="18" s="1"/>
  <c r="A700" i="18"/>
  <c r="B700" i="18" s="1"/>
  <c r="C700" i="18"/>
  <c r="A702" i="28" s="1"/>
  <c r="AA700" i="18"/>
  <c r="AF700" i="18" s="1"/>
  <c r="AJ700" i="18"/>
  <c r="AO700" i="18" s="1"/>
  <c r="A701" i="18"/>
  <c r="B701" i="18" s="1"/>
  <c r="C701" i="18"/>
  <c r="A703" i="28" s="1"/>
  <c r="AA701" i="18"/>
  <c r="AF701" i="18" s="1"/>
  <c r="AJ701" i="18"/>
  <c r="AO701" i="18" s="1"/>
  <c r="A702" i="18"/>
  <c r="B702" i="18" s="1"/>
  <c r="C702" i="18"/>
  <c r="A704" i="28" s="1"/>
  <c r="AA702" i="18"/>
  <c r="AF702" i="18" s="1"/>
  <c r="AJ702" i="18"/>
  <c r="AO702" i="18" s="1"/>
  <c r="A703" i="18"/>
  <c r="B703" i="18" s="1"/>
  <c r="C703" i="18"/>
  <c r="A705" i="28" s="1"/>
  <c r="AA703" i="18"/>
  <c r="AF703" i="18" s="1"/>
  <c r="AJ703" i="18"/>
  <c r="AO703" i="18" s="1"/>
  <c r="A704" i="18"/>
  <c r="B704" i="18" s="1"/>
  <c r="C704" i="18"/>
  <c r="A706" i="28" s="1"/>
  <c r="AA704" i="18"/>
  <c r="AF704" i="18" s="1"/>
  <c r="AJ704" i="18"/>
  <c r="A705" i="18"/>
  <c r="C705" i="18"/>
  <c r="A707" i="28" s="1"/>
  <c r="AA705" i="18"/>
  <c r="AF705" i="18" s="1"/>
  <c r="AJ705" i="18"/>
  <c r="A706" i="18"/>
  <c r="B706" i="18" s="1"/>
  <c r="C706" i="18"/>
  <c r="A708" i="28" s="1"/>
  <c r="AA706" i="18"/>
  <c r="Y708" i="28" s="1"/>
  <c r="AJ706" i="18"/>
  <c r="AH708" i="28" s="1"/>
  <c r="A707" i="18"/>
  <c r="B707" i="18" s="1"/>
  <c r="C707" i="18"/>
  <c r="A709" i="28" s="1"/>
  <c r="AA707" i="18"/>
  <c r="AF707" i="18" s="1"/>
  <c r="AJ707" i="18"/>
  <c r="AO707" i="18" s="1"/>
  <c r="A708" i="18"/>
  <c r="B708" i="18" s="1"/>
  <c r="C708" i="18"/>
  <c r="A710" i="28" s="1"/>
  <c r="AA708" i="18"/>
  <c r="AF708" i="18" s="1"/>
  <c r="AJ708" i="18"/>
  <c r="AO708" i="18" s="1"/>
  <c r="A709" i="18"/>
  <c r="B709" i="18" s="1"/>
  <c r="C709" i="18"/>
  <c r="A711" i="28" s="1"/>
  <c r="AA709" i="18"/>
  <c r="AF709" i="18" s="1"/>
  <c r="AJ709" i="18"/>
  <c r="AO709" i="18" s="1"/>
  <c r="A710" i="18"/>
  <c r="C710" i="18"/>
  <c r="A712" i="28" s="1"/>
  <c r="AA710" i="18"/>
  <c r="AJ710" i="18"/>
  <c r="A711" i="18"/>
  <c r="B711" i="18" s="1"/>
  <c r="C711" i="18"/>
  <c r="A713" i="28" s="1"/>
  <c r="AA711" i="18"/>
  <c r="AF711" i="18" s="1"/>
  <c r="AJ711" i="18"/>
  <c r="A712" i="18"/>
  <c r="B712" i="18" s="1"/>
  <c r="C712" i="18"/>
  <c r="A714" i="28" s="1"/>
  <c r="AA712" i="18"/>
  <c r="AF712" i="18" s="1"/>
  <c r="AJ712" i="18"/>
  <c r="AO712" i="18" s="1"/>
  <c r="A713" i="18"/>
  <c r="C713" i="18"/>
  <c r="A715" i="28" s="1"/>
  <c r="AA713" i="18"/>
  <c r="Y715" i="28" s="1"/>
  <c r="AJ713" i="18"/>
  <c r="AH715" i="28" s="1"/>
  <c r="A714" i="18"/>
  <c r="B714" i="18" s="1"/>
  <c r="C714" i="18"/>
  <c r="A716" i="28" s="1"/>
  <c r="AA714" i="18"/>
  <c r="AJ714" i="18"/>
  <c r="AO714" i="18" s="1"/>
  <c r="A715" i="18"/>
  <c r="B715" i="18" s="1"/>
  <c r="C715" i="18"/>
  <c r="A717" i="28" s="1"/>
  <c r="AA715" i="18"/>
  <c r="AF715" i="18" s="1"/>
  <c r="AJ715" i="18"/>
  <c r="AO715" i="18" s="1"/>
  <c r="A716" i="18"/>
  <c r="B716" i="18" s="1"/>
  <c r="C716" i="18"/>
  <c r="A718" i="28" s="1"/>
  <c r="AA716" i="18"/>
  <c r="AF716" i="18" s="1"/>
  <c r="AJ716" i="18"/>
  <c r="AO716" i="18" s="1"/>
  <c r="A717" i="18"/>
  <c r="B717" i="18" s="1"/>
  <c r="C717" i="18"/>
  <c r="A719" i="28" s="1"/>
  <c r="AA717" i="18"/>
  <c r="AF717" i="18" s="1"/>
  <c r="AJ717" i="18"/>
  <c r="AO717" i="18" s="1"/>
  <c r="A718" i="18"/>
  <c r="B718" i="18" s="1"/>
  <c r="C718" i="18"/>
  <c r="A720" i="28" s="1"/>
  <c r="AA718" i="18"/>
  <c r="AF718" i="18" s="1"/>
  <c r="AJ718" i="18"/>
  <c r="AO718" i="18" s="1"/>
  <c r="A719" i="18"/>
  <c r="B719" i="18" s="1"/>
  <c r="C719" i="18"/>
  <c r="A721" i="28" s="1"/>
  <c r="AA719" i="18"/>
  <c r="AF719" i="18" s="1"/>
  <c r="AJ719" i="18"/>
  <c r="AO719" i="18" s="1"/>
  <c r="A720" i="18"/>
  <c r="B720" i="18" s="1"/>
  <c r="C720" i="18"/>
  <c r="A722" i="28" s="1"/>
  <c r="AA720" i="18"/>
  <c r="Y722" i="28" s="1"/>
  <c r="AJ720" i="18"/>
  <c r="AH722" i="28" s="1"/>
  <c r="A721" i="18"/>
  <c r="C721" i="18"/>
  <c r="A723" i="28" s="1"/>
  <c r="AA721" i="18"/>
  <c r="AF721" i="18" s="1"/>
  <c r="AJ721" i="18"/>
  <c r="AO721" i="18" s="1"/>
  <c r="A722" i="18"/>
  <c r="B722" i="18" s="1"/>
  <c r="C722" i="18"/>
  <c r="A724" i="28" s="1"/>
  <c r="AA722" i="18"/>
  <c r="AF722" i="18" s="1"/>
  <c r="AJ722" i="18"/>
  <c r="AO722" i="18" s="1"/>
  <c r="A723" i="18"/>
  <c r="B723" i="18" s="1"/>
  <c r="C723" i="18"/>
  <c r="A725" i="28" s="1"/>
  <c r="AA723" i="18"/>
  <c r="AF723" i="18" s="1"/>
  <c r="AJ723" i="18"/>
  <c r="AO723" i="18" s="1"/>
  <c r="A724" i="18"/>
  <c r="B724" i="18" s="1"/>
  <c r="C724" i="18"/>
  <c r="A726" i="28" s="1"/>
  <c r="AA724" i="18"/>
  <c r="AF724" i="18" s="1"/>
  <c r="AJ724" i="18"/>
  <c r="AO724" i="18" s="1"/>
  <c r="A725" i="18"/>
  <c r="C725" i="18"/>
  <c r="A727" i="28" s="1"/>
  <c r="AA725" i="18"/>
  <c r="AJ725" i="18"/>
  <c r="A726" i="18"/>
  <c r="B726" i="18" s="1"/>
  <c r="C726" i="18"/>
  <c r="A728" i="28" s="1"/>
  <c r="AA726" i="18"/>
  <c r="AF726" i="18" s="1"/>
  <c r="AJ726" i="18"/>
  <c r="A727" i="18"/>
  <c r="B727" i="18" s="1"/>
  <c r="C727" i="18"/>
  <c r="A729" i="28" s="1"/>
  <c r="AA727" i="18"/>
  <c r="AF727" i="18" s="1"/>
  <c r="AJ727" i="18"/>
  <c r="AO727" i="18" s="1"/>
  <c r="A728" i="18"/>
  <c r="B728" i="18" s="1"/>
  <c r="C728" i="18"/>
  <c r="A730" i="28" s="1"/>
  <c r="AA728" i="18"/>
  <c r="AF728" i="18" s="1"/>
  <c r="AJ728" i="18"/>
  <c r="AO728" i="18" s="1"/>
  <c r="A729" i="18"/>
  <c r="C729" i="18"/>
  <c r="A731" i="28" s="1"/>
  <c r="AA729" i="18"/>
  <c r="AF729" i="18" s="1"/>
  <c r="AJ729" i="18"/>
  <c r="AH731" i="28" s="1"/>
  <c r="A730" i="18"/>
  <c r="B730" i="18" s="1"/>
  <c r="C730" i="18"/>
  <c r="A732" i="28" s="1"/>
  <c r="AA730" i="18"/>
  <c r="AF730" i="18" s="1"/>
  <c r="AJ730" i="18"/>
  <c r="A731" i="18"/>
  <c r="B731" i="18" s="1"/>
  <c r="C731" i="18"/>
  <c r="A733" i="28" s="1"/>
  <c r="AA731" i="18"/>
  <c r="AF731" i="18" s="1"/>
  <c r="AJ731" i="18"/>
  <c r="AO731" i="18" s="1"/>
  <c r="A732" i="18"/>
  <c r="B732" i="18" s="1"/>
  <c r="C732" i="18"/>
  <c r="A734" i="28" s="1"/>
  <c r="AA732" i="18"/>
  <c r="AF732" i="18" s="1"/>
  <c r="AJ732" i="18"/>
  <c r="AO732" i="18" s="1"/>
  <c r="A733" i="18"/>
  <c r="B733" i="18" s="1"/>
  <c r="C733" i="18"/>
  <c r="A735" i="28" s="1"/>
  <c r="AA733" i="18"/>
  <c r="AF733" i="18" s="1"/>
  <c r="AJ733" i="18"/>
  <c r="AO733" i="18" s="1"/>
  <c r="A734" i="18"/>
  <c r="B734" i="18" s="1"/>
  <c r="C734" i="18"/>
  <c r="A736" i="28" s="1"/>
  <c r="AA734" i="18"/>
  <c r="AF734" i="18" s="1"/>
  <c r="AJ734" i="18"/>
  <c r="AO734" i="18" s="1"/>
  <c r="A735" i="18"/>
  <c r="C735" i="18"/>
  <c r="A737" i="28" s="1"/>
  <c r="AA735" i="18"/>
  <c r="AF735" i="18" s="1"/>
  <c r="AJ735" i="18"/>
  <c r="AO735" i="18" s="1"/>
  <c r="A736" i="18"/>
  <c r="B736" i="18" s="1"/>
  <c r="C736" i="18"/>
  <c r="A738" i="28" s="1"/>
  <c r="AA736" i="18"/>
  <c r="AF736" i="18" s="1"/>
  <c r="AJ736" i="18"/>
  <c r="AO736" i="18" s="1"/>
  <c r="A737" i="18"/>
  <c r="C737" i="18"/>
  <c r="A739" i="28" s="1"/>
  <c r="AA737" i="18"/>
  <c r="AF737" i="18" s="1"/>
  <c r="AJ737" i="18"/>
  <c r="AO737" i="18" s="1"/>
  <c r="A738" i="18"/>
  <c r="B738" i="18" s="1"/>
  <c r="C738" i="18"/>
  <c r="A740" i="28" s="1"/>
  <c r="AA738" i="18"/>
  <c r="Y740" i="28" s="1"/>
  <c r="AJ738" i="18"/>
  <c r="AH740" i="28" s="1"/>
  <c r="A739" i="18"/>
  <c r="B739" i="18" s="1"/>
  <c r="C739" i="18"/>
  <c r="A741" i="28" s="1"/>
  <c r="AA739" i="18"/>
  <c r="AF739" i="18" s="1"/>
  <c r="AJ739" i="18"/>
  <c r="AO739" i="18" s="1"/>
  <c r="A740" i="18"/>
  <c r="C740" i="18"/>
  <c r="A742" i="28" s="1"/>
  <c r="AA740" i="18"/>
  <c r="AJ740" i="18"/>
  <c r="A741" i="18"/>
  <c r="B741" i="18" s="1"/>
  <c r="C741" i="18"/>
  <c r="A743" i="28" s="1"/>
  <c r="AA741" i="18"/>
  <c r="AF741" i="18" s="1"/>
  <c r="AJ741" i="18"/>
  <c r="AO741" i="18" s="1"/>
  <c r="A742" i="18"/>
  <c r="B742" i="18" s="1"/>
  <c r="C742" i="18"/>
  <c r="A744" i="28" s="1"/>
  <c r="AA742" i="18"/>
  <c r="AF742" i="18" s="1"/>
  <c r="AJ742" i="18"/>
  <c r="AH744" i="28" s="1"/>
  <c r="A743" i="18"/>
  <c r="B743" i="18" s="1"/>
  <c r="C743" i="18"/>
  <c r="A745" i="28" s="1"/>
  <c r="AA743" i="18"/>
  <c r="AF743" i="18" s="1"/>
  <c r="AJ743" i="18"/>
  <c r="AO743" i="18" s="1"/>
  <c r="A744" i="18"/>
  <c r="B744" i="18" s="1"/>
  <c r="C744" i="18"/>
  <c r="A746" i="28" s="1"/>
  <c r="AA744" i="18"/>
  <c r="AF744" i="18" s="1"/>
  <c r="AJ744" i="18"/>
  <c r="AH746" i="28" s="1"/>
  <c r="A745" i="18"/>
  <c r="C745" i="18"/>
  <c r="A747" i="28" s="1"/>
  <c r="AA745" i="18"/>
  <c r="Y747" i="28" s="1"/>
  <c r="AJ745" i="18"/>
  <c r="AH747" i="28" s="1"/>
  <c r="A746" i="18"/>
  <c r="B746" i="18" s="1"/>
  <c r="C746" i="18"/>
  <c r="A748" i="28" s="1"/>
  <c r="AA746" i="18"/>
  <c r="AF746" i="18" s="1"/>
  <c r="AJ746" i="18"/>
  <c r="AO746" i="18" s="1"/>
  <c r="A747" i="18"/>
  <c r="C747" i="18"/>
  <c r="A749" i="28" s="1"/>
  <c r="AA747" i="18"/>
  <c r="AF747" i="18" s="1"/>
  <c r="AJ747" i="18"/>
  <c r="AO747" i="18" s="1"/>
  <c r="A748" i="18"/>
  <c r="B748" i="18" s="1"/>
  <c r="C748" i="18"/>
  <c r="A750" i="28" s="1"/>
  <c r="AA748" i="18"/>
  <c r="AF748" i="18" s="1"/>
  <c r="AJ748" i="18"/>
  <c r="AO748" i="18" s="1"/>
  <c r="A749" i="18"/>
  <c r="B749" i="18" s="1"/>
  <c r="C749" i="18"/>
  <c r="A751" i="28" s="1"/>
  <c r="AA749" i="18"/>
  <c r="AF749" i="18" s="1"/>
  <c r="AJ749" i="18"/>
  <c r="AO749" i="18" s="1"/>
  <c r="A750" i="18"/>
  <c r="B750" i="18" s="1"/>
  <c r="C750" i="18"/>
  <c r="A752" i="28" s="1"/>
  <c r="AA750" i="18"/>
  <c r="AF750" i="18" s="1"/>
  <c r="AJ750" i="18"/>
  <c r="AO750" i="18" s="1"/>
  <c r="A751" i="18"/>
  <c r="B751" i="18" s="1"/>
  <c r="C751" i="18"/>
  <c r="A753" i="28" s="1"/>
  <c r="AA751" i="18"/>
  <c r="AF751" i="18" s="1"/>
  <c r="AJ751" i="18"/>
  <c r="A752" i="18"/>
  <c r="B752" i="18" s="1"/>
  <c r="C752" i="18"/>
  <c r="A754" i="28" s="1"/>
  <c r="AA752" i="18"/>
  <c r="Y754" i="28" s="1"/>
  <c r="AJ752" i="18"/>
  <c r="AH754" i="28" s="1"/>
  <c r="A753" i="18"/>
  <c r="B753" i="18" s="1"/>
  <c r="C753" i="18"/>
  <c r="A755" i="28" s="1"/>
  <c r="AA753" i="18"/>
  <c r="AF753" i="18" s="1"/>
  <c r="AJ753" i="18"/>
  <c r="AO753" i="18" s="1"/>
  <c r="A754" i="18"/>
  <c r="B754" i="18" s="1"/>
  <c r="C754" i="18"/>
  <c r="A756" i="28" s="1"/>
  <c r="AA754" i="18"/>
  <c r="AF754" i="18" s="1"/>
  <c r="AJ754" i="18"/>
  <c r="AO754" i="18" s="1"/>
  <c r="A755" i="18"/>
  <c r="C755" i="18"/>
  <c r="A757" i="28" s="1"/>
  <c r="AA755" i="18"/>
  <c r="AJ755" i="18"/>
  <c r="A756" i="18"/>
  <c r="B756" i="18" s="1"/>
  <c r="C756" i="18"/>
  <c r="A758" i="28" s="1"/>
  <c r="AA756" i="18"/>
  <c r="AF756" i="18" s="1"/>
  <c r="AJ756" i="18"/>
  <c r="AO756" i="18" s="1"/>
  <c r="A757" i="18"/>
  <c r="B757" i="18" s="1"/>
  <c r="C757" i="18"/>
  <c r="A759" i="28" s="1"/>
  <c r="AA757" i="18"/>
  <c r="AF757" i="18" s="1"/>
  <c r="AJ757" i="18"/>
  <c r="AO757" i="18" s="1"/>
  <c r="A758" i="18"/>
  <c r="B758" i="18" s="1"/>
  <c r="C758" i="18"/>
  <c r="A760" i="28" s="1"/>
  <c r="AA758" i="18"/>
  <c r="AF758" i="18" s="1"/>
  <c r="AJ758" i="18"/>
  <c r="A759" i="18"/>
  <c r="B759" i="18" s="1"/>
  <c r="C759" i="18"/>
  <c r="A761" i="28" s="1"/>
  <c r="AA759" i="18"/>
  <c r="AF759" i="18" s="1"/>
  <c r="AJ759" i="18"/>
  <c r="AO759" i="18" s="1"/>
  <c r="A760" i="18"/>
  <c r="B760" i="18" s="1"/>
  <c r="C760" i="18"/>
  <c r="A762" i="28" s="1"/>
  <c r="AA760" i="18"/>
  <c r="AF760" i="18" s="1"/>
  <c r="AJ760" i="18"/>
  <c r="AO760" i="18" s="1"/>
  <c r="A761" i="18"/>
  <c r="B761" i="18" s="1"/>
  <c r="C761" i="18"/>
  <c r="A763" i="28" s="1"/>
  <c r="AA761" i="18"/>
  <c r="AF761" i="18" s="1"/>
  <c r="AJ761" i="18"/>
  <c r="AO761" i="18" s="1"/>
  <c r="A762" i="18"/>
  <c r="B762" i="18" s="1"/>
  <c r="C762" i="18"/>
  <c r="A764" i="28" s="1"/>
  <c r="AA762" i="18"/>
  <c r="AF762" i="18" s="1"/>
  <c r="AJ762" i="18"/>
  <c r="AO762" i="18" s="1"/>
  <c r="A763" i="18"/>
  <c r="B763" i="18" s="1"/>
  <c r="C763" i="18"/>
  <c r="A765" i="28" s="1"/>
  <c r="AA763" i="18"/>
  <c r="AF763" i="18" s="1"/>
  <c r="AJ763" i="18"/>
  <c r="AO763" i="18" s="1"/>
  <c r="A764" i="18"/>
  <c r="B764" i="18" s="1"/>
  <c r="C764" i="18"/>
  <c r="A766" i="28" s="1"/>
  <c r="AA764" i="18"/>
  <c r="AF764" i="18" s="1"/>
  <c r="AJ764" i="18"/>
  <c r="A765" i="18"/>
  <c r="B765" i="18" s="1"/>
  <c r="C765" i="18"/>
  <c r="A767" i="28" s="1"/>
  <c r="AA765" i="18"/>
  <c r="AF765" i="18" s="1"/>
  <c r="AJ765" i="18"/>
  <c r="A766" i="18"/>
  <c r="B766" i="18" s="1"/>
  <c r="C766" i="18"/>
  <c r="A768" i="28" s="1"/>
  <c r="AA766" i="18"/>
  <c r="AF766" i="18" s="1"/>
  <c r="AJ766" i="18"/>
  <c r="AO766" i="18" s="1"/>
  <c r="A767" i="18"/>
  <c r="B767" i="18" s="1"/>
  <c r="C767" i="18"/>
  <c r="A769" i="28" s="1"/>
  <c r="AA767" i="18"/>
  <c r="Y769" i="28" s="1"/>
  <c r="AJ767" i="18"/>
  <c r="A768" i="18"/>
  <c r="B768" i="18" s="1"/>
  <c r="C768" i="18"/>
  <c r="A770" i="28" s="1"/>
  <c r="AA768" i="18"/>
  <c r="AF768" i="18" s="1"/>
  <c r="AJ768" i="18"/>
  <c r="AO768" i="18" s="1"/>
  <c r="A769" i="18"/>
  <c r="B769" i="18" s="1"/>
  <c r="C769" i="18"/>
  <c r="A771" i="28" s="1"/>
  <c r="AA769" i="18"/>
  <c r="AF769" i="18" s="1"/>
  <c r="AJ769" i="18"/>
  <c r="A770" i="18"/>
  <c r="C770" i="18"/>
  <c r="A772" i="28" s="1"/>
  <c r="AA770" i="18"/>
  <c r="AJ770" i="18"/>
  <c r="AO770" i="18" s="1"/>
  <c r="A771" i="18"/>
  <c r="B771" i="18" s="1"/>
  <c r="C771" i="18"/>
  <c r="A773" i="28" s="1"/>
  <c r="AA771" i="18"/>
  <c r="AF771" i="18" s="1"/>
  <c r="AJ771" i="18"/>
  <c r="AO771" i="18" s="1"/>
  <c r="A772" i="18"/>
  <c r="B772" i="18" s="1"/>
  <c r="C772" i="18"/>
  <c r="A774" i="28" s="1"/>
  <c r="AA772" i="18"/>
  <c r="AF772" i="18" s="1"/>
  <c r="AJ772" i="18"/>
  <c r="AO772" i="18" s="1"/>
  <c r="A773" i="18"/>
  <c r="B773" i="18" s="1"/>
  <c r="C773" i="18"/>
  <c r="A775" i="28" s="1"/>
  <c r="AA773" i="18"/>
  <c r="AF773" i="18" s="1"/>
  <c r="AJ773" i="18"/>
  <c r="AO773" i="18" s="1"/>
  <c r="A774" i="18"/>
  <c r="B774" i="18" s="1"/>
  <c r="C774" i="18"/>
  <c r="A776" i="28" s="1"/>
  <c r="AA774" i="18"/>
  <c r="AF774" i="18" s="1"/>
  <c r="AJ774" i="18"/>
  <c r="AO774" i="18" s="1"/>
  <c r="A775" i="18"/>
  <c r="B775" i="18" s="1"/>
  <c r="C775" i="18"/>
  <c r="A777" i="28" s="1"/>
  <c r="AA775" i="18"/>
  <c r="AF775" i="18" s="1"/>
  <c r="AJ775" i="18"/>
  <c r="AO775" i="18" s="1"/>
  <c r="A776" i="18"/>
  <c r="B776" i="18" s="1"/>
  <c r="C776" i="18"/>
  <c r="A778" i="28" s="1"/>
  <c r="AA776" i="18"/>
  <c r="AF776" i="18" s="1"/>
  <c r="AJ776" i="18"/>
  <c r="AO776" i="18" s="1"/>
  <c r="A777" i="18"/>
  <c r="B777" i="18" s="1"/>
  <c r="C777" i="18"/>
  <c r="A779" i="28" s="1"/>
  <c r="AA777" i="18"/>
  <c r="Y779" i="28" s="1"/>
  <c r="AJ777" i="18"/>
  <c r="AH779" i="28" s="1"/>
  <c r="A778" i="18"/>
  <c r="B778" i="18" s="1"/>
  <c r="C778" i="18"/>
  <c r="A780" i="28" s="1"/>
  <c r="AA778" i="18"/>
  <c r="AF778" i="18" s="1"/>
  <c r="AJ778" i="18"/>
  <c r="AO778" i="18" s="1"/>
  <c r="A779" i="18"/>
  <c r="B779" i="18" s="1"/>
  <c r="C779" i="18"/>
  <c r="A781" i="28" s="1"/>
  <c r="AA779" i="18"/>
  <c r="AF779" i="18" s="1"/>
  <c r="AJ779" i="18"/>
  <c r="A780" i="18"/>
  <c r="B780" i="18" s="1"/>
  <c r="C780" i="18"/>
  <c r="A782" i="28" s="1"/>
  <c r="AA780" i="18"/>
  <c r="AF780" i="18" s="1"/>
  <c r="AJ780" i="18"/>
  <c r="AO780" i="18" s="1"/>
  <c r="A781" i="18"/>
  <c r="B781" i="18" s="1"/>
  <c r="C781" i="18"/>
  <c r="A783" i="28" s="1"/>
  <c r="AA781" i="18"/>
  <c r="AF781" i="18" s="1"/>
  <c r="AJ781" i="18"/>
  <c r="AO781" i="18" s="1"/>
  <c r="A782" i="18"/>
  <c r="B782" i="18" s="1"/>
  <c r="C782" i="18"/>
  <c r="A784" i="28" s="1"/>
  <c r="AA782" i="18"/>
  <c r="AF782" i="18" s="1"/>
  <c r="AJ782" i="18"/>
  <c r="AO782" i="18" s="1"/>
  <c r="A783" i="18"/>
  <c r="B783" i="18" s="1"/>
  <c r="C783" i="18"/>
  <c r="A785" i="28" s="1"/>
  <c r="AA783" i="18"/>
  <c r="Y785" i="28" s="1"/>
  <c r="AJ783" i="18"/>
  <c r="AH785" i="28" s="1"/>
  <c r="A784" i="18"/>
  <c r="C784" i="18"/>
  <c r="A786" i="28" s="1"/>
  <c r="AA784" i="18"/>
  <c r="AJ784" i="18"/>
  <c r="AH786" i="28" s="1"/>
  <c r="A785" i="18"/>
  <c r="C785" i="18"/>
  <c r="A787" i="28" s="1"/>
  <c r="AA785" i="18"/>
  <c r="AJ785" i="18"/>
  <c r="A786" i="18"/>
  <c r="B786" i="18" s="1"/>
  <c r="C786" i="18"/>
  <c r="A788" i="28" s="1"/>
  <c r="AA786" i="18"/>
  <c r="AF786" i="18" s="1"/>
  <c r="AJ786" i="18"/>
  <c r="AO786" i="18" s="1"/>
  <c r="A787" i="18"/>
  <c r="B787" i="18" s="1"/>
  <c r="C787" i="18"/>
  <c r="A789" i="28" s="1"/>
  <c r="AA787" i="18"/>
  <c r="AF787" i="18" s="1"/>
  <c r="AJ787" i="18"/>
  <c r="AO787" i="18" s="1"/>
  <c r="A788" i="18"/>
  <c r="B788" i="18" s="1"/>
  <c r="C788" i="18"/>
  <c r="A790" i="28" s="1"/>
  <c r="AA788" i="18"/>
  <c r="AF788" i="18" s="1"/>
  <c r="AJ788" i="18"/>
  <c r="AO788" i="18" s="1"/>
  <c r="A789" i="18"/>
  <c r="B789" i="18" s="1"/>
  <c r="C789" i="18"/>
  <c r="A791" i="28" s="1"/>
  <c r="AA789" i="18"/>
  <c r="AF789" i="18" s="1"/>
  <c r="AJ789" i="18"/>
  <c r="AO789" i="18" s="1"/>
  <c r="A790" i="18"/>
  <c r="B790" i="18" s="1"/>
  <c r="C790" i="18"/>
  <c r="A792" i="28" s="1"/>
  <c r="AA790" i="18"/>
  <c r="AF790" i="18" s="1"/>
  <c r="AJ790" i="18"/>
  <c r="AO790" i="18" s="1"/>
  <c r="A791" i="18"/>
  <c r="B791" i="18" s="1"/>
  <c r="C791" i="18"/>
  <c r="A793" i="28" s="1"/>
  <c r="AA791" i="18"/>
  <c r="AF791" i="18" s="1"/>
  <c r="AJ791" i="18"/>
  <c r="AO791" i="18" s="1"/>
  <c r="A792" i="18"/>
  <c r="C792" i="18"/>
  <c r="A794" i="28" s="1"/>
  <c r="AA792" i="18"/>
  <c r="AF792" i="18" s="1"/>
  <c r="AJ792" i="18"/>
  <c r="A793" i="18"/>
  <c r="B793" i="18" s="1"/>
  <c r="C793" i="18"/>
  <c r="A795" i="28" s="1"/>
  <c r="AA793" i="18"/>
  <c r="AF793" i="18" s="1"/>
  <c r="AJ793" i="18"/>
  <c r="AO793" i="18" s="1"/>
  <c r="A794" i="18"/>
  <c r="B794" i="18" s="1"/>
  <c r="C794" i="18"/>
  <c r="A796" i="28" s="1"/>
  <c r="AA794" i="18"/>
  <c r="AF794" i="18" s="1"/>
  <c r="AJ794" i="18"/>
  <c r="A795" i="18"/>
  <c r="B795" i="18" s="1"/>
  <c r="C795" i="18"/>
  <c r="A797" i="28" s="1"/>
  <c r="AA795" i="18"/>
  <c r="AF795" i="18" s="1"/>
  <c r="AJ795" i="18"/>
  <c r="AO795" i="18" s="1"/>
  <c r="A796" i="18"/>
  <c r="B796" i="18" s="1"/>
  <c r="C796" i="18"/>
  <c r="A798" i="28" s="1"/>
  <c r="AA796" i="18"/>
  <c r="AF796" i="18" s="1"/>
  <c r="AJ796" i="18"/>
  <c r="AO796" i="18" s="1"/>
  <c r="A797" i="18"/>
  <c r="B797" i="18" s="1"/>
  <c r="C797" i="18"/>
  <c r="A799" i="28" s="1"/>
  <c r="AA797" i="18"/>
  <c r="AJ797" i="18"/>
  <c r="AO797" i="18" s="1"/>
  <c r="A798" i="18"/>
  <c r="B798" i="18" s="1"/>
  <c r="C798" i="18"/>
  <c r="A800" i="28" s="1"/>
  <c r="AA798" i="18"/>
  <c r="AF798" i="18" s="1"/>
  <c r="AJ798" i="18"/>
  <c r="AO798" i="18" s="1"/>
  <c r="A799" i="18"/>
  <c r="B799" i="18" s="1"/>
  <c r="C799" i="18"/>
  <c r="A801" i="28" s="1"/>
  <c r="AA799" i="18"/>
  <c r="AF799" i="18" s="1"/>
  <c r="AJ799" i="18"/>
  <c r="AO799" i="18" s="1"/>
  <c r="A800" i="18"/>
  <c r="A55" i="5" s="1"/>
  <c r="C800" i="18"/>
  <c r="A802" i="28" s="1"/>
  <c r="AA800" i="18"/>
  <c r="AJ800" i="18"/>
  <c r="A801" i="18"/>
  <c r="B801" i="18" s="1"/>
  <c r="C801" i="18"/>
  <c r="A803" i="28" s="1"/>
  <c r="AA801" i="18"/>
  <c r="AF801" i="18" s="1"/>
  <c r="AJ801" i="18"/>
  <c r="AO801" i="18" s="1"/>
  <c r="A802" i="18"/>
  <c r="B802" i="18" s="1"/>
  <c r="C802" i="18"/>
  <c r="A804" i="28" s="1"/>
  <c r="AA802" i="18"/>
  <c r="Y804" i="28" s="1"/>
  <c r="AJ802" i="18"/>
  <c r="AH804" i="28" s="1"/>
  <c r="A803" i="18"/>
  <c r="C803" i="18"/>
  <c r="A805" i="28" s="1"/>
  <c r="AA803" i="18"/>
  <c r="AF803" i="18" s="1"/>
  <c r="AJ803" i="18"/>
  <c r="AO803" i="18" s="1"/>
  <c r="A804" i="18"/>
  <c r="B804" i="18" s="1"/>
  <c r="C804" i="18"/>
  <c r="A806" i="28" s="1"/>
  <c r="AA804" i="18"/>
  <c r="AF804" i="18" s="1"/>
  <c r="AJ804" i="18"/>
  <c r="AO804" i="18" s="1"/>
  <c r="A805" i="18"/>
  <c r="B805" i="18" s="1"/>
  <c r="C805" i="18"/>
  <c r="A807" i="28" s="1"/>
  <c r="AA805" i="18"/>
  <c r="AF805" i="18" s="1"/>
  <c r="AJ805" i="18"/>
  <c r="AO805" i="18" s="1"/>
  <c r="A806" i="18"/>
  <c r="B806" i="18" s="1"/>
  <c r="C806" i="18"/>
  <c r="A808" i="28" s="1"/>
  <c r="AA806" i="18"/>
  <c r="AF806" i="18" s="1"/>
  <c r="AJ806" i="18"/>
  <c r="AO806" i="18" s="1"/>
  <c r="A807" i="18"/>
  <c r="B807" i="18" s="1"/>
  <c r="C807" i="18"/>
  <c r="A809" i="28" s="1"/>
  <c r="AA807" i="18"/>
  <c r="AF807" i="18" s="1"/>
  <c r="AJ807" i="18"/>
  <c r="AO807" i="18" s="1"/>
  <c r="A808" i="18"/>
  <c r="C808" i="18"/>
  <c r="A810" i="28" s="1"/>
  <c r="AA808" i="18"/>
  <c r="AF808" i="18" s="1"/>
  <c r="AJ808" i="18"/>
  <c r="A809" i="18"/>
  <c r="B809" i="18" s="1"/>
  <c r="C809" i="18"/>
  <c r="A811" i="28" s="1"/>
  <c r="AA809" i="18"/>
  <c r="Y811" i="28" s="1"/>
  <c r="AJ809" i="18"/>
  <c r="AH811" i="28" s="1"/>
  <c r="A810" i="18"/>
  <c r="B810" i="18" s="1"/>
  <c r="C810" i="18"/>
  <c r="A812" i="28" s="1"/>
  <c r="AA810" i="18"/>
  <c r="AF810" i="18" s="1"/>
  <c r="AJ810" i="18"/>
  <c r="AO810" i="18" s="1"/>
  <c r="A811" i="18"/>
  <c r="B811" i="18" s="1"/>
  <c r="C811" i="18"/>
  <c r="A813" i="28" s="1"/>
  <c r="AA811" i="18"/>
  <c r="AF811" i="18" s="1"/>
  <c r="AJ811" i="18"/>
  <c r="AO811" i="18" s="1"/>
  <c r="A812" i="18"/>
  <c r="B812" i="18" s="1"/>
  <c r="C812" i="18"/>
  <c r="A814" i="28" s="1"/>
  <c r="AA812" i="18"/>
  <c r="AF812" i="18" s="1"/>
  <c r="AJ812" i="18"/>
  <c r="AO812" i="18" s="1"/>
  <c r="A813" i="18"/>
  <c r="B813" i="18" s="1"/>
  <c r="C813" i="18"/>
  <c r="A815" i="28" s="1"/>
  <c r="AA813" i="18"/>
  <c r="AF813" i="18" s="1"/>
  <c r="AJ813" i="18"/>
  <c r="AO813" i="18" s="1"/>
  <c r="A814" i="18"/>
  <c r="B814" i="18" s="1"/>
  <c r="C814" i="18"/>
  <c r="A816" i="28" s="1"/>
  <c r="AA814" i="18"/>
  <c r="AF814" i="18" s="1"/>
  <c r="AJ814" i="18"/>
  <c r="AO814" i="18" s="1"/>
  <c r="A815" i="18"/>
  <c r="C815" i="18"/>
  <c r="A817" i="28" s="1"/>
  <c r="AA815" i="18"/>
  <c r="AJ815" i="18"/>
  <c r="A816" i="18"/>
  <c r="C816" i="18"/>
  <c r="A818" i="28" s="1"/>
  <c r="AA816" i="18"/>
  <c r="Y818" i="28" s="1"/>
  <c r="AJ816" i="18"/>
  <c r="A817" i="18"/>
  <c r="B817" i="18" s="1"/>
  <c r="C817" i="18"/>
  <c r="A819" i="28" s="1"/>
  <c r="AA817" i="18"/>
  <c r="AF817" i="18" s="1"/>
  <c r="AJ817" i="18"/>
  <c r="AO817" i="18" s="1"/>
  <c r="A818" i="18"/>
  <c r="B818" i="18" s="1"/>
  <c r="C818" i="18"/>
  <c r="A820" i="28" s="1"/>
  <c r="AA818" i="18"/>
  <c r="AF818" i="18" s="1"/>
  <c r="AJ818" i="18"/>
  <c r="AO818" i="18" s="1"/>
  <c r="A819" i="18"/>
  <c r="B819" i="18" s="1"/>
  <c r="C819" i="18"/>
  <c r="A821" i="28" s="1"/>
  <c r="AA819" i="18"/>
  <c r="AF819" i="18" s="1"/>
  <c r="AJ819" i="18"/>
  <c r="AO819" i="18" s="1"/>
  <c r="A820" i="18"/>
  <c r="B820" i="18" s="1"/>
  <c r="C820" i="18"/>
  <c r="A822" i="28" s="1"/>
  <c r="AA820" i="18"/>
  <c r="AF820" i="18" s="1"/>
  <c r="AJ820" i="18"/>
  <c r="AO820" i="18" s="1"/>
  <c r="A821" i="18"/>
  <c r="B821" i="18" s="1"/>
  <c r="C821" i="18"/>
  <c r="A823" i="28" s="1"/>
  <c r="AA821" i="18"/>
  <c r="AF821" i="18" s="1"/>
  <c r="AJ821" i="18"/>
  <c r="AO821" i="18" s="1"/>
  <c r="A822" i="18"/>
  <c r="B822" i="18" s="1"/>
  <c r="C822" i="18"/>
  <c r="A824" i="28" s="1"/>
  <c r="AA822" i="18"/>
  <c r="AF822" i="18" s="1"/>
  <c r="AJ822" i="18"/>
  <c r="AO822" i="18" s="1"/>
  <c r="A823" i="18"/>
  <c r="B823" i="18" s="1"/>
  <c r="C823" i="18"/>
  <c r="A825" i="28" s="1"/>
  <c r="AA823" i="18"/>
  <c r="AF823" i="18" s="1"/>
  <c r="AJ823" i="18"/>
  <c r="AO823" i="18" s="1"/>
  <c r="A824" i="18"/>
  <c r="C824" i="18"/>
  <c r="A826" i="28" s="1"/>
  <c r="AA824" i="18"/>
  <c r="AF824" i="18" s="1"/>
  <c r="AJ824" i="18"/>
  <c r="A825" i="18"/>
  <c r="B825" i="18" s="1"/>
  <c r="C825" i="18"/>
  <c r="A827" i="28" s="1"/>
  <c r="AA825" i="18"/>
  <c r="AF825" i="18" s="1"/>
  <c r="AJ825" i="18"/>
  <c r="AO825" i="18" s="1"/>
  <c r="A826" i="18"/>
  <c r="B826" i="18" s="1"/>
  <c r="C826" i="18"/>
  <c r="A828" i="28" s="1"/>
  <c r="AA826" i="18"/>
  <c r="AF826" i="18" s="1"/>
  <c r="AJ826" i="18"/>
  <c r="AO826" i="18" s="1"/>
  <c r="A827" i="18"/>
  <c r="B827" i="18" s="1"/>
  <c r="C827" i="18"/>
  <c r="A829" i="28" s="1"/>
  <c r="AA827" i="18"/>
  <c r="AF827" i="18" s="1"/>
  <c r="AJ827" i="18"/>
  <c r="AO827" i="18" s="1"/>
  <c r="A828" i="18"/>
  <c r="B828" i="18" s="1"/>
  <c r="C828" i="18"/>
  <c r="A830" i="28" s="1"/>
  <c r="AA828" i="18"/>
  <c r="AF828" i="18" s="1"/>
  <c r="AJ828" i="18"/>
  <c r="AO828" i="18" s="1"/>
  <c r="A829" i="18"/>
  <c r="B829" i="18" s="1"/>
  <c r="C829" i="18"/>
  <c r="A831" i="28" s="1"/>
  <c r="AA829" i="18"/>
  <c r="AF829" i="18" s="1"/>
  <c r="AJ829" i="18"/>
  <c r="AO829" i="18" s="1"/>
  <c r="A830" i="18"/>
  <c r="C830" i="18"/>
  <c r="A832" i="28" s="1"/>
  <c r="AA830" i="18"/>
  <c r="AJ830" i="18"/>
  <c r="A831" i="18"/>
  <c r="B831" i="18" s="1"/>
  <c r="C831" i="18"/>
  <c r="A833" i="28" s="1"/>
  <c r="AA831" i="18"/>
  <c r="AF831" i="18" s="1"/>
  <c r="AJ831" i="18"/>
  <c r="AO831" i="18" s="1"/>
  <c r="A832" i="18"/>
  <c r="C832" i="18"/>
  <c r="A834" i="28" s="1"/>
  <c r="AA832" i="18"/>
  <c r="AF832" i="18" s="1"/>
  <c r="AJ832" i="18"/>
  <c r="AO832" i="18" s="1"/>
  <c r="A833" i="18"/>
  <c r="B833" i="18" s="1"/>
  <c r="C833" i="18"/>
  <c r="A835" i="28" s="1"/>
  <c r="AA833" i="18"/>
  <c r="AF833" i="18" s="1"/>
  <c r="AJ833" i="18"/>
  <c r="A834" i="18"/>
  <c r="B834" i="18" s="1"/>
  <c r="C834" i="18"/>
  <c r="A836" i="28" s="1"/>
  <c r="AA834" i="18"/>
  <c r="Y836" i="28" s="1"/>
  <c r="AJ834" i="18"/>
  <c r="AH836" i="28" s="1"/>
  <c r="A835" i="18"/>
  <c r="B835" i="18" s="1"/>
  <c r="C835" i="18"/>
  <c r="A837" i="28" s="1"/>
  <c r="AA835" i="18"/>
  <c r="AF835" i="18" s="1"/>
  <c r="AJ835" i="18"/>
  <c r="AO835" i="18" s="1"/>
  <c r="A836" i="18"/>
  <c r="B836" i="18" s="1"/>
  <c r="C836" i="18"/>
  <c r="A838" i="28" s="1"/>
  <c r="AA836" i="18"/>
  <c r="AF836" i="18" s="1"/>
  <c r="AJ836" i="18"/>
  <c r="AO836" i="18" s="1"/>
  <c r="A837" i="18"/>
  <c r="B837" i="18" s="1"/>
  <c r="C837" i="18"/>
  <c r="A839" i="28" s="1"/>
  <c r="AA837" i="18"/>
  <c r="AF837" i="18" s="1"/>
  <c r="AJ837" i="18"/>
  <c r="AO837" i="18" s="1"/>
  <c r="A838" i="18"/>
  <c r="B838" i="18" s="1"/>
  <c r="C838" i="18"/>
  <c r="A840" i="28" s="1"/>
  <c r="AA838" i="18"/>
  <c r="AF838" i="18" s="1"/>
  <c r="AJ838" i="18"/>
  <c r="A839" i="18"/>
  <c r="B839" i="18" s="1"/>
  <c r="C839" i="18"/>
  <c r="A841" i="28" s="1"/>
  <c r="AA839" i="18"/>
  <c r="AF839" i="18" s="1"/>
  <c r="AJ839" i="18"/>
  <c r="AO839" i="18" s="1"/>
  <c r="A840" i="18"/>
  <c r="C840" i="18"/>
  <c r="A842" i="28" s="1"/>
  <c r="AA840" i="18"/>
  <c r="AF840" i="18" s="1"/>
  <c r="AJ840" i="18"/>
  <c r="AO840" i="18" s="1"/>
  <c r="A841" i="18"/>
  <c r="B841" i="18" s="1"/>
  <c r="C841" i="18"/>
  <c r="A843" i="28" s="1"/>
  <c r="AA841" i="18"/>
  <c r="Y843" i="28" s="1"/>
  <c r="AJ841" i="18"/>
  <c r="AH843" i="28" s="1"/>
  <c r="A842" i="18"/>
  <c r="B842" i="18" s="1"/>
  <c r="C842" i="18"/>
  <c r="A844" i="28" s="1"/>
  <c r="AA842" i="18"/>
  <c r="AF842" i="18" s="1"/>
  <c r="AJ842" i="18"/>
  <c r="AO842" i="18" s="1"/>
  <c r="A843" i="18"/>
  <c r="B843" i="18" s="1"/>
  <c r="C843" i="18"/>
  <c r="A845" i="28" s="1"/>
  <c r="AA843" i="18"/>
  <c r="AF843" i="18" s="1"/>
  <c r="AJ843" i="18"/>
  <c r="AO843" i="18" s="1"/>
  <c r="A844" i="18"/>
  <c r="B844" i="18" s="1"/>
  <c r="C844" i="18"/>
  <c r="A846" i="28" s="1"/>
  <c r="AA844" i="18"/>
  <c r="AJ844" i="18"/>
  <c r="AO844" i="18" s="1"/>
  <c r="A845" i="18"/>
  <c r="C845" i="18"/>
  <c r="A847" i="28" s="1"/>
  <c r="AA845" i="18"/>
  <c r="AJ845" i="18"/>
  <c r="A846" i="18"/>
  <c r="B846" i="18" s="1"/>
  <c r="C846" i="18"/>
  <c r="A848" i="28" s="1"/>
  <c r="AA846" i="18"/>
  <c r="AF846" i="18" s="1"/>
  <c r="AJ846" i="18"/>
  <c r="AO846" i="18" s="1"/>
  <c r="A847" i="18"/>
  <c r="B847" i="18" s="1"/>
  <c r="C847" i="18"/>
  <c r="A849" i="28" s="1"/>
  <c r="AA847" i="18"/>
  <c r="AF847" i="18" s="1"/>
  <c r="AJ847" i="18"/>
  <c r="AO847" i="18" s="1"/>
  <c r="A848" i="18"/>
  <c r="C848" i="18"/>
  <c r="A850" i="28" s="1"/>
  <c r="AA848" i="18"/>
  <c r="Y850" i="28" s="1"/>
  <c r="AJ848" i="18"/>
  <c r="AH850" i="28" s="1"/>
  <c r="A849" i="18"/>
  <c r="B849" i="18" s="1"/>
  <c r="C849" i="18"/>
  <c r="A851" i="28" s="1"/>
  <c r="AA849" i="18"/>
  <c r="AF849" i="18" s="1"/>
  <c r="AJ849" i="18"/>
  <c r="AO849" i="18" s="1"/>
  <c r="A850" i="18"/>
  <c r="B850" i="18" s="1"/>
  <c r="C850" i="18"/>
  <c r="A852" i="28" s="1"/>
  <c r="AA850" i="18"/>
  <c r="AF850" i="18" s="1"/>
  <c r="AJ850" i="18"/>
  <c r="AO850" i="18" s="1"/>
  <c r="A851" i="18"/>
  <c r="B851" i="18" s="1"/>
  <c r="C851" i="18"/>
  <c r="A853" i="28" s="1"/>
  <c r="AA851" i="18"/>
  <c r="AF851" i="18" s="1"/>
  <c r="AJ851" i="18"/>
  <c r="A852" i="18"/>
  <c r="B852" i="18" s="1"/>
  <c r="C852" i="18"/>
  <c r="A854" i="28" s="1"/>
  <c r="AA852" i="18"/>
  <c r="AF852" i="18" s="1"/>
  <c r="AJ852" i="18"/>
  <c r="AO852" i="18" s="1"/>
  <c r="A853" i="18"/>
  <c r="B853" i="18" s="1"/>
  <c r="C853" i="18"/>
  <c r="A855" i="28" s="1"/>
  <c r="AA853" i="18"/>
  <c r="AF853" i="18" s="1"/>
  <c r="AJ853" i="18"/>
  <c r="AO853" i="18" s="1"/>
  <c r="A854" i="18"/>
  <c r="B854" i="18" s="1"/>
  <c r="C854" i="18"/>
  <c r="A856" i="28" s="1"/>
  <c r="AA854" i="18"/>
  <c r="AF854" i="18" s="1"/>
  <c r="AJ854" i="18"/>
  <c r="A855" i="18"/>
  <c r="B855" i="18" s="1"/>
  <c r="C855" i="18"/>
  <c r="A857" i="28" s="1"/>
  <c r="AA855" i="18"/>
  <c r="AF855" i="18" s="1"/>
  <c r="AJ855" i="18"/>
  <c r="A856" i="18"/>
  <c r="C856" i="18"/>
  <c r="A858" i="28" s="1"/>
  <c r="AA856" i="18"/>
  <c r="AF856" i="18" s="1"/>
  <c r="AJ856" i="18"/>
  <c r="AO856" i="18" s="1"/>
  <c r="A857" i="18"/>
  <c r="B857" i="18" s="1"/>
  <c r="C857" i="18"/>
  <c r="A859" i="28" s="1"/>
  <c r="AA857" i="18"/>
  <c r="AF857" i="18" s="1"/>
  <c r="AJ857" i="18"/>
  <c r="AO857" i="18" s="1"/>
  <c r="A858" i="18"/>
  <c r="B858" i="18" s="1"/>
  <c r="C858" i="18"/>
  <c r="A860" i="28" s="1"/>
  <c r="AA858" i="18"/>
  <c r="AF858" i="18" s="1"/>
  <c r="AJ858" i="18"/>
  <c r="A859" i="18"/>
  <c r="B859" i="18" s="1"/>
  <c r="C859" i="18"/>
  <c r="A861" i="28" s="1"/>
  <c r="AA859" i="18"/>
  <c r="AF859" i="18" s="1"/>
  <c r="AJ859" i="18"/>
  <c r="AO859" i="18" s="1"/>
  <c r="A860" i="18"/>
  <c r="C860" i="18"/>
  <c r="A862" i="28" s="1"/>
  <c r="AA860" i="18"/>
  <c r="AJ860" i="18"/>
  <c r="A861" i="18"/>
  <c r="B861" i="18" s="1"/>
  <c r="C861" i="18"/>
  <c r="A863" i="28" s="1"/>
  <c r="AA861" i="18"/>
  <c r="AF861" i="18" s="1"/>
  <c r="AJ861" i="18"/>
  <c r="A862" i="18"/>
  <c r="B862" i="18" s="1"/>
  <c r="C862" i="18"/>
  <c r="A864" i="28" s="1"/>
  <c r="AA862" i="18"/>
  <c r="AF862" i="18" s="1"/>
  <c r="AJ862" i="18"/>
  <c r="AO862" i="18" s="1"/>
  <c r="A863" i="18"/>
  <c r="B863" i="18" s="1"/>
  <c r="C863" i="18"/>
  <c r="A865" i="28" s="1"/>
  <c r="AA863" i="18"/>
  <c r="AF863" i="18" s="1"/>
  <c r="AJ863" i="18"/>
  <c r="AO863" i="18" s="1"/>
  <c r="A864" i="18"/>
  <c r="B864" i="18" s="1"/>
  <c r="C864" i="18"/>
  <c r="A866" i="28" s="1"/>
  <c r="AA864" i="18"/>
  <c r="AF864" i="18" s="1"/>
  <c r="AJ864" i="18"/>
  <c r="AO864" i="18" s="1"/>
  <c r="A865" i="18"/>
  <c r="B865" i="18" s="1"/>
  <c r="C865" i="18"/>
  <c r="A867" i="28" s="1"/>
  <c r="AA865" i="18"/>
  <c r="AF865" i="18" s="1"/>
  <c r="AJ865" i="18"/>
  <c r="AO865" i="18" s="1"/>
  <c r="A866" i="18"/>
  <c r="B866" i="18" s="1"/>
  <c r="C866" i="18"/>
  <c r="A868" i="28" s="1"/>
  <c r="AA866" i="18"/>
  <c r="Y868" i="28" s="1"/>
  <c r="AJ866" i="18"/>
  <c r="AH868" i="28" s="1"/>
  <c r="A867" i="18"/>
  <c r="B867" i="18" s="1"/>
  <c r="C867" i="18"/>
  <c r="A869" i="28" s="1"/>
  <c r="AA867" i="18"/>
  <c r="AF867" i="18" s="1"/>
  <c r="AJ867" i="18"/>
  <c r="A868" i="18"/>
  <c r="B868" i="18" s="1"/>
  <c r="C868" i="18"/>
  <c r="A870" i="28" s="1"/>
  <c r="AA868" i="18"/>
  <c r="AF868" i="18" s="1"/>
  <c r="AJ868" i="18"/>
  <c r="AO868" i="18" s="1"/>
  <c r="A869" i="18"/>
  <c r="B869" i="18" s="1"/>
  <c r="C869" i="18"/>
  <c r="A871" i="28" s="1"/>
  <c r="AA869" i="18"/>
  <c r="AF869" i="18" s="1"/>
  <c r="AJ869" i="18"/>
  <c r="AO869" i="18" s="1"/>
  <c r="A870" i="18"/>
  <c r="B870" i="18" s="1"/>
  <c r="C870" i="18"/>
  <c r="A872" i="28" s="1"/>
  <c r="AA870" i="18"/>
  <c r="AF870" i="18" s="1"/>
  <c r="AJ870" i="18"/>
  <c r="AH872" i="28" s="1"/>
  <c r="A871" i="18"/>
  <c r="B871" i="18" s="1"/>
  <c r="C871" i="18"/>
  <c r="A873" i="28" s="1"/>
  <c r="AA871" i="18"/>
  <c r="AF871" i="18" s="1"/>
  <c r="AJ871" i="18"/>
  <c r="AO871" i="18" s="1"/>
  <c r="A872" i="18"/>
  <c r="B872" i="18" s="1"/>
  <c r="C872" i="18"/>
  <c r="A874" i="28" s="1"/>
  <c r="AA872" i="18"/>
  <c r="AF872" i="18" s="1"/>
  <c r="AJ872" i="18"/>
  <c r="AH874" i="28" s="1"/>
  <c r="A873" i="18"/>
  <c r="B873" i="18" s="1"/>
  <c r="C873" i="18"/>
  <c r="A875" i="28" s="1"/>
  <c r="AA873" i="18"/>
  <c r="Y875" i="28" s="1"/>
  <c r="AJ873" i="18"/>
  <c r="AH875" i="28" s="1"/>
  <c r="A874" i="18"/>
  <c r="B874" i="18" s="1"/>
  <c r="C874" i="18"/>
  <c r="A876" i="28" s="1"/>
  <c r="AA874" i="18"/>
  <c r="AF874" i="18" s="1"/>
  <c r="AJ874" i="18"/>
  <c r="A875" i="18"/>
  <c r="C875" i="18"/>
  <c r="A877" i="28" s="1"/>
  <c r="AA875" i="18"/>
  <c r="AJ875" i="18"/>
  <c r="A876" i="18"/>
  <c r="B876" i="18" s="1"/>
  <c r="C876" i="18"/>
  <c r="A878" i="28" s="1"/>
  <c r="AA876" i="18"/>
  <c r="AF876" i="18" s="1"/>
  <c r="AJ876" i="18"/>
  <c r="AO876" i="18" s="1"/>
  <c r="A877" i="18"/>
  <c r="B877" i="18" s="1"/>
  <c r="C877" i="18"/>
  <c r="A879" i="28" s="1"/>
  <c r="AA877" i="18"/>
  <c r="AF877" i="18" s="1"/>
  <c r="AJ877" i="18"/>
  <c r="AO877" i="18" s="1"/>
  <c r="A878" i="18"/>
  <c r="B878" i="18" s="1"/>
  <c r="C878" i="18"/>
  <c r="A880" i="28" s="1"/>
  <c r="AA878" i="18"/>
  <c r="AF878" i="18" s="1"/>
  <c r="AJ878" i="18"/>
  <c r="AO878" i="18" s="1"/>
  <c r="A879" i="18"/>
  <c r="B879" i="18" s="1"/>
  <c r="C879" i="18"/>
  <c r="A881" i="28" s="1"/>
  <c r="AA879" i="18"/>
  <c r="Y881" i="28" s="1"/>
  <c r="AJ879" i="18"/>
  <c r="AH881" i="28" s="1"/>
  <c r="A880" i="18"/>
  <c r="B880" i="18" s="1"/>
  <c r="C880" i="18"/>
  <c r="A882" i="28" s="1"/>
  <c r="AA880" i="18"/>
  <c r="Y882" i="28" s="1"/>
  <c r="AJ880" i="18"/>
  <c r="AH882" i="28" s="1"/>
  <c r="A881" i="18"/>
  <c r="B881" i="18" s="1"/>
  <c r="C881" i="18"/>
  <c r="A883" i="28" s="1"/>
  <c r="AA881" i="18"/>
  <c r="AF881" i="18" s="1"/>
  <c r="AJ881" i="18"/>
  <c r="A882" i="18"/>
  <c r="B882" i="18" s="1"/>
  <c r="C882" i="18"/>
  <c r="A884" i="28" s="1"/>
  <c r="AA882" i="18"/>
  <c r="AF882" i="18" s="1"/>
  <c r="AJ882" i="18"/>
  <c r="AO882" i="18" s="1"/>
  <c r="A883" i="18"/>
  <c r="B883" i="18" s="1"/>
  <c r="C883" i="18"/>
  <c r="A885" i="28" s="1"/>
  <c r="AA883" i="18"/>
  <c r="AF883" i="18" s="1"/>
  <c r="AJ883" i="18"/>
  <c r="A884" i="18"/>
  <c r="B884" i="18" s="1"/>
  <c r="C884" i="18"/>
  <c r="A886" i="28" s="1"/>
  <c r="AA884" i="18"/>
  <c r="AF884" i="18" s="1"/>
  <c r="AJ884" i="18"/>
  <c r="AO884" i="18" s="1"/>
  <c r="A885" i="18"/>
  <c r="B885" i="18" s="1"/>
  <c r="C885" i="18"/>
  <c r="A887" i="28" s="1"/>
  <c r="AA885" i="18"/>
  <c r="AF885" i="18" s="1"/>
  <c r="AJ885" i="18"/>
  <c r="AO885" i="18" s="1"/>
  <c r="A886" i="18"/>
  <c r="B886" i="18" s="1"/>
  <c r="C886" i="18"/>
  <c r="A888" i="28" s="1"/>
  <c r="AA886" i="18"/>
  <c r="AF886" i="18" s="1"/>
  <c r="AJ886" i="18"/>
  <c r="AO886" i="18" s="1"/>
  <c r="A887" i="18"/>
  <c r="B887" i="18" s="1"/>
  <c r="C887" i="18"/>
  <c r="A889" i="28" s="1"/>
  <c r="AA887" i="18"/>
  <c r="AF887" i="18" s="1"/>
  <c r="AJ887" i="18"/>
  <c r="AO887" i="18" s="1"/>
  <c r="A888" i="18"/>
  <c r="B888" i="18" s="1"/>
  <c r="C888" i="18"/>
  <c r="A890" i="28" s="1"/>
  <c r="AA888" i="18"/>
  <c r="AF888" i="18" s="1"/>
  <c r="AJ888" i="18"/>
  <c r="AO888" i="18" s="1"/>
  <c r="A889" i="18"/>
  <c r="B889" i="18" s="1"/>
  <c r="C889" i="18"/>
  <c r="A891" i="28" s="1"/>
  <c r="AA889" i="18"/>
  <c r="AF889" i="18" s="1"/>
  <c r="AJ889" i="18"/>
  <c r="AO889" i="18" s="1"/>
  <c r="A890" i="18"/>
  <c r="A61" i="5" s="1"/>
  <c r="C890" i="18"/>
  <c r="A892" i="28" s="1"/>
  <c r="AA890" i="18"/>
  <c r="AJ890" i="18"/>
  <c r="A891" i="18"/>
  <c r="B891" i="18" s="1"/>
  <c r="C891" i="18"/>
  <c r="A893" i="28" s="1"/>
  <c r="AA891" i="18"/>
  <c r="AF891" i="18" s="1"/>
  <c r="AJ891" i="18"/>
  <c r="AO891" i="18" s="1"/>
  <c r="A892" i="18"/>
  <c r="B892" i="18" s="1"/>
  <c r="C892" i="18"/>
  <c r="A894" i="28" s="1"/>
  <c r="AA892" i="18"/>
  <c r="AF892" i="18" s="1"/>
  <c r="AJ892" i="18"/>
  <c r="AO892" i="18" s="1"/>
  <c r="A893" i="18"/>
  <c r="B893" i="18" s="1"/>
  <c r="C893" i="18"/>
  <c r="A895" i="28" s="1"/>
  <c r="AA893" i="18"/>
  <c r="AF893" i="18" s="1"/>
  <c r="AJ893" i="18"/>
  <c r="A894" i="18"/>
  <c r="B894" i="18" s="1"/>
  <c r="C894" i="18"/>
  <c r="A896" i="28" s="1"/>
  <c r="AA894" i="18"/>
  <c r="AF894" i="18" s="1"/>
  <c r="AJ894" i="18"/>
  <c r="AO894" i="18" s="1"/>
  <c r="A895" i="18"/>
  <c r="B895" i="18" s="1"/>
  <c r="C895" i="18"/>
  <c r="A897" i="28" s="1"/>
  <c r="AA895" i="18"/>
  <c r="AF895" i="18" s="1"/>
  <c r="AJ895" i="18"/>
  <c r="AO895" i="18" s="1"/>
  <c r="A896" i="18"/>
  <c r="B896" i="18" s="1"/>
  <c r="C896" i="18"/>
  <c r="A898" i="28" s="1"/>
  <c r="AA896" i="18"/>
  <c r="AF896" i="18" s="1"/>
  <c r="AJ896" i="18"/>
  <c r="AO896" i="18" s="1"/>
  <c r="A897" i="18"/>
  <c r="B897" i="18" s="1"/>
  <c r="C897" i="18"/>
  <c r="A899" i="28" s="1"/>
  <c r="AA897" i="18"/>
  <c r="AF897" i="18" s="1"/>
  <c r="AJ897" i="18"/>
  <c r="A898" i="18"/>
  <c r="C898" i="18"/>
  <c r="A900" i="28" s="1"/>
  <c r="AA898" i="18"/>
  <c r="Y900" i="28" s="1"/>
  <c r="AJ898" i="18"/>
  <c r="AH900" i="28" s="1"/>
  <c r="A899" i="18"/>
  <c r="B899" i="18" s="1"/>
  <c r="C899" i="18"/>
  <c r="A901" i="28" s="1"/>
  <c r="AA899" i="18"/>
  <c r="AF899" i="18" s="1"/>
  <c r="AJ899" i="18"/>
  <c r="AO899" i="18" s="1"/>
  <c r="A900" i="18"/>
  <c r="B900" i="18" s="1"/>
  <c r="C900" i="18"/>
  <c r="A902" i="28" s="1"/>
  <c r="AA900" i="18"/>
  <c r="AF900" i="18" s="1"/>
  <c r="AJ900" i="18"/>
  <c r="AO900" i="18" s="1"/>
  <c r="A901" i="18"/>
  <c r="B901" i="18" s="1"/>
  <c r="C901" i="18"/>
  <c r="A903" i="28" s="1"/>
  <c r="AA901" i="18"/>
  <c r="AF901" i="18" s="1"/>
  <c r="AJ901" i="18"/>
  <c r="AO901" i="18" s="1"/>
  <c r="A902" i="18"/>
  <c r="B902" i="18" s="1"/>
  <c r="C902" i="18"/>
  <c r="A904" i="28" s="1"/>
  <c r="AA902" i="18"/>
  <c r="AF902" i="18" s="1"/>
  <c r="AJ902" i="18"/>
  <c r="AO902" i="18" s="1"/>
  <c r="A903" i="18"/>
  <c r="B903" i="18" s="1"/>
  <c r="C903" i="18"/>
  <c r="A905" i="28" s="1"/>
  <c r="AA903" i="18"/>
  <c r="AF903" i="18" s="1"/>
  <c r="AJ903" i="18"/>
  <c r="A904" i="18"/>
  <c r="B904" i="18" s="1"/>
  <c r="C904" i="18"/>
  <c r="A906" i="28" s="1"/>
  <c r="AA904" i="18"/>
  <c r="AF904" i="18" s="1"/>
  <c r="AJ904" i="18"/>
  <c r="AO904" i="18" s="1"/>
  <c r="S17" i="7"/>
  <c r="S15" i="7"/>
  <c r="S16" i="7"/>
  <c r="S3" i="7"/>
  <c r="S4" i="7"/>
  <c r="S5" i="7"/>
  <c r="S6" i="7"/>
  <c r="S7" i="7"/>
  <c r="S8" i="7"/>
  <c r="S9" i="7"/>
  <c r="S10" i="7"/>
  <c r="S12" i="7"/>
  <c r="S13" i="7"/>
  <c r="S14" i="7"/>
  <c r="S1" i="7"/>
  <c r="AA37" i="18"/>
  <c r="AF37" i="18" s="1"/>
  <c r="AJ37" i="18"/>
  <c r="AO37" i="18" s="1"/>
  <c r="AA38" i="18"/>
  <c r="AF38" i="18" s="1"/>
  <c r="AJ38" i="18"/>
  <c r="AA39" i="18"/>
  <c r="AF39" i="18" s="1"/>
  <c r="AJ39" i="18"/>
  <c r="AA40" i="18"/>
  <c r="AF40" i="18" s="1"/>
  <c r="AJ40" i="18"/>
  <c r="AA41" i="18"/>
  <c r="Y43" i="28" s="1"/>
  <c r="AJ41" i="18"/>
  <c r="AH43" i="28" s="1"/>
  <c r="AA42" i="18"/>
  <c r="AF42" i="18" s="1"/>
  <c r="AJ42" i="18"/>
  <c r="AA43" i="18"/>
  <c r="AF43" i="18" s="1"/>
  <c r="AJ43" i="18"/>
  <c r="AO43" i="18" s="1"/>
  <c r="AA44" i="18"/>
  <c r="AF44" i="18" s="1"/>
  <c r="AJ44" i="18"/>
  <c r="AO44" i="18" s="1"/>
  <c r="AA45" i="18"/>
  <c r="AF45" i="18" s="1"/>
  <c r="AJ45" i="18"/>
  <c r="AO45" i="18" s="1"/>
  <c r="AA46" i="18"/>
  <c r="AF46" i="18" s="1"/>
  <c r="AJ46" i="18"/>
  <c r="AH48" i="28" s="1"/>
  <c r="AA47" i="18"/>
  <c r="AF47" i="18" s="1"/>
  <c r="AJ47" i="18"/>
  <c r="AO47" i="18" s="1"/>
  <c r="AA48" i="18"/>
  <c r="AF48" i="18" s="1"/>
  <c r="AJ48" i="18"/>
  <c r="AH50" i="28" s="1"/>
  <c r="AA49" i="18"/>
  <c r="AF49" i="18" s="1"/>
  <c r="AJ49" i="18"/>
  <c r="AO49" i="18" s="1"/>
  <c r="AA22" i="18"/>
  <c r="Y24" i="28" s="1"/>
  <c r="AJ22" i="18"/>
  <c r="AA23" i="18"/>
  <c r="AJ23" i="18"/>
  <c r="AA24" i="18"/>
  <c r="Y26" i="28" s="1"/>
  <c r="AJ24" i="18"/>
  <c r="AA25" i="18"/>
  <c r="AJ25" i="18"/>
  <c r="AH27" i="28" s="1"/>
  <c r="AA26" i="18"/>
  <c r="AJ26" i="18"/>
  <c r="AH28" i="28" s="1"/>
  <c r="AA27" i="18"/>
  <c r="AJ27" i="18"/>
  <c r="AA28" i="18"/>
  <c r="AJ28" i="18"/>
  <c r="AH30" i="28" s="1"/>
  <c r="AA29" i="18"/>
  <c r="AJ29" i="18"/>
  <c r="AA30" i="18"/>
  <c r="AJ30" i="18"/>
  <c r="AA31" i="18"/>
  <c r="AJ31" i="18"/>
  <c r="AA32" i="18"/>
  <c r="AJ32" i="18"/>
  <c r="AA33" i="18"/>
  <c r="AJ33" i="18"/>
  <c r="AA34" i="18"/>
  <c r="Y36" i="28" s="1"/>
  <c r="AJ34" i="18"/>
  <c r="AH36" i="28" s="1"/>
  <c r="X7" i="18"/>
  <c r="V9" i="28" s="1"/>
  <c r="AA7" i="18"/>
  <c r="Y9" i="28" s="1"/>
  <c r="AG7" i="18"/>
  <c r="AJ7" i="18"/>
  <c r="AH9" i="28" s="1"/>
  <c r="X8" i="18"/>
  <c r="V10" i="28" s="1"/>
  <c r="AA8" i="18"/>
  <c r="AG8" i="18"/>
  <c r="AJ8" i="18"/>
  <c r="AH10" i="28" s="1"/>
  <c r="X9" i="18"/>
  <c r="V11" i="28" s="1"/>
  <c r="AA9" i="18"/>
  <c r="AG9" i="18"/>
  <c r="AJ9" i="18"/>
  <c r="X10" i="18"/>
  <c r="V12" i="28" s="1"/>
  <c r="AA10" i="18"/>
  <c r="AG10" i="18"/>
  <c r="AJ10" i="18"/>
  <c r="X11" i="18"/>
  <c r="V13" i="28" s="1"/>
  <c r="AA11" i="18"/>
  <c r="AG11" i="18"/>
  <c r="AJ11" i="18"/>
  <c r="X12" i="18"/>
  <c r="V14" i="28" s="1"/>
  <c r="AA12" i="18"/>
  <c r="AG12" i="18"/>
  <c r="AJ12" i="18"/>
  <c r="X13" i="18"/>
  <c r="V15" i="28" s="1"/>
  <c r="AA13" i="18"/>
  <c r="AG13" i="18"/>
  <c r="AJ13" i="18"/>
  <c r="X14" i="18"/>
  <c r="V16" i="28" s="1"/>
  <c r="AA14" i="18"/>
  <c r="AG14" i="18"/>
  <c r="AJ14" i="18"/>
  <c r="AH16" i="28" s="1"/>
  <c r="X15" i="18"/>
  <c r="V17" i="28" s="1"/>
  <c r="AA15" i="18"/>
  <c r="Y17" i="28" s="1"/>
  <c r="AG15" i="18"/>
  <c r="AJ15" i="18"/>
  <c r="X16" i="18"/>
  <c r="V18" i="28" s="1"/>
  <c r="AA16" i="18"/>
  <c r="Y18" i="28" s="1"/>
  <c r="AG16" i="18"/>
  <c r="AJ16" i="18"/>
  <c r="AH18" i="28" s="1"/>
  <c r="X17" i="18"/>
  <c r="V19" i="28" s="1"/>
  <c r="AA17" i="18"/>
  <c r="AG17" i="18"/>
  <c r="AJ17" i="18"/>
  <c r="AH19" i="28" s="1"/>
  <c r="X18" i="18"/>
  <c r="V20" i="28" s="1"/>
  <c r="AA18" i="18"/>
  <c r="AG18" i="18"/>
  <c r="AJ18" i="18"/>
  <c r="X19" i="18"/>
  <c r="V21" i="28" s="1"/>
  <c r="AA19" i="18"/>
  <c r="AG19" i="18"/>
  <c r="AJ19" i="18"/>
  <c r="C20" i="18"/>
  <c r="A22" i="28" s="1"/>
  <c r="C21" i="18"/>
  <c r="A23" i="28" s="1"/>
  <c r="C22" i="18"/>
  <c r="A24" i="28" s="1"/>
  <c r="C23" i="18"/>
  <c r="A25" i="28" s="1"/>
  <c r="C24" i="18"/>
  <c r="A26" i="28" s="1"/>
  <c r="C25" i="18"/>
  <c r="A27" i="28" s="1"/>
  <c r="C26" i="18"/>
  <c r="A28" i="28" s="1"/>
  <c r="C27" i="18"/>
  <c r="A29" i="28" s="1"/>
  <c r="C28" i="18"/>
  <c r="A30" i="28" s="1"/>
  <c r="C29" i="18"/>
  <c r="A31" i="28" s="1"/>
  <c r="C30" i="18"/>
  <c r="A32" i="28" s="1"/>
  <c r="C31" i="18"/>
  <c r="A33" i="28" s="1"/>
  <c r="C32" i="18"/>
  <c r="A34" i="28" s="1"/>
  <c r="C33" i="18"/>
  <c r="A35" i="28" s="1"/>
  <c r="C34" i="18"/>
  <c r="A36" i="28" s="1"/>
  <c r="C35" i="18"/>
  <c r="A37" i="28" s="1"/>
  <c r="C36" i="18"/>
  <c r="A38" i="28" s="1"/>
  <c r="C37" i="18"/>
  <c r="A39" i="28" s="1"/>
  <c r="C38" i="18"/>
  <c r="A40" i="28" s="1"/>
  <c r="C39" i="18"/>
  <c r="A41" i="28" s="1"/>
  <c r="C40" i="18"/>
  <c r="A42" i="28" s="1"/>
  <c r="C41" i="18"/>
  <c r="A43" i="28" s="1"/>
  <c r="C42" i="18"/>
  <c r="A44" i="28" s="1"/>
  <c r="C43" i="18"/>
  <c r="A45" i="28" s="1"/>
  <c r="C44" i="18"/>
  <c r="A46" i="28" s="1"/>
  <c r="C45" i="18"/>
  <c r="A47" i="28" s="1"/>
  <c r="C46" i="18"/>
  <c r="A48" i="28" s="1"/>
  <c r="C47" i="18"/>
  <c r="A49" i="28" s="1"/>
  <c r="C48" i="18"/>
  <c r="A50" i="28" s="1"/>
  <c r="C49" i="18"/>
  <c r="A51" i="28" s="1"/>
  <c r="C19" i="18"/>
  <c r="A21" i="28" s="1"/>
  <c r="C18" i="18"/>
  <c r="A20" i="28" s="1"/>
  <c r="C17" i="18"/>
  <c r="A19" i="28" s="1"/>
  <c r="C16" i="18"/>
  <c r="A18" i="28" s="1"/>
  <c r="C15" i="18"/>
  <c r="A17" i="28" s="1"/>
  <c r="C14" i="18"/>
  <c r="A16" i="28" s="1"/>
  <c r="C13" i="18"/>
  <c r="A15" i="28" s="1"/>
  <c r="C12" i="18"/>
  <c r="A14" i="28" s="1"/>
  <c r="C11" i="18"/>
  <c r="A13" i="28" s="1"/>
  <c r="C10" i="18"/>
  <c r="A12" i="28" s="1"/>
  <c r="C9" i="18"/>
  <c r="A11" i="28" s="1"/>
  <c r="C8" i="18"/>
  <c r="A10" i="28" s="1"/>
  <c r="C7" i="18"/>
  <c r="A9" i="28" s="1"/>
  <c r="C6" i="18"/>
  <c r="A8" i="28" s="1"/>
  <c r="C5" i="18"/>
  <c r="A47" i="18"/>
  <c r="B47" i="18" s="1"/>
  <c r="A46" i="18"/>
  <c r="B46" i="18" s="1"/>
  <c r="A45" i="18"/>
  <c r="B45" i="18" s="1"/>
  <c r="A44" i="18"/>
  <c r="B44" i="18" s="1"/>
  <c r="A43" i="18"/>
  <c r="B43" i="18" s="1"/>
  <c r="A42" i="18"/>
  <c r="B42" i="18" s="1"/>
  <c r="A41" i="18"/>
  <c r="B41" i="18" s="1"/>
  <c r="A40" i="18"/>
  <c r="B40" i="18" s="1"/>
  <c r="A39" i="18"/>
  <c r="B39" i="18" s="1"/>
  <c r="A38" i="18"/>
  <c r="B38" i="18" s="1"/>
  <c r="A32" i="18"/>
  <c r="B32" i="18" s="1"/>
  <c r="A31" i="18"/>
  <c r="B31" i="18" s="1"/>
  <c r="A30" i="18"/>
  <c r="B30" i="18" s="1"/>
  <c r="A29" i="18"/>
  <c r="B29" i="18" s="1"/>
  <c r="A28" i="18"/>
  <c r="B28" i="18" s="1"/>
  <c r="A27" i="18"/>
  <c r="B27" i="18" s="1"/>
  <c r="A26" i="18"/>
  <c r="B26" i="18" s="1"/>
  <c r="A25" i="18"/>
  <c r="B25" i="18" s="1"/>
  <c r="A24" i="18"/>
  <c r="B24" i="18" s="1"/>
  <c r="A23" i="18"/>
  <c r="B23" i="18" s="1"/>
  <c r="A8" i="18"/>
  <c r="B8" i="18" s="1"/>
  <c r="A9" i="18"/>
  <c r="B9" i="18" s="1"/>
  <c r="A10" i="18"/>
  <c r="B10" i="18" s="1"/>
  <c r="A11" i="18"/>
  <c r="B11" i="18" s="1"/>
  <c r="A12" i="18"/>
  <c r="B12" i="18" s="1"/>
  <c r="A13" i="18"/>
  <c r="B13" i="18" s="1"/>
  <c r="A14" i="18"/>
  <c r="B14" i="18" s="1"/>
  <c r="A15" i="18"/>
  <c r="B15" i="18" s="1"/>
  <c r="A16" i="18"/>
  <c r="B16" i="18" s="1"/>
  <c r="A17" i="18"/>
  <c r="B17" i="18" s="1"/>
  <c r="AM88" i="20" l="1"/>
  <c r="AO23" i="5"/>
  <c r="AO2" i="5"/>
  <c r="AO36" i="5"/>
  <c r="AO39" i="5"/>
  <c r="AO44" i="5"/>
  <c r="AO47" i="5"/>
  <c r="AO52" i="5"/>
  <c r="AO55" i="5"/>
  <c r="AO60" i="5"/>
  <c r="AO31" i="5"/>
  <c r="AO27" i="5"/>
  <c r="AO41" i="5"/>
  <c r="AO11" i="5"/>
  <c r="AO32" i="5"/>
  <c r="AO22" i="5"/>
  <c r="AO21" i="5"/>
  <c r="AO28" i="5"/>
  <c r="AO19" i="5"/>
  <c r="AO33" i="5"/>
  <c r="AO58" i="5"/>
  <c r="AO24" i="5"/>
  <c r="AO14" i="5"/>
  <c r="AO13" i="5"/>
  <c r="AO20" i="5"/>
  <c r="AO3" i="5"/>
  <c r="AO25" i="5"/>
  <c r="AO42" i="5"/>
  <c r="AO16" i="5"/>
  <c r="AO6" i="5"/>
  <c r="AO5" i="5"/>
  <c r="AO57" i="5"/>
  <c r="AO15" i="5"/>
  <c r="AO50" i="5"/>
  <c r="AO17" i="5"/>
  <c r="AO26" i="5"/>
  <c r="AO8" i="5"/>
  <c r="AO61" i="5"/>
  <c r="AO48" i="5"/>
  <c r="AO7" i="5"/>
  <c r="AO34" i="5"/>
  <c r="AO9" i="5"/>
  <c r="AO18" i="5"/>
  <c r="AO54" i="5"/>
  <c r="AO53" i="5"/>
  <c r="AO37" i="5"/>
  <c r="AO4" i="5"/>
  <c r="AO10" i="5"/>
  <c r="AO12" i="5"/>
  <c r="AO56" i="5"/>
  <c r="AO46" i="5"/>
  <c r="AO45" i="5"/>
  <c r="AO59" i="5"/>
  <c r="AO51" i="5"/>
  <c r="AO38" i="5"/>
  <c r="AO43" i="5"/>
  <c r="AO49" i="5"/>
  <c r="AO35" i="5"/>
  <c r="AO40" i="5"/>
  <c r="AO30" i="5"/>
  <c r="AO29" i="5"/>
  <c r="B75" i="19"/>
  <c r="AF233" i="18"/>
  <c r="AO496" i="18"/>
  <c r="AO610" i="18"/>
  <c r="AF777" i="18"/>
  <c r="AO233" i="18"/>
  <c r="AO336" i="18"/>
  <c r="AO482" i="18"/>
  <c r="AF649" i="18"/>
  <c r="AF73" i="18"/>
  <c r="AO103" i="18"/>
  <c r="AO685" i="18"/>
  <c r="AO354" i="18"/>
  <c r="AF521" i="18"/>
  <c r="AO73" i="18"/>
  <c r="AO16" i="18"/>
  <c r="AM18" i="28" s="1"/>
  <c r="AO69" i="18"/>
  <c r="AO521" i="18"/>
  <c r="AO51" i="18"/>
  <c r="AO154" i="18"/>
  <c r="AO226" i="18"/>
  <c r="AO848" i="18"/>
  <c r="AF615" i="18"/>
  <c r="AO656" i="18"/>
  <c r="AO615" i="18"/>
  <c r="AO393" i="18"/>
  <c r="AO193" i="18"/>
  <c r="B845" i="18"/>
  <c r="B58" i="5" s="1"/>
  <c r="A58" i="5"/>
  <c r="B755" i="18"/>
  <c r="B52" i="5" s="1"/>
  <c r="A52" i="5"/>
  <c r="B575" i="18"/>
  <c r="B40" i="5" s="1"/>
  <c r="A40" i="5"/>
  <c r="B305" i="18"/>
  <c r="B22" i="5" s="1"/>
  <c r="A22" i="5"/>
  <c r="B875" i="18"/>
  <c r="B60" i="5" s="1"/>
  <c r="A60" i="5"/>
  <c r="B815" i="18"/>
  <c r="B56" i="5" s="1"/>
  <c r="A56" i="5"/>
  <c r="B725" i="18"/>
  <c r="B50" i="5" s="1"/>
  <c r="A50" i="5"/>
  <c r="B545" i="18"/>
  <c r="B38" i="5" s="1"/>
  <c r="A38" i="5"/>
  <c r="B515" i="18"/>
  <c r="B36" i="5" s="1"/>
  <c r="A36" i="5"/>
  <c r="B425" i="18"/>
  <c r="B30" i="5" s="1"/>
  <c r="A30" i="5"/>
  <c r="B620" i="18"/>
  <c r="B43" i="5" s="1"/>
  <c r="A43" i="5"/>
  <c r="B590" i="18"/>
  <c r="B41" i="5" s="1"/>
  <c r="A41" i="5"/>
  <c r="B470" i="18"/>
  <c r="B33" i="5" s="1"/>
  <c r="A33" i="5"/>
  <c r="B440" i="18"/>
  <c r="B31" i="5" s="1"/>
  <c r="A31" i="5"/>
  <c r="B320" i="18"/>
  <c r="B23" i="5" s="1"/>
  <c r="A23" i="5"/>
  <c r="B200" i="18"/>
  <c r="B15" i="5" s="1"/>
  <c r="A15" i="5"/>
  <c r="B170" i="18"/>
  <c r="B13" i="5" s="1"/>
  <c r="A13" i="5"/>
  <c r="B140" i="18"/>
  <c r="B11" i="5" s="1"/>
  <c r="A11" i="5"/>
  <c r="B80" i="18"/>
  <c r="B7" i="5" s="1"/>
  <c r="A7" i="5"/>
  <c r="B50" i="18"/>
  <c r="B5" i="5" s="1"/>
  <c r="A5" i="5"/>
  <c r="B860" i="18"/>
  <c r="B59" i="5" s="1"/>
  <c r="A59" i="5"/>
  <c r="B530" i="18"/>
  <c r="B37" i="5" s="1"/>
  <c r="A37" i="5"/>
  <c r="B290" i="18"/>
  <c r="B21" i="5" s="1"/>
  <c r="A21" i="5"/>
  <c r="B740" i="18"/>
  <c r="B51" i="5" s="1"/>
  <c r="A51" i="5"/>
  <c r="B680" i="18"/>
  <c r="B47" i="5" s="1"/>
  <c r="A47" i="5"/>
  <c r="B650" i="18"/>
  <c r="B45" i="5" s="1"/>
  <c r="A45" i="5"/>
  <c r="B380" i="18"/>
  <c r="B27" i="5" s="1"/>
  <c r="A27" i="5"/>
  <c r="B230" i="18"/>
  <c r="B17" i="5" s="1"/>
  <c r="A17" i="5"/>
  <c r="B830" i="18"/>
  <c r="B57" i="5" s="1"/>
  <c r="A57" i="5"/>
  <c r="B770" i="18"/>
  <c r="B53" i="5" s="1"/>
  <c r="A53" i="5"/>
  <c r="B710" i="18"/>
  <c r="B49" i="5" s="1"/>
  <c r="A49" i="5"/>
  <c r="B560" i="18"/>
  <c r="B39" i="5" s="1"/>
  <c r="A39" i="5"/>
  <c r="B410" i="18"/>
  <c r="B29" i="5" s="1"/>
  <c r="A29" i="5"/>
  <c r="B785" i="18"/>
  <c r="B54" i="5" s="1"/>
  <c r="A54" i="5"/>
  <c r="B485" i="18"/>
  <c r="B34" i="5" s="1"/>
  <c r="A34" i="5"/>
  <c r="B395" i="18"/>
  <c r="B28" i="5" s="1"/>
  <c r="A28" i="5"/>
  <c r="B215" i="18"/>
  <c r="B16" i="5" s="1"/>
  <c r="A16" i="5"/>
  <c r="B185" i="18"/>
  <c r="B14" i="5" s="1"/>
  <c r="A14" i="5"/>
  <c r="B125" i="18"/>
  <c r="B10" i="5" s="1"/>
  <c r="A10" i="5"/>
  <c r="B95" i="18"/>
  <c r="B8" i="5" s="1"/>
  <c r="A8" i="5"/>
  <c r="B635" i="18"/>
  <c r="B44" i="5" s="1"/>
  <c r="A44" i="5"/>
  <c r="B605" i="18"/>
  <c r="B42" i="5" s="1"/>
  <c r="A42" i="5"/>
  <c r="B455" i="18"/>
  <c r="B32" i="5" s="1"/>
  <c r="A32" i="5"/>
  <c r="B365" i="18"/>
  <c r="B26" i="5" s="1"/>
  <c r="A26" i="5"/>
  <c r="AH35" i="28"/>
  <c r="AO33" i="18"/>
  <c r="AM35" i="28" s="1"/>
  <c r="AH21" i="28"/>
  <c r="AO19" i="18"/>
  <c r="AM21" i="28" s="1"/>
  <c r="AH17" i="28"/>
  <c r="AO15" i="18"/>
  <c r="AM17" i="28" s="1"/>
  <c r="AH15" i="28"/>
  <c r="AO13" i="18"/>
  <c r="AM15" i="28" s="1"/>
  <c r="AH13" i="28"/>
  <c r="AO11" i="18"/>
  <c r="AM13" i="28" s="1"/>
  <c r="AH11" i="28"/>
  <c r="AO9" i="18"/>
  <c r="AM11" i="28" s="1"/>
  <c r="AH34" i="28"/>
  <c r="AO32" i="18"/>
  <c r="AM34" i="28" s="1"/>
  <c r="AH26" i="28"/>
  <c r="AO24" i="18"/>
  <c r="AM26" i="28" s="1"/>
  <c r="AH42" i="28"/>
  <c r="AO40" i="18"/>
  <c r="Z61" i="5"/>
  <c r="Z59" i="5"/>
  <c r="AF860" i="18"/>
  <c r="Y846" i="28"/>
  <c r="AF844" i="18"/>
  <c r="Z57" i="5"/>
  <c r="AF830" i="18"/>
  <c r="Z55" i="5"/>
  <c r="Y786" i="28"/>
  <c r="AF784" i="18"/>
  <c r="Y772" i="28"/>
  <c r="Z53" i="5"/>
  <c r="Z51" i="5"/>
  <c r="AF740" i="18"/>
  <c r="Y716" i="28"/>
  <c r="AF714" i="18"/>
  <c r="Z49" i="5"/>
  <c r="AF710" i="18"/>
  <c r="Z47" i="5"/>
  <c r="AF680" i="18"/>
  <c r="Y658" i="28"/>
  <c r="AF656" i="18"/>
  <c r="Z45" i="5"/>
  <c r="Z43" i="5"/>
  <c r="AF620" i="18"/>
  <c r="Y604" i="28"/>
  <c r="AF602" i="18"/>
  <c r="Z41" i="5"/>
  <c r="AF590" i="18"/>
  <c r="Y562" i="28"/>
  <c r="Z39" i="5"/>
  <c r="AF560" i="18"/>
  <c r="Y540" i="28"/>
  <c r="AF538" i="18"/>
  <c r="Z37" i="5"/>
  <c r="AF530" i="18"/>
  <c r="Z35" i="5"/>
  <c r="AF500" i="18"/>
  <c r="Z33" i="5"/>
  <c r="Z31" i="5"/>
  <c r="Y434" i="28"/>
  <c r="AF432" i="18"/>
  <c r="Y412" i="28"/>
  <c r="Z29" i="5"/>
  <c r="AF410" i="18"/>
  <c r="Z27" i="5"/>
  <c r="AF380" i="18"/>
  <c r="Y374" i="28"/>
  <c r="AF372" i="18"/>
  <c r="Z25" i="5"/>
  <c r="AF350" i="18"/>
  <c r="Z23" i="5"/>
  <c r="Y306" i="28"/>
  <c r="AF304" i="18"/>
  <c r="Y292" i="28"/>
  <c r="Z21" i="5"/>
  <c r="Z19" i="5"/>
  <c r="Z17" i="5"/>
  <c r="AF230" i="18"/>
  <c r="Z15" i="5"/>
  <c r="Z13" i="5"/>
  <c r="Z11" i="5"/>
  <c r="Z9" i="5"/>
  <c r="Z7" i="5"/>
  <c r="Y52" i="28"/>
  <c r="Z5" i="5"/>
  <c r="AF834" i="18"/>
  <c r="AF738" i="18"/>
  <c r="AF226" i="18"/>
  <c r="AF496" i="18"/>
  <c r="AF470" i="18"/>
  <c r="Y34" i="28"/>
  <c r="AF32" i="18"/>
  <c r="AD34" i="28" s="1"/>
  <c r="Y30" i="28"/>
  <c r="AF28" i="18"/>
  <c r="AD30" i="28" s="1"/>
  <c r="AF879" i="18"/>
  <c r="AO834" i="18"/>
  <c r="AF706" i="18"/>
  <c r="AF578" i="18"/>
  <c r="AF450" i="18"/>
  <c r="AO777" i="18"/>
  <c r="AO649" i="18"/>
  <c r="AF816" i="18"/>
  <c r="AF624" i="18"/>
  <c r="AF767" i="18"/>
  <c r="AO28" i="18"/>
  <c r="AM30" i="28" s="1"/>
  <c r="AF890" i="18"/>
  <c r="AO26" i="18"/>
  <c r="AM28" i="28" s="1"/>
  <c r="AO694" i="18"/>
  <c r="AO879" i="18"/>
  <c r="AF503" i="18"/>
  <c r="AF802" i="18"/>
  <c r="AO706" i="18"/>
  <c r="AO578" i="18"/>
  <c r="AO450" i="18"/>
  <c r="AO322" i="18"/>
  <c r="AF194" i="18"/>
  <c r="AF66" i="18"/>
  <c r="AF873" i="18"/>
  <c r="AF745" i="18"/>
  <c r="AF617" i="18"/>
  <c r="AF489" i="18"/>
  <c r="AF361" i="18"/>
  <c r="AF41" i="18"/>
  <c r="AO784" i="18"/>
  <c r="AO624" i="18"/>
  <c r="AF464" i="18"/>
  <c r="AO112" i="18"/>
  <c r="AO742" i="18"/>
  <c r="Y10" i="28"/>
  <c r="AF8" i="18"/>
  <c r="AD10" i="28" s="1"/>
  <c r="Y19" i="28"/>
  <c r="AF17" i="18"/>
  <c r="AD19" i="28" s="1"/>
  <c r="Y15" i="28"/>
  <c r="AF13" i="18"/>
  <c r="AD15" i="28" s="1"/>
  <c r="Y13" i="28"/>
  <c r="AF11" i="18"/>
  <c r="AD13" i="28" s="1"/>
  <c r="Y11" i="28"/>
  <c r="AF9" i="18"/>
  <c r="AD11" i="28" s="1"/>
  <c r="AH33" i="28"/>
  <c r="AO31" i="18"/>
  <c r="AM33" i="28" s="1"/>
  <c r="AH25" i="28"/>
  <c r="AO23" i="18"/>
  <c r="AM25" i="28" s="1"/>
  <c r="Y33" i="28"/>
  <c r="AF31" i="18"/>
  <c r="AD33" i="28" s="1"/>
  <c r="Y29" i="28"/>
  <c r="AF27" i="18"/>
  <c r="AD29" i="28" s="1"/>
  <c r="Y25" i="28"/>
  <c r="AF23" i="18"/>
  <c r="AD25" i="28" s="1"/>
  <c r="AH905" i="28"/>
  <c r="AO903" i="18"/>
  <c r="AH899" i="28"/>
  <c r="AO897" i="18"/>
  <c r="AH895" i="28"/>
  <c r="AO893" i="18"/>
  <c r="AH885" i="28"/>
  <c r="AO883" i="18"/>
  <c r="AH883" i="28"/>
  <c r="AO881" i="18"/>
  <c r="AI60" i="5"/>
  <c r="AO875" i="18"/>
  <c r="AH869" i="28"/>
  <c r="AO867" i="18"/>
  <c r="AH863" i="28"/>
  <c r="AO861" i="18"/>
  <c r="AH857" i="28"/>
  <c r="AO855" i="18"/>
  <c r="AH853" i="28"/>
  <c r="AO851" i="18"/>
  <c r="AI58" i="5"/>
  <c r="AO845" i="18"/>
  <c r="AH835" i="28"/>
  <c r="AO833" i="18"/>
  <c r="AI56" i="5"/>
  <c r="AO815" i="18"/>
  <c r="AI54" i="5"/>
  <c r="AH781" i="28"/>
  <c r="AO779" i="18"/>
  <c r="AH771" i="28"/>
  <c r="AO769" i="18"/>
  <c r="AH769" i="28"/>
  <c r="AO767" i="18"/>
  <c r="AH767" i="28"/>
  <c r="AO765" i="18"/>
  <c r="AI52" i="5"/>
  <c r="AO755" i="18"/>
  <c r="AH753" i="28"/>
  <c r="AO751" i="18"/>
  <c r="AI50" i="5"/>
  <c r="AO725" i="18"/>
  <c r="AH713" i="28"/>
  <c r="AO711" i="18"/>
  <c r="AH707" i="28"/>
  <c r="AO705" i="18"/>
  <c r="AH697" i="28"/>
  <c r="AI48" i="5"/>
  <c r="AH693" i="28"/>
  <c r="AO691" i="18"/>
  <c r="AH689" i="28"/>
  <c r="AO687" i="18"/>
  <c r="AH677" i="28"/>
  <c r="AO675" i="18"/>
  <c r="AH673" i="28"/>
  <c r="AO671" i="18"/>
  <c r="AI46" i="5"/>
  <c r="AO665" i="18"/>
  <c r="AH659" i="28"/>
  <c r="AO657" i="18"/>
  <c r="AH643" i="28"/>
  <c r="AO641" i="18"/>
  <c r="AI44" i="5"/>
  <c r="AH629" i="28"/>
  <c r="AO627" i="18"/>
  <c r="AH627" i="28"/>
  <c r="AO625" i="18"/>
  <c r="AH625" i="28"/>
  <c r="AO623" i="18"/>
  <c r="AH615" i="28"/>
  <c r="AO613" i="18"/>
  <c r="AH613" i="28"/>
  <c r="AO611" i="18"/>
  <c r="AI42" i="5"/>
  <c r="AO605" i="18"/>
  <c r="AH599" i="28"/>
  <c r="AO597" i="18"/>
  <c r="AH579" i="28"/>
  <c r="AO577" i="18"/>
  <c r="AI40" i="5"/>
  <c r="AH561" i="28"/>
  <c r="AO559" i="18"/>
  <c r="AI38" i="5"/>
  <c r="AO545" i="18"/>
  <c r="AI36" i="5"/>
  <c r="AO515" i="18"/>
  <c r="AH515" i="28"/>
  <c r="AO513" i="18"/>
  <c r="AH513" i="28"/>
  <c r="AO511" i="18"/>
  <c r="AH501" i="28"/>
  <c r="AO499" i="18"/>
  <c r="AI34" i="5"/>
  <c r="AH467" i="28"/>
  <c r="AO465" i="18"/>
  <c r="AI32" i="5"/>
  <c r="AO455" i="18"/>
  <c r="AH441" i="28"/>
  <c r="AO439" i="18"/>
  <c r="AH433" i="28"/>
  <c r="AO431" i="18"/>
  <c r="AH427" i="28"/>
  <c r="AI30" i="5"/>
  <c r="AH417" i="28"/>
  <c r="AO415" i="18"/>
  <c r="AI28" i="5"/>
  <c r="AO395" i="18"/>
  <c r="AH389" i="28"/>
  <c r="AO387" i="18"/>
  <c r="AH387" i="28"/>
  <c r="AO385" i="18"/>
  <c r="AH369" i="28"/>
  <c r="AO367" i="18"/>
  <c r="AI26" i="5"/>
  <c r="AO365" i="18"/>
  <c r="AH353" i="28"/>
  <c r="AO351" i="18"/>
  <c r="AH343" i="28"/>
  <c r="AO341" i="18"/>
  <c r="AH341" i="28"/>
  <c r="AO339" i="18"/>
  <c r="AI24" i="5"/>
  <c r="AO335" i="18"/>
  <c r="AH333" i="28"/>
  <c r="AO331" i="18"/>
  <c r="AH321" i="28"/>
  <c r="AO319" i="18"/>
  <c r="AH313" i="28"/>
  <c r="AO311" i="18"/>
  <c r="AH309" i="28"/>
  <c r="AO307" i="18"/>
  <c r="AH307" i="28"/>
  <c r="AI22" i="5"/>
  <c r="AO305" i="18"/>
  <c r="AH305" i="28"/>
  <c r="AO303" i="18"/>
  <c r="AI20" i="5"/>
  <c r="AO275" i="18"/>
  <c r="AH267" i="28"/>
  <c r="AO265" i="18"/>
  <c r="AH265" i="28"/>
  <c r="AO263" i="18"/>
  <c r="AH263" i="28"/>
  <c r="AO261" i="18"/>
  <c r="AH259" i="28"/>
  <c r="AO257" i="18"/>
  <c r="AI18" i="5"/>
  <c r="AO245" i="18"/>
  <c r="AH241" i="28"/>
  <c r="AO239" i="18"/>
  <c r="AH219" i="28"/>
  <c r="AH217" i="28"/>
  <c r="AI16" i="5"/>
  <c r="AH211" i="28"/>
  <c r="AO209" i="18"/>
  <c r="AH205" i="28"/>
  <c r="AH197" i="28"/>
  <c r="AO195" i="18"/>
  <c r="AI14" i="5"/>
  <c r="AH177" i="28"/>
  <c r="AO175" i="18"/>
  <c r="AH169" i="28"/>
  <c r="AO167" i="18"/>
  <c r="AH161" i="28"/>
  <c r="AI12" i="5"/>
  <c r="AH151" i="28"/>
  <c r="AO149" i="18"/>
  <c r="AH139" i="28"/>
  <c r="AO137" i="18"/>
  <c r="AH133" i="28"/>
  <c r="AO131" i="18"/>
  <c r="AH131" i="28"/>
  <c r="AO129" i="18"/>
  <c r="AI10" i="5"/>
  <c r="AH117" i="28"/>
  <c r="AO115" i="18"/>
  <c r="AH109" i="28"/>
  <c r="AO107" i="18"/>
  <c r="AH97" i="28"/>
  <c r="AI8" i="5"/>
  <c r="AH77" i="28"/>
  <c r="AO75" i="18"/>
  <c r="AH67" i="28"/>
  <c r="AI6" i="5"/>
  <c r="AF783" i="18"/>
  <c r="AO503" i="18"/>
  <c r="AO802" i="18"/>
  <c r="AF674" i="18"/>
  <c r="AF546" i="18"/>
  <c r="AF418" i="18"/>
  <c r="AO194" i="18"/>
  <c r="AO66" i="18"/>
  <c r="AO873" i="18"/>
  <c r="AO745" i="18"/>
  <c r="AO617" i="18"/>
  <c r="AO489" i="18"/>
  <c r="AO361" i="18"/>
  <c r="AO41" i="18"/>
  <c r="AF752" i="18"/>
  <c r="AF592" i="18"/>
  <c r="AO464" i="18"/>
  <c r="AO272" i="18"/>
  <c r="AO247" i="18"/>
  <c r="AO25" i="18"/>
  <c r="AM27" i="28" s="1"/>
  <c r="Y16" i="28"/>
  <c r="AF14" i="18"/>
  <c r="AD16" i="28" s="1"/>
  <c r="Y21" i="28"/>
  <c r="AF19" i="18"/>
  <c r="AD21" i="28" s="1"/>
  <c r="AH20" i="28"/>
  <c r="AO18" i="18"/>
  <c r="AM20" i="28" s="1"/>
  <c r="AH14" i="28"/>
  <c r="AO12" i="18"/>
  <c r="AM14" i="28" s="1"/>
  <c r="AH12" i="28"/>
  <c r="AO10" i="18"/>
  <c r="AM12" i="28" s="1"/>
  <c r="AH32" i="28"/>
  <c r="AO30" i="18"/>
  <c r="AM32" i="28" s="1"/>
  <c r="AH24" i="28"/>
  <c r="AO22" i="18"/>
  <c r="AM24" i="28" s="1"/>
  <c r="AH44" i="28"/>
  <c r="AO42" i="18"/>
  <c r="AH40" i="28"/>
  <c r="AO38" i="18"/>
  <c r="Z60" i="5"/>
  <c r="AF875" i="18"/>
  <c r="Z58" i="5"/>
  <c r="Z56" i="5"/>
  <c r="AF815" i="18"/>
  <c r="Y799" i="28"/>
  <c r="AF797" i="18"/>
  <c r="Z54" i="5"/>
  <c r="AF785" i="18"/>
  <c r="Z52" i="5"/>
  <c r="AF755" i="18"/>
  <c r="Z50" i="5"/>
  <c r="AF725" i="18"/>
  <c r="Y697" i="28"/>
  <c r="Z48" i="5"/>
  <c r="Z46" i="5"/>
  <c r="AF665" i="18"/>
  <c r="Z44" i="5"/>
  <c r="AF635" i="18"/>
  <c r="Z42" i="5"/>
  <c r="AF605" i="18"/>
  <c r="Z40" i="5"/>
  <c r="AF575" i="18"/>
  <c r="Z38" i="5"/>
  <c r="AF545" i="18"/>
  <c r="Z36" i="5"/>
  <c r="AF515" i="18"/>
  <c r="Z34" i="5"/>
  <c r="Y463" i="28"/>
  <c r="AF461" i="18"/>
  <c r="Z32" i="5"/>
  <c r="AF455" i="18"/>
  <c r="Y429" i="28"/>
  <c r="AF427" i="18"/>
  <c r="Y427" i="28"/>
  <c r="Z30" i="5"/>
  <c r="Z28" i="5"/>
  <c r="AF395" i="18"/>
  <c r="Y395" i="28"/>
  <c r="AF393" i="18"/>
  <c r="Z26" i="5"/>
  <c r="AF365" i="18"/>
  <c r="Z24" i="5"/>
  <c r="Z22" i="5"/>
  <c r="Z20" i="5"/>
  <c r="Y267" i="28"/>
  <c r="AF265" i="18"/>
  <c r="Z18" i="5"/>
  <c r="Z16" i="5"/>
  <c r="Z14" i="5"/>
  <c r="Z12" i="5"/>
  <c r="Y139" i="28"/>
  <c r="AF137" i="18"/>
  <c r="Z10" i="5"/>
  <c r="Z8" i="5"/>
  <c r="Z6" i="5"/>
  <c r="AO783" i="18"/>
  <c r="AF898" i="18"/>
  <c r="AO674" i="18"/>
  <c r="AO546" i="18"/>
  <c r="AO418" i="18"/>
  <c r="AF162" i="18"/>
  <c r="AF34" i="18"/>
  <c r="AD36" i="28" s="1"/>
  <c r="AF841" i="18"/>
  <c r="AF713" i="18"/>
  <c r="AF585" i="18"/>
  <c r="AF457" i="18"/>
  <c r="AF329" i="18"/>
  <c r="AF169" i="18"/>
  <c r="AO752" i="18"/>
  <c r="AO592" i="18"/>
  <c r="AF400" i="18"/>
  <c r="AO7" i="18"/>
  <c r="AM9" i="28" s="1"/>
  <c r="AO583" i="18"/>
  <c r="AO348" i="18"/>
  <c r="AO14" i="18"/>
  <c r="AM16" i="28" s="1"/>
  <c r="AO872" i="18"/>
  <c r="AF24" i="18"/>
  <c r="AD26" i="28" s="1"/>
  <c r="AO785" i="18"/>
  <c r="AO729" i="18"/>
  <c r="Y12" i="28"/>
  <c r="AF10" i="18"/>
  <c r="AD12" i="28" s="1"/>
  <c r="AH29" i="28"/>
  <c r="AO27" i="18"/>
  <c r="AM29" i="28" s="1"/>
  <c r="AH41" i="28"/>
  <c r="AO39" i="18"/>
  <c r="Y32" i="28"/>
  <c r="AF30" i="18"/>
  <c r="AD32" i="28" s="1"/>
  <c r="Y28" i="28"/>
  <c r="AF26" i="18"/>
  <c r="AD28" i="28" s="1"/>
  <c r="AO898" i="18"/>
  <c r="AF770" i="18"/>
  <c r="AF642" i="18"/>
  <c r="AF514" i="18"/>
  <c r="AF386" i="18"/>
  <c r="AO162" i="18"/>
  <c r="AO34" i="18"/>
  <c r="AM36" i="28" s="1"/>
  <c r="AO841" i="18"/>
  <c r="AO713" i="18"/>
  <c r="AO585" i="18"/>
  <c r="AO457" i="18"/>
  <c r="AO329" i="18"/>
  <c r="AO169" i="18"/>
  <c r="AF880" i="18"/>
  <c r="AF720" i="18"/>
  <c r="AO400" i="18"/>
  <c r="AO240" i="18"/>
  <c r="AO375" i="18"/>
  <c r="AF7" i="18"/>
  <c r="AD9" i="28" s="1"/>
  <c r="AO635" i="18"/>
  <c r="AO744" i="18"/>
  <c r="AO8" i="18"/>
  <c r="AM10" i="28" s="1"/>
  <c r="AF845" i="18"/>
  <c r="Y20" i="28"/>
  <c r="AF18" i="18"/>
  <c r="AD20" i="28" s="1"/>
  <c r="Y14" i="28"/>
  <c r="AF12" i="18"/>
  <c r="AD14" i="28" s="1"/>
  <c r="AH31" i="28"/>
  <c r="AO29" i="18"/>
  <c r="AM31" i="28" s="1"/>
  <c r="AF695" i="18"/>
  <c r="AF866" i="18"/>
  <c r="AO642" i="18"/>
  <c r="AO514" i="18"/>
  <c r="AO386" i="18"/>
  <c r="AF258" i="18"/>
  <c r="AF130" i="18"/>
  <c r="AF809" i="18"/>
  <c r="AF681" i="18"/>
  <c r="AF553" i="18"/>
  <c r="AF297" i="18"/>
  <c r="AF105" i="18"/>
  <c r="AO880" i="18"/>
  <c r="AO720" i="18"/>
  <c r="AF528" i="18"/>
  <c r="AF368" i="18"/>
  <c r="AO208" i="18"/>
  <c r="AO48" i="18"/>
  <c r="AO56" i="18"/>
  <c r="AF22" i="18"/>
  <c r="AD24" i="28" s="1"/>
  <c r="AO449" i="18"/>
  <c r="AF15" i="18"/>
  <c r="AD17" i="28" s="1"/>
  <c r="AF800" i="18"/>
  <c r="AO76" i="18"/>
  <c r="AF650" i="18"/>
  <c r="Y35" i="28"/>
  <c r="AF33" i="18"/>
  <c r="AD35" i="28" s="1"/>
  <c r="Y31" i="28"/>
  <c r="AF29" i="18"/>
  <c r="AD31" i="28" s="1"/>
  <c r="Y27" i="28"/>
  <c r="AF25" i="18"/>
  <c r="AD27" i="28" s="1"/>
  <c r="AI61" i="5"/>
  <c r="AO890" i="18"/>
  <c r="AH876" i="28"/>
  <c r="AO874" i="18"/>
  <c r="AI59" i="5"/>
  <c r="AO860" i="18"/>
  <c r="AH860" i="28"/>
  <c r="AO858" i="18"/>
  <c r="AH856" i="28"/>
  <c r="AO854" i="18"/>
  <c r="AH840" i="28"/>
  <c r="AO838" i="18"/>
  <c r="AI57" i="5"/>
  <c r="AO830" i="18"/>
  <c r="AH826" i="28"/>
  <c r="AO824" i="18"/>
  <c r="AH818" i="28"/>
  <c r="AO816" i="18"/>
  <c r="AH810" i="28"/>
  <c r="AO808" i="18"/>
  <c r="AI55" i="5"/>
  <c r="AO800" i="18"/>
  <c r="AH796" i="28"/>
  <c r="AO794" i="18"/>
  <c r="AH794" i="28"/>
  <c r="AO792" i="18"/>
  <c r="AH772" i="28"/>
  <c r="AI53" i="5"/>
  <c r="AH766" i="28"/>
  <c r="AO764" i="18"/>
  <c r="AH760" i="28"/>
  <c r="AO758" i="18"/>
  <c r="AI51" i="5"/>
  <c r="AO740" i="18"/>
  <c r="AH732" i="28"/>
  <c r="AO730" i="18"/>
  <c r="AH728" i="28"/>
  <c r="AO726" i="18"/>
  <c r="AI49" i="5"/>
  <c r="AO710" i="18"/>
  <c r="AH706" i="28"/>
  <c r="AO704" i="18"/>
  <c r="AH690" i="28"/>
  <c r="AO688" i="18"/>
  <c r="AH682" i="28"/>
  <c r="AI47" i="5"/>
  <c r="AO680" i="18"/>
  <c r="AH668" i="28"/>
  <c r="AO666" i="18"/>
  <c r="AH666" i="28"/>
  <c r="AO664" i="18"/>
  <c r="AH656" i="28"/>
  <c r="AO654" i="18"/>
  <c r="AH654" i="28"/>
  <c r="AO652" i="18"/>
  <c r="AI45" i="5"/>
  <c r="AO650" i="18"/>
  <c r="AH648" i="28"/>
  <c r="AO646" i="18"/>
  <c r="AI43" i="5"/>
  <c r="AO620" i="18"/>
  <c r="AH618" i="28"/>
  <c r="AO616" i="18"/>
  <c r="AH608" i="28"/>
  <c r="AO606" i="18"/>
  <c r="AH600" i="28"/>
  <c r="AO598" i="18"/>
  <c r="AH592" i="28"/>
  <c r="AI41" i="5"/>
  <c r="AO590" i="18"/>
  <c r="AH574" i="28"/>
  <c r="AO572" i="18"/>
  <c r="AH568" i="28"/>
  <c r="AO566" i="18"/>
  <c r="AH564" i="28"/>
  <c r="AO562" i="18"/>
  <c r="AH562" i="28"/>
  <c r="AI39" i="5"/>
  <c r="AO560" i="18"/>
  <c r="AH554" i="28"/>
  <c r="AO552" i="18"/>
  <c r="AH542" i="28"/>
  <c r="AO540" i="18"/>
  <c r="AI37" i="5"/>
  <c r="AO530" i="18"/>
  <c r="AI35" i="5"/>
  <c r="AO500" i="18"/>
  <c r="AH492" i="28"/>
  <c r="AO490" i="18"/>
  <c r="AH490" i="28"/>
  <c r="AO488" i="18"/>
  <c r="AH488" i="28"/>
  <c r="AO486" i="18"/>
  <c r="AH476" i="28"/>
  <c r="AO474" i="18"/>
  <c r="AH472" i="28"/>
  <c r="AI33" i="5"/>
  <c r="AH462" i="28"/>
  <c r="AO460" i="18"/>
  <c r="AH456" i="28"/>
  <c r="AO454" i="18"/>
  <c r="AH442" i="28"/>
  <c r="AI31" i="5"/>
  <c r="AO440" i="18"/>
  <c r="AH434" i="28"/>
  <c r="AO432" i="18"/>
  <c r="AH426" i="28"/>
  <c r="AO424" i="18"/>
  <c r="AI29" i="5"/>
  <c r="AI27" i="5"/>
  <c r="AO380" i="18"/>
  <c r="AH362" i="28"/>
  <c r="AO360" i="18"/>
  <c r="AI25" i="5"/>
  <c r="AO350" i="18"/>
  <c r="AH348" i="28"/>
  <c r="AO346" i="18"/>
  <c r="AH336" i="28"/>
  <c r="AO334" i="18"/>
  <c r="AI23" i="5"/>
  <c r="AO320" i="18"/>
  <c r="AH320" i="28"/>
  <c r="AO318" i="18"/>
  <c r="AH314" i="28"/>
  <c r="AO312" i="18"/>
  <c r="AH306" i="28"/>
  <c r="AO304" i="18"/>
  <c r="AH304" i="28"/>
  <c r="AO302" i="18"/>
  <c r="AH298" i="28"/>
  <c r="AO296" i="18"/>
  <c r="AH292" i="28"/>
  <c r="AI21" i="5"/>
  <c r="AH270" i="28"/>
  <c r="AO268" i="18"/>
  <c r="AH268" i="28"/>
  <c r="AO266" i="18"/>
  <c r="AI19" i="5"/>
  <c r="AO260" i="18"/>
  <c r="AH234" i="28"/>
  <c r="AO232" i="18"/>
  <c r="AI17" i="5"/>
  <c r="AO230" i="18"/>
  <c r="AH220" i="28"/>
  <c r="AH204" i="28"/>
  <c r="AI15" i="5"/>
  <c r="AH194" i="28"/>
  <c r="AO192" i="18"/>
  <c r="AH186" i="28"/>
  <c r="AO184" i="18"/>
  <c r="AH178" i="28"/>
  <c r="AO176" i="18"/>
  <c r="AI13" i="5"/>
  <c r="AH170" i="28"/>
  <c r="AO168" i="18"/>
  <c r="AH168" i="28"/>
  <c r="AO166" i="18"/>
  <c r="AH158" i="28"/>
  <c r="AH152" i="28"/>
  <c r="AO150" i="18"/>
  <c r="AI11" i="5"/>
  <c r="AH112" i="28"/>
  <c r="AI9" i="5"/>
  <c r="AH106" i="28"/>
  <c r="AO104" i="18"/>
  <c r="AH104" i="28"/>
  <c r="AO102" i="18"/>
  <c r="AH102" i="28"/>
  <c r="AO100" i="18"/>
  <c r="AH92" i="28"/>
  <c r="AO90" i="18"/>
  <c r="AI7" i="5"/>
  <c r="AH64" i="28"/>
  <c r="AO62" i="18"/>
  <c r="AI5" i="5"/>
  <c r="AO695" i="18"/>
  <c r="AO866" i="18"/>
  <c r="AO738" i="18"/>
  <c r="AF610" i="18"/>
  <c r="AF482" i="18"/>
  <c r="AF354" i="18"/>
  <c r="AO258" i="18"/>
  <c r="AO130" i="18"/>
  <c r="AO809" i="18"/>
  <c r="AO681" i="18"/>
  <c r="AO553" i="18"/>
  <c r="AF425" i="18"/>
  <c r="AO297" i="18"/>
  <c r="AO105" i="18"/>
  <c r="AF848" i="18"/>
  <c r="AF688" i="18"/>
  <c r="AO528" i="18"/>
  <c r="AO368" i="18"/>
  <c r="AF16" i="18"/>
  <c r="AD18" i="28" s="1"/>
  <c r="AO519" i="18"/>
  <c r="AO870" i="18"/>
  <c r="AO174" i="18"/>
  <c r="AO46" i="18"/>
  <c r="AO17" i="18"/>
  <c r="AM19" i="28" s="1"/>
  <c r="AO282" i="18"/>
  <c r="AO321" i="18"/>
  <c r="AF440" i="18"/>
  <c r="B5" i="19"/>
  <c r="B7" i="19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Y51" i="28"/>
  <c r="Y47" i="28"/>
  <c r="Y39" i="28"/>
  <c r="AH906" i="28"/>
  <c r="AH904" i="28"/>
  <c r="AH902" i="28"/>
  <c r="AH898" i="28"/>
  <c r="AH896" i="28"/>
  <c r="AH894" i="28"/>
  <c r="AH892" i="28"/>
  <c r="AH890" i="28"/>
  <c r="AH888" i="28"/>
  <c r="AH886" i="28"/>
  <c r="AH884" i="28"/>
  <c r="AH880" i="28"/>
  <c r="AH878" i="28"/>
  <c r="AH870" i="28"/>
  <c r="AH866" i="28"/>
  <c r="AH864" i="28"/>
  <c r="AH862" i="28"/>
  <c r="AH858" i="28"/>
  <c r="AH854" i="28"/>
  <c r="AH852" i="28"/>
  <c r="AH848" i="28"/>
  <c r="AH846" i="28"/>
  <c r="AH844" i="28"/>
  <c r="AH842" i="28"/>
  <c r="AH838" i="28"/>
  <c r="AH834" i="28"/>
  <c r="AH832" i="28"/>
  <c r="AH830" i="28"/>
  <c r="AH828" i="28"/>
  <c r="AH824" i="28"/>
  <c r="AH822" i="28"/>
  <c r="AH820" i="28"/>
  <c r="AH816" i="28"/>
  <c r="AH814" i="28"/>
  <c r="AH812" i="28"/>
  <c r="AH808" i="28"/>
  <c r="AH806" i="28"/>
  <c r="AH802" i="28"/>
  <c r="AH800" i="28"/>
  <c r="AH798" i="28"/>
  <c r="AH792" i="28"/>
  <c r="AH790" i="28"/>
  <c r="AH788" i="28"/>
  <c r="AH784" i="28"/>
  <c r="AH782" i="28"/>
  <c r="AH780" i="28"/>
  <c r="AH778" i="28"/>
  <c r="AH776" i="28"/>
  <c r="AH774" i="28"/>
  <c r="AH770" i="28"/>
  <c r="AH768" i="28"/>
  <c r="AH764" i="28"/>
  <c r="AH762" i="28"/>
  <c r="AH758" i="28"/>
  <c r="AH756" i="28"/>
  <c r="AH752" i="28"/>
  <c r="AH750" i="28"/>
  <c r="AH748" i="28"/>
  <c r="AH742" i="28"/>
  <c r="AH738" i="28"/>
  <c r="AH736" i="28"/>
  <c r="AH734" i="28"/>
  <c r="AH730" i="28"/>
  <c r="AH726" i="28"/>
  <c r="AH724" i="28"/>
  <c r="AH720" i="28"/>
  <c r="AH718" i="28"/>
  <c r="AH716" i="28"/>
  <c r="AH714" i="28"/>
  <c r="AH712" i="28"/>
  <c r="AH710" i="28"/>
  <c r="AH704" i="28"/>
  <c r="AH702" i="28"/>
  <c r="AH700" i="28"/>
  <c r="AH698" i="28"/>
  <c r="AH694" i="28"/>
  <c r="AH692" i="28"/>
  <c r="AH688" i="28"/>
  <c r="AH686" i="28"/>
  <c r="AH684" i="28"/>
  <c r="AH680" i="28"/>
  <c r="AH678" i="28"/>
  <c r="AH674" i="28"/>
  <c r="AH672" i="28"/>
  <c r="AH670" i="28"/>
  <c r="AH664" i="28"/>
  <c r="AH662" i="28"/>
  <c r="AH660" i="28"/>
  <c r="AH652" i="28"/>
  <c r="AH650" i="28"/>
  <c r="AH646" i="28"/>
  <c r="AH642" i="28"/>
  <c r="AH640" i="28"/>
  <c r="AH638" i="28"/>
  <c r="AH636" i="28"/>
  <c r="AH634" i="28"/>
  <c r="AH632" i="28"/>
  <c r="AH630" i="28"/>
  <c r="AH628" i="28"/>
  <c r="AH624" i="28"/>
  <c r="AH622" i="28"/>
  <c r="AH620" i="28"/>
  <c r="AH616" i="28"/>
  <c r="AH614" i="28"/>
  <c r="AH610" i="28"/>
  <c r="AH606" i="28"/>
  <c r="AH604" i="28"/>
  <c r="AH602" i="28"/>
  <c r="AH598" i="28"/>
  <c r="AH596" i="28"/>
  <c r="AH590" i="28"/>
  <c r="AH588" i="28"/>
  <c r="AH586" i="28"/>
  <c r="AH584" i="28"/>
  <c r="AH582" i="28"/>
  <c r="AH578" i="28"/>
  <c r="AH576" i="28"/>
  <c r="AH572" i="28"/>
  <c r="AH570" i="28"/>
  <c r="AH566" i="28"/>
  <c r="AH560" i="28"/>
  <c r="AH558" i="28"/>
  <c r="AH556" i="28"/>
  <c r="AH552" i="28"/>
  <c r="AH550" i="28"/>
  <c r="AH546" i="28"/>
  <c r="AH544" i="28"/>
  <c r="AH540" i="28"/>
  <c r="AH538" i="28"/>
  <c r="AH536" i="28"/>
  <c r="AH534" i="28"/>
  <c r="AH532" i="28"/>
  <c r="AH528" i="28"/>
  <c r="AH526" i="28"/>
  <c r="AH524" i="28"/>
  <c r="AH522" i="28"/>
  <c r="AH520" i="28"/>
  <c r="AH518" i="28"/>
  <c r="AH514" i="28"/>
  <c r="AH512" i="28"/>
  <c r="AH510" i="28"/>
  <c r="AH508" i="28"/>
  <c r="AH506" i="28"/>
  <c r="AH504" i="28"/>
  <c r="AH502" i="28"/>
  <c r="AH500" i="28"/>
  <c r="AH496" i="28"/>
  <c r="AH494" i="28"/>
  <c r="AH486" i="28"/>
  <c r="AH482" i="28"/>
  <c r="AH480" i="28"/>
  <c r="AH478" i="28"/>
  <c r="AH474" i="28"/>
  <c r="AH470" i="28"/>
  <c r="AH468" i="28"/>
  <c r="AH464" i="28"/>
  <c r="AH460" i="28"/>
  <c r="AH458" i="28"/>
  <c r="AH454" i="28"/>
  <c r="AH450" i="28"/>
  <c r="AH448" i="28"/>
  <c r="AH446" i="28"/>
  <c r="AH444" i="28"/>
  <c r="AH440" i="28"/>
  <c r="AH438" i="28"/>
  <c r="AH436" i="28"/>
  <c r="AH432" i="28"/>
  <c r="AH430" i="28"/>
  <c r="AH428" i="28"/>
  <c r="AH424" i="28"/>
  <c r="AH422" i="28"/>
  <c r="AH418" i="28"/>
  <c r="AH416" i="28"/>
  <c r="AH414" i="28"/>
  <c r="AH412" i="28"/>
  <c r="AH410" i="28"/>
  <c r="AH408" i="28"/>
  <c r="AH406" i="28"/>
  <c r="AH404" i="28"/>
  <c r="AH400" i="28"/>
  <c r="AH398" i="28"/>
  <c r="AH396" i="28"/>
  <c r="AH394" i="28"/>
  <c r="AH392" i="28"/>
  <c r="AH390" i="28"/>
  <c r="AH386" i="28"/>
  <c r="AH384" i="28"/>
  <c r="AH382" i="28"/>
  <c r="AH380" i="28"/>
  <c r="AH378" i="28"/>
  <c r="AH376" i="28"/>
  <c r="AH374" i="28"/>
  <c r="AH372" i="28"/>
  <c r="AH368" i="28"/>
  <c r="AH366" i="28"/>
  <c r="AH364" i="28"/>
  <c r="AH360" i="28"/>
  <c r="AH358" i="28"/>
  <c r="AH354" i="28"/>
  <c r="AH352" i="28"/>
  <c r="AH346" i="28"/>
  <c r="AH344" i="28"/>
  <c r="AH342" i="28"/>
  <c r="AH340" i="28"/>
  <c r="AH334" i="28"/>
  <c r="AH332" i="28"/>
  <c r="AH330" i="28"/>
  <c r="AH328" i="28"/>
  <c r="AH326" i="28"/>
  <c r="AH322" i="28"/>
  <c r="AH318" i="28"/>
  <c r="AH316" i="28"/>
  <c r="AH312" i="28"/>
  <c r="AH310" i="28"/>
  <c r="AH308" i="28"/>
  <c r="AH302" i="28"/>
  <c r="AH300" i="28"/>
  <c r="AH296" i="28"/>
  <c r="AH294" i="28"/>
  <c r="AH290" i="28"/>
  <c r="AH288" i="28"/>
  <c r="AH286" i="28"/>
  <c r="AH282" i="28"/>
  <c r="AH280" i="28"/>
  <c r="AH278" i="28"/>
  <c r="AH276" i="28"/>
  <c r="AH272" i="28"/>
  <c r="AH266" i="28"/>
  <c r="AH264" i="28"/>
  <c r="AH262" i="28"/>
  <c r="AH258" i="28"/>
  <c r="AH256" i="28"/>
  <c r="AH254" i="28"/>
  <c r="AH252" i="28"/>
  <c r="AH250" i="28"/>
  <c r="AH248" i="28"/>
  <c r="AH246" i="28"/>
  <c r="AH244" i="28"/>
  <c r="AH240" i="28"/>
  <c r="AH238" i="28"/>
  <c r="AH236" i="28"/>
  <c r="AH232" i="28"/>
  <c r="AH230" i="28"/>
  <c r="AH226" i="28"/>
  <c r="AH224" i="28"/>
  <c r="AH222" i="28"/>
  <c r="AH218" i="28"/>
  <c r="AH216" i="28"/>
  <c r="AH214" i="28"/>
  <c r="AH212" i="28"/>
  <c r="AH208" i="28"/>
  <c r="AH206" i="28"/>
  <c r="AH202" i="28"/>
  <c r="AH200" i="28"/>
  <c r="AH198" i="28"/>
  <c r="AH192" i="28"/>
  <c r="AH190" i="28"/>
  <c r="AH188" i="28"/>
  <c r="AH184" i="28"/>
  <c r="AH182" i="28"/>
  <c r="AH180" i="28"/>
  <c r="AH174" i="28"/>
  <c r="AH172" i="28"/>
  <c r="AH166" i="28"/>
  <c r="AH162" i="28"/>
  <c r="AH160" i="28"/>
  <c r="AH154" i="28"/>
  <c r="AH150" i="28"/>
  <c r="AH148" i="28"/>
  <c r="AH144" i="28"/>
  <c r="AH142" i="28"/>
  <c r="AH140" i="28"/>
  <c r="AH138" i="28"/>
  <c r="AH136" i="28"/>
  <c r="AH134" i="28"/>
  <c r="AH130" i="28"/>
  <c r="AH128" i="28"/>
  <c r="AH126" i="28"/>
  <c r="AH124" i="28"/>
  <c r="AH122" i="28"/>
  <c r="AH120" i="28"/>
  <c r="AH118" i="28"/>
  <c r="AH116" i="28"/>
  <c r="AH110" i="28"/>
  <c r="AH108" i="28"/>
  <c r="AH98" i="28"/>
  <c r="AH96" i="28"/>
  <c r="AH94" i="28"/>
  <c r="AH90" i="28"/>
  <c r="AH88" i="28"/>
  <c r="AH86" i="28"/>
  <c r="AH84" i="28"/>
  <c r="AH82" i="28"/>
  <c r="AH80" i="28"/>
  <c r="AH76" i="28"/>
  <c r="AH74" i="28"/>
  <c r="AH72" i="28"/>
  <c r="AH70" i="28"/>
  <c r="AH66" i="28"/>
  <c r="AH62" i="28"/>
  <c r="AH60" i="28"/>
  <c r="AH56" i="28"/>
  <c r="AH54" i="28"/>
  <c r="AH52" i="28"/>
  <c r="AH39" i="28"/>
  <c r="AH46" i="28"/>
  <c r="Y906" i="28"/>
  <c r="Y904" i="28"/>
  <c r="Y902" i="28"/>
  <c r="Y898" i="28"/>
  <c r="Y896" i="28"/>
  <c r="Y894" i="28"/>
  <c r="Y892" i="28"/>
  <c r="Y890" i="28"/>
  <c r="Y888" i="28"/>
  <c r="Y886" i="28"/>
  <c r="Y884" i="28"/>
  <c r="Y880" i="28"/>
  <c r="Y878" i="28"/>
  <c r="Y876" i="28"/>
  <c r="Y874" i="28"/>
  <c r="Y872" i="28"/>
  <c r="Y870" i="28"/>
  <c r="Y866" i="28"/>
  <c r="Y864" i="28"/>
  <c r="Y862" i="28"/>
  <c r="Y860" i="28"/>
  <c r="Y858" i="28"/>
  <c r="Y856" i="28"/>
  <c r="Y854" i="28"/>
  <c r="Y852" i="28"/>
  <c r="Y848" i="28"/>
  <c r="Y844" i="28"/>
  <c r="Y842" i="28"/>
  <c r="Y840" i="28"/>
  <c r="Y838" i="28"/>
  <c r="Y834" i="28"/>
  <c r="Y832" i="28"/>
  <c r="Y830" i="28"/>
  <c r="Y828" i="28"/>
  <c r="Y826" i="28"/>
  <c r="Y824" i="28"/>
  <c r="Y822" i="28"/>
  <c r="Y820" i="28"/>
  <c r="Y816" i="28"/>
  <c r="Y814" i="28"/>
  <c r="Y812" i="28"/>
  <c r="Y810" i="28"/>
  <c r="Y808" i="28"/>
  <c r="Y806" i="28"/>
  <c r="Y802" i="28"/>
  <c r="Y800" i="28"/>
  <c r="Y798" i="28"/>
  <c r="Y796" i="28"/>
  <c r="Y794" i="28"/>
  <c r="Y792" i="28"/>
  <c r="Y790" i="28"/>
  <c r="Y788" i="28"/>
  <c r="Y784" i="28"/>
  <c r="Y782" i="28"/>
  <c r="Y780" i="28"/>
  <c r="Y778" i="28"/>
  <c r="Y776" i="28"/>
  <c r="Y774" i="28"/>
  <c r="Y770" i="28"/>
  <c r="Y768" i="28"/>
  <c r="Y766" i="28"/>
  <c r="Y764" i="28"/>
  <c r="Y762" i="28"/>
  <c r="Y760" i="28"/>
  <c r="Y758" i="28"/>
  <c r="Y756" i="28"/>
  <c r="Y752" i="28"/>
  <c r="Y750" i="28"/>
  <c r="Y748" i="28"/>
  <c r="Y746" i="28"/>
  <c r="Y744" i="28"/>
  <c r="Y742" i="28"/>
  <c r="Y738" i="28"/>
  <c r="Y736" i="28"/>
  <c r="Y734" i="28"/>
  <c r="Y732" i="28"/>
  <c r="Y730" i="28"/>
  <c r="Y728" i="28"/>
  <c r="Y726" i="28"/>
  <c r="Y724" i="28"/>
  <c r="Y720" i="28"/>
  <c r="Y718" i="28"/>
  <c r="Y714" i="28"/>
  <c r="Y712" i="28"/>
  <c r="Y710" i="28"/>
  <c r="Y706" i="28"/>
  <c r="Y704" i="28"/>
  <c r="Y702" i="28"/>
  <c r="Y700" i="28"/>
  <c r="Y698" i="28"/>
  <c r="Y696" i="28"/>
  <c r="Y694" i="28"/>
  <c r="Y692" i="28"/>
  <c r="Y688" i="28"/>
  <c r="Y686" i="28"/>
  <c r="Y684" i="28"/>
  <c r="Y682" i="28"/>
  <c r="Y680" i="28"/>
  <c r="Y678" i="28"/>
  <c r="Y674" i="28"/>
  <c r="Y672" i="28"/>
  <c r="Y670" i="28"/>
  <c r="Y668" i="28"/>
  <c r="Y666" i="28"/>
  <c r="Y664" i="28"/>
  <c r="Y662" i="28"/>
  <c r="Y660" i="28"/>
  <c r="Y656" i="28"/>
  <c r="Y654" i="28"/>
  <c r="Y652" i="28"/>
  <c r="Y650" i="28"/>
  <c r="Y648" i="28"/>
  <c r="Y646" i="28"/>
  <c r="Y642" i="28"/>
  <c r="Y640" i="28"/>
  <c r="Y638" i="28"/>
  <c r="Y636" i="28"/>
  <c r="Y634" i="28"/>
  <c r="Y632" i="28"/>
  <c r="Y630" i="28"/>
  <c r="Y628" i="28"/>
  <c r="Y624" i="28"/>
  <c r="Y622" i="28"/>
  <c r="Y620" i="28"/>
  <c r="Y618" i="28"/>
  <c r="Y616" i="28"/>
  <c r="Y614" i="28"/>
  <c r="Y610" i="28"/>
  <c r="Y608" i="28"/>
  <c r="Y606" i="28"/>
  <c r="Y602" i="28"/>
  <c r="Y600" i="28"/>
  <c r="Y598" i="28"/>
  <c r="Y596" i="28"/>
  <c r="Y592" i="28"/>
  <c r="Y590" i="28"/>
  <c r="Y588" i="28"/>
  <c r="Y586" i="28"/>
  <c r="Y584" i="28"/>
  <c r="Y582" i="28"/>
  <c r="Y578" i="28"/>
  <c r="Y576" i="28"/>
  <c r="Y574" i="28"/>
  <c r="Y572" i="28"/>
  <c r="Y570" i="28"/>
  <c r="Y568" i="28"/>
  <c r="Y566" i="28"/>
  <c r="Y564" i="28"/>
  <c r="Y560" i="28"/>
  <c r="Y558" i="28"/>
  <c r="Y556" i="28"/>
  <c r="Y554" i="28"/>
  <c r="Y552" i="28"/>
  <c r="Y550" i="28"/>
  <c r="Y546" i="28"/>
  <c r="Y544" i="28"/>
  <c r="Y542" i="28"/>
  <c r="Y538" i="28"/>
  <c r="Y536" i="28"/>
  <c r="Y534" i="28"/>
  <c r="Y532" i="28"/>
  <c r="Y528" i="28"/>
  <c r="Y526" i="28"/>
  <c r="Y524" i="28"/>
  <c r="Y522" i="28"/>
  <c r="Y520" i="28"/>
  <c r="Y518" i="28"/>
  <c r="Y514" i="28"/>
  <c r="Y512" i="28"/>
  <c r="Y510" i="28"/>
  <c r="Y508" i="28"/>
  <c r="Y506" i="28"/>
  <c r="Y504" i="28"/>
  <c r="Y502" i="28"/>
  <c r="Y500" i="28"/>
  <c r="Y496" i="28"/>
  <c r="Y494" i="28"/>
  <c r="Y492" i="28"/>
  <c r="Y490" i="28"/>
  <c r="Y488" i="28"/>
  <c r="Y486" i="28"/>
  <c r="Y482" i="28"/>
  <c r="Y480" i="28"/>
  <c r="Y478" i="28"/>
  <c r="Y476" i="28"/>
  <c r="Y474" i="28"/>
  <c r="Y472" i="28"/>
  <c r="Y470" i="28"/>
  <c r="Y468" i="28"/>
  <c r="Y464" i="28"/>
  <c r="Y462" i="28"/>
  <c r="Y460" i="28"/>
  <c r="Y458" i="28"/>
  <c r="Y456" i="28"/>
  <c r="Y454" i="28"/>
  <c r="Y450" i="28"/>
  <c r="Y448" i="28"/>
  <c r="Y446" i="28"/>
  <c r="Y444" i="28"/>
  <c r="Y442" i="28"/>
  <c r="Y440" i="28"/>
  <c r="Y438" i="28"/>
  <c r="Y436" i="28"/>
  <c r="Y432" i="28"/>
  <c r="Y430" i="28"/>
  <c r="Y428" i="28"/>
  <c r="Y426" i="28"/>
  <c r="Y424" i="28"/>
  <c r="Y422" i="28"/>
  <c r="Y418" i="28"/>
  <c r="Y416" i="28"/>
  <c r="Y414" i="28"/>
  <c r="Y410" i="28"/>
  <c r="Y408" i="28"/>
  <c r="Y406" i="28"/>
  <c r="Y404" i="28"/>
  <c r="Y400" i="28"/>
  <c r="Y398" i="28"/>
  <c r="Y396" i="28"/>
  <c r="Y394" i="28"/>
  <c r="Y392" i="28"/>
  <c r="Y390" i="28"/>
  <c r="Y386" i="28"/>
  <c r="Y384" i="28"/>
  <c r="Y382" i="28"/>
  <c r="Y380" i="28"/>
  <c r="Y378" i="28"/>
  <c r="Y376" i="28"/>
  <c r="Y372" i="28"/>
  <c r="Y368" i="28"/>
  <c r="Y366" i="28"/>
  <c r="Y364" i="28"/>
  <c r="Y362" i="28"/>
  <c r="Y360" i="28"/>
  <c r="Y358" i="28"/>
  <c r="Y354" i="28"/>
  <c r="Y352" i="28"/>
  <c r="Y350" i="28"/>
  <c r="Y348" i="28"/>
  <c r="Y346" i="28"/>
  <c r="Y344" i="28"/>
  <c r="Y342" i="28"/>
  <c r="Y340" i="28"/>
  <c r="Y336" i="28"/>
  <c r="Y334" i="28"/>
  <c r="Y332" i="28"/>
  <c r="Y330" i="28"/>
  <c r="Y328" i="28"/>
  <c r="Y326" i="28"/>
  <c r="Y322" i="28"/>
  <c r="Y320" i="28"/>
  <c r="Y318" i="28"/>
  <c r="Y316" i="28"/>
  <c r="Y314" i="28"/>
  <c r="Y312" i="28"/>
  <c r="Y310" i="28"/>
  <c r="Y308" i="28"/>
  <c r="Y304" i="28"/>
  <c r="Y302" i="28"/>
  <c r="Y300" i="28"/>
  <c r="Y298" i="28"/>
  <c r="Y296" i="28"/>
  <c r="Y294" i="28"/>
  <c r="Y290" i="28"/>
  <c r="Y288" i="28"/>
  <c r="Y286" i="28"/>
  <c r="Y284" i="28"/>
  <c r="Y282" i="28"/>
  <c r="Y280" i="28"/>
  <c r="Y278" i="28"/>
  <c r="Y276" i="28"/>
  <c r="Y274" i="28"/>
  <c r="Y272" i="28"/>
  <c r="Y270" i="28"/>
  <c r="Y268" i="28"/>
  <c r="Y266" i="28"/>
  <c r="Y264" i="28"/>
  <c r="Y262" i="28"/>
  <c r="Y258" i="28"/>
  <c r="Y256" i="28"/>
  <c r="Y254" i="28"/>
  <c r="Y252" i="28"/>
  <c r="Y250" i="28"/>
  <c r="Y248" i="28"/>
  <c r="Y246" i="28"/>
  <c r="Y244" i="28"/>
  <c r="Y242" i="28"/>
  <c r="Y240" i="28"/>
  <c r="Y238" i="28"/>
  <c r="Y236" i="28"/>
  <c r="Y234" i="28"/>
  <c r="Y232" i="28"/>
  <c r="Y230" i="28"/>
  <c r="Y226" i="28"/>
  <c r="Y224" i="28"/>
  <c r="Y222" i="28"/>
  <c r="Y220" i="28"/>
  <c r="Y218" i="28"/>
  <c r="Y216" i="28"/>
  <c r="Y214" i="28"/>
  <c r="Y212" i="28"/>
  <c r="Y210" i="28"/>
  <c r="Y208" i="28"/>
  <c r="Y206" i="28"/>
  <c r="Y204" i="28"/>
  <c r="Y202" i="28"/>
  <c r="Y200" i="28"/>
  <c r="Y198" i="28"/>
  <c r="Y194" i="28"/>
  <c r="Y192" i="28"/>
  <c r="Y190" i="28"/>
  <c r="Y188" i="28"/>
  <c r="Y186" i="28"/>
  <c r="Y184" i="28"/>
  <c r="Y182" i="28"/>
  <c r="Y180" i="28"/>
  <c r="Y178" i="28"/>
  <c r="Y176" i="28"/>
  <c r="Y174" i="28"/>
  <c r="Y172" i="28"/>
  <c r="Y170" i="28"/>
  <c r="Y168" i="28"/>
  <c r="Y166" i="28"/>
  <c r="Y162" i="28"/>
  <c r="Y160" i="28"/>
  <c r="Y158" i="28"/>
  <c r="Y156" i="28"/>
  <c r="Y154" i="28"/>
  <c r="Y152" i="28"/>
  <c r="Y150" i="28"/>
  <c r="Y148" i="28"/>
  <c r="Y146" i="28"/>
  <c r="Y144" i="28"/>
  <c r="Y142" i="28"/>
  <c r="Y140" i="28"/>
  <c r="Y138" i="28"/>
  <c r="Y136" i="28"/>
  <c r="Y134" i="28"/>
  <c r="Y130" i="28"/>
  <c r="Y128" i="28"/>
  <c r="Y126" i="28"/>
  <c r="Y124" i="28"/>
  <c r="Y122" i="28"/>
  <c r="Y120" i="28"/>
  <c r="Y118" i="28"/>
  <c r="Y116" i="28"/>
  <c r="Y114" i="28"/>
  <c r="Y112" i="28"/>
  <c r="Y110" i="28"/>
  <c r="Y108" i="28"/>
  <c r="Y106" i="28"/>
  <c r="Y104" i="28"/>
  <c r="Y102" i="28"/>
  <c r="Y98" i="28"/>
  <c r="Y96" i="28"/>
  <c r="Y94" i="28"/>
  <c r="Y92" i="28"/>
  <c r="Y90" i="28"/>
  <c r="Y88" i="28"/>
  <c r="Y86" i="28"/>
  <c r="Y84" i="28"/>
  <c r="Y82" i="28"/>
  <c r="Y80" i="28"/>
  <c r="Y78" i="28"/>
  <c r="Y76" i="28"/>
  <c r="Y74" i="28"/>
  <c r="Y72" i="28"/>
  <c r="Y70" i="28"/>
  <c r="Y66" i="28"/>
  <c r="Y64" i="28"/>
  <c r="Y62" i="28"/>
  <c r="Y60" i="28"/>
  <c r="Y58" i="28"/>
  <c r="Y56" i="28"/>
  <c r="Y54" i="28"/>
  <c r="AH51" i="28"/>
  <c r="Y50" i="28"/>
  <c r="Y46" i="28"/>
  <c r="Y42" i="28"/>
  <c r="AH49" i="28"/>
  <c r="AH45" i="28"/>
  <c r="Y49" i="28"/>
  <c r="Y45" i="28"/>
  <c r="Y41" i="28"/>
  <c r="AH903" i="28"/>
  <c r="AH901" i="28"/>
  <c r="AH897" i="28"/>
  <c r="AH893" i="28"/>
  <c r="AH891" i="28"/>
  <c r="AH889" i="28"/>
  <c r="AH887" i="28"/>
  <c r="AH879" i="28"/>
  <c r="AH877" i="28"/>
  <c r="AH873" i="28"/>
  <c r="AH871" i="28"/>
  <c r="AH867" i="28"/>
  <c r="AH865" i="28"/>
  <c r="AH861" i="28"/>
  <c r="AH859" i="28"/>
  <c r="AH855" i="28"/>
  <c r="AH851" i="28"/>
  <c r="AH849" i="28"/>
  <c r="AH847" i="28"/>
  <c r="AH845" i="28"/>
  <c r="AH841" i="28"/>
  <c r="AH839" i="28"/>
  <c r="AH837" i="28"/>
  <c r="AH833" i="28"/>
  <c r="AH831" i="28"/>
  <c r="AH829" i="28"/>
  <c r="AH827" i="28"/>
  <c r="AH825" i="28"/>
  <c r="AH821" i="28"/>
  <c r="AH817" i="28"/>
  <c r="AH813" i="28"/>
  <c r="AH807" i="28"/>
  <c r="AH803" i="28"/>
  <c r="AH795" i="28"/>
  <c r="AH775" i="28"/>
  <c r="AH773" i="28"/>
  <c r="AH763" i="28"/>
  <c r="AH759" i="28"/>
  <c r="AH749" i="28"/>
  <c r="AH743" i="28"/>
  <c r="AH737" i="28"/>
  <c r="AH735" i="28"/>
  <c r="AH729" i="28"/>
  <c r="AH727" i="28"/>
  <c r="AH725" i="28"/>
  <c r="AH723" i="28"/>
  <c r="AH721" i="28"/>
  <c r="AH719" i="28"/>
  <c r="AH717" i="28"/>
  <c r="AH711" i="28"/>
  <c r="AH709" i="28"/>
  <c r="AH705" i="28"/>
  <c r="AH703" i="28"/>
  <c r="AH701" i="28"/>
  <c r="AH699" i="28"/>
  <c r="AH695" i="28"/>
  <c r="AH691" i="28"/>
  <c r="AH681" i="28"/>
  <c r="AH679" i="28"/>
  <c r="AH675" i="28"/>
  <c r="AH671" i="28"/>
  <c r="AH669" i="28"/>
  <c r="AH667" i="28"/>
  <c r="AH665" i="28"/>
  <c r="AH663" i="28"/>
  <c r="AH661" i="28"/>
  <c r="AH657" i="28"/>
  <c r="AH655" i="28"/>
  <c r="AH653" i="28"/>
  <c r="AH649" i="28"/>
  <c r="AH647" i="28"/>
  <c r="AH645" i="28"/>
  <c r="AH641" i="28"/>
  <c r="AH639" i="28"/>
  <c r="AH637" i="28"/>
  <c r="AH635" i="28"/>
  <c r="AH633" i="28"/>
  <c r="AH631" i="28"/>
  <c r="AH623" i="28"/>
  <c r="AH621" i="28"/>
  <c r="AH611" i="28"/>
  <c r="AH609" i="28"/>
  <c r="AH607" i="28"/>
  <c r="AH605" i="28"/>
  <c r="AH603" i="28"/>
  <c r="AH601" i="28"/>
  <c r="AH597" i="28"/>
  <c r="AH595" i="28"/>
  <c r="AH593" i="28"/>
  <c r="AH591" i="28"/>
  <c r="AH589" i="28"/>
  <c r="AH583" i="28"/>
  <c r="AH581" i="28"/>
  <c r="AH577" i="28"/>
  <c r="AH575" i="28"/>
  <c r="AH573" i="28"/>
  <c r="AH571" i="28"/>
  <c r="AH569" i="28"/>
  <c r="AH567" i="28"/>
  <c r="AH565" i="28"/>
  <c r="AH563" i="28"/>
  <c r="AH559" i="28"/>
  <c r="AH557" i="28"/>
  <c r="AH553" i="28"/>
  <c r="AH551" i="28"/>
  <c r="AH549" i="28"/>
  <c r="AH547" i="28"/>
  <c r="AH545" i="28"/>
  <c r="AH543" i="28"/>
  <c r="AH541" i="28"/>
  <c r="AH539" i="28"/>
  <c r="AH537" i="28"/>
  <c r="AH535" i="28"/>
  <c r="AH533" i="28"/>
  <c r="AH531" i="28"/>
  <c r="AH529" i="28"/>
  <c r="AH527" i="28"/>
  <c r="AH525" i="28"/>
  <c r="AH519" i="28"/>
  <c r="AH517" i="28"/>
  <c r="AH511" i="28"/>
  <c r="AH509" i="28"/>
  <c r="AH507" i="28"/>
  <c r="AH503" i="28"/>
  <c r="AH499" i="28"/>
  <c r="AH497" i="28"/>
  <c r="AH495" i="28"/>
  <c r="AH493" i="28"/>
  <c r="AH489" i="28"/>
  <c r="AH487" i="28"/>
  <c r="AH485" i="28"/>
  <c r="AH483" i="28"/>
  <c r="AH481" i="28"/>
  <c r="AH479" i="28"/>
  <c r="AH477" i="28"/>
  <c r="AH475" i="28"/>
  <c r="AH473" i="28"/>
  <c r="AH471" i="28"/>
  <c r="AH469" i="28"/>
  <c r="AH465" i="28"/>
  <c r="AH463" i="28"/>
  <c r="AH461" i="28"/>
  <c r="AH457" i="28"/>
  <c r="AH455" i="28"/>
  <c r="AH453" i="28"/>
  <c r="AH449" i="28"/>
  <c r="AH447" i="28"/>
  <c r="AH445" i="28"/>
  <c r="AH443" i="28"/>
  <c r="AH439" i="28"/>
  <c r="AH437" i="28"/>
  <c r="AH435" i="28"/>
  <c r="AH431" i="28"/>
  <c r="AH429" i="28"/>
  <c r="AH425" i="28"/>
  <c r="AH423" i="28"/>
  <c r="AH421" i="28"/>
  <c r="AH419" i="28"/>
  <c r="AH415" i="28"/>
  <c r="AH413" i="28"/>
  <c r="AH411" i="28"/>
  <c r="AH409" i="28"/>
  <c r="AH407" i="28"/>
  <c r="AH405" i="28"/>
  <c r="AH403" i="28"/>
  <c r="AH401" i="28"/>
  <c r="AH399" i="28"/>
  <c r="AH397" i="28"/>
  <c r="AH393" i="28"/>
  <c r="AH391" i="28"/>
  <c r="AH385" i="28"/>
  <c r="AH383" i="28"/>
  <c r="AH381" i="28"/>
  <c r="AH379" i="28"/>
  <c r="AH375" i="28"/>
  <c r="AH373" i="28"/>
  <c r="AH371" i="28"/>
  <c r="AH367" i="28"/>
  <c r="AH365" i="28"/>
  <c r="AH361" i="28"/>
  <c r="AH359" i="28"/>
  <c r="AH357" i="28"/>
  <c r="AH355" i="28"/>
  <c r="AH351" i="28"/>
  <c r="AH349" i="28"/>
  <c r="AH347" i="28"/>
  <c r="AH345" i="28"/>
  <c r="AH339" i="28"/>
  <c r="AH337" i="28"/>
  <c r="AH335" i="28"/>
  <c r="AH329" i="28"/>
  <c r="AH327" i="28"/>
  <c r="AH325" i="28"/>
  <c r="AH319" i="28"/>
  <c r="AH317" i="28"/>
  <c r="AH315" i="28"/>
  <c r="AH311" i="28"/>
  <c r="AH303" i="28"/>
  <c r="AH301" i="28"/>
  <c r="AH297" i="28"/>
  <c r="AH295" i="28"/>
  <c r="AH293" i="28"/>
  <c r="AH291" i="28"/>
  <c r="AH289" i="28"/>
  <c r="AH287" i="28"/>
  <c r="AH285" i="28"/>
  <c r="AH283" i="28"/>
  <c r="AH281" i="28"/>
  <c r="AH279" i="28"/>
  <c r="AH277" i="28"/>
  <c r="AH275" i="28"/>
  <c r="AH273" i="28"/>
  <c r="AH271" i="28"/>
  <c r="AH269" i="28"/>
  <c r="AH261" i="28"/>
  <c r="AH257" i="28"/>
  <c r="AH255" i="28"/>
  <c r="AH253" i="28"/>
  <c r="AH251" i="28"/>
  <c r="AH247" i="28"/>
  <c r="AH245" i="28"/>
  <c r="AH243" i="28"/>
  <c r="AH239" i="28"/>
  <c r="AH237" i="28"/>
  <c r="AH233" i="28"/>
  <c r="AH231" i="28"/>
  <c r="AH229" i="28"/>
  <c r="AH227" i="28"/>
  <c r="AH225" i="28"/>
  <c r="AH223" i="28"/>
  <c r="AH221" i="28"/>
  <c r="AH215" i="28"/>
  <c r="AH213" i="28"/>
  <c r="AH209" i="28"/>
  <c r="AH207" i="28"/>
  <c r="AH201" i="28"/>
  <c r="AH199" i="28"/>
  <c r="AH193" i="28"/>
  <c r="AH191" i="28"/>
  <c r="AH189" i="28"/>
  <c r="AH187" i="28"/>
  <c r="AH185" i="28"/>
  <c r="AH183" i="28"/>
  <c r="AH181" i="28"/>
  <c r="AH179" i="28"/>
  <c r="AH175" i="28"/>
  <c r="AH173" i="28"/>
  <c r="AH167" i="28"/>
  <c r="AH165" i="28"/>
  <c r="AH163" i="28"/>
  <c r="AH159" i="28"/>
  <c r="AH157" i="28"/>
  <c r="AH155" i="28"/>
  <c r="AH153" i="28"/>
  <c r="AH149" i="28"/>
  <c r="AH147" i="28"/>
  <c r="AH145" i="28"/>
  <c r="AH143" i="28"/>
  <c r="AH141" i="28"/>
  <c r="AH137" i="28"/>
  <c r="AH135" i="28"/>
  <c r="AH129" i="28"/>
  <c r="AH127" i="28"/>
  <c r="AH125" i="28"/>
  <c r="AH123" i="28"/>
  <c r="AH121" i="28"/>
  <c r="AH119" i="28"/>
  <c r="AH115" i="28"/>
  <c r="AH113" i="28"/>
  <c r="AH111" i="28"/>
  <c r="AH103" i="28"/>
  <c r="AH101" i="28"/>
  <c r="AH99" i="28"/>
  <c r="AH95" i="28"/>
  <c r="AH93" i="28"/>
  <c r="AH91" i="28"/>
  <c r="AH89" i="28"/>
  <c r="AH87" i="28"/>
  <c r="AH85" i="28"/>
  <c r="AH83" i="28"/>
  <c r="AH81" i="28"/>
  <c r="AH79" i="28"/>
  <c r="AH73" i="28"/>
  <c r="AH69" i="28"/>
  <c r="AH65" i="28"/>
  <c r="AH63" i="28"/>
  <c r="AH61" i="28"/>
  <c r="AH59" i="28"/>
  <c r="AH57" i="28"/>
  <c r="AH55" i="28"/>
  <c r="AH823" i="28"/>
  <c r="AH819" i="28"/>
  <c r="AH815" i="28"/>
  <c r="AH809" i="28"/>
  <c r="AH805" i="28"/>
  <c r="AH801" i="28"/>
  <c r="AH799" i="28"/>
  <c r="AH797" i="28"/>
  <c r="AH793" i="28"/>
  <c r="AH791" i="28"/>
  <c r="AH789" i="28"/>
  <c r="AH787" i="28"/>
  <c r="AH783" i="28"/>
  <c r="AH777" i="28"/>
  <c r="AH765" i="28"/>
  <c r="AH761" i="28"/>
  <c r="AH757" i="28"/>
  <c r="AH755" i="28"/>
  <c r="AH751" i="28"/>
  <c r="AH745" i="28"/>
  <c r="AH741" i="28"/>
  <c r="AH739" i="28"/>
  <c r="AH733" i="28"/>
  <c r="AH685" i="28"/>
  <c r="Y905" i="28"/>
  <c r="Y903" i="28"/>
  <c r="Y901" i="28"/>
  <c r="Y899" i="28"/>
  <c r="Y897" i="28"/>
  <c r="Y895" i="28"/>
  <c r="Y893" i="28"/>
  <c r="Y891" i="28"/>
  <c r="Y889" i="28"/>
  <c r="Y887" i="28"/>
  <c r="Y885" i="28"/>
  <c r="Y883" i="28"/>
  <c r="Y879" i="28"/>
  <c r="Y877" i="28"/>
  <c r="Y873" i="28"/>
  <c r="Y871" i="28"/>
  <c r="Y869" i="28"/>
  <c r="Y867" i="28"/>
  <c r="Y865" i="28"/>
  <c r="Y863" i="28"/>
  <c r="Y861" i="28"/>
  <c r="Y859" i="28"/>
  <c r="Y857" i="28"/>
  <c r="Y855" i="28"/>
  <c r="Y853" i="28"/>
  <c r="Y851" i="28"/>
  <c r="Y849" i="28"/>
  <c r="Y847" i="28"/>
  <c r="Y845" i="28"/>
  <c r="Y841" i="28"/>
  <c r="Y839" i="28"/>
  <c r="Y837" i="28"/>
  <c r="Y835" i="28"/>
  <c r="Y833" i="28"/>
  <c r="Y831" i="28"/>
  <c r="Y829" i="28"/>
  <c r="Y827" i="28"/>
  <c r="Y825" i="28"/>
  <c r="Y823" i="28"/>
  <c r="Y821" i="28"/>
  <c r="Y819" i="28"/>
  <c r="Y817" i="28"/>
  <c r="Y815" i="28"/>
  <c r="Y813" i="28"/>
  <c r="Y809" i="28"/>
  <c r="Y807" i="28"/>
  <c r="Y805" i="28"/>
  <c r="Y803" i="28"/>
  <c r="Y801" i="28"/>
  <c r="Y797" i="28"/>
  <c r="Y795" i="28"/>
  <c r="Y793" i="28"/>
  <c r="Y791" i="28"/>
  <c r="Y789" i="28"/>
  <c r="Y787" i="28"/>
  <c r="Y783" i="28"/>
  <c r="Y781" i="28"/>
  <c r="Y777" i="28"/>
  <c r="Y775" i="28"/>
  <c r="Y773" i="28"/>
  <c r="Y771" i="28"/>
  <c r="Y767" i="28"/>
  <c r="Y765" i="28"/>
  <c r="Y763" i="28"/>
  <c r="Y761" i="28"/>
  <c r="Y759" i="28"/>
  <c r="Y757" i="28"/>
  <c r="Y755" i="28"/>
  <c r="Y753" i="28"/>
  <c r="Y751" i="28"/>
  <c r="Y749" i="28"/>
  <c r="Y745" i="28"/>
  <c r="Y743" i="28"/>
  <c r="Y741" i="28"/>
  <c r="Y739" i="28"/>
  <c r="Y737" i="28"/>
  <c r="Y735" i="28"/>
  <c r="Y733" i="28"/>
  <c r="Y731" i="28"/>
  <c r="Y729" i="28"/>
  <c r="Y727" i="28"/>
  <c r="Y725" i="28"/>
  <c r="Y723" i="28"/>
  <c r="Y721" i="28"/>
  <c r="Y719" i="28"/>
  <c r="Y717" i="28"/>
  <c r="Y713" i="28"/>
  <c r="Y711" i="28"/>
  <c r="Y709" i="28"/>
  <c r="Y707" i="28"/>
  <c r="Y705" i="28"/>
  <c r="Y703" i="28"/>
  <c r="Y701" i="28"/>
  <c r="Y699" i="28"/>
  <c r="Y695" i="28"/>
  <c r="Y693" i="28"/>
  <c r="Y691" i="28"/>
  <c r="Y689" i="28"/>
  <c r="Y687" i="28"/>
  <c r="Y685" i="28"/>
  <c r="Y681" i="28"/>
  <c r="Y679" i="28"/>
  <c r="Y677" i="28"/>
  <c r="Y675" i="28"/>
  <c r="Y673" i="28"/>
  <c r="Y671" i="28"/>
  <c r="Y669" i="28"/>
  <c r="Y667" i="28"/>
  <c r="Y665" i="28"/>
  <c r="Y663" i="28"/>
  <c r="Y661" i="28"/>
  <c r="Y659" i="28"/>
  <c r="Y657" i="28"/>
  <c r="Y655" i="28"/>
  <c r="Y653" i="28"/>
  <c r="Y649" i="28"/>
  <c r="Y647" i="28"/>
  <c r="Y645" i="28"/>
  <c r="Y643" i="28"/>
  <c r="Y641" i="28"/>
  <c r="Y639" i="28"/>
  <c r="Y637" i="28"/>
  <c r="Y635" i="28"/>
  <c r="Y633" i="28"/>
  <c r="Y631" i="28"/>
  <c r="Y629" i="28"/>
  <c r="Y627" i="28"/>
  <c r="Y625" i="28"/>
  <c r="Y623" i="28"/>
  <c r="Y621" i="28"/>
  <c r="Y615" i="28"/>
  <c r="Y613" i="28"/>
  <c r="Y611" i="28"/>
  <c r="Y609" i="28"/>
  <c r="Y607" i="28"/>
  <c r="Y605" i="28"/>
  <c r="Y603" i="28"/>
  <c r="Y601" i="28"/>
  <c r="Y599" i="28"/>
  <c r="Y597" i="28"/>
  <c r="Y595" i="28"/>
  <c r="Y593" i="28"/>
  <c r="Y591" i="28"/>
  <c r="Y589" i="28"/>
  <c r="Y585" i="28"/>
  <c r="Y583" i="28"/>
  <c r="Y581" i="28"/>
  <c r="Y579" i="28"/>
  <c r="Y577" i="28"/>
  <c r="Y575" i="28"/>
  <c r="Y573" i="28"/>
  <c r="Y571" i="28"/>
  <c r="Y569" i="28"/>
  <c r="Y567" i="28"/>
  <c r="Y565" i="28"/>
  <c r="Y563" i="28"/>
  <c r="Y561" i="28"/>
  <c r="Y559" i="28"/>
  <c r="Y557" i="28"/>
  <c r="Y553" i="28"/>
  <c r="Y551" i="28"/>
  <c r="Y549" i="28"/>
  <c r="Y547" i="28"/>
  <c r="Y545" i="28"/>
  <c r="Y543" i="28"/>
  <c r="Y541" i="28"/>
  <c r="Y539" i="28"/>
  <c r="Y537" i="28"/>
  <c r="Y535" i="28"/>
  <c r="Y533" i="28"/>
  <c r="Y531" i="28"/>
  <c r="Y529" i="28"/>
  <c r="Y527" i="28"/>
  <c r="Y525" i="28"/>
  <c r="Y521" i="28"/>
  <c r="Y519" i="28"/>
  <c r="Y517" i="28"/>
  <c r="Y515" i="28"/>
  <c r="Y513" i="28"/>
  <c r="Y511" i="28"/>
  <c r="Y509" i="28"/>
  <c r="Y507" i="28"/>
  <c r="Y503" i="28"/>
  <c r="Y501" i="28"/>
  <c r="Y499" i="28"/>
  <c r="Y497" i="28"/>
  <c r="Y495" i="28"/>
  <c r="Y493" i="28"/>
  <c r="Y489" i="28"/>
  <c r="Y487" i="28"/>
  <c r="Y485" i="28"/>
  <c r="Y483" i="28"/>
  <c r="Y481" i="28"/>
  <c r="Y479" i="28"/>
  <c r="Y477" i="28"/>
  <c r="Y475" i="28"/>
  <c r="Y473" i="28"/>
  <c r="Y471" i="28"/>
  <c r="Y469" i="28"/>
  <c r="Y467" i="28"/>
  <c r="Y465" i="28"/>
  <c r="Y461" i="28"/>
  <c r="Y457" i="28"/>
  <c r="Y455" i="28"/>
  <c r="Y453" i="28"/>
  <c r="Y451" i="28"/>
  <c r="Y449" i="28"/>
  <c r="Y447" i="28"/>
  <c r="Y445" i="28"/>
  <c r="Y443" i="28"/>
  <c r="Y441" i="28"/>
  <c r="Y439" i="28"/>
  <c r="Y437" i="28"/>
  <c r="Y435" i="28"/>
  <c r="Y433" i="28"/>
  <c r="Y431" i="28"/>
  <c r="Y425" i="28"/>
  <c r="Y423" i="28"/>
  <c r="Y421" i="28"/>
  <c r="Y419" i="28"/>
  <c r="Y417" i="28"/>
  <c r="Y415" i="28"/>
  <c r="Y413" i="28"/>
  <c r="Y411" i="28"/>
  <c r="Y409" i="28"/>
  <c r="Y407" i="28"/>
  <c r="Y405" i="28"/>
  <c r="Y403" i="28"/>
  <c r="Y401" i="28"/>
  <c r="Y399" i="28"/>
  <c r="Y397" i="28"/>
  <c r="Y393" i="28"/>
  <c r="Y391" i="28"/>
  <c r="Y389" i="28"/>
  <c r="Y387" i="28"/>
  <c r="Y385" i="28"/>
  <c r="Y383" i="28"/>
  <c r="Y381" i="28"/>
  <c r="Y379" i="28"/>
  <c r="Y377" i="28"/>
  <c r="Y375" i="28"/>
  <c r="Y373" i="28"/>
  <c r="Y371" i="28"/>
  <c r="Y369" i="28"/>
  <c r="Y367" i="28"/>
  <c r="Y365" i="28"/>
  <c r="Y361" i="28"/>
  <c r="Y359" i="28"/>
  <c r="Y357" i="28"/>
  <c r="Y355" i="28"/>
  <c r="Y353" i="28"/>
  <c r="Y351" i="28"/>
  <c r="Y349" i="28"/>
  <c r="Y347" i="28"/>
  <c r="Y345" i="28"/>
  <c r="Y343" i="28"/>
  <c r="Y341" i="28"/>
  <c r="Y339" i="28"/>
  <c r="Y337" i="28"/>
  <c r="Y335" i="28"/>
  <c r="Y333" i="28"/>
  <c r="Y329" i="28"/>
  <c r="Y327" i="28"/>
  <c r="Y325" i="28"/>
  <c r="Y323" i="28"/>
  <c r="Y321" i="28"/>
  <c r="Y319" i="28"/>
  <c r="Y317" i="28"/>
  <c r="Y315" i="28"/>
  <c r="Y313" i="28"/>
  <c r="Y311" i="28"/>
  <c r="Y309" i="28"/>
  <c r="Y307" i="28"/>
  <c r="Y305" i="28"/>
  <c r="Y303" i="28"/>
  <c r="Y301" i="28"/>
  <c r="Y297" i="28"/>
  <c r="Y295" i="28"/>
  <c r="Y293" i="28"/>
  <c r="Y291" i="28"/>
  <c r="Y289" i="28"/>
  <c r="Y287" i="28"/>
  <c r="Y285" i="28"/>
  <c r="Y283" i="28"/>
  <c r="Y281" i="28"/>
  <c r="Y279" i="28"/>
  <c r="Y277" i="28"/>
  <c r="Y275" i="28"/>
  <c r="Y273" i="28"/>
  <c r="Y271" i="28"/>
  <c r="Y269" i="28"/>
  <c r="Y265" i="28"/>
  <c r="Y263" i="28"/>
  <c r="Y261" i="28"/>
  <c r="Y259" i="28"/>
  <c r="Y257" i="28"/>
  <c r="Y255" i="28"/>
  <c r="Y253" i="28"/>
  <c r="Y251" i="28"/>
  <c r="Y249" i="28"/>
  <c r="Y247" i="28"/>
  <c r="Y245" i="28"/>
  <c r="Y243" i="28"/>
  <c r="Y241" i="28"/>
  <c r="Y239" i="28"/>
  <c r="Y237" i="28"/>
  <c r="Y233" i="28"/>
  <c r="Y231" i="28"/>
  <c r="Y229" i="28"/>
  <c r="Y227" i="28"/>
  <c r="Y225" i="28"/>
  <c r="Y223" i="28"/>
  <c r="Y221" i="28"/>
  <c r="Y219" i="28"/>
  <c r="Y217" i="28"/>
  <c r="Y215" i="28"/>
  <c r="Y213" i="28"/>
  <c r="Y211" i="28"/>
  <c r="Y209" i="28"/>
  <c r="Y207" i="28"/>
  <c r="Y205" i="28"/>
  <c r="Y201" i="28"/>
  <c r="Y199" i="28"/>
  <c r="Y197" i="28"/>
  <c r="Y195" i="28"/>
  <c r="Y193" i="28"/>
  <c r="Y191" i="28"/>
  <c r="Y189" i="28"/>
  <c r="Y187" i="28"/>
  <c r="Y185" i="28"/>
  <c r="Y183" i="28"/>
  <c r="Y181" i="28"/>
  <c r="Y179" i="28"/>
  <c r="Y177" i="28"/>
  <c r="Y175" i="28"/>
  <c r="Y173" i="28"/>
  <c r="Y169" i="28"/>
  <c r="Y167" i="28"/>
  <c r="Y165" i="28"/>
  <c r="Y163" i="28"/>
  <c r="Y161" i="28"/>
  <c r="Y159" i="28"/>
  <c r="Y157" i="28"/>
  <c r="Y155" i="28"/>
  <c r="Y153" i="28"/>
  <c r="Y151" i="28"/>
  <c r="Y149" i="28"/>
  <c r="Y147" i="28"/>
  <c r="Y145" i="28"/>
  <c r="Y143" i="28"/>
  <c r="Y141" i="28"/>
  <c r="Y137" i="28"/>
  <c r="Y135" i="28"/>
  <c r="Y133" i="28"/>
  <c r="Y131" i="28"/>
  <c r="Y129" i="28"/>
  <c r="Y127" i="28"/>
  <c r="Y125" i="28"/>
  <c r="Y123" i="28"/>
  <c r="Y121" i="28"/>
  <c r="Y119" i="28"/>
  <c r="Y117" i="28"/>
  <c r="Y115" i="28"/>
  <c r="Y113" i="28"/>
  <c r="Y111" i="28"/>
  <c r="Y109" i="28"/>
  <c r="Y105" i="28"/>
  <c r="Y103" i="28"/>
  <c r="Y101" i="28"/>
  <c r="Y99" i="28"/>
  <c r="Y97" i="28"/>
  <c r="Y95" i="28"/>
  <c r="Y93" i="28"/>
  <c r="Y91" i="28"/>
  <c r="Y89" i="28"/>
  <c r="Y87" i="28"/>
  <c r="Y85" i="28"/>
  <c r="Y83" i="28"/>
  <c r="Y81" i="28"/>
  <c r="Y79" i="28"/>
  <c r="Y77" i="28"/>
  <c r="Y73" i="28"/>
  <c r="Y71" i="28"/>
  <c r="Y69" i="28"/>
  <c r="Y67" i="28"/>
  <c r="Y65" i="28"/>
  <c r="Y63" i="28"/>
  <c r="Y61" i="28"/>
  <c r="Y59" i="28"/>
  <c r="Y57" i="28"/>
  <c r="Y55" i="28"/>
  <c r="Y53" i="28"/>
  <c r="AH47" i="28"/>
  <c r="Y48" i="28"/>
  <c r="Y44" i="28"/>
  <c r="Y40" i="28"/>
  <c r="AC148" i="19"/>
  <c r="T87" i="20" s="1"/>
  <c r="AC137" i="19"/>
  <c r="T76" i="20" s="1"/>
  <c r="Z148" i="19"/>
  <c r="Q87" i="20" s="1"/>
  <c r="AB134" i="19"/>
  <c r="S73" i="20" s="1"/>
  <c r="AC141" i="19"/>
  <c r="T80" i="20" s="1"/>
  <c r="AC134" i="19"/>
  <c r="T73" i="20" s="1"/>
  <c r="AB145" i="19"/>
  <c r="S84" i="20" s="1"/>
  <c r="AD134" i="19"/>
  <c r="U73" i="20" s="1"/>
  <c r="Z145" i="19"/>
  <c r="Q84" i="20" s="1"/>
  <c r="Z138" i="19"/>
  <c r="Q77" i="20" s="1"/>
  <c r="AB138" i="19"/>
  <c r="S77" i="20" s="1"/>
  <c r="Z137" i="19"/>
  <c r="Q76" i="20" s="1"/>
  <c r="A112" i="28"/>
  <c r="A7" i="28"/>
  <c r="Z142" i="19"/>
  <c r="Q81" i="20" s="1"/>
  <c r="AA140" i="19"/>
  <c r="R79" i="20" s="1"/>
  <c r="AD139" i="19"/>
  <c r="U78" i="20" s="1"/>
  <c r="AB142" i="19"/>
  <c r="S81" i="20" s="1"/>
  <c r="AD140" i="19"/>
  <c r="U79" i="20" s="1"/>
  <c r="Z144" i="19"/>
  <c r="Q83" i="20" s="1"/>
  <c r="AD148" i="19"/>
  <c r="U87" i="20" s="1"/>
  <c r="AB141" i="19"/>
  <c r="S80" i="20" s="1"/>
  <c r="AC142" i="19"/>
  <c r="T81" i="20" s="1"/>
  <c r="Z147" i="19"/>
  <c r="Q86" i="20" s="1"/>
  <c r="AD142" i="19"/>
  <c r="U81" i="20" s="1"/>
  <c r="AA147" i="19"/>
  <c r="R86" i="20" s="1"/>
  <c r="AB144" i="19"/>
  <c r="S83" i="20" s="1"/>
  <c r="AD146" i="19"/>
  <c r="U85" i="20" s="1"/>
  <c r="Z141" i="19"/>
  <c r="Q80" i="20" s="1"/>
  <c r="AC138" i="19"/>
  <c r="T77" i="20" s="1"/>
  <c r="AD136" i="19"/>
  <c r="U75" i="20" s="1"/>
  <c r="AB147" i="19"/>
  <c r="S86" i="20" s="1"/>
  <c r="AC144" i="19"/>
  <c r="T83" i="20" s="1"/>
  <c r="Z146" i="19"/>
  <c r="Q85" i="20" s="1"/>
  <c r="AB143" i="19"/>
  <c r="S82" i="20" s="1"/>
  <c r="AC147" i="19"/>
  <c r="T86" i="20" s="1"/>
  <c r="AD144" i="19"/>
  <c r="U83" i="20" s="1"/>
  <c r="AA146" i="19"/>
  <c r="R85" i="20" s="1"/>
  <c r="AD143" i="19"/>
  <c r="U82" i="20" s="1"/>
  <c r="AD147" i="19"/>
  <c r="U86" i="20" s="1"/>
  <c r="AA148" i="19"/>
  <c r="R87" i="20" s="1"/>
  <c r="AB146" i="19"/>
  <c r="S85" i="20" s="1"/>
  <c r="AC145" i="19"/>
  <c r="T84" i="20" s="1"/>
  <c r="Z134" i="19"/>
  <c r="Q73" i="20" s="1"/>
  <c r="Z143" i="19"/>
  <c r="Q82" i="20" s="1"/>
  <c r="AB139" i="19"/>
  <c r="S78" i="20" s="1"/>
  <c r="AB148" i="19"/>
  <c r="S87" i="20" s="1"/>
  <c r="AC146" i="19"/>
  <c r="T85" i="20" s="1"/>
  <c r="AD145" i="19"/>
  <c r="U84" i="20" s="1"/>
  <c r="A97" i="28"/>
  <c r="AA144" i="19"/>
  <c r="R83" i="20" s="1"/>
  <c r="AA145" i="19"/>
  <c r="R84" i="20" s="1"/>
  <c r="AA141" i="19"/>
  <c r="R80" i="20" s="1"/>
  <c r="AA134" i="19"/>
  <c r="R73" i="20" s="1"/>
  <c r="R148" i="19"/>
  <c r="R139" i="19"/>
  <c r="R146" i="19"/>
  <c r="R134" i="19"/>
  <c r="R144" i="19"/>
  <c r="R147" i="19"/>
  <c r="R143" i="19"/>
  <c r="R135" i="19"/>
  <c r="R145" i="19"/>
  <c r="R136" i="19"/>
  <c r="R140" i="19"/>
  <c r="R138" i="19"/>
  <c r="R142" i="19"/>
  <c r="R141" i="19"/>
  <c r="R137" i="19"/>
  <c r="AE17" i="28"/>
  <c r="AE15" i="28"/>
  <c r="AE21" i="28"/>
  <c r="AE11" i="28"/>
  <c r="AE13" i="28"/>
  <c r="AE19" i="28"/>
  <c r="AE20" i="28"/>
  <c r="AE18" i="28"/>
  <c r="AE16" i="28"/>
  <c r="AE14" i="28"/>
  <c r="AE12" i="28"/>
  <c r="AE10" i="28"/>
  <c r="AE9" i="28"/>
  <c r="AE77" i="20"/>
  <c r="AD77" i="20"/>
  <c r="AE75" i="20"/>
  <c r="AD75" i="20"/>
  <c r="AD73" i="20"/>
  <c r="AE73" i="20"/>
  <c r="AD74" i="20"/>
  <c r="AE74" i="20"/>
  <c r="AF74" i="20"/>
  <c r="AE76" i="20"/>
  <c r="AD76" i="20"/>
  <c r="AA135" i="19"/>
  <c r="R74" i="20" s="1"/>
  <c r="AC136" i="19"/>
  <c r="T75" i="20" s="1"/>
  <c r="Y138" i="19"/>
  <c r="P77" i="20" s="1"/>
  <c r="AA139" i="19"/>
  <c r="R78" i="20" s="1"/>
  <c r="AC140" i="19"/>
  <c r="T79" i="20" s="1"/>
  <c r="Y142" i="19"/>
  <c r="P81" i="20" s="1"/>
  <c r="AA143" i="19"/>
  <c r="R82" i="20" s="1"/>
  <c r="AB135" i="19"/>
  <c r="S74" i="20" s="1"/>
  <c r="AC135" i="19"/>
  <c r="T74" i="20" s="1"/>
  <c r="Y137" i="19"/>
  <c r="P76" i="20" s="1"/>
  <c r="AA138" i="19"/>
  <c r="R77" i="20" s="1"/>
  <c r="AC139" i="19"/>
  <c r="T78" i="20" s="1"/>
  <c r="Y141" i="19"/>
  <c r="P80" i="20" s="1"/>
  <c r="AA142" i="19"/>
  <c r="R81" i="20" s="1"/>
  <c r="AC143" i="19"/>
  <c r="T82" i="20" s="1"/>
  <c r="Y145" i="19"/>
  <c r="P84" i="20" s="1"/>
  <c r="AD135" i="19"/>
  <c r="U74" i="20" s="1"/>
  <c r="Y136" i="19"/>
  <c r="P75" i="20" s="1"/>
  <c r="AA137" i="19"/>
  <c r="R76" i="20" s="1"/>
  <c r="Z136" i="19"/>
  <c r="Q75" i="20" s="1"/>
  <c r="AB137" i="19"/>
  <c r="S76" i="20" s="1"/>
  <c r="AD138" i="19"/>
  <c r="U77" i="20" s="1"/>
  <c r="Z140" i="19"/>
  <c r="Q79" i="20" s="1"/>
  <c r="Y135" i="19"/>
  <c r="P74" i="20" s="1"/>
  <c r="AA136" i="19"/>
  <c r="R75" i="20" s="1"/>
  <c r="Z135" i="19"/>
  <c r="Q74" i="20" s="1"/>
  <c r="AB136" i="19"/>
  <c r="S75" i="20" s="1"/>
  <c r="AD137" i="19"/>
  <c r="U76" i="20" s="1"/>
  <c r="Z139" i="19"/>
  <c r="Q78" i="20" s="1"/>
  <c r="AB140" i="19"/>
  <c r="S79" i="20" s="1"/>
  <c r="AD141" i="19"/>
  <c r="U80" i="20" s="1"/>
  <c r="Y146" i="19"/>
  <c r="P85" i="20" s="1"/>
  <c r="P140" i="19"/>
  <c r="P142" i="19"/>
  <c r="P143" i="19"/>
  <c r="P136" i="19"/>
  <c r="Y147" i="19"/>
  <c r="P86" i="20" s="1"/>
  <c r="P146" i="19"/>
  <c r="P135" i="19"/>
  <c r="P144" i="19"/>
  <c r="P137" i="19"/>
  <c r="P145" i="19"/>
  <c r="P138" i="19"/>
  <c r="Y140" i="19"/>
  <c r="P79" i="20" s="1"/>
  <c r="Y144" i="19"/>
  <c r="P83" i="20" s="1"/>
  <c r="Y148" i="19"/>
  <c r="P87" i="20" s="1"/>
  <c r="Y139" i="19"/>
  <c r="P78" i="20" s="1"/>
  <c r="Y143" i="19"/>
  <c r="P82" i="20" s="1"/>
  <c r="P141" i="19"/>
  <c r="P139" i="19"/>
  <c r="P147" i="19"/>
  <c r="P148" i="19"/>
  <c r="Y134" i="19"/>
  <c r="P73" i="20" s="1"/>
  <c r="P134" i="19"/>
  <c r="AF77" i="20"/>
  <c r="AF75" i="20"/>
  <c r="AF76" i="20"/>
  <c r="W110" i="19"/>
  <c r="W109" i="19"/>
  <c r="W108" i="19"/>
  <c r="W105" i="19"/>
  <c r="W106" i="19"/>
  <c r="X104" i="19"/>
  <c r="X111" i="19" s="1"/>
  <c r="AW110" i="19"/>
  <c r="AW109" i="19"/>
  <c r="AW108" i="19"/>
  <c r="AW106" i="19"/>
  <c r="AW105" i="19"/>
  <c r="Q120" i="19"/>
  <c r="P120" i="19"/>
  <c r="S116" i="19"/>
  <c r="T116" i="19"/>
  <c r="R119" i="19"/>
  <c r="V118" i="19"/>
  <c r="U125" i="19"/>
  <c r="T117" i="19"/>
  <c r="X122" i="19"/>
  <c r="V128" i="19"/>
  <c r="V124" i="19"/>
  <c r="R124" i="19"/>
  <c r="S124" i="19"/>
  <c r="T123" i="19"/>
  <c r="R123" i="19"/>
  <c r="R129" i="19"/>
  <c r="Q129" i="19"/>
  <c r="W121" i="19"/>
  <c r="S127" i="19"/>
  <c r="W120" i="19"/>
  <c r="X116" i="19"/>
  <c r="U119" i="19"/>
  <c r="U126" i="19"/>
  <c r="R126" i="19"/>
  <c r="Q126" i="19"/>
  <c r="S118" i="19"/>
  <c r="R118" i="19"/>
  <c r="Q125" i="19"/>
  <c r="X125" i="19"/>
  <c r="P117" i="19"/>
  <c r="U122" i="19"/>
  <c r="Q122" i="19"/>
  <c r="T128" i="19"/>
  <c r="S128" i="19"/>
  <c r="P123" i="19"/>
  <c r="V129" i="19"/>
  <c r="P121" i="19"/>
  <c r="R120" i="19"/>
  <c r="U116" i="19"/>
  <c r="X119" i="19"/>
  <c r="W126" i="19"/>
  <c r="W118" i="19"/>
  <c r="X118" i="19"/>
  <c r="T125" i="19"/>
  <c r="R117" i="19"/>
  <c r="P122" i="19"/>
  <c r="T122" i="19"/>
  <c r="W128" i="19"/>
  <c r="U124" i="19"/>
  <c r="W124" i="19"/>
  <c r="W123" i="19"/>
  <c r="T121" i="19"/>
  <c r="X121" i="19"/>
  <c r="Q127" i="19"/>
  <c r="U127" i="19"/>
  <c r="U120" i="19"/>
  <c r="X120" i="19"/>
  <c r="T120" i="19"/>
  <c r="P116" i="19"/>
  <c r="S119" i="19"/>
  <c r="V126" i="19"/>
  <c r="U117" i="19"/>
  <c r="S123" i="19"/>
  <c r="X129" i="19"/>
  <c r="S129" i="19"/>
  <c r="W129" i="19"/>
  <c r="Q121" i="19"/>
  <c r="T127" i="19"/>
  <c r="W127" i="19"/>
  <c r="Q119" i="19"/>
  <c r="W119" i="19"/>
  <c r="S126" i="19"/>
  <c r="T118" i="19"/>
  <c r="V125" i="19"/>
  <c r="R125" i="19"/>
  <c r="V117" i="19"/>
  <c r="V122" i="19"/>
  <c r="P128" i="19"/>
  <c r="X128" i="19"/>
  <c r="X124" i="19"/>
  <c r="V123" i="19"/>
  <c r="P127" i="19"/>
  <c r="V116" i="19"/>
  <c r="Q116" i="19"/>
  <c r="P126" i="19"/>
  <c r="X126" i="19"/>
  <c r="P118" i="19"/>
  <c r="W125" i="19"/>
  <c r="S117" i="19"/>
  <c r="X117" i="19"/>
  <c r="R122" i="19"/>
  <c r="U128" i="19"/>
  <c r="T124" i="19"/>
  <c r="Q123" i="19"/>
  <c r="X123" i="19"/>
  <c r="U121" i="19"/>
  <c r="V121" i="19"/>
  <c r="R127" i="19"/>
  <c r="V120" i="19"/>
  <c r="T119" i="19"/>
  <c r="T126" i="19"/>
  <c r="U118" i="19"/>
  <c r="Q118" i="19"/>
  <c r="S122" i="19"/>
  <c r="W122" i="19"/>
  <c r="Q128" i="19"/>
  <c r="R128" i="19"/>
  <c r="Q124" i="19"/>
  <c r="U123" i="19"/>
  <c r="T129" i="19"/>
  <c r="R121" i="19"/>
  <c r="S121" i="19"/>
  <c r="X127" i="19"/>
  <c r="V127" i="19"/>
  <c r="S120" i="19"/>
  <c r="W116" i="19"/>
  <c r="R116" i="19"/>
  <c r="P119" i="19"/>
  <c r="V119" i="19"/>
  <c r="S125" i="19"/>
  <c r="P125" i="19"/>
  <c r="Q117" i="19"/>
  <c r="W117" i="19"/>
  <c r="P124" i="19"/>
  <c r="P129" i="19"/>
  <c r="U129" i="19"/>
  <c r="B163" i="19"/>
  <c r="Y114" i="19"/>
  <c r="Y125" i="19" s="1"/>
  <c r="AX104" i="19"/>
  <c r="AX111" i="19" s="1"/>
  <c r="B112" i="19"/>
  <c r="E42" i="18"/>
  <c r="C44" i="28" s="1"/>
  <c r="E22" i="18"/>
  <c r="C24" i="28" s="1"/>
  <c r="E11" i="18"/>
  <c r="C13" i="28" s="1"/>
  <c r="E26" i="18"/>
  <c r="C28" i="28" s="1"/>
  <c r="E30" i="18"/>
  <c r="C32" i="28" s="1"/>
  <c r="E19" i="18"/>
  <c r="C21" i="28" s="1"/>
  <c r="E34" i="18"/>
  <c r="C36" i="28" s="1"/>
  <c r="E13" i="18"/>
  <c r="C15" i="28" s="1"/>
  <c r="E48" i="18"/>
  <c r="C50" i="28" s="1"/>
  <c r="E40" i="18"/>
  <c r="C42" i="28" s="1"/>
  <c r="E32" i="18"/>
  <c r="C34" i="28" s="1"/>
  <c r="E24" i="18"/>
  <c r="C26" i="28" s="1"/>
  <c r="E38" i="18"/>
  <c r="C40" i="28" s="1"/>
  <c r="E6" i="18"/>
  <c r="C8" i="28" s="1"/>
  <c r="E14" i="18"/>
  <c r="C16" i="28" s="1"/>
  <c r="E47" i="18"/>
  <c r="C49" i="28" s="1"/>
  <c r="E39" i="18"/>
  <c r="C41" i="28" s="1"/>
  <c r="E31" i="18"/>
  <c r="C33" i="28" s="1"/>
  <c r="E23" i="18"/>
  <c r="C25" i="28" s="1"/>
  <c r="E904" i="18"/>
  <c r="C906" i="28" s="1"/>
  <c r="E902" i="18"/>
  <c r="C904" i="28" s="1"/>
  <c r="E900" i="18"/>
  <c r="C902" i="28" s="1"/>
  <c r="E898" i="18"/>
  <c r="C900" i="28" s="1"/>
  <c r="E896" i="18"/>
  <c r="C898" i="28" s="1"/>
  <c r="E894" i="18"/>
  <c r="C896" i="28" s="1"/>
  <c r="E892" i="18"/>
  <c r="C894" i="28" s="1"/>
  <c r="E890" i="18"/>
  <c r="E888" i="18"/>
  <c r="C890" i="28" s="1"/>
  <c r="E886" i="18"/>
  <c r="C888" i="28" s="1"/>
  <c r="E884" i="18"/>
  <c r="C886" i="28" s="1"/>
  <c r="E882" i="18"/>
  <c r="C884" i="28" s="1"/>
  <c r="E880" i="18"/>
  <c r="C882" i="28" s="1"/>
  <c r="E878" i="18"/>
  <c r="C880" i="28" s="1"/>
  <c r="E876" i="18"/>
  <c r="C878" i="28" s="1"/>
  <c r="E874" i="18"/>
  <c r="C876" i="28" s="1"/>
  <c r="E872" i="18"/>
  <c r="C874" i="28" s="1"/>
  <c r="E870" i="18"/>
  <c r="C872" i="28" s="1"/>
  <c r="E868" i="18"/>
  <c r="C870" i="28" s="1"/>
  <c r="E866" i="18"/>
  <c r="C868" i="28" s="1"/>
  <c r="E864" i="18"/>
  <c r="C866" i="28" s="1"/>
  <c r="E862" i="18"/>
  <c r="C864" i="28" s="1"/>
  <c r="E860" i="18"/>
  <c r="E858" i="18"/>
  <c r="C860" i="28" s="1"/>
  <c r="E856" i="18"/>
  <c r="C858" i="28" s="1"/>
  <c r="E854" i="18"/>
  <c r="C856" i="28" s="1"/>
  <c r="E852" i="18"/>
  <c r="C854" i="28" s="1"/>
  <c r="E850" i="18"/>
  <c r="C852" i="28" s="1"/>
  <c r="E848" i="18"/>
  <c r="C850" i="28" s="1"/>
  <c r="E846" i="18"/>
  <c r="C848" i="28" s="1"/>
  <c r="E844" i="18"/>
  <c r="C846" i="28" s="1"/>
  <c r="E842" i="18"/>
  <c r="C844" i="28" s="1"/>
  <c r="E840" i="18"/>
  <c r="C842" i="28" s="1"/>
  <c r="E838" i="18"/>
  <c r="C840" i="28" s="1"/>
  <c r="E836" i="18"/>
  <c r="C838" i="28" s="1"/>
  <c r="E834" i="18"/>
  <c r="C836" i="28" s="1"/>
  <c r="E832" i="18"/>
  <c r="C834" i="28" s="1"/>
  <c r="E830" i="18"/>
  <c r="E828" i="18"/>
  <c r="C830" i="28" s="1"/>
  <c r="E826" i="18"/>
  <c r="C828" i="28" s="1"/>
  <c r="E824" i="18"/>
  <c r="C826" i="28" s="1"/>
  <c r="E822" i="18"/>
  <c r="C824" i="28" s="1"/>
  <c r="E820" i="18"/>
  <c r="C822" i="28" s="1"/>
  <c r="E818" i="18"/>
  <c r="C820" i="28" s="1"/>
  <c r="E816" i="18"/>
  <c r="C818" i="28" s="1"/>
  <c r="E814" i="18"/>
  <c r="C816" i="28" s="1"/>
  <c r="E812" i="18"/>
  <c r="C814" i="28" s="1"/>
  <c r="E810" i="18"/>
  <c r="C812" i="28" s="1"/>
  <c r="E808" i="18"/>
  <c r="C810" i="28" s="1"/>
  <c r="E806" i="18"/>
  <c r="C808" i="28" s="1"/>
  <c r="E804" i="18"/>
  <c r="C806" i="28" s="1"/>
  <c r="E802" i="18"/>
  <c r="C804" i="28" s="1"/>
  <c r="E800" i="18"/>
  <c r="E798" i="18"/>
  <c r="C800" i="28" s="1"/>
  <c r="E796" i="18"/>
  <c r="C798" i="28" s="1"/>
  <c r="E794" i="18"/>
  <c r="C796" i="28" s="1"/>
  <c r="E792" i="18"/>
  <c r="C794" i="28" s="1"/>
  <c r="E790" i="18"/>
  <c r="C792" i="28" s="1"/>
  <c r="E788" i="18"/>
  <c r="C790" i="28" s="1"/>
  <c r="E786" i="18"/>
  <c r="C788" i="28" s="1"/>
  <c r="E784" i="18"/>
  <c r="C786" i="28" s="1"/>
  <c r="E782" i="18"/>
  <c r="C784" i="28" s="1"/>
  <c r="E780" i="18"/>
  <c r="C782" i="28" s="1"/>
  <c r="E778" i="18"/>
  <c r="C780" i="28" s="1"/>
  <c r="E776" i="18"/>
  <c r="C778" i="28" s="1"/>
  <c r="E774" i="18"/>
  <c r="C776" i="28" s="1"/>
  <c r="E772" i="18"/>
  <c r="C774" i="28" s="1"/>
  <c r="E770" i="18"/>
  <c r="E768" i="18"/>
  <c r="C770" i="28" s="1"/>
  <c r="E766" i="18"/>
  <c r="C768" i="28" s="1"/>
  <c r="E764" i="18"/>
  <c r="C766" i="28" s="1"/>
  <c r="E762" i="18"/>
  <c r="C764" i="28" s="1"/>
  <c r="E760" i="18"/>
  <c r="C762" i="28" s="1"/>
  <c r="E758" i="18"/>
  <c r="C760" i="28" s="1"/>
  <c r="E756" i="18"/>
  <c r="C758" i="28" s="1"/>
  <c r="E754" i="18"/>
  <c r="C756" i="28" s="1"/>
  <c r="E752" i="18"/>
  <c r="C754" i="28" s="1"/>
  <c r="E750" i="18"/>
  <c r="C752" i="28" s="1"/>
  <c r="E748" i="18"/>
  <c r="C750" i="28" s="1"/>
  <c r="E746" i="18"/>
  <c r="C748" i="28" s="1"/>
  <c r="E744" i="18"/>
  <c r="C746" i="28" s="1"/>
  <c r="E742" i="18"/>
  <c r="C744" i="28" s="1"/>
  <c r="E740" i="18"/>
  <c r="E738" i="18"/>
  <c r="C740" i="28" s="1"/>
  <c r="E736" i="18"/>
  <c r="C738" i="28" s="1"/>
  <c r="E734" i="18"/>
  <c r="C736" i="28" s="1"/>
  <c r="E732" i="18"/>
  <c r="C734" i="28" s="1"/>
  <c r="E730" i="18"/>
  <c r="C732" i="28" s="1"/>
  <c r="E728" i="18"/>
  <c r="C730" i="28" s="1"/>
  <c r="E726" i="18"/>
  <c r="C728" i="28" s="1"/>
  <c r="E724" i="18"/>
  <c r="C726" i="28" s="1"/>
  <c r="E722" i="18"/>
  <c r="C724" i="28" s="1"/>
  <c r="E720" i="18"/>
  <c r="C722" i="28" s="1"/>
  <c r="E718" i="18"/>
  <c r="C720" i="28" s="1"/>
  <c r="E716" i="18"/>
  <c r="C718" i="28" s="1"/>
  <c r="E714" i="18"/>
  <c r="C716" i="28" s="1"/>
  <c r="E712" i="18"/>
  <c r="C714" i="28" s="1"/>
  <c r="E710" i="18"/>
  <c r="E708" i="18"/>
  <c r="C710" i="28" s="1"/>
  <c r="E706" i="18"/>
  <c r="C708" i="28" s="1"/>
  <c r="E704" i="18"/>
  <c r="C706" i="28" s="1"/>
  <c r="E702" i="18"/>
  <c r="C704" i="28" s="1"/>
  <c r="E700" i="18"/>
  <c r="C702" i="28" s="1"/>
  <c r="E698" i="18"/>
  <c r="C700" i="28" s="1"/>
  <c r="E696" i="18"/>
  <c r="C698" i="28" s="1"/>
  <c r="E694" i="18"/>
  <c r="C696" i="28" s="1"/>
  <c r="E692" i="18"/>
  <c r="C694" i="28" s="1"/>
  <c r="E690" i="18"/>
  <c r="C692" i="28" s="1"/>
  <c r="E688" i="18"/>
  <c r="C690" i="28" s="1"/>
  <c r="E686" i="18"/>
  <c r="C688" i="28" s="1"/>
  <c r="E684" i="18"/>
  <c r="C686" i="28" s="1"/>
  <c r="E682" i="18"/>
  <c r="C684" i="28" s="1"/>
  <c r="E680" i="18"/>
  <c r="E678" i="18"/>
  <c r="C680" i="28" s="1"/>
  <c r="E676" i="18"/>
  <c r="C678" i="28" s="1"/>
  <c r="E674" i="18"/>
  <c r="C676" i="28" s="1"/>
  <c r="E672" i="18"/>
  <c r="C674" i="28" s="1"/>
  <c r="E670" i="18"/>
  <c r="C672" i="28" s="1"/>
  <c r="E668" i="18"/>
  <c r="C670" i="28" s="1"/>
  <c r="E666" i="18"/>
  <c r="C668" i="28" s="1"/>
  <c r="E664" i="18"/>
  <c r="C666" i="28" s="1"/>
  <c r="E662" i="18"/>
  <c r="C664" i="28" s="1"/>
  <c r="E660" i="18"/>
  <c r="C662" i="28" s="1"/>
  <c r="E658" i="18"/>
  <c r="C660" i="28" s="1"/>
  <c r="E656" i="18"/>
  <c r="C658" i="28" s="1"/>
  <c r="E654" i="18"/>
  <c r="C656" i="28" s="1"/>
  <c r="E652" i="18"/>
  <c r="C654" i="28" s="1"/>
  <c r="E650" i="18"/>
  <c r="E648" i="18"/>
  <c r="C650" i="28" s="1"/>
  <c r="E646" i="18"/>
  <c r="C648" i="28" s="1"/>
  <c r="E644" i="18"/>
  <c r="C646" i="28" s="1"/>
  <c r="E642" i="18"/>
  <c r="C644" i="28" s="1"/>
  <c r="E640" i="18"/>
  <c r="C642" i="28" s="1"/>
  <c r="E638" i="18"/>
  <c r="C640" i="28" s="1"/>
  <c r="E636" i="18"/>
  <c r="C638" i="28" s="1"/>
  <c r="E634" i="18"/>
  <c r="C636" i="28" s="1"/>
  <c r="E632" i="18"/>
  <c r="C634" i="28" s="1"/>
  <c r="E630" i="18"/>
  <c r="C632" i="28" s="1"/>
  <c r="E628" i="18"/>
  <c r="C630" i="28" s="1"/>
  <c r="E626" i="18"/>
  <c r="C628" i="28" s="1"/>
  <c r="E624" i="18"/>
  <c r="C626" i="28" s="1"/>
  <c r="E622" i="18"/>
  <c r="C624" i="28" s="1"/>
  <c r="E620" i="18"/>
  <c r="E618" i="18"/>
  <c r="C620" i="28" s="1"/>
  <c r="E616" i="18"/>
  <c r="C618" i="28" s="1"/>
  <c r="E614" i="18"/>
  <c r="C616" i="28" s="1"/>
  <c r="E612" i="18"/>
  <c r="C614" i="28" s="1"/>
  <c r="E610" i="18"/>
  <c r="C612" i="28" s="1"/>
  <c r="E608" i="18"/>
  <c r="C610" i="28" s="1"/>
  <c r="E606" i="18"/>
  <c r="C608" i="28" s="1"/>
  <c r="E604" i="18"/>
  <c r="C606" i="28" s="1"/>
  <c r="E602" i="18"/>
  <c r="C604" i="28" s="1"/>
  <c r="E600" i="18"/>
  <c r="C602" i="28" s="1"/>
  <c r="E598" i="18"/>
  <c r="C600" i="28" s="1"/>
  <c r="E596" i="18"/>
  <c r="C598" i="28" s="1"/>
  <c r="E594" i="18"/>
  <c r="C596" i="28" s="1"/>
  <c r="E592" i="18"/>
  <c r="C594" i="28" s="1"/>
  <c r="E590" i="18"/>
  <c r="E588" i="18"/>
  <c r="C590" i="28" s="1"/>
  <c r="E586" i="18"/>
  <c r="C588" i="28" s="1"/>
  <c r="E584" i="18"/>
  <c r="C586" i="28" s="1"/>
  <c r="E582" i="18"/>
  <c r="C584" i="28" s="1"/>
  <c r="E580" i="18"/>
  <c r="C582" i="28" s="1"/>
  <c r="E578" i="18"/>
  <c r="C580" i="28" s="1"/>
  <c r="E576" i="18"/>
  <c r="C578" i="28" s="1"/>
  <c r="E574" i="18"/>
  <c r="C576" i="28" s="1"/>
  <c r="E572" i="18"/>
  <c r="C574" i="28" s="1"/>
  <c r="E570" i="18"/>
  <c r="C572" i="28" s="1"/>
  <c r="E568" i="18"/>
  <c r="C570" i="28" s="1"/>
  <c r="E566" i="18"/>
  <c r="C568" i="28" s="1"/>
  <c r="E564" i="18"/>
  <c r="C566" i="28" s="1"/>
  <c r="E562" i="18"/>
  <c r="C564" i="28" s="1"/>
  <c r="E560" i="18"/>
  <c r="E558" i="18"/>
  <c r="C560" i="28" s="1"/>
  <c r="E7" i="18"/>
  <c r="C9" i="28" s="1"/>
  <c r="E15" i="18"/>
  <c r="C17" i="28" s="1"/>
  <c r="E9" i="18"/>
  <c r="C11" i="28" s="1"/>
  <c r="E17" i="18"/>
  <c r="C19" i="28" s="1"/>
  <c r="E44" i="18"/>
  <c r="C46" i="28" s="1"/>
  <c r="E36" i="18"/>
  <c r="C38" i="28" s="1"/>
  <c r="E28" i="18"/>
  <c r="C30" i="28" s="1"/>
  <c r="E20" i="18"/>
  <c r="E46" i="18"/>
  <c r="C48" i="28" s="1"/>
  <c r="E10" i="18"/>
  <c r="C12" i="28" s="1"/>
  <c r="E18" i="18"/>
  <c r="C20" i="28" s="1"/>
  <c r="E43" i="18"/>
  <c r="C45" i="28" s="1"/>
  <c r="E35" i="18"/>
  <c r="E27" i="18"/>
  <c r="C29" i="28" s="1"/>
  <c r="E903" i="18"/>
  <c r="C905" i="28" s="1"/>
  <c r="E901" i="18"/>
  <c r="C903" i="28" s="1"/>
  <c r="E899" i="18"/>
  <c r="C901" i="28" s="1"/>
  <c r="E897" i="18"/>
  <c r="C899" i="28" s="1"/>
  <c r="E895" i="18"/>
  <c r="C897" i="28" s="1"/>
  <c r="E893" i="18"/>
  <c r="C895" i="28" s="1"/>
  <c r="E891" i="18"/>
  <c r="C893" i="28" s="1"/>
  <c r="E889" i="18"/>
  <c r="C891" i="28" s="1"/>
  <c r="E887" i="18"/>
  <c r="C889" i="28" s="1"/>
  <c r="E885" i="18"/>
  <c r="C887" i="28" s="1"/>
  <c r="E883" i="18"/>
  <c r="C885" i="28" s="1"/>
  <c r="E881" i="18"/>
  <c r="C883" i="28" s="1"/>
  <c r="E879" i="18"/>
  <c r="C881" i="28" s="1"/>
  <c r="E877" i="18"/>
  <c r="C879" i="28" s="1"/>
  <c r="E875" i="18"/>
  <c r="E873" i="18"/>
  <c r="C875" i="28" s="1"/>
  <c r="E871" i="18"/>
  <c r="C873" i="28" s="1"/>
  <c r="E869" i="18"/>
  <c r="C871" i="28" s="1"/>
  <c r="E867" i="18"/>
  <c r="C869" i="28" s="1"/>
  <c r="E865" i="18"/>
  <c r="C867" i="28" s="1"/>
  <c r="E863" i="18"/>
  <c r="C865" i="28" s="1"/>
  <c r="E861" i="18"/>
  <c r="C863" i="28" s="1"/>
  <c r="E859" i="18"/>
  <c r="C861" i="28" s="1"/>
  <c r="E857" i="18"/>
  <c r="C859" i="28" s="1"/>
  <c r="E855" i="18"/>
  <c r="C857" i="28" s="1"/>
  <c r="E853" i="18"/>
  <c r="C855" i="28" s="1"/>
  <c r="E851" i="18"/>
  <c r="C853" i="28" s="1"/>
  <c r="E849" i="18"/>
  <c r="C851" i="28" s="1"/>
  <c r="E847" i="18"/>
  <c r="C849" i="28" s="1"/>
  <c r="E845" i="18"/>
  <c r="E843" i="18"/>
  <c r="C845" i="28" s="1"/>
  <c r="E841" i="18"/>
  <c r="C843" i="28" s="1"/>
  <c r="E839" i="18"/>
  <c r="C841" i="28" s="1"/>
  <c r="E837" i="18"/>
  <c r="C839" i="28" s="1"/>
  <c r="E835" i="18"/>
  <c r="C837" i="28" s="1"/>
  <c r="E833" i="18"/>
  <c r="C835" i="28" s="1"/>
  <c r="E831" i="18"/>
  <c r="C833" i="28" s="1"/>
  <c r="E829" i="18"/>
  <c r="C831" i="28" s="1"/>
  <c r="E827" i="18"/>
  <c r="C829" i="28" s="1"/>
  <c r="E825" i="18"/>
  <c r="C827" i="28" s="1"/>
  <c r="E823" i="18"/>
  <c r="C825" i="28" s="1"/>
  <c r="E821" i="18"/>
  <c r="C823" i="28" s="1"/>
  <c r="E819" i="18"/>
  <c r="C821" i="28" s="1"/>
  <c r="E817" i="18"/>
  <c r="C819" i="28" s="1"/>
  <c r="E815" i="18"/>
  <c r="E813" i="18"/>
  <c r="C815" i="28" s="1"/>
  <c r="E811" i="18"/>
  <c r="C813" i="28" s="1"/>
  <c r="E809" i="18"/>
  <c r="C811" i="28" s="1"/>
  <c r="E807" i="18"/>
  <c r="C809" i="28" s="1"/>
  <c r="E805" i="18"/>
  <c r="C807" i="28" s="1"/>
  <c r="E803" i="18"/>
  <c r="C805" i="28" s="1"/>
  <c r="E801" i="18"/>
  <c r="C803" i="28" s="1"/>
  <c r="E799" i="18"/>
  <c r="C801" i="28" s="1"/>
  <c r="E797" i="18"/>
  <c r="C799" i="28" s="1"/>
  <c r="E795" i="18"/>
  <c r="C797" i="28" s="1"/>
  <c r="E793" i="18"/>
  <c r="C795" i="28" s="1"/>
  <c r="E791" i="18"/>
  <c r="C793" i="28" s="1"/>
  <c r="E789" i="18"/>
  <c r="C791" i="28" s="1"/>
  <c r="E787" i="18"/>
  <c r="C789" i="28" s="1"/>
  <c r="E785" i="18"/>
  <c r="E783" i="18"/>
  <c r="C785" i="28" s="1"/>
  <c r="E781" i="18"/>
  <c r="C783" i="28" s="1"/>
  <c r="E779" i="18"/>
  <c r="C781" i="28" s="1"/>
  <c r="E777" i="18"/>
  <c r="C779" i="28" s="1"/>
  <c r="E775" i="18"/>
  <c r="C777" i="28" s="1"/>
  <c r="E773" i="18"/>
  <c r="C775" i="28" s="1"/>
  <c r="E771" i="18"/>
  <c r="C773" i="28" s="1"/>
  <c r="E769" i="18"/>
  <c r="C771" i="28" s="1"/>
  <c r="E767" i="18"/>
  <c r="C769" i="28" s="1"/>
  <c r="E765" i="18"/>
  <c r="C767" i="28" s="1"/>
  <c r="E763" i="18"/>
  <c r="C765" i="28" s="1"/>
  <c r="E761" i="18"/>
  <c r="C763" i="28" s="1"/>
  <c r="E759" i="18"/>
  <c r="C761" i="28" s="1"/>
  <c r="E757" i="18"/>
  <c r="C759" i="28" s="1"/>
  <c r="E755" i="18"/>
  <c r="E753" i="18"/>
  <c r="C755" i="28" s="1"/>
  <c r="E751" i="18"/>
  <c r="C753" i="28" s="1"/>
  <c r="E749" i="18"/>
  <c r="C751" i="28" s="1"/>
  <c r="E747" i="18"/>
  <c r="C749" i="28" s="1"/>
  <c r="E745" i="18"/>
  <c r="C747" i="28" s="1"/>
  <c r="E743" i="18"/>
  <c r="C745" i="28" s="1"/>
  <c r="E741" i="18"/>
  <c r="C743" i="28" s="1"/>
  <c r="E739" i="18"/>
  <c r="C741" i="28" s="1"/>
  <c r="E737" i="18"/>
  <c r="C739" i="28" s="1"/>
  <c r="E735" i="18"/>
  <c r="C737" i="28" s="1"/>
  <c r="E733" i="18"/>
  <c r="C735" i="28" s="1"/>
  <c r="E731" i="18"/>
  <c r="C733" i="28" s="1"/>
  <c r="E729" i="18"/>
  <c r="C731" i="28" s="1"/>
  <c r="E727" i="18"/>
  <c r="C729" i="28" s="1"/>
  <c r="E725" i="18"/>
  <c r="E723" i="18"/>
  <c r="C725" i="28" s="1"/>
  <c r="E721" i="18"/>
  <c r="C723" i="28" s="1"/>
  <c r="E719" i="18"/>
  <c r="C721" i="28" s="1"/>
  <c r="E717" i="18"/>
  <c r="C719" i="28" s="1"/>
  <c r="E715" i="18"/>
  <c r="C717" i="28" s="1"/>
  <c r="E713" i="18"/>
  <c r="C715" i="28" s="1"/>
  <c r="E711" i="18"/>
  <c r="C713" i="28" s="1"/>
  <c r="E709" i="18"/>
  <c r="C711" i="28" s="1"/>
  <c r="E707" i="18"/>
  <c r="C709" i="28" s="1"/>
  <c r="E705" i="18"/>
  <c r="C707" i="28" s="1"/>
  <c r="E703" i="18"/>
  <c r="C705" i="28" s="1"/>
  <c r="E701" i="18"/>
  <c r="C703" i="28" s="1"/>
  <c r="E699" i="18"/>
  <c r="C701" i="28" s="1"/>
  <c r="E697" i="18"/>
  <c r="C699" i="28" s="1"/>
  <c r="E695" i="18"/>
  <c r="E693" i="18"/>
  <c r="C695" i="28" s="1"/>
  <c r="E691" i="18"/>
  <c r="C693" i="28" s="1"/>
  <c r="E689" i="18"/>
  <c r="C691" i="28" s="1"/>
  <c r="E687" i="18"/>
  <c r="C689" i="28" s="1"/>
  <c r="E685" i="18"/>
  <c r="C687" i="28" s="1"/>
  <c r="E683" i="18"/>
  <c r="C685" i="28" s="1"/>
  <c r="E681" i="18"/>
  <c r="C683" i="28" s="1"/>
  <c r="E679" i="18"/>
  <c r="C681" i="28" s="1"/>
  <c r="E677" i="18"/>
  <c r="C679" i="28" s="1"/>
  <c r="E675" i="18"/>
  <c r="C677" i="28" s="1"/>
  <c r="E673" i="18"/>
  <c r="C675" i="28" s="1"/>
  <c r="E671" i="18"/>
  <c r="C673" i="28" s="1"/>
  <c r="E669" i="18"/>
  <c r="C671" i="28" s="1"/>
  <c r="E667" i="18"/>
  <c r="C669" i="28" s="1"/>
  <c r="E665" i="18"/>
  <c r="E663" i="18"/>
  <c r="C665" i="28" s="1"/>
  <c r="E661" i="18"/>
  <c r="C663" i="28" s="1"/>
  <c r="E659" i="18"/>
  <c r="C661" i="28" s="1"/>
  <c r="E657" i="18"/>
  <c r="C659" i="28" s="1"/>
  <c r="E655" i="18"/>
  <c r="C657" i="28" s="1"/>
  <c r="E653" i="18"/>
  <c r="C655" i="28" s="1"/>
  <c r="E651" i="18"/>
  <c r="C653" i="28" s="1"/>
  <c r="E12" i="18"/>
  <c r="C14" i="28" s="1"/>
  <c r="E49" i="18"/>
  <c r="C51" i="28" s="1"/>
  <c r="E41" i="18"/>
  <c r="C43" i="28" s="1"/>
  <c r="E33" i="18"/>
  <c r="C35" i="28" s="1"/>
  <c r="E25" i="18"/>
  <c r="C27" i="28" s="1"/>
  <c r="E556" i="18"/>
  <c r="C558" i="28" s="1"/>
  <c r="E554" i="18"/>
  <c r="C556" i="28" s="1"/>
  <c r="E552" i="18"/>
  <c r="C554" i="28" s="1"/>
  <c r="E550" i="18"/>
  <c r="C552" i="28" s="1"/>
  <c r="E548" i="18"/>
  <c r="C550" i="28" s="1"/>
  <c r="E546" i="18"/>
  <c r="C548" i="28" s="1"/>
  <c r="E544" i="18"/>
  <c r="C546" i="28" s="1"/>
  <c r="E542" i="18"/>
  <c r="C544" i="28" s="1"/>
  <c r="E540" i="18"/>
  <c r="C542" i="28" s="1"/>
  <c r="E538" i="18"/>
  <c r="C540" i="28" s="1"/>
  <c r="E536" i="18"/>
  <c r="C538" i="28" s="1"/>
  <c r="E534" i="18"/>
  <c r="C536" i="28" s="1"/>
  <c r="E532" i="18"/>
  <c r="C534" i="28" s="1"/>
  <c r="E530" i="18"/>
  <c r="E528" i="18"/>
  <c r="C530" i="28" s="1"/>
  <c r="E526" i="18"/>
  <c r="C528" i="28" s="1"/>
  <c r="E524" i="18"/>
  <c r="C526" i="28" s="1"/>
  <c r="E522" i="18"/>
  <c r="C524" i="28" s="1"/>
  <c r="E520" i="18"/>
  <c r="C522" i="28" s="1"/>
  <c r="E518" i="18"/>
  <c r="C520" i="28" s="1"/>
  <c r="E516" i="18"/>
  <c r="C518" i="28" s="1"/>
  <c r="E514" i="18"/>
  <c r="C516" i="28" s="1"/>
  <c r="E512" i="18"/>
  <c r="C514" i="28" s="1"/>
  <c r="E510" i="18"/>
  <c r="C512" i="28" s="1"/>
  <c r="E508" i="18"/>
  <c r="C510" i="28" s="1"/>
  <c r="E506" i="18"/>
  <c r="C508" i="28" s="1"/>
  <c r="E504" i="18"/>
  <c r="C506" i="28" s="1"/>
  <c r="E502" i="18"/>
  <c r="C504" i="28" s="1"/>
  <c r="E500" i="18"/>
  <c r="E498" i="18"/>
  <c r="C500" i="28" s="1"/>
  <c r="E496" i="18"/>
  <c r="C498" i="28" s="1"/>
  <c r="E494" i="18"/>
  <c r="C496" i="28" s="1"/>
  <c r="E492" i="18"/>
  <c r="C494" i="28" s="1"/>
  <c r="E490" i="18"/>
  <c r="C492" i="28" s="1"/>
  <c r="E488" i="18"/>
  <c r="C490" i="28" s="1"/>
  <c r="E486" i="18"/>
  <c r="C488" i="28" s="1"/>
  <c r="E484" i="18"/>
  <c r="C486" i="28" s="1"/>
  <c r="E482" i="18"/>
  <c r="C484" i="28" s="1"/>
  <c r="E480" i="18"/>
  <c r="C482" i="28" s="1"/>
  <c r="E478" i="18"/>
  <c r="C480" i="28" s="1"/>
  <c r="E476" i="18"/>
  <c r="C478" i="28" s="1"/>
  <c r="E474" i="18"/>
  <c r="C476" i="28" s="1"/>
  <c r="E472" i="18"/>
  <c r="C474" i="28" s="1"/>
  <c r="E470" i="18"/>
  <c r="E468" i="18"/>
  <c r="C470" i="28" s="1"/>
  <c r="E466" i="18"/>
  <c r="C468" i="28" s="1"/>
  <c r="E464" i="18"/>
  <c r="C466" i="28" s="1"/>
  <c r="E462" i="18"/>
  <c r="C464" i="28" s="1"/>
  <c r="E460" i="18"/>
  <c r="C462" i="28" s="1"/>
  <c r="E458" i="18"/>
  <c r="C460" i="28" s="1"/>
  <c r="E456" i="18"/>
  <c r="C458" i="28" s="1"/>
  <c r="E454" i="18"/>
  <c r="C456" i="28" s="1"/>
  <c r="E452" i="18"/>
  <c r="C454" i="28" s="1"/>
  <c r="E450" i="18"/>
  <c r="C452" i="28" s="1"/>
  <c r="E448" i="18"/>
  <c r="C450" i="28" s="1"/>
  <c r="E446" i="18"/>
  <c r="C448" i="28" s="1"/>
  <c r="E444" i="18"/>
  <c r="C446" i="28" s="1"/>
  <c r="E442" i="18"/>
  <c r="C444" i="28" s="1"/>
  <c r="E440" i="18"/>
  <c r="E438" i="18"/>
  <c r="C440" i="28" s="1"/>
  <c r="E436" i="18"/>
  <c r="C438" i="28" s="1"/>
  <c r="E434" i="18"/>
  <c r="C436" i="28" s="1"/>
  <c r="E432" i="18"/>
  <c r="C434" i="28" s="1"/>
  <c r="E430" i="18"/>
  <c r="C432" i="28" s="1"/>
  <c r="E428" i="18"/>
  <c r="C430" i="28" s="1"/>
  <c r="E426" i="18"/>
  <c r="C428" i="28" s="1"/>
  <c r="E424" i="18"/>
  <c r="C426" i="28" s="1"/>
  <c r="E422" i="18"/>
  <c r="C424" i="28" s="1"/>
  <c r="E420" i="18"/>
  <c r="C422" i="28" s="1"/>
  <c r="E418" i="18"/>
  <c r="C420" i="28" s="1"/>
  <c r="E416" i="18"/>
  <c r="C418" i="28" s="1"/>
  <c r="E414" i="18"/>
  <c r="C416" i="28" s="1"/>
  <c r="E412" i="18"/>
  <c r="C414" i="28" s="1"/>
  <c r="E410" i="18"/>
  <c r="E408" i="18"/>
  <c r="C410" i="28" s="1"/>
  <c r="E406" i="18"/>
  <c r="C408" i="28" s="1"/>
  <c r="E404" i="18"/>
  <c r="C406" i="28" s="1"/>
  <c r="E402" i="18"/>
  <c r="C404" i="28" s="1"/>
  <c r="E400" i="18"/>
  <c r="C402" i="28" s="1"/>
  <c r="E398" i="18"/>
  <c r="C400" i="28" s="1"/>
  <c r="E396" i="18"/>
  <c r="C398" i="28" s="1"/>
  <c r="E394" i="18"/>
  <c r="C396" i="28" s="1"/>
  <c r="E392" i="18"/>
  <c r="C394" i="28" s="1"/>
  <c r="E390" i="18"/>
  <c r="C392" i="28" s="1"/>
  <c r="E388" i="18"/>
  <c r="C390" i="28" s="1"/>
  <c r="E386" i="18"/>
  <c r="C388" i="28" s="1"/>
  <c r="E384" i="18"/>
  <c r="C386" i="28" s="1"/>
  <c r="E382" i="18"/>
  <c r="C384" i="28" s="1"/>
  <c r="E380" i="18"/>
  <c r="E378" i="18"/>
  <c r="C380" i="28" s="1"/>
  <c r="E376" i="18"/>
  <c r="C378" i="28" s="1"/>
  <c r="E374" i="18"/>
  <c r="C376" i="28" s="1"/>
  <c r="E372" i="18"/>
  <c r="C374" i="28" s="1"/>
  <c r="E370" i="18"/>
  <c r="C372" i="28" s="1"/>
  <c r="E368" i="18"/>
  <c r="C370" i="28" s="1"/>
  <c r="E366" i="18"/>
  <c r="C368" i="28" s="1"/>
  <c r="E364" i="18"/>
  <c r="C366" i="28" s="1"/>
  <c r="E362" i="18"/>
  <c r="C364" i="28" s="1"/>
  <c r="E360" i="18"/>
  <c r="C362" i="28" s="1"/>
  <c r="E358" i="18"/>
  <c r="C360" i="28" s="1"/>
  <c r="E356" i="18"/>
  <c r="C358" i="28" s="1"/>
  <c r="E354" i="18"/>
  <c r="C356" i="28" s="1"/>
  <c r="E352" i="18"/>
  <c r="C354" i="28" s="1"/>
  <c r="E350" i="18"/>
  <c r="E348" i="18"/>
  <c r="C350" i="28" s="1"/>
  <c r="E346" i="18"/>
  <c r="C348" i="28" s="1"/>
  <c r="E344" i="18"/>
  <c r="C346" i="28" s="1"/>
  <c r="E342" i="18"/>
  <c r="C344" i="28" s="1"/>
  <c r="E340" i="18"/>
  <c r="C342" i="28" s="1"/>
  <c r="E338" i="18"/>
  <c r="C340" i="28" s="1"/>
  <c r="E336" i="18"/>
  <c r="C338" i="28" s="1"/>
  <c r="E334" i="18"/>
  <c r="C336" i="28" s="1"/>
  <c r="E332" i="18"/>
  <c r="C334" i="28" s="1"/>
  <c r="E330" i="18"/>
  <c r="C332" i="28" s="1"/>
  <c r="E328" i="18"/>
  <c r="C330" i="28" s="1"/>
  <c r="E326" i="18"/>
  <c r="C328" i="28" s="1"/>
  <c r="E324" i="18"/>
  <c r="C326" i="28" s="1"/>
  <c r="E322" i="18"/>
  <c r="C324" i="28" s="1"/>
  <c r="E320" i="18"/>
  <c r="E318" i="18"/>
  <c r="C320" i="28" s="1"/>
  <c r="E316" i="18"/>
  <c r="C318" i="28" s="1"/>
  <c r="E314" i="18"/>
  <c r="C316" i="28" s="1"/>
  <c r="E312" i="18"/>
  <c r="C314" i="28" s="1"/>
  <c r="E310" i="18"/>
  <c r="C312" i="28" s="1"/>
  <c r="E308" i="18"/>
  <c r="C310" i="28" s="1"/>
  <c r="E306" i="18"/>
  <c r="C308" i="28" s="1"/>
  <c r="E304" i="18"/>
  <c r="C306" i="28" s="1"/>
  <c r="E302" i="18"/>
  <c r="C304" i="28" s="1"/>
  <c r="E300" i="18"/>
  <c r="C302" i="28" s="1"/>
  <c r="E298" i="18"/>
  <c r="C300" i="28" s="1"/>
  <c r="E296" i="18"/>
  <c r="C298" i="28" s="1"/>
  <c r="E294" i="18"/>
  <c r="C296" i="28" s="1"/>
  <c r="E292" i="18"/>
  <c r="C294" i="28" s="1"/>
  <c r="E290" i="18"/>
  <c r="E288" i="18"/>
  <c r="C290" i="28" s="1"/>
  <c r="E286" i="18"/>
  <c r="C288" i="28" s="1"/>
  <c r="E284" i="18"/>
  <c r="C286" i="28" s="1"/>
  <c r="E282" i="18"/>
  <c r="C284" i="28" s="1"/>
  <c r="E280" i="18"/>
  <c r="C282" i="28" s="1"/>
  <c r="E278" i="18"/>
  <c r="C280" i="28" s="1"/>
  <c r="E276" i="18"/>
  <c r="C278" i="28" s="1"/>
  <c r="E274" i="18"/>
  <c r="C276" i="28" s="1"/>
  <c r="E272" i="18"/>
  <c r="C274" i="28" s="1"/>
  <c r="E270" i="18"/>
  <c r="C272" i="28" s="1"/>
  <c r="E268" i="18"/>
  <c r="C270" i="28" s="1"/>
  <c r="E266" i="18"/>
  <c r="C268" i="28" s="1"/>
  <c r="E264" i="18"/>
  <c r="C266" i="28" s="1"/>
  <c r="E262" i="18"/>
  <c r="C264" i="28" s="1"/>
  <c r="E260" i="18"/>
  <c r="E258" i="18"/>
  <c r="C260" i="28" s="1"/>
  <c r="E256" i="18"/>
  <c r="C258" i="28" s="1"/>
  <c r="E254" i="18"/>
  <c r="C256" i="28" s="1"/>
  <c r="E252" i="18"/>
  <c r="C254" i="28" s="1"/>
  <c r="E250" i="18"/>
  <c r="C252" i="28" s="1"/>
  <c r="E248" i="18"/>
  <c r="C250" i="28" s="1"/>
  <c r="E246" i="18"/>
  <c r="C248" i="28" s="1"/>
  <c r="E244" i="18"/>
  <c r="C246" i="28" s="1"/>
  <c r="E242" i="18"/>
  <c r="C244" i="28" s="1"/>
  <c r="E240" i="18"/>
  <c r="C242" i="28" s="1"/>
  <c r="E238" i="18"/>
  <c r="C240" i="28" s="1"/>
  <c r="E236" i="18"/>
  <c r="C238" i="28" s="1"/>
  <c r="E234" i="18"/>
  <c r="C236" i="28" s="1"/>
  <c r="E232" i="18"/>
  <c r="C234" i="28" s="1"/>
  <c r="E230" i="18"/>
  <c r="E228" i="18"/>
  <c r="C230" i="28" s="1"/>
  <c r="E226" i="18"/>
  <c r="C228" i="28" s="1"/>
  <c r="E224" i="18"/>
  <c r="C226" i="28" s="1"/>
  <c r="E222" i="18"/>
  <c r="C224" i="28" s="1"/>
  <c r="E220" i="18"/>
  <c r="C222" i="28" s="1"/>
  <c r="E218" i="18"/>
  <c r="C220" i="28" s="1"/>
  <c r="E216" i="18"/>
  <c r="C218" i="28" s="1"/>
  <c r="E214" i="18"/>
  <c r="C216" i="28" s="1"/>
  <c r="E212" i="18"/>
  <c r="C214" i="28" s="1"/>
  <c r="E210" i="18"/>
  <c r="C212" i="28" s="1"/>
  <c r="E208" i="18"/>
  <c r="C210" i="28" s="1"/>
  <c r="E206" i="18"/>
  <c r="C208" i="28" s="1"/>
  <c r="E204" i="18"/>
  <c r="C206" i="28" s="1"/>
  <c r="E202" i="18"/>
  <c r="C204" i="28" s="1"/>
  <c r="E200" i="18"/>
  <c r="E198" i="18"/>
  <c r="C200" i="28" s="1"/>
  <c r="E196" i="18"/>
  <c r="C198" i="28" s="1"/>
  <c r="E194" i="18"/>
  <c r="C196" i="28" s="1"/>
  <c r="E192" i="18"/>
  <c r="C194" i="28" s="1"/>
  <c r="E190" i="18"/>
  <c r="C192" i="28" s="1"/>
  <c r="E188" i="18"/>
  <c r="C190" i="28" s="1"/>
  <c r="E186" i="18"/>
  <c r="C188" i="28" s="1"/>
  <c r="E184" i="18"/>
  <c r="C186" i="28" s="1"/>
  <c r="E182" i="18"/>
  <c r="C184" i="28" s="1"/>
  <c r="E180" i="18"/>
  <c r="C182" i="28" s="1"/>
  <c r="E178" i="18"/>
  <c r="C180" i="28" s="1"/>
  <c r="E176" i="18"/>
  <c r="C178" i="28" s="1"/>
  <c r="E174" i="18"/>
  <c r="C176" i="28" s="1"/>
  <c r="E172" i="18"/>
  <c r="C174" i="28" s="1"/>
  <c r="E170" i="18"/>
  <c r="E168" i="18"/>
  <c r="C170" i="28" s="1"/>
  <c r="E166" i="18"/>
  <c r="C168" i="28" s="1"/>
  <c r="E164" i="18"/>
  <c r="C166" i="28" s="1"/>
  <c r="E162" i="18"/>
  <c r="C164" i="28" s="1"/>
  <c r="E160" i="18"/>
  <c r="C162" i="28" s="1"/>
  <c r="E158" i="18"/>
  <c r="C160" i="28" s="1"/>
  <c r="E156" i="18"/>
  <c r="C158" i="28" s="1"/>
  <c r="E154" i="18"/>
  <c r="C156" i="28" s="1"/>
  <c r="E152" i="18"/>
  <c r="C154" i="28" s="1"/>
  <c r="E150" i="18"/>
  <c r="C152" i="28" s="1"/>
  <c r="E148" i="18"/>
  <c r="C150" i="28" s="1"/>
  <c r="E146" i="18"/>
  <c r="C148" i="28" s="1"/>
  <c r="E144" i="18"/>
  <c r="C146" i="28" s="1"/>
  <c r="E142" i="18"/>
  <c r="C144" i="28" s="1"/>
  <c r="E140" i="18"/>
  <c r="E138" i="18"/>
  <c r="C140" i="28" s="1"/>
  <c r="E136" i="18"/>
  <c r="C138" i="28" s="1"/>
  <c r="E134" i="18"/>
  <c r="C136" i="28" s="1"/>
  <c r="E132" i="18"/>
  <c r="C134" i="28" s="1"/>
  <c r="E130" i="18"/>
  <c r="C132" i="28" s="1"/>
  <c r="E128" i="18"/>
  <c r="C130" i="28" s="1"/>
  <c r="E126" i="18"/>
  <c r="C128" i="28" s="1"/>
  <c r="E124" i="18"/>
  <c r="C126" i="28" s="1"/>
  <c r="E122" i="18"/>
  <c r="C124" i="28" s="1"/>
  <c r="E120" i="18"/>
  <c r="C122" i="28" s="1"/>
  <c r="E118" i="18"/>
  <c r="C120" i="28" s="1"/>
  <c r="E116" i="18"/>
  <c r="C118" i="28" s="1"/>
  <c r="E114" i="18"/>
  <c r="C116" i="28" s="1"/>
  <c r="E112" i="18"/>
  <c r="C114" i="28" s="1"/>
  <c r="E110" i="18"/>
  <c r="E108" i="18"/>
  <c r="C110" i="28" s="1"/>
  <c r="E106" i="18"/>
  <c r="C108" i="28" s="1"/>
  <c r="E104" i="18"/>
  <c r="C106" i="28" s="1"/>
  <c r="E102" i="18"/>
  <c r="C104" i="28" s="1"/>
  <c r="E100" i="18"/>
  <c r="C102" i="28" s="1"/>
  <c r="E98" i="18"/>
  <c r="C100" i="28" s="1"/>
  <c r="E96" i="18"/>
  <c r="C98" i="28" s="1"/>
  <c r="E94" i="18"/>
  <c r="C96" i="28" s="1"/>
  <c r="E92" i="18"/>
  <c r="C94" i="28" s="1"/>
  <c r="E90" i="18"/>
  <c r="C92" i="28" s="1"/>
  <c r="E88" i="18"/>
  <c r="C90" i="28" s="1"/>
  <c r="E86" i="18"/>
  <c r="C88" i="28" s="1"/>
  <c r="E84" i="18"/>
  <c r="C86" i="28" s="1"/>
  <c r="E82" i="18"/>
  <c r="C84" i="28" s="1"/>
  <c r="E80" i="18"/>
  <c r="E78" i="18"/>
  <c r="C80" i="28" s="1"/>
  <c r="E76" i="18"/>
  <c r="C78" i="28" s="1"/>
  <c r="E74" i="18"/>
  <c r="C76" i="28" s="1"/>
  <c r="E72" i="18"/>
  <c r="C74" i="28" s="1"/>
  <c r="E70" i="18"/>
  <c r="C72" i="28" s="1"/>
  <c r="E68" i="18"/>
  <c r="C70" i="28" s="1"/>
  <c r="E66" i="18"/>
  <c r="C68" i="28" s="1"/>
  <c r="E64" i="18"/>
  <c r="C66" i="28" s="1"/>
  <c r="E62" i="18"/>
  <c r="C64" i="28" s="1"/>
  <c r="E60" i="18"/>
  <c r="C62" i="28" s="1"/>
  <c r="E58" i="18"/>
  <c r="C60" i="28" s="1"/>
  <c r="E56" i="18"/>
  <c r="C58" i="28" s="1"/>
  <c r="E54" i="18"/>
  <c r="C56" i="28" s="1"/>
  <c r="E52" i="18"/>
  <c r="C54" i="28" s="1"/>
  <c r="E50" i="18"/>
  <c r="E8" i="18"/>
  <c r="C10" i="28" s="1"/>
  <c r="E16" i="18"/>
  <c r="C18" i="28" s="1"/>
  <c r="E45" i="18"/>
  <c r="C47" i="28" s="1"/>
  <c r="E37" i="18"/>
  <c r="C39" i="28" s="1"/>
  <c r="E29" i="18"/>
  <c r="C31" i="28" s="1"/>
  <c r="E21" i="18"/>
  <c r="C23" i="28" s="1"/>
  <c r="E649" i="18"/>
  <c r="C651" i="28" s="1"/>
  <c r="E647" i="18"/>
  <c r="C649" i="28" s="1"/>
  <c r="E645" i="18"/>
  <c r="C647" i="28" s="1"/>
  <c r="E643" i="18"/>
  <c r="C645" i="28" s="1"/>
  <c r="E641" i="18"/>
  <c r="C643" i="28" s="1"/>
  <c r="E639" i="18"/>
  <c r="C641" i="28" s="1"/>
  <c r="E637" i="18"/>
  <c r="C639" i="28" s="1"/>
  <c r="E635" i="18"/>
  <c r="E633" i="18"/>
  <c r="C635" i="28" s="1"/>
  <c r="E631" i="18"/>
  <c r="C633" i="28" s="1"/>
  <c r="E629" i="18"/>
  <c r="C631" i="28" s="1"/>
  <c r="E627" i="18"/>
  <c r="C629" i="28" s="1"/>
  <c r="E625" i="18"/>
  <c r="C627" i="28" s="1"/>
  <c r="E623" i="18"/>
  <c r="C625" i="28" s="1"/>
  <c r="E621" i="18"/>
  <c r="C623" i="28" s="1"/>
  <c r="E619" i="18"/>
  <c r="C621" i="28" s="1"/>
  <c r="E617" i="18"/>
  <c r="C619" i="28" s="1"/>
  <c r="E615" i="18"/>
  <c r="C617" i="28" s="1"/>
  <c r="E613" i="18"/>
  <c r="C615" i="28" s="1"/>
  <c r="E611" i="18"/>
  <c r="C613" i="28" s="1"/>
  <c r="E609" i="18"/>
  <c r="C611" i="28" s="1"/>
  <c r="E607" i="18"/>
  <c r="C609" i="28" s="1"/>
  <c r="E605" i="18"/>
  <c r="E603" i="18"/>
  <c r="C605" i="28" s="1"/>
  <c r="E601" i="18"/>
  <c r="C603" i="28" s="1"/>
  <c r="E599" i="18"/>
  <c r="C601" i="28" s="1"/>
  <c r="E597" i="18"/>
  <c r="C599" i="28" s="1"/>
  <c r="E595" i="18"/>
  <c r="C597" i="28" s="1"/>
  <c r="E593" i="18"/>
  <c r="C595" i="28" s="1"/>
  <c r="E591" i="18"/>
  <c r="C593" i="28" s="1"/>
  <c r="E589" i="18"/>
  <c r="C591" i="28" s="1"/>
  <c r="E587" i="18"/>
  <c r="C589" i="28" s="1"/>
  <c r="E585" i="18"/>
  <c r="C587" i="28" s="1"/>
  <c r="E583" i="18"/>
  <c r="C585" i="28" s="1"/>
  <c r="E581" i="18"/>
  <c r="C583" i="28" s="1"/>
  <c r="E579" i="18"/>
  <c r="C581" i="28" s="1"/>
  <c r="E577" i="18"/>
  <c r="C579" i="28" s="1"/>
  <c r="E575" i="18"/>
  <c r="E573" i="18"/>
  <c r="C575" i="28" s="1"/>
  <c r="E571" i="18"/>
  <c r="C573" i="28" s="1"/>
  <c r="E569" i="18"/>
  <c r="C571" i="28" s="1"/>
  <c r="E567" i="18"/>
  <c r="C569" i="28" s="1"/>
  <c r="E565" i="18"/>
  <c r="C567" i="28" s="1"/>
  <c r="E563" i="18"/>
  <c r="C565" i="28" s="1"/>
  <c r="E561" i="18"/>
  <c r="C563" i="28" s="1"/>
  <c r="E559" i="18"/>
  <c r="C561" i="28" s="1"/>
  <c r="E557" i="18"/>
  <c r="C559" i="28" s="1"/>
  <c r="E555" i="18"/>
  <c r="C557" i="28" s="1"/>
  <c r="E553" i="18"/>
  <c r="C555" i="28" s="1"/>
  <c r="E551" i="18"/>
  <c r="C553" i="28" s="1"/>
  <c r="E549" i="18"/>
  <c r="C551" i="28" s="1"/>
  <c r="E547" i="18"/>
  <c r="C549" i="28" s="1"/>
  <c r="E545" i="18"/>
  <c r="E543" i="18"/>
  <c r="C545" i="28" s="1"/>
  <c r="E541" i="18"/>
  <c r="C543" i="28" s="1"/>
  <c r="E539" i="18"/>
  <c r="C541" i="28" s="1"/>
  <c r="E537" i="18"/>
  <c r="C539" i="28" s="1"/>
  <c r="E535" i="18"/>
  <c r="C537" i="28" s="1"/>
  <c r="E533" i="18"/>
  <c r="C535" i="28" s="1"/>
  <c r="E531" i="18"/>
  <c r="C533" i="28" s="1"/>
  <c r="E529" i="18"/>
  <c r="C531" i="28" s="1"/>
  <c r="E527" i="18"/>
  <c r="C529" i="28" s="1"/>
  <c r="E525" i="18"/>
  <c r="C527" i="28" s="1"/>
  <c r="E523" i="18"/>
  <c r="C525" i="28" s="1"/>
  <c r="E521" i="18"/>
  <c r="C523" i="28" s="1"/>
  <c r="E519" i="18"/>
  <c r="C521" i="28" s="1"/>
  <c r="E517" i="18"/>
  <c r="C519" i="28" s="1"/>
  <c r="E515" i="18"/>
  <c r="E513" i="18"/>
  <c r="C515" i="28" s="1"/>
  <c r="E511" i="18"/>
  <c r="C513" i="28" s="1"/>
  <c r="E509" i="18"/>
  <c r="C511" i="28" s="1"/>
  <c r="E507" i="18"/>
  <c r="C509" i="28" s="1"/>
  <c r="E505" i="18"/>
  <c r="C507" i="28" s="1"/>
  <c r="E503" i="18"/>
  <c r="C505" i="28" s="1"/>
  <c r="E501" i="18"/>
  <c r="C503" i="28" s="1"/>
  <c r="E499" i="18"/>
  <c r="C501" i="28" s="1"/>
  <c r="E497" i="18"/>
  <c r="C499" i="28" s="1"/>
  <c r="E495" i="18"/>
  <c r="C497" i="28" s="1"/>
  <c r="E493" i="18"/>
  <c r="C495" i="28" s="1"/>
  <c r="E491" i="18"/>
  <c r="C493" i="28" s="1"/>
  <c r="E489" i="18"/>
  <c r="C491" i="28" s="1"/>
  <c r="E487" i="18"/>
  <c r="C489" i="28" s="1"/>
  <c r="E485" i="18"/>
  <c r="E483" i="18"/>
  <c r="C485" i="28" s="1"/>
  <c r="E481" i="18"/>
  <c r="C483" i="28" s="1"/>
  <c r="E479" i="18"/>
  <c r="C481" i="28" s="1"/>
  <c r="E477" i="18"/>
  <c r="C479" i="28" s="1"/>
  <c r="E475" i="18"/>
  <c r="C477" i="28" s="1"/>
  <c r="E473" i="18"/>
  <c r="C475" i="28" s="1"/>
  <c r="E471" i="18"/>
  <c r="C473" i="28" s="1"/>
  <c r="E469" i="18"/>
  <c r="C471" i="28" s="1"/>
  <c r="E467" i="18"/>
  <c r="C469" i="28" s="1"/>
  <c r="E465" i="18"/>
  <c r="C467" i="28" s="1"/>
  <c r="E463" i="18"/>
  <c r="C465" i="28" s="1"/>
  <c r="E461" i="18"/>
  <c r="C463" i="28" s="1"/>
  <c r="E459" i="18"/>
  <c r="C461" i="28" s="1"/>
  <c r="E457" i="18"/>
  <c r="C459" i="28" s="1"/>
  <c r="E455" i="18"/>
  <c r="E453" i="18"/>
  <c r="C455" i="28" s="1"/>
  <c r="E451" i="18"/>
  <c r="C453" i="28" s="1"/>
  <c r="E449" i="18"/>
  <c r="C451" i="28" s="1"/>
  <c r="E447" i="18"/>
  <c r="C449" i="28" s="1"/>
  <c r="E445" i="18"/>
  <c r="C447" i="28" s="1"/>
  <c r="E443" i="18"/>
  <c r="C445" i="28" s="1"/>
  <c r="E441" i="18"/>
  <c r="C443" i="28" s="1"/>
  <c r="E439" i="18"/>
  <c r="C441" i="28" s="1"/>
  <c r="E437" i="18"/>
  <c r="C439" i="28" s="1"/>
  <c r="E435" i="18"/>
  <c r="C437" i="28" s="1"/>
  <c r="E433" i="18"/>
  <c r="C435" i="28" s="1"/>
  <c r="E431" i="18"/>
  <c r="C433" i="28" s="1"/>
  <c r="E429" i="18"/>
  <c r="C431" i="28" s="1"/>
  <c r="E427" i="18"/>
  <c r="C429" i="28" s="1"/>
  <c r="E425" i="18"/>
  <c r="E423" i="18"/>
  <c r="C425" i="28" s="1"/>
  <c r="E421" i="18"/>
  <c r="C423" i="28" s="1"/>
  <c r="E419" i="18"/>
  <c r="C421" i="28" s="1"/>
  <c r="E417" i="18"/>
  <c r="C419" i="28" s="1"/>
  <c r="E415" i="18"/>
  <c r="C417" i="28" s="1"/>
  <c r="E413" i="18"/>
  <c r="C415" i="28" s="1"/>
  <c r="E411" i="18"/>
  <c r="C413" i="28" s="1"/>
  <c r="E409" i="18"/>
  <c r="C411" i="28" s="1"/>
  <c r="E407" i="18"/>
  <c r="C409" i="28" s="1"/>
  <c r="E405" i="18"/>
  <c r="C407" i="28" s="1"/>
  <c r="E403" i="18"/>
  <c r="C405" i="28" s="1"/>
  <c r="E401" i="18"/>
  <c r="C403" i="28" s="1"/>
  <c r="E399" i="18"/>
  <c r="C401" i="28" s="1"/>
  <c r="E397" i="18"/>
  <c r="C399" i="28" s="1"/>
  <c r="E395" i="18"/>
  <c r="E393" i="18"/>
  <c r="C395" i="28" s="1"/>
  <c r="E391" i="18"/>
  <c r="C393" i="28" s="1"/>
  <c r="E389" i="18"/>
  <c r="C391" i="28" s="1"/>
  <c r="E387" i="18"/>
  <c r="C389" i="28" s="1"/>
  <c r="E385" i="18"/>
  <c r="C387" i="28" s="1"/>
  <c r="E383" i="18"/>
  <c r="C385" i="28" s="1"/>
  <c r="E381" i="18"/>
  <c r="C383" i="28" s="1"/>
  <c r="E379" i="18"/>
  <c r="C381" i="28" s="1"/>
  <c r="E377" i="18"/>
  <c r="C379" i="28" s="1"/>
  <c r="E375" i="18"/>
  <c r="C377" i="28" s="1"/>
  <c r="E373" i="18"/>
  <c r="C375" i="28" s="1"/>
  <c r="E371" i="18"/>
  <c r="C373" i="28" s="1"/>
  <c r="E369" i="18"/>
  <c r="C371" i="28" s="1"/>
  <c r="E367" i="18"/>
  <c r="C369" i="28" s="1"/>
  <c r="E365" i="18"/>
  <c r="E363" i="18"/>
  <c r="C365" i="28" s="1"/>
  <c r="E361" i="18"/>
  <c r="C363" i="28" s="1"/>
  <c r="E359" i="18"/>
  <c r="C361" i="28" s="1"/>
  <c r="E357" i="18"/>
  <c r="C359" i="28" s="1"/>
  <c r="E355" i="18"/>
  <c r="C357" i="28" s="1"/>
  <c r="E353" i="18"/>
  <c r="C355" i="28" s="1"/>
  <c r="E351" i="18"/>
  <c r="C353" i="28" s="1"/>
  <c r="E349" i="18"/>
  <c r="C351" i="28" s="1"/>
  <c r="E347" i="18"/>
  <c r="C349" i="28" s="1"/>
  <c r="E345" i="18"/>
  <c r="C347" i="28" s="1"/>
  <c r="E343" i="18"/>
  <c r="C345" i="28" s="1"/>
  <c r="E341" i="18"/>
  <c r="C343" i="28" s="1"/>
  <c r="E339" i="18"/>
  <c r="C341" i="28" s="1"/>
  <c r="E337" i="18"/>
  <c r="C339" i="28" s="1"/>
  <c r="E335" i="18"/>
  <c r="E333" i="18"/>
  <c r="C335" i="28" s="1"/>
  <c r="E331" i="18"/>
  <c r="C333" i="28" s="1"/>
  <c r="E329" i="18"/>
  <c r="C331" i="28" s="1"/>
  <c r="E327" i="18"/>
  <c r="C329" i="28" s="1"/>
  <c r="E325" i="18"/>
  <c r="C327" i="28" s="1"/>
  <c r="E323" i="18"/>
  <c r="C325" i="28" s="1"/>
  <c r="E321" i="18"/>
  <c r="C323" i="28" s="1"/>
  <c r="E319" i="18"/>
  <c r="C321" i="28" s="1"/>
  <c r="E317" i="18"/>
  <c r="C319" i="28" s="1"/>
  <c r="E315" i="18"/>
  <c r="C317" i="28" s="1"/>
  <c r="E313" i="18"/>
  <c r="C315" i="28" s="1"/>
  <c r="E311" i="18"/>
  <c r="C313" i="28" s="1"/>
  <c r="E309" i="18"/>
  <c r="C311" i="28" s="1"/>
  <c r="E307" i="18"/>
  <c r="C309" i="28" s="1"/>
  <c r="E305" i="18"/>
  <c r="E303" i="18"/>
  <c r="C305" i="28" s="1"/>
  <c r="E301" i="18"/>
  <c r="C303" i="28" s="1"/>
  <c r="E299" i="18"/>
  <c r="C301" i="28" s="1"/>
  <c r="E297" i="18"/>
  <c r="C299" i="28" s="1"/>
  <c r="E295" i="18"/>
  <c r="C297" i="28" s="1"/>
  <c r="E293" i="18"/>
  <c r="C295" i="28" s="1"/>
  <c r="E291" i="18"/>
  <c r="C293" i="28" s="1"/>
  <c r="E289" i="18"/>
  <c r="C291" i="28" s="1"/>
  <c r="E287" i="18"/>
  <c r="C289" i="28" s="1"/>
  <c r="E285" i="18"/>
  <c r="C287" i="28" s="1"/>
  <c r="E283" i="18"/>
  <c r="C285" i="28" s="1"/>
  <c r="E281" i="18"/>
  <c r="C283" i="28" s="1"/>
  <c r="E279" i="18"/>
  <c r="C281" i="28" s="1"/>
  <c r="E277" i="18"/>
  <c r="C279" i="28" s="1"/>
  <c r="E275" i="18"/>
  <c r="E273" i="18"/>
  <c r="C275" i="28" s="1"/>
  <c r="E271" i="18"/>
  <c r="C273" i="28" s="1"/>
  <c r="E269" i="18"/>
  <c r="C271" i="28" s="1"/>
  <c r="E267" i="18"/>
  <c r="C269" i="28" s="1"/>
  <c r="E265" i="18"/>
  <c r="C267" i="28" s="1"/>
  <c r="E263" i="18"/>
  <c r="C265" i="28" s="1"/>
  <c r="E261" i="18"/>
  <c r="C263" i="28" s="1"/>
  <c r="E259" i="18"/>
  <c r="C261" i="28" s="1"/>
  <c r="E257" i="18"/>
  <c r="C259" i="28" s="1"/>
  <c r="E255" i="18"/>
  <c r="C257" i="28" s="1"/>
  <c r="E253" i="18"/>
  <c r="C255" i="28" s="1"/>
  <c r="E251" i="18"/>
  <c r="C253" i="28" s="1"/>
  <c r="E249" i="18"/>
  <c r="C251" i="28" s="1"/>
  <c r="E247" i="18"/>
  <c r="C249" i="28" s="1"/>
  <c r="E245" i="18"/>
  <c r="E243" i="18"/>
  <c r="C245" i="28" s="1"/>
  <c r="E241" i="18"/>
  <c r="C243" i="28" s="1"/>
  <c r="E239" i="18"/>
  <c r="C241" i="28" s="1"/>
  <c r="E237" i="18"/>
  <c r="C239" i="28" s="1"/>
  <c r="E235" i="18"/>
  <c r="C237" i="28" s="1"/>
  <c r="E233" i="18"/>
  <c r="C235" i="28" s="1"/>
  <c r="E231" i="18"/>
  <c r="C233" i="28" s="1"/>
  <c r="E229" i="18"/>
  <c r="C231" i="28" s="1"/>
  <c r="E227" i="18"/>
  <c r="C229" i="28" s="1"/>
  <c r="E225" i="18"/>
  <c r="C227" i="28" s="1"/>
  <c r="E223" i="18"/>
  <c r="C225" i="28" s="1"/>
  <c r="E221" i="18"/>
  <c r="C223" i="28" s="1"/>
  <c r="E219" i="18"/>
  <c r="C221" i="28" s="1"/>
  <c r="E217" i="18"/>
  <c r="C219" i="28" s="1"/>
  <c r="E215" i="18"/>
  <c r="E213" i="18"/>
  <c r="C215" i="28" s="1"/>
  <c r="E211" i="18"/>
  <c r="C213" i="28" s="1"/>
  <c r="E209" i="18"/>
  <c r="C211" i="28" s="1"/>
  <c r="E207" i="18"/>
  <c r="C209" i="28" s="1"/>
  <c r="E205" i="18"/>
  <c r="C207" i="28" s="1"/>
  <c r="E203" i="18"/>
  <c r="C205" i="28" s="1"/>
  <c r="E201" i="18"/>
  <c r="C203" i="28" s="1"/>
  <c r="E199" i="18"/>
  <c r="C201" i="28" s="1"/>
  <c r="E197" i="18"/>
  <c r="C199" i="28" s="1"/>
  <c r="E195" i="18"/>
  <c r="C197" i="28" s="1"/>
  <c r="E193" i="18"/>
  <c r="C195" i="28" s="1"/>
  <c r="E191" i="18"/>
  <c r="C193" i="28" s="1"/>
  <c r="E189" i="18"/>
  <c r="C191" i="28" s="1"/>
  <c r="E187" i="18"/>
  <c r="C189" i="28" s="1"/>
  <c r="E185" i="18"/>
  <c r="E183" i="18"/>
  <c r="C185" i="28" s="1"/>
  <c r="E181" i="18"/>
  <c r="C183" i="28" s="1"/>
  <c r="E179" i="18"/>
  <c r="C181" i="28" s="1"/>
  <c r="E177" i="18"/>
  <c r="C179" i="28" s="1"/>
  <c r="E175" i="18"/>
  <c r="C177" i="28" s="1"/>
  <c r="E173" i="18"/>
  <c r="C175" i="28" s="1"/>
  <c r="E171" i="18"/>
  <c r="C173" i="28" s="1"/>
  <c r="E169" i="18"/>
  <c r="C171" i="28" s="1"/>
  <c r="E167" i="18"/>
  <c r="C169" i="28" s="1"/>
  <c r="E165" i="18"/>
  <c r="C167" i="28" s="1"/>
  <c r="E163" i="18"/>
  <c r="C165" i="28" s="1"/>
  <c r="E161" i="18"/>
  <c r="C163" i="28" s="1"/>
  <c r="E159" i="18"/>
  <c r="C161" i="28" s="1"/>
  <c r="E157" i="18"/>
  <c r="C159" i="28" s="1"/>
  <c r="E155" i="18"/>
  <c r="E153" i="18"/>
  <c r="C155" i="28" s="1"/>
  <c r="E151" i="18"/>
  <c r="C153" i="28" s="1"/>
  <c r="E149" i="18"/>
  <c r="C151" i="28" s="1"/>
  <c r="E147" i="18"/>
  <c r="C149" i="28" s="1"/>
  <c r="E145" i="18"/>
  <c r="C147" i="28" s="1"/>
  <c r="E143" i="18"/>
  <c r="C145" i="28" s="1"/>
  <c r="E141" i="18"/>
  <c r="C143" i="28" s="1"/>
  <c r="E139" i="18"/>
  <c r="C141" i="28" s="1"/>
  <c r="E137" i="18"/>
  <c r="C139" i="28" s="1"/>
  <c r="E135" i="18"/>
  <c r="C137" i="28" s="1"/>
  <c r="E133" i="18"/>
  <c r="C135" i="28" s="1"/>
  <c r="E131" i="18"/>
  <c r="C133" i="28" s="1"/>
  <c r="E129" i="18"/>
  <c r="C131" i="28" s="1"/>
  <c r="E127" i="18"/>
  <c r="C129" i="28" s="1"/>
  <c r="E125" i="18"/>
  <c r="E123" i="18"/>
  <c r="C125" i="28" s="1"/>
  <c r="E121" i="18"/>
  <c r="C123" i="28" s="1"/>
  <c r="E119" i="18"/>
  <c r="C121" i="28" s="1"/>
  <c r="E117" i="18"/>
  <c r="C119" i="28" s="1"/>
  <c r="E115" i="18"/>
  <c r="C117" i="28" s="1"/>
  <c r="E113" i="18"/>
  <c r="C115" i="28" s="1"/>
  <c r="E111" i="18"/>
  <c r="C113" i="28" s="1"/>
  <c r="E109" i="18"/>
  <c r="C111" i="28" s="1"/>
  <c r="E107" i="18"/>
  <c r="C109" i="28" s="1"/>
  <c r="E105" i="18"/>
  <c r="C107" i="28" s="1"/>
  <c r="E103" i="18"/>
  <c r="C105" i="28" s="1"/>
  <c r="E101" i="18"/>
  <c r="C103" i="28" s="1"/>
  <c r="E99" i="18"/>
  <c r="C101" i="28" s="1"/>
  <c r="E97" i="18"/>
  <c r="C99" i="28" s="1"/>
  <c r="E95" i="18"/>
  <c r="E93" i="18"/>
  <c r="C95" i="28" s="1"/>
  <c r="E91" i="18"/>
  <c r="C93" i="28" s="1"/>
  <c r="E89" i="18"/>
  <c r="C91" i="28" s="1"/>
  <c r="E87" i="18"/>
  <c r="C89" i="28" s="1"/>
  <c r="E85" i="18"/>
  <c r="C87" i="28" s="1"/>
  <c r="E83" i="18"/>
  <c r="C85" i="28" s="1"/>
  <c r="E81" i="18"/>
  <c r="C83" i="28" s="1"/>
  <c r="E79" i="18"/>
  <c r="C81" i="28" s="1"/>
  <c r="E77" i="18"/>
  <c r="C79" i="28" s="1"/>
  <c r="E75" i="18"/>
  <c r="C77" i="28" s="1"/>
  <c r="E73" i="18"/>
  <c r="C75" i="28" s="1"/>
  <c r="E71" i="18"/>
  <c r="C73" i="28" s="1"/>
  <c r="E69" i="18"/>
  <c r="C71" i="28" s="1"/>
  <c r="E67" i="18"/>
  <c r="C69" i="28" s="1"/>
  <c r="E65" i="18"/>
  <c r="E63" i="18"/>
  <c r="C65" i="28" s="1"/>
  <c r="E61" i="18"/>
  <c r="C63" i="28" s="1"/>
  <c r="E59" i="18"/>
  <c r="C61" i="28" s="1"/>
  <c r="E57" i="18"/>
  <c r="C59" i="28" s="1"/>
  <c r="E55" i="18"/>
  <c r="C57" i="28" s="1"/>
  <c r="E53" i="18"/>
  <c r="C55" i="28" s="1"/>
  <c r="E51" i="18"/>
  <c r="C53" i="28" s="1"/>
  <c r="E5" i="18"/>
  <c r="D10" i="3"/>
  <c r="D11" i="3"/>
  <c r="B147" i="18"/>
  <c r="B178" i="18"/>
  <c r="B119" i="18"/>
  <c r="B110" i="18"/>
  <c r="B9" i="5" s="1"/>
  <c r="B138" i="18"/>
  <c r="B98" i="18"/>
  <c r="B93" i="18"/>
  <c r="B803" i="18"/>
  <c r="B824" i="18"/>
  <c r="B890" i="18"/>
  <c r="B61" i="5" s="1"/>
  <c r="B898" i="18"/>
  <c r="B784" i="18"/>
  <c r="B848" i="18"/>
  <c r="B800" i="18"/>
  <c r="B55" i="5" s="1"/>
  <c r="B713" i="18"/>
  <c r="B832" i="18"/>
  <c r="B856" i="18"/>
  <c r="B747" i="18"/>
  <c r="B816" i="18"/>
  <c r="B808" i="18"/>
  <c r="B840" i="18"/>
  <c r="B792" i="18"/>
  <c r="B735" i="18"/>
  <c r="B667" i="18"/>
  <c r="B737" i="18"/>
  <c r="B617" i="18"/>
  <c r="B721" i="18"/>
  <c r="B745" i="18"/>
  <c r="B695" i="18"/>
  <c r="B48" i="5" s="1"/>
  <c r="B681" i="18"/>
  <c r="B705" i="18"/>
  <c r="B633" i="18"/>
  <c r="B599" i="18"/>
  <c r="B729" i="18"/>
  <c r="B693" i="18"/>
  <c r="B687" i="18"/>
  <c r="B661" i="18"/>
  <c r="B643" i="18"/>
  <c r="B606" i="18"/>
  <c r="B598" i="18"/>
  <c r="B581" i="18"/>
  <c r="B645" i="18"/>
  <c r="B591" i="18"/>
  <c r="B475" i="18"/>
  <c r="B669" i="18"/>
  <c r="B651" i="18"/>
  <c r="B637" i="18"/>
  <c r="B621" i="18"/>
  <c r="B654" i="18"/>
  <c r="B653" i="18"/>
  <c r="B521" i="18"/>
  <c r="B659" i="18"/>
  <c r="B665" i="18"/>
  <c r="B46" i="5" s="1"/>
  <c r="B629" i="18"/>
  <c r="B613" i="18"/>
  <c r="B511" i="18"/>
  <c r="B415" i="18"/>
  <c r="B500" i="18"/>
  <c r="B35" i="5" s="1"/>
  <c r="B551" i="18"/>
  <c r="B535" i="18"/>
  <c r="B451" i="18"/>
  <c r="B574" i="18"/>
  <c r="B519" i="18"/>
  <c r="B487" i="18"/>
  <c r="B350" i="18"/>
  <c r="B25" i="5" s="1"/>
  <c r="B559" i="18"/>
  <c r="B543" i="18"/>
  <c r="B527" i="18"/>
  <c r="B454" i="18"/>
  <c r="B344" i="18"/>
  <c r="B335" i="18"/>
  <c r="B24" i="5" s="1"/>
  <c r="B450" i="18"/>
  <c r="B375" i="18"/>
  <c r="B371" i="18"/>
  <c r="B399" i="18"/>
  <c r="B407" i="18"/>
  <c r="B435" i="18"/>
  <c r="B391" i="18"/>
  <c r="B387" i="18"/>
  <c r="B339" i="18"/>
  <c r="B314" i="18"/>
  <c r="B331" i="18"/>
  <c r="B431" i="18"/>
  <c r="B383" i="18"/>
  <c r="B336" i="18"/>
  <c r="B348" i="18"/>
  <c r="B423" i="18"/>
  <c r="B366" i="18"/>
  <c r="B342" i="18"/>
  <c r="B293" i="18"/>
  <c r="B235" i="18"/>
  <c r="B281" i="18"/>
  <c r="B276" i="18"/>
  <c r="B275" i="18"/>
  <c r="B20" i="5" s="1"/>
  <c r="B260" i="18"/>
  <c r="B19" i="5" s="1"/>
  <c r="B223" i="18"/>
  <c r="B261" i="18"/>
  <c r="B214" i="18"/>
  <c r="B291" i="18"/>
  <c r="B246" i="18"/>
  <c r="B206" i="18"/>
  <c r="B279" i="18"/>
  <c r="B254" i="18"/>
  <c r="B231" i="18"/>
  <c r="B241" i="18"/>
  <c r="B240" i="18"/>
  <c r="B224" i="18"/>
  <c r="B269" i="18"/>
  <c r="B207" i="18"/>
  <c r="B168" i="18"/>
  <c r="B245" i="18"/>
  <c r="B18" i="5" s="1"/>
  <c r="B229" i="18"/>
  <c r="B182" i="18"/>
  <c r="B222" i="18"/>
  <c r="B243" i="18"/>
  <c r="B211" i="18"/>
  <c r="B205" i="18"/>
  <c r="B163" i="18"/>
  <c r="B217" i="18"/>
  <c r="B135" i="18"/>
  <c r="B127" i="18"/>
  <c r="B204" i="18"/>
  <c r="B190" i="18"/>
  <c r="B167" i="18"/>
  <c r="B157" i="18"/>
  <c r="B227" i="18"/>
  <c r="B195" i="18"/>
  <c r="B134" i="18"/>
  <c r="B139" i="18"/>
  <c r="B101" i="18"/>
  <c r="B96" i="18"/>
  <c r="B197" i="18"/>
  <c r="B64" i="18"/>
  <c r="B117" i="18"/>
  <c r="B115" i="18"/>
  <c r="B131" i="18"/>
  <c r="B155" i="18"/>
  <c r="B12" i="5" s="1"/>
  <c r="B65" i="18"/>
  <c r="B6" i="5" s="1"/>
  <c r="A5" i="18"/>
  <c r="A2" i="5" s="1"/>
  <c r="W79" i="20" l="1"/>
  <c r="W82" i="20"/>
  <c r="W87" i="20"/>
  <c r="W81" i="20"/>
  <c r="W73" i="20"/>
  <c r="P88" i="20"/>
  <c r="W83" i="20"/>
  <c r="W86" i="20"/>
  <c r="W80" i="20"/>
  <c r="W75" i="20"/>
  <c r="W76" i="20"/>
  <c r="R88" i="20"/>
  <c r="T88" i="20"/>
  <c r="W77" i="20"/>
  <c r="W85" i="20"/>
  <c r="W74" i="20"/>
  <c r="W84" i="20"/>
  <c r="U88" i="20"/>
  <c r="W78" i="20"/>
  <c r="Q88" i="20"/>
  <c r="S88" i="20"/>
  <c r="B76" i="19"/>
  <c r="C247" i="28"/>
  <c r="D18" i="5"/>
  <c r="C487" i="28"/>
  <c r="D34" i="5"/>
  <c r="C322" i="28"/>
  <c r="D23" i="5"/>
  <c r="C622" i="28"/>
  <c r="D43" i="5"/>
  <c r="C862" i="28"/>
  <c r="D59" i="5"/>
  <c r="C217" i="28"/>
  <c r="D16" i="5"/>
  <c r="C457" i="28"/>
  <c r="D32" i="5"/>
  <c r="C52" i="28"/>
  <c r="D5" i="5"/>
  <c r="C292" i="28"/>
  <c r="D21" i="5"/>
  <c r="C532" i="28"/>
  <c r="D37" i="5"/>
  <c r="C727" i="28"/>
  <c r="D50" i="5"/>
  <c r="C22" i="28"/>
  <c r="D3" i="5"/>
  <c r="C592" i="28"/>
  <c r="D41" i="5"/>
  <c r="C832" i="28"/>
  <c r="D57" i="5"/>
  <c r="C112" i="28"/>
  <c r="D9" i="5"/>
  <c r="C82" i="28"/>
  <c r="D7" i="5"/>
  <c r="C757" i="28"/>
  <c r="D52" i="5"/>
  <c r="C187" i="28"/>
  <c r="D14" i="5"/>
  <c r="C427" i="28"/>
  <c r="D30" i="5"/>
  <c r="C262" i="28"/>
  <c r="D19" i="5"/>
  <c r="C502" i="28"/>
  <c r="D35" i="5"/>
  <c r="C697" i="28"/>
  <c r="D48" i="5"/>
  <c r="C562" i="28"/>
  <c r="D39" i="5"/>
  <c r="C802" i="28"/>
  <c r="D55" i="5"/>
  <c r="C127" i="28"/>
  <c r="D10" i="5"/>
  <c r="C367" i="28"/>
  <c r="D26" i="5"/>
  <c r="C607" i="28"/>
  <c r="D42" i="5"/>
  <c r="C442" i="28"/>
  <c r="D31" i="5"/>
  <c r="C877" i="28"/>
  <c r="D60" i="5"/>
  <c r="C37" i="28"/>
  <c r="D4" i="5"/>
  <c r="C742" i="28"/>
  <c r="D51" i="5"/>
  <c r="C157" i="28"/>
  <c r="D12" i="5"/>
  <c r="C397" i="28"/>
  <c r="D28" i="5"/>
  <c r="C232" i="28"/>
  <c r="D17" i="5"/>
  <c r="C772" i="28"/>
  <c r="D53" i="5"/>
  <c r="C97" i="28"/>
  <c r="D8" i="5"/>
  <c r="C337" i="28"/>
  <c r="D24" i="5"/>
  <c r="C577" i="28"/>
  <c r="D40" i="5"/>
  <c r="C172" i="28"/>
  <c r="D13" i="5"/>
  <c r="C412" i="28"/>
  <c r="D29" i="5"/>
  <c r="C847" i="28"/>
  <c r="D58" i="5"/>
  <c r="C712" i="28"/>
  <c r="D49" i="5"/>
  <c r="C352" i="28"/>
  <c r="D25" i="5"/>
  <c r="C637" i="28"/>
  <c r="D44" i="5"/>
  <c r="C472" i="28"/>
  <c r="D33" i="5"/>
  <c r="C667" i="28"/>
  <c r="D46" i="5"/>
  <c r="C202" i="28"/>
  <c r="D15" i="5"/>
  <c r="C7" i="28"/>
  <c r="D2" i="5"/>
  <c r="C67" i="28"/>
  <c r="D6" i="5"/>
  <c r="C307" i="28"/>
  <c r="D22" i="5"/>
  <c r="C547" i="28"/>
  <c r="D38" i="5"/>
  <c r="C142" i="28"/>
  <c r="D11" i="5"/>
  <c r="C382" i="28"/>
  <c r="D27" i="5"/>
  <c r="C817" i="28"/>
  <c r="D56" i="5"/>
  <c r="C682" i="28"/>
  <c r="D47" i="5"/>
  <c r="C277" i="28"/>
  <c r="D20" i="5"/>
  <c r="C517" i="28"/>
  <c r="D36" i="5"/>
  <c r="C787" i="28"/>
  <c r="D54" i="5"/>
  <c r="C652" i="28"/>
  <c r="D45" i="5"/>
  <c r="C892" i="28"/>
  <c r="D61" i="5"/>
  <c r="B4" i="19"/>
  <c r="Y117" i="19"/>
  <c r="Y116" i="19"/>
  <c r="Y121" i="19"/>
  <c r="Y118" i="19"/>
  <c r="Y122" i="19"/>
  <c r="Y120" i="19"/>
  <c r="AX110" i="19"/>
  <c r="AX109" i="19"/>
  <c r="AX108" i="19"/>
  <c r="AX105" i="19"/>
  <c r="AX106" i="19"/>
  <c r="Y124" i="19"/>
  <c r="Y129" i="19"/>
  <c r="Y123" i="19"/>
  <c r="X110" i="19"/>
  <c r="X109" i="19"/>
  <c r="X108" i="19"/>
  <c r="X105" i="19"/>
  <c r="X106" i="19"/>
  <c r="Y104" i="19"/>
  <c r="Y111" i="19" s="1"/>
  <c r="Y126" i="19"/>
  <c r="Y128" i="19"/>
  <c r="Y127" i="19"/>
  <c r="Y119" i="19"/>
  <c r="B164" i="19"/>
  <c r="Z114" i="19"/>
  <c r="AY104" i="19"/>
  <c r="AY111" i="19" s="1"/>
  <c r="B113" i="19"/>
  <c r="B5" i="18"/>
  <c r="B2" i="5" s="1"/>
  <c r="AG5" i="18"/>
  <c r="AF2" i="5" s="1"/>
  <c r="X6" i="18"/>
  <c r="W2" i="5" s="1"/>
  <c r="AJ36" i="18"/>
  <c r="AO36" i="18" s="1"/>
  <c r="AJ35" i="18"/>
  <c r="AJ21" i="18"/>
  <c r="AJ20" i="18"/>
  <c r="AJ6" i="18"/>
  <c r="AJ5" i="18"/>
  <c r="W88" i="20" l="1"/>
  <c r="B77" i="19"/>
  <c r="AH8" i="28"/>
  <c r="AO6" i="18"/>
  <c r="AM8" i="28" s="1"/>
  <c r="AI4" i="5"/>
  <c r="AH22" i="28"/>
  <c r="AI3" i="5"/>
  <c r="AO20" i="18"/>
  <c r="AM22" i="28" s="1"/>
  <c r="AH23" i="28"/>
  <c r="AO21" i="18"/>
  <c r="AM23" i="28" s="1"/>
  <c r="AI2" i="5"/>
  <c r="AO5" i="18"/>
  <c r="AM7" i="28" s="1"/>
  <c r="AH37" i="28"/>
  <c r="AH38" i="28"/>
  <c r="V8" i="28"/>
  <c r="AE7" i="28"/>
  <c r="AH7" i="28"/>
  <c r="AY105" i="19"/>
  <c r="AY110" i="19"/>
  <c r="AY109" i="19"/>
  <c r="AY108" i="19"/>
  <c r="AY106" i="19"/>
  <c r="Y110" i="19"/>
  <c r="Y109" i="19"/>
  <c r="Y106" i="19"/>
  <c r="Y108" i="19"/>
  <c r="Y105" i="19"/>
  <c r="Z104" i="19"/>
  <c r="Z111" i="19" s="1"/>
  <c r="Z127" i="19"/>
  <c r="Z126" i="19"/>
  <c r="Z129" i="19"/>
  <c r="Z117" i="19"/>
  <c r="Z123" i="19"/>
  <c r="Z118" i="19"/>
  <c r="Z120" i="19"/>
  <c r="Z119" i="19"/>
  <c r="Z128" i="19"/>
  <c r="Z121" i="19"/>
  <c r="Z124" i="19"/>
  <c r="Z125" i="19"/>
  <c r="Z122" i="19"/>
  <c r="Z116" i="19"/>
  <c r="B165" i="19"/>
  <c r="AA114" i="19"/>
  <c r="AZ104" i="19"/>
  <c r="AZ111" i="19" s="1"/>
  <c r="B114" i="19"/>
  <c r="AA5" i="18"/>
  <c r="AA6" i="18"/>
  <c r="AA20" i="18"/>
  <c r="AA21" i="18"/>
  <c r="AA35" i="18"/>
  <c r="AA36" i="18"/>
  <c r="AF36" i="18" s="1"/>
  <c r="B78" i="19" l="1"/>
  <c r="Z2" i="5"/>
  <c r="AF5" i="18"/>
  <c r="AD7" i="28" s="1"/>
  <c r="Z4" i="5"/>
  <c r="Y22" i="28"/>
  <c r="Z3" i="5"/>
  <c r="AF20" i="18"/>
  <c r="AD22" i="28" s="1"/>
  <c r="Y8" i="28"/>
  <c r="AF6" i="18"/>
  <c r="AD8" i="28" s="1"/>
  <c r="Y23" i="28"/>
  <c r="AF21" i="18"/>
  <c r="AD23" i="28" s="1"/>
  <c r="Y38" i="28"/>
  <c r="Y37" i="28"/>
  <c r="Y7" i="28"/>
  <c r="Z105" i="19"/>
  <c r="Z110" i="19"/>
  <c r="Z108" i="19"/>
  <c r="Z109" i="19"/>
  <c r="Z106" i="19"/>
  <c r="AA104" i="19"/>
  <c r="AA111" i="19" s="1"/>
  <c r="AZ105" i="19"/>
  <c r="AZ106" i="19"/>
  <c r="AZ110" i="19"/>
  <c r="AZ109" i="19"/>
  <c r="AZ108" i="19"/>
  <c r="AA127" i="19"/>
  <c r="AA128" i="19"/>
  <c r="AA129" i="19"/>
  <c r="AA117" i="19"/>
  <c r="AA116" i="19"/>
  <c r="AA126" i="19"/>
  <c r="AA118" i="19"/>
  <c r="AA121" i="19"/>
  <c r="AA119" i="19"/>
  <c r="AA120" i="19"/>
  <c r="AA125" i="19"/>
  <c r="AA123" i="19"/>
  <c r="AA122" i="19"/>
  <c r="AA124" i="19"/>
  <c r="B166" i="19"/>
  <c r="AB114" i="19"/>
  <c r="BA104" i="19"/>
  <c r="BA111" i="19" s="1"/>
  <c r="B115" i="19"/>
  <c r="B79" i="19" l="1"/>
  <c r="AB127" i="19"/>
  <c r="AB117" i="19"/>
  <c r="AB125" i="19"/>
  <c r="AB128" i="19"/>
  <c r="AB129" i="19"/>
  <c r="AB122" i="19"/>
  <c r="AB116" i="19"/>
  <c r="AB123" i="19"/>
  <c r="AB118" i="19"/>
  <c r="AB124" i="19"/>
  <c r="AB119" i="19"/>
  <c r="AB120" i="19"/>
  <c r="AB121" i="19"/>
  <c r="AB126" i="19"/>
  <c r="AA106" i="19"/>
  <c r="AA105" i="19"/>
  <c r="AA108" i="19"/>
  <c r="AA110" i="19"/>
  <c r="AA109" i="19"/>
  <c r="AB104" i="19"/>
  <c r="AB111" i="19" s="1"/>
  <c r="BA106" i="19"/>
  <c r="BA105" i="19"/>
  <c r="BA110" i="19"/>
  <c r="BA109" i="19"/>
  <c r="BA108" i="19"/>
  <c r="B167" i="19"/>
  <c r="AC114" i="19"/>
  <c r="BB104" i="19"/>
  <c r="BB111" i="19" s="1"/>
  <c r="B116" i="19"/>
  <c r="A1" i="19"/>
  <c r="X3" i="19" l="1" a="1"/>
  <c r="X3" i="19" s="1"/>
  <c r="R6" i="20" s="1"/>
  <c r="D4" i="19"/>
  <c r="D6" i="19"/>
  <c r="B80" i="19"/>
  <c r="AB106" i="19"/>
  <c r="AB105" i="19"/>
  <c r="AB110" i="19"/>
  <c r="AB109" i="19"/>
  <c r="AB108" i="19"/>
  <c r="AC104" i="19"/>
  <c r="AC111" i="19" s="1"/>
  <c r="BB106" i="19"/>
  <c r="BB105" i="19"/>
  <c r="BB110" i="19"/>
  <c r="BB109" i="19"/>
  <c r="BB108" i="19"/>
  <c r="AC125" i="19"/>
  <c r="AC127" i="19"/>
  <c r="AC119" i="19"/>
  <c r="AC124" i="19"/>
  <c r="AC118" i="19"/>
  <c r="AC129" i="19"/>
  <c r="AC117" i="19"/>
  <c r="AC128" i="19"/>
  <c r="AC126" i="19"/>
  <c r="AC116" i="19"/>
  <c r="AC120" i="19"/>
  <c r="AC121" i="19"/>
  <c r="AC122" i="19"/>
  <c r="AC123" i="19"/>
  <c r="B168" i="19"/>
  <c r="AD114" i="19"/>
  <c r="BC104" i="19"/>
  <c r="BC111" i="19" s="1"/>
  <c r="B117" i="19"/>
  <c r="B81" i="19" l="1"/>
  <c r="AC108" i="19"/>
  <c r="AC110" i="19"/>
  <c r="AC106" i="19"/>
  <c r="AC105" i="19"/>
  <c r="AC109" i="19"/>
  <c r="AD104" i="19"/>
  <c r="AD111" i="19" s="1"/>
  <c r="BC108" i="19"/>
  <c r="BC106" i="19"/>
  <c r="BC105" i="19"/>
  <c r="BC110" i="19"/>
  <c r="BC109" i="19"/>
  <c r="AD119" i="19"/>
  <c r="AD117" i="19"/>
  <c r="AD123" i="19"/>
  <c r="AD126" i="19"/>
  <c r="AD121" i="19"/>
  <c r="AD129" i="19"/>
  <c r="AD124" i="19"/>
  <c r="AD125" i="19"/>
  <c r="AD118" i="19"/>
  <c r="AD122" i="19"/>
  <c r="AD127" i="19"/>
  <c r="AD120" i="19"/>
  <c r="AD116" i="19"/>
  <c r="AD128" i="19"/>
  <c r="B169" i="19"/>
  <c r="AE114" i="19"/>
  <c r="BD104" i="19"/>
  <c r="BD111" i="19" s="1"/>
  <c r="B118" i="19"/>
  <c r="B82" i="19" l="1"/>
  <c r="BD109" i="19"/>
  <c r="BD108" i="19"/>
  <c r="BD106" i="19"/>
  <c r="BD105" i="19"/>
  <c r="BD110" i="19"/>
  <c r="AD109" i="19"/>
  <c r="AD108" i="19"/>
  <c r="AD106" i="19"/>
  <c r="AD105" i="19"/>
  <c r="AD110" i="19"/>
  <c r="AE104" i="19"/>
  <c r="AE111" i="19" s="1"/>
  <c r="AE128" i="19"/>
  <c r="AE118" i="19"/>
  <c r="AE116" i="19"/>
  <c r="AE125" i="19"/>
  <c r="AE126" i="19"/>
  <c r="AE117" i="19"/>
  <c r="AE124" i="19"/>
  <c r="AE122" i="19"/>
  <c r="AE127" i="19"/>
  <c r="AE129" i="19"/>
  <c r="AE120" i="19"/>
  <c r="AE119" i="19"/>
  <c r="AE121" i="19"/>
  <c r="AE123" i="19"/>
  <c r="B170" i="19"/>
  <c r="AF114" i="19"/>
  <c r="BE104" i="19"/>
  <c r="BE111" i="19" s="1"/>
  <c r="B119" i="19"/>
  <c r="B83" i="19" l="1"/>
  <c r="AE110" i="19"/>
  <c r="AE109" i="19"/>
  <c r="AE108" i="19"/>
  <c r="AE106" i="19"/>
  <c r="AE105" i="19"/>
  <c r="AF104" i="19"/>
  <c r="AF111" i="19" s="1"/>
  <c r="BE110" i="19"/>
  <c r="BE109" i="19"/>
  <c r="BE108" i="19"/>
  <c r="BE106" i="19"/>
  <c r="BE105" i="19"/>
  <c r="AF122" i="19"/>
  <c r="AF128" i="19"/>
  <c r="AF123" i="19"/>
  <c r="AF126" i="19"/>
  <c r="AF129" i="19"/>
  <c r="AF127" i="19"/>
  <c r="AF116" i="19"/>
  <c r="AF118" i="19"/>
  <c r="AF120" i="19"/>
  <c r="AF117" i="19"/>
  <c r="AF124" i="19"/>
  <c r="AF121" i="19"/>
  <c r="AF119" i="19"/>
  <c r="AF125" i="19"/>
  <c r="B171" i="19"/>
  <c r="AG114" i="19"/>
  <c r="BF104" i="19"/>
  <c r="BF111" i="19" s="1"/>
  <c r="B120" i="19"/>
  <c r="B84" i="19" l="1"/>
  <c r="AF110" i="19"/>
  <c r="AF109" i="19"/>
  <c r="AF108" i="19"/>
  <c r="AF106" i="19"/>
  <c r="AF105" i="19"/>
  <c r="AG104" i="19"/>
  <c r="AG111" i="19" s="1"/>
  <c r="BF110" i="19"/>
  <c r="BF109" i="19"/>
  <c r="BF108" i="19"/>
  <c r="BF106" i="19"/>
  <c r="BF105" i="19"/>
  <c r="AG116" i="19"/>
  <c r="AG125" i="19"/>
  <c r="AG129" i="19"/>
  <c r="AG128" i="19"/>
  <c r="AG124" i="19"/>
  <c r="AG123" i="19"/>
  <c r="AG127" i="19"/>
  <c r="AG120" i="19"/>
  <c r="AG122" i="19"/>
  <c r="AG118" i="19"/>
  <c r="AG119" i="19"/>
  <c r="AG126" i="19"/>
  <c r="AG121" i="19"/>
  <c r="AG117" i="19"/>
  <c r="B172" i="19"/>
  <c r="AH114" i="19"/>
  <c r="BG104" i="19"/>
  <c r="BG111" i="19" s="1"/>
  <c r="B121" i="19"/>
  <c r="B85" i="19" l="1"/>
  <c r="AG110" i="19"/>
  <c r="AG106" i="19"/>
  <c r="AG109" i="19"/>
  <c r="AG108" i="19"/>
  <c r="AG105" i="19"/>
  <c r="AH104" i="19"/>
  <c r="AH111" i="19" s="1"/>
  <c r="BG110" i="19"/>
  <c r="BG109" i="19"/>
  <c r="BG106" i="19"/>
  <c r="BG108" i="19"/>
  <c r="BG105" i="19"/>
  <c r="AH117" i="19"/>
  <c r="AH125" i="19"/>
  <c r="AH118" i="19"/>
  <c r="AH124" i="19"/>
  <c r="AH126" i="19"/>
  <c r="AH129" i="19"/>
  <c r="AH116" i="19"/>
  <c r="AH119" i="19"/>
  <c r="AH120" i="19"/>
  <c r="AH121" i="19"/>
  <c r="AH122" i="19"/>
  <c r="AH123" i="19"/>
  <c r="AH127" i="19"/>
  <c r="AH128" i="19"/>
  <c r="B173" i="19"/>
  <c r="AI114" i="19"/>
  <c r="BH104" i="19"/>
  <c r="BH111" i="19" s="1"/>
  <c r="B122" i="19"/>
  <c r="B86" i="19" l="1"/>
  <c r="AH105" i="19"/>
  <c r="AH110" i="19"/>
  <c r="AH109" i="19"/>
  <c r="AH108" i="19"/>
  <c r="AH106" i="19"/>
  <c r="AI104" i="19"/>
  <c r="AI111" i="19" s="1"/>
  <c r="BH105" i="19"/>
  <c r="BH110" i="19"/>
  <c r="BH106" i="19"/>
  <c r="BH109" i="19"/>
  <c r="BH108" i="19"/>
  <c r="AI123" i="19"/>
  <c r="AI117" i="19"/>
  <c r="AI120" i="19"/>
  <c r="AI119" i="19"/>
  <c r="AI126" i="19"/>
  <c r="AI128" i="19"/>
  <c r="AI124" i="19"/>
  <c r="AI129" i="19"/>
  <c r="AI116" i="19"/>
  <c r="AI118" i="19"/>
  <c r="AI122" i="19"/>
  <c r="AI121" i="19"/>
  <c r="AI125" i="19"/>
  <c r="AI127" i="19"/>
  <c r="B174" i="19"/>
  <c r="AJ114" i="19"/>
  <c r="BI104" i="19"/>
  <c r="BI111" i="19" s="1"/>
  <c r="B123" i="19"/>
  <c r="B87" i="19" l="1"/>
  <c r="BI106" i="19"/>
  <c r="BI105" i="19"/>
  <c r="BI108" i="19"/>
  <c r="BI110" i="19"/>
  <c r="BI109" i="19"/>
  <c r="AJ123" i="19"/>
  <c r="AJ128" i="19"/>
  <c r="AJ116" i="19"/>
  <c r="AJ121" i="19"/>
  <c r="AJ120" i="19"/>
  <c r="AJ127" i="19"/>
  <c r="AJ126" i="19"/>
  <c r="AJ117" i="19"/>
  <c r="AJ125" i="19"/>
  <c r="AJ129" i="19"/>
  <c r="AJ122" i="19"/>
  <c r="AJ119" i="19"/>
  <c r="AJ124" i="19"/>
  <c r="AJ118" i="19"/>
  <c r="AI106" i="19"/>
  <c r="AI105" i="19"/>
  <c r="AI109" i="19"/>
  <c r="AI110" i="19"/>
  <c r="AI108" i="19"/>
  <c r="AJ104" i="19"/>
  <c r="AJ111" i="19" s="1"/>
  <c r="B175" i="19"/>
  <c r="AK114" i="19"/>
  <c r="BJ104" i="19"/>
  <c r="BJ111" i="19" s="1"/>
  <c r="B124" i="19"/>
  <c r="B88" i="19" l="1"/>
  <c r="BJ106" i="19"/>
  <c r="BJ105" i="19"/>
  <c r="BJ109" i="19"/>
  <c r="BJ110" i="19"/>
  <c r="BJ108" i="19"/>
  <c r="AJ106" i="19"/>
  <c r="AJ105" i="19"/>
  <c r="AJ109" i="19"/>
  <c r="AJ110" i="19"/>
  <c r="AJ108" i="19"/>
  <c r="AK104" i="19"/>
  <c r="AK111" i="19" s="1"/>
  <c r="AK128" i="19"/>
  <c r="AK129" i="19"/>
  <c r="AK123" i="19"/>
  <c r="AK122" i="19"/>
  <c r="AK117" i="19"/>
  <c r="AK116" i="19"/>
  <c r="AK127" i="19"/>
  <c r="AK124" i="19"/>
  <c r="AK126" i="19"/>
  <c r="AK119" i="19"/>
  <c r="AK120" i="19"/>
  <c r="AK118" i="19"/>
  <c r="AK121" i="19"/>
  <c r="AK125" i="19"/>
  <c r="B176" i="19"/>
  <c r="AL114" i="19"/>
  <c r="BK104" i="19"/>
  <c r="BK111" i="19" s="1"/>
  <c r="B125" i="19"/>
  <c r="B89" i="19" l="1"/>
  <c r="BK108" i="19"/>
  <c r="BK106" i="19"/>
  <c r="BK105" i="19"/>
  <c r="BK110" i="19"/>
  <c r="BK109" i="19"/>
  <c r="AL119" i="19"/>
  <c r="AL128" i="19"/>
  <c r="AL120" i="19"/>
  <c r="AL122" i="19"/>
  <c r="AL126" i="19"/>
  <c r="AL125" i="19"/>
  <c r="AL127" i="19"/>
  <c r="AL124" i="19"/>
  <c r="AL129" i="19"/>
  <c r="AL116" i="19"/>
  <c r="AL121" i="19"/>
  <c r="AL123" i="19"/>
  <c r="AL117" i="19"/>
  <c r="AL118" i="19"/>
  <c r="AK108" i="19"/>
  <c r="AK106" i="19"/>
  <c r="AK105" i="19"/>
  <c r="AK110" i="19"/>
  <c r="AK109" i="19"/>
  <c r="AL104" i="19"/>
  <c r="AL111" i="19" s="1"/>
  <c r="B177" i="19"/>
  <c r="AM114" i="19"/>
  <c r="BL104" i="19"/>
  <c r="BL111" i="19" s="1"/>
  <c r="B126" i="19"/>
  <c r="B90" i="19" l="1"/>
  <c r="AL109" i="19"/>
  <c r="AL108" i="19"/>
  <c r="AL106" i="19"/>
  <c r="AL105" i="19"/>
  <c r="AL110" i="19"/>
  <c r="AM104" i="19"/>
  <c r="AM111" i="19" s="1"/>
  <c r="BL109" i="19"/>
  <c r="BL108" i="19"/>
  <c r="BL106" i="19"/>
  <c r="BL105" i="19"/>
  <c r="BL110" i="19"/>
  <c r="AM119" i="19"/>
  <c r="AM126" i="19"/>
  <c r="AM116" i="19"/>
  <c r="AM121" i="19"/>
  <c r="AM127" i="19"/>
  <c r="AM125" i="19"/>
  <c r="AM123" i="19"/>
  <c r="AM120" i="19"/>
  <c r="AM117" i="19"/>
  <c r="AM118" i="19"/>
  <c r="AM128" i="19"/>
  <c r="AM122" i="19"/>
  <c r="AM124" i="19"/>
  <c r="AM129" i="19"/>
  <c r="B178" i="19"/>
  <c r="BM104" i="19"/>
  <c r="BM111" i="19" s="1"/>
  <c r="B127" i="19"/>
  <c r="B91" i="19" l="1"/>
  <c r="AM110" i="19"/>
  <c r="AM109" i="19"/>
  <c r="AM108" i="19"/>
  <c r="AM106" i="19"/>
  <c r="AM105" i="19"/>
  <c r="BM110" i="19"/>
  <c r="BM109" i="19"/>
  <c r="BM108" i="19"/>
  <c r="BM106" i="19"/>
  <c r="BM105" i="19"/>
  <c r="B179" i="19"/>
  <c r="B128" i="19"/>
  <c r="B92" i="19" l="1"/>
  <c r="AC15" i="11"/>
  <c r="AC17" i="11"/>
  <c r="AC18" i="11"/>
  <c r="AC19" i="11"/>
  <c r="AC21" i="11"/>
  <c r="AC22" i="11"/>
  <c r="AC23" i="11"/>
  <c r="A7" i="18"/>
  <c r="A18" i="18"/>
  <c r="A19" i="18"/>
  <c r="A20" i="18"/>
  <c r="A3" i="5" s="1"/>
  <c r="A21" i="18"/>
  <c r="A22" i="18"/>
  <c r="A33" i="18"/>
  <c r="A34" i="18"/>
  <c r="A35" i="18"/>
  <c r="A4" i="5" s="1"/>
  <c r="A36" i="18"/>
  <c r="A37" i="18"/>
  <c r="A48" i="18"/>
  <c r="A49" i="18"/>
  <c r="A6" i="18"/>
  <c r="B23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5" i="11"/>
  <c r="B93" i="19" l="1"/>
  <c r="B6" i="18"/>
  <c r="B22" i="18"/>
  <c r="B20" i="18"/>
  <c r="B3" i="5" s="1"/>
  <c r="B37" i="18"/>
  <c r="B19" i="18"/>
  <c r="B36" i="18"/>
  <c r="B18" i="18"/>
  <c r="B49" i="18"/>
  <c r="B48" i="18"/>
  <c r="B34" i="18"/>
  <c r="B33" i="18"/>
  <c r="AC20" i="11"/>
  <c r="AC9" i="11"/>
  <c r="AC8" i="11"/>
  <c r="AC16" i="11"/>
  <c r="AC7" i="11"/>
  <c r="AC14" i="11"/>
  <c r="AC6" i="11"/>
  <c r="AC13" i="11"/>
  <c r="AC5" i="11"/>
  <c r="AC12" i="11"/>
  <c r="AC11" i="11"/>
  <c r="AC10" i="11"/>
  <c r="B21" i="18"/>
  <c r="B35" i="18"/>
  <c r="B4" i="5" s="1"/>
  <c r="B7" i="18"/>
  <c r="B94" i="19" l="1"/>
  <c r="AP68" i="20"/>
  <c r="AA88" i="20"/>
  <c r="AJ88" i="20"/>
  <c r="AI88" i="20"/>
  <c r="B95" i="19" l="1"/>
  <c r="M167" i="19"/>
  <c r="M156" i="19"/>
  <c r="M160" i="19"/>
  <c r="M178" i="19"/>
  <c r="M170" i="19"/>
  <c r="M174" i="19"/>
  <c r="M169" i="19"/>
  <c r="M162" i="19"/>
  <c r="M158" i="19"/>
  <c r="M172" i="19"/>
  <c r="M175" i="19"/>
  <c r="M164" i="19"/>
  <c r="M177" i="19"/>
  <c r="M168" i="19"/>
  <c r="M163" i="19"/>
  <c r="M179" i="19"/>
  <c r="M159" i="19"/>
  <c r="M173" i="19"/>
  <c r="M171" i="19"/>
  <c r="M165" i="19"/>
  <c r="M166" i="19"/>
  <c r="M157" i="19"/>
  <c r="M176" i="19"/>
  <c r="M161" i="19" l="1"/>
  <c r="L159" i="19" l="1"/>
  <c r="J167" i="19"/>
  <c r="L161" i="19"/>
  <c r="L171" i="19"/>
  <c r="L169" i="19"/>
  <c r="J173" i="19"/>
  <c r="J168" i="19"/>
  <c r="J170" i="19"/>
  <c r="L166" i="19"/>
  <c r="L165" i="19"/>
  <c r="J178" i="19"/>
  <c r="J171" i="19"/>
  <c r="L157" i="19"/>
  <c r="J175" i="19"/>
  <c r="L175" i="19"/>
  <c r="J172" i="19"/>
  <c r="J158" i="19"/>
  <c r="L174" i="19"/>
  <c r="L160" i="19"/>
  <c r="L162" i="19"/>
  <c r="L173" i="19"/>
  <c r="J174" i="19"/>
  <c r="J160" i="19"/>
  <c r="J166" i="19"/>
  <c r="L164" i="19"/>
  <c r="L177" i="19"/>
  <c r="J179" i="19"/>
  <c r="J157" i="19"/>
  <c r="J176" i="19"/>
  <c r="L170" i="19"/>
  <c r="J156" i="19"/>
  <c r="J159" i="19"/>
  <c r="L156" i="19"/>
  <c r="J162" i="19"/>
  <c r="L172" i="19"/>
  <c r="L168" i="19"/>
  <c r="J169" i="19"/>
  <c r="J164" i="19"/>
  <c r="L167" i="19"/>
  <c r="L178" i="19"/>
  <c r="L176" i="19"/>
  <c r="J163" i="19"/>
  <c r="L179" i="19"/>
  <c r="J161" i="19"/>
  <c r="L158" i="19"/>
  <c r="L163" i="19"/>
  <c r="J177" i="19"/>
  <c r="J165" i="19"/>
  <c r="K156" i="19" l="1"/>
  <c r="K175" i="19"/>
  <c r="K158" i="19"/>
  <c r="K169" i="19"/>
  <c r="K177" i="19"/>
  <c r="K170" i="19"/>
  <c r="K159" i="19"/>
  <c r="K176" i="19"/>
  <c r="K161" i="19"/>
  <c r="K174" i="19"/>
  <c r="K160" i="19"/>
  <c r="K171" i="19"/>
  <c r="K164" i="19"/>
  <c r="K157" i="19"/>
  <c r="K166" i="19"/>
  <c r="K165" i="19"/>
  <c r="K162" i="19"/>
  <c r="K172" i="19" l="1"/>
  <c r="K178" i="19"/>
  <c r="K179" i="19"/>
  <c r="K167" i="19"/>
  <c r="K168" i="19"/>
  <c r="K163" i="19"/>
  <c r="K173" i="19"/>
  <c r="AN21" i="26" l="1"/>
  <c r="AN29" i="26" l="1"/>
  <c r="AN24" i="26"/>
  <c r="S5" i="18" l="1"/>
  <c r="R5" i="18"/>
  <c r="Q7" i="28" l="1"/>
  <c r="P7" i="28"/>
  <c r="R6" i="18"/>
  <c r="S6" i="18"/>
  <c r="Q8" i="28" s="1"/>
  <c r="P8" i="28" l="1"/>
  <c r="S7" i="18"/>
  <c r="Q9" i="28" s="1"/>
  <c r="R7" i="18"/>
  <c r="P9" i="28" l="1"/>
  <c r="R8" i="18"/>
  <c r="S8" i="18"/>
  <c r="Q10" i="28" s="1"/>
  <c r="P10" i="28" l="1"/>
  <c r="S9" i="18"/>
  <c r="Q11" i="28" s="1"/>
  <c r="R9" i="18"/>
  <c r="P11" i="28" l="1"/>
  <c r="S10" i="18"/>
  <c r="Q12" i="28" s="1"/>
  <c r="R10" i="18"/>
  <c r="P12" i="28" l="1"/>
  <c r="S11" i="18"/>
  <c r="Q13" i="28" s="1"/>
  <c r="R11" i="18"/>
  <c r="P13" i="28" l="1"/>
  <c r="R12" i="18"/>
  <c r="S12" i="18"/>
  <c r="Q14" i="28" s="1"/>
  <c r="P14" i="28" l="1"/>
  <c r="R13" i="18"/>
  <c r="S13" i="18"/>
  <c r="Q15" i="28" s="1"/>
  <c r="P15" i="28" l="1"/>
  <c r="S14" i="18"/>
  <c r="Q16" i="28" s="1"/>
  <c r="R14" i="18"/>
  <c r="P16" i="28" l="1"/>
  <c r="R15" i="18"/>
  <c r="S15" i="18"/>
  <c r="Q17" i="28" s="1"/>
  <c r="P17" i="28" l="1"/>
  <c r="R29" i="18"/>
  <c r="P31" i="28" s="1"/>
  <c r="S29" i="18"/>
  <c r="Q31" i="28" s="1"/>
  <c r="S28" i="18" l="1"/>
  <c r="Q30" i="28" s="1"/>
  <c r="R28" i="18"/>
  <c r="P30" i="28" s="1"/>
  <c r="D24" i="18" l="1"/>
  <c r="D39" i="18" l="1"/>
  <c r="B26" i="28"/>
  <c r="R16" i="18"/>
  <c r="S16" i="18"/>
  <c r="Q18" i="28" s="1"/>
  <c r="D43" i="18"/>
  <c r="D25" i="18"/>
  <c r="B27" i="28" l="1"/>
  <c r="P18" i="28"/>
  <c r="D58" i="18"/>
  <c r="B45" i="28"/>
  <c r="D54" i="18"/>
  <c r="B41" i="28"/>
  <c r="D40" i="18"/>
  <c r="S25" i="18"/>
  <c r="Q27" i="28" s="1"/>
  <c r="R25" i="18"/>
  <c r="P27" i="28" s="1"/>
  <c r="R31" i="18"/>
  <c r="P33" i="28" s="1"/>
  <c r="S31" i="18"/>
  <c r="Q33" i="28" s="1"/>
  <c r="S17" i="18"/>
  <c r="Q19" i="28" s="1"/>
  <c r="R17" i="18"/>
  <c r="D26" i="18"/>
  <c r="D44" i="18"/>
  <c r="D62" i="18"/>
  <c r="B28" i="28" l="1"/>
  <c r="B46" i="28"/>
  <c r="P19" i="28"/>
  <c r="B56" i="28"/>
  <c r="D77" i="18"/>
  <c r="B64" i="28"/>
  <c r="D55" i="18"/>
  <c r="B42" i="28"/>
  <c r="D73" i="18"/>
  <c r="B60" i="28"/>
  <c r="D41" i="18"/>
  <c r="R26" i="18"/>
  <c r="P28" i="28" s="1"/>
  <c r="S26" i="18"/>
  <c r="Q28" i="28" s="1"/>
  <c r="D59" i="18"/>
  <c r="S44" i="18"/>
  <c r="Q46" i="28" s="1"/>
  <c r="R44" i="18"/>
  <c r="P46" i="28" s="1"/>
  <c r="S32" i="18"/>
  <c r="Q34" i="28" s="1"/>
  <c r="R32" i="18"/>
  <c r="P34" i="28" s="1"/>
  <c r="R18" i="18"/>
  <c r="S18" i="18"/>
  <c r="Q20" i="28" s="1"/>
  <c r="D63" i="18"/>
  <c r="D45" i="18"/>
  <c r="B75" i="28" l="1"/>
  <c r="B57" i="28"/>
  <c r="B65" i="28"/>
  <c r="B79" i="28"/>
  <c r="P20" i="28"/>
  <c r="D70" i="18"/>
  <c r="D56" i="18"/>
  <c r="B43" i="28"/>
  <c r="D60" i="18"/>
  <c r="B47" i="28"/>
  <c r="D74" i="18"/>
  <c r="B61" i="28"/>
  <c r="R33" i="18"/>
  <c r="P35" i="28" s="1"/>
  <c r="S33" i="18"/>
  <c r="Q35" i="28" s="1"/>
  <c r="R47" i="18"/>
  <c r="P49" i="28" s="1"/>
  <c r="S47" i="18"/>
  <c r="Q49" i="28" s="1"/>
  <c r="D64" i="18"/>
  <c r="D78" i="18"/>
  <c r="D85" i="18" l="1"/>
  <c r="D100" i="18" s="1"/>
  <c r="B72" i="28"/>
  <c r="D93" i="18"/>
  <c r="B80" i="28"/>
  <c r="D89" i="18"/>
  <c r="B76" i="28"/>
  <c r="D71" i="18"/>
  <c r="B58" i="28"/>
  <c r="D79" i="18"/>
  <c r="B66" i="28"/>
  <c r="D75" i="18"/>
  <c r="B62" i="28"/>
  <c r="S30" i="18"/>
  <c r="Q32" i="28" s="1"/>
  <c r="R30" i="18"/>
  <c r="P32" i="28" s="1"/>
  <c r="S48" i="18"/>
  <c r="Q50" i="28" s="1"/>
  <c r="R48" i="18"/>
  <c r="P50" i="28" s="1"/>
  <c r="S62" i="18"/>
  <c r="Q64" i="28" s="1"/>
  <c r="S63" i="18"/>
  <c r="Q65" i="28" s="1"/>
  <c r="R63" i="18"/>
  <c r="P65" i="28" s="1"/>
  <c r="B77" i="28" l="1"/>
  <c r="B102" i="28"/>
  <c r="B87" i="28"/>
  <c r="D94" i="18"/>
  <c r="B81" i="28"/>
  <c r="B73" i="28"/>
  <c r="D86" i="18"/>
  <c r="B91" i="28"/>
  <c r="D104" i="18"/>
  <c r="D108" i="18"/>
  <c r="B95" i="28"/>
  <c r="S45" i="18"/>
  <c r="Q47" i="28" s="1"/>
  <c r="R45" i="18"/>
  <c r="P47" i="28" s="1"/>
  <c r="B106" i="28" l="1"/>
  <c r="D119" i="18"/>
  <c r="B110" i="28"/>
  <c r="D123" i="18"/>
  <c r="R62" i="18"/>
  <c r="P64" i="28" s="1"/>
  <c r="B88" i="28"/>
  <c r="D101" i="18"/>
  <c r="B96" i="28"/>
  <c r="D109" i="18"/>
  <c r="D115" i="18"/>
  <c r="B125" i="28" l="1"/>
  <c r="B117" i="28"/>
  <c r="B121" i="28"/>
  <c r="D116" i="18"/>
  <c r="B103" i="28"/>
  <c r="B111" i="28"/>
  <c r="D124" i="18"/>
  <c r="D134" i="18"/>
  <c r="D138" i="18"/>
  <c r="B140" i="28" l="1"/>
  <c r="B136" i="28"/>
  <c r="B126" i="28"/>
  <c r="D139" i="18"/>
  <c r="D131" i="18"/>
  <c r="B118" i="28"/>
  <c r="S77" i="18"/>
  <c r="Q79" i="28" s="1"/>
  <c r="R77" i="18"/>
  <c r="P79" i="28" s="1"/>
  <c r="D153" i="18"/>
  <c r="B155" i="28" l="1"/>
  <c r="B133" i="28"/>
  <c r="D146" i="18"/>
  <c r="D154" i="18"/>
  <c r="B141" i="28"/>
  <c r="S78" i="18"/>
  <c r="Q80" i="28" s="1"/>
  <c r="R78" i="18"/>
  <c r="P80" i="28" s="1"/>
  <c r="B156" i="28" l="1"/>
  <c r="D169" i="18"/>
  <c r="B148" i="28"/>
  <c r="D161" i="18"/>
  <c r="D184" i="18" l="1"/>
  <c r="B171" i="28"/>
  <c r="B163" i="28"/>
  <c r="D176" i="18"/>
  <c r="B178" i="28" l="1"/>
  <c r="B186" i="28"/>
  <c r="D199" i="18"/>
  <c r="R93" i="18"/>
  <c r="P95" i="28" s="1"/>
  <c r="S93" i="18"/>
  <c r="Q95" i="28" s="1"/>
  <c r="B201" i="28" l="1"/>
  <c r="D214" i="18"/>
  <c r="R108" i="18"/>
  <c r="P110" i="28" s="1"/>
  <c r="S108" i="18"/>
  <c r="Q110" i="28" s="1"/>
  <c r="B216" i="28" l="1"/>
  <c r="S123" i="18"/>
  <c r="Q125" i="28" s="1"/>
  <c r="R123" i="18"/>
  <c r="P125" i="28" s="1"/>
  <c r="R138" i="18" l="1"/>
  <c r="P140" i="28" s="1"/>
  <c r="S138" i="18"/>
  <c r="Q140" i="28" s="1"/>
  <c r="S153" i="18" l="1"/>
  <c r="Q155" i="28" s="1"/>
  <c r="R153" i="18"/>
  <c r="P155" i="28" s="1"/>
  <c r="S41" i="18" l="1"/>
  <c r="Q43" i="28" s="1"/>
  <c r="R41" i="18"/>
  <c r="P43" i="28" s="1"/>
  <c r="R40" i="18" l="1"/>
  <c r="P42" i="28" s="1"/>
  <c r="S40" i="18"/>
  <c r="Q42" i="28" s="1"/>
  <c r="R56" i="18"/>
  <c r="P58" i="28" s="1"/>
  <c r="S56" i="18"/>
  <c r="Q58" i="28" s="1"/>
  <c r="R24" i="18"/>
  <c r="P26" i="28" s="1"/>
  <c r="S24" i="18"/>
  <c r="Q26" i="28" s="1"/>
  <c r="S60" i="18"/>
  <c r="Q62" i="28" s="1"/>
  <c r="R60" i="18"/>
  <c r="P62" i="28" s="1"/>
  <c r="S75" i="18" l="1"/>
  <c r="Q77" i="28" s="1"/>
  <c r="R75" i="18"/>
  <c r="P77" i="28" s="1"/>
  <c r="S59" i="18"/>
  <c r="Q61" i="28" s="1"/>
  <c r="R59" i="18"/>
  <c r="P61" i="28" s="1"/>
  <c r="S71" i="18"/>
  <c r="Q73" i="28" s="1"/>
  <c r="R71" i="18"/>
  <c r="P73" i="28" s="1"/>
  <c r="R43" i="18"/>
  <c r="P45" i="28" s="1"/>
  <c r="S43" i="18"/>
  <c r="Q45" i="28" s="1"/>
  <c r="R39" i="18"/>
  <c r="P41" i="28" s="1"/>
  <c r="S39" i="18"/>
  <c r="Q41" i="28" s="1"/>
  <c r="S55" i="18"/>
  <c r="Q57" i="28" s="1"/>
  <c r="R55" i="18"/>
  <c r="P57" i="28" s="1"/>
  <c r="S54" i="18" l="1"/>
  <c r="Q56" i="28" s="1"/>
  <c r="R54" i="18"/>
  <c r="P56" i="28" s="1"/>
  <c r="S70" i="18"/>
  <c r="Q72" i="28" s="1"/>
  <c r="R70" i="18"/>
  <c r="P72" i="28" s="1"/>
  <c r="R74" i="18"/>
  <c r="P76" i="28" s="1"/>
  <c r="S74" i="18"/>
  <c r="Q76" i="28" s="1"/>
  <c r="R58" i="18"/>
  <c r="P60" i="28" s="1"/>
  <c r="S58" i="18"/>
  <c r="Q60" i="28" s="1"/>
  <c r="S86" i="18"/>
  <c r="Q88" i="28" s="1"/>
  <c r="R86" i="18"/>
  <c r="P88" i="28" s="1"/>
  <c r="S100" i="18" l="1"/>
  <c r="Q102" i="28" s="1"/>
  <c r="R100" i="18"/>
  <c r="P102" i="28" s="1"/>
  <c r="S101" i="18"/>
  <c r="Q103" i="28" s="1"/>
  <c r="R101" i="18"/>
  <c r="P103" i="28" s="1"/>
  <c r="S89" i="18"/>
  <c r="Q91" i="28" s="1"/>
  <c r="R89" i="18"/>
  <c r="P91" i="28" s="1"/>
  <c r="S73" i="18"/>
  <c r="Q75" i="28" s="1"/>
  <c r="R73" i="18"/>
  <c r="P75" i="28" s="1"/>
  <c r="S85" i="18"/>
  <c r="Q87" i="28" s="1"/>
  <c r="R85" i="18"/>
  <c r="P87" i="28" s="1"/>
  <c r="R134" i="18" l="1"/>
  <c r="P136" i="28" s="1"/>
  <c r="S134" i="18"/>
  <c r="Q136" i="28" s="1"/>
  <c r="R116" i="18"/>
  <c r="P118" i="28" s="1"/>
  <c r="S116" i="18"/>
  <c r="Q118" i="28" s="1"/>
  <c r="S104" i="18"/>
  <c r="Q106" i="28" s="1"/>
  <c r="R104" i="18"/>
  <c r="P106" i="28" s="1"/>
  <c r="S115" i="18"/>
  <c r="Q117" i="28" s="1"/>
  <c r="R115" i="18"/>
  <c r="P117" i="28" s="1"/>
  <c r="R119" i="18"/>
  <c r="P121" i="28" s="1"/>
  <c r="S119" i="18"/>
  <c r="Q121" i="28" s="1"/>
  <c r="S131" i="18" l="1"/>
  <c r="Q133" i="28" s="1"/>
  <c r="R131" i="18"/>
  <c r="P133" i="28" s="1"/>
  <c r="R161" i="18" l="1"/>
  <c r="P163" i="28" s="1"/>
  <c r="S161" i="18"/>
  <c r="Q163" i="28" s="1"/>
  <c r="S146" i="18"/>
  <c r="Q148" i="28" s="1"/>
  <c r="R146" i="18"/>
  <c r="P148" i="28" s="1"/>
  <c r="S176" i="18" l="1"/>
  <c r="Q178" i="28" s="1"/>
  <c r="R176" i="18"/>
  <c r="P178" i="28" s="1"/>
  <c r="D20" i="18"/>
  <c r="C3" i="5" l="1"/>
  <c r="B22" i="28"/>
  <c r="R20" i="18"/>
  <c r="S20" i="18"/>
  <c r="D35" i="18"/>
  <c r="C4" i="5" s="1"/>
  <c r="P22" i="28" l="1"/>
  <c r="Q22" i="28"/>
  <c r="B37" i="28"/>
  <c r="S35" i="18"/>
  <c r="R35" i="18"/>
  <c r="D50" i="18"/>
  <c r="C5" i="5" l="1"/>
  <c r="P37" i="28"/>
  <c r="Q37" i="28"/>
  <c r="B52" i="28"/>
  <c r="S50" i="18"/>
  <c r="R50" i="18"/>
  <c r="D65" i="18"/>
  <c r="C6" i="5" s="1"/>
  <c r="Q52" i="28" l="1"/>
  <c r="P52" i="28"/>
  <c r="B67" i="28"/>
  <c r="R65" i="18"/>
  <c r="S65" i="18"/>
  <c r="D80" i="18"/>
  <c r="D21" i="18"/>
  <c r="C7" i="5" l="1"/>
  <c r="P67" i="28"/>
  <c r="Q67" i="28"/>
  <c r="B82" i="28"/>
  <c r="B23" i="28"/>
  <c r="S21" i="18"/>
  <c r="R21" i="18"/>
  <c r="D36" i="18"/>
  <c r="S80" i="18"/>
  <c r="R80" i="18"/>
  <c r="D95" i="18"/>
  <c r="C8" i="5" l="1"/>
  <c r="P23" i="28"/>
  <c r="P82" i="28"/>
  <c r="Q82" i="28"/>
  <c r="Q23" i="28"/>
  <c r="B38" i="28"/>
  <c r="B97" i="28"/>
  <c r="R95" i="18"/>
  <c r="S95" i="18"/>
  <c r="D110" i="18"/>
  <c r="C9" i="5" s="1"/>
  <c r="R36" i="18"/>
  <c r="S36" i="18"/>
  <c r="D51" i="18"/>
  <c r="Q38" i="28" l="1"/>
  <c r="P38" i="28"/>
  <c r="Q97" i="28"/>
  <c r="P97" i="28"/>
  <c r="B53" i="28"/>
  <c r="B112" i="28"/>
  <c r="R51" i="18"/>
  <c r="S51" i="18"/>
  <c r="R110" i="18"/>
  <c r="S110" i="18"/>
  <c r="D125" i="18"/>
  <c r="D66" i="18"/>
  <c r="C10" i="5" l="1"/>
  <c r="Q112" i="28"/>
  <c r="P112" i="28"/>
  <c r="P53" i="28"/>
  <c r="Q53" i="28"/>
  <c r="B127" i="28"/>
  <c r="B68" i="28"/>
  <c r="R66" i="18"/>
  <c r="S66" i="18"/>
  <c r="D81" i="18"/>
  <c r="S125" i="18"/>
  <c r="R125" i="18"/>
  <c r="D140" i="18"/>
  <c r="C11" i="5" s="1"/>
  <c r="D22" i="18"/>
  <c r="D27" i="18"/>
  <c r="Q68" i="28" l="1"/>
  <c r="P68" i="28"/>
  <c r="P127" i="28"/>
  <c r="Q127" i="28"/>
  <c r="B29" i="28"/>
  <c r="B24" i="28"/>
  <c r="B83" i="28"/>
  <c r="B142" i="28"/>
  <c r="AS107" i="19"/>
  <c r="W115" i="19"/>
  <c r="Q115" i="19"/>
  <c r="AP107" i="19"/>
  <c r="T107" i="19"/>
  <c r="T115" i="19"/>
  <c r="W107" i="19"/>
  <c r="Z107" i="19"/>
  <c r="AC107" i="19"/>
  <c r="AF115" i="19"/>
  <c r="BH107" i="19"/>
  <c r="BK107" i="19"/>
  <c r="AC115" i="19"/>
  <c r="BM107" i="19"/>
  <c r="BB107" i="19"/>
  <c r="P107" i="19"/>
  <c r="AT107" i="19"/>
  <c r="U115" i="19"/>
  <c r="AX107" i="19"/>
  <c r="AA115" i="19"/>
  <c r="BC107" i="19"/>
  <c r="BF107" i="19"/>
  <c r="AI115" i="19"/>
  <c r="AK107" i="19"/>
  <c r="AK115" i="19"/>
  <c r="Q107" i="19"/>
  <c r="AU107" i="19"/>
  <c r="X115" i="19"/>
  <c r="X107" i="19"/>
  <c r="AB115" i="19"/>
  <c r="AD115" i="19"/>
  <c r="AF107" i="19"/>
  <c r="BI107" i="19"/>
  <c r="AL115" i="19"/>
  <c r="AG115" i="19"/>
  <c r="BL107" i="19"/>
  <c r="AY107" i="19"/>
  <c r="AJ107" i="19"/>
  <c r="AE107" i="19"/>
  <c r="AQ107" i="19"/>
  <c r="U107" i="19"/>
  <c r="R115" i="19"/>
  <c r="Y115" i="19"/>
  <c r="AA107" i="19"/>
  <c r="AD107" i="19"/>
  <c r="AI107" i="19"/>
  <c r="R107" i="19"/>
  <c r="AV107" i="19"/>
  <c r="V115" i="19"/>
  <c r="Z115" i="19"/>
  <c r="BA107" i="19"/>
  <c r="BD107" i="19"/>
  <c r="AH115" i="19"/>
  <c r="AJ115" i="19"/>
  <c r="AL107" i="19"/>
  <c r="BE107" i="19"/>
  <c r="AH107" i="19"/>
  <c r="AR107" i="19"/>
  <c r="V107" i="19"/>
  <c r="S115" i="19"/>
  <c r="Y107" i="19"/>
  <c r="AB107" i="19"/>
  <c r="AE115" i="19"/>
  <c r="AG107" i="19"/>
  <c r="BJ107" i="19"/>
  <c r="AM115" i="19"/>
  <c r="S107" i="19"/>
  <c r="P115" i="19"/>
  <c r="AW107" i="19"/>
  <c r="BG107" i="19"/>
  <c r="AZ107" i="19"/>
  <c r="AM107" i="19"/>
  <c r="R27" i="18"/>
  <c r="P29" i="28" s="1"/>
  <c r="S27" i="18"/>
  <c r="Q29" i="28" s="1"/>
  <c r="D42" i="18"/>
  <c r="R22" i="18"/>
  <c r="S22" i="18"/>
  <c r="D37" i="18"/>
  <c r="R140" i="18"/>
  <c r="S140" i="18"/>
  <c r="D155" i="18"/>
  <c r="C12" i="5" s="1"/>
  <c r="R81" i="18"/>
  <c r="S81" i="18"/>
  <c r="D96" i="18"/>
  <c r="S19" i="18"/>
  <c r="R19" i="18"/>
  <c r="Q2" i="5" s="1"/>
  <c r="D46" i="18"/>
  <c r="Q83" i="28" l="1"/>
  <c r="P83" i="28"/>
  <c r="Q142" i="28"/>
  <c r="P142" i="28"/>
  <c r="P24" i="28"/>
  <c r="Q21" i="28"/>
  <c r="R2" i="5"/>
  <c r="Q24" i="28"/>
  <c r="B44" i="28"/>
  <c r="B48" i="28"/>
  <c r="B157" i="28"/>
  <c r="B39" i="28"/>
  <c r="P21" i="28"/>
  <c r="B98" i="28"/>
  <c r="S37" i="18"/>
  <c r="R37" i="18"/>
  <c r="S96" i="18"/>
  <c r="R96" i="18"/>
  <c r="D111" i="18"/>
  <c r="D57" i="18"/>
  <c r="R42" i="18"/>
  <c r="P44" i="28" s="1"/>
  <c r="S42" i="18"/>
  <c r="Q44" i="28" s="1"/>
  <c r="S46" i="18"/>
  <c r="Q48" i="28" s="1"/>
  <c r="R46" i="18"/>
  <c r="P48" i="28" s="1"/>
  <c r="D61" i="18"/>
  <c r="R155" i="18"/>
  <c r="S155" i="18"/>
  <c r="R34" i="18"/>
  <c r="P36" i="28" s="1"/>
  <c r="S34" i="18"/>
  <c r="Q36" i="28" s="1"/>
  <c r="D52" i="18"/>
  <c r="D69" i="18"/>
  <c r="P98" i="28" l="1"/>
  <c r="Q98" i="28"/>
  <c r="P39" i="28"/>
  <c r="Q39" i="28"/>
  <c r="P157" i="28"/>
  <c r="Q157" i="28"/>
  <c r="B59" i="28"/>
  <c r="B63" i="28"/>
  <c r="B113" i="28"/>
  <c r="B54" i="28"/>
  <c r="B71" i="28"/>
  <c r="R52" i="18"/>
  <c r="S52" i="18"/>
  <c r="D84" i="18"/>
  <c r="S69" i="18"/>
  <c r="Q71" i="28" s="1"/>
  <c r="R69" i="18"/>
  <c r="P71" i="28" s="1"/>
  <c r="D72" i="18"/>
  <c r="S57" i="18"/>
  <c r="Q59" i="28" s="1"/>
  <c r="R57" i="18"/>
  <c r="P59" i="28" s="1"/>
  <c r="S111" i="18"/>
  <c r="R111" i="18"/>
  <c r="D126" i="18"/>
  <c r="D76" i="18"/>
  <c r="S61" i="18"/>
  <c r="Q63" i="28" s="1"/>
  <c r="R61" i="18"/>
  <c r="P63" i="28" s="1"/>
  <c r="D67" i="18"/>
  <c r="R49" i="18"/>
  <c r="P51" i="28" s="1"/>
  <c r="S49" i="18"/>
  <c r="Q51" i="28" s="1"/>
  <c r="D88" i="18"/>
  <c r="P113" i="28" l="1"/>
  <c r="Q54" i="28"/>
  <c r="Q113" i="28"/>
  <c r="P54" i="28"/>
  <c r="B128" i="28"/>
  <c r="B78" i="28"/>
  <c r="B90" i="28"/>
  <c r="B74" i="28"/>
  <c r="B86" i="28"/>
  <c r="B69" i="28"/>
  <c r="D87" i="18"/>
  <c r="S72" i="18"/>
  <c r="Q74" i="28" s="1"/>
  <c r="R72" i="18"/>
  <c r="P74" i="28" s="1"/>
  <c r="R67" i="18"/>
  <c r="S67" i="18"/>
  <c r="D82" i="18"/>
  <c r="D103" i="18"/>
  <c r="R88" i="18"/>
  <c r="P90" i="28" s="1"/>
  <c r="S88" i="18"/>
  <c r="Q90" i="28" s="1"/>
  <c r="S76" i="18"/>
  <c r="Q78" i="28" s="1"/>
  <c r="R76" i="18"/>
  <c r="P78" i="28" s="1"/>
  <c r="R126" i="18"/>
  <c r="S126" i="18"/>
  <c r="D99" i="18"/>
  <c r="R84" i="18"/>
  <c r="P86" i="28" s="1"/>
  <c r="S84" i="18"/>
  <c r="Q86" i="28" s="1"/>
  <c r="R64" i="18"/>
  <c r="P66" i="28" s="1"/>
  <c r="S64" i="18"/>
  <c r="Q66" i="28" s="1"/>
  <c r="D23" i="18"/>
  <c r="Q128" i="28" l="1"/>
  <c r="Q69" i="28"/>
  <c r="P128" i="28"/>
  <c r="P69" i="28"/>
  <c r="B105" i="28"/>
  <c r="B89" i="28"/>
  <c r="B25" i="28"/>
  <c r="B84" i="28"/>
  <c r="B101" i="28"/>
  <c r="S23" i="18"/>
  <c r="R23" i="18"/>
  <c r="D38" i="18"/>
  <c r="D118" i="18"/>
  <c r="R103" i="18"/>
  <c r="P105" i="28" s="1"/>
  <c r="S103" i="18"/>
  <c r="Q105" i="28" s="1"/>
  <c r="R99" i="18"/>
  <c r="P101" i="28" s="1"/>
  <c r="S99" i="18"/>
  <c r="Q101" i="28" s="1"/>
  <c r="S82" i="18"/>
  <c r="R82" i="18"/>
  <c r="D97" i="18"/>
  <c r="D102" i="18"/>
  <c r="S87" i="18"/>
  <c r="Q89" i="28" s="1"/>
  <c r="R87" i="18"/>
  <c r="P89" i="28" s="1"/>
  <c r="R79" i="18"/>
  <c r="P81" i="28" s="1"/>
  <c r="S79" i="18"/>
  <c r="Q81" i="28" s="1"/>
  <c r="D130" i="18"/>
  <c r="P84" i="28" l="1"/>
  <c r="P25" i="28"/>
  <c r="Q3" i="5"/>
  <c r="Q84" i="28"/>
  <c r="Q25" i="28"/>
  <c r="R3" i="5"/>
  <c r="B132" i="28"/>
  <c r="B104" i="28"/>
  <c r="B120" i="28"/>
  <c r="B99" i="28"/>
  <c r="B40" i="28"/>
  <c r="D145" i="18"/>
  <c r="S130" i="18"/>
  <c r="Q132" i="28" s="1"/>
  <c r="R130" i="18"/>
  <c r="P132" i="28" s="1"/>
  <c r="D117" i="18"/>
  <c r="R102" i="18"/>
  <c r="P104" i="28" s="1"/>
  <c r="S102" i="18"/>
  <c r="Q104" i="28" s="1"/>
  <c r="R118" i="18"/>
  <c r="P120" i="28" s="1"/>
  <c r="S118" i="18"/>
  <c r="Q120" i="28" s="1"/>
  <c r="S97" i="18"/>
  <c r="R97" i="18"/>
  <c r="D112" i="18"/>
  <c r="S38" i="18"/>
  <c r="R38" i="18"/>
  <c r="S94" i="18"/>
  <c r="Q96" i="28" s="1"/>
  <c r="R94" i="18"/>
  <c r="P96" i="28" s="1"/>
  <c r="D53" i="18"/>
  <c r="D149" i="18"/>
  <c r="P99" i="28" l="1"/>
  <c r="Q99" i="28"/>
  <c r="P40" i="28"/>
  <c r="Q4" i="5"/>
  <c r="Q40" i="28"/>
  <c r="R4" i="5"/>
  <c r="B119" i="28"/>
  <c r="B151" i="28"/>
  <c r="B147" i="28"/>
  <c r="B114" i="28"/>
  <c r="B55" i="28"/>
  <c r="D164" i="18"/>
  <c r="S149" i="18"/>
  <c r="Q151" i="28" s="1"/>
  <c r="R149" i="18"/>
  <c r="P151" i="28" s="1"/>
  <c r="D132" i="18"/>
  <c r="S117" i="18"/>
  <c r="Q119" i="28" s="1"/>
  <c r="R117" i="18"/>
  <c r="P119" i="28" s="1"/>
  <c r="S112" i="18"/>
  <c r="R112" i="18"/>
  <c r="D127" i="18"/>
  <c r="S53" i="18"/>
  <c r="R53" i="18"/>
  <c r="D160" i="18"/>
  <c r="S145" i="18"/>
  <c r="Q147" i="28" s="1"/>
  <c r="R145" i="18"/>
  <c r="P147" i="28" s="1"/>
  <c r="D68" i="18"/>
  <c r="R109" i="18"/>
  <c r="P111" i="28" s="1"/>
  <c r="S109" i="18"/>
  <c r="Q111" i="28" s="1"/>
  <c r="D168" i="18"/>
  <c r="Q55" i="28" l="1"/>
  <c r="R5" i="5"/>
  <c r="P114" i="28"/>
  <c r="Q114" i="28"/>
  <c r="P55" i="28"/>
  <c r="Q5" i="5"/>
  <c r="B170" i="28"/>
  <c r="B166" i="28"/>
  <c r="B162" i="28"/>
  <c r="B134" i="28"/>
  <c r="B129" i="28"/>
  <c r="B70" i="28"/>
  <c r="S68" i="18"/>
  <c r="R68" i="18"/>
  <c r="D83" i="18"/>
  <c r="D175" i="18"/>
  <c r="S160" i="18"/>
  <c r="Q162" i="28" s="1"/>
  <c r="R160" i="18"/>
  <c r="P162" i="28" s="1"/>
  <c r="D147" i="18"/>
  <c r="R132" i="18"/>
  <c r="P134" i="28" s="1"/>
  <c r="S132" i="18"/>
  <c r="Q134" i="28" s="1"/>
  <c r="D183" i="18"/>
  <c r="R168" i="18"/>
  <c r="P170" i="28" s="1"/>
  <c r="S168" i="18"/>
  <c r="Q170" i="28" s="1"/>
  <c r="S127" i="18"/>
  <c r="R127" i="18"/>
  <c r="D179" i="18"/>
  <c r="S164" i="18"/>
  <c r="Q166" i="28" s="1"/>
  <c r="R164" i="18"/>
  <c r="P166" i="28" s="1"/>
  <c r="R124" i="18"/>
  <c r="P126" i="28" s="1"/>
  <c r="S124" i="18"/>
  <c r="Q126" i="28" s="1"/>
  <c r="D191" i="18"/>
  <c r="P70" i="28" l="1"/>
  <c r="Q6" i="5"/>
  <c r="Q70" i="28"/>
  <c r="R6" i="5"/>
  <c r="P129" i="28"/>
  <c r="Q129" i="28"/>
  <c r="B181" i="28"/>
  <c r="B149" i="28"/>
  <c r="B193" i="28"/>
  <c r="B177" i="28"/>
  <c r="B185" i="28"/>
  <c r="B85" i="28"/>
  <c r="D206" i="18"/>
  <c r="S191" i="18"/>
  <c r="Q193" i="28" s="1"/>
  <c r="R191" i="18"/>
  <c r="P193" i="28" s="1"/>
  <c r="D194" i="18"/>
  <c r="S179" i="18"/>
  <c r="Q181" i="28" s="1"/>
  <c r="R179" i="18"/>
  <c r="P181" i="28" s="1"/>
  <c r="D162" i="18"/>
  <c r="R147" i="18"/>
  <c r="P149" i="28" s="1"/>
  <c r="S147" i="18"/>
  <c r="Q149" i="28" s="1"/>
  <c r="D190" i="18"/>
  <c r="S175" i="18"/>
  <c r="Q177" i="28" s="1"/>
  <c r="R175" i="18"/>
  <c r="P177" i="28" s="1"/>
  <c r="S83" i="18"/>
  <c r="R83" i="18"/>
  <c r="D98" i="18"/>
  <c r="D198" i="18"/>
  <c r="S183" i="18"/>
  <c r="Q185" i="28" s="1"/>
  <c r="R183" i="18"/>
  <c r="P185" i="28" s="1"/>
  <c r="R139" i="18"/>
  <c r="P141" i="28" s="1"/>
  <c r="S139" i="18"/>
  <c r="Q141" i="28" s="1"/>
  <c r="P85" i="28" l="1"/>
  <c r="Q85" i="28"/>
  <c r="B196" i="28"/>
  <c r="B208" i="28"/>
  <c r="B164" i="28"/>
  <c r="B200" i="28"/>
  <c r="B192" i="28"/>
  <c r="B100" i="28"/>
  <c r="D213" i="18"/>
  <c r="S198" i="18"/>
  <c r="Q200" i="28" s="1"/>
  <c r="R198" i="18"/>
  <c r="P200" i="28" s="1"/>
  <c r="S98" i="18"/>
  <c r="R98" i="18"/>
  <c r="D113" i="18"/>
  <c r="D177" i="18"/>
  <c r="R162" i="18"/>
  <c r="P164" i="28" s="1"/>
  <c r="S162" i="18"/>
  <c r="Q164" i="28" s="1"/>
  <c r="D209" i="18"/>
  <c r="S194" i="18"/>
  <c r="Q196" i="28" s="1"/>
  <c r="R194" i="18"/>
  <c r="P196" i="28" s="1"/>
  <c r="D205" i="18"/>
  <c r="R190" i="18"/>
  <c r="P192" i="28" s="1"/>
  <c r="S190" i="18"/>
  <c r="Q192" i="28" s="1"/>
  <c r="D221" i="18"/>
  <c r="R206" i="18"/>
  <c r="P208" i="28" s="1"/>
  <c r="S206" i="18"/>
  <c r="Q208" i="28" s="1"/>
  <c r="S154" i="18"/>
  <c r="Q156" i="28" s="1"/>
  <c r="R154" i="18"/>
  <c r="P156" i="28" s="1"/>
  <c r="D229" i="18"/>
  <c r="P100" i="28" l="1"/>
  <c r="Q100" i="28"/>
  <c r="B207" i="28"/>
  <c r="B211" i="28"/>
  <c r="B215" i="28"/>
  <c r="B223" i="28"/>
  <c r="B179" i="28"/>
  <c r="B115" i="28"/>
  <c r="D244" i="18"/>
  <c r="B231" i="28"/>
  <c r="D236" i="18"/>
  <c r="R221" i="18"/>
  <c r="P223" i="28" s="1"/>
  <c r="S221" i="18"/>
  <c r="Q223" i="28" s="1"/>
  <c r="D192" i="18"/>
  <c r="R177" i="18"/>
  <c r="P179" i="28" s="1"/>
  <c r="S177" i="18"/>
  <c r="Q179" i="28" s="1"/>
  <c r="S113" i="18"/>
  <c r="R113" i="18"/>
  <c r="D128" i="18"/>
  <c r="D220" i="18"/>
  <c r="S205" i="18"/>
  <c r="Q207" i="28" s="1"/>
  <c r="R205" i="18"/>
  <c r="P207" i="28" s="1"/>
  <c r="D224" i="18"/>
  <c r="R209" i="18"/>
  <c r="P211" i="28" s="1"/>
  <c r="S209" i="18"/>
  <c r="Q211" i="28" s="1"/>
  <c r="D228" i="18"/>
  <c r="R213" i="18"/>
  <c r="P215" i="28" s="1"/>
  <c r="S213" i="18"/>
  <c r="Q215" i="28" s="1"/>
  <c r="R169" i="18"/>
  <c r="P171" i="28" s="1"/>
  <c r="S169" i="18"/>
  <c r="Q171" i="28" s="1"/>
  <c r="P115" i="28" l="1"/>
  <c r="Q115" i="28"/>
  <c r="B222" i="28"/>
  <c r="B238" i="28"/>
  <c r="B230" i="28"/>
  <c r="B226" i="28"/>
  <c r="B194" i="28"/>
  <c r="B130" i="28"/>
  <c r="D259" i="18"/>
  <c r="B246" i="28"/>
  <c r="D243" i="18"/>
  <c r="R228" i="18"/>
  <c r="P230" i="28" s="1"/>
  <c r="S228" i="18"/>
  <c r="Q230" i="28" s="1"/>
  <c r="D207" i="18"/>
  <c r="S192" i="18"/>
  <c r="Q194" i="28" s="1"/>
  <c r="R192" i="18"/>
  <c r="P194" i="28" s="1"/>
  <c r="D235" i="18"/>
  <c r="R220" i="18"/>
  <c r="P222" i="28" s="1"/>
  <c r="S220" i="18"/>
  <c r="D239" i="18"/>
  <c r="R224" i="18"/>
  <c r="P226" i="28" s="1"/>
  <c r="S224" i="18"/>
  <c r="Q226" i="28" s="1"/>
  <c r="S128" i="18"/>
  <c r="R128" i="18"/>
  <c r="D251" i="18"/>
  <c r="S236" i="18"/>
  <c r="Q238" i="28" s="1"/>
  <c r="R236" i="18"/>
  <c r="P238" i="28" s="1"/>
  <c r="R184" i="18"/>
  <c r="P186" i="28" s="1"/>
  <c r="S184" i="18"/>
  <c r="Q186" i="28" s="1"/>
  <c r="Q222" i="28" l="1"/>
  <c r="P130" i="28"/>
  <c r="Q130" i="28"/>
  <c r="B245" i="28"/>
  <c r="B253" i="28"/>
  <c r="B237" i="28"/>
  <c r="B241" i="28"/>
  <c r="B209" i="28"/>
  <c r="D274" i="18"/>
  <c r="B261" i="28"/>
  <c r="D266" i="18"/>
  <c r="S251" i="18"/>
  <c r="Q253" i="28" s="1"/>
  <c r="R251" i="18"/>
  <c r="P253" i="28" s="1"/>
  <c r="D250" i="18"/>
  <c r="S235" i="18"/>
  <c r="Q237" i="28" s="1"/>
  <c r="R235" i="18"/>
  <c r="P237" i="28" s="1"/>
  <c r="D222" i="18"/>
  <c r="R207" i="18"/>
  <c r="P209" i="28" s="1"/>
  <c r="S207" i="18"/>
  <c r="Q209" i="28" s="1"/>
  <c r="D254" i="18"/>
  <c r="S239" i="18"/>
  <c r="Q241" i="28" s="1"/>
  <c r="R239" i="18"/>
  <c r="P241" i="28" s="1"/>
  <c r="D258" i="18"/>
  <c r="S243" i="18"/>
  <c r="Q245" i="28" s="1"/>
  <c r="R243" i="18"/>
  <c r="P245" i="28" s="1"/>
  <c r="S199" i="18"/>
  <c r="Q201" i="28" s="1"/>
  <c r="R199" i="18"/>
  <c r="P201" i="28" s="1"/>
  <c r="B224" i="28" l="1"/>
  <c r="B252" i="28"/>
  <c r="B260" i="28"/>
  <c r="B256" i="28"/>
  <c r="B268" i="28"/>
  <c r="D289" i="18"/>
  <c r="B276" i="28"/>
  <c r="D237" i="18"/>
  <c r="S222" i="18"/>
  <c r="R222" i="18"/>
  <c r="P224" i="28" s="1"/>
  <c r="D273" i="18"/>
  <c r="S258" i="18"/>
  <c r="Q260" i="28" s="1"/>
  <c r="R258" i="18"/>
  <c r="P260" i="28" s="1"/>
  <c r="D265" i="18"/>
  <c r="R250" i="18"/>
  <c r="P252" i="28" s="1"/>
  <c r="S250" i="18"/>
  <c r="Q252" i="28" s="1"/>
  <c r="D269" i="18"/>
  <c r="S254" i="18"/>
  <c r="Q256" i="28" s="1"/>
  <c r="R254" i="18"/>
  <c r="P256" i="28" s="1"/>
  <c r="D281" i="18"/>
  <c r="S266" i="18"/>
  <c r="Q268" i="28" s="1"/>
  <c r="R266" i="18"/>
  <c r="P268" i="28" s="1"/>
  <c r="S214" i="18"/>
  <c r="Q216" i="28" s="1"/>
  <c r="R214" i="18"/>
  <c r="P216" i="28" s="1"/>
  <c r="Q224" i="28" l="1"/>
  <c r="B275" i="28"/>
  <c r="B283" i="28"/>
  <c r="B271" i="28"/>
  <c r="B239" i="28"/>
  <c r="B267" i="28"/>
  <c r="D304" i="18"/>
  <c r="B291" i="28"/>
  <c r="D280" i="18"/>
  <c r="S265" i="18"/>
  <c r="Q267" i="28" s="1"/>
  <c r="R265" i="18"/>
  <c r="P267" i="28" s="1"/>
  <c r="D296" i="18"/>
  <c r="S281" i="18"/>
  <c r="Q283" i="28" s="1"/>
  <c r="R281" i="18"/>
  <c r="P283" i="28" s="1"/>
  <c r="D288" i="18"/>
  <c r="S273" i="18"/>
  <c r="Q275" i="28" s="1"/>
  <c r="R273" i="18"/>
  <c r="P275" i="28" s="1"/>
  <c r="D284" i="18"/>
  <c r="R269" i="18"/>
  <c r="P271" i="28" s="1"/>
  <c r="S269" i="18"/>
  <c r="Q271" i="28" s="1"/>
  <c r="S237" i="18"/>
  <c r="Q239" i="28" s="1"/>
  <c r="R237" i="18"/>
  <c r="P239" i="28" s="1"/>
  <c r="D252" i="18"/>
  <c r="S229" i="18"/>
  <c r="Q231" i="28" s="1"/>
  <c r="R229" i="18"/>
  <c r="P231" i="28" s="1"/>
  <c r="B254" i="28" l="1"/>
  <c r="B286" i="28"/>
  <c r="B290" i="28"/>
  <c r="B298" i="28"/>
  <c r="B282" i="28"/>
  <c r="D319" i="18"/>
  <c r="B306" i="28"/>
  <c r="D267" i="18"/>
  <c r="R252" i="18"/>
  <c r="P254" i="28" s="1"/>
  <c r="S252" i="18"/>
  <c r="Q254" i="28" s="1"/>
  <c r="D303" i="18"/>
  <c r="R288" i="18"/>
  <c r="P290" i="28" s="1"/>
  <c r="S288" i="18"/>
  <c r="Q290" i="28" s="1"/>
  <c r="D311" i="18"/>
  <c r="R296" i="18"/>
  <c r="P298" i="28" s="1"/>
  <c r="S296" i="18"/>
  <c r="Q298" i="28" s="1"/>
  <c r="D299" i="18"/>
  <c r="R284" i="18"/>
  <c r="P286" i="28" s="1"/>
  <c r="S284" i="18"/>
  <c r="Q286" i="28" s="1"/>
  <c r="D295" i="18"/>
  <c r="R280" i="18"/>
  <c r="P282" i="28" s="1"/>
  <c r="S280" i="18"/>
  <c r="Q282" i="28" s="1"/>
  <c r="R244" i="18"/>
  <c r="P246" i="28" s="1"/>
  <c r="S244" i="18"/>
  <c r="Q246" i="28" s="1"/>
  <c r="B313" i="28" l="1"/>
  <c r="B297" i="28"/>
  <c r="B305" i="28"/>
  <c r="B301" i="28"/>
  <c r="B269" i="28"/>
  <c r="D334" i="18"/>
  <c r="B321" i="28"/>
  <c r="D326" i="18"/>
  <c r="S311" i="18"/>
  <c r="Q313" i="28" s="1"/>
  <c r="R311" i="18"/>
  <c r="P313" i="28" s="1"/>
  <c r="D310" i="18"/>
  <c r="S295" i="18"/>
  <c r="Q297" i="28" s="1"/>
  <c r="R295" i="18"/>
  <c r="P297" i="28" s="1"/>
  <c r="D318" i="18"/>
  <c r="R303" i="18"/>
  <c r="P305" i="28" s="1"/>
  <c r="S303" i="18"/>
  <c r="Q305" i="28" s="1"/>
  <c r="D314" i="18"/>
  <c r="S299" i="18"/>
  <c r="Q301" i="28" s="1"/>
  <c r="R299" i="18"/>
  <c r="P301" i="28" s="1"/>
  <c r="D282" i="18"/>
  <c r="R267" i="18"/>
  <c r="P269" i="28" s="1"/>
  <c r="S267" i="18"/>
  <c r="Q269" i="28" s="1"/>
  <c r="R259" i="18"/>
  <c r="P261" i="28" s="1"/>
  <c r="S259" i="18"/>
  <c r="Q261" i="28" s="1"/>
  <c r="B284" i="28" l="1"/>
  <c r="B312" i="28"/>
  <c r="B316" i="28"/>
  <c r="B328" i="28"/>
  <c r="B320" i="28"/>
  <c r="D349" i="18"/>
  <c r="B336" i="28"/>
  <c r="D333" i="18"/>
  <c r="R318" i="18"/>
  <c r="P320" i="28" s="1"/>
  <c r="S318" i="18"/>
  <c r="Q320" i="28" s="1"/>
  <c r="D297" i="18"/>
  <c r="R282" i="18"/>
  <c r="P284" i="28" s="1"/>
  <c r="S282" i="18"/>
  <c r="Q284" i="28" s="1"/>
  <c r="D325" i="18"/>
  <c r="R310" i="18"/>
  <c r="P312" i="28" s="1"/>
  <c r="S310" i="18"/>
  <c r="Q312" i="28" s="1"/>
  <c r="D329" i="18"/>
  <c r="S314" i="18"/>
  <c r="Q316" i="28" s="1"/>
  <c r="R314" i="18"/>
  <c r="P316" i="28" s="1"/>
  <c r="D341" i="18"/>
  <c r="R326" i="18"/>
  <c r="P328" i="28" s="1"/>
  <c r="S326" i="18"/>
  <c r="Q328" i="28" s="1"/>
  <c r="S274" i="18"/>
  <c r="Q276" i="28" s="1"/>
  <c r="R274" i="18"/>
  <c r="P276" i="28" s="1"/>
  <c r="B343" i="28" l="1"/>
  <c r="B331" i="28"/>
  <c r="B299" i="28"/>
  <c r="B335" i="28"/>
  <c r="B327" i="28"/>
  <c r="D364" i="18"/>
  <c r="B351" i="28"/>
  <c r="D340" i="18"/>
  <c r="S325" i="18"/>
  <c r="Q327" i="28" s="1"/>
  <c r="R325" i="18"/>
  <c r="P327" i="28" s="1"/>
  <c r="D356" i="18"/>
  <c r="R341" i="18"/>
  <c r="P343" i="28" s="1"/>
  <c r="S341" i="18"/>
  <c r="Q343" i="28" s="1"/>
  <c r="D312" i="18"/>
  <c r="R297" i="18"/>
  <c r="P299" i="28" s="1"/>
  <c r="S297" i="18"/>
  <c r="Q299" i="28" s="1"/>
  <c r="D344" i="18"/>
  <c r="R329" i="18"/>
  <c r="P331" i="28" s="1"/>
  <c r="S329" i="18"/>
  <c r="Q331" i="28" s="1"/>
  <c r="D348" i="18"/>
  <c r="S333" i="18"/>
  <c r="Q335" i="28" s="1"/>
  <c r="R333" i="18"/>
  <c r="P335" i="28" s="1"/>
  <c r="R289" i="18"/>
  <c r="P291" i="28" s="1"/>
  <c r="S289" i="18"/>
  <c r="Q291" i="28" s="1"/>
  <c r="B346" i="28" l="1"/>
  <c r="B358" i="28"/>
  <c r="B342" i="28"/>
  <c r="B314" i="28"/>
  <c r="B350" i="28"/>
  <c r="D379" i="18"/>
  <c r="B366" i="28"/>
  <c r="D327" i="18"/>
  <c r="R312" i="18"/>
  <c r="P314" i="28" s="1"/>
  <c r="S312" i="18"/>
  <c r="Q314" i="28" s="1"/>
  <c r="D363" i="18"/>
  <c r="R348" i="18"/>
  <c r="P350" i="28" s="1"/>
  <c r="S348" i="18"/>
  <c r="Q350" i="28" s="1"/>
  <c r="D371" i="18"/>
  <c r="R356" i="18"/>
  <c r="P358" i="28" s="1"/>
  <c r="S356" i="18"/>
  <c r="Q358" i="28" s="1"/>
  <c r="D359" i="18"/>
  <c r="S344" i="18"/>
  <c r="Q346" i="28" s="1"/>
  <c r="R344" i="18"/>
  <c r="P346" i="28" s="1"/>
  <c r="S340" i="18"/>
  <c r="Q342" i="28" s="1"/>
  <c r="R340" i="18"/>
  <c r="P342" i="28" s="1"/>
  <c r="D355" i="18"/>
  <c r="S304" i="18"/>
  <c r="Q306" i="28" s="1"/>
  <c r="R304" i="18"/>
  <c r="P306" i="28" s="1"/>
  <c r="B361" i="28" l="1"/>
  <c r="B329" i="28"/>
  <c r="B365" i="28"/>
  <c r="B357" i="28"/>
  <c r="B373" i="28"/>
  <c r="D394" i="18"/>
  <c r="B381" i="28"/>
  <c r="D370" i="18"/>
  <c r="S355" i="18"/>
  <c r="Q357" i="28" s="1"/>
  <c r="R355" i="18"/>
  <c r="P357" i="28" s="1"/>
  <c r="D386" i="18"/>
  <c r="R371" i="18"/>
  <c r="P373" i="28" s="1"/>
  <c r="S371" i="18"/>
  <c r="Q373" i="28" s="1"/>
  <c r="D378" i="18"/>
  <c r="S363" i="18"/>
  <c r="Q365" i="28" s="1"/>
  <c r="R363" i="18"/>
  <c r="P365" i="28" s="1"/>
  <c r="S359" i="18"/>
  <c r="Q361" i="28" s="1"/>
  <c r="R359" i="18"/>
  <c r="P361" i="28" s="1"/>
  <c r="D374" i="18"/>
  <c r="D342" i="18"/>
  <c r="R327" i="18"/>
  <c r="P329" i="28" s="1"/>
  <c r="S327" i="18"/>
  <c r="Q329" i="28" s="1"/>
  <c r="S319" i="18"/>
  <c r="Q321" i="28" s="1"/>
  <c r="R319" i="18"/>
  <c r="P321" i="28" s="1"/>
  <c r="B344" i="28" l="1"/>
  <c r="B376" i="28"/>
  <c r="B388" i="28"/>
  <c r="B372" i="28"/>
  <c r="B380" i="28"/>
  <c r="D409" i="18"/>
  <c r="B396" i="28"/>
  <c r="R378" i="18"/>
  <c r="P380" i="28" s="1"/>
  <c r="S378" i="18"/>
  <c r="Q380" i="28" s="1"/>
  <c r="D393" i="18"/>
  <c r="D357" i="18"/>
  <c r="S342" i="18"/>
  <c r="Q344" i="28" s="1"/>
  <c r="R342" i="18"/>
  <c r="P344" i="28" s="1"/>
  <c r="D389" i="18"/>
  <c r="S374" i="18"/>
  <c r="Q376" i="28" s="1"/>
  <c r="R374" i="18"/>
  <c r="P376" i="28" s="1"/>
  <c r="D401" i="18"/>
  <c r="S386" i="18"/>
  <c r="Q388" i="28" s="1"/>
  <c r="R386" i="18"/>
  <c r="P388" i="28" s="1"/>
  <c r="D385" i="18"/>
  <c r="S370" i="18"/>
  <c r="Q372" i="28" s="1"/>
  <c r="R370" i="18"/>
  <c r="P372" i="28" s="1"/>
  <c r="S334" i="18"/>
  <c r="Q336" i="28" s="1"/>
  <c r="R334" i="18"/>
  <c r="P336" i="28" s="1"/>
  <c r="B387" i="28" l="1"/>
  <c r="B395" i="28"/>
  <c r="B403" i="28"/>
  <c r="B359" i="28"/>
  <c r="B391" i="28"/>
  <c r="D424" i="18"/>
  <c r="B411" i="28"/>
  <c r="D404" i="18"/>
  <c r="S389" i="18"/>
  <c r="Q391" i="28" s="1"/>
  <c r="R389" i="18"/>
  <c r="P391" i="28" s="1"/>
  <c r="D400" i="18"/>
  <c r="R385" i="18"/>
  <c r="P387" i="28" s="1"/>
  <c r="S385" i="18"/>
  <c r="Q387" i="28" s="1"/>
  <c r="D372" i="18"/>
  <c r="S357" i="18"/>
  <c r="Q359" i="28" s="1"/>
  <c r="R357" i="18"/>
  <c r="P359" i="28" s="1"/>
  <c r="D408" i="18"/>
  <c r="S393" i="18"/>
  <c r="Q395" i="28" s="1"/>
  <c r="R393" i="18"/>
  <c r="P395" i="28" s="1"/>
  <c r="R401" i="18"/>
  <c r="P403" i="28" s="1"/>
  <c r="S401" i="18"/>
  <c r="Q403" i="28" s="1"/>
  <c r="D416" i="18"/>
  <c r="S349" i="18"/>
  <c r="Q351" i="28" s="1"/>
  <c r="R349" i="18"/>
  <c r="P351" i="28" s="1"/>
  <c r="B402" i="28" l="1"/>
  <c r="B410" i="28"/>
  <c r="B406" i="28"/>
  <c r="B418" i="28"/>
  <c r="B374" i="28"/>
  <c r="D439" i="18"/>
  <c r="B426" i="28"/>
  <c r="D431" i="18"/>
  <c r="S416" i="18"/>
  <c r="Q418" i="28" s="1"/>
  <c r="R416" i="18"/>
  <c r="P418" i="28" s="1"/>
  <c r="D387" i="18"/>
  <c r="R372" i="18"/>
  <c r="P374" i="28" s="1"/>
  <c r="S372" i="18"/>
  <c r="Q374" i="28" s="1"/>
  <c r="D415" i="18"/>
  <c r="R400" i="18"/>
  <c r="P402" i="28" s="1"/>
  <c r="S400" i="18"/>
  <c r="Q402" i="28" s="1"/>
  <c r="D423" i="18"/>
  <c r="S408" i="18"/>
  <c r="Q410" i="28" s="1"/>
  <c r="R408" i="18"/>
  <c r="P410" i="28" s="1"/>
  <c r="D419" i="18"/>
  <c r="S404" i="18"/>
  <c r="Q406" i="28" s="1"/>
  <c r="R404" i="18"/>
  <c r="P406" i="28" s="1"/>
  <c r="R364" i="18"/>
  <c r="P366" i="28" s="1"/>
  <c r="S364" i="18"/>
  <c r="Q366" i="28" s="1"/>
  <c r="B421" i="28" l="1"/>
  <c r="B389" i="28"/>
  <c r="B425" i="28"/>
  <c r="B433" i="28"/>
  <c r="B417" i="28"/>
  <c r="B441" i="28"/>
  <c r="D454" i="18"/>
  <c r="D430" i="18"/>
  <c r="R415" i="18"/>
  <c r="P417" i="28" s="1"/>
  <c r="S415" i="18"/>
  <c r="Q417" i="28" s="1"/>
  <c r="D434" i="18"/>
  <c r="R419" i="18"/>
  <c r="P421" i="28" s="1"/>
  <c r="S419" i="18"/>
  <c r="Q421" i="28" s="1"/>
  <c r="D402" i="18"/>
  <c r="S387" i="18"/>
  <c r="Q389" i="28" s="1"/>
  <c r="R387" i="18"/>
  <c r="P389" i="28" s="1"/>
  <c r="D438" i="18"/>
  <c r="S423" i="18"/>
  <c r="Q425" i="28" s="1"/>
  <c r="R423" i="18"/>
  <c r="P425" i="28" s="1"/>
  <c r="D446" i="18"/>
  <c r="R431" i="18"/>
  <c r="P433" i="28" s="1"/>
  <c r="S431" i="18"/>
  <c r="Q433" i="28" s="1"/>
  <c r="R379" i="18"/>
  <c r="P381" i="28" s="1"/>
  <c r="S379" i="18"/>
  <c r="Q381" i="28" s="1"/>
  <c r="B440" i="28" l="1"/>
  <c r="B448" i="28"/>
  <c r="B436" i="28"/>
  <c r="B432" i="28"/>
  <c r="B404" i="28"/>
  <c r="D469" i="18"/>
  <c r="B456" i="28"/>
  <c r="D417" i="18"/>
  <c r="S402" i="18"/>
  <c r="Q404" i="28" s="1"/>
  <c r="R402" i="18"/>
  <c r="P404" i="28" s="1"/>
  <c r="D461" i="18"/>
  <c r="S446" i="18"/>
  <c r="Q448" i="28" s="1"/>
  <c r="R446" i="18"/>
  <c r="P448" i="28" s="1"/>
  <c r="D449" i="18"/>
  <c r="R434" i="18"/>
  <c r="P436" i="28" s="1"/>
  <c r="S434" i="18"/>
  <c r="Q436" i="28" s="1"/>
  <c r="D453" i="18"/>
  <c r="S438" i="18"/>
  <c r="Q440" i="28" s="1"/>
  <c r="R438" i="18"/>
  <c r="P440" i="28" s="1"/>
  <c r="D445" i="18"/>
  <c r="R430" i="18"/>
  <c r="P432" i="28" s="1"/>
  <c r="S430" i="18"/>
  <c r="Q432" i="28" s="1"/>
  <c r="S394" i="18"/>
  <c r="Q396" i="28" s="1"/>
  <c r="R394" i="18"/>
  <c r="P396" i="28" s="1"/>
  <c r="B447" i="28" l="1"/>
  <c r="B455" i="28"/>
  <c r="B419" i="28"/>
  <c r="B463" i="28"/>
  <c r="B451" i="28"/>
  <c r="D484" i="18"/>
  <c r="B471" i="28"/>
  <c r="D464" i="18"/>
  <c r="R449" i="18"/>
  <c r="P451" i="28" s="1"/>
  <c r="S449" i="18"/>
  <c r="Q451" i="28" s="1"/>
  <c r="D460" i="18"/>
  <c r="R445" i="18"/>
  <c r="P447" i="28" s="1"/>
  <c r="S445" i="18"/>
  <c r="Q447" i="28" s="1"/>
  <c r="D476" i="18"/>
  <c r="R461" i="18"/>
  <c r="P463" i="28" s="1"/>
  <c r="S461" i="18"/>
  <c r="Q463" i="28" s="1"/>
  <c r="D468" i="18"/>
  <c r="R453" i="18"/>
  <c r="P455" i="28" s="1"/>
  <c r="S453" i="18"/>
  <c r="Q455" i="28" s="1"/>
  <c r="D432" i="18"/>
  <c r="S417" i="18"/>
  <c r="Q419" i="28" s="1"/>
  <c r="R417" i="18"/>
  <c r="P419" i="28" s="1"/>
  <c r="S409" i="18"/>
  <c r="Q411" i="28" s="1"/>
  <c r="R409" i="18"/>
  <c r="P411" i="28" s="1"/>
  <c r="B434" i="28" l="1"/>
  <c r="B462" i="28"/>
  <c r="B470" i="28"/>
  <c r="B466" i="28"/>
  <c r="B478" i="28"/>
  <c r="D499" i="18"/>
  <c r="B486" i="28"/>
  <c r="D491" i="18"/>
  <c r="R476" i="18"/>
  <c r="P478" i="28" s="1"/>
  <c r="S476" i="18"/>
  <c r="Q478" i="28" s="1"/>
  <c r="D447" i="18"/>
  <c r="S432" i="18"/>
  <c r="Q434" i="28" s="1"/>
  <c r="R432" i="18"/>
  <c r="P434" i="28" s="1"/>
  <c r="D475" i="18"/>
  <c r="R460" i="18"/>
  <c r="P462" i="28" s="1"/>
  <c r="S460" i="18"/>
  <c r="Q462" i="28" s="1"/>
  <c r="D483" i="18"/>
  <c r="R468" i="18"/>
  <c r="P470" i="28" s="1"/>
  <c r="S468" i="18"/>
  <c r="Q470" i="28" s="1"/>
  <c r="D479" i="18"/>
  <c r="R464" i="18"/>
  <c r="P466" i="28" s="1"/>
  <c r="S464" i="18"/>
  <c r="Q466" i="28" s="1"/>
  <c r="R424" i="18"/>
  <c r="P426" i="28" s="1"/>
  <c r="S424" i="18"/>
  <c r="Q426" i="28" s="1"/>
  <c r="B485" i="28" l="1"/>
  <c r="B481" i="28"/>
  <c r="B449" i="28"/>
  <c r="B493" i="28"/>
  <c r="B477" i="28"/>
  <c r="D514" i="18"/>
  <c r="B501" i="28"/>
  <c r="D490" i="18"/>
  <c r="R475" i="18"/>
  <c r="P477" i="28" s="1"/>
  <c r="S475" i="18"/>
  <c r="Q477" i="28" s="1"/>
  <c r="D494" i="18"/>
  <c r="R479" i="18"/>
  <c r="P481" i="28" s="1"/>
  <c r="S479" i="18"/>
  <c r="Q481" i="28" s="1"/>
  <c r="D462" i="18"/>
  <c r="R447" i="18"/>
  <c r="P449" i="28" s="1"/>
  <c r="S447" i="18"/>
  <c r="Q449" i="28" s="1"/>
  <c r="D498" i="18"/>
  <c r="S483" i="18"/>
  <c r="Q485" i="28" s="1"/>
  <c r="R483" i="18"/>
  <c r="P485" i="28" s="1"/>
  <c r="D506" i="18"/>
  <c r="S491" i="18"/>
  <c r="Q493" i="28" s="1"/>
  <c r="R491" i="18"/>
  <c r="P493" i="28" s="1"/>
  <c r="S439" i="18"/>
  <c r="Q441" i="28" s="1"/>
  <c r="R439" i="18"/>
  <c r="P441" i="28" s="1"/>
  <c r="B464" i="28" l="1"/>
  <c r="B508" i="28"/>
  <c r="B496" i="28"/>
  <c r="B500" i="28"/>
  <c r="B492" i="28"/>
  <c r="D529" i="18"/>
  <c r="B516" i="28"/>
  <c r="S462" i="18"/>
  <c r="Q464" i="28" s="1"/>
  <c r="R462" i="18"/>
  <c r="P464" i="28" s="1"/>
  <c r="D477" i="18"/>
  <c r="D521" i="18"/>
  <c r="R506" i="18"/>
  <c r="P508" i="28" s="1"/>
  <c r="S506" i="18"/>
  <c r="Q508" i="28" s="1"/>
  <c r="D509" i="18"/>
  <c r="R494" i="18"/>
  <c r="P496" i="28" s="1"/>
  <c r="S494" i="18"/>
  <c r="Q496" i="28" s="1"/>
  <c r="D513" i="18"/>
  <c r="R498" i="18"/>
  <c r="P500" i="28" s="1"/>
  <c r="S498" i="18"/>
  <c r="Q500" i="28" s="1"/>
  <c r="D505" i="18"/>
  <c r="R490" i="18"/>
  <c r="P492" i="28" s="1"/>
  <c r="S490" i="18"/>
  <c r="Q492" i="28" s="1"/>
  <c r="S454" i="18"/>
  <c r="Q456" i="28" s="1"/>
  <c r="R454" i="18"/>
  <c r="P456" i="28" s="1"/>
  <c r="B507" i="28" l="1"/>
  <c r="B523" i="28"/>
  <c r="B479" i="28"/>
  <c r="B515" i="28"/>
  <c r="B511" i="28"/>
  <c r="D544" i="18"/>
  <c r="B531" i="28"/>
  <c r="D520" i="18"/>
  <c r="R505" i="18"/>
  <c r="P507" i="28" s="1"/>
  <c r="S505" i="18"/>
  <c r="Q507" i="28" s="1"/>
  <c r="D524" i="18"/>
  <c r="R509" i="18"/>
  <c r="P511" i="28" s="1"/>
  <c r="S509" i="18"/>
  <c r="Q511" i="28" s="1"/>
  <c r="D536" i="18"/>
  <c r="R521" i="18"/>
  <c r="P523" i="28" s="1"/>
  <c r="S521" i="18"/>
  <c r="Q523" i="28" s="1"/>
  <c r="D492" i="18"/>
  <c r="S477" i="18"/>
  <c r="Q479" i="28" s="1"/>
  <c r="R477" i="18"/>
  <c r="P479" i="28" s="1"/>
  <c r="D528" i="18"/>
  <c r="R513" i="18"/>
  <c r="P515" i="28" s="1"/>
  <c r="S513" i="18"/>
  <c r="Q515" i="28" s="1"/>
  <c r="R469" i="18"/>
  <c r="P471" i="28" s="1"/>
  <c r="S469" i="18"/>
  <c r="Q471" i="28" s="1"/>
  <c r="B530" i="28" l="1"/>
  <c r="B494" i="28"/>
  <c r="B522" i="28"/>
  <c r="B526" i="28"/>
  <c r="B538" i="28"/>
  <c r="D559" i="18"/>
  <c r="B546" i="28"/>
  <c r="D551" i="18"/>
  <c r="R536" i="18"/>
  <c r="P538" i="28" s="1"/>
  <c r="S536" i="18"/>
  <c r="Q538" i="28" s="1"/>
  <c r="D543" i="18"/>
  <c r="R528" i="18"/>
  <c r="P530" i="28" s="1"/>
  <c r="S528" i="18"/>
  <c r="Q530" i="28" s="1"/>
  <c r="D539" i="18"/>
  <c r="R524" i="18"/>
  <c r="P526" i="28" s="1"/>
  <c r="S524" i="18"/>
  <c r="Q526" i="28" s="1"/>
  <c r="D507" i="18"/>
  <c r="S492" i="18"/>
  <c r="Q494" i="28" s="1"/>
  <c r="R492" i="18"/>
  <c r="P494" i="28" s="1"/>
  <c r="D535" i="18"/>
  <c r="S520" i="18"/>
  <c r="Q522" i="28" s="1"/>
  <c r="R520" i="18"/>
  <c r="P522" i="28" s="1"/>
  <c r="R484" i="18"/>
  <c r="P486" i="28" s="1"/>
  <c r="S484" i="18"/>
  <c r="Q486" i="28" s="1"/>
  <c r="B541" i="28" l="1"/>
  <c r="B509" i="28"/>
  <c r="B537" i="28"/>
  <c r="B545" i="28"/>
  <c r="B553" i="28"/>
  <c r="D574" i="18"/>
  <c r="B561" i="28"/>
  <c r="D550" i="18"/>
  <c r="S535" i="18"/>
  <c r="Q537" i="28" s="1"/>
  <c r="R535" i="18"/>
  <c r="P537" i="28" s="1"/>
  <c r="D554" i="18"/>
  <c r="R539" i="18"/>
  <c r="P541" i="28" s="1"/>
  <c r="S539" i="18"/>
  <c r="Q541" i="28" s="1"/>
  <c r="D558" i="18"/>
  <c r="S543" i="18"/>
  <c r="Q545" i="28" s="1"/>
  <c r="R543" i="18"/>
  <c r="P545" i="28" s="1"/>
  <c r="D522" i="18"/>
  <c r="S507" i="18"/>
  <c r="Q509" i="28" s="1"/>
  <c r="R507" i="18"/>
  <c r="P509" i="28" s="1"/>
  <c r="D566" i="18"/>
  <c r="R551" i="18"/>
  <c r="P553" i="28" s="1"/>
  <c r="S551" i="18"/>
  <c r="Q553" i="28" s="1"/>
  <c r="S499" i="18"/>
  <c r="Q501" i="28" s="1"/>
  <c r="R499" i="18"/>
  <c r="P501" i="28" s="1"/>
  <c r="B556" i="28" l="1"/>
  <c r="B524" i="28"/>
  <c r="B552" i="28"/>
  <c r="B568" i="28"/>
  <c r="B560" i="28"/>
  <c r="D589" i="18"/>
  <c r="B576" i="28"/>
  <c r="D581" i="18"/>
  <c r="S566" i="18"/>
  <c r="Q568" i="28" s="1"/>
  <c r="R566" i="18"/>
  <c r="P568" i="28" s="1"/>
  <c r="D573" i="18"/>
  <c r="S558" i="18"/>
  <c r="Q560" i="28" s="1"/>
  <c r="R558" i="18"/>
  <c r="P560" i="28" s="1"/>
  <c r="D569" i="18"/>
  <c r="S554" i="18"/>
  <c r="Q556" i="28" s="1"/>
  <c r="R554" i="18"/>
  <c r="P556" i="28" s="1"/>
  <c r="D537" i="18"/>
  <c r="R522" i="18"/>
  <c r="P524" i="28" s="1"/>
  <c r="S522" i="18"/>
  <c r="Q524" i="28" s="1"/>
  <c r="D565" i="18"/>
  <c r="R550" i="18"/>
  <c r="P552" i="28" s="1"/>
  <c r="S550" i="18"/>
  <c r="Q552" i="28" s="1"/>
  <c r="S514" i="18"/>
  <c r="Q516" i="28" s="1"/>
  <c r="R514" i="18"/>
  <c r="P516" i="28" s="1"/>
  <c r="B567" i="28" l="1"/>
  <c r="B539" i="28"/>
  <c r="B575" i="28"/>
  <c r="B583" i="28"/>
  <c r="B571" i="28"/>
  <c r="D604" i="18"/>
  <c r="B591" i="28"/>
  <c r="S565" i="18"/>
  <c r="Q567" i="28" s="1"/>
  <c r="R565" i="18"/>
  <c r="P567" i="28" s="1"/>
  <c r="D580" i="18"/>
  <c r="D584" i="18"/>
  <c r="S569" i="18"/>
  <c r="Q571" i="28" s="1"/>
  <c r="R569" i="18"/>
  <c r="P571" i="28" s="1"/>
  <c r="D588" i="18"/>
  <c r="R573" i="18"/>
  <c r="P575" i="28" s="1"/>
  <c r="S573" i="18"/>
  <c r="Q575" i="28" s="1"/>
  <c r="D552" i="18"/>
  <c r="R537" i="18"/>
  <c r="P539" i="28" s="1"/>
  <c r="S537" i="18"/>
  <c r="Q539" i="28" s="1"/>
  <c r="D596" i="18"/>
  <c r="S581" i="18"/>
  <c r="Q583" i="28" s="1"/>
  <c r="R581" i="18"/>
  <c r="P583" i="28" s="1"/>
  <c r="R529" i="18"/>
  <c r="P531" i="28" s="1"/>
  <c r="S529" i="18"/>
  <c r="Q531" i="28" s="1"/>
  <c r="B598" i="28" l="1"/>
  <c r="B554" i="28"/>
  <c r="B586" i="28"/>
  <c r="B582" i="28"/>
  <c r="B590" i="28"/>
  <c r="D619" i="18"/>
  <c r="B606" i="28"/>
  <c r="S584" i="18"/>
  <c r="Q586" i="28" s="1"/>
  <c r="R584" i="18"/>
  <c r="P586" i="28" s="1"/>
  <c r="D599" i="18"/>
  <c r="D603" i="18"/>
  <c r="S588" i="18"/>
  <c r="Q590" i="28" s="1"/>
  <c r="R588" i="18"/>
  <c r="P590" i="28" s="1"/>
  <c r="D611" i="18"/>
  <c r="S596" i="18"/>
  <c r="Q598" i="28" s="1"/>
  <c r="R596" i="18"/>
  <c r="P598" i="28" s="1"/>
  <c r="D595" i="18"/>
  <c r="R580" i="18"/>
  <c r="P582" i="28" s="1"/>
  <c r="S580" i="18"/>
  <c r="Q582" i="28" s="1"/>
  <c r="D567" i="18"/>
  <c r="R552" i="18"/>
  <c r="P554" i="28" s="1"/>
  <c r="S552" i="18"/>
  <c r="Q554" i="28" s="1"/>
  <c r="S544" i="18"/>
  <c r="Q546" i="28" s="1"/>
  <c r="R544" i="18"/>
  <c r="P546" i="28" s="1"/>
  <c r="B569" i="28" l="1"/>
  <c r="B597" i="28"/>
  <c r="B601" i="28"/>
  <c r="B605" i="28"/>
  <c r="B613" i="28"/>
  <c r="D634" i="18"/>
  <c r="B621" i="28"/>
  <c r="D582" i="18"/>
  <c r="R567" i="18"/>
  <c r="P569" i="28" s="1"/>
  <c r="S567" i="18"/>
  <c r="Q569" i="28" s="1"/>
  <c r="R603" i="18"/>
  <c r="P605" i="28" s="1"/>
  <c r="S603" i="18"/>
  <c r="Q605" i="28" s="1"/>
  <c r="D618" i="18"/>
  <c r="D614" i="18"/>
  <c r="S599" i="18"/>
  <c r="Q601" i="28" s="1"/>
  <c r="R599" i="18"/>
  <c r="P601" i="28" s="1"/>
  <c r="D626" i="18"/>
  <c r="S611" i="18"/>
  <c r="Q613" i="28" s="1"/>
  <c r="R611" i="18"/>
  <c r="P613" i="28" s="1"/>
  <c r="D610" i="18"/>
  <c r="S595" i="18"/>
  <c r="Q597" i="28" s="1"/>
  <c r="R595" i="18"/>
  <c r="P597" i="28" s="1"/>
  <c r="S559" i="18"/>
  <c r="Q561" i="28" s="1"/>
  <c r="R559" i="18"/>
  <c r="P561" i="28" s="1"/>
  <c r="B620" i="28" l="1"/>
  <c r="B612" i="28"/>
  <c r="B628" i="28"/>
  <c r="B584" i="28"/>
  <c r="B616" i="28"/>
  <c r="D649" i="18"/>
  <c r="B636" i="28"/>
  <c r="D629" i="18"/>
  <c r="S614" i="18"/>
  <c r="Q616" i="28" s="1"/>
  <c r="R614" i="18"/>
  <c r="P616" i="28" s="1"/>
  <c r="D633" i="18"/>
  <c r="R618" i="18"/>
  <c r="P620" i="28" s="1"/>
  <c r="S618" i="18"/>
  <c r="Q620" i="28" s="1"/>
  <c r="D625" i="18"/>
  <c r="S610" i="18"/>
  <c r="Q612" i="28" s="1"/>
  <c r="R610" i="18"/>
  <c r="P612" i="28" s="1"/>
  <c r="R626" i="18"/>
  <c r="P628" i="28" s="1"/>
  <c r="S626" i="18"/>
  <c r="Q628" i="28" s="1"/>
  <c r="D641" i="18"/>
  <c r="D597" i="18"/>
  <c r="R582" i="18"/>
  <c r="P584" i="28" s="1"/>
  <c r="S582" i="18"/>
  <c r="Q584" i="28" s="1"/>
  <c r="S574" i="18"/>
  <c r="Q576" i="28" s="1"/>
  <c r="R574" i="18"/>
  <c r="P576" i="28" s="1"/>
  <c r="B643" i="28" l="1"/>
  <c r="B635" i="28"/>
  <c r="B631" i="28"/>
  <c r="B599" i="28"/>
  <c r="B627" i="28"/>
  <c r="D664" i="18"/>
  <c r="B651" i="28"/>
  <c r="D640" i="18"/>
  <c r="S625" i="18"/>
  <c r="Q627" i="28" s="1"/>
  <c r="R625" i="18"/>
  <c r="P627" i="28" s="1"/>
  <c r="D612" i="18"/>
  <c r="S597" i="18"/>
  <c r="Q599" i="28" s="1"/>
  <c r="R597" i="18"/>
  <c r="P599" i="28" s="1"/>
  <c r="D656" i="18"/>
  <c r="R641" i="18"/>
  <c r="P643" i="28" s="1"/>
  <c r="S641" i="18"/>
  <c r="Q643" i="28" s="1"/>
  <c r="D648" i="18"/>
  <c r="R633" i="18"/>
  <c r="P635" i="28" s="1"/>
  <c r="S633" i="18"/>
  <c r="Q635" i="28" s="1"/>
  <c r="D644" i="18"/>
  <c r="R629" i="18"/>
  <c r="P631" i="28" s="1"/>
  <c r="S629" i="18"/>
  <c r="Q631" i="28" s="1"/>
  <c r="R589" i="18"/>
  <c r="P591" i="28" s="1"/>
  <c r="S589" i="18"/>
  <c r="Q591" i="28" s="1"/>
  <c r="B646" i="28" l="1"/>
  <c r="B650" i="28"/>
  <c r="B614" i="28"/>
  <c r="B642" i="28"/>
  <c r="B658" i="28"/>
  <c r="B666" i="28"/>
  <c r="D679" i="18"/>
  <c r="D659" i="18"/>
  <c r="S644" i="18"/>
  <c r="Q646" i="28" s="1"/>
  <c r="R644" i="18"/>
  <c r="P646" i="28" s="1"/>
  <c r="D627" i="18"/>
  <c r="R612" i="18"/>
  <c r="P614" i="28" s="1"/>
  <c r="S612" i="18"/>
  <c r="Q614" i="28" s="1"/>
  <c r="D671" i="18"/>
  <c r="S656" i="18"/>
  <c r="Q658" i="28" s="1"/>
  <c r="R656" i="18"/>
  <c r="P658" i="28" s="1"/>
  <c r="D663" i="18"/>
  <c r="R648" i="18"/>
  <c r="P650" i="28" s="1"/>
  <c r="S648" i="18"/>
  <c r="Q650" i="28" s="1"/>
  <c r="D655" i="18"/>
  <c r="S640" i="18"/>
  <c r="Q642" i="28" s="1"/>
  <c r="R640" i="18"/>
  <c r="P642" i="28" s="1"/>
  <c r="S604" i="18"/>
  <c r="Q606" i="28" s="1"/>
  <c r="R604" i="18"/>
  <c r="P606" i="28" s="1"/>
  <c r="B629" i="28" l="1"/>
  <c r="B657" i="28"/>
  <c r="B665" i="28"/>
  <c r="B661" i="28"/>
  <c r="B673" i="28"/>
  <c r="D694" i="18"/>
  <c r="B681" i="28"/>
  <c r="D686" i="18"/>
  <c r="S671" i="18"/>
  <c r="Q673" i="28" s="1"/>
  <c r="R671" i="18"/>
  <c r="P673" i="28" s="1"/>
  <c r="D670" i="18"/>
  <c r="S655" i="18"/>
  <c r="Q657" i="28" s="1"/>
  <c r="R655" i="18"/>
  <c r="P657" i="28" s="1"/>
  <c r="D642" i="18"/>
  <c r="S627" i="18"/>
  <c r="Q629" i="28" s="1"/>
  <c r="R627" i="18"/>
  <c r="P629" i="28" s="1"/>
  <c r="D678" i="18"/>
  <c r="R663" i="18"/>
  <c r="P665" i="28" s="1"/>
  <c r="S663" i="18"/>
  <c r="Q665" i="28" s="1"/>
  <c r="D674" i="18"/>
  <c r="S659" i="18"/>
  <c r="Q661" i="28" s="1"/>
  <c r="R659" i="18"/>
  <c r="P661" i="28" s="1"/>
  <c r="R619" i="18"/>
  <c r="P621" i="28" s="1"/>
  <c r="S619" i="18"/>
  <c r="Q621" i="28" s="1"/>
  <c r="B672" i="28" l="1"/>
  <c r="B676" i="28"/>
  <c r="B680" i="28"/>
  <c r="B688" i="28"/>
  <c r="B644" i="28"/>
  <c r="D709" i="18"/>
  <c r="B696" i="28"/>
  <c r="D689" i="18"/>
  <c r="S674" i="18"/>
  <c r="Q676" i="28" s="1"/>
  <c r="R674" i="18"/>
  <c r="P676" i="28" s="1"/>
  <c r="D657" i="18"/>
  <c r="R642" i="18"/>
  <c r="P644" i="28" s="1"/>
  <c r="S642" i="18"/>
  <c r="Q644" i="28" s="1"/>
  <c r="D685" i="18"/>
  <c r="S670" i="18"/>
  <c r="Q672" i="28" s="1"/>
  <c r="R670" i="18"/>
  <c r="P672" i="28" s="1"/>
  <c r="D693" i="18"/>
  <c r="R678" i="18"/>
  <c r="P680" i="28" s="1"/>
  <c r="S678" i="18"/>
  <c r="Q680" i="28" s="1"/>
  <c r="D701" i="18"/>
  <c r="S686" i="18"/>
  <c r="Q688" i="28" s="1"/>
  <c r="R686" i="18"/>
  <c r="P688" i="28" s="1"/>
  <c r="S634" i="18"/>
  <c r="Q636" i="28" s="1"/>
  <c r="R634" i="18"/>
  <c r="P636" i="28" s="1"/>
  <c r="B659" i="28" l="1"/>
  <c r="B703" i="28"/>
  <c r="B695" i="28"/>
  <c r="B691" i="28"/>
  <c r="B687" i="28"/>
  <c r="D724" i="18"/>
  <c r="B711" i="28"/>
  <c r="D700" i="18"/>
  <c r="S685" i="18"/>
  <c r="Q687" i="28" s="1"/>
  <c r="R685" i="18"/>
  <c r="P687" i="28" s="1"/>
  <c r="D716" i="18"/>
  <c r="S701" i="18"/>
  <c r="Q703" i="28" s="1"/>
  <c r="R701" i="18"/>
  <c r="P703" i="28" s="1"/>
  <c r="D672" i="18"/>
  <c r="S657" i="18"/>
  <c r="Q659" i="28" s="1"/>
  <c r="R657" i="18"/>
  <c r="P659" i="28" s="1"/>
  <c r="D708" i="18"/>
  <c r="R693" i="18"/>
  <c r="P695" i="28" s="1"/>
  <c r="S693" i="18"/>
  <c r="Q695" i="28" s="1"/>
  <c r="D704" i="18"/>
  <c r="S689" i="18"/>
  <c r="Q691" i="28" s="1"/>
  <c r="R689" i="18"/>
  <c r="P691" i="28" s="1"/>
  <c r="R649" i="18"/>
  <c r="P651" i="28" s="1"/>
  <c r="S649" i="18"/>
  <c r="Q651" i="28" s="1"/>
  <c r="B706" i="28" l="1"/>
  <c r="B710" i="28"/>
  <c r="B702" i="28"/>
  <c r="B718" i="28"/>
  <c r="B674" i="28"/>
  <c r="D739" i="18"/>
  <c r="B726" i="28"/>
  <c r="D687" i="18"/>
  <c r="S672" i="18"/>
  <c r="Q674" i="28" s="1"/>
  <c r="R672" i="18"/>
  <c r="P674" i="28" s="1"/>
  <c r="D719" i="18"/>
  <c r="R704" i="18"/>
  <c r="P706" i="28" s="1"/>
  <c r="S704" i="18"/>
  <c r="Q706" i="28" s="1"/>
  <c r="D731" i="18"/>
  <c r="R716" i="18"/>
  <c r="P718" i="28" s="1"/>
  <c r="S716" i="18"/>
  <c r="Q718" i="28" s="1"/>
  <c r="D723" i="18"/>
  <c r="S708" i="18"/>
  <c r="Q710" i="28" s="1"/>
  <c r="R708" i="18"/>
  <c r="P710" i="28" s="1"/>
  <c r="D715" i="18"/>
  <c r="R700" i="18"/>
  <c r="P702" i="28" s="1"/>
  <c r="S700" i="18"/>
  <c r="Q702" i="28" s="1"/>
  <c r="R664" i="18"/>
  <c r="P666" i="28" s="1"/>
  <c r="S664" i="18"/>
  <c r="Q666" i="28" s="1"/>
  <c r="B717" i="28" l="1"/>
  <c r="B721" i="28"/>
  <c r="B725" i="28"/>
  <c r="B689" i="28"/>
  <c r="B733" i="28"/>
  <c r="D754" i="18"/>
  <c r="B741" i="28"/>
  <c r="D746" i="18"/>
  <c r="S731" i="18"/>
  <c r="Q733" i="28" s="1"/>
  <c r="R731" i="18"/>
  <c r="P733" i="28" s="1"/>
  <c r="D730" i="18"/>
  <c r="S715" i="18"/>
  <c r="Q717" i="28" s="1"/>
  <c r="R715" i="18"/>
  <c r="P717" i="28" s="1"/>
  <c r="D734" i="18"/>
  <c r="S719" i="18"/>
  <c r="Q721" i="28" s="1"/>
  <c r="R719" i="18"/>
  <c r="P721" i="28" s="1"/>
  <c r="D738" i="18"/>
  <c r="R723" i="18"/>
  <c r="P725" i="28" s="1"/>
  <c r="S723" i="18"/>
  <c r="Q725" i="28" s="1"/>
  <c r="R687" i="18"/>
  <c r="P689" i="28" s="1"/>
  <c r="S687" i="18"/>
  <c r="Q689" i="28" s="1"/>
  <c r="D702" i="18"/>
  <c r="S679" i="18"/>
  <c r="Q681" i="28" s="1"/>
  <c r="R679" i="18"/>
  <c r="P681" i="28" s="1"/>
  <c r="B732" i="28" l="1"/>
  <c r="B740" i="28"/>
  <c r="B748" i="28"/>
  <c r="B704" i="28"/>
  <c r="D749" i="18"/>
  <c r="B736" i="28"/>
  <c r="D769" i="18"/>
  <c r="B756" i="28"/>
  <c r="D717" i="18"/>
  <c r="R702" i="18"/>
  <c r="P704" i="28" s="1"/>
  <c r="S702" i="18"/>
  <c r="Q704" i="28" s="1"/>
  <c r="D745" i="18"/>
  <c r="S730" i="18"/>
  <c r="Q732" i="28" s="1"/>
  <c r="R730" i="18"/>
  <c r="P732" i="28" s="1"/>
  <c r="D753" i="18"/>
  <c r="S738" i="18"/>
  <c r="Q740" i="28" s="1"/>
  <c r="R738" i="18"/>
  <c r="P740" i="28" s="1"/>
  <c r="D761" i="18"/>
  <c r="S746" i="18"/>
  <c r="Q748" i="28" s="1"/>
  <c r="R746" i="18"/>
  <c r="P748" i="28" s="1"/>
  <c r="R694" i="18"/>
  <c r="P696" i="28" s="1"/>
  <c r="S694" i="18"/>
  <c r="Q696" i="28" s="1"/>
  <c r="B747" i="28" l="1"/>
  <c r="B719" i="28"/>
  <c r="B755" i="28"/>
  <c r="B763" i="28"/>
  <c r="D784" i="18"/>
  <c r="B771" i="28"/>
  <c r="D764" i="18"/>
  <c r="B751" i="28"/>
  <c r="D768" i="18"/>
  <c r="R753" i="18"/>
  <c r="P755" i="28" s="1"/>
  <c r="S753" i="18"/>
  <c r="Q755" i="28" s="1"/>
  <c r="D760" i="18"/>
  <c r="R745" i="18"/>
  <c r="P747" i="28" s="1"/>
  <c r="S745" i="18"/>
  <c r="Q747" i="28" s="1"/>
  <c r="D776" i="18"/>
  <c r="S761" i="18"/>
  <c r="Q763" i="28" s="1"/>
  <c r="R761" i="18"/>
  <c r="P763" i="28" s="1"/>
  <c r="D732" i="18"/>
  <c r="S717" i="18"/>
  <c r="Q719" i="28" s="1"/>
  <c r="R717" i="18"/>
  <c r="P719" i="28" s="1"/>
  <c r="R709" i="18"/>
  <c r="P711" i="28" s="1"/>
  <c r="S709" i="18"/>
  <c r="Q711" i="28" s="1"/>
  <c r="B762" i="28" l="1"/>
  <c r="B734" i="28"/>
  <c r="B770" i="28"/>
  <c r="B778" i="28"/>
  <c r="D779" i="18"/>
  <c r="B766" i="28"/>
  <c r="D799" i="18"/>
  <c r="B786" i="28"/>
  <c r="D791" i="18"/>
  <c r="S776" i="18"/>
  <c r="Q778" i="28" s="1"/>
  <c r="R776" i="18"/>
  <c r="P778" i="28" s="1"/>
  <c r="D775" i="18"/>
  <c r="S760" i="18"/>
  <c r="Q762" i="28" s="1"/>
  <c r="R760" i="18"/>
  <c r="P762" i="28" s="1"/>
  <c r="D747" i="18"/>
  <c r="S732" i="18"/>
  <c r="Q734" i="28" s="1"/>
  <c r="R732" i="18"/>
  <c r="P734" i="28" s="1"/>
  <c r="D783" i="18"/>
  <c r="S768" i="18"/>
  <c r="Q770" i="28" s="1"/>
  <c r="R768" i="18"/>
  <c r="P770" i="28" s="1"/>
  <c r="R724" i="18"/>
  <c r="P726" i="28" s="1"/>
  <c r="S724" i="18"/>
  <c r="Q726" i="28" s="1"/>
  <c r="B777" i="28" l="1"/>
  <c r="B793" i="28"/>
  <c r="B749" i="28"/>
  <c r="B785" i="28"/>
  <c r="D814" i="18"/>
  <c r="B801" i="28"/>
  <c r="D794" i="18"/>
  <c r="B781" i="28"/>
  <c r="D762" i="18"/>
  <c r="R747" i="18"/>
  <c r="P749" i="28" s="1"/>
  <c r="S747" i="18"/>
  <c r="Q749" i="28" s="1"/>
  <c r="D790" i="18"/>
  <c r="S775" i="18"/>
  <c r="Q777" i="28" s="1"/>
  <c r="R775" i="18"/>
  <c r="P777" i="28" s="1"/>
  <c r="D798" i="18"/>
  <c r="S783" i="18"/>
  <c r="Q785" i="28" s="1"/>
  <c r="R783" i="18"/>
  <c r="P785" i="28" s="1"/>
  <c r="D806" i="18"/>
  <c r="R791" i="18"/>
  <c r="P793" i="28" s="1"/>
  <c r="S791" i="18"/>
  <c r="Q793" i="28" s="1"/>
  <c r="S739" i="18"/>
  <c r="Q741" i="28" s="1"/>
  <c r="R739" i="18"/>
  <c r="P741" i="28" s="1"/>
  <c r="B792" i="28" l="1"/>
  <c r="B808" i="28"/>
  <c r="B800" i="28"/>
  <c r="B764" i="28"/>
  <c r="D809" i="18"/>
  <c r="B796" i="28"/>
  <c r="D829" i="18"/>
  <c r="B816" i="28"/>
  <c r="D813" i="18"/>
  <c r="R798" i="18"/>
  <c r="P800" i="28" s="1"/>
  <c r="S798" i="18"/>
  <c r="Q800" i="28" s="1"/>
  <c r="R790" i="18"/>
  <c r="P792" i="28" s="1"/>
  <c r="S790" i="18"/>
  <c r="Q792" i="28" s="1"/>
  <c r="D805" i="18"/>
  <c r="D821" i="18"/>
  <c r="S806" i="18"/>
  <c r="Q808" i="28" s="1"/>
  <c r="R806" i="18"/>
  <c r="P808" i="28" s="1"/>
  <c r="D777" i="18"/>
  <c r="S762" i="18"/>
  <c r="Q764" i="28" s="1"/>
  <c r="R762" i="18"/>
  <c r="P764" i="28" s="1"/>
  <c r="S754" i="18"/>
  <c r="Q756" i="28" s="1"/>
  <c r="R754" i="18"/>
  <c r="P756" i="28" s="1"/>
  <c r="B779" i="28" l="1"/>
  <c r="B815" i="28"/>
  <c r="B823" i="28"/>
  <c r="B807" i="28"/>
  <c r="D844" i="18"/>
  <c r="B831" i="28"/>
  <c r="D824" i="18"/>
  <c r="B811" i="28"/>
  <c r="D836" i="18"/>
  <c r="R821" i="18"/>
  <c r="P823" i="28" s="1"/>
  <c r="S821" i="18"/>
  <c r="Q823" i="28" s="1"/>
  <c r="D820" i="18"/>
  <c r="R805" i="18"/>
  <c r="P807" i="28" s="1"/>
  <c r="S805" i="18"/>
  <c r="Q807" i="28" s="1"/>
  <c r="D792" i="18"/>
  <c r="R777" i="18"/>
  <c r="P779" i="28" s="1"/>
  <c r="S777" i="18"/>
  <c r="Q779" i="28" s="1"/>
  <c r="D828" i="18"/>
  <c r="R813" i="18"/>
  <c r="P815" i="28" s="1"/>
  <c r="S813" i="18"/>
  <c r="Q815" i="28" s="1"/>
  <c r="S769" i="18"/>
  <c r="Q771" i="28" s="1"/>
  <c r="R769" i="18"/>
  <c r="P771" i="28" s="1"/>
  <c r="B794" i="28" l="1"/>
  <c r="B822" i="28"/>
  <c r="B830" i="28"/>
  <c r="B838" i="28"/>
  <c r="D839" i="18"/>
  <c r="B826" i="28"/>
  <c r="D859" i="18"/>
  <c r="B846" i="28"/>
  <c r="D807" i="18"/>
  <c r="R792" i="18"/>
  <c r="P794" i="28" s="1"/>
  <c r="S792" i="18"/>
  <c r="Q794" i="28" s="1"/>
  <c r="D835" i="18"/>
  <c r="R820" i="18"/>
  <c r="P822" i="28" s="1"/>
  <c r="S820" i="18"/>
  <c r="Q822" i="28" s="1"/>
  <c r="S828" i="18"/>
  <c r="Q830" i="28" s="1"/>
  <c r="R828" i="18"/>
  <c r="P830" i="28" s="1"/>
  <c r="D843" i="18"/>
  <c r="D851" i="18"/>
  <c r="S836" i="18"/>
  <c r="Q838" i="28" s="1"/>
  <c r="R836" i="18"/>
  <c r="P838" i="28" s="1"/>
  <c r="S784" i="18"/>
  <c r="Q786" i="28" s="1"/>
  <c r="R784" i="18"/>
  <c r="P786" i="28" s="1"/>
  <c r="B853" i="28" l="1"/>
  <c r="B837" i="28"/>
  <c r="B845" i="28"/>
  <c r="B809" i="28"/>
  <c r="D874" i="18"/>
  <c r="B861" i="28"/>
  <c r="D854" i="18"/>
  <c r="B841" i="28"/>
  <c r="D850" i="18"/>
  <c r="R835" i="18"/>
  <c r="P837" i="28" s="1"/>
  <c r="S835" i="18"/>
  <c r="Q837" i="28" s="1"/>
  <c r="S851" i="18"/>
  <c r="Q853" i="28" s="1"/>
  <c r="R851" i="18"/>
  <c r="P853" i="28" s="1"/>
  <c r="D866" i="18"/>
  <c r="D858" i="18"/>
  <c r="S843" i="18"/>
  <c r="Q845" i="28" s="1"/>
  <c r="R843" i="18"/>
  <c r="P845" i="28" s="1"/>
  <c r="D822" i="18"/>
  <c r="R807" i="18"/>
  <c r="P809" i="28" s="1"/>
  <c r="S807" i="18"/>
  <c r="Q809" i="28" s="1"/>
  <c r="R799" i="18"/>
  <c r="P801" i="28" s="1"/>
  <c r="S799" i="18"/>
  <c r="Q801" i="28" s="1"/>
  <c r="B852" i="28" l="1"/>
  <c r="B860" i="28"/>
  <c r="B868" i="28"/>
  <c r="B824" i="28"/>
  <c r="D869" i="18"/>
  <c r="B856" i="28"/>
  <c r="D889" i="18"/>
  <c r="B876" i="28"/>
  <c r="D873" i="18"/>
  <c r="R858" i="18"/>
  <c r="P860" i="28" s="1"/>
  <c r="S858" i="18"/>
  <c r="Q860" i="28" s="1"/>
  <c r="D881" i="18"/>
  <c r="S866" i="18"/>
  <c r="Q868" i="28" s="1"/>
  <c r="R866" i="18"/>
  <c r="P868" i="28" s="1"/>
  <c r="D837" i="18"/>
  <c r="S822" i="18"/>
  <c r="Q824" i="28" s="1"/>
  <c r="R822" i="18"/>
  <c r="P824" i="28" s="1"/>
  <c r="D865" i="18"/>
  <c r="S850" i="18"/>
  <c r="Q852" i="28" s="1"/>
  <c r="R850" i="18"/>
  <c r="P852" i="28" s="1"/>
  <c r="R814" i="18"/>
  <c r="P816" i="28" s="1"/>
  <c r="S814" i="18"/>
  <c r="Q816" i="28" s="1"/>
  <c r="B867" i="28" l="1"/>
  <c r="B875" i="28"/>
  <c r="B883" i="28"/>
  <c r="B839" i="28"/>
  <c r="B891" i="28"/>
  <c r="D904" i="18"/>
  <c r="D884" i="18"/>
  <c r="B871" i="28"/>
  <c r="D852" i="18"/>
  <c r="R837" i="18"/>
  <c r="P839" i="28" s="1"/>
  <c r="S837" i="18"/>
  <c r="Q839" i="28" s="1"/>
  <c r="D896" i="18"/>
  <c r="R881" i="18"/>
  <c r="P883" i="28" s="1"/>
  <c r="S881" i="18"/>
  <c r="Q883" i="28" s="1"/>
  <c r="D880" i="18"/>
  <c r="R865" i="18"/>
  <c r="P867" i="28" s="1"/>
  <c r="S865" i="18"/>
  <c r="Q867" i="28" s="1"/>
  <c r="D888" i="18"/>
  <c r="R873" i="18"/>
  <c r="P875" i="28" s="1"/>
  <c r="S873" i="18"/>
  <c r="Q875" i="28" s="1"/>
  <c r="S829" i="18"/>
  <c r="Q831" i="28" s="1"/>
  <c r="R829" i="18"/>
  <c r="P831" i="28" s="1"/>
  <c r="B898" i="28" l="1"/>
  <c r="B890" i="28"/>
  <c r="B854" i="28"/>
  <c r="B882" i="28"/>
  <c r="B906" i="28"/>
  <c r="D899" i="18"/>
  <c r="B886" i="28"/>
  <c r="D895" i="18"/>
  <c r="S880" i="18"/>
  <c r="Q882" i="28" s="1"/>
  <c r="R880" i="18"/>
  <c r="P882" i="28" s="1"/>
  <c r="R896" i="18"/>
  <c r="P898" i="28" s="1"/>
  <c r="S896" i="18"/>
  <c r="Q898" i="28" s="1"/>
  <c r="D903" i="18"/>
  <c r="R888" i="18"/>
  <c r="P890" i="28" s="1"/>
  <c r="S888" i="18"/>
  <c r="Q890" i="28" s="1"/>
  <c r="D867" i="18"/>
  <c r="R852" i="18"/>
  <c r="P854" i="28" s="1"/>
  <c r="S852" i="18"/>
  <c r="Q854" i="28" s="1"/>
  <c r="S844" i="18"/>
  <c r="Q846" i="28" s="1"/>
  <c r="R844" i="18"/>
  <c r="P846" i="28" s="1"/>
  <c r="B869" i="28" l="1"/>
  <c r="B901" i="28"/>
  <c r="B905" i="28"/>
  <c r="B897" i="28"/>
  <c r="R903" i="18"/>
  <c r="P905" i="28" s="1"/>
  <c r="S903" i="18"/>
  <c r="Q905" i="28" s="1"/>
  <c r="D882" i="18"/>
  <c r="S867" i="18"/>
  <c r="Q869" i="28" s="1"/>
  <c r="R867" i="18"/>
  <c r="P869" i="28" s="1"/>
  <c r="S895" i="18"/>
  <c r="Q897" i="28" s="1"/>
  <c r="R895" i="18"/>
  <c r="P897" i="28" s="1"/>
  <c r="S859" i="18"/>
  <c r="Q861" i="28" s="1"/>
  <c r="R859" i="18"/>
  <c r="P861" i="28" s="1"/>
  <c r="B884" i="28" l="1"/>
  <c r="D897" i="18"/>
  <c r="R882" i="18"/>
  <c r="P884" i="28" s="1"/>
  <c r="S882" i="18"/>
  <c r="Q884" i="28" s="1"/>
  <c r="R874" i="18"/>
  <c r="P876" i="28" s="1"/>
  <c r="S874" i="18"/>
  <c r="Q876" i="28" s="1"/>
  <c r="B899" i="28" l="1"/>
  <c r="R897" i="18"/>
  <c r="P899" i="28" s="1"/>
  <c r="S897" i="18"/>
  <c r="Q899" i="28" s="1"/>
  <c r="S889" i="18"/>
  <c r="Q891" i="28" s="1"/>
  <c r="R889" i="18"/>
  <c r="P891" i="28" s="1"/>
  <c r="R904" i="18" l="1"/>
  <c r="P906" i="28" s="1"/>
  <c r="S904" i="18"/>
  <c r="Q906" i="28" s="1"/>
  <c r="D141" i="18"/>
  <c r="D142" i="18"/>
  <c r="D143" i="18"/>
  <c r="R734" i="18"/>
  <c r="P736" i="28" s="1"/>
  <c r="S734" i="18"/>
  <c r="Q736" i="28" s="1"/>
  <c r="R749" i="18"/>
  <c r="P751" i="28" s="1"/>
  <c r="S749" i="18"/>
  <c r="Q751" i="28" s="1"/>
  <c r="R764" i="18"/>
  <c r="P766" i="28" s="1"/>
  <c r="S764" i="18"/>
  <c r="Q766" i="28" s="1"/>
  <c r="R779" i="18"/>
  <c r="P781" i="28" s="1"/>
  <c r="S779" i="18"/>
  <c r="Q781" i="28" s="1"/>
  <c r="R794" i="18"/>
  <c r="P796" i="28" s="1"/>
  <c r="S794" i="18"/>
  <c r="Q796" i="28" s="1"/>
  <c r="R809" i="18"/>
  <c r="P811" i="28" s="1"/>
  <c r="S809" i="18"/>
  <c r="Q811" i="28" s="1"/>
  <c r="R824" i="18"/>
  <c r="P826" i="28" s="1"/>
  <c r="S824" i="18"/>
  <c r="Q826" i="28" s="1"/>
  <c r="R839" i="18"/>
  <c r="P841" i="28" s="1"/>
  <c r="S839" i="18"/>
  <c r="Q841" i="28" s="1"/>
  <c r="R854" i="18"/>
  <c r="P856" i="28" s="1"/>
  <c r="S854" i="18"/>
  <c r="Q856" i="28" s="1"/>
  <c r="R869" i="18"/>
  <c r="P871" i="28" s="1"/>
  <c r="S869" i="18"/>
  <c r="Q871" i="28" s="1"/>
  <c r="R884" i="18"/>
  <c r="P886" i="28" s="1"/>
  <c r="S884" i="18"/>
  <c r="Q886" i="28" s="1"/>
  <c r="R899" i="18"/>
  <c r="P901" i="28" s="1"/>
  <c r="S899" i="18"/>
  <c r="Q901" i="28" s="1"/>
  <c r="B145" i="28" l="1"/>
  <c r="B144" i="28"/>
  <c r="B143" i="28"/>
  <c r="R142" i="18"/>
  <c r="P144" i="28" s="1"/>
  <c r="S142" i="18"/>
  <c r="Q144" i="28" s="1"/>
  <c r="D157" i="18"/>
  <c r="S143" i="18"/>
  <c r="Q145" i="28" s="1"/>
  <c r="R143" i="18"/>
  <c r="P145" i="28" s="1"/>
  <c r="D158" i="18"/>
  <c r="R141" i="18"/>
  <c r="S141" i="18"/>
  <c r="D156" i="18"/>
  <c r="P143" i="28" l="1"/>
  <c r="Q143" i="28"/>
  <c r="B160" i="28"/>
  <c r="B159" i="28"/>
  <c r="B158" i="28"/>
  <c r="D171" i="18"/>
  <c r="R156" i="18"/>
  <c r="S156" i="18"/>
  <c r="R158" i="18"/>
  <c r="P160" i="28" s="1"/>
  <c r="S158" i="18"/>
  <c r="Q160" i="28" s="1"/>
  <c r="R157" i="18"/>
  <c r="P159" i="28" s="1"/>
  <c r="S157" i="18"/>
  <c r="Q159" i="28" s="1"/>
  <c r="Q158" i="28" l="1"/>
  <c r="P158" i="28"/>
  <c r="B173" i="28"/>
  <c r="D186" i="18"/>
  <c r="R171" i="18"/>
  <c r="P173" i="28" s="1"/>
  <c r="S171" i="18"/>
  <c r="Q173" i="28" s="1"/>
  <c r="B188" i="28" l="1"/>
  <c r="D201" i="18"/>
  <c r="R186" i="18"/>
  <c r="P188" i="28" s="1"/>
  <c r="S186" i="18"/>
  <c r="Q188" i="28" s="1"/>
  <c r="B203" i="28" l="1"/>
  <c r="S201" i="18"/>
  <c r="Q203" i="28" s="1"/>
  <c r="R201" i="18"/>
  <c r="P203" i="28" s="1"/>
  <c r="D216" i="18"/>
  <c r="B218" i="28" l="1"/>
  <c r="D231" i="18"/>
  <c r="R216" i="18"/>
  <c r="P218" i="28" s="1"/>
  <c r="S216" i="18"/>
  <c r="Q218" i="28" l="1"/>
  <c r="B233" i="28"/>
  <c r="R231" i="18"/>
  <c r="P233" i="28" s="1"/>
  <c r="S231" i="18"/>
  <c r="Q233" i="28" s="1"/>
  <c r="D246" i="18"/>
  <c r="B248" i="28" l="1"/>
  <c r="S246" i="18"/>
  <c r="R246" i="18"/>
  <c r="P248" i="28" s="1"/>
  <c r="D261" i="18"/>
  <c r="Q248" i="28" l="1"/>
  <c r="B263" i="28"/>
  <c r="S261" i="18"/>
  <c r="Q263" i="28" s="1"/>
  <c r="R261" i="18"/>
  <c r="P263" i="28" s="1"/>
  <c r="D276" i="18"/>
  <c r="B278" i="28" l="1"/>
  <c r="S276" i="18"/>
  <c r="R276" i="18"/>
  <c r="P278" i="28" s="1"/>
  <c r="D291" i="18"/>
  <c r="Q278" i="28" l="1"/>
  <c r="B293" i="28"/>
  <c r="S291" i="18"/>
  <c r="Q293" i="28" s="1"/>
  <c r="R291" i="18"/>
  <c r="P293" i="28" s="1"/>
  <c r="D306" i="18"/>
  <c r="B308" i="28" l="1"/>
  <c r="S306" i="18"/>
  <c r="R306" i="18"/>
  <c r="P308" i="28" s="1"/>
  <c r="D321" i="18"/>
  <c r="Q308" i="28" l="1"/>
  <c r="B323" i="28"/>
  <c r="R321" i="18"/>
  <c r="P323" i="28" s="1"/>
  <c r="S321" i="18"/>
  <c r="Q323" i="28" s="1"/>
  <c r="D336" i="18"/>
  <c r="B338" i="28" l="1"/>
  <c r="R336" i="18"/>
  <c r="P338" i="28" s="1"/>
  <c r="S336" i="18"/>
  <c r="D351" i="18"/>
  <c r="Q338" i="28" l="1"/>
  <c r="B353" i="28"/>
  <c r="S351" i="18"/>
  <c r="Q353" i="28" s="1"/>
  <c r="R351" i="18"/>
  <c r="P353" i="28" s="1"/>
  <c r="D366" i="18"/>
  <c r="B368" i="28" l="1"/>
  <c r="S366" i="18"/>
  <c r="Q368" i="28" s="1"/>
  <c r="R366" i="18"/>
  <c r="P368" i="28" s="1"/>
  <c r="D381" i="18"/>
  <c r="B383" i="28" l="1"/>
  <c r="R381" i="18"/>
  <c r="P383" i="28" s="1"/>
  <c r="S381" i="18"/>
  <c r="Q383" i="28" s="1"/>
  <c r="D396" i="18"/>
  <c r="B398" i="28" l="1"/>
  <c r="R396" i="18"/>
  <c r="P398" i="28" s="1"/>
  <c r="S396" i="18"/>
  <c r="Q398" i="28" s="1"/>
  <c r="D411" i="18"/>
  <c r="B413" i="28" l="1"/>
  <c r="R411" i="18"/>
  <c r="P413" i="28" s="1"/>
  <c r="S411" i="18"/>
  <c r="Q413" i="28" s="1"/>
  <c r="D426" i="18"/>
  <c r="B428" i="28" l="1"/>
  <c r="S426" i="18"/>
  <c r="Q428" i="28" s="1"/>
  <c r="R426" i="18"/>
  <c r="P428" i="28" s="1"/>
  <c r="D441" i="18"/>
  <c r="B443" i="28" l="1"/>
  <c r="D456" i="18"/>
  <c r="R441" i="18"/>
  <c r="P443" i="28" s="1"/>
  <c r="S441" i="18"/>
  <c r="Q443" i="28" s="1"/>
  <c r="B458" i="28" l="1"/>
  <c r="S456" i="18"/>
  <c r="Q458" i="28" s="1"/>
  <c r="R456" i="18"/>
  <c r="P458" i="28" s="1"/>
  <c r="D471" i="18"/>
  <c r="B473" i="28" l="1"/>
  <c r="R471" i="18"/>
  <c r="P473" i="28" s="1"/>
  <c r="S471" i="18"/>
  <c r="Q473" i="28" s="1"/>
  <c r="D486" i="18"/>
  <c r="B488" i="28" l="1"/>
  <c r="S486" i="18"/>
  <c r="Q488" i="28" s="1"/>
  <c r="R486" i="18"/>
  <c r="P488" i="28" s="1"/>
  <c r="D501" i="18"/>
  <c r="B503" i="28" l="1"/>
  <c r="R501" i="18"/>
  <c r="P503" i="28" s="1"/>
  <c r="S501" i="18"/>
  <c r="Q503" i="28" s="1"/>
  <c r="D516" i="18"/>
  <c r="B518" i="28" l="1"/>
  <c r="R516" i="18"/>
  <c r="P518" i="28" s="1"/>
  <c r="S516" i="18"/>
  <c r="Q518" i="28" s="1"/>
  <c r="D531" i="18"/>
  <c r="B533" i="28" l="1"/>
  <c r="S531" i="18"/>
  <c r="Q533" i="28" s="1"/>
  <c r="R531" i="18"/>
  <c r="P533" i="28" s="1"/>
  <c r="D546" i="18"/>
  <c r="B548" i="28" l="1"/>
  <c r="R546" i="18"/>
  <c r="P548" i="28" s="1"/>
  <c r="S546" i="18"/>
  <c r="Q548" i="28" s="1"/>
  <c r="D561" i="18"/>
  <c r="B563" i="28" l="1"/>
  <c r="S561" i="18"/>
  <c r="Q563" i="28" s="1"/>
  <c r="R561" i="18"/>
  <c r="P563" i="28" s="1"/>
  <c r="D576" i="18"/>
  <c r="B578" i="28" l="1"/>
  <c r="R576" i="18"/>
  <c r="P578" i="28" s="1"/>
  <c r="S576" i="18"/>
  <c r="Q578" i="28" s="1"/>
  <c r="D591" i="18"/>
  <c r="B593" i="28" l="1"/>
  <c r="R591" i="18"/>
  <c r="P593" i="28" s="1"/>
  <c r="S591" i="18"/>
  <c r="Q593" i="28" s="1"/>
  <c r="D606" i="18"/>
  <c r="B608" i="28" l="1"/>
  <c r="R606" i="18"/>
  <c r="P608" i="28" s="1"/>
  <c r="S606" i="18"/>
  <c r="Q608" i="28" s="1"/>
  <c r="D621" i="18"/>
  <c r="B623" i="28" l="1"/>
  <c r="R621" i="18"/>
  <c r="P623" i="28" s="1"/>
  <c r="S621" i="18"/>
  <c r="Q623" i="28" s="1"/>
  <c r="D636" i="18"/>
  <c r="B638" i="28" l="1"/>
  <c r="S636" i="18"/>
  <c r="Q638" i="28" s="1"/>
  <c r="R636" i="18"/>
  <c r="P638" i="28" s="1"/>
  <c r="D651" i="18"/>
  <c r="B653" i="28" l="1"/>
  <c r="R651" i="18"/>
  <c r="P653" i="28" s="1"/>
  <c r="S651" i="18"/>
  <c r="Q653" i="28" s="1"/>
  <c r="D666" i="18"/>
  <c r="B668" i="28" l="1"/>
  <c r="D681" i="18"/>
  <c r="S666" i="18"/>
  <c r="Q668" i="28" s="1"/>
  <c r="R666" i="18"/>
  <c r="P668" i="28" s="1"/>
  <c r="B683" i="28" l="1"/>
  <c r="D91" i="18"/>
  <c r="S681" i="18"/>
  <c r="Q683" i="28" s="1"/>
  <c r="R681" i="18"/>
  <c r="P683" i="28" s="1"/>
  <c r="D696" i="18"/>
  <c r="B698" i="28" l="1"/>
  <c r="B93" i="28"/>
  <c r="R696" i="18"/>
  <c r="P698" i="28" s="1"/>
  <c r="S696" i="18"/>
  <c r="Q698" i="28" s="1"/>
  <c r="D711" i="18"/>
  <c r="D114" i="18"/>
  <c r="D106" i="18"/>
  <c r="S91" i="18"/>
  <c r="Q93" i="28" s="1"/>
  <c r="R91" i="18"/>
  <c r="P93" i="28" s="1"/>
  <c r="B713" i="28" l="1"/>
  <c r="B108" i="28"/>
  <c r="B116" i="28"/>
  <c r="D121" i="18"/>
  <c r="S106" i="18"/>
  <c r="Q108" i="28" s="1"/>
  <c r="R106" i="18"/>
  <c r="P108" i="28" s="1"/>
  <c r="D133" i="18"/>
  <c r="D129" i="18"/>
  <c r="S114" i="18"/>
  <c r="R114" i="18"/>
  <c r="S711" i="18"/>
  <c r="Q713" i="28" s="1"/>
  <c r="R711" i="18"/>
  <c r="P713" i="28" s="1"/>
  <c r="D726" i="18"/>
  <c r="P116" i="28" l="1"/>
  <c r="Q116" i="28"/>
  <c r="B728" i="28"/>
  <c r="B131" i="28"/>
  <c r="B135" i="28"/>
  <c r="B123" i="28"/>
  <c r="S726" i="18"/>
  <c r="Q728" i="28" s="1"/>
  <c r="R726" i="18"/>
  <c r="P728" i="28" s="1"/>
  <c r="D741" i="18"/>
  <c r="D144" i="18"/>
  <c r="S129" i="18"/>
  <c r="R129" i="18"/>
  <c r="D148" i="18"/>
  <c r="S133" i="18"/>
  <c r="Q135" i="28" s="1"/>
  <c r="R133" i="18"/>
  <c r="P135" i="28" s="1"/>
  <c r="D136" i="18"/>
  <c r="R121" i="18"/>
  <c r="P123" i="28" s="1"/>
  <c r="S121" i="18"/>
  <c r="Q123" i="28" s="1"/>
  <c r="P131" i="28" l="1"/>
  <c r="Q131" i="28"/>
  <c r="B743" i="28"/>
  <c r="B138" i="28"/>
  <c r="B150" i="28"/>
  <c r="B146" i="28"/>
  <c r="D151" i="18"/>
  <c r="S136" i="18"/>
  <c r="Q138" i="28" s="1"/>
  <c r="R136" i="18"/>
  <c r="P138" i="28" s="1"/>
  <c r="D159" i="18"/>
  <c r="R144" i="18"/>
  <c r="S144" i="18"/>
  <c r="S741" i="18"/>
  <c r="Q743" i="28" s="1"/>
  <c r="R741" i="18"/>
  <c r="P743" i="28" s="1"/>
  <c r="D756" i="18"/>
  <c r="D163" i="18"/>
  <c r="S148" i="18"/>
  <c r="Q150" i="28" s="1"/>
  <c r="R148" i="18"/>
  <c r="P150" i="28" s="1"/>
  <c r="P146" i="28" l="1"/>
  <c r="Q146" i="28"/>
  <c r="B165" i="28"/>
  <c r="B758" i="28"/>
  <c r="B153" i="28"/>
  <c r="B161" i="28"/>
  <c r="D178" i="18"/>
  <c r="S163" i="18"/>
  <c r="Q165" i="28" s="1"/>
  <c r="R163" i="18"/>
  <c r="P165" i="28" s="1"/>
  <c r="D771" i="18"/>
  <c r="S756" i="18"/>
  <c r="Q758" i="28" s="1"/>
  <c r="R756" i="18"/>
  <c r="P758" i="28" s="1"/>
  <c r="D174" i="18"/>
  <c r="S159" i="18"/>
  <c r="R159" i="18"/>
  <c r="D166" i="18"/>
  <c r="S151" i="18"/>
  <c r="Q153" i="28" s="1"/>
  <c r="R151" i="18"/>
  <c r="P153" i="28" s="1"/>
  <c r="Q161" i="28" l="1"/>
  <c r="P161" i="28"/>
  <c r="B773" i="28"/>
  <c r="B168" i="28"/>
  <c r="B180" i="28"/>
  <c r="B176" i="28"/>
  <c r="D181" i="18"/>
  <c r="R166" i="18"/>
  <c r="P168" i="28" s="1"/>
  <c r="S166" i="18"/>
  <c r="Q168" i="28" s="1"/>
  <c r="R771" i="18"/>
  <c r="P773" i="28" s="1"/>
  <c r="S771" i="18"/>
  <c r="Q773" i="28" s="1"/>
  <c r="D786" i="18"/>
  <c r="D189" i="18"/>
  <c r="R174" i="18"/>
  <c r="P176" i="28" s="1"/>
  <c r="S174" i="18"/>
  <c r="Q176" i="28" s="1"/>
  <c r="D193" i="18"/>
  <c r="S178" i="18"/>
  <c r="Q180" i="28" s="1"/>
  <c r="R178" i="18"/>
  <c r="P180" i="28" s="1"/>
  <c r="B195" i="28" l="1"/>
  <c r="B183" i="28"/>
  <c r="B788" i="28"/>
  <c r="B191" i="28"/>
  <c r="D208" i="18"/>
  <c r="R193" i="18"/>
  <c r="P195" i="28" s="1"/>
  <c r="S193" i="18"/>
  <c r="Q195" i="28" s="1"/>
  <c r="D204" i="18"/>
  <c r="S189" i="18"/>
  <c r="Q191" i="28" s="1"/>
  <c r="R189" i="18"/>
  <c r="P191" i="28" s="1"/>
  <c r="S786" i="18"/>
  <c r="Q788" i="28" s="1"/>
  <c r="R786" i="18"/>
  <c r="P788" i="28" s="1"/>
  <c r="D801" i="18"/>
  <c r="D196" i="18"/>
  <c r="R181" i="18"/>
  <c r="P183" i="28" s="1"/>
  <c r="S181" i="18"/>
  <c r="Q183" i="28" s="1"/>
  <c r="B198" i="28" l="1"/>
  <c r="B803" i="28"/>
  <c r="B210" i="28"/>
  <c r="B206" i="28"/>
  <c r="D211" i="18"/>
  <c r="R196" i="18"/>
  <c r="P198" i="28" s="1"/>
  <c r="S196" i="18"/>
  <c r="Q198" i="28" s="1"/>
  <c r="S801" i="18"/>
  <c r="Q803" i="28" s="1"/>
  <c r="R801" i="18"/>
  <c r="P803" i="28" s="1"/>
  <c r="D816" i="18"/>
  <c r="D219" i="18"/>
  <c r="R204" i="18"/>
  <c r="P206" i="28" s="1"/>
  <c r="S204" i="18"/>
  <c r="Q206" i="28" s="1"/>
  <c r="D223" i="18"/>
  <c r="S208" i="18"/>
  <c r="Q210" i="28" s="1"/>
  <c r="R208" i="18"/>
  <c r="P210" i="28" s="1"/>
  <c r="B221" i="28" l="1"/>
  <c r="B818" i="28"/>
  <c r="B213" i="28"/>
  <c r="B225" i="28"/>
  <c r="D238" i="18"/>
  <c r="S223" i="18"/>
  <c r="R223" i="18"/>
  <c r="P225" i="28" s="1"/>
  <c r="D234" i="18"/>
  <c r="R219" i="18"/>
  <c r="P221" i="28" s="1"/>
  <c r="S219" i="18"/>
  <c r="D831" i="18"/>
  <c r="R816" i="18"/>
  <c r="P818" i="28" s="1"/>
  <c r="S816" i="18"/>
  <c r="Q818" i="28" s="1"/>
  <c r="D226" i="18"/>
  <c r="S211" i="18"/>
  <c r="Q213" i="28" s="1"/>
  <c r="R211" i="18"/>
  <c r="P213" i="28" s="1"/>
  <c r="Q225" i="28" l="1"/>
  <c r="Q221" i="28"/>
  <c r="B833" i="28"/>
  <c r="B236" i="28"/>
  <c r="B228" i="28"/>
  <c r="B240" i="28"/>
  <c r="D241" i="18"/>
  <c r="R226" i="18"/>
  <c r="P228" i="28" s="1"/>
  <c r="S226" i="18"/>
  <c r="Q228" i="28" s="1"/>
  <c r="D249" i="18"/>
  <c r="S234" i="18"/>
  <c r="Q236" i="28" s="1"/>
  <c r="R234" i="18"/>
  <c r="P236" i="28" s="1"/>
  <c r="R831" i="18"/>
  <c r="P833" i="28" s="1"/>
  <c r="S831" i="18"/>
  <c r="Q833" i="28" s="1"/>
  <c r="D846" i="18"/>
  <c r="D253" i="18"/>
  <c r="S238" i="18"/>
  <c r="Q240" i="28" s="1"/>
  <c r="R238" i="18"/>
  <c r="P240" i="28" s="1"/>
  <c r="B255" i="28" l="1"/>
  <c r="B848" i="28"/>
  <c r="B243" i="28"/>
  <c r="B251" i="28"/>
  <c r="D268" i="18"/>
  <c r="R253" i="18"/>
  <c r="P255" i="28" s="1"/>
  <c r="S253" i="18"/>
  <c r="Q255" i="28" s="1"/>
  <c r="D264" i="18"/>
  <c r="S249" i="18"/>
  <c r="R249" i="18"/>
  <c r="P251" i="28" s="1"/>
  <c r="D172" i="18"/>
  <c r="D861" i="18"/>
  <c r="S846" i="18"/>
  <c r="Q848" i="28" s="1"/>
  <c r="R846" i="18"/>
  <c r="P848" i="28" s="1"/>
  <c r="D256" i="18"/>
  <c r="S241" i="18"/>
  <c r="Q243" i="28" s="1"/>
  <c r="R241" i="18"/>
  <c r="P243" i="28" s="1"/>
  <c r="Q251" i="28" l="1"/>
  <c r="B270" i="28"/>
  <c r="B863" i="28"/>
  <c r="B266" i="28"/>
  <c r="B258" i="28"/>
  <c r="B174" i="28"/>
  <c r="S256" i="18"/>
  <c r="Q258" i="28" s="1"/>
  <c r="R256" i="18"/>
  <c r="P258" i="28" s="1"/>
  <c r="D271" i="18"/>
  <c r="D279" i="18"/>
  <c r="R264" i="18"/>
  <c r="P266" i="28" s="1"/>
  <c r="S264" i="18"/>
  <c r="Q266" i="28" s="1"/>
  <c r="D876" i="18"/>
  <c r="S861" i="18"/>
  <c r="Q863" i="28" s="1"/>
  <c r="R861" i="18"/>
  <c r="P863" i="28" s="1"/>
  <c r="D187" i="18"/>
  <c r="R172" i="18"/>
  <c r="P174" i="28" s="1"/>
  <c r="S172" i="18"/>
  <c r="Q174" i="28" s="1"/>
  <c r="D283" i="18"/>
  <c r="S268" i="18"/>
  <c r="Q270" i="28" s="1"/>
  <c r="R268" i="18"/>
  <c r="P270" i="28" s="1"/>
  <c r="B878" i="28" l="1"/>
  <c r="AC861" i="18"/>
  <c r="B285" i="28"/>
  <c r="B281" i="28"/>
  <c r="B273" i="28"/>
  <c r="B189" i="28"/>
  <c r="AL846" i="18"/>
  <c r="D202" i="18"/>
  <c r="R187" i="18"/>
  <c r="P189" i="28" s="1"/>
  <c r="S187" i="18"/>
  <c r="Q189" i="28" s="1"/>
  <c r="D298" i="18"/>
  <c r="S283" i="18"/>
  <c r="Q285" i="28" s="1"/>
  <c r="R283" i="18"/>
  <c r="P285" i="28" s="1"/>
  <c r="S279" i="18"/>
  <c r="R279" i="18"/>
  <c r="P281" i="28" s="1"/>
  <c r="D294" i="18"/>
  <c r="S876" i="18"/>
  <c r="Q878" i="28" s="1"/>
  <c r="R876" i="18"/>
  <c r="P878" i="28" s="1"/>
  <c r="D891" i="18"/>
  <c r="D286" i="18"/>
  <c r="R271" i="18"/>
  <c r="P273" i="28" s="1"/>
  <c r="S271" i="18"/>
  <c r="Q273" i="28" s="1"/>
  <c r="Q281" i="28" l="1"/>
  <c r="B893" i="28"/>
  <c r="AL876" i="18"/>
  <c r="AC891" i="18"/>
  <c r="AL891" i="18"/>
  <c r="AC876" i="18"/>
  <c r="AL786" i="18"/>
  <c r="AC831" i="18"/>
  <c r="AL831" i="18"/>
  <c r="B300" i="28"/>
  <c r="AC816" i="18"/>
  <c r="AL861" i="18"/>
  <c r="AC846" i="18"/>
  <c r="B296" i="28"/>
  <c r="AL801" i="18"/>
  <c r="B288" i="28"/>
  <c r="AL816" i="18"/>
  <c r="B204" i="28"/>
  <c r="D309" i="18"/>
  <c r="R294" i="18"/>
  <c r="P296" i="28" s="1"/>
  <c r="S294" i="18"/>
  <c r="Q296" i="28" s="1"/>
  <c r="R298" i="18"/>
  <c r="P300" i="28" s="1"/>
  <c r="S298" i="18"/>
  <c r="Q300" i="28" s="1"/>
  <c r="D313" i="18"/>
  <c r="D301" i="18"/>
  <c r="R286" i="18"/>
  <c r="P288" i="28" s="1"/>
  <c r="S286" i="18"/>
  <c r="Q288" i="28" s="1"/>
  <c r="R891" i="18"/>
  <c r="P893" i="28" s="1"/>
  <c r="S891" i="18"/>
  <c r="Q893" i="28" s="1"/>
  <c r="S202" i="18"/>
  <c r="Q204" i="28" s="1"/>
  <c r="R202" i="18"/>
  <c r="P204" i="28" s="1"/>
  <c r="D217" i="18"/>
  <c r="B311" i="28" l="1"/>
  <c r="B315" i="28"/>
  <c r="B303" i="28"/>
  <c r="B219" i="28"/>
  <c r="D232" i="18"/>
  <c r="R217" i="18"/>
  <c r="P219" i="28" s="1"/>
  <c r="S217" i="18"/>
  <c r="D328" i="18"/>
  <c r="R313" i="18"/>
  <c r="P315" i="28" s="1"/>
  <c r="S313" i="18"/>
  <c r="Q315" i="28" s="1"/>
  <c r="D324" i="18"/>
  <c r="R309" i="18"/>
  <c r="P311" i="28" s="1"/>
  <c r="S309" i="18"/>
  <c r="Q311" i="28" s="1"/>
  <c r="D316" i="18"/>
  <c r="R301" i="18"/>
  <c r="P303" i="28" s="1"/>
  <c r="S301" i="18"/>
  <c r="Q303" i="28" s="1"/>
  <c r="Q219" i="28" l="1"/>
  <c r="B318" i="28"/>
  <c r="B234" i="28"/>
  <c r="B326" i="28"/>
  <c r="B330" i="28"/>
  <c r="D343" i="18"/>
  <c r="R328" i="18"/>
  <c r="P330" i="28" s="1"/>
  <c r="S328" i="18"/>
  <c r="Q330" i="28" s="1"/>
  <c r="D339" i="18"/>
  <c r="S324" i="18"/>
  <c r="Q326" i="28" s="1"/>
  <c r="R324" i="18"/>
  <c r="P326" i="28" s="1"/>
  <c r="D331" i="18"/>
  <c r="S316" i="18"/>
  <c r="Q318" i="28" s="1"/>
  <c r="R316" i="18"/>
  <c r="P318" i="28" s="1"/>
  <c r="S232" i="18"/>
  <c r="Q234" i="28" s="1"/>
  <c r="R232" i="18"/>
  <c r="P234" i="28" s="1"/>
  <c r="D247" i="18"/>
  <c r="B345" i="28" l="1"/>
  <c r="B333" i="28"/>
  <c r="B249" i="28"/>
  <c r="B341" i="28"/>
  <c r="D354" i="18"/>
  <c r="S339" i="18"/>
  <c r="Q341" i="28" s="1"/>
  <c r="R339" i="18"/>
  <c r="P341" i="28" s="1"/>
  <c r="S247" i="18"/>
  <c r="R247" i="18"/>
  <c r="P249" i="28" s="1"/>
  <c r="D262" i="18"/>
  <c r="D346" i="18"/>
  <c r="R331" i="18"/>
  <c r="P333" i="28" s="1"/>
  <c r="S331" i="18"/>
  <c r="Q333" i="28" s="1"/>
  <c r="D358" i="18"/>
  <c r="R343" i="18"/>
  <c r="P345" i="28" s="1"/>
  <c r="S343" i="18"/>
  <c r="Q345" i="28" s="1"/>
  <c r="Q249" i="28" l="1"/>
  <c r="B264" i="28"/>
  <c r="B360" i="28"/>
  <c r="B356" i="28"/>
  <c r="B348" i="28"/>
  <c r="D361" i="18"/>
  <c r="R346" i="18"/>
  <c r="P348" i="28" s="1"/>
  <c r="S346" i="18"/>
  <c r="Q348" i="28" s="1"/>
  <c r="D373" i="18"/>
  <c r="R358" i="18"/>
  <c r="P360" i="28" s="1"/>
  <c r="S358" i="18"/>
  <c r="Q360" i="28" s="1"/>
  <c r="S262" i="18"/>
  <c r="Q264" i="28" s="1"/>
  <c r="R262" i="18"/>
  <c r="P264" i="28" s="1"/>
  <c r="D277" i="18"/>
  <c r="D369" i="18"/>
  <c r="R354" i="18"/>
  <c r="P356" i="28" s="1"/>
  <c r="S354" i="18"/>
  <c r="Q356" i="28" s="1"/>
  <c r="B279" i="28" l="1"/>
  <c r="B375" i="28"/>
  <c r="B371" i="28"/>
  <c r="B363" i="28"/>
  <c r="D384" i="18"/>
  <c r="R369" i="18"/>
  <c r="P371" i="28" s="1"/>
  <c r="S369" i="18"/>
  <c r="Q371" i="28" s="1"/>
  <c r="S277" i="18"/>
  <c r="Q279" i="28" s="1"/>
  <c r="R277" i="18"/>
  <c r="P279" i="28" s="1"/>
  <c r="D292" i="18"/>
  <c r="D388" i="18"/>
  <c r="R373" i="18"/>
  <c r="P375" i="28" s="1"/>
  <c r="S373" i="18"/>
  <c r="Q375" i="28" s="1"/>
  <c r="D376" i="18"/>
  <c r="S361" i="18"/>
  <c r="Q363" i="28" s="1"/>
  <c r="R361" i="18"/>
  <c r="P363" i="28" s="1"/>
  <c r="B378" i="28" l="1"/>
  <c r="B386" i="28"/>
  <c r="B390" i="28"/>
  <c r="B294" i="28"/>
  <c r="D403" i="18"/>
  <c r="R388" i="18"/>
  <c r="P390" i="28" s="1"/>
  <c r="S388" i="18"/>
  <c r="Q390" i="28" s="1"/>
  <c r="D391" i="18"/>
  <c r="S376" i="18"/>
  <c r="Q378" i="28" s="1"/>
  <c r="R376" i="18"/>
  <c r="P378" i="28" s="1"/>
  <c r="R292" i="18"/>
  <c r="P294" i="28" s="1"/>
  <c r="S292" i="18"/>
  <c r="Q294" i="28" s="1"/>
  <c r="D307" i="18"/>
  <c r="D399" i="18"/>
  <c r="R384" i="18"/>
  <c r="P386" i="28" s="1"/>
  <c r="S384" i="18"/>
  <c r="Q386" i="28" s="1"/>
  <c r="B393" i="28" l="1"/>
  <c r="B401" i="28"/>
  <c r="B309" i="28"/>
  <c r="B405" i="28"/>
  <c r="D414" i="18"/>
  <c r="R399" i="18"/>
  <c r="P401" i="28" s="1"/>
  <c r="S399" i="18"/>
  <c r="Q401" i="28" s="1"/>
  <c r="R307" i="18"/>
  <c r="P309" i="28" s="1"/>
  <c r="S307" i="18"/>
  <c r="Q309" i="28" s="1"/>
  <c r="D322" i="18"/>
  <c r="D406" i="18"/>
  <c r="S391" i="18"/>
  <c r="Q393" i="28" s="1"/>
  <c r="R391" i="18"/>
  <c r="P393" i="28" s="1"/>
  <c r="D418" i="18"/>
  <c r="R403" i="18"/>
  <c r="P405" i="28" s="1"/>
  <c r="S403" i="18"/>
  <c r="Q405" i="28" s="1"/>
  <c r="B420" i="28" l="1"/>
  <c r="B416" i="28"/>
  <c r="B408" i="28"/>
  <c r="B324" i="28"/>
  <c r="D433" i="18"/>
  <c r="R418" i="18"/>
  <c r="P420" i="28" s="1"/>
  <c r="S418" i="18"/>
  <c r="Q420" i="28" s="1"/>
  <c r="D421" i="18"/>
  <c r="R406" i="18"/>
  <c r="P408" i="28" s="1"/>
  <c r="S406" i="18"/>
  <c r="Q408" i="28" s="1"/>
  <c r="S322" i="18"/>
  <c r="Q324" i="28" s="1"/>
  <c r="R322" i="18"/>
  <c r="P324" i="28" s="1"/>
  <c r="D337" i="18"/>
  <c r="D429" i="18"/>
  <c r="S414" i="18"/>
  <c r="Q416" i="28" s="1"/>
  <c r="R414" i="18"/>
  <c r="P416" i="28" s="1"/>
  <c r="B423" i="28" l="1"/>
  <c r="B431" i="28"/>
  <c r="B339" i="28"/>
  <c r="B435" i="28"/>
  <c r="D444" i="18"/>
  <c r="R429" i="18"/>
  <c r="P431" i="28" s="1"/>
  <c r="S429" i="18"/>
  <c r="Q431" i="28" s="1"/>
  <c r="S337" i="18"/>
  <c r="Q339" i="28" s="1"/>
  <c r="R337" i="18"/>
  <c r="P339" i="28" s="1"/>
  <c r="D352" i="18"/>
  <c r="D436" i="18"/>
  <c r="R421" i="18"/>
  <c r="P423" i="28" s="1"/>
  <c r="S421" i="18"/>
  <c r="Q423" i="28" s="1"/>
  <c r="D448" i="18"/>
  <c r="R433" i="18"/>
  <c r="P435" i="28" s="1"/>
  <c r="S433" i="18"/>
  <c r="Q435" i="28" s="1"/>
  <c r="B450" i="28" l="1"/>
  <c r="B438" i="28"/>
  <c r="B446" i="28"/>
  <c r="B354" i="28"/>
  <c r="D463" i="18"/>
  <c r="R448" i="18"/>
  <c r="P450" i="28" s="1"/>
  <c r="S448" i="18"/>
  <c r="Q450" i="28" s="1"/>
  <c r="D451" i="18"/>
  <c r="R436" i="18"/>
  <c r="P438" i="28" s="1"/>
  <c r="S436" i="18"/>
  <c r="Q438" i="28" s="1"/>
  <c r="R352" i="18"/>
  <c r="P354" i="28" s="1"/>
  <c r="S352" i="18"/>
  <c r="Q354" i="28" s="1"/>
  <c r="D367" i="18"/>
  <c r="D459" i="18"/>
  <c r="R444" i="18"/>
  <c r="P446" i="28" s="1"/>
  <c r="S444" i="18"/>
  <c r="Q446" i="28" s="1"/>
  <c r="B453" i="28" l="1"/>
  <c r="B461" i="28"/>
  <c r="B369" i="28"/>
  <c r="B465" i="28"/>
  <c r="D474" i="18"/>
  <c r="S459" i="18"/>
  <c r="Q461" i="28" s="1"/>
  <c r="R459" i="18"/>
  <c r="P461" i="28" s="1"/>
  <c r="R367" i="18"/>
  <c r="P369" i="28" s="1"/>
  <c r="S367" i="18"/>
  <c r="Q369" i="28" s="1"/>
  <c r="D382" i="18"/>
  <c r="D466" i="18"/>
  <c r="R451" i="18"/>
  <c r="P453" i="28" s="1"/>
  <c r="S451" i="18"/>
  <c r="Q453" i="28" s="1"/>
  <c r="D478" i="18"/>
  <c r="S463" i="18"/>
  <c r="Q465" i="28" s="1"/>
  <c r="R463" i="18"/>
  <c r="P465" i="28" s="1"/>
  <c r="B476" i="28" l="1"/>
  <c r="B480" i="28"/>
  <c r="B468" i="28"/>
  <c r="B384" i="28"/>
  <c r="D493" i="18"/>
  <c r="R478" i="18"/>
  <c r="P480" i="28" s="1"/>
  <c r="S478" i="18"/>
  <c r="Q480" i="28" s="1"/>
  <c r="D481" i="18"/>
  <c r="S466" i="18"/>
  <c r="Q468" i="28" s="1"/>
  <c r="R466" i="18"/>
  <c r="P468" i="28" s="1"/>
  <c r="R382" i="18"/>
  <c r="P384" i="28" s="1"/>
  <c r="S382" i="18"/>
  <c r="Q384" i="28" s="1"/>
  <c r="D397" i="18"/>
  <c r="D489" i="18"/>
  <c r="R474" i="18"/>
  <c r="P476" i="28" s="1"/>
  <c r="S474" i="18"/>
  <c r="Q476" i="28" s="1"/>
  <c r="B483" i="28" l="1"/>
  <c r="B491" i="28"/>
  <c r="B399" i="28"/>
  <c r="B495" i="28"/>
  <c r="D504" i="18"/>
  <c r="R489" i="18"/>
  <c r="P491" i="28" s="1"/>
  <c r="S489" i="18"/>
  <c r="Q491" i="28" s="1"/>
  <c r="R481" i="18"/>
  <c r="P483" i="28" s="1"/>
  <c r="S481" i="18"/>
  <c r="Q483" i="28" s="1"/>
  <c r="D496" i="18"/>
  <c r="S397" i="18"/>
  <c r="Q399" i="28" s="1"/>
  <c r="R397" i="18"/>
  <c r="P399" i="28" s="1"/>
  <c r="D412" i="18"/>
  <c r="D508" i="18"/>
  <c r="R493" i="18"/>
  <c r="P495" i="28" s="1"/>
  <c r="S493" i="18"/>
  <c r="Q495" i="28" s="1"/>
  <c r="B498" i="28" l="1"/>
  <c r="B414" i="28"/>
  <c r="B506" i="28"/>
  <c r="B510" i="28"/>
  <c r="D523" i="18"/>
  <c r="S508" i="18"/>
  <c r="Q510" i="28" s="1"/>
  <c r="R508" i="18"/>
  <c r="P510" i="28" s="1"/>
  <c r="D511" i="18"/>
  <c r="R496" i="18"/>
  <c r="P498" i="28" s="1"/>
  <c r="S496" i="18"/>
  <c r="Q498" i="28" s="1"/>
  <c r="S504" i="18"/>
  <c r="Q506" i="28" s="1"/>
  <c r="R504" i="18"/>
  <c r="P506" i="28" s="1"/>
  <c r="D519" i="18"/>
  <c r="S412" i="18"/>
  <c r="Q414" i="28" s="1"/>
  <c r="R412" i="18"/>
  <c r="P414" i="28" s="1"/>
  <c r="D427" i="18"/>
  <c r="B513" i="28" l="1"/>
  <c r="B521" i="28"/>
  <c r="B525" i="28"/>
  <c r="B429" i="28"/>
  <c r="D534" i="18"/>
  <c r="R519" i="18"/>
  <c r="P521" i="28" s="1"/>
  <c r="S519" i="18"/>
  <c r="Q521" i="28" s="1"/>
  <c r="D526" i="18"/>
  <c r="S511" i="18"/>
  <c r="Q513" i="28" s="1"/>
  <c r="R511" i="18"/>
  <c r="P513" i="28" s="1"/>
  <c r="S427" i="18"/>
  <c r="Q429" i="28" s="1"/>
  <c r="R427" i="18"/>
  <c r="P429" i="28" s="1"/>
  <c r="D442" i="18"/>
  <c r="S523" i="18"/>
  <c r="Q525" i="28" s="1"/>
  <c r="R523" i="18"/>
  <c r="P525" i="28" s="1"/>
  <c r="D538" i="18"/>
  <c r="B540" i="28" l="1"/>
  <c r="B528" i="28"/>
  <c r="B444" i="28"/>
  <c r="B536" i="28"/>
  <c r="D457" i="18"/>
  <c r="S442" i="18"/>
  <c r="Q444" i="28" s="1"/>
  <c r="R442" i="18"/>
  <c r="P444" i="28" s="1"/>
  <c r="D541" i="18"/>
  <c r="S526" i="18"/>
  <c r="Q528" i="28" s="1"/>
  <c r="R526" i="18"/>
  <c r="P528" i="28" s="1"/>
  <c r="D553" i="18"/>
  <c r="S538" i="18"/>
  <c r="Q540" i="28" s="1"/>
  <c r="R538" i="18"/>
  <c r="P540" i="28" s="1"/>
  <c r="D549" i="18"/>
  <c r="S534" i="18"/>
  <c r="Q536" i="28" s="1"/>
  <c r="R534" i="18"/>
  <c r="P536" i="28" s="1"/>
  <c r="B543" i="28" l="1"/>
  <c r="B551" i="28"/>
  <c r="B459" i="28"/>
  <c r="B555" i="28"/>
  <c r="D568" i="18"/>
  <c r="S553" i="18"/>
  <c r="Q555" i="28" s="1"/>
  <c r="R553" i="18"/>
  <c r="P555" i="28" s="1"/>
  <c r="D564" i="18"/>
  <c r="R549" i="18"/>
  <c r="P551" i="28" s="1"/>
  <c r="S549" i="18"/>
  <c r="Q551" i="28" s="1"/>
  <c r="D556" i="18"/>
  <c r="S541" i="18"/>
  <c r="Q543" i="28" s="1"/>
  <c r="R541" i="18"/>
  <c r="P543" i="28" s="1"/>
  <c r="S457" i="18"/>
  <c r="Q459" i="28" s="1"/>
  <c r="R457" i="18"/>
  <c r="P459" i="28" s="1"/>
  <c r="D472" i="18"/>
  <c r="B558" i="28" l="1"/>
  <c r="B474" i="28"/>
  <c r="B566" i="28"/>
  <c r="B570" i="28"/>
  <c r="D579" i="18"/>
  <c r="R564" i="18"/>
  <c r="P566" i="28" s="1"/>
  <c r="S564" i="18"/>
  <c r="Q566" i="28" s="1"/>
  <c r="S472" i="18"/>
  <c r="Q474" i="28" s="1"/>
  <c r="R472" i="18"/>
  <c r="P474" i="28" s="1"/>
  <c r="D487" i="18"/>
  <c r="D571" i="18"/>
  <c r="S556" i="18"/>
  <c r="Q558" i="28" s="1"/>
  <c r="R556" i="18"/>
  <c r="P558" i="28" s="1"/>
  <c r="D583" i="18"/>
  <c r="R568" i="18"/>
  <c r="P570" i="28" s="1"/>
  <c r="S568" i="18"/>
  <c r="Q570" i="28" s="1"/>
  <c r="B489" i="28" l="1"/>
  <c r="B585" i="28"/>
  <c r="B581" i="28"/>
  <c r="B573" i="28"/>
  <c r="D598" i="18"/>
  <c r="R583" i="18"/>
  <c r="P585" i="28" s="1"/>
  <c r="S583" i="18"/>
  <c r="Q585" i="28" s="1"/>
  <c r="D586" i="18"/>
  <c r="R571" i="18"/>
  <c r="P573" i="28" s="1"/>
  <c r="S571" i="18"/>
  <c r="Q573" i="28" s="1"/>
  <c r="R487" i="18"/>
  <c r="P489" i="28" s="1"/>
  <c r="S487" i="18"/>
  <c r="Q489" i="28" s="1"/>
  <c r="D502" i="18"/>
  <c r="D594" i="18"/>
  <c r="R579" i="18"/>
  <c r="P581" i="28" s="1"/>
  <c r="S579" i="18"/>
  <c r="Q581" i="28" s="1"/>
  <c r="B588" i="28" l="1"/>
  <c r="B596" i="28"/>
  <c r="B504" i="28"/>
  <c r="B600" i="28"/>
  <c r="D609" i="18"/>
  <c r="S594" i="18"/>
  <c r="Q596" i="28" s="1"/>
  <c r="R594" i="18"/>
  <c r="P596" i="28" s="1"/>
  <c r="R502" i="18"/>
  <c r="P504" i="28" s="1"/>
  <c r="S502" i="18"/>
  <c r="Q504" i="28" s="1"/>
  <c r="D517" i="18"/>
  <c r="D601" i="18"/>
  <c r="R586" i="18"/>
  <c r="P588" i="28" s="1"/>
  <c r="S586" i="18"/>
  <c r="Q588" i="28" s="1"/>
  <c r="D613" i="18"/>
  <c r="R598" i="18"/>
  <c r="P600" i="28" s="1"/>
  <c r="S598" i="18"/>
  <c r="Q600" i="28" s="1"/>
  <c r="B615" i="28" l="1"/>
  <c r="B603" i="28"/>
  <c r="B611" i="28"/>
  <c r="B519" i="28"/>
  <c r="D616" i="18"/>
  <c r="R601" i="18"/>
  <c r="P603" i="28" s="1"/>
  <c r="S601" i="18"/>
  <c r="Q603" i="28" s="1"/>
  <c r="D628" i="18"/>
  <c r="R613" i="18"/>
  <c r="P615" i="28" s="1"/>
  <c r="S613" i="18"/>
  <c r="Q615" i="28" s="1"/>
  <c r="S517" i="18"/>
  <c r="Q519" i="28" s="1"/>
  <c r="R517" i="18"/>
  <c r="P519" i="28" s="1"/>
  <c r="D532" i="18"/>
  <c r="D624" i="18"/>
  <c r="S609" i="18"/>
  <c r="Q611" i="28" s="1"/>
  <c r="R609" i="18"/>
  <c r="P611" i="28" s="1"/>
  <c r="B626" i="28" l="1"/>
  <c r="B534" i="28"/>
  <c r="B618" i="28"/>
  <c r="B630" i="28"/>
  <c r="R532" i="18"/>
  <c r="P534" i="28" s="1"/>
  <c r="S532" i="18"/>
  <c r="Q534" i="28" s="1"/>
  <c r="D547" i="18"/>
  <c r="D643" i="18"/>
  <c r="R628" i="18"/>
  <c r="P630" i="28" s="1"/>
  <c r="S628" i="18"/>
  <c r="Q630" i="28" s="1"/>
  <c r="D639" i="18"/>
  <c r="R624" i="18"/>
  <c r="P626" i="28" s="1"/>
  <c r="S624" i="18"/>
  <c r="Q626" i="28" s="1"/>
  <c r="D631" i="18"/>
  <c r="S616" i="18"/>
  <c r="Q618" i="28" s="1"/>
  <c r="R616" i="18"/>
  <c r="P618" i="28" s="1"/>
  <c r="B641" i="28" l="1"/>
  <c r="B645" i="28"/>
  <c r="B549" i="28"/>
  <c r="B633" i="28"/>
  <c r="D654" i="18"/>
  <c r="S639" i="18"/>
  <c r="Q641" i="28" s="1"/>
  <c r="R639" i="18"/>
  <c r="P641" i="28" s="1"/>
  <c r="R547" i="18"/>
  <c r="P549" i="28" s="1"/>
  <c r="S547" i="18"/>
  <c r="Q549" i="28" s="1"/>
  <c r="D562" i="18"/>
  <c r="D646" i="18"/>
  <c r="R631" i="18"/>
  <c r="P633" i="28" s="1"/>
  <c r="S631" i="18"/>
  <c r="Q633" i="28" s="1"/>
  <c r="D658" i="18"/>
  <c r="S643" i="18"/>
  <c r="Q645" i="28" s="1"/>
  <c r="R643" i="18"/>
  <c r="P645" i="28" s="1"/>
  <c r="B564" i="28" l="1"/>
  <c r="B648" i="28"/>
  <c r="B660" i="28"/>
  <c r="B656" i="28"/>
  <c r="D673" i="18"/>
  <c r="R658" i="18"/>
  <c r="P660" i="28" s="1"/>
  <c r="S658" i="18"/>
  <c r="Q660" i="28" s="1"/>
  <c r="D661" i="18"/>
  <c r="R646" i="18"/>
  <c r="P648" i="28" s="1"/>
  <c r="S646" i="18"/>
  <c r="Q648" i="28" s="1"/>
  <c r="R562" i="18"/>
  <c r="P564" i="28" s="1"/>
  <c r="S562" i="18"/>
  <c r="Q564" i="28" s="1"/>
  <c r="D577" i="18"/>
  <c r="D669" i="18"/>
  <c r="R654" i="18"/>
  <c r="P656" i="28" s="1"/>
  <c r="S654" i="18"/>
  <c r="Q656" i="28" s="1"/>
  <c r="B579" i="28" l="1"/>
  <c r="B675" i="28"/>
  <c r="B671" i="28"/>
  <c r="B663" i="28"/>
  <c r="D684" i="18"/>
  <c r="R669" i="18"/>
  <c r="P671" i="28" s="1"/>
  <c r="S669" i="18"/>
  <c r="Q671" i="28" s="1"/>
  <c r="S577" i="18"/>
  <c r="Q579" i="28" s="1"/>
  <c r="R577" i="18"/>
  <c r="P579" i="28" s="1"/>
  <c r="D592" i="18"/>
  <c r="D676" i="18"/>
  <c r="R661" i="18"/>
  <c r="P663" i="28" s="1"/>
  <c r="S661" i="18"/>
  <c r="Q663" i="28" s="1"/>
  <c r="D688" i="18"/>
  <c r="R673" i="18"/>
  <c r="P675" i="28" s="1"/>
  <c r="S673" i="18"/>
  <c r="Q675" i="28" s="1"/>
  <c r="B678" i="28" l="1"/>
  <c r="B594" i="28"/>
  <c r="B690" i="28"/>
  <c r="B686" i="28"/>
  <c r="D703" i="18"/>
  <c r="S688" i="18"/>
  <c r="Q690" i="28" s="1"/>
  <c r="R688" i="18"/>
  <c r="P690" i="28" s="1"/>
  <c r="D691" i="18"/>
  <c r="S676" i="18"/>
  <c r="Q678" i="28" s="1"/>
  <c r="R676" i="18"/>
  <c r="P678" i="28" s="1"/>
  <c r="R592" i="18"/>
  <c r="P594" i="28" s="1"/>
  <c r="S592" i="18"/>
  <c r="Q594" i="28" s="1"/>
  <c r="D607" i="18"/>
  <c r="D699" i="18"/>
  <c r="R684" i="18"/>
  <c r="P686" i="28" s="1"/>
  <c r="S684" i="18"/>
  <c r="Q686" i="28" s="1"/>
  <c r="B693" i="28" l="1"/>
  <c r="B701" i="28"/>
  <c r="B609" i="28"/>
  <c r="B705" i="28"/>
  <c r="D714" i="18"/>
  <c r="R699" i="18"/>
  <c r="P701" i="28" s="1"/>
  <c r="S699" i="18"/>
  <c r="Q701" i="28" s="1"/>
  <c r="R607" i="18"/>
  <c r="P609" i="28" s="1"/>
  <c r="S607" i="18"/>
  <c r="Q609" i="28" s="1"/>
  <c r="D622" i="18"/>
  <c r="D706" i="18"/>
  <c r="R691" i="18"/>
  <c r="P693" i="28" s="1"/>
  <c r="S691" i="18"/>
  <c r="Q693" i="28" s="1"/>
  <c r="D718" i="18"/>
  <c r="R703" i="18"/>
  <c r="P705" i="28" s="1"/>
  <c r="S703" i="18"/>
  <c r="Q705" i="28" s="1"/>
  <c r="B716" i="28" l="1"/>
  <c r="B708" i="28"/>
  <c r="B720" i="28"/>
  <c r="B624" i="28"/>
  <c r="D733" i="18"/>
  <c r="R718" i="18"/>
  <c r="P720" i="28" s="1"/>
  <c r="S718" i="18"/>
  <c r="Q720" i="28" s="1"/>
  <c r="S622" i="18"/>
  <c r="Q624" i="28" s="1"/>
  <c r="R622" i="18"/>
  <c r="P624" i="28" s="1"/>
  <c r="D637" i="18"/>
  <c r="R706" i="18"/>
  <c r="P708" i="28" s="1"/>
  <c r="S706" i="18"/>
  <c r="Q708" i="28" s="1"/>
  <c r="D721" i="18"/>
  <c r="D729" i="18"/>
  <c r="R714" i="18"/>
  <c r="P716" i="28" s="1"/>
  <c r="S714" i="18"/>
  <c r="Q716" i="28" s="1"/>
  <c r="B639" i="28" l="1"/>
  <c r="B731" i="28"/>
  <c r="B723" i="28"/>
  <c r="B735" i="28"/>
  <c r="D736" i="18"/>
  <c r="R721" i="18"/>
  <c r="P723" i="28" s="1"/>
  <c r="S721" i="18"/>
  <c r="Q723" i="28" s="1"/>
  <c r="S637" i="18"/>
  <c r="Q639" i="28" s="1"/>
  <c r="R637" i="18"/>
  <c r="P639" i="28" s="1"/>
  <c r="D652" i="18"/>
  <c r="R729" i="18"/>
  <c r="P731" i="28" s="1"/>
  <c r="S729" i="18"/>
  <c r="Q731" i="28" s="1"/>
  <c r="D744" i="18"/>
  <c r="D748" i="18"/>
  <c r="R733" i="18"/>
  <c r="P735" i="28" s="1"/>
  <c r="S733" i="18"/>
  <c r="Q735" i="28" s="1"/>
  <c r="B750" i="28" l="1"/>
  <c r="B746" i="28"/>
  <c r="B738" i="28"/>
  <c r="B654" i="28"/>
  <c r="S748" i="18"/>
  <c r="Q750" i="28" s="1"/>
  <c r="R748" i="18"/>
  <c r="P750" i="28" s="1"/>
  <c r="D763" i="18"/>
  <c r="D759" i="18"/>
  <c r="S744" i="18"/>
  <c r="Q746" i="28" s="1"/>
  <c r="R744" i="18"/>
  <c r="P746" i="28" s="1"/>
  <c r="R652" i="18"/>
  <c r="P654" i="28" s="1"/>
  <c r="S652" i="18"/>
  <c r="Q654" i="28" s="1"/>
  <c r="D667" i="18"/>
  <c r="D751" i="18"/>
  <c r="R736" i="18"/>
  <c r="P738" i="28" s="1"/>
  <c r="S736" i="18"/>
  <c r="Q738" i="28" s="1"/>
  <c r="B753" i="28" l="1"/>
  <c r="B765" i="28"/>
  <c r="B669" i="28"/>
  <c r="B761" i="28"/>
  <c r="D766" i="18"/>
  <c r="S751" i="18"/>
  <c r="Q753" i="28" s="1"/>
  <c r="R751" i="18"/>
  <c r="P753" i="28" s="1"/>
  <c r="D682" i="18"/>
  <c r="S667" i="18"/>
  <c r="Q669" i="28" s="1"/>
  <c r="R667" i="18"/>
  <c r="P669" i="28" s="1"/>
  <c r="D774" i="18"/>
  <c r="S759" i="18"/>
  <c r="Q761" i="28" s="1"/>
  <c r="R759" i="18"/>
  <c r="P761" i="28" s="1"/>
  <c r="D778" i="18"/>
  <c r="S763" i="18"/>
  <c r="Q765" i="28" s="1"/>
  <c r="R763" i="18"/>
  <c r="P765" i="28" s="1"/>
  <c r="B768" i="28" l="1"/>
  <c r="B780" i="28"/>
  <c r="B684" i="28"/>
  <c r="B776" i="28"/>
  <c r="D789" i="18"/>
  <c r="S774" i="18"/>
  <c r="Q776" i="28" s="1"/>
  <c r="R774" i="18"/>
  <c r="P776" i="28" s="1"/>
  <c r="D90" i="18"/>
  <c r="S682" i="18"/>
  <c r="Q684" i="28" s="1"/>
  <c r="R682" i="18"/>
  <c r="P684" i="28" s="1"/>
  <c r="D697" i="18"/>
  <c r="D793" i="18"/>
  <c r="R778" i="18"/>
  <c r="P780" i="28" s="1"/>
  <c r="S778" i="18"/>
  <c r="Q780" i="28" s="1"/>
  <c r="D781" i="18"/>
  <c r="R766" i="18"/>
  <c r="P768" i="28" s="1"/>
  <c r="S766" i="18"/>
  <c r="Q768" i="28" s="1"/>
  <c r="B783" i="28" l="1"/>
  <c r="B795" i="28"/>
  <c r="B791" i="28"/>
  <c r="B699" i="28"/>
  <c r="B92" i="28"/>
  <c r="D105" i="18"/>
  <c r="R90" i="18"/>
  <c r="S90" i="18"/>
  <c r="D808" i="18"/>
  <c r="S793" i="18"/>
  <c r="Q795" i="28" s="1"/>
  <c r="R793" i="18"/>
  <c r="P795" i="28" s="1"/>
  <c r="R697" i="18"/>
  <c r="P699" i="28" s="1"/>
  <c r="S697" i="18"/>
  <c r="Q699" i="28" s="1"/>
  <c r="D712" i="18"/>
  <c r="D796" i="18"/>
  <c r="S781" i="18"/>
  <c r="Q783" i="28" s="1"/>
  <c r="R781" i="18"/>
  <c r="P783" i="28" s="1"/>
  <c r="D804" i="18"/>
  <c r="S789" i="18"/>
  <c r="Q791" i="28" s="1"/>
  <c r="R789" i="18"/>
  <c r="P791" i="28" s="1"/>
  <c r="Q92" i="28" l="1"/>
  <c r="P92" i="28"/>
  <c r="B806" i="28"/>
  <c r="B810" i="28"/>
  <c r="B798" i="28"/>
  <c r="B714" i="28"/>
  <c r="B107" i="28"/>
  <c r="D811" i="18"/>
  <c r="S796" i="18"/>
  <c r="Q798" i="28" s="1"/>
  <c r="R796" i="18"/>
  <c r="P798" i="28" s="1"/>
  <c r="D819" i="18"/>
  <c r="S804" i="18"/>
  <c r="Q806" i="28" s="1"/>
  <c r="R804" i="18"/>
  <c r="P806" i="28" s="1"/>
  <c r="S712" i="18"/>
  <c r="Q714" i="28" s="1"/>
  <c r="R712" i="18"/>
  <c r="P714" i="28" s="1"/>
  <c r="D727" i="18"/>
  <c r="D823" i="18"/>
  <c r="R808" i="18"/>
  <c r="P810" i="28" s="1"/>
  <c r="S808" i="18"/>
  <c r="Q810" i="28" s="1"/>
  <c r="D120" i="18"/>
  <c r="S105" i="18"/>
  <c r="R105" i="18"/>
  <c r="P107" i="28" l="1"/>
  <c r="Q107" i="28"/>
  <c r="B122" i="28"/>
  <c r="B821" i="28"/>
  <c r="B825" i="28"/>
  <c r="B729" i="28"/>
  <c r="B813" i="28"/>
  <c r="D838" i="18"/>
  <c r="S823" i="18"/>
  <c r="Q825" i="28" s="1"/>
  <c r="R823" i="18"/>
  <c r="P825" i="28" s="1"/>
  <c r="S727" i="18"/>
  <c r="Q729" i="28" s="1"/>
  <c r="R727" i="18"/>
  <c r="P729" i="28" s="1"/>
  <c r="D742" i="18"/>
  <c r="D834" i="18"/>
  <c r="R819" i="18"/>
  <c r="P821" i="28" s="1"/>
  <c r="S819" i="18"/>
  <c r="Q821" i="28" s="1"/>
  <c r="D135" i="18"/>
  <c r="S120" i="18"/>
  <c r="Q122" i="28" s="1"/>
  <c r="R120" i="18"/>
  <c r="P122" i="28" s="1"/>
  <c r="D826" i="18"/>
  <c r="S811" i="18"/>
  <c r="Q813" i="28" s="1"/>
  <c r="R811" i="18"/>
  <c r="P813" i="28" s="1"/>
  <c r="B840" i="28" l="1"/>
  <c r="B836" i="28"/>
  <c r="B744" i="28"/>
  <c r="B828" i="28"/>
  <c r="B137" i="28"/>
  <c r="D849" i="18"/>
  <c r="R834" i="18"/>
  <c r="P836" i="28" s="1"/>
  <c r="S834" i="18"/>
  <c r="Q836" i="28" s="1"/>
  <c r="D841" i="18"/>
  <c r="S826" i="18"/>
  <c r="Q828" i="28" s="1"/>
  <c r="R826" i="18"/>
  <c r="P828" i="28" s="1"/>
  <c r="D150" i="18"/>
  <c r="S135" i="18"/>
  <c r="Q137" i="28" s="1"/>
  <c r="R135" i="18"/>
  <c r="P137" i="28" s="1"/>
  <c r="S742" i="18"/>
  <c r="Q744" i="28" s="1"/>
  <c r="R742" i="18"/>
  <c r="P744" i="28" s="1"/>
  <c r="D757" i="18"/>
  <c r="D853" i="18"/>
  <c r="S838" i="18"/>
  <c r="Q840" i="28" s="1"/>
  <c r="R838" i="18"/>
  <c r="P840" i="28" s="1"/>
  <c r="B851" i="28" l="1"/>
  <c r="B152" i="28"/>
  <c r="B855" i="28"/>
  <c r="B759" i="28"/>
  <c r="B843" i="28"/>
  <c r="D856" i="18"/>
  <c r="R841" i="18"/>
  <c r="P843" i="28" s="1"/>
  <c r="S841" i="18"/>
  <c r="Q843" i="28" s="1"/>
  <c r="D868" i="18"/>
  <c r="S853" i="18"/>
  <c r="Q855" i="28" s="1"/>
  <c r="R853" i="18"/>
  <c r="P855" i="28" s="1"/>
  <c r="S757" i="18"/>
  <c r="Q759" i="28" s="1"/>
  <c r="R757" i="18"/>
  <c r="P759" i="28" s="1"/>
  <c r="D772" i="18"/>
  <c r="D165" i="18"/>
  <c r="S150" i="18"/>
  <c r="R150" i="18"/>
  <c r="D864" i="18"/>
  <c r="S849" i="18"/>
  <c r="Q851" i="28" s="1"/>
  <c r="R849" i="18"/>
  <c r="P851" i="28" s="1"/>
  <c r="Q152" i="28" l="1"/>
  <c r="P152" i="28"/>
  <c r="B866" i="28"/>
  <c r="B870" i="28"/>
  <c r="B167" i="28"/>
  <c r="B774" i="28"/>
  <c r="B858" i="28"/>
  <c r="D180" i="18"/>
  <c r="S165" i="18"/>
  <c r="R165" i="18"/>
  <c r="R772" i="18"/>
  <c r="P774" i="28" s="1"/>
  <c r="S772" i="18"/>
  <c r="Q774" i="28" s="1"/>
  <c r="D787" i="18"/>
  <c r="D883" i="18"/>
  <c r="S868" i="18"/>
  <c r="Q870" i="28" s="1"/>
  <c r="R868" i="18"/>
  <c r="P870" i="28" s="1"/>
  <c r="D879" i="18"/>
  <c r="R864" i="18"/>
  <c r="P866" i="28" s="1"/>
  <c r="S864" i="18"/>
  <c r="Q866" i="28" s="1"/>
  <c r="D871" i="18"/>
  <c r="R856" i="18"/>
  <c r="P858" i="28" s="1"/>
  <c r="S856" i="18"/>
  <c r="Q858" i="28" s="1"/>
  <c r="P167" i="28" l="1"/>
  <c r="Q167" i="28"/>
  <c r="B182" i="28"/>
  <c r="B885" i="28"/>
  <c r="B789" i="28"/>
  <c r="B873" i="28"/>
  <c r="B881" i="28"/>
  <c r="AC864" i="18"/>
  <c r="AC804" i="18"/>
  <c r="D894" i="18"/>
  <c r="AL864" i="18" s="1"/>
  <c r="S879" i="18"/>
  <c r="Q881" i="28" s="1"/>
  <c r="R879" i="18"/>
  <c r="P881" i="28" s="1"/>
  <c r="D886" i="18"/>
  <c r="S871" i="18"/>
  <c r="Q873" i="28" s="1"/>
  <c r="R871" i="18"/>
  <c r="P873" i="28" s="1"/>
  <c r="D898" i="18"/>
  <c r="R883" i="18"/>
  <c r="P885" i="28" s="1"/>
  <c r="S883" i="18"/>
  <c r="Q885" i="28" s="1"/>
  <c r="S787" i="18"/>
  <c r="Q789" i="28" s="1"/>
  <c r="R787" i="18"/>
  <c r="P789" i="28" s="1"/>
  <c r="D802" i="18"/>
  <c r="D195" i="18"/>
  <c r="S180" i="18"/>
  <c r="Q182" i="28" s="1"/>
  <c r="R180" i="18"/>
  <c r="P182" i="28" s="1"/>
  <c r="B804" i="28" l="1"/>
  <c r="B888" i="28"/>
  <c r="B896" i="28"/>
  <c r="AL894" i="18"/>
  <c r="AL879" i="18"/>
  <c r="AC894" i="18"/>
  <c r="AC879" i="18"/>
  <c r="AC834" i="18"/>
  <c r="AL834" i="18"/>
  <c r="AL819" i="18"/>
  <c r="B900" i="28"/>
  <c r="AC849" i="18"/>
  <c r="AC819" i="18"/>
  <c r="AL804" i="18"/>
  <c r="B197" i="28"/>
  <c r="AL849" i="18"/>
  <c r="D901" i="18"/>
  <c r="R886" i="18"/>
  <c r="P888" i="28" s="1"/>
  <c r="S886" i="18"/>
  <c r="Q888" i="28" s="1"/>
  <c r="R195" i="18"/>
  <c r="P197" i="28" s="1"/>
  <c r="S195" i="18"/>
  <c r="Q197" i="28" s="1"/>
  <c r="D210" i="18"/>
  <c r="S802" i="18"/>
  <c r="Q804" i="28" s="1"/>
  <c r="R802" i="18"/>
  <c r="P804" i="28" s="1"/>
  <c r="D817" i="18"/>
  <c r="R898" i="18"/>
  <c r="P900" i="28" s="1"/>
  <c r="S898" i="18"/>
  <c r="Q900" i="28" s="1"/>
  <c r="R894" i="18"/>
  <c r="P896" i="28" s="1"/>
  <c r="S894" i="18"/>
  <c r="Q896" i="28" s="1"/>
  <c r="B212" i="28" l="1"/>
  <c r="B903" i="28"/>
  <c r="B819" i="28"/>
  <c r="S817" i="18"/>
  <c r="Q819" i="28" s="1"/>
  <c r="R817" i="18"/>
  <c r="P819" i="28" s="1"/>
  <c r="D832" i="18"/>
  <c r="D225" i="18"/>
  <c r="S210" i="18"/>
  <c r="Q212" i="28" s="1"/>
  <c r="R210" i="18"/>
  <c r="P212" i="28" s="1"/>
  <c r="D170" i="18"/>
  <c r="R901" i="18"/>
  <c r="P903" i="28" s="1"/>
  <c r="S901" i="18"/>
  <c r="Q903" i="28" s="1"/>
  <c r="C13" i="5" l="1"/>
  <c r="B227" i="28"/>
  <c r="B834" i="28"/>
  <c r="B172" i="28"/>
  <c r="D240" i="18"/>
  <c r="R225" i="18"/>
  <c r="P227" i="28" s="1"/>
  <c r="S225" i="18"/>
  <c r="R832" i="18"/>
  <c r="P834" i="28" s="1"/>
  <c r="S832" i="18"/>
  <c r="Q834" i="28" s="1"/>
  <c r="D847" i="18"/>
  <c r="R170" i="18"/>
  <c r="S170" i="18"/>
  <c r="Q227" i="28" l="1"/>
  <c r="Q172" i="28"/>
  <c r="P172" i="28"/>
  <c r="B242" i="28"/>
  <c r="B849" i="28"/>
  <c r="D173" i="18"/>
  <c r="D862" i="18"/>
  <c r="R847" i="18"/>
  <c r="P849" i="28" s="1"/>
  <c r="S847" i="18"/>
  <c r="Q849" i="28" s="1"/>
  <c r="D255" i="18"/>
  <c r="R240" i="18"/>
  <c r="P242" i="28" s="1"/>
  <c r="S240" i="18"/>
  <c r="Q242" i="28" s="1"/>
  <c r="B257" i="28" l="1"/>
  <c r="B864" i="28"/>
  <c r="B175" i="28"/>
  <c r="D270" i="18"/>
  <c r="R255" i="18"/>
  <c r="P257" i="28" s="1"/>
  <c r="S255" i="18"/>
  <c r="Q257" i="28" s="1"/>
  <c r="D877" i="18"/>
  <c r="S862" i="18"/>
  <c r="Q864" i="28" s="1"/>
  <c r="R862" i="18"/>
  <c r="P864" i="28" s="1"/>
  <c r="D188" i="18"/>
  <c r="R173" i="18"/>
  <c r="S173" i="18"/>
  <c r="P175" i="28" l="1"/>
  <c r="Q175" i="28"/>
  <c r="B879" i="28"/>
  <c r="B272" i="28"/>
  <c r="B190" i="28"/>
  <c r="D203" i="18"/>
  <c r="R188" i="18"/>
  <c r="P190" i="28" s="1"/>
  <c r="S188" i="18"/>
  <c r="Q190" i="28" s="1"/>
  <c r="R877" i="18"/>
  <c r="P879" i="28" s="1"/>
  <c r="S877" i="18"/>
  <c r="Q879" i="28" s="1"/>
  <c r="D892" i="18"/>
  <c r="AL832" i="18" s="1"/>
  <c r="D285" i="18"/>
  <c r="S270" i="18"/>
  <c r="Q272" i="28" s="1"/>
  <c r="R270" i="18"/>
  <c r="P272" i="28" s="1"/>
  <c r="AL847" i="18" l="1"/>
  <c r="AC802" i="18"/>
  <c r="AL817" i="18"/>
  <c r="AL802" i="18"/>
  <c r="AC847" i="18"/>
  <c r="AC862" i="18"/>
  <c r="AL862" i="18"/>
  <c r="B287" i="28"/>
  <c r="B894" i="28"/>
  <c r="AL892" i="18"/>
  <c r="AL877" i="18"/>
  <c r="AC892" i="18"/>
  <c r="AC877" i="18"/>
  <c r="AC817" i="18"/>
  <c r="AC832" i="18"/>
  <c r="B205" i="28"/>
  <c r="D300" i="18"/>
  <c r="S285" i="18"/>
  <c r="Q287" i="28" s="1"/>
  <c r="R285" i="18"/>
  <c r="P287" i="28" s="1"/>
  <c r="R892" i="18"/>
  <c r="P894" i="28" s="1"/>
  <c r="S892" i="18"/>
  <c r="Q894" i="28" s="1"/>
  <c r="R203" i="18"/>
  <c r="P205" i="28" s="1"/>
  <c r="S203" i="18"/>
  <c r="Q205" i="28" s="1"/>
  <c r="D218" i="18"/>
  <c r="B302" i="28" l="1"/>
  <c r="B220" i="28"/>
  <c r="D233" i="18"/>
  <c r="S218" i="18"/>
  <c r="R218" i="18"/>
  <c r="P220" i="28" s="1"/>
  <c r="D315" i="18"/>
  <c r="R300" i="18"/>
  <c r="P302" i="28" s="1"/>
  <c r="S300" i="18"/>
  <c r="Q302" i="28" s="1"/>
  <c r="Q220" i="28" l="1"/>
  <c r="B317" i="28"/>
  <c r="B235" i="28"/>
  <c r="D330" i="18"/>
  <c r="R315" i="18"/>
  <c r="P317" i="28" s="1"/>
  <c r="S315" i="18"/>
  <c r="Q317" i="28" s="1"/>
  <c r="S233" i="18"/>
  <c r="Q235" i="28" s="1"/>
  <c r="R233" i="18"/>
  <c r="P235" i="28" s="1"/>
  <c r="D248" i="18"/>
  <c r="B332" i="28" l="1"/>
  <c r="B250" i="28"/>
  <c r="S248" i="18"/>
  <c r="Q250" i="28" s="1"/>
  <c r="R248" i="18"/>
  <c r="P250" i="28" s="1"/>
  <c r="D263" i="18"/>
  <c r="D345" i="18"/>
  <c r="R330" i="18"/>
  <c r="P332" i="28" s="1"/>
  <c r="S330" i="18"/>
  <c r="Q332" i="28" s="1"/>
  <c r="B347" i="28" l="1"/>
  <c r="B265" i="28"/>
  <c r="D360" i="18"/>
  <c r="R345" i="18"/>
  <c r="P347" i="28" s="1"/>
  <c r="S345" i="18"/>
  <c r="Q347" i="28" s="1"/>
  <c r="R263" i="18"/>
  <c r="P265" i="28" s="1"/>
  <c r="S263" i="18"/>
  <c r="Q265" i="28" s="1"/>
  <c r="D278" i="18"/>
  <c r="B280" i="28" l="1"/>
  <c r="B362" i="28"/>
  <c r="S278" i="18"/>
  <c r="Q280" i="28" s="1"/>
  <c r="R278" i="18"/>
  <c r="P280" i="28" s="1"/>
  <c r="D293" i="18"/>
  <c r="D375" i="18"/>
  <c r="R360" i="18"/>
  <c r="P362" i="28" s="1"/>
  <c r="S360" i="18"/>
  <c r="Q362" i="28" s="1"/>
  <c r="B377" i="28" l="1"/>
  <c r="B295" i="28"/>
  <c r="S293" i="18"/>
  <c r="R293" i="18"/>
  <c r="P295" i="28" s="1"/>
  <c r="D308" i="18"/>
  <c r="D390" i="18"/>
  <c r="R375" i="18"/>
  <c r="P377" i="28" s="1"/>
  <c r="S375" i="18"/>
  <c r="Q377" i="28" s="1"/>
  <c r="Q295" i="28" l="1"/>
  <c r="B310" i="28"/>
  <c r="B392" i="28"/>
  <c r="R308" i="18"/>
  <c r="P310" i="28" s="1"/>
  <c r="S308" i="18"/>
  <c r="Q310" i="28" s="1"/>
  <c r="D323" i="18"/>
  <c r="D405" i="18"/>
  <c r="S390" i="18"/>
  <c r="Q392" i="28" s="1"/>
  <c r="R390" i="18"/>
  <c r="P392" i="28" s="1"/>
  <c r="B407" i="28" l="1"/>
  <c r="B325" i="28"/>
  <c r="D420" i="18"/>
  <c r="S405" i="18"/>
  <c r="Q407" i="28" s="1"/>
  <c r="R405" i="18"/>
  <c r="P407" i="28" s="1"/>
  <c r="S323" i="18"/>
  <c r="Q325" i="28" s="1"/>
  <c r="R323" i="18"/>
  <c r="P325" i="28" s="1"/>
  <c r="D338" i="18"/>
  <c r="B422" i="28" l="1"/>
  <c r="B340" i="28"/>
  <c r="R338" i="18"/>
  <c r="P340" i="28" s="1"/>
  <c r="S338" i="18"/>
  <c r="Q340" i="28" s="1"/>
  <c r="D353" i="18"/>
  <c r="R420" i="18"/>
  <c r="P422" i="28" s="1"/>
  <c r="S420" i="18"/>
  <c r="Q422" i="28" s="1"/>
  <c r="D435" i="18"/>
  <c r="B355" i="28" l="1"/>
  <c r="B437" i="28"/>
  <c r="D450" i="18"/>
  <c r="S435" i="18"/>
  <c r="Q437" i="28" s="1"/>
  <c r="R435" i="18"/>
  <c r="P437" i="28" s="1"/>
  <c r="R353" i="18"/>
  <c r="P355" i="28" s="1"/>
  <c r="S353" i="18"/>
  <c r="Q355" i="28" s="1"/>
  <c r="D368" i="18"/>
  <c r="B452" i="28" l="1"/>
  <c r="B370" i="28"/>
  <c r="R368" i="18"/>
  <c r="P370" i="28" s="1"/>
  <c r="S368" i="18"/>
  <c r="Q370" i="28" s="1"/>
  <c r="D383" i="18"/>
  <c r="D465" i="18"/>
  <c r="S450" i="18"/>
  <c r="Q452" i="28" s="1"/>
  <c r="R450" i="18"/>
  <c r="P452" i="28" s="1"/>
  <c r="B467" i="28" l="1"/>
  <c r="B385" i="28"/>
  <c r="D480" i="18"/>
  <c r="R465" i="18"/>
  <c r="P467" i="28" s="1"/>
  <c r="S465" i="18"/>
  <c r="Q467" i="28" s="1"/>
  <c r="S383" i="18"/>
  <c r="Q385" i="28" s="1"/>
  <c r="R383" i="18"/>
  <c r="P385" i="28" s="1"/>
  <c r="D398" i="18"/>
  <c r="B400" i="28" l="1"/>
  <c r="B482" i="28"/>
  <c r="S398" i="18"/>
  <c r="Q400" i="28" s="1"/>
  <c r="R398" i="18"/>
  <c r="P400" i="28" s="1"/>
  <c r="D413" i="18"/>
  <c r="D495" i="18"/>
  <c r="R480" i="18"/>
  <c r="P482" i="28" s="1"/>
  <c r="S480" i="18"/>
  <c r="Q482" i="28" s="1"/>
  <c r="B497" i="28" l="1"/>
  <c r="B415" i="28"/>
  <c r="D510" i="18"/>
  <c r="R495" i="18"/>
  <c r="P497" i="28" s="1"/>
  <c r="S495" i="18"/>
  <c r="Q497" i="28" s="1"/>
  <c r="R413" i="18"/>
  <c r="P415" i="28" s="1"/>
  <c r="S413" i="18"/>
  <c r="Q415" i="28" s="1"/>
  <c r="D428" i="18"/>
  <c r="B512" i="28" l="1"/>
  <c r="B430" i="28"/>
  <c r="R428" i="18"/>
  <c r="P430" i="28" s="1"/>
  <c r="S428" i="18"/>
  <c r="Q430" i="28" s="1"/>
  <c r="D443" i="18"/>
  <c r="D525" i="18"/>
  <c r="R510" i="18"/>
  <c r="P512" i="28" s="1"/>
  <c r="S510" i="18"/>
  <c r="Q512" i="28" s="1"/>
  <c r="B527" i="28" l="1"/>
  <c r="B445" i="28"/>
  <c r="D540" i="18"/>
  <c r="S525" i="18"/>
  <c r="Q527" i="28" s="1"/>
  <c r="R525" i="18"/>
  <c r="P527" i="28" s="1"/>
  <c r="D458" i="18"/>
  <c r="R443" i="18"/>
  <c r="P445" i="28" s="1"/>
  <c r="S443" i="18"/>
  <c r="Q445" i="28" s="1"/>
  <c r="B460" i="28" l="1"/>
  <c r="B542" i="28"/>
  <c r="R458" i="18"/>
  <c r="P460" i="28" s="1"/>
  <c r="S458" i="18"/>
  <c r="Q460" i="28" s="1"/>
  <c r="D473" i="18"/>
  <c r="D555" i="18"/>
  <c r="S540" i="18"/>
  <c r="Q542" i="28" s="1"/>
  <c r="R540" i="18"/>
  <c r="P542" i="28" s="1"/>
  <c r="B557" i="28" l="1"/>
  <c r="B475" i="28"/>
  <c r="D570" i="18"/>
  <c r="R555" i="18"/>
  <c r="P557" i="28" s="1"/>
  <c r="S555" i="18"/>
  <c r="Q557" i="28" s="1"/>
  <c r="R473" i="18"/>
  <c r="P475" i="28" s="1"/>
  <c r="S473" i="18"/>
  <c r="Q475" i="28" s="1"/>
  <c r="D488" i="18"/>
  <c r="B490" i="28" l="1"/>
  <c r="B572" i="28"/>
  <c r="S488" i="18"/>
  <c r="Q490" i="28" s="1"/>
  <c r="R488" i="18"/>
  <c r="P490" i="28" s="1"/>
  <c r="D503" i="18"/>
  <c r="D585" i="18"/>
  <c r="S570" i="18"/>
  <c r="Q572" i="28" s="1"/>
  <c r="R570" i="18"/>
  <c r="P572" i="28" s="1"/>
  <c r="B587" i="28" l="1"/>
  <c r="B505" i="28"/>
  <c r="D600" i="18"/>
  <c r="R585" i="18"/>
  <c r="P587" i="28" s="1"/>
  <c r="S585" i="18"/>
  <c r="Q587" i="28" s="1"/>
  <c r="R503" i="18"/>
  <c r="P505" i="28" s="1"/>
  <c r="S503" i="18"/>
  <c r="Q505" i="28" s="1"/>
  <c r="D518" i="18"/>
  <c r="B520" i="28" l="1"/>
  <c r="B602" i="28"/>
  <c r="S518" i="18"/>
  <c r="Q520" i="28" s="1"/>
  <c r="R518" i="18"/>
  <c r="P520" i="28" s="1"/>
  <c r="D533" i="18"/>
  <c r="D615" i="18"/>
  <c r="R600" i="18"/>
  <c r="P602" i="28" s="1"/>
  <c r="S600" i="18"/>
  <c r="Q602" i="28" s="1"/>
  <c r="B617" i="28" l="1"/>
  <c r="B535" i="28"/>
  <c r="D630" i="18"/>
  <c r="S615" i="18"/>
  <c r="Q617" i="28" s="1"/>
  <c r="R615" i="18"/>
  <c r="P617" i="28" s="1"/>
  <c r="R533" i="18"/>
  <c r="P535" i="28" s="1"/>
  <c r="S533" i="18"/>
  <c r="Q535" i="28" s="1"/>
  <c r="D548" i="18"/>
  <c r="B632" i="28" l="1"/>
  <c r="B550" i="28"/>
  <c r="S548" i="18"/>
  <c r="Q550" i="28" s="1"/>
  <c r="R548" i="18"/>
  <c r="P550" i="28" s="1"/>
  <c r="D563" i="18"/>
  <c r="D645" i="18"/>
  <c r="S630" i="18"/>
  <c r="Q632" i="28" s="1"/>
  <c r="R630" i="18"/>
  <c r="P632" i="28" s="1"/>
  <c r="B565" i="28" l="1"/>
  <c r="B647" i="28"/>
  <c r="S645" i="18"/>
  <c r="Q647" i="28" s="1"/>
  <c r="R645" i="18"/>
  <c r="P647" i="28" s="1"/>
  <c r="D660" i="18"/>
  <c r="R563" i="18"/>
  <c r="P565" i="28" s="1"/>
  <c r="S563" i="18"/>
  <c r="Q565" i="28" s="1"/>
  <c r="D578" i="18"/>
  <c r="B662" i="28" l="1"/>
  <c r="B580" i="28"/>
  <c r="D675" i="18"/>
  <c r="S660" i="18"/>
  <c r="Q662" i="28" s="1"/>
  <c r="R660" i="18"/>
  <c r="P662" i="28" s="1"/>
  <c r="R578" i="18"/>
  <c r="P580" i="28" s="1"/>
  <c r="S578" i="18"/>
  <c r="Q580" i="28" s="1"/>
  <c r="D593" i="18"/>
  <c r="B595" i="28" l="1"/>
  <c r="B677" i="28"/>
  <c r="R593" i="18"/>
  <c r="P595" i="28" s="1"/>
  <c r="S593" i="18"/>
  <c r="Q595" i="28" s="1"/>
  <c r="D608" i="18"/>
  <c r="D690" i="18"/>
  <c r="R675" i="18"/>
  <c r="P677" i="28" s="1"/>
  <c r="S675" i="18"/>
  <c r="Q677" i="28" s="1"/>
  <c r="B692" i="28" l="1"/>
  <c r="B610" i="28"/>
  <c r="D705" i="18"/>
  <c r="S690" i="18"/>
  <c r="Q692" i="28" s="1"/>
  <c r="R690" i="18"/>
  <c r="P692" i="28" s="1"/>
  <c r="S608" i="18"/>
  <c r="Q610" i="28" s="1"/>
  <c r="R608" i="18"/>
  <c r="P610" i="28" s="1"/>
  <c r="D623" i="18"/>
  <c r="B625" i="28" l="1"/>
  <c r="B707" i="28"/>
  <c r="S623" i="18"/>
  <c r="Q625" i="28" s="1"/>
  <c r="R623" i="18"/>
  <c r="P625" i="28" s="1"/>
  <c r="D638" i="18"/>
  <c r="D720" i="18"/>
  <c r="R705" i="18"/>
  <c r="P707" i="28" s="1"/>
  <c r="S705" i="18"/>
  <c r="Q707" i="28" s="1"/>
  <c r="B640" i="28" l="1"/>
  <c r="B722" i="28"/>
  <c r="D735" i="18"/>
  <c r="R720" i="18"/>
  <c r="P722" i="28" s="1"/>
  <c r="S720" i="18"/>
  <c r="Q722" i="28" s="1"/>
  <c r="S638" i="18"/>
  <c r="Q640" i="28" s="1"/>
  <c r="R638" i="18"/>
  <c r="P640" i="28" s="1"/>
  <c r="D653" i="18"/>
  <c r="B655" i="28" l="1"/>
  <c r="B737" i="28"/>
  <c r="R653" i="18"/>
  <c r="P655" i="28" s="1"/>
  <c r="S653" i="18"/>
  <c r="Q655" i="28" s="1"/>
  <c r="D668" i="18"/>
  <c r="D750" i="18"/>
  <c r="R735" i="18"/>
  <c r="P737" i="28" s="1"/>
  <c r="S735" i="18"/>
  <c r="Q737" i="28" s="1"/>
  <c r="B670" i="28" l="1"/>
  <c r="B752" i="28"/>
  <c r="D765" i="18"/>
  <c r="R750" i="18"/>
  <c r="P752" i="28" s="1"/>
  <c r="S750" i="18"/>
  <c r="Q752" i="28" s="1"/>
  <c r="D683" i="18"/>
  <c r="S668" i="18"/>
  <c r="Q670" i="28" s="1"/>
  <c r="R668" i="18"/>
  <c r="P670" i="28" s="1"/>
  <c r="B767" i="28" l="1"/>
  <c r="B685" i="28"/>
  <c r="S683" i="18"/>
  <c r="Q685" i="28" s="1"/>
  <c r="R683" i="18"/>
  <c r="P685" i="28" s="1"/>
  <c r="D698" i="18"/>
  <c r="D780" i="18"/>
  <c r="S765" i="18"/>
  <c r="Q767" i="28" s="1"/>
  <c r="R765" i="18"/>
  <c r="P767" i="28" s="1"/>
  <c r="B782" i="28" l="1"/>
  <c r="B700" i="28"/>
  <c r="D795" i="18"/>
  <c r="S780" i="18"/>
  <c r="Q782" i="28" s="1"/>
  <c r="R780" i="18"/>
  <c r="P782" i="28" s="1"/>
  <c r="S698" i="18"/>
  <c r="Q700" i="28" s="1"/>
  <c r="R698" i="18"/>
  <c r="P700" i="28" s="1"/>
  <c r="D713" i="18"/>
  <c r="B797" i="28" l="1"/>
  <c r="B715" i="28"/>
  <c r="S713" i="18"/>
  <c r="Q715" i="28" s="1"/>
  <c r="R713" i="18"/>
  <c r="P715" i="28" s="1"/>
  <c r="D728" i="18"/>
  <c r="D810" i="18"/>
  <c r="R795" i="18"/>
  <c r="P797" i="28" s="1"/>
  <c r="S795" i="18"/>
  <c r="Q797" i="28" s="1"/>
  <c r="B730" i="28" l="1"/>
  <c r="B812" i="28"/>
  <c r="D825" i="18"/>
  <c r="R810" i="18"/>
  <c r="P812" i="28" s="1"/>
  <c r="S810" i="18"/>
  <c r="Q812" i="28" s="1"/>
  <c r="S728" i="18"/>
  <c r="Q730" i="28" s="1"/>
  <c r="R728" i="18"/>
  <c r="P730" i="28" s="1"/>
  <c r="D743" i="18"/>
  <c r="B827" i="28" l="1"/>
  <c r="B745" i="28"/>
  <c r="S743" i="18"/>
  <c r="Q745" i="28" s="1"/>
  <c r="R743" i="18"/>
  <c r="P745" i="28" s="1"/>
  <c r="D758" i="18"/>
  <c r="D840" i="18"/>
  <c r="R825" i="18"/>
  <c r="P827" i="28" s="1"/>
  <c r="S825" i="18"/>
  <c r="Q827" i="28" s="1"/>
  <c r="B842" i="28" l="1"/>
  <c r="B760" i="28"/>
  <c r="D855" i="18"/>
  <c r="S840" i="18"/>
  <c r="Q842" i="28" s="1"/>
  <c r="R840" i="18"/>
  <c r="P842" i="28" s="1"/>
  <c r="S758" i="18"/>
  <c r="Q760" i="28" s="1"/>
  <c r="R758" i="18"/>
  <c r="P760" i="28" s="1"/>
  <c r="D773" i="18"/>
  <c r="B857" i="28" l="1"/>
  <c r="B775" i="28"/>
  <c r="S773" i="18"/>
  <c r="Q775" i="28" s="1"/>
  <c r="R773" i="18"/>
  <c r="P775" i="28" s="1"/>
  <c r="D788" i="18"/>
  <c r="D870" i="18"/>
  <c r="R855" i="18"/>
  <c r="P857" i="28" s="1"/>
  <c r="S855" i="18"/>
  <c r="Q857" i="28" s="1"/>
  <c r="B872" i="28" l="1"/>
  <c r="B790" i="28"/>
  <c r="S870" i="18"/>
  <c r="Q872" i="28" s="1"/>
  <c r="R870" i="18"/>
  <c r="P872" i="28" s="1"/>
  <c r="D885" i="18"/>
  <c r="S788" i="18"/>
  <c r="Q790" i="28" s="1"/>
  <c r="R788" i="18"/>
  <c r="P790" i="28" s="1"/>
  <c r="D803" i="18"/>
  <c r="B887" i="28" l="1"/>
  <c r="B805" i="28"/>
  <c r="D900" i="18"/>
  <c r="R885" i="18"/>
  <c r="P887" i="28" s="1"/>
  <c r="S885" i="18"/>
  <c r="Q887" i="28" s="1"/>
  <c r="S803" i="18"/>
  <c r="Q805" i="28" s="1"/>
  <c r="R803" i="18"/>
  <c r="P805" i="28" s="1"/>
  <c r="D818" i="18"/>
  <c r="B820" i="28" l="1"/>
  <c r="B902" i="28"/>
  <c r="S818" i="18"/>
  <c r="Q820" i="28" s="1"/>
  <c r="R818" i="18"/>
  <c r="P820" i="28" s="1"/>
  <c r="D833" i="18"/>
  <c r="S900" i="18"/>
  <c r="Q902" i="28" s="1"/>
  <c r="R900" i="18"/>
  <c r="P902" i="28" s="1"/>
  <c r="B835" i="28" l="1"/>
  <c r="S833" i="18"/>
  <c r="Q835" i="28" s="1"/>
  <c r="R833" i="18"/>
  <c r="P835" i="28" s="1"/>
  <c r="D848" i="18"/>
  <c r="B850" i="28" l="1"/>
  <c r="D863" i="18"/>
  <c r="S848" i="18"/>
  <c r="Q850" i="28" s="1"/>
  <c r="R848" i="18"/>
  <c r="P850" i="28" s="1"/>
  <c r="B865" i="28" l="1"/>
  <c r="D878" i="18"/>
  <c r="S863" i="18"/>
  <c r="Q865" i="28" s="1"/>
  <c r="R863" i="18"/>
  <c r="P865" i="28" s="1"/>
  <c r="B880" i="28" l="1"/>
  <c r="AL863" i="18"/>
  <c r="AC863" i="18"/>
  <c r="AC803" i="18"/>
  <c r="AL833" i="18"/>
  <c r="AC818" i="18"/>
  <c r="R878" i="18"/>
  <c r="P880" i="28" s="1"/>
  <c r="S878" i="18"/>
  <c r="Q880" i="28" s="1"/>
  <c r="D893" i="18"/>
  <c r="B895" i="28" l="1"/>
  <c r="AL893" i="18"/>
  <c r="AL878" i="18"/>
  <c r="AC893" i="18"/>
  <c r="AC878" i="18"/>
  <c r="AL773" i="18"/>
  <c r="AL818" i="18"/>
  <c r="AC833" i="18"/>
  <c r="AL848" i="18"/>
  <c r="AC848" i="18"/>
  <c r="AL803" i="18"/>
  <c r="AL788" i="18"/>
  <c r="S893" i="18"/>
  <c r="Q895" i="28" s="1"/>
  <c r="R893" i="18"/>
  <c r="P895" i="28" s="1"/>
  <c r="D185" i="18" l="1"/>
  <c r="D92" i="18"/>
  <c r="C14" i="5" l="1"/>
  <c r="R92" i="18"/>
  <c r="B94" i="28"/>
  <c r="S92" i="18"/>
  <c r="R185" i="18"/>
  <c r="B187" i="28"/>
  <c r="D107" i="18"/>
  <c r="S185" i="18"/>
  <c r="D200" i="18"/>
  <c r="C15" i="5" s="1"/>
  <c r="Q187" i="28" l="1"/>
  <c r="P187" i="28"/>
  <c r="Q94" i="28"/>
  <c r="R7" i="5"/>
  <c r="P94" i="28"/>
  <c r="Q7" i="5"/>
  <c r="B202" i="28"/>
  <c r="F162" i="19"/>
  <c r="S107" i="18"/>
  <c r="D122" i="18"/>
  <c r="R107" i="18"/>
  <c r="H164" i="19"/>
  <c r="F161" i="19"/>
  <c r="F174" i="19"/>
  <c r="F177" i="19"/>
  <c r="G177" i="19"/>
  <c r="F173" i="19"/>
  <c r="F170" i="19"/>
  <c r="H161" i="19"/>
  <c r="G167" i="19"/>
  <c r="G170" i="19"/>
  <c r="F164" i="19"/>
  <c r="F176" i="19"/>
  <c r="G161" i="19"/>
  <c r="F165" i="19"/>
  <c r="H179" i="19"/>
  <c r="F169" i="19"/>
  <c r="H168" i="19"/>
  <c r="G172" i="19"/>
  <c r="G169" i="19"/>
  <c r="F175" i="19"/>
  <c r="H167" i="19"/>
  <c r="G168" i="19"/>
  <c r="F167" i="19"/>
  <c r="H157" i="19"/>
  <c r="G159" i="19"/>
  <c r="F172" i="19"/>
  <c r="G163" i="19"/>
  <c r="H177" i="19"/>
  <c r="H178" i="19"/>
  <c r="G173" i="19"/>
  <c r="G165" i="19"/>
  <c r="F156" i="19"/>
  <c r="F178" i="19"/>
  <c r="G158" i="19"/>
  <c r="H162" i="19"/>
  <c r="H174" i="19"/>
  <c r="F159" i="19"/>
  <c r="F166" i="19"/>
  <c r="H169" i="19"/>
  <c r="H165" i="19"/>
  <c r="H156" i="19"/>
  <c r="G157" i="19"/>
  <c r="G162" i="19"/>
  <c r="H158" i="19"/>
  <c r="H175" i="19"/>
  <c r="H173" i="19"/>
  <c r="G156" i="19"/>
  <c r="G175" i="19"/>
  <c r="G160" i="19"/>
  <c r="G178" i="19"/>
  <c r="F163" i="19"/>
  <c r="F179" i="19"/>
  <c r="F160" i="19"/>
  <c r="H170" i="19"/>
  <c r="H160" i="19"/>
  <c r="H159" i="19"/>
  <c r="G164" i="19"/>
  <c r="G174" i="19"/>
  <c r="G171" i="19"/>
  <c r="F158" i="19"/>
  <c r="F157" i="19"/>
  <c r="F168" i="19"/>
  <c r="F171" i="19"/>
  <c r="H171" i="19"/>
  <c r="H172" i="19"/>
  <c r="H163" i="19"/>
  <c r="G166" i="19"/>
  <c r="G179" i="19"/>
  <c r="G176" i="19"/>
  <c r="H176" i="19"/>
  <c r="H166" i="19"/>
  <c r="B109" i="28"/>
  <c r="D215" i="18"/>
  <c r="S200" i="18"/>
  <c r="R200" i="18"/>
  <c r="C16" i="5" l="1"/>
  <c r="P202" i="28"/>
  <c r="Q202" i="28"/>
  <c r="P109" i="28"/>
  <c r="Q8" i="5"/>
  <c r="Q109" i="28"/>
  <c r="R8" i="5"/>
  <c r="B124" i="28"/>
  <c r="D137" i="18"/>
  <c r="B217" i="28"/>
  <c r="S122" i="18"/>
  <c r="R122" i="18"/>
  <c r="R215" i="18"/>
  <c r="D230" i="18"/>
  <c r="C17" i="5" s="1"/>
  <c r="S137" i="18" l="1"/>
  <c r="Q139" i="28" s="1"/>
  <c r="D152" i="18"/>
  <c r="D167" i="18" s="1"/>
  <c r="R137" i="18"/>
  <c r="P139" i="28" s="1"/>
  <c r="P124" i="28"/>
  <c r="Q9" i="5"/>
  <c r="B139" i="28"/>
  <c r="Q124" i="28"/>
  <c r="R9" i="5"/>
  <c r="P217" i="28"/>
  <c r="Q217" i="28"/>
  <c r="B169" i="28"/>
  <c r="B232" i="28"/>
  <c r="S152" i="18"/>
  <c r="R152" i="18"/>
  <c r="B154" i="28"/>
  <c r="R230" i="18"/>
  <c r="S230" i="18"/>
  <c r="D245" i="18"/>
  <c r="C18" i="5" s="1"/>
  <c r="D182" i="18"/>
  <c r="S167" i="18"/>
  <c r="R167" i="18"/>
  <c r="Q10" i="5" l="1"/>
  <c r="R10" i="5"/>
  <c r="Q154" i="28"/>
  <c r="R11" i="5"/>
  <c r="P169" i="28"/>
  <c r="Q12" i="5"/>
  <c r="Q169" i="28"/>
  <c r="R12" i="5"/>
  <c r="Q232" i="28"/>
  <c r="P232" i="28"/>
  <c r="P154" i="28"/>
  <c r="Q11" i="5"/>
  <c r="B247" i="28"/>
  <c r="B184" i="28"/>
  <c r="S245" i="18"/>
  <c r="D260" i="18"/>
  <c r="C19" i="5" s="1"/>
  <c r="R245" i="18"/>
  <c r="D197" i="18"/>
  <c r="R182" i="18"/>
  <c r="S182" i="18"/>
  <c r="Q247" i="28" l="1"/>
  <c r="Q184" i="28"/>
  <c r="R13" i="5"/>
  <c r="P184" i="28"/>
  <c r="Q13" i="5"/>
  <c r="P247" i="28"/>
  <c r="B262" i="28"/>
  <c r="B199" i="28"/>
  <c r="S260" i="18"/>
  <c r="R260" i="18"/>
  <c r="D275" i="18"/>
  <c r="C20" i="5" s="1"/>
  <c r="S197" i="18"/>
  <c r="D212" i="18"/>
  <c r="R197" i="18"/>
  <c r="P199" i="28" l="1"/>
  <c r="Q14" i="5"/>
  <c r="Q199" i="28"/>
  <c r="R14" i="5"/>
  <c r="Q262" i="28"/>
  <c r="P262" i="28"/>
  <c r="B277" i="28"/>
  <c r="B214" i="28"/>
  <c r="D290" i="18"/>
  <c r="C21" i="5" s="1"/>
  <c r="S275" i="18"/>
  <c r="R275" i="18"/>
  <c r="D227" i="18"/>
  <c r="S212" i="18"/>
  <c r="R212" i="18"/>
  <c r="Q214" i="28" l="1"/>
  <c r="R15" i="5"/>
  <c r="P277" i="28"/>
  <c r="P214" i="28"/>
  <c r="Q15" i="5"/>
  <c r="Q277" i="28"/>
  <c r="B292" i="28"/>
  <c r="B229" i="28"/>
  <c r="D305" i="18"/>
  <c r="C22" i="5" s="1"/>
  <c r="S290" i="18"/>
  <c r="R290" i="18"/>
  <c r="D242" i="18"/>
  <c r="S227" i="18"/>
  <c r="R227" i="18"/>
  <c r="P229" i="28" l="1"/>
  <c r="Q16" i="5"/>
  <c r="P292" i="28"/>
  <c r="Q292" i="28"/>
  <c r="Q229" i="28"/>
  <c r="R16" i="5"/>
  <c r="B307" i="28"/>
  <c r="B244" i="28"/>
  <c r="S305" i="18"/>
  <c r="D320" i="18"/>
  <c r="C23" i="5" s="1"/>
  <c r="R305" i="18"/>
  <c r="D257" i="18"/>
  <c r="R242" i="18"/>
  <c r="S242" i="18"/>
  <c r="Q244" i="28" l="1"/>
  <c r="R17" i="5"/>
  <c r="P244" i="28"/>
  <c r="Q17" i="5"/>
  <c r="P307" i="28"/>
  <c r="Q307" i="28"/>
  <c r="B322" i="28"/>
  <c r="B259" i="28"/>
  <c r="R320" i="18"/>
  <c r="S320" i="18"/>
  <c r="D335" i="18"/>
  <c r="C24" i="5" s="1"/>
  <c r="D272" i="18"/>
  <c r="S257" i="18"/>
  <c r="R257" i="18"/>
  <c r="Q259" i="28" l="1"/>
  <c r="R18" i="5"/>
  <c r="Q322" i="28"/>
  <c r="P322" i="28"/>
  <c r="P259" i="28"/>
  <c r="Q18" i="5"/>
  <c r="B337" i="28"/>
  <c r="B274" i="28"/>
  <c r="D350" i="18"/>
  <c r="C25" i="5" s="1"/>
  <c r="S335" i="18"/>
  <c r="R335" i="18"/>
  <c r="D287" i="18"/>
  <c r="R272" i="18"/>
  <c r="S272" i="18"/>
  <c r="P274" i="28" l="1"/>
  <c r="Q19" i="5"/>
  <c r="Q274" i="28"/>
  <c r="R19" i="5"/>
  <c r="P337" i="28"/>
  <c r="Q337" i="28"/>
  <c r="B352" i="28"/>
  <c r="B289" i="28"/>
  <c r="R350" i="18"/>
  <c r="D365" i="18"/>
  <c r="C26" i="5" s="1"/>
  <c r="S350" i="18"/>
  <c r="D302" i="18"/>
  <c r="S287" i="18"/>
  <c r="R287" i="18"/>
  <c r="P289" i="28" l="1"/>
  <c r="Q20" i="5"/>
  <c r="Q352" i="28"/>
  <c r="Q289" i="28"/>
  <c r="R20" i="5"/>
  <c r="P352" i="28"/>
  <c r="B367" i="28"/>
  <c r="B304" i="28"/>
  <c r="D380" i="18"/>
  <c r="C27" i="5" s="1"/>
  <c r="S365" i="18"/>
  <c r="R365" i="18"/>
  <c r="D317" i="18"/>
  <c r="S302" i="18"/>
  <c r="R302" i="18"/>
  <c r="P304" i="28" l="1"/>
  <c r="Q21" i="5"/>
  <c r="Q304" i="28"/>
  <c r="R21" i="5"/>
  <c r="P367" i="28"/>
  <c r="Q367" i="28"/>
  <c r="B382" i="28"/>
  <c r="B319" i="28"/>
  <c r="D395" i="18"/>
  <c r="C28" i="5" s="1"/>
  <c r="R380" i="18"/>
  <c r="S380" i="18"/>
  <c r="D332" i="18"/>
  <c r="S317" i="18"/>
  <c r="R317" i="18"/>
  <c r="Q319" i="28" l="1"/>
  <c r="R22" i="5"/>
  <c r="P319" i="28"/>
  <c r="Q22" i="5"/>
  <c r="Q382" i="28"/>
  <c r="P382" i="28"/>
  <c r="B397" i="28"/>
  <c r="B334" i="28"/>
  <c r="S395" i="18"/>
  <c r="D410" i="18"/>
  <c r="C29" i="5" s="1"/>
  <c r="R395" i="18"/>
  <c r="D347" i="18"/>
  <c r="R332" i="18"/>
  <c r="S332" i="18"/>
  <c r="P334" i="28" l="1"/>
  <c r="Q23" i="5"/>
  <c r="Q334" i="28"/>
  <c r="R23" i="5"/>
  <c r="Q397" i="28"/>
  <c r="P397" i="28"/>
  <c r="B349" i="28"/>
  <c r="B412" i="28"/>
  <c r="D425" i="18"/>
  <c r="C30" i="5" s="1"/>
  <c r="R410" i="18"/>
  <c r="S410" i="18"/>
  <c r="D362" i="18"/>
  <c r="S347" i="18"/>
  <c r="R347" i="18"/>
  <c r="P349" i="28" l="1"/>
  <c r="Q24" i="5"/>
  <c r="Q412" i="28"/>
  <c r="P412" i="28"/>
  <c r="Q349" i="28"/>
  <c r="R24" i="5"/>
  <c r="B364" i="28"/>
  <c r="B427" i="28"/>
  <c r="D440" i="18"/>
  <c r="C31" i="5" s="1"/>
  <c r="R425" i="18"/>
  <c r="S425" i="18"/>
  <c r="D377" i="18"/>
  <c r="S362" i="18"/>
  <c r="R362" i="18"/>
  <c r="Q427" i="28" l="1"/>
  <c r="P364" i="28"/>
  <c r="Q25" i="5"/>
  <c r="P427" i="28"/>
  <c r="Q364" i="28"/>
  <c r="R25" i="5"/>
  <c r="B379" i="28"/>
  <c r="B442" i="28"/>
  <c r="D455" i="18"/>
  <c r="C32" i="5" s="1"/>
  <c r="R440" i="18"/>
  <c r="S440" i="18"/>
  <c r="D392" i="18"/>
  <c r="S377" i="18"/>
  <c r="R377" i="18"/>
  <c r="Q379" i="28" l="1"/>
  <c r="R26" i="5"/>
  <c r="P379" i="28"/>
  <c r="Q26" i="5"/>
  <c r="Q442" i="28"/>
  <c r="P442" i="28"/>
  <c r="B394" i="28"/>
  <c r="B457" i="28"/>
  <c r="S455" i="18"/>
  <c r="D470" i="18"/>
  <c r="C33" i="5" s="1"/>
  <c r="R455" i="18"/>
  <c r="D407" i="18"/>
  <c r="R392" i="18"/>
  <c r="S392" i="18"/>
  <c r="P394" i="28" l="1"/>
  <c r="Q27" i="5"/>
  <c r="Q394" i="28"/>
  <c r="R27" i="5"/>
  <c r="Q457" i="28"/>
  <c r="P457" i="28"/>
  <c r="B472" i="28"/>
  <c r="B409" i="28"/>
  <c r="D485" i="18"/>
  <c r="C34" i="5" s="1"/>
  <c r="R470" i="18"/>
  <c r="S470" i="18"/>
  <c r="D422" i="18"/>
  <c r="S407" i="18"/>
  <c r="R407" i="18"/>
  <c r="Q472" i="28" l="1"/>
  <c r="Q409" i="28"/>
  <c r="R28" i="5"/>
  <c r="P472" i="28"/>
  <c r="P409" i="28"/>
  <c r="Q28" i="5"/>
  <c r="B424" i="28"/>
  <c r="B487" i="28"/>
  <c r="D500" i="18"/>
  <c r="C35" i="5" s="1"/>
  <c r="R485" i="18"/>
  <c r="S485" i="18"/>
  <c r="D437" i="18"/>
  <c r="R422" i="18"/>
  <c r="S422" i="18"/>
  <c r="Q487" i="28" l="1"/>
  <c r="P424" i="28"/>
  <c r="Q29" i="5"/>
  <c r="P487" i="28"/>
  <c r="Q424" i="28"/>
  <c r="R29" i="5"/>
  <c r="B502" i="28"/>
  <c r="B439" i="28"/>
  <c r="D515" i="18"/>
  <c r="C36" i="5" s="1"/>
  <c r="R500" i="18"/>
  <c r="S500" i="18"/>
  <c r="D452" i="18"/>
  <c r="S437" i="18"/>
  <c r="R437" i="18"/>
  <c r="P439" i="28" l="1"/>
  <c r="Q30" i="5"/>
  <c r="Q439" i="28"/>
  <c r="R30" i="5"/>
  <c r="Q502" i="28"/>
  <c r="P502" i="28"/>
  <c r="B454" i="28"/>
  <c r="B517" i="28"/>
  <c r="S515" i="18"/>
  <c r="R515" i="18"/>
  <c r="D530" i="18"/>
  <c r="C37" i="5" s="1"/>
  <c r="D467" i="18"/>
  <c r="R452" i="18"/>
  <c r="S452" i="18"/>
  <c r="P454" i="28" l="1"/>
  <c r="Q31" i="5"/>
  <c r="Q517" i="28"/>
  <c r="P517" i="28"/>
  <c r="Q454" i="28"/>
  <c r="R31" i="5"/>
  <c r="B469" i="28"/>
  <c r="B532" i="28"/>
  <c r="D545" i="18"/>
  <c r="C38" i="5" s="1"/>
  <c r="S530" i="18"/>
  <c r="R530" i="18"/>
  <c r="D482" i="18"/>
  <c r="S467" i="18"/>
  <c r="R467" i="18"/>
  <c r="P532" i="28" l="1"/>
  <c r="Q469" i="28"/>
  <c r="R32" i="5"/>
  <c r="Q532" i="28"/>
  <c r="P469" i="28"/>
  <c r="Q32" i="5"/>
  <c r="B484" i="28"/>
  <c r="B547" i="28"/>
  <c r="S545" i="18"/>
  <c r="D560" i="18"/>
  <c r="C39" i="5" s="1"/>
  <c r="R545" i="18"/>
  <c r="D497" i="18"/>
  <c r="R482" i="18"/>
  <c r="S482" i="18"/>
  <c r="P547" i="28" l="1"/>
  <c r="P484" i="28"/>
  <c r="Q33" i="5"/>
  <c r="Q484" i="28"/>
  <c r="R33" i="5"/>
  <c r="Q547" i="28"/>
  <c r="B499" i="28"/>
  <c r="B562" i="28"/>
  <c r="D575" i="18"/>
  <c r="C40" i="5" s="1"/>
  <c r="R560" i="18"/>
  <c r="S560" i="18"/>
  <c r="D512" i="18"/>
  <c r="S497" i="18"/>
  <c r="R497" i="18"/>
  <c r="Q499" i="28" l="1"/>
  <c r="R34" i="5"/>
  <c r="Q562" i="28"/>
  <c r="P499" i="28"/>
  <c r="Q34" i="5"/>
  <c r="P562" i="28"/>
  <c r="B514" i="28"/>
  <c r="B577" i="28"/>
  <c r="R575" i="18"/>
  <c r="S575" i="18"/>
  <c r="D590" i="18"/>
  <c r="C41" i="5" s="1"/>
  <c r="D527" i="18"/>
  <c r="R512" i="18"/>
  <c r="S512" i="18"/>
  <c r="Q514" i="28" l="1"/>
  <c r="R35" i="5"/>
  <c r="P514" i="28"/>
  <c r="Q35" i="5"/>
  <c r="P577" i="28"/>
  <c r="Q577" i="28"/>
  <c r="B529" i="28"/>
  <c r="B592" i="28"/>
  <c r="D605" i="18"/>
  <c r="C42" i="5" s="1"/>
  <c r="R590" i="18"/>
  <c r="S590" i="18"/>
  <c r="D542" i="18"/>
  <c r="S527" i="18"/>
  <c r="R527" i="18"/>
  <c r="P529" i="28" l="1"/>
  <c r="Q36" i="5"/>
  <c r="Q592" i="28"/>
  <c r="Q529" i="28"/>
  <c r="R36" i="5"/>
  <c r="P592" i="28"/>
  <c r="B607" i="28"/>
  <c r="B544" i="28"/>
  <c r="D620" i="18"/>
  <c r="C43" i="5" s="1"/>
  <c r="R605" i="18"/>
  <c r="S605" i="18"/>
  <c r="D557" i="18"/>
  <c r="R542" i="18"/>
  <c r="S542" i="18"/>
  <c r="P544" i="28" l="1"/>
  <c r="Q37" i="5"/>
  <c r="P607" i="28"/>
  <c r="Q607" i="28"/>
  <c r="Q544" i="28"/>
  <c r="R37" i="5"/>
  <c r="B622" i="28"/>
  <c r="B559" i="28"/>
  <c r="D635" i="18"/>
  <c r="C44" i="5" s="1"/>
  <c r="R620" i="18"/>
  <c r="S620" i="18"/>
  <c r="D572" i="18"/>
  <c r="R557" i="18"/>
  <c r="S557" i="18"/>
  <c r="P559" i="28" l="1"/>
  <c r="Q38" i="5"/>
  <c r="Q622" i="28"/>
  <c r="P622" i="28"/>
  <c r="Q559" i="28"/>
  <c r="R38" i="5"/>
  <c r="B637" i="28"/>
  <c r="B574" i="28"/>
  <c r="D650" i="18"/>
  <c r="C45" i="5" s="1"/>
  <c r="R635" i="18"/>
  <c r="S635" i="18"/>
  <c r="D587" i="18"/>
  <c r="R572" i="18"/>
  <c r="S572" i="18"/>
  <c r="P574" i="28" l="1"/>
  <c r="Q39" i="5"/>
  <c r="Q637" i="28"/>
  <c r="Q574" i="28"/>
  <c r="R39" i="5"/>
  <c r="P637" i="28"/>
  <c r="B652" i="28"/>
  <c r="B589" i="28"/>
  <c r="D665" i="18"/>
  <c r="C46" i="5" s="1"/>
  <c r="R650" i="18"/>
  <c r="S650" i="18"/>
  <c r="D602" i="18"/>
  <c r="R587" i="18"/>
  <c r="S587" i="18"/>
  <c r="Q589" i="28" l="1"/>
  <c r="R40" i="5"/>
  <c r="Q652" i="28"/>
  <c r="P652" i="28"/>
  <c r="P589" i="28"/>
  <c r="Q40" i="5"/>
  <c r="B667" i="28"/>
  <c r="B604" i="28"/>
  <c r="D680" i="18"/>
  <c r="C47" i="5" s="1"/>
  <c r="S665" i="18"/>
  <c r="R665" i="18"/>
  <c r="D617" i="18"/>
  <c r="S602" i="18"/>
  <c r="R602" i="18"/>
  <c r="P604" i="28" l="1"/>
  <c r="Q41" i="5"/>
  <c r="P667" i="28"/>
  <c r="Q667" i="28"/>
  <c r="Q604" i="28"/>
  <c r="R41" i="5"/>
  <c r="B619" i="28"/>
  <c r="B682" i="28"/>
  <c r="D695" i="18"/>
  <c r="C48" i="5" s="1"/>
  <c r="S680" i="18"/>
  <c r="R680" i="18"/>
  <c r="D632" i="18"/>
  <c r="S617" i="18"/>
  <c r="R617" i="18"/>
  <c r="P619" i="28" l="1"/>
  <c r="Q42" i="5"/>
  <c r="Q619" i="28"/>
  <c r="R42" i="5"/>
  <c r="P682" i="28"/>
  <c r="Q682" i="28"/>
  <c r="B634" i="28"/>
  <c r="B697" i="28"/>
  <c r="S695" i="18"/>
  <c r="D710" i="18"/>
  <c r="C49" i="5" s="1"/>
  <c r="R695" i="18"/>
  <c r="D647" i="18"/>
  <c r="S632" i="18"/>
  <c r="R632" i="18"/>
  <c r="Q634" i="28" l="1"/>
  <c r="R43" i="5"/>
  <c r="P697" i="28"/>
  <c r="P634" i="28"/>
  <c r="Q43" i="5"/>
  <c r="Q697" i="28"/>
  <c r="B712" i="28"/>
  <c r="B649" i="28"/>
  <c r="D725" i="18"/>
  <c r="C50" i="5" s="1"/>
  <c r="S710" i="18"/>
  <c r="R710" i="18"/>
  <c r="D662" i="18"/>
  <c r="S647" i="18"/>
  <c r="R647" i="18"/>
  <c r="P649" i="28" l="1"/>
  <c r="Q44" i="5"/>
  <c r="Q649" i="28"/>
  <c r="R44" i="5"/>
  <c r="P712" i="28"/>
  <c r="Q712" i="28"/>
  <c r="B664" i="28"/>
  <c r="B727" i="28"/>
  <c r="D740" i="18"/>
  <c r="C51" i="5" s="1"/>
  <c r="R725" i="18"/>
  <c r="S725" i="18"/>
  <c r="D677" i="18"/>
  <c r="S662" i="18"/>
  <c r="R662" i="18"/>
  <c r="P664" i="28" l="1"/>
  <c r="Q45" i="5"/>
  <c r="Q727" i="28"/>
  <c r="P727" i="28"/>
  <c r="Q664" i="28"/>
  <c r="R45" i="5"/>
  <c r="B742" i="28"/>
  <c r="B679" i="28"/>
  <c r="D755" i="18"/>
  <c r="C52" i="5" s="1"/>
  <c r="S740" i="18"/>
  <c r="R740" i="18"/>
  <c r="D692" i="18"/>
  <c r="S677" i="18"/>
  <c r="R677" i="18"/>
  <c r="P742" i="28" l="1"/>
  <c r="Q679" i="28"/>
  <c r="R46" i="5"/>
  <c r="Q742" i="28"/>
  <c r="P679" i="28"/>
  <c r="Q46" i="5"/>
  <c r="B694" i="28"/>
  <c r="B757" i="28"/>
  <c r="S755" i="18"/>
  <c r="R755" i="18"/>
  <c r="D770" i="18"/>
  <c r="C53" i="5" s="1"/>
  <c r="D707" i="18"/>
  <c r="S692" i="18"/>
  <c r="R692" i="18"/>
  <c r="Q694" i="28" l="1"/>
  <c r="R47" i="5"/>
  <c r="Q757" i="28"/>
  <c r="P757" i="28"/>
  <c r="P694" i="28"/>
  <c r="Q47" i="5"/>
  <c r="B772" i="28"/>
  <c r="B709" i="28"/>
  <c r="R770" i="18"/>
  <c r="S770" i="18"/>
  <c r="D785" i="18"/>
  <c r="C54" i="5" s="1"/>
  <c r="D722" i="18"/>
  <c r="S707" i="18"/>
  <c r="R707" i="18"/>
  <c r="P709" i="28" l="1"/>
  <c r="Q48" i="5"/>
  <c r="Q709" i="28"/>
  <c r="R48" i="5"/>
  <c r="P772" i="28"/>
  <c r="Q772" i="28"/>
  <c r="B724" i="28"/>
  <c r="B787" i="28"/>
  <c r="D800" i="18"/>
  <c r="C55" i="5" s="1"/>
  <c r="S785" i="18"/>
  <c r="R785" i="18"/>
  <c r="D737" i="18"/>
  <c r="S722" i="18"/>
  <c r="R722" i="18"/>
  <c r="P724" i="28" l="1"/>
  <c r="Q49" i="5"/>
  <c r="Q724" i="28"/>
  <c r="R49" i="5"/>
  <c r="P787" i="28"/>
  <c r="Q787" i="28"/>
  <c r="B802" i="28"/>
  <c r="B739" i="28"/>
  <c r="D815" i="18"/>
  <c r="C56" i="5" s="1"/>
  <c r="R800" i="18"/>
  <c r="S800" i="18"/>
  <c r="D752" i="18"/>
  <c r="S737" i="18"/>
  <c r="R737" i="18"/>
  <c r="Q802" i="28" l="1"/>
  <c r="Q739" i="28"/>
  <c r="R50" i="5"/>
  <c r="P802" i="28"/>
  <c r="P739" i="28"/>
  <c r="Q50" i="5"/>
  <c r="B817" i="28"/>
  <c r="B754" i="28"/>
  <c r="D830" i="18"/>
  <c r="C57" i="5" s="1"/>
  <c r="R815" i="18"/>
  <c r="S815" i="18"/>
  <c r="D767" i="18"/>
  <c r="R752" i="18"/>
  <c r="S752" i="18"/>
  <c r="P754" i="28" l="1"/>
  <c r="Q51" i="5"/>
  <c r="Q817" i="28"/>
  <c r="Q754" i="28"/>
  <c r="R51" i="5"/>
  <c r="P817" i="28"/>
  <c r="B769" i="28"/>
  <c r="B832" i="28"/>
  <c r="D845" i="18"/>
  <c r="C58" i="5" s="1"/>
  <c r="S830" i="18"/>
  <c r="R830" i="18"/>
  <c r="D782" i="18"/>
  <c r="R767" i="18"/>
  <c r="S767" i="18"/>
  <c r="P769" i="28" l="1"/>
  <c r="Q52" i="5"/>
  <c r="P832" i="28"/>
  <c r="Q769" i="28"/>
  <c r="R52" i="5"/>
  <c r="Q832" i="28"/>
  <c r="B784" i="28"/>
  <c r="B847" i="28"/>
  <c r="D860" i="18"/>
  <c r="C59" i="5" s="1"/>
  <c r="S845" i="18"/>
  <c r="R845" i="18"/>
  <c r="D797" i="18"/>
  <c r="R782" i="18"/>
  <c r="S782" i="18"/>
  <c r="P784" i="28" l="1"/>
  <c r="Q53" i="5"/>
  <c r="P847" i="28"/>
  <c r="Q784" i="28"/>
  <c r="R53" i="5"/>
  <c r="Q847" i="28"/>
  <c r="B862" i="28"/>
  <c r="B799" i="28"/>
  <c r="S860" i="18"/>
  <c r="D875" i="18"/>
  <c r="C60" i="5" s="1"/>
  <c r="R860" i="18"/>
  <c r="D812" i="18"/>
  <c r="R797" i="18"/>
  <c r="S797" i="18"/>
  <c r="Q799" i="28" l="1"/>
  <c r="R54" i="5"/>
  <c r="P862" i="28"/>
  <c r="P799" i="28"/>
  <c r="Q54" i="5"/>
  <c r="Q862" i="28"/>
  <c r="B814" i="28"/>
  <c r="B877" i="28"/>
  <c r="S875" i="18"/>
  <c r="D890" i="18"/>
  <c r="R875" i="18"/>
  <c r="D827" i="18"/>
  <c r="R812" i="18"/>
  <c r="S812" i="18"/>
  <c r="Q814" i="28" l="1"/>
  <c r="R55" i="5"/>
  <c r="P877" i="28"/>
  <c r="Q877" i="28"/>
  <c r="P814" i="28"/>
  <c r="Q55" i="5"/>
  <c r="AL815" i="18"/>
  <c r="C61" i="5"/>
  <c r="AC860" i="18"/>
  <c r="AC830" i="18"/>
  <c r="AL860" i="18"/>
  <c r="AC845" i="18"/>
  <c r="AL830" i="18"/>
  <c r="B829" i="28"/>
  <c r="AL890" i="18"/>
  <c r="AL875" i="18"/>
  <c r="AC875" i="18"/>
  <c r="AC890" i="18"/>
  <c r="AC815" i="18"/>
  <c r="AC800" i="18"/>
  <c r="AL845" i="18"/>
  <c r="B892" i="28"/>
  <c r="S890" i="18"/>
  <c r="R890" i="18"/>
  <c r="D842" i="18"/>
  <c r="S827" i="18"/>
  <c r="R827" i="18"/>
  <c r="AJ68" i="20" l="1"/>
  <c r="AI68" i="20"/>
  <c r="AN68" i="20"/>
  <c r="P892" i="28"/>
  <c r="Q892" i="28"/>
  <c r="Q829" i="28"/>
  <c r="R56" i="5"/>
  <c r="P829" i="28"/>
  <c r="Q56" i="5"/>
  <c r="AM68" i="20"/>
  <c r="B844" i="28"/>
  <c r="D857" i="18"/>
  <c r="R842" i="18"/>
  <c r="S842" i="18"/>
  <c r="Q844" i="28" l="1"/>
  <c r="R57" i="5"/>
  <c r="P844" i="28"/>
  <c r="Q57" i="5"/>
  <c r="B859" i="28"/>
  <c r="D872" i="18"/>
  <c r="S857" i="18"/>
  <c r="R857" i="18"/>
  <c r="Q859" i="28" l="1"/>
  <c r="R58" i="5"/>
  <c r="P859" i="28"/>
  <c r="Q58" i="5"/>
  <c r="B874" i="28"/>
  <c r="D887" i="18"/>
  <c r="R872" i="18"/>
  <c r="S872" i="18"/>
  <c r="Q874" i="28" l="1"/>
  <c r="R59" i="5"/>
  <c r="P874" i="28"/>
  <c r="Q59" i="5"/>
  <c r="AL782" i="18"/>
  <c r="AC842" i="18"/>
  <c r="AL872" i="18"/>
  <c r="AC797" i="18"/>
  <c r="AL797" i="18"/>
  <c r="B889" i="28"/>
  <c r="T770" i="18"/>
  <c r="T890" i="18"/>
  <c r="D902" i="18"/>
  <c r="S887" i="18"/>
  <c r="R887" i="18"/>
  <c r="T842" i="18"/>
  <c r="R844" i="28" s="1"/>
  <c r="AK54" i="20" l="1"/>
  <c r="AJ54" i="20"/>
  <c r="AI54" i="20"/>
  <c r="AK57" i="20"/>
  <c r="AI57" i="20"/>
  <c r="AJ57" i="20"/>
  <c r="AK55" i="20"/>
  <c r="AI55" i="20"/>
  <c r="AJ55" i="20"/>
  <c r="AK56" i="20"/>
  <c r="AJ56" i="20"/>
  <c r="AI56" i="20"/>
  <c r="AN53" i="20"/>
  <c r="AI53" i="20"/>
  <c r="AJ53" i="20"/>
  <c r="AK53" i="20"/>
  <c r="P889" i="28"/>
  <c r="Q60" i="5"/>
  <c r="Q889" i="28"/>
  <c r="R60" i="5"/>
  <c r="AL827" i="18"/>
  <c r="AJ829" i="28" s="1"/>
  <c r="AC4" i="19"/>
  <c r="AJ4" i="19"/>
  <c r="AM9" i="19"/>
  <c r="M22" i="19"/>
  <c r="W22" i="19" s="1"/>
  <c r="M17" i="19"/>
  <c r="AM25" i="19"/>
  <c r="AC14" i="19"/>
  <c r="AM11" i="19"/>
  <c r="AC22" i="19"/>
  <c r="AC17" i="19"/>
  <c r="P5" i="19"/>
  <c r="AM17" i="19"/>
  <c r="AC10" i="19"/>
  <c r="M14" i="19"/>
  <c r="J4" i="19"/>
  <c r="AC25" i="19"/>
  <c r="AC21" i="19"/>
  <c r="O5" i="19"/>
  <c r="AC7" i="19"/>
  <c r="AJ5" i="19"/>
  <c r="AK5" i="19"/>
  <c r="N4" i="19"/>
  <c r="N5" i="19"/>
  <c r="AM20" i="19"/>
  <c r="AC27" i="19"/>
  <c r="AC16" i="19"/>
  <c r="M4" i="19"/>
  <c r="AM15" i="19"/>
  <c r="AM23" i="19"/>
  <c r="AC9" i="19"/>
  <c r="AC5" i="19"/>
  <c r="M10" i="19"/>
  <c r="M12" i="19"/>
  <c r="AM27" i="19"/>
  <c r="M24" i="19"/>
  <c r="W24" i="19" s="1"/>
  <c r="AM5" i="19"/>
  <c r="M9" i="19"/>
  <c r="M16" i="19"/>
  <c r="AC26" i="19"/>
  <c r="AA4" i="19"/>
  <c r="AM21" i="19"/>
  <c r="AM8" i="19"/>
  <c r="M13" i="19"/>
  <c r="AC19" i="19"/>
  <c r="M19" i="19"/>
  <c r="AM18" i="19"/>
  <c r="M15" i="19"/>
  <c r="I5" i="19"/>
  <c r="AC24" i="19"/>
  <c r="AC29" i="19"/>
  <c r="AM14" i="19"/>
  <c r="U4" i="19"/>
  <c r="AC23" i="19"/>
  <c r="AC8" i="19"/>
  <c r="H5" i="19"/>
  <c r="AC28" i="19"/>
  <c r="AM4" i="19"/>
  <c r="AC15" i="19"/>
  <c r="L4" i="19"/>
  <c r="K4" i="19"/>
  <c r="M28" i="19"/>
  <c r="W28" i="19" s="1"/>
  <c r="AC6" i="19"/>
  <c r="AC11" i="19"/>
  <c r="L5" i="19"/>
  <c r="U5" i="19"/>
  <c r="P4" i="19"/>
  <c r="AM7" i="19"/>
  <c r="Z4" i="19"/>
  <c r="J5" i="19"/>
  <c r="M5" i="19"/>
  <c r="AM16" i="19"/>
  <c r="K5" i="19"/>
  <c r="AM29" i="19"/>
  <c r="M25" i="19"/>
  <c r="W25" i="19" s="1"/>
  <c r="M21" i="19"/>
  <c r="W21" i="19" s="1"/>
  <c r="M6" i="19"/>
  <c r="Z5" i="19"/>
  <c r="AM28" i="19"/>
  <c r="O4" i="19"/>
  <c r="AM12" i="19"/>
  <c r="G4" i="19"/>
  <c r="M23" i="19"/>
  <c r="W23" i="19" s="1"/>
  <c r="AK4" i="19"/>
  <c r="G5" i="19"/>
  <c r="AA5" i="19"/>
  <c r="AM10" i="19"/>
  <c r="AM6" i="19"/>
  <c r="AM24" i="19"/>
  <c r="H4" i="19"/>
  <c r="M7" i="19"/>
  <c r="M11" i="19"/>
  <c r="AM22" i="19"/>
  <c r="AC13" i="19"/>
  <c r="D5" i="19"/>
  <c r="M27" i="19"/>
  <c r="W27" i="19" s="1"/>
  <c r="M18" i="19"/>
  <c r="AC20" i="19"/>
  <c r="M29" i="19"/>
  <c r="W29" i="19" s="1"/>
  <c r="AM26" i="19"/>
  <c r="AC12" i="19"/>
  <c r="AM19" i="19"/>
  <c r="AM13" i="19"/>
  <c r="AC18" i="19"/>
  <c r="I4" i="19"/>
  <c r="M20" i="19"/>
  <c r="M26" i="19"/>
  <c r="W26" i="19" s="1"/>
  <c r="M8" i="19"/>
  <c r="AC782" i="18"/>
  <c r="AD797" i="18" s="1"/>
  <c r="T782" i="18"/>
  <c r="R784" i="28" s="1"/>
  <c r="AL902" i="18"/>
  <c r="AJ904" i="28" s="1"/>
  <c r="AL887" i="18"/>
  <c r="AC902" i="18"/>
  <c r="AC887" i="18"/>
  <c r="AC51" i="18"/>
  <c r="AC53" i="18"/>
  <c r="AL67" i="18"/>
  <c r="AC68" i="18"/>
  <c r="AL53" i="18"/>
  <c r="AL36" i="18"/>
  <c r="AL52" i="18"/>
  <c r="AC66" i="18"/>
  <c r="AL82" i="18"/>
  <c r="AL68" i="18"/>
  <c r="AC36" i="18"/>
  <c r="AL66" i="18"/>
  <c r="AC96" i="18"/>
  <c r="AL81" i="18"/>
  <c r="AL111" i="18"/>
  <c r="AC126" i="18"/>
  <c r="AL96" i="18"/>
  <c r="AC6" i="18"/>
  <c r="AD6" i="18" s="1"/>
  <c r="AC111" i="18"/>
  <c r="AL51" i="18"/>
  <c r="AL6" i="18"/>
  <c r="AC81" i="18"/>
  <c r="AL126" i="18"/>
  <c r="AC21" i="18"/>
  <c r="AL21" i="18"/>
  <c r="AL171" i="18"/>
  <c r="AC141" i="18"/>
  <c r="AL141" i="18"/>
  <c r="AL156" i="18"/>
  <c r="AC186" i="18"/>
  <c r="AC171" i="18"/>
  <c r="AL186" i="18"/>
  <c r="AC156" i="18"/>
  <c r="AC201" i="18"/>
  <c r="AL231" i="18"/>
  <c r="AC231" i="18"/>
  <c r="AC216" i="18"/>
  <c r="AL201" i="18"/>
  <c r="AL216" i="18"/>
  <c r="AC246" i="18"/>
  <c r="AC261" i="18"/>
  <c r="AL246" i="18"/>
  <c r="AL261" i="18"/>
  <c r="AC276" i="18"/>
  <c r="AC291" i="18"/>
  <c r="AL276" i="18"/>
  <c r="AL291" i="18"/>
  <c r="AC306" i="18"/>
  <c r="AL306" i="18"/>
  <c r="AL351" i="18"/>
  <c r="AL336" i="18"/>
  <c r="AL321" i="18"/>
  <c r="AC321" i="18"/>
  <c r="AC336" i="18"/>
  <c r="AL381" i="18"/>
  <c r="AC351" i="18"/>
  <c r="AL366" i="18"/>
  <c r="AC381" i="18"/>
  <c r="AL396" i="18"/>
  <c r="AC366" i="18"/>
  <c r="AL411" i="18"/>
  <c r="AC411" i="18"/>
  <c r="AC456" i="18"/>
  <c r="AC396" i="18"/>
  <c r="AL441" i="18"/>
  <c r="AC426" i="18"/>
  <c r="AC441" i="18"/>
  <c r="AL456" i="18"/>
  <c r="AL426" i="18"/>
  <c r="AC471" i="18"/>
  <c r="AC486" i="18"/>
  <c r="AL516" i="18"/>
  <c r="AL501" i="18"/>
  <c r="AL471" i="18"/>
  <c r="AL486" i="18"/>
  <c r="AC516" i="18"/>
  <c r="AC501" i="18"/>
  <c r="AL546" i="18"/>
  <c r="AL531" i="18"/>
  <c r="AC531" i="18"/>
  <c r="AC576" i="18"/>
  <c r="AC546" i="18"/>
  <c r="AC606" i="18"/>
  <c r="AL561" i="18"/>
  <c r="AL591" i="18"/>
  <c r="AC561" i="18"/>
  <c r="AL576" i="18"/>
  <c r="AC591" i="18"/>
  <c r="AC24" i="18"/>
  <c r="AL54" i="18"/>
  <c r="AJ56" i="28" s="1"/>
  <c r="AL9" i="18"/>
  <c r="AJ11" i="28" s="1"/>
  <c r="AL606" i="18"/>
  <c r="AL621" i="18"/>
  <c r="AL39" i="18"/>
  <c r="AC636" i="18"/>
  <c r="AC39" i="18"/>
  <c r="AC621" i="18"/>
  <c r="AL636" i="18"/>
  <c r="AC54" i="18"/>
  <c r="AL24" i="18"/>
  <c r="AJ26" i="28" s="1"/>
  <c r="AL651" i="18"/>
  <c r="AC666" i="18"/>
  <c r="AL99" i="18"/>
  <c r="AJ101" i="28" s="1"/>
  <c r="AC651" i="18"/>
  <c r="AC84" i="18"/>
  <c r="AL84" i="18"/>
  <c r="AJ86" i="28" s="1"/>
  <c r="AL666" i="18"/>
  <c r="AL69" i="18"/>
  <c r="AJ71" i="28" s="1"/>
  <c r="AC9" i="18"/>
  <c r="AD9" i="18" s="1"/>
  <c r="AC726" i="18"/>
  <c r="AC99" i="18"/>
  <c r="AC681" i="18"/>
  <c r="AL726" i="18"/>
  <c r="AC69" i="18"/>
  <c r="AL114" i="18"/>
  <c r="AJ116" i="28" s="1"/>
  <c r="AL681" i="18"/>
  <c r="AC129" i="18"/>
  <c r="AC696" i="18"/>
  <c r="AL129" i="18"/>
  <c r="AJ131" i="28" s="1"/>
  <c r="AC114" i="18"/>
  <c r="AL696" i="18"/>
  <c r="AC711" i="18"/>
  <c r="AL711" i="18"/>
  <c r="AL741" i="18"/>
  <c r="AC144" i="18"/>
  <c r="AL756" i="18"/>
  <c r="AC159" i="18"/>
  <c r="AC741" i="18"/>
  <c r="AC756" i="18"/>
  <c r="AL144" i="18"/>
  <c r="AJ146" i="28" s="1"/>
  <c r="AL189" i="18"/>
  <c r="AJ191" i="28" s="1"/>
  <c r="AL174" i="18"/>
  <c r="AJ176" i="28" s="1"/>
  <c r="AL159" i="18"/>
  <c r="AJ161" i="28" s="1"/>
  <c r="AL771" i="18"/>
  <c r="AC771" i="18"/>
  <c r="AC786" i="18"/>
  <c r="AC82" i="18"/>
  <c r="AC97" i="18"/>
  <c r="AL97" i="18"/>
  <c r="AC801" i="18"/>
  <c r="AC52" i="18"/>
  <c r="AC204" i="18"/>
  <c r="AL112" i="18"/>
  <c r="AC112" i="18"/>
  <c r="AL22" i="18"/>
  <c r="AC67" i="18"/>
  <c r="AL37" i="18"/>
  <c r="AC174" i="18"/>
  <c r="AC37" i="18"/>
  <c r="AC22" i="18"/>
  <c r="AL7" i="18"/>
  <c r="AL127" i="18"/>
  <c r="AL219" i="18"/>
  <c r="AJ221" i="28" s="1"/>
  <c r="AC7" i="18"/>
  <c r="AD7" i="18" s="1"/>
  <c r="AL142" i="18"/>
  <c r="AC189" i="18"/>
  <c r="AC127" i="18"/>
  <c r="AC234" i="18"/>
  <c r="AL204" i="18"/>
  <c r="AJ206" i="28" s="1"/>
  <c r="AL264" i="18"/>
  <c r="AJ266" i="28" s="1"/>
  <c r="AC219" i="18"/>
  <c r="AC172" i="18"/>
  <c r="AC142" i="18"/>
  <c r="AC157" i="18"/>
  <c r="AL279" i="18"/>
  <c r="AJ281" i="28" s="1"/>
  <c r="AL234" i="18"/>
  <c r="AL249" i="18"/>
  <c r="AL187" i="18"/>
  <c r="AL172" i="18"/>
  <c r="AL294" i="18"/>
  <c r="AJ296" i="28" s="1"/>
  <c r="AL157" i="18"/>
  <c r="AC294" i="18"/>
  <c r="AC279" i="18"/>
  <c r="AC249" i="18"/>
  <c r="AC187" i="18"/>
  <c r="AC309" i="18"/>
  <c r="AC217" i="18"/>
  <c r="AL202" i="18"/>
  <c r="AC264" i="18"/>
  <c r="AL309" i="18"/>
  <c r="AJ311" i="28" s="1"/>
  <c r="AC247" i="18"/>
  <c r="AC232" i="18"/>
  <c r="AC202" i="18"/>
  <c r="AL232" i="18"/>
  <c r="AL217" i="18"/>
  <c r="AC324" i="18"/>
  <c r="AL354" i="18"/>
  <c r="AJ356" i="28" s="1"/>
  <c r="AL262" i="18"/>
  <c r="AC339" i="18"/>
  <c r="AL324" i="18"/>
  <c r="AL339" i="18"/>
  <c r="AJ341" i="28" s="1"/>
  <c r="AL384" i="18"/>
  <c r="AJ386" i="28" s="1"/>
  <c r="AL247" i="18"/>
  <c r="AC369" i="18"/>
  <c r="AC262" i="18"/>
  <c r="AL277" i="18"/>
  <c r="AC354" i="18"/>
  <c r="AC277" i="18"/>
  <c r="AL399" i="18"/>
  <c r="AJ401" i="28" s="1"/>
  <c r="AC307" i="18"/>
  <c r="AC292" i="18"/>
  <c r="AL414" i="18"/>
  <c r="AJ416" i="28" s="1"/>
  <c r="AL369" i="18"/>
  <c r="AJ371" i="28" s="1"/>
  <c r="AC399" i="18"/>
  <c r="AL429" i="18"/>
  <c r="AJ431" i="28" s="1"/>
  <c r="AL322" i="18"/>
  <c r="AC384" i="18"/>
  <c r="AL307" i="18"/>
  <c r="AC414" i="18"/>
  <c r="AL292" i="18"/>
  <c r="AC429" i="18"/>
  <c r="AL459" i="18"/>
  <c r="AJ461" i="28" s="1"/>
  <c r="AL444" i="18"/>
  <c r="AJ446" i="28" s="1"/>
  <c r="AC322" i="18"/>
  <c r="AL352" i="18"/>
  <c r="AC352" i="18"/>
  <c r="AC367" i="18"/>
  <c r="AC382" i="18"/>
  <c r="AC337" i="18"/>
  <c r="AL367" i="18"/>
  <c r="AC444" i="18"/>
  <c r="AC397" i="18"/>
  <c r="AC459" i="18"/>
  <c r="AL504" i="18"/>
  <c r="AJ506" i="28" s="1"/>
  <c r="AL337" i="18"/>
  <c r="AL474" i="18"/>
  <c r="AJ476" i="28" s="1"/>
  <c r="AL397" i="18"/>
  <c r="AL412" i="18"/>
  <c r="AC489" i="18"/>
  <c r="AC427" i="18"/>
  <c r="AL489" i="18"/>
  <c r="AJ491" i="28" s="1"/>
  <c r="AL382" i="18"/>
  <c r="AC474" i="18"/>
  <c r="AC412" i="18"/>
  <c r="AC457" i="18"/>
  <c r="AC504" i="18"/>
  <c r="AC519" i="18"/>
  <c r="AL472" i="18"/>
  <c r="AL549" i="18"/>
  <c r="AJ551" i="28" s="1"/>
  <c r="AL519" i="18"/>
  <c r="AJ521" i="28" s="1"/>
  <c r="AC549" i="18"/>
  <c r="AL442" i="18"/>
  <c r="AL534" i="18"/>
  <c r="AJ536" i="28" s="1"/>
  <c r="AC564" i="18"/>
  <c r="AL427" i="18"/>
  <c r="AC579" i="18"/>
  <c r="AC472" i="18"/>
  <c r="AC534" i="18"/>
  <c r="AC442" i="18"/>
  <c r="AL457" i="18"/>
  <c r="AC502" i="18"/>
  <c r="AL502" i="18"/>
  <c r="AL579" i="18"/>
  <c r="AJ581" i="28" s="1"/>
  <c r="AL564" i="18"/>
  <c r="AL487" i="18"/>
  <c r="AC487" i="18"/>
  <c r="AC532" i="18"/>
  <c r="AC639" i="18"/>
  <c r="AL517" i="18"/>
  <c r="AC517" i="18"/>
  <c r="AL594" i="18"/>
  <c r="AJ596" i="28" s="1"/>
  <c r="AC594" i="18"/>
  <c r="AL532" i="18"/>
  <c r="AC624" i="18"/>
  <c r="AC609" i="18"/>
  <c r="AL547" i="18"/>
  <c r="AL624" i="18"/>
  <c r="AJ626" i="28" s="1"/>
  <c r="AC562" i="18"/>
  <c r="AL609" i="18"/>
  <c r="AL562" i="18"/>
  <c r="AC547" i="18"/>
  <c r="AC684" i="18"/>
  <c r="AL639" i="18"/>
  <c r="AJ641" i="28" s="1"/>
  <c r="AC669" i="18"/>
  <c r="AC654" i="18"/>
  <c r="AL592" i="18"/>
  <c r="AC577" i="18"/>
  <c r="AL684" i="18"/>
  <c r="AL654" i="18"/>
  <c r="AJ656" i="28" s="1"/>
  <c r="AC622" i="18"/>
  <c r="AL714" i="18"/>
  <c r="AJ716" i="28" s="1"/>
  <c r="AL577" i="18"/>
  <c r="AL669" i="18"/>
  <c r="AJ671" i="28" s="1"/>
  <c r="AC699" i="18"/>
  <c r="AL622" i="18"/>
  <c r="AC607" i="18"/>
  <c r="AC72" i="18"/>
  <c r="AL607" i="18"/>
  <c r="AC42" i="18"/>
  <c r="AC27" i="18"/>
  <c r="AC103" i="18"/>
  <c r="AL88" i="18"/>
  <c r="AJ90" i="28" s="1"/>
  <c r="AC115" i="18"/>
  <c r="AL72" i="18"/>
  <c r="AC592" i="18"/>
  <c r="AL699" i="18"/>
  <c r="AJ701" i="28" s="1"/>
  <c r="AL744" i="18"/>
  <c r="AJ746" i="28" s="1"/>
  <c r="AL652" i="18"/>
  <c r="AC637" i="18"/>
  <c r="AC714" i="18"/>
  <c r="AC744" i="18"/>
  <c r="AC729" i="18"/>
  <c r="AL729" i="18"/>
  <c r="AJ731" i="28" s="1"/>
  <c r="AC759" i="18"/>
  <c r="AL759" i="18"/>
  <c r="AJ761" i="28" s="1"/>
  <c r="AL682" i="18"/>
  <c r="AC789" i="18"/>
  <c r="AL774" i="18"/>
  <c r="AJ776" i="28" s="1"/>
  <c r="AC712" i="18"/>
  <c r="AL789" i="18"/>
  <c r="AL637" i="18"/>
  <c r="AC774" i="18"/>
  <c r="AC652" i="18"/>
  <c r="AL712" i="18"/>
  <c r="AL667" i="18"/>
  <c r="AC667" i="18"/>
  <c r="AC682" i="18"/>
  <c r="AC697" i="18"/>
  <c r="AL697" i="18"/>
  <c r="AL727" i="18"/>
  <c r="AC772" i="18"/>
  <c r="AC757" i="18"/>
  <c r="AC742" i="18"/>
  <c r="AC727" i="18"/>
  <c r="AL80" i="18"/>
  <c r="AC80" i="18"/>
  <c r="AL787" i="18"/>
  <c r="AL742" i="18"/>
  <c r="AL772" i="18"/>
  <c r="AL83" i="18"/>
  <c r="AL98" i="18"/>
  <c r="AC98" i="18"/>
  <c r="AC787" i="18"/>
  <c r="AL757" i="18"/>
  <c r="AL113" i="18"/>
  <c r="AC113" i="18"/>
  <c r="AC83" i="18"/>
  <c r="AL38" i="18"/>
  <c r="AL8" i="18"/>
  <c r="AC38" i="18"/>
  <c r="AL128" i="18"/>
  <c r="AL23" i="18"/>
  <c r="AC23" i="18"/>
  <c r="AC8" i="18"/>
  <c r="AD8" i="18" s="1"/>
  <c r="AL143" i="18"/>
  <c r="AC158" i="18"/>
  <c r="AC128" i="18"/>
  <c r="AC143" i="18"/>
  <c r="AC173" i="18"/>
  <c r="AL158" i="18"/>
  <c r="AL188" i="18"/>
  <c r="AC203" i="18"/>
  <c r="AL173" i="18"/>
  <c r="AC188" i="18"/>
  <c r="AL203" i="18"/>
  <c r="AL233" i="18"/>
  <c r="AC218" i="18"/>
  <c r="AC233" i="18"/>
  <c r="AL218" i="18"/>
  <c r="AC263" i="18"/>
  <c r="AL248" i="18"/>
  <c r="AL278" i="18"/>
  <c r="AC278" i="18"/>
  <c r="AL263" i="18"/>
  <c r="AC248" i="18"/>
  <c r="AC293" i="18"/>
  <c r="AL308" i="18"/>
  <c r="AL293" i="18"/>
  <c r="AC338" i="18"/>
  <c r="AC308" i="18"/>
  <c r="AL323" i="18"/>
  <c r="AL338" i="18"/>
  <c r="AC368" i="18"/>
  <c r="AC353" i="18"/>
  <c r="AL383" i="18"/>
  <c r="AC383" i="18"/>
  <c r="AC323" i="18"/>
  <c r="AL353" i="18"/>
  <c r="AL368" i="18"/>
  <c r="AC443" i="18"/>
  <c r="AL413" i="18"/>
  <c r="AC398" i="18"/>
  <c r="AL428" i="18"/>
  <c r="AL443" i="18"/>
  <c r="AL398" i="18"/>
  <c r="AL458" i="18"/>
  <c r="AC428" i="18"/>
  <c r="AC413" i="18"/>
  <c r="AL473" i="18"/>
  <c r="AC458" i="18"/>
  <c r="AL503" i="18"/>
  <c r="AC473" i="18"/>
  <c r="AL488" i="18"/>
  <c r="AC488" i="18"/>
  <c r="AL518" i="18"/>
  <c r="AC503" i="18"/>
  <c r="AC518" i="18"/>
  <c r="AC548" i="18"/>
  <c r="AC533" i="18"/>
  <c r="AL533" i="18"/>
  <c r="AC578" i="18"/>
  <c r="AL578" i="18"/>
  <c r="AL548" i="18"/>
  <c r="AL563" i="18"/>
  <c r="AC563" i="18"/>
  <c r="AL593" i="18"/>
  <c r="AC593" i="18"/>
  <c r="AC608" i="18"/>
  <c r="AL623" i="18"/>
  <c r="AL608" i="18"/>
  <c r="AL638" i="18"/>
  <c r="AC638" i="18"/>
  <c r="AC623" i="18"/>
  <c r="AC683" i="18"/>
  <c r="AC653" i="18"/>
  <c r="AL683" i="18"/>
  <c r="AL653" i="18"/>
  <c r="AL713" i="18"/>
  <c r="AL668" i="18"/>
  <c r="AC668" i="18"/>
  <c r="AC713" i="18"/>
  <c r="AL758" i="18"/>
  <c r="AL698" i="18"/>
  <c r="AL743" i="18"/>
  <c r="AC743" i="18"/>
  <c r="AC728" i="18"/>
  <c r="AC698" i="18"/>
  <c r="AC758" i="18"/>
  <c r="AL728" i="18"/>
  <c r="AC773" i="18"/>
  <c r="AC788" i="18"/>
  <c r="AC134" i="18"/>
  <c r="AC88" i="18"/>
  <c r="AC102" i="18"/>
  <c r="AC130" i="18"/>
  <c r="AL102" i="18"/>
  <c r="AJ104" i="28" s="1"/>
  <c r="AL103" i="18"/>
  <c r="AJ105" i="28" s="1"/>
  <c r="AC87" i="18"/>
  <c r="AL87" i="18"/>
  <c r="AJ89" i="28" s="1"/>
  <c r="AL95" i="18"/>
  <c r="AJ97" i="28" s="1"/>
  <c r="AC95" i="18"/>
  <c r="AC65" i="18"/>
  <c r="AJ42" i="19"/>
  <c r="AC145" i="18"/>
  <c r="AL145" i="18"/>
  <c r="AJ147" i="28" s="1"/>
  <c r="AC117" i="18"/>
  <c r="AL153" i="18"/>
  <c r="AJ155" i="28" s="1"/>
  <c r="AL130" i="18"/>
  <c r="AJ132" i="28" s="1"/>
  <c r="AC153" i="18"/>
  <c r="AL134" i="18"/>
  <c r="AJ136" i="28" s="1"/>
  <c r="AC149" i="18"/>
  <c r="AL125" i="18"/>
  <c r="AJ127" i="28" s="1"/>
  <c r="AL149" i="18"/>
  <c r="AJ151" i="28" s="1"/>
  <c r="AC125" i="18"/>
  <c r="AC110" i="18"/>
  <c r="AL661" i="18"/>
  <c r="AJ663" i="28" s="1"/>
  <c r="AK59" i="19"/>
  <c r="AC565" i="18"/>
  <c r="AC370" i="18"/>
  <c r="AL378" i="18"/>
  <c r="AJ380" i="28" s="1"/>
  <c r="AL552" i="18"/>
  <c r="AJ554" i="28" s="1"/>
  <c r="AC409" i="18"/>
  <c r="AX42" i="19"/>
  <c r="AC176" i="18"/>
  <c r="BK58" i="19"/>
  <c r="AV43" i="19"/>
  <c r="BI43" i="19"/>
  <c r="AE57" i="19"/>
  <c r="BI42" i="19"/>
  <c r="AC56" i="18"/>
  <c r="AO49" i="19"/>
  <c r="BD46" i="19"/>
  <c r="AH58" i="19"/>
  <c r="AI52" i="19"/>
  <c r="AW46" i="19"/>
  <c r="AC689" i="18"/>
  <c r="AC74" i="18"/>
  <c r="AL361" i="18"/>
  <c r="AC214" i="18"/>
  <c r="AW49" i="19"/>
  <c r="AC492" i="18"/>
  <c r="AL349" i="18"/>
  <c r="AJ351" i="28" s="1"/>
  <c r="AL419" i="18"/>
  <c r="AJ421" i="28" s="1"/>
  <c r="AC700" i="18"/>
  <c r="AC529" i="18"/>
  <c r="AL565" i="18"/>
  <c r="AC717" i="18"/>
  <c r="AO62" i="19"/>
  <c r="AE40" i="19"/>
  <c r="AI41" i="19"/>
  <c r="AL655" i="18"/>
  <c r="AJ657" i="28" s="1"/>
  <c r="AL371" i="18"/>
  <c r="AJ373" i="28" s="1"/>
  <c r="AC599" i="18"/>
  <c r="AZ44" i="19"/>
  <c r="AL775" i="18"/>
  <c r="AJ777" i="28" s="1"/>
  <c r="AC252" i="18"/>
  <c r="AC468" i="18"/>
  <c r="AC553" i="18"/>
  <c r="BA46" i="19"/>
  <c r="AC814" i="18"/>
  <c r="AN58" i="19"/>
  <c r="AL18" i="18"/>
  <c r="BA58" i="19"/>
  <c r="AR57" i="19"/>
  <c r="BC49" i="19"/>
  <c r="BJ43" i="19"/>
  <c r="AZ52" i="19"/>
  <c r="BD47" i="19"/>
  <c r="AC357" i="18"/>
  <c r="BC52" i="19"/>
  <c r="AC586" i="18"/>
  <c r="BC50" i="19"/>
  <c r="BK51" i="19"/>
  <c r="AC59" i="19"/>
  <c r="AP42" i="19"/>
  <c r="AF47" i="19"/>
  <c r="AM40" i="19"/>
  <c r="AC866" i="18"/>
  <c r="AY59" i="19"/>
  <c r="AL164" i="18"/>
  <c r="AJ166" i="28" s="1"/>
  <c r="AL359" i="18"/>
  <c r="AJ361" i="28" s="1"/>
  <c r="AL176" i="18"/>
  <c r="AJ178" i="28" s="1"/>
  <c r="BF45" i="19"/>
  <c r="BK59" i="19"/>
  <c r="AN46" i="19"/>
  <c r="AL228" i="18"/>
  <c r="BK52" i="19"/>
  <c r="AP59" i="19"/>
  <c r="AC289" i="18"/>
  <c r="AL223" i="18"/>
  <c r="AJ225" i="28" s="1"/>
  <c r="BA53" i="19"/>
  <c r="AC343" i="18"/>
  <c r="BH45" i="19"/>
  <c r="AL509" i="18"/>
  <c r="AL822" i="18"/>
  <c r="AJ824" i="28" s="1"/>
  <c r="AC899" i="18"/>
  <c r="BB56" i="19"/>
  <c r="AJ48" i="19"/>
  <c r="AL71" i="18"/>
  <c r="AJ73" i="28" s="1"/>
  <c r="AZ62" i="19"/>
  <c r="AC104" i="18"/>
  <c r="AC355" i="18"/>
  <c r="BG47" i="19"/>
  <c r="BF53" i="19"/>
  <c r="AN44" i="19"/>
  <c r="AC62" i="18"/>
  <c r="AC799" i="18"/>
  <c r="AC505" i="18"/>
  <c r="Z53" i="19"/>
  <c r="AR58" i="19"/>
  <c r="AL11" i="18"/>
  <c r="AJ13" i="28" s="1"/>
  <c r="AC566" i="18"/>
  <c r="AG59" i="19"/>
  <c r="AF60" i="19"/>
  <c r="AL252" i="18"/>
  <c r="AJ254" i="28" s="1"/>
  <c r="AT40" i="19"/>
  <c r="BE50" i="19"/>
  <c r="AL507" i="18"/>
  <c r="AC629" i="18"/>
  <c r="AL828" i="18"/>
  <c r="AJ830" i="28" s="1"/>
  <c r="AL641" i="18"/>
  <c r="AJ643" i="28" s="1"/>
  <c r="AC708" i="18"/>
  <c r="AL45" i="18"/>
  <c r="AJ47" i="28" s="1"/>
  <c r="AC739" i="18"/>
  <c r="AJ46" i="19"/>
  <c r="AA45" i="19"/>
  <c r="AC479" i="18"/>
  <c r="AC734" i="18"/>
  <c r="AL751" i="18"/>
  <c r="AJ753" i="28" s="1"/>
  <c r="BD41" i="19"/>
  <c r="BB42" i="19"/>
  <c r="AF40" i="19"/>
  <c r="Y50" i="19"/>
  <c r="AE43" i="19"/>
  <c r="AL304" i="18"/>
  <c r="AJ306" i="28" s="1"/>
  <c r="AC573" i="18"/>
  <c r="AL461" i="18"/>
  <c r="AJ463" i="28" s="1"/>
  <c r="AL47" i="19"/>
  <c r="AC791" i="18"/>
  <c r="AV49" i="19"/>
  <c r="BH43" i="19"/>
  <c r="BE55" i="19"/>
  <c r="AV53" i="19"/>
  <c r="AL334" i="18"/>
  <c r="AJ336" i="28" s="1"/>
  <c r="AC813" i="18"/>
  <c r="AL46" i="18"/>
  <c r="AJ48" i="28" s="1"/>
  <c r="BG49" i="19"/>
  <c r="AC522" i="18"/>
  <c r="AC836" i="18"/>
  <c r="AV52" i="19"/>
  <c r="AC164" i="18"/>
  <c r="BL50" i="19"/>
  <c r="AN55" i="19"/>
  <c r="AL59" i="18"/>
  <c r="AJ61" i="28" s="1"/>
  <c r="AC40" i="19"/>
  <c r="BF62" i="19"/>
  <c r="AL46" i="19"/>
  <c r="AG47" i="19"/>
  <c r="AC423" i="18"/>
  <c r="AK49" i="19"/>
  <c r="AC779" i="18"/>
  <c r="BD50" i="19"/>
  <c r="AZ56" i="19"/>
  <c r="AC567" i="18"/>
  <c r="AL251" i="18"/>
  <c r="AJ253" i="28" s="1"/>
  <c r="AK55" i="19"/>
  <c r="BL43" i="19"/>
  <c r="AC618" i="18"/>
  <c r="AC378" i="18"/>
  <c r="AZ61" i="19"/>
  <c r="AL580" i="18"/>
  <c r="AJ582" i="28" s="1"/>
  <c r="AL94" i="18"/>
  <c r="AJ96" i="28" s="1"/>
  <c r="AL100" i="18"/>
  <c r="AJ102" i="28" s="1"/>
  <c r="AO53" i="19"/>
  <c r="AK53" i="19"/>
  <c r="AN39" i="19"/>
  <c r="AM49" i="19"/>
  <c r="AL63" i="18"/>
  <c r="AJ65" i="28" s="1"/>
  <c r="AB57" i="19"/>
  <c r="AL523" i="18"/>
  <c r="AJ525" i="28" s="1"/>
  <c r="AG39" i="19"/>
  <c r="AC223" i="18"/>
  <c r="AL449" i="18"/>
  <c r="AJ451" i="28" s="1"/>
  <c r="AQ40" i="19"/>
  <c r="AL33" i="18"/>
  <c r="AJ35" i="28" s="1"/>
  <c r="AC419" i="18"/>
  <c r="AC403" i="18"/>
  <c r="AL493" i="18"/>
  <c r="AJ495" i="28" s="1"/>
  <c r="BF46" i="19"/>
  <c r="AP56" i="19"/>
  <c r="BG51" i="19"/>
  <c r="AL719" i="18"/>
  <c r="AJ721" i="28" s="1"/>
  <c r="AA47" i="19"/>
  <c r="AL50" i="18"/>
  <c r="AJ52" i="28" s="1"/>
  <c r="AQ47" i="19"/>
  <c r="AR56" i="19"/>
  <c r="AC132" i="18"/>
  <c r="Z59" i="19"/>
  <c r="AC266" i="18"/>
  <c r="BF41" i="19"/>
  <c r="BJ60" i="19"/>
  <c r="BF48" i="19"/>
  <c r="AK56" i="19"/>
  <c r="Z43" i="19"/>
  <c r="AC62" i="19"/>
  <c r="AH51" i="19"/>
  <c r="AO54" i="19"/>
  <c r="AL340" i="18"/>
  <c r="AJ342" i="28" s="1"/>
  <c r="AM58" i="19"/>
  <c r="AK54" i="19"/>
  <c r="BA43" i="19"/>
  <c r="AX46" i="19"/>
  <c r="AL20" i="18"/>
  <c r="AJ22" i="28" s="1"/>
  <c r="AC49" i="19"/>
  <c r="AL676" i="18"/>
  <c r="AJ678" i="28" s="1"/>
  <c r="AL363" i="18"/>
  <c r="AJ365" i="28" s="1"/>
  <c r="BE62" i="19"/>
  <c r="AU46" i="19"/>
  <c r="AP51" i="19"/>
  <c r="AY58" i="19"/>
  <c r="AL45" i="19"/>
  <c r="AP57" i="19"/>
  <c r="BJ45" i="19"/>
  <c r="AC349" i="18"/>
  <c r="BL62" i="19"/>
  <c r="BG42" i="19"/>
  <c r="AC243" i="18"/>
  <c r="Y54" i="19"/>
  <c r="AL777" i="18"/>
  <c r="AJ779" i="28" s="1"/>
  <c r="AC490" i="18"/>
  <c r="AL866" i="18"/>
  <c r="AJ868" i="28" s="1"/>
  <c r="AC738" i="18"/>
  <c r="BH59" i="19"/>
  <c r="AL358" i="18"/>
  <c r="AJ360" i="28" s="1"/>
  <c r="AN42" i="19"/>
  <c r="BJ62" i="19"/>
  <c r="AG54" i="19"/>
  <c r="AF54" i="19"/>
  <c r="AZ51" i="19"/>
  <c r="AL646" i="18"/>
  <c r="AJ648" i="28" s="1"/>
  <c r="AL329" i="18"/>
  <c r="AJ331" i="28" s="1"/>
  <c r="AC14" i="18"/>
  <c r="AD14" i="18" s="1"/>
  <c r="AC904" i="18"/>
  <c r="AL708" i="18"/>
  <c r="AJ710" i="28" s="1"/>
  <c r="AJ58" i="19"/>
  <c r="AC101" i="18"/>
  <c r="AQ42" i="19"/>
  <c r="AL762" i="18"/>
  <c r="AJ764" i="28" s="1"/>
  <c r="AL57" i="18"/>
  <c r="AJ59" i="28" s="1"/>
  <c r="AV54" i="19"/>
  <c r="AL148" i="18"/>
  <c r="AJ150" i="28" s="1"/>
  <c r="AC140" i="18"/>
  <c r="AD52" i="19"/>
  <c r="AL89" i="18"/>
  <c r="BK60" i="19"/>
  <c r="AH43" i="19"/>
  <c r="AL663" i="18"/>
  <c r="AJ665" i="28" s="1"/>
  <c r="AC686" i="18"/>
  <c r="AC298" i="18"/>
  <c r="AN61" i="19"/>
  <c r="AC881" i="18"/>
  <c r="AL356" i="18"/>
  <c r="BC47" i="19"/>
  <c r="AC536" i="18"/>
  <c r="AL16" i="18"/>
  <c r="AJ18" i="28" s="1"/>
  <c r="AX61" i="19"/>
  <c r="AJ57" i="19"/>
  <c r="AL754" i="18"/>
  <c r="AJ756" i="28" s="1"/>
  <c r="AL584" i="18"/>
  <c r="AJ586" i="28" s="1"/>
  <c r="AC679" i="18"/>
  <c r="AL61" i="19"/>
  <c r="AK41" i="19"/>
  <c r="AC543" i="18"/>
  <c r="Z39" i="19"/>
  <c r="AH62" i="19"/>
  <c r="AA54" i="19"/>
  <c r="AL657" i="18"/>
  <c r="AJ659" i="28" s="1"/>
  <c r="BF52" i="19"/>
  <c r="AC385" i="18"/>
  <c r="AC451" i="18"/>
  <c r="AL344" i="18"/>
  <c r="AJ346" i="28" s="1"/>
  <c r="BK55" i="19"/>
  <c r="Y58" i="19"/>
  <c r="AT51" i="19"/>
  <c r="AI45" i="19"/>
  <c r="AR40" i="19"/>
  <c r="AL813" i="18"/>
  <c r="AJ815" i="28" s="1"/>
  <c r="AF52" i="19"/>
  <c r="AQ57" i="19"/>
  <c r="AD50" i="19"/>
  <c r="AL873" i="18"/>
  <c r="AJ875" i="28" s="1"/>
  <c r="AL133" i="18"/>
  <c r="AJ135" i="28" s="1"/>
  <c r="AC53" i="19"/>
  <c r="AB40" i="19"/>
  <c r="AY39" i="19"/>
  <c r="AP49" i="19"/>
  <c r="AH47" i="19"/>
  <c r="AC614" i="18"/>
  <c r="AC762" i="18"/>
  <c r="AI62" i="19"/>
  <c r="AC34" i="18"/>
  <c r="Z48" i="19"/>
  <c r="AL716" i="18"/>
  <c r="AJ718" i="28" s="1"/>
  <c r="AS40" i="19"/>
  <c r="AY53" i="19"/>
  <c r="AL385" i="18"/>
  <c r="AJ387" i="28" s="1"/>
  <c r="AI50" i="19"/>
  <c r="BL52" i="19"/>
  <c r="AT60" i="19"/>
  <c r="AW54" i="19"/>
  <c r="BF54" i="19"/>
  <c r="AC454" i="18"/>
  <c r="AI47" i="19"/>
  <c r="AL597" i="18"/>
  <c r="AJ599" i="28" s="1"/>
  <c r="AC843" i="18"/>
  <c r="AC644" i="18"/>
  <c r="AG44" i="19"/>
  <c r="BK41" i="19"/>
  <c r="AC48" i="19"/>
  <c r="AH39" i="19"/>
  <c r="AJ62" i="19"/>
  <c r="AC334" i="18"/>
  <c r="AG51" i="19"/>
  <c r="AS59" i="19"/>
  <c r="AL282" i="18"/>
  <c r="AJ284" i="28" s="1"/>
  <c r="AE46" i="19"/>
  <c r="Z60" i="19"/>
  <c r="AI44" i="19"/>
  <c r="BD57" i="19"/>
  <c r="AE54" i="19"/>
  <c r="Y46" i="19"/>
  <c r="AD39" i="19"/>
  <c r="BA57" i="19"/>
  <c r="BK47" i="19"/>
  <c r="AL49" i="19"/>
  <c r="AX50" i="19"/>
  <c r="AV58" i="19"/>
  <c r="AA55" i="19"/>
  <c r="AW39" i="19"/>
  <c r="AA42" i="19"/>
  <c r="BL41" i="19"/>
  <c r="AC873" i="18"/>
  <c r="AL674" i="18"/>
  <c r="AJ676" i="28" s="1"/>
  <c r="AL553" i="18"/>
  <c r="AJ555" i="28" s="1"/>
  <c r="AC213" i="18"/>
  <c r="BH42" i="19"/>
  <c r="AC580" i="18"/>
  <c r="AL798" i="18"/>
  <c r="AJ800" i="28" s="1"/>
  <c r="AC701" i="18"/>
  <c r="AL589" i="18"/>
  <c r="AL627" i="18"/>
  <c r="AJ629" i="28" s="1"/>
  <c r="AC52" i="19"/>
  <c r="AK62" i="19"/>
  <c r="AC274" i="18"/>
  <c r="AL254" i="18"/>
  <c r="AJ256" i="28" s="1"/>
  <c r="AC612" i="18"/>
  <c r="AN47" i="19"/>
  <c r="AL867" i="18"/>
  <c r="BC62" i="19"/>
  <c r="BG39" i="19"/>
  <c r="AC184" i="18"/>
  <c r="AC47" i="19"/>
  <c r="AL567" i="18"/>
  <c r="AJ569" i="28" s="1"/>
  <c r="BD59" i="19"/>
  <c r="AC513" i="18"/>
  <c r="AC511" i="18"/>
  <c r="AC45" i="18"/>
  <c r="AQ60" i="19"/>
  <c r="AL346" i="18"/>
  <c r="AJ348" i="28" s="1"/>
  <c r="AL341" i="18"/>
  <c r="AJ343" i="28" s="1"/>
  <c r="BF40" i="19"/>
  <c r="AL595" i="18"/>
  <c r="AJ597" i="28" s="1"/>
  <c r="AL619" i="18"/>
  <c r="AJ621" i="28" s="1"/>
  <c r="AC508" i="18"/>
  <c r="BB57" i="19"/>
  <c r="AC29" i="18"/>
  <c r="AL374" i="18"/>
  <c r="AJ376" i="28" s="1"/>
  <c r="BE44" i="19"/>
  <c r="AC194" i="18"/>
  <c r="AU50" i="19"/>
  <c r="AC56" i="19"/>
  <c r="AC611" i="18"/>
  <c r="AW44" i="19"/>
  <c r="AC671" i="18"/>
  <c r="AL644" i="18"/>
  <c r="AJ646" i="28" s="1"/>
  <c r="AC673" i="18"/>
  <c r="AL355" i="18"/>
  <c r="AJ357" i="28" s="1"/>
  <c r="AL39" i="19"/>
  <c r="AL460" i="18"/>
  <c r="AJ462" i="28" s="1"/>
  <c r="AL685" i="18"/>
  <c r="AD41" i="19"/>
  <c r="AC311" i="18"/>
  <c r="AC867" i="18"/>
  <c r="AO55" i="19"/>
  <c r="AC719" i="18"/>
  <c r="AC828" i="18"/>
  <c r="AC597" i="18"/>
  <c r="AC133" i="18"/>
  <c r="AC196" i="18"/>
  <c r="AD53" i="19"/>
  <c r="AC44" i="19"/>
  <c r="BK50" i="19"/>
  <c r="AW58" i="19"/>
  <c r="AV60" i="19"/>
  <c r="AH54" i="19"/>
  <c r="AL463" i="18"/>
  <c r="AL417" i="18"/>
  <c r="AJ419" i="28" s="1"/>
  <c r="AC730" i="18"/>
  <c r="AL618" i="18"/>
  <c r="AJ620" i="28" s="1"/>
  <c r="AC136" i="18"/>
  <c r="AC303" i="18"/>
  <c r="AC880" i="18"/>
  <c r="AO56" i="19"/>
  <c r="AC633" i="18"/>
  <c r="AL161" i="18"/>
  <c r="AJ163" i="28" s="1"/>
  <c r="AO46" i="19"/>
  <c r="AA49" i="19"/>
  <c r="AQ45" i="19"/>
  <c r="BH60" i="19"/>
  <c r="BF56" i="19"/>
  <c r="AM60" i="19"/>
  <c r="AX62" i="19"/>
  <c r="AY62" i="19"/>
  <c r="AC807" i="18"/>
  <c r="AN50" i="19"/>
  <c r="AG61" i="19"/>
  <c r="AR50" i="19"/>
  <c r="AU47" i="19"/>
  <c r="AL27" i="18"/>
  <c r="AJ29" i="28" s="1"/>
  <c r="Z50" i="19"/>
  <c r="AE52" i="19"/>
  <c r="AL582" i="18"/>
  <c r="AJ584" i="28" s="1"/>
  <c r="AC537" i="18"/>
  <c r="AL132" i="18"/>
  <c r="AJ134" i="28" s="1"/>
  <c r="AL415" i="18"/>
  <c r="AJ417" i="28" s="1"/>
  <c r="AL433" i="18"/>
  <c r="AJ435" i="28" s="1"/>
  <c r="BA47" i="19"/>
  <c r="AE48" i="19"/>
  <c r="Z62" i="19"/>
  <c r="AU59" i="19"/>
  <c r="Z52" i="19"/>
  <c r="AI40" i="19"/>
  <c r="AU41" i="19"/>
  <c r="AI42" i="19"/>
  <c r="AC312" i="18"/>
  <c r="AC693" i="18"/>
  <c r="AL151" i="18"/>
  <c r="AJ153" i="28" s="1"/>
  <c r="AX43" i="19"/>
  <c r="AO57" i="19"/>
  <c r="BE42" i="19"/>
  <c r="AH49" i="19"/>
  <c r="AU53" i="19"/>
  <c r="AL214" i="18"/>
  <c r="AJ216" i="28" s="1"/>
  <c r="AX44" i="19"/>
  <c r="AS54" i="19"/>
  <c r="AV55" i="19"/>
  <c r="AB62" i="19"/>
  <c r="AL28" i="18"/>
  <c r="AJ30" i="28" s="1"/>
  <c r="AW52" i="19"/>
  <c r="AL175" i="18"/>
  <c r="AJ177" i="28" s="1"/>
  <c r="AL432" i="18"/>
  <c r="AJ434" i="28" s="1"/>
  <c r="AC281" i="18"/>
  <c r="AX48" i="19"/>
  <c r="AC556" i="18"/>
  <c r="AL701" i="18"/>
  <c r="AJ703" i="28" s="1"/>
  <c r="AA39" i="19"/>
  <c r="BB60" i="19"/>
  <c r="AT41" i="19"/>
  <c r="AL19" i="18"/>
  <c r="AJ21" i="28" s="1"/>
  <c r="AO50" i="19"/>
  <c r="AB39" i="19"/>
  <c r="AA52" i="19"/>
  <c r="AL70" i="18"/>
  <c r="AJ72" i="28" s="1"/>
  <c r="AL76" i="18"/>
  <c r="AJ78" i="28" s="1"/>
  <c r="AC79" i="18"/>
  <c r="AL43" i="19"/>
  <c r="AQ48" i="19"/>
  <c r="AQ51" i="19"/>
  <c r="AY49" i="19"/>
  <c r="AU48" i="19"/>
  <c r="AC749" i="18"/>
  <c r="BK44" i="19"/>
  <c r="AG41" i="19"/>
  <c r="BH44" i="19"/>
  <c r="AC313" i="18"/>
  <c r="BE46" i="19"/>
  <c r="AS53" i="19"/>
  <c r="AV56" i="19"/>
  <c r="AC46" i="18"/>
  <c r="AJ53" i="19"/>
  <c r="AJ55" i="19"/>
  <c r="AK48" i="19"/>
  <c r="AC207" i="18"/>
  <c r="AL402" i="18"/>
  <c r="AC235" i="18"/>
  <c r="BC53" i="19"/>
  <c r="BB50" i="19"/>
  <c r="AC655" i="18"/>
  <c r="AB43" i="19"/>
  <c r="AL745" i="18"/>
  <c r="AJ747" i="28" s="1"/>
  <c r="AL809" i="18"/>
  <c r="AJ811" i="28" s="1"/>
  <c r="AA43" i="19"/>
  <c r="BK49" i="19"/>
  <c r="AC882" i="18"/>
  <c r="AL479" i="18"/>
  <c r="AJ481" i="28" s="1"/>
  <c r="AL58" i="19"/>
  <c r="AL783" i="18"/>
  <c r="AJ785" i="28" s="1"/>
  <c r="AC783" i="18"/>
  <c r="AH40" i="19"/>
  <c r="AL779" i="18"/>
  <c r="AC386" i="18"/>
  <c r="AL566" i="18"/>
  <c r="AJ568" i="28" s="1"/>
  <c r="AQ56" i="19"/>
  <c r="AS39" i="19"/>
  <c r="AJ61" i="19"/>
  <c r="AC464" i="18"/>
  <c r="AL746" i="18"/>
  <c r="AJ748" i="28" s="1"/>
  <c r="AC41" i="19"/>
  <c r="AU52" i="19"/>
  <c r="Y42" i="19"/>
  <c r="AM39" i="19"/>
  <c r="AS45" i="19"/>
  <c r="AR43" i="19"/>
  <c r="AL403" i="18"/>
  <c r="AJ405" i="28" s="1"/>
  <c r="AO58" i="19"/>
  <c r="BC54" i="19"/>
  <c r="AL342" i="18"/>
  <c r="AJ344" i="28" s="1"/>
  <c r="AL271" i="18"/>
  <c r="AJ273" i="28" s="1"/>
  <c r="Z41" i="19"/>
  <c r="AY50" i="19"/>
  <c r="Y61" i="19"/>
  <c r="AA61" i="19"/>
  <c r="AZ58" i="19"/>
  <c r="BD60" i="19"/>
  <c r="BH58" i="19"/>
  <c r="AC558" i="18"/>
  <c r="AC821" i="18"/>
  <c r="AC733" i="18"/>
  <c r="AX57" i="19"/>
  <c r="AH46" i="19"/>
  <c r="AT57" i="19"/>
  <c r="AC63" i="18"/>
  <c r="BL42" i="19"/>
  <c r="AL753" i="18"/>
  <c r="AJ755" i="28" s="1"/>
  <c r="BB51" i="19"/>
  <c r="AC514" i="18"/>
  <c r="AC299" i="18"/>
  <c r="AL267" i="18"/>
  <c r="AJ269" i="28" s="1"/>
  <c r="AL462" i="18"/>
  <c r="AJ464" i="28" s="1"/>
  <c r="AC295" i="18"/>
  <c r="AL492" i="18"/>
  <c r="AJ494" i="28" s="1"/>
  <c r="AL724" i="18"/>
  <c r="AJ726" i="28" s="1"/>
  <c r="AC447" i="18"/>
  <c r="AL678" i="18"/>
  <c r="AJ680" i="28" s="1"/>
  <c r="AL491" i="18"/>
  <c r="AJ493" i="28" s="1"/>
  <c r="AC394" i="18"/>
  <c r="AV57" i="19"/>
  <c r="AC250" i="18"/>
  <c r="AC507" i="18"/>
  <c r="AC340" i="18"/>
  <c r="AC372" i="18"/>
  <c r="AL604" i="18"/>
  <c r="AJ606" i="28" s="1"/>
  <c r="AW60" i="19"/>
  <c r="AL316" i="18"/>
  <c r="AJ318" i="28" s="1"/>
  <c r="AC161" i="18"/>
  <c r="AW62" i="19"/>
  <c r="Z58" i="19"/>
  <c r="AC584" i="18"/>
  <c r="AX51" i="19"/>
  <c r="AV42" i="19"/>
  <c r="AL731" i="18"/>
  <c r="AJ733" i="28" s="1"/>
  <c r="AC628" i="18"/>
  <c r="BB44" i="19"/>
  <c r="AV62" i="19"/>
  <c r="AL769" i="18"/>
  <c r="AJ771" i="28" s="1"/>
  <c r="BE59" i="19"/>
  <c r="AC463" i="18"/>
  <c r="BC43" i="19"/>
  <c r="BI57" i="19"/>
  <c r="AC760" i="18"/>
  <c r="AC424" i="18"/>
  <c r="AC484" i="18"/>
  <c r="AL226" i="18"/>
  <c r="AJ228" i="28" s="1"/>
  <c r="AC688" i="18"/>
  <c r="AU45" i="19"/>
  <c r="BI46" i="19"/>
  <c r="AA59" i="19"/>
  <c r="BE52" i="19"/>
  <c r="AL688" i="18"/>
  <c r="AJ690" i="28" s="1"/>
  <c r="AC433" i="18"/>
  <c r="AZ46" i="19"/>
  <c r="AM57" i="19"/>
  <c r="AL238" i="18"/>
  <c r="AJ240" i="28" s="1"/>
  <c r="AC524" i="18"/>
  <c r="AC603" i="18"/>
  <c r="AL520" i="18"/>
  <c r="AJ522" i="28" s="1"/>
  <c r="BD52" i="19"/>
  <c r="AC493" i="18"/>
  <c r="BG43" i="19"/>
  <c r="AC304" i="18"/>
  <c r="AP61" i="19"/>
  <c r="AL709" i="18"/>
  <c r="AJ711" i="28" s="1"/>
  <c r="AL5" i="18"/>
  <c r="AJ7" i="28" s="1"/>
  <c r="AW48" i="19"/>
  <c r="BA51" i="19"/>
  <c r="AX39" i="19"/>
  <c r="AL253" i="18"/>
  <c r="AJ255" i="28" s="1"/>
  <c r="AB56" i="19"/>
  <c r="AF62" i="19"/>
  <c r="AC496" i="18"/>
  <c r="AL748" i="18"/>
  <c r="AJ750" i="28" s="1"/>
  <c r="AC229" i="18"/>
  <c r="AE49" i="19"/>
  <c r="BK53" i="19"/>
  <c r="AS57" i="19"/>
  <c r="BI56" i="19"/>
  <c r="AC192" i="18"/>
  <c r="BG46" i="19"/>
  <c r="AC15" i="18"/>
  <c r="AD15" i="18" s="1"/>
  <c r="AL311" i="18"/>
  <c r="AJ313" i="28" s="1"/>
  <c r="AD61" i="19"/>
  <c r="AR46" i="19"/>
  <c r="BI54" i="19"/>
  <c r="AG60" i="19"/>
  <c r="AC183" i="18"/>
  <c r="AL528" i="18"/>
  <c r="AJ530" i="28" s="1"/>
  <c r="AL448" i="18"/>
  <c r="AJ450" i="28" s="1"/>
  <c r="AL852" i="18"/>
  <c r="AJ854" i="28" s="1"/>
  <c r="AW51" i="19"/>
  <c r="AL760" i="18"/>
  <c r="AL394" i="18"/>
  <c r="AJ396" i="28" s="1"/>
  <c r="BI51" i="19"/>
  <c r="AL138" i="18"/>
  <c r="AJ140" i="28" s="1"/>
  <c r="AL763" i="18"/>
  <c r="AJ765" i="28" s="1"/>
  <c r="AC432" i="18"/>
  <c r="AL239" i="18"/>
  <c r="AJ241" i="28" s="1"/>
  <c r="AL184" i="18"/>
  <c r="AJ186" i="28" s="1"/>
  <c r="AL265" i="18"/>
  <c r="AL704" i="18"/>
  <c r="AJ706" i="28" s="1"/>
  <c r="BD45" i="19"/>
  <c r="AL364" i="18"/>
  <c r="AJ366" i="28" s="1"/>
  <c r="AL124" i="18"/>
  <c r="AJ126" i="28" s="1"/>
  <c r="BC41" i="19"/>
  <c r="AL49" i="18"/>
  <c r="AJ51" i="28" s="1"/>
  <c r="AC544" i="18"/>
  <c r="BI39" i="19"/>
  <c r="BI44" i="19"/>
  <c r="AH50" i="19"/>
  <c r="AL51" i="19"/>
  <c r="AM53" i="19"/>
  <c r="AC61" i="18"/>
  <c r="AC32" i="18"/>
  <c r="AS43" i="19"/>
  <c r="AC732" i="18"/>
  <c r="AS46" i="19"/>
  <c r="AL535" i="18"/>
  <c r="AJ537" i="28" s="1"/>
  <c r="BK46" i="19"/>
  <c r="AM62" i="19"/>
  <c r="BH52" i="19"/>
  <c r="AF57" i="19"/>
  <c r="AW55" i="19"/>
  <c r="BC56" i="19"/>
  <c r="Z61" i="19"/>
  <c r="BJ39" i="19"/>
  <c r="AE53" i="19"/>
  <c r="BD48" i="19"/>
  <c r="AC604" i="18"/>
  <c r="AC228" i="18"/>
  <c r="AL319" i="18"/>
  <c r="AJ321" i="28" s="1"/>
  <c r="AL477" i="18"/>
  <c r="AC318" i="18"/>
  <c r="AC374" i="18"/>
  <c r="AL574" i="18"/>
  <c r="AJ576" i="28" s="1"/>
  <c r="AC400" i="18"/>
  <c r="BA60" i="19"/>
  <c r="AI53" i="19"/>
  <c r="AC798" i="18"/>
  <c r="AT46" i="19"/>
  <c r="AY48" i="19"/>
  <c r="AC401" i="18"/>
  <c r="AL206" i="18"/>
  <c r="AJ208" i="28" s="1"/>
  <c r="AU61" i="19"/>
  <c r="AZ55" i="19"/>
  <c r="AO42" i="19"/>
  <c r="AL536" i="18"/>
  <c r="AJ538" i="28" s="1"/>
  <c r="AC439" i="18"/>
  <c r="AE61" i="19"/>
  <c r="BB45" i="19"/>
  <c r="AL12" i="18"/>
  <c r="AJ14" i="28" s="1"/>
  <c r="AC55" i="19"/>
  <c r="BK45" i="19"/>
  <c r="BC44" i="19"/>
  <c r="Y53" i="19"/>
  <c r="AL453" i="18"/>
  <c r="AL843" i="18"/>
  <c r="AJ845" i="28" s="1"/>
  <c r="AC483" i="18"/>
  <c r="AL85" i="18"/>
  <c r="AJ87" i="28" s="1"/>
  <c r="AC43" i="18"/>
  <c r="AE50" i="19"/>
  <c r="AL614" i="18"/>
  <c r="AJ616" i="28" s="1"/>
  <c r="AC344" i="18"/>
  <c r="AL844" i="18"/>
  <c r="AT47" i="19"/>
  <c r="AE45" i="19"/>
  <c r="AL628" i="18"/>
  <c r="AJ630" i="28" s="1"/>
  <c r="AL17" i="18"/>
  <c r="AJ19" i="28" s="1"/>
  <c r="BI52" i="19"/>
  <c r="AX54" i="19"/>
  <c r="BH61" i="19"/>
  <c r="AL734" i="18"/>
  <c r="AC389" i="18"/>
  <c r="AL464" i="18"/>
  <c r="AJ466" i="28" s="1"/>
  <c r="AL642" i="18"/>
  <c r="AJ644" i="28" s="1"/>
  <c r="AL447" i="18"/>
  <c r="AJ449" i="28" s="1"/>
  <c r="AL551" i="18"/>
  <c r="AJ553" i="28" s="1"/>
  <c r="AL723" i="18"/>
  <c r="AJ725" i="28" s="1"/>
  <c r="AC581" i="18"/>
  <c r="AL764" i="18"/>
  <c r="AL702" i="18"/>
  <c r="AJ704" i="28" s="1"/>
  <c r="AC310" i="18"/>
  <c r="AC552" i="18"/>
  <c r="AD552" i="18" s="1"/>
  <c r="BL56" i="19"/>
  <c r="AR39" i="19"/>
  <c r="AC54" i="19"/>
  <c r="AV40" i="19"/>
  <c r="AC328" i="18"/>
  <c r="AU51" i="19"/>
  <c r="AL408" i="18"/>
  <c r="AJ410" i="28" s="1"/>
  <c r="AC319" i="18"/>
  <c r="AC48" i="18"/>
  <c r="AJ52" i="19"/>
  <c r="AZ39" i="19"/>
  <c r="AC694" i="18"/>
  <c r="AC326" i="18"/>
  <c r="AC86" i="18"/>
  <c r="AC58" i="18"/>
  <c r="AA53" i="19"/>
  <c r="AC768" i="18"/>
  <c r="AL573" i="18"/>
  <c r="AJ575" i="28" s="1"/>
  <c r="AP58" i="19"/>
  <c r="BC48" i="19"/>
  <c r="AC109" i="18"/>
  <c r="AC574" i="18"/>
  <c r="AC190" i="18"/>
  <c r="AC327" i="18"/>
  <c r="AL513" i="18"/>
  <c r="AJ515" i="28" s="1"/>
  <c r="AL673" i="18"/>
  <c r="AJ675" i="28" s="1"/>
  <c r="AL903" i="18"/>
  <c r="AJ905" i="28" s="1"/>
  <c r="AY51" i="19"/>
  <c r="AK45" i="19"/>
  <c r="AP50" i="19"/>
  <c r="AE60" i="19"/>
  <c r="AL57" i="19"/>
  <c r="BG48" i="19"/>
  <c r="AL30" i="18"/>
  <c r="AJ32" i="28" s="1"/>
  <c r="AL310" i="18"/>
  <c r="AJ312" i="28" s="1"/>
  <c r="AL524" i="18"/>
  <c r="AJ526" i="28" s="1"/>
  <c r="AC333" i="18"/>
  <c r="AL209" i="18"/>
  <c r="AJ211" i="28" s="1"/>
  <c r="AC89" i="18"/>
  <c r="AG40" i="19"/>
  <c r="AL386" i="18"/>
  <c r="AJ388" i="28" s="1"/>
  <c r="AL191" i="18"/>
  <c r="AJ193" i="28" s="1"/>
  <c r="AC254" i="18"/>
  <c r="AC430" i="18"/>
  <c r="AL691" i="18"/>
  <c r="AL451" i="18"/>
  <c r="AJ453" i="28" s="1"/>
  <c r="AJ43" i="19"/>
  <c r="Z47" i="19"/>
  <c r="AC678" i="18"/>
  <c r="AO41" i="19"/>
  <c r="AL904" i="18"/>
  <c r="AJ906" i="28" s="1"/>
  <c r="BH55" i="19"/>
  <c r="AC244" i="18"/>
  <c r="BH53" i="19"/>
  <c r="Y55" i="19"/>
  <c r="AM42" i="19"/>
  <c r="BF39" i="19"/>
  <c r="AC416" i="18"/>
  <c r="AC284" i="18"/>
  <c r="AR42" i="19"/>
  <c r="AL179" i="18"/>
  <c r="AL468" i="18"/>
  <c r="AJ470" i="28" s="1"/>
  <c r="AL273" i="18"/>
  <c r="AJ275" i="28" s="1"/>
  <c r="AL297" i="18"/>
  <c r="AJ299" i="28" s="1"/>
  <c r="AC521" i="18"/>
  <c r="BE49" i="19"/>
  <c r="AL34" i="18"/>
  <c r="AJ36" i="28" s="1"/>
  <c r="AT48" i="19"/>
  <c r="AH53" i="19"/>
  <c r="AW41" i="19"/>
  <c r="AZ40" i="19"/>
  <c r="BI50" i="19"/>
  <c r="AA56" i="19"/>
  <c r="AL289" i="18"/>
  <c r="AJ291" i="28" s="1"/>
  <c r="AG45" i="19"/>
  <c r="BB39" i="19"/>
  <c r="BB58" i="19"/>
  <c r="BH40" i="19"/>
  <c r="BD40" i="19"/>
  <c r="AL805" i="18"/>
  <c r="AJ807" i="28" s="1"/>
  <c r="AH48" i="19"/>
  <c r="AC16" i="18"/>
  <c r="AD16" i="18" s="1"/>
  <c r="AB41" i="19"/>
  <c r="AL117" i="18"/>
  <c r="AJ119" i="28" s="1"/>
  <c r="BF42" i="19"/>
  <c r="AV44" i="19"/>
  <c r="AC271" i="18"/>
  <c r="AN43" i="19"/>
  <c r="BL55" i="19"/>
  <c r="AC571" i="18"/>
  <c r="AX60" i="19"/>
  <c r="AL221" i="18"/>
  <c r="AJ223" i="28" s="1"/>
  <c r="BK40" i="19"/>
  <c r="BD49" i="19"/>
  <c r="BL40" i="19"/>
  <c r="AC208" i="18"/>
  <c r="AV48" i="19"/>
  <c r="AS56" i="19"/>
  <c r="AL806" i="18"/>
  <c r="AJ808" i="28" s="1"/>
  <c r="BI53" i="19"/>
  <c r="AR54" i="19"/>
  <c r="BE48" i="19"/>
  <c r="AC71" i="18"/>
  <c r="BF58" i="19"/>
  <c r="AC348" i="18"/>
  <c r="AG42" i="19"/>
  <c r="AL640" i="18"/>
  <c r="AJ642" i="28" s="1"/>
  <c r="AL47" i="18"/>
  <c r="AJ49" i="28" s="1"/>
  <c r="AM43" i="19"/>
  <c r="AF44" i="19"/>
  <c r="AL612" i="18"/>
  <c r="AJ614" i="28" s="1"/>
  <c r="AL326" i="18"/>
  <c r="AJ328" i="28" s="1"/>
  <c r="BC51" i="19"/>
  <c r="AD60" i="19"/>
  <c r="AF56" i="19"/>
  <c r="AB49" i="19"/>
  <c r="BE41" i="19"/>
  <c r="AD48" i="19"/>
  <c r="AC658" i="18"/>
  <c r="AC40" i="18"/>
  <c r="Y49" i="19"/>
  <c r="AK44" i="19"/>
  <c r="AL794" i="18"/>
  <c r="AJ796" i="28" s="1"/>
  <c r="AK61" i="19"/>
  <c r="AC50" i="18"/>
  <c r="AB61" i="19"/>
  <c r="AC55" i="18"/>
  <c r="BH57" i="19"/>
  <c r="AM56" i="19"/>
  <c r="AZ50" i="19"/>
  <c r="AN54" i="19"/>
  <c r="AC506" i="18"/>
  <c r="AI58" i="19"/>
  <c r="AL236" i="18"/>
  <c r="AJ238" i="28" s="1"/>
  <c r="AL430" i="18"/>
  <c r="AJ432" i="28" s="1"/>
  <c r="AC259" i="18"/>
  <c r="AC267" i="18"/>
  <c r="AL483" i="18"/>
  <c r="AJ485" i="28" s="1"/>
  <c r="AC329" i="18"/>
  <c r="AA46" i="19"/>
  <c r="AC724" i="18"/>
  <c r="BE60" i="19"/>
  <c r="AC273" i="18"/>
  <c r="AC626" i="18"/>
  <c r="AG62" i="19"/>
  <c r="AN59" i="19"/>
  <c r="AL889" i="18"/>
  <c r="AJ891" i="28" s="1"/>
  <c r="AJ51" i="19"/>
  <c r="BH62" i="19"/>
  <c r="BE43" i="19"/>
  <c r="BC60" i="19"/>
  <c r="AA57" i="19"/>
  <c r="AK43" i="19"/>
  <c r="AE59" i="19"/>
  <c r="BF50" i="19"/>
  <c r="AC551" i="18"/>
  <c r="AC265" i="18"/>
  <c r="AL761" i="18"/>
  <c r="AJ763" i="28" s="1"/>
  <c r="AL53" i="19"/>
  <c r="AC835" i="18"/>
  <c r="AL506" i="18"/>
  <c r="AJ508" i="28" s="1"/>
  <c r="AL694" i="18"/>
  <c r="AJ696" i="28" s="1"/>
  <c r="AD55" i="19"/>
  <c r="AB44" i="19"/>
  <c r="AL730" i="18"/>
  <c r="AC535" i="18"/>
  <c r="AC539" i="18"/>
  <c r="AL738" i="18"/>
  <c r="AJ740" i="28" s="1"/>
  <c r="AL543" i="18"/>
  <c r="AJ545" i="28" s="1"/>
  <c r="AL178" i="18"/>
  <c r="AJ180" i="28" s="1"/>
  <c r="AL318" i="18"/>
  <c r="AJ320" i="28" s="1"/>
  <c r="AL899" i="18"/>
  <c r="AJ901" i="28" s="1"/>
  <c r="AG43" i="19"/>
  <c r="AV59" i="19"/>
  <c r="AL224" i="18"/>
  <c r="AJ226" i="28" s="1"/>
  <c r="AC494" i="18"/>
  <c r="AC57" i="19"/>
  <c r="BD54" i="19"/>
  <c r="BJ47" i="19"/>
  <c r="BF59" i="19"/>
  <c r="AC865" i="18"/>
  <c r="AP41" i="19"/>
  <c r="AL526" i="18"/>
  <c r="AJ528" i="28" s="1"/>
  <c r="AC139" i="18"/>
  <c r="AL732" i="18"/>
  <c r="AJ734" i="28" s="1"/>
  <c r="AU42" i="19"/>
  <c r="AL64" i="18"/>
  <c r="AJ66" i="28" s="1"/>
  <c r="AR62" i="19"/>
  <c r="AJ39" i="19"/>
  <c r="BA56" i="19"/>
  <c r="BJ41" i="19"/>
  <c r="AL296" i="18"/>
  <c r="AJ298" i="28" s="1"/>
  <c r="BD58" i="19"/>
  <c r="BH39" i="19"/>
  <c r="BH47" i="19"/>
  <c r="AL119" i="18"/>
  <c r="AJ121" i="28" s="1"/>
  <c r="AR45" i="19"/>
  <c r="AT61" i="19"/>
  <c r="AC237" i="18"/>
  <c r="AL550" i="18"/>
  <c r="AJ552" i="28" s="1"/>
  <c r="AC379" i="18"/>
  <c r="AT53" i="19"/>
  <c r="AJ50" i="19"/>
  <c r="AC316" i="18"/>
  <c r="AL768" i="18"/>
  <c r="AB53" i="19"/>
  <c r="AN41" i="19"/>
  <c r="AC438" i="18"/>
  <c r="AC634" i="18"/>
  <c r="BJ58" i="19"/>
  <c r="AL59" i="19"/>
  <c r="BB49" i="19"/>
  <c r="BC39" i="19"/>
  <c r="AX40" i="19"/>
  <c r="AE51" i="19"/>
  <c r="BE45" i="19"/>
  <c r="AP62" i="19"/>
  <c r="AG55" i="19"/>
  <c r="AF59" i="19"/>
  <c r="Y60" i="19"/>
  <c r="AC26" i="18"/>
  <c r="AC851" i="18"/>
  <c r="AE41" i="19"/>
  <c r="AC903" i="18"/>
  <c r="AR61" i="19"/>
  <c r="AC221" i="18"/>
  <c r="AL490" i="18"/>
  <c r="AJ492" i="28" s="1"/>
  <c r="AC342" i="18"/>
  <c r="BJ57" i="19"/>
  <c r="AL888" i="18"/>
  <c r="AJ890" i="28" s="1"/>
  <c r="Y41" i="19"/>
  <c r="AL717" i="18"/>
  <c r="AJ719" i="28" s="1"/>
  <c r="AL393" i="18"/>
  <c r="AJ395" i="28" s="1"/>
  <c r="AR55" i="19"/>
  <c r="AP43" i="19"/>
  <c r="AX53" i="19"/>
  <c r="AL850" i="18"/>
  <c r="AC663" i="18"/>
  <c r="AC702" i="18"/>
  <c r="BE51" i="19"/>
  <c r="AC792" i="18"/>
  <c r="BF55" i="19"/>
  <c r="AC30" i="18"/>
  <c r="AR48" i="19"/>
  <c r="BF57" i="19"/>
  <c r="BJ40" i="19"/>
  <c r="AL400" i="18"/>
  <c r="AJ402" i="28" s="1"/>
  <c r="AL229" i="18"/>
  <c r="AJ231" i="28" s="1"/>
  <c r="AL177" i="18"/>
  <c r="AJ179" i="28" s="1"/>
  <c r="AL423" i="18"/>
  <c r="AJ425" i="28" s="1"/>
  <c r="AC19" i="18"/>
  <c r="AD19" i="18" s="1"/>
  <c r="AC417" i="18"/>
  <c r="AL633" i="18"/>
  <c r="BA59" i="19"/>
  <c r="AL611" i="18"/>
  <c r="AJ613" i="28" s="1"/>
  <c r="AW56" i="19"/>
  <c r="AQ41" i="19"/>
  <c r="AC746" i="18"/>
  <c r="AC829" i="18"/>
  <c r="AD829" i="18" s="1"/>
  <c r="AS41" i="19"/>
  <c r="AO61" i="19"/>
  <c r="AD49" i="19"/>
  <c r="AD56" i="19"/>
  <c r="BE54" i="19"/>
  <c r="AF39" i="19"/>
  <c r="AC166" i="18"/>
  <c r="AW61" i="19"/>
  <c r="AC47" i="18"/>
  <c r="AC64" i="18"/>
  <c r="AL25" i="18"/>
  <c r="AJ27" i="28" s="1"/>
  <c r="AS50" i="19"/>
  <c r="AB55" i="19"/>
  <c r="BK56" i="19"/>
  <c r="AC554" i="18"/>
  <c r="AC70" i="18"/>
  <c r="AL14" i="18"/>
  <c r="AJ16" i="28" s="1"/>
  <c r="AQ39" i="19"/>
  <c r="AE55" i="19"/>
  <c r="BD43" i="19"/>
  <c r="AY45" i="19"/>
  <c r="AT43" i="19"/>
  <c r="AF41" i="19"/>
  <c r="AL814" i="18"/>
  <c r="AJ816" i="28" s="1"/>
  <c r="AL446" i="18"/>
  <c r="AJ448" i="28" s="1"/>
  <c r="AO51" i="19"/>
  <c r="AL327" i="18"/>
  <c r="AJ329" i="28" s="1"/>
  <c r="AL207" i="18"/>
  <c r="AJ209" i="28" s="1"/>
  <c r="AB52" i="19"/>
  <c r="AV51" i="19"/>
  <c r="AL299" i="18"/>
  <c r="AJ301" i="28" s="1"/>
  <c r="AL601" i="18"/>
  <c r="AJ603" i="28" s="1"/>
  <c r="AH56" i="19"/>
  <c r="AL820" i="18"/>
  <c r="AL505" i="18"/>
  <c r="AJ507" i="28" s="1"/>
  <c r="AC595" i="18"/>
  <c r="BK57" i="19"/>
  <c r="AP47" i="19"/>
  <c r="AU55" i="19"/>
  <c r="AL541" i="18"/>
  <c r="AJ543" i="28" s="1"/>
  <c r="AL496" i="18"/>
  <c r="AJ498" i="28" s="1"/>
  <c r="AK58" i="19"/>
  <c r="AL784" i="18"/>
  <c r="AJ786" i="28" s="1"/>
  <c r="AL851" i="18"/>
  <c r="AJ853" i="28" s="1"/>
  <c r="AQ46" i="19"/>
  <c r="AC163" i="18"/>
  <c r="AL706" i="18"/>
  <c r="AJ708" i="28" s="1"/>
  <c r="AE44" i="19"/>
  <c r="AL613" i="18"/>
  <c r="AJ615" i="28" s="1"/>
  <c r="AC469" i="18"/>
  <c r="AL86" i="18"/>
  <c r="AJ88" i="28" s="1"/>
  <c r="AL15" i="18"/>
  <c r="AJ17" i="28" s="1"/>
  <c r="AC616" i="18"/>
  <c r="AL478" i="18"/>
  <c r="AJ480" i="28" s="1"/>
  <c r="BA61" i="19"/>
  <c r="AC268" i="18"/>
  <c r="BA40" i="19"/>
  <c r="AW42" i="19"/>
  <c r="BJ54" i="19"/>
  <c r="AW53" i="19"/>
  <c r="BC46" i="19"/>
  <c r="Z55" i="19"/>
  <c r="AL538" i="18"/>
  <c r="AJ540" i="28" s="1"/>
  <c r="AC453" i="18"/>
  <c r="BJ50" i="19"/>
  <c r="BI48" i="19"/>
  <c r="AL110" i="18"/>
  <c r="AJ112" i="28" s="1"/>
  <c r="BJ53" i="19"/>
  <c r="AI46" i="19"/>
  <c r="BH46" i="19"/>
  <c r="AL721" i="18"/>
  <c r="AJ723" i="28" s="1"/>
  <c r="AL32" i="18"/>
  <c r="AJ34" i="28" s="1"/>
  <c r="BA48" i="19"/>
  <c r="AL404" i="18"/>
  <c r="AC236" i="18"/>
  <c r="AC42" i="19"/>
  <c r="AX41" i="19"/>
  <c r="AC674" i="18"/>
  <c r="AC685" i="18"/>
  <c r="AL418" i="18"/>
  <c r="AJ420" i="28" s="1"/>
  <c r="AL599" i="18"/>
  <c r="AJ601" i="28" s="1"/>
  <c r="AQ43" i="19"/>
  <c r="AC478" i="18"/>
  <c r="BG60" i="19"/>
  <c r="AC12" i="18"/>
  <c r="AD12" i="18" s="1"/>
  <c r="AL154" i="18"/>
  <c r="AJ156" i="28" s="1"/>
  <c r="AY52" i="19"/>
  <c r="AC460" i="18"/>
  <c r="AL73" i="18"/>
  <c r="AJ75" i="28" s="1"/>
  <c r="AC147" i="18"/>
  <c r="AL747" i="18"/>
  <c r="AJ749" i="28" s="1"/>
  <c r="AY46" i="19"/>
  <c r="AL118" i="18"/>
  <c r="AJ120" i="28" s="1"/>
  <c r="AC258" i="18"/>
  <c r="AR52" i="19"/>
  <c r="AL807" i="18"/>
  <c r="AJ809" i="28" s="1"/>
  <c r="BK43" i="19"/>
  <c r="AL280" i="18"/>
  <c r="AL40" i="18"/>
  <c r="AJ42" i="28" s="1"/>
  <c r="AY44" i="19"/>
  <c r="AL522" i="18"/>
  <c r="AJ524" i="28" s="1"/>
  <c r="AC301" i="18"/>
  <c r="AA60" i="19"/>
  <c r="AC784" i="18"/>
  <c r="AL401" i="18"/>
  <c r="AJ403" i="28" s="1"/>
  <c r="AL514" i="18"/>
  <c r="AJ516" i="28" s="1"/>
  <c r="AL858" i="18"/>
  <c r="AJ860" i="28" s="1"/>
  <c r="AH44" i="19"/>
  <c r="AC85" i="18"/>
  <c r="AL484" i="18"/>
  <c r="AJ486" i="28" s="1"/>
  <c r="AT52" i="19"/>
  <c r="AT62" i="19"/>
  <c r="BH56" i="19"/>
  <c r="AL837" i="18"/>
  <c r="AL715" i="18"/>
  <c r="AJ717" i="28" s="1"/>
  <c r="AL659" i="18"/>
  <c r="AJ661" i="28" s="1"/>
  <c r="AL208" i="18"/>
  <c r="AJ210" i="28" s="1"/>
  <c r="BI58" i="19"/>
  <c r="AL198" i="18"/>
  <c r="AJ200" i="28" s="1"/>
  <c r="AL544" i="18"/>
  <c r="AJ546" i="28" s="1"/>
  <c r="AC763" i="18"/>
  <c r="BJ42" i="19"/>
  <c r="AC747" i="18"/>
  <c r="AC18" i="18"/>
  <c r="AD18" i="18" s="1"/>
  <c r="AC28" i="18"/>
  <c r="AL146" i="18"/>
  <c r="AJ148" i="28" s="1"/>
  <c r="AH55" i="19"/>
  <c r="BC55" i="19"/>
  <c r="AY60" i="19"/>
  <c r="AJ49" i="19"/>
  <c r="AQ62" i="19"/>
  <c r="BG55" i="19"/>
  <c r="Y45" i="19"/>
  <c r="AB46" i="19"/>
  <c r="AT59" i="19"/>
  <c r="AQ54" i="19"/>
  <c r="BF44" i="19"/>
  <c r="AL41" i="19"/>
  <c r="AN62" i="19"/>
  <c r="AC764" i="18"/>
  <c r="AC404" i="18"/>
  <c r="BD62" i="19"/>
  <c r="AL424" i="18"/>
  <c r="AJ426" i="28" s="1"/>
  <c r="AC643" i="18"/>
  <c r="AC889" i="18"/>
  <c r="AB54" i="19"/>
  <c r="AL131" i="18"/>
  <c r="AJ133" i="28" s="1"/>
  <c r="BF60" i="19"/>
  <c r="AQ52" i="19"/>
  <c r="AC239" i="18"/>
  <c r="AJ54" i="19"/>
  <c r="AL147" i="18"/>
  <c r="AJ149" i="28" s="1"/>
  <c r="AL325" i="18"/>
  <c r="AJ327" i="28" s="1"/>
  <c r="AL13" i="18"/>
  <c r="AJ15" i="28" s="1"/>
  <c r="AT58" i="19"/>
  <c r="AL896" i="18"/>
  <c r="AJ898" i="28" s="1"/>
  <c r="AL104" i="18"/>
  <c r="AJ106" i="28" s="1"/>
  <c r="AC169" i="18"/>
  <c r="AC776" i="18"/>
  <c r="AB58" i="19"/>
  <c r="AL629" i="18"/>
  <c r="AJ631" i="28" s="1"/>
  <c r="AL288" i="18"/>
  <c r="AL93" i="18"/>
  <c r="AJ95" i="28" s="1"/>
  <c r="AC100" i="18"/>
  <c r="AC46" i="19"/>
  <c r="AM45" i="19"/>
  <c r="AG56" i="19"/>
  <c r="AM52" i="19"/>
  <c r="BL47" i="19"/>
  <c r="AC198" i="18"/>
  <c r="AC178" i="18"/>
  <c r="AL583" i="18"/>
  <c r="AJ585" i="28" s="1"/>
  <c r="BG61" i="19"/>
  <c r="AC402" i="18"/>
  <c r="BH51" i="19"/>
  <c r="AO47" i="19"/>
  <c r="AC179" i="18"/>
  <c r="Z46" i="19"/>
  <c r="BL48" i="19"/>
  <c r="BF61" i="19"/>
  <c r="AL881" i="18"/>
  <c r="AJ883" i="28" s="1"/>
  <c r="BE47" i="19"/>
  <c r="AC569" i="18"/>
  <c r="AD569" i="18" s="1"/>
  <c r="BA55" i="19"/>
  <c r="BF47" i="19"/>
  <c r="AL48" i="19"/>
  <c r="AL700" i="18"/>
  <c r="AJ702" i="28" s="1"/>
  <c r="AL431" i="18"/>
  <c r="AJ433" i="28" s="1"/>
  <c r="AM54" i="19"/>
  <c r="AL56" i="18"/>
  <c r="AJ58" i="28" s="1"/>
  <c r="AC58" i="19"/>
  <c r="AL671" i="18"/>
  <c r="AJ673" i="28" s="1"/>
  <c r="AL388" i="18"/>
  <c r="AJ390" i="28" s="1"/>
  <c r="AH61" i="19"/>
  <c r="AD45" i="19"/>
  <c r="AQ49" i="19"/>
  <c r="AC59" i="18"/>
  <c r="AC175" i="18"/>
  <c r="AT39" i="19"/>
  <c r="AP46" i="19"/>
  <c r="AX47" i="19"/>
  <c r="AX55" i="19"/>
  <c r="BD51" i="19"/>
  <c r="AC168" i="18"/>
  <c r="AL58" i="18"/>
  <c r="AJ60" i="28" s="1"/>
  <c r="AC209" i="18"/>
  <c r="AL829" i="18"/>
  <c r="AJ831" i="28" s="1"/>
  <c r="AC408" i="18"/>
  <c r="AC659" i="18"/>
  <c r="AA50" i="19"/>
  <c r="AW59" i="19"/>
  <c r="BB41" i="19"/>
  <c r="AX49" i="19"/>
  <c r="AL372" i="18"/>
  <c r="AJ374" i="28" s="1"/>
  <c r="AL880" i="18"/>
  <c r="AJ882" i="28" s="1"/>
  <c r="AC859" i="18"/>
  <c r="AG57" i="19"/>
  <c r="AG53" i="19"/>
  <c r="AC520" i="18"/>
  <c r="AL672" i="18"/>
  <c r="AJ674" i="28" s="1"/>
  <c r="AC286" i="18"/>
  <c r="AO59" i="19"/>
  <c r="AL61" i="18"/>
  <c r="AJ63" i="28" s="1"/>
  <c r="BH50" i="19"/>
  <c r="AD58" i="19"/>
  <c r="AZ41" i="19"/>
  <c r="AO40" i="19"/>
  <c r="AH57" i="19"/>
  <c r="AC108" i="18"/>
  <c r="AB51" i="19"/>
  <c r="AW57" i="19"/>
  <c r="AL649" i="18"/>
  <c r="AJ651" i="28" s="1"/>
  <c r="AL281" i="18"/>
  <c r="AJ283" i="28" s="1"/>
  <c r="AL438" i="18"/>
  <c r="AM51" i="19"/>
  <c r="AC241" i="18"/>
  <c r="AP48" i="19"/>
  <c r="AC822" i="18"/>
  <c r="AC858" i="18"/>
  <c r="AU44" i="19"/>
  <c r="BF49" i="19"/>
  <c r="AC162" i="18"/>
  <c r="AK60" i="19"/>
  <c r="AL409" i="18"/>
  <c r="AJ411" i="28" s="1"/>
  <c r="AK39" i="19"/>
  <c r="AL539" i="18"/>
  <c r="AJ541" i="28" s="1"/>
  <c r="AC138" i="18"/>
  <c r="AC11" i="18"/>
  <c r="AD11" i="18" s="1"/>
  <c r="AV41" i="19"/>
  <c r="AO43" i="19"/>
  <c r="AV47" i="19"/>
  <c r="AC716" i="18"/>
  <c r="AC371" i="18"/>
  <c r="AL529" i="18"/>
  <c r="AJ531" i="28" s="1"/>
  <c r="AS62" i="19"/>
  <c r="AL686" i="18"/>
  <c r="AJ688" i="28" s="1"/>
  <c r="AL379" i="18"/>
  <c r="AJ381" i="28" s="1"/>
  <c r="AC664" i="18"/>
  <c r="AC559" i="18"/>
  <c r="AH52" i="19"/>
  <c r="AL244" i="18"/>
  <c r="AJ246" i="28" s="1"/>
  <c r="AN51" i="19"/>
  <c r="AY56" i="19"/>
  <c r="AL108" i="18"/>
  <c r="AJ110" i="28" s="1"/>
  <c r="AC220" i="18"/>
  <c r="AL416" i="18"/>
  <c r="AJ418" i="28" s="1"/>
  <c r="AL259" i="18"/>
  <c r="AJ261" i="28" s="1"/>
  <c r="AL445" i="18"/>
  <c r="AJ447" i="28" s="1"/>
  <c r="AC387" i="18"/>
  <c r="AM55" i="19"/>
  <c r="AL274" i="18"/>
  <c r="AJ276" i="28" s="1"/>
  <c r="BI55" i="19"/>
  <c r="AI39" i="19"/>
  <c r="AC124" i="18"/>
  <c r="AK52" i="19"/>
  <c r="AL74" i="18"/>
  <c r="AJ76" i="28" s="1"/>
  <c r="AS55" i="19"/>
  <c r="BH49" i="19"/>
  <c r="BB48" i="19"/>
  <c r="AL162" i="18"/>
  <c r="AJ164" i="28" s="1"/>
  <c r="AS47" i="19"/>
  <c r="BE58" i="19"/>
  <c r="AF46" i="19"/>
  <c r="AC226" i="18"/>
  <c r="AT42" i="19"/>
  <c r="AC76" i="18"/>
  <c r="AC123" i="18"/>
  <c r="AC78" i="18"/>
  <c r="AL792" i="18"/>
  <c r="AJ794" i="28" s="1"/>
  <c r="AL168" i="18"/>
  <c r="AL123" i="18"/>
  <c r="AJ125" i="28" s="1"/>
  <c r="BE39" i="19"/>
  <c r="AI59" i="19"/>
  <c r="AB59" i="19"/>
  <c r="AF49" i="19"/>
  <c r="AC745" i="18"/>
  <c r="AC601" i="18"/>
  <c r="AK40" i="19"/>
  <c r="AL314" i="18"/>
  <c r="AJ316" i="28" s="1"/>
  <c r="AE56" i="19"/>
  <c r="AQ44" i="19"/>
  <c r="AM46" i="19"/>
  <c r="BL45" i="19"/>
  <c r="AG58" i="19"/>
  <c r="AC73" i="18"/>
  <c r="AS51" i="19"/>
  <c r="AC60" i="18"/>
  <c r="AL558" i="18"/>
  <c r="AJ560" i="28" s="1"/>
  <c r="BL49" i="19"/>
  <c r="AC676" i="18"/>
  <c r="AN52" i="19"/>
  <c r="AM61" i="19"/>
  <c r="AM41" i="19"/>
  <c r="AL869" i="18"/>
  <c r="AS49" i="19"/>
  <c r="AL169" i="18"/>
  <c r="AJ171" i="28" s="1"/>
  <c r="AC805" i="18"/>
  <c r="AC434" i="18"/>
  <c r="AC721" i="18"/>
  <c r="AC177" i="18"/>
  <c r="AJ45" i="19"/>
  <c r="AX45" i="19"/>
  <c r="AC154" i="18"/>
  <c r="AL196" i="18"/>
  <c r="AJ198" i="28" s="1"/>
  <c r="AU40" i="19"/>
  <c r="AC314" i="18"/>
  <c r="AC646" i="18"/>
  <c r="AX56" i="19"/>
  <c r="AC363" i="18"/>
  <c r="AL193" i="18"/>
  <c r="AL454" i="18"/>
  <c r="AJ456" i="28" s="1"/>
  <c r="AL155" i="18"/>
  <c r="AJ157" i="28" s="1"/>
  <c r="BL58" i="19"/>
  <c r="AI43" i="19"/>
  <c r="AC116" i="18"/>
  <c r="BJ51" i="19"/>
  <c r="Z51" i="19"/>
  <c r="BK42" i="19"/>
  <c r="BJ61" i="19"/>
  <c r="AL596" i="18"/>
  <c r="AJ598" i="28" s="1"/>
  <c r="Z49" i="19"/>
  <c r="AC25" i="18"/>
  <c r="AL387" i="18"/>
  <c r="AJ389" i="28" s="1"/>
  <c r="AZ47" i="19"/>
  <c r="AE62" i="19"/>
  <c r="AD54" i="19"/>
  <c r="AE39" i="19"/>
  <c r="AC461" i="18"/>
  <c r="AY43" i="19"/>
  <c r="AC753" i="18"/>
  <c r="AL31" i="18"/>
  <c r="AJ33" i="28" s="1"/>
  <c r="Y51" i="19"/>
  <c r="Z42" i="19"/>
  <c r="AL373" i="18"/>
  <c r="AC748" i="18"/>
  <c r="AL703" i="18"/>
  <c r="AJ705" i="28" s="1"/>
  <c r="AC160" i="18"/>
  <c r="AL874" i="18"/>
  <c r="AJ876" i="28" s="1"/>
  <c r="Y40" i="19"/>
  <c r="AJ40" i="19"/>
  <c r="BI62" i="19"/>
  <c r="AC449" i="18"/>
  <c r="AC657" i="18"/>
  <c r="AM50" i="19"/>
  <c r="AP60" i="19"/>
  <c r="AF43" i="19"/>
  <c r="AC61" i="19"/>
  <c r="AC393" i="18"/>
  <c r="AL693" i="18"/>
  <c r="AJ695" i="28" s="1"/>
  <c r="AC568" i="18"/>
  <c r="BB59" i="19"/>
  <c r="AG48" i="19"/>
  <c r="BG44" i="19"/>
  <c r="AC346" i="18"/>
  <c r="BD56" i="19"/>
  <c r="AC583" i="18"/>
  <c r="AC884" i="18"/>
  <c r="AC297" i="18"/>
  <c r="AT50" i="19"/>
  <c r="BI49" i="19"/>
  <c r="AL588" i="18"/>
  <c r="AJ590" i="28" s="1"/>
  <c r="AF42" i="19"/>
  <c r="AC364" i="18"/>
  <c r="BA52" i="19"/>
  <c r="AF50" i="19"/>
  <c r="BK61" i="19"/>
  <c r="AC43" i="19"/>
  <c r="BI40" i="19"/>
  <c r="AE58" i="19"/>
  <c r="AQ55" i="19"/>
  <c r="AC820" i="18"/>
  <c r="AB47" i="19"/>
  <c r="AX58" i="19"/>
  <c r="AJ56" i="19"/>
  <c r="AN56" i="19"/>
  <c r="AY54" i="19"/>
  <c r="BA62" i="19"/>
  <c r="AL60" i="19"/>
  <c r="AC670" i="18"/>
  <c r="AC325" i="18"/>
  <c r="AW47" i="19"/>
  <c r="AI55" i="19"/>
  <c r="Y59" i="19"/>
  <c r="AC640" i="18"/>
  <c r="AC445" i="18"/>
  <c r="AL469" i="18"/>
  <c r="AJ471" i="28" s="1"/>
  <c r="AL679" i="18"/>
  <c r="AJ681" i="28" s="1"/>
  <c r="AC476" i="18"/>
  <c r="AP52" i="19"/>
  <c r="AL192" i="18"/>
  <c r="AG52" i="19"/>
  <c r="AD44" i="19"/>
  <c r="AS44" i="19"/>
  <c r="AC806" i="18"/>
  <c r="BG40" i="19"/>
  <c r="BB55" i="19"/>
  <c r="AD62" i="19"/>
  <c r="BL44" i="19"/>
  <c r="BB46" i="19"/>
  <c r="AL181" i="18"/>
  <c r="AJ183" i="28" s="1"/>
  <c r="AC51" i="19"/>
  <c r="AL55" i="18"/>
  <c r="AJ57" i="28" s="1"/>
  <c r="AC528" i="18"/>
  <c r="BA42" i="19"/>
  <c r="AD59" i="19"/>
  <c r="AL258" i="18"/>
  <c r="AJ260" i="28" s="1"/>
  <c r="BI60" i="19"/>
  <c r="BA39" i="19"/>
  <c r="BI47" i="19"/>
  <c r="AT45" i="19"/>
  <c r="AC509" i="18"/>
  <c r="AL160" i="18"/>
  <c r="AJ162" i="28" s="1"/>
  <c r="AC687" i="18"/>
  <c r="AI57" i="19"/>
  <c r="AL739" i="18"/>
  <c r="AJ741" i="28" s="1"/>
  <c r="AL626" i="18"/>
  <c r="AJ628" i="28" s="1"/>
  <c r="AL439" i="18"/>
  <c r="AJ441" i="28" s="1"/>
  <c r="AL494" i="18"/>
  <c r="AJ496" i="28" s="1"/>
  <c r="AL791" i="18"/>
  <c r="AJ793" i="28" s="1"/>
  <c r="AC588" i="18"/>
  <c r="AL648" i="18"/>
  <c r="AJ650" i="28" s="1"/>
  <c r="AC824" i="18"/>
  <c r="Y47" i="19"/>
  <c r="AL598" i="18"/>
  <c r="AJ600" i="28" s="1"/>
  <c r="AC809" i="18"/>
  <c r="AC582" i="18"/>
  <c r="AL610" i="18"/>
  <c r="AJ612" i="28" s="1"/>
  <c r="AL836" i="18"/>
  <c r="AJ838" i="28" s="1"/>
  <c r="AC649" i="18"/>
  <c r="AC205" i="18"/>
  <c r="AL357" i="18"/>
  <c r="AJ359" i="28" s="1"/>
  <c r="AL343" i="18"/>
  <c r="AJ345" i="28" s="1"/>
  <c r="AL865" i="18"/>
  <c r="AJ867" i="28" s="1"/>
  <c r="BJ44" i="19"/>
  <c r="AC282" i="18"/>
  <c r="AL537" i="18"/>
  <c r="AJ539" i="28" s="1"/>
  <c r="AF55" i="19"/>
  <c r="AL52" i="19"/>
  <c r="AZ57" i="19"/>
  <c r="AL42" i="19"/>
  <c r="AO45" i="19"/>
  <c r="AC775" i="18"/>
  <c r="AI51" i="19"/>
  <c r="AL298" i="18"/>
  <c r="AJ300" i="28" s="1"/>
  <c r="AQ59" i="19"/>
  <c r="AL213" i="18"/>
  <c r="AJ215" i="28" s="1"/>
  <c r="AM44" i="19"/>
  <c r="AL824" i="18"/>
  <c r="AJ826" i="28" s="1"/>
  <c r="AL476" i="18"/>
  <c r="AJ478" i="28" s="1"/>
  <c r="AL559" i="18"/>
  <c r="AJ561" i="28" s="1"/>
  <c r="AL749" i="18"/>
  <c r="AJ751" i="28" s="1"/>
  <c r="AC550" i="18"/>
  <c r="AC610" i="18"/>
  <c r="AC794" i="18"/>
  <c r="AL664" i="18"/>
  <c r="AJ666" i="28" s="1"/>
  <c r="AC850" i="18"/>
  <c r="BB61" i="19"/>
  <c r="Z54" i="19"/>
  <c r="AC356" i="18"/>
  <c r="AC625" i="18"/>
  <c r="AC446" i="18"/>
  <c r="AC897" i="18"/>
  <c r="AC106" i="18"/>
  <c r="AC431" i="18"/>
  <c r="AA41" i="19"/>
  <c r="AD42" i="19"/>
  <c r="AL303" i="18"/>
  <c r="AJ305" i="28" s="1"/>
  <c r="AL250" i="18"/>
  <c r="AJ252" i="28" s="1"/>
  <c r="AJ44" i="19"/>
  <c r="AL10" i="18"/>
  <c r="AL190" i="18"/>
  <c r="AJ192" i="28" s="1"/>
  <c r="BA54" i="19"/>
  <c r="AV46" i="19"/>
  <c r="AL235" i="18"/>
  <c r="AJ237" i="28" s="1"/>
  <c r="AU56" i="19"/>
  <c r="AC280" i="18"/>
  <c r="AC222" i="18"/>
  <c r="AN48" i="19"/>
  <c r="AL163" i="18"/>
  <c r="AJ165" i="28" s="1"/>
  <c r="AX52" i="19"/>
  <c r="AO39" i="19"/>
  <c r="BH54" i="19"/>
  <c r="AC10" i="18"/>
  <c r="AD10" i="18" s="1"/>
  <c r="AL331" i="18"/>
  <c r="AJ333" i="28" s="1"/>
  <c r="AL421" i="18"/>
  <c r="AJ423" i="28" s="1"/>
  <c r="Y44" i="19"/>
  <c r="AY61" i="19"/>
  <c r="BF43" i="19"/>
  <c r="AO52" i="19"/>
  <c r="Z45" i="19"/>
  <c r="AY42" i="19"/>
  <c r="AC844" i="18"/>
  <c r="AC475" i="18"/>
  <c r="BC42" i="19"/>
  <c r="AK47" i="19"/>
  <c r="AC91" i="18"/>
  <c r="AL370" i="18"/>
  <c r="AJ372" i="28" s="1"/>
  <c r="AC341" i="18"/>
  <c r="AZ59" i="19"/>
  <c r="AC191" i="18"/>
  <c r="BJ46" i="19"/>
  <c r="AL115" i="18"/>
  <c r="BG50" i="19"/>
  <c r="AE47" i="19"/>
  <c r="BL53" i="19"/>
  <c r="AZ54" i="19"/>
  <c r="AX59" i="19"/>
  <c r="AZ48" i="19"/>
  <c r="AC57" i="18"/>
  <c r="AL670" i="18"/>
  <c r="AJ672" i="28" s="1"/>
  <c r="AC854" i="18"/>
  <c r="AL283" i="18"/>
  <c r="AJ285" i="28" s="1"/>
  <c r="AL348" i="18"/>
  <c r="AJ350" i="28" s="1"/>
  <c r="AL790" i="18"/>
  <c r="AJ792" i="28" s="1"/>
  <c r="AC874" i="18"/>
  <c r="AC50" i="19"/>
  <c r="Y48" i="19"/>
  <c r="BG53" i="19"/>
  <c r="AM59" i="19"/>
  <c r="AC648" i="18"/>
  <c r="AV45" i="19"/>
  <c r="AC224" i="18"/>
  <c r="AD224" i="18" s="1"/>
  <c r="AL220" i="18"/>
  <c r="AJ222" i="28" s="1"/>
  <c r="AR41" i="19"/>
  <c r="AD57" i="19"/>
  <c r="AL556" i="18"/>
  <c r="AJ558" i="28" s="1"/>
  <c r="AC631" i="18"/>
  <c r="AL116" i="18"/>
  <c r="AJ118" i="28" s="1"/>
  <c r="BI59" i="19"/>
  <c r="AL42" i="18"/>
  <c r="AJ44" i="28" s="1"/>
  <c r="BG52" i="19"/>
  <c r="AR60" i="19"/>
  <c r="AC119" i="18"/>
  <c r="AY41" i="19"/>
  <c r="AG46" i="19"/>
  <c r="AL839" i="18"/>
  <c r="AJ841" i="28" s="1"/>
  <c r="AL499" i="18"/>
  <c r="AJ501" i="28" s="1"/>
  <c r="BA49" i="19"/>
  <c r="AL436" i="18"/>
  <c r="AJ438" i="28" s="1"/>
  <c r="AF51" i="19"/>
  <c r="AU39" i="19"/>
  <c r="AC691" i="18"/>
  <c r="AL687" i="18"/>
  <c r="AJ689" i="28" s="1"/>
  <c r="AC253" i="18"/>
  <c r="BI45" i="19"/>
  <c r="BL61" i="19"/>
  <c r="AC206" i="18"/>
  <c r="AF53" i="19"/>
  <c r="AL884" i="18"/>
  <c r="AJ886" i="28" s="1"/>
  <c r="AC723" i="18"/>
  <c r="AF45" i="19"/>
  <c r="AR51" i="19"/>
  <c r="AB45" i="19"/>
  <c r="AC703" i="18"/>
  <c r="AQ61" i="19"/>
  <c r="AL434" i="18"/>
  <c r="AJ436" i="28" s="1"/>
  <c r="AL521" i="18"/>
  <c r="AJ523" i="28" s="1"/>
  <c r="AZ45" i="19"/>
  <c r="AL269" i="18"/>
  <c r="AJ271" i="28" s="1"/>
  <c r="BJ56" i="19"/>
  <c r="AC619" i="18"/>
  <c r="AC672" i="18"/>
  <c r="AW43" i="19"/>
  <c r="AL44" i="19"/>
  <c r="AT54" i="19"/>
  <c r="AC709" i="18"/>
  <c r="AL586" i="18"/>
  <c r="AJ588" i="28" s="1"/>
  <c r="AC466" i="18"/>
  <c r="AC193" i="18"/>
  <c r="AQ58" i="19"/>
  <c r="BK62" i="19"/>
  <c r="BG56" i="19"/>
  <c r="AC477" i="18"/>
  <c r="BL59" i="19"/>
  <c r="AC589" i="18"/>
  <c r="AL821" i="18"/>
  <c r="AJ823" i="28" s="1"/>
  <c r="AC731" i="18"/>
  <c r="AC769" i="18"/>
  <c r="AA48" i="19"/>
  <c r="AL295" i="18"/>
  <c r="AJ297" i="28" s="1"/>
  <c r="AL475" i="18"/>
  <c r="AJ477" i="28" s="1"/>
  <c r="AH42" i="19"/>
  <c r="BD42" i="19"/>
  <c r="AU57" i="19"/>
  <c r="AI54" i="19"/>
  <c r="BB40" i="19"/>
  <c r="AC60" i="19"/>
  <c r="AL284" i="18"/>
  <c r="AJ286" i="28" s="1"/>
  <c r="AL656" i="18"/>
  <c r="AJ658" i="28" s="1"/>
  <c r="AT44" i="19"/>
  <c r="AL199" i="18"/>
  <c r="AJ201" i="28" s="1"/>
  <c r="AZ49" i="19"/>
  <c r="AL854" i="18"/>
  <c r="AJ856" i="28" s="1"/>
  <c r="AL91" i="18"/>
  <c r="AJ93" i="28" s="1"/>
  <c r="AC704" i="18"/>
  <c r="AZ60" i="19"/>
  <c r="BL57" i="19"/>
  <c r="AC761" i="18"/>
  <c r="AL799" i="18"/>
  <c r="AJ801" i="28" s="1"/>
  <c r="AL301" i="18"/>
  <c r="AJ303" i="28" s="1"/>
  <c r="AC790" i="18"/>
  <c r="AJ59" i="19"/>
  <c r="AU58" i="19"/>
  <c r="AL101" i="18"/>
  <c r="AJ103" i="28" s="1"/>
  <c r="AC131" i="18"/>
  <c r="Y43" i="19"/>
  <c r="BG54" i="19"/>
  <c r="AL256" i="18"/>
  <c r="AJ258" i="28" s="1"/>
  <c r="AL35" i="18"/>
  <c r="AJ37" i="28" s="1"/>
  <c r="AL498" i="18"/>
  <c r="AJ500" i="28" s="1"/>
  <c r="AL895" i="18"/>
  <c r="AJ897" i="28" s="1"/>
  <c r="AC93" i="18"/>
  <c r="AD93" i="18" s="1"/>
  <c r="BH48" i="19"/>
  <c r="AR53" i="19"/>
  <c r="AK46" i="19"/>
  <c r="AS48" i="19"/>
  <c r="AL406" i="18"/>
  <c r="AJ408" i="28" s="1"/>
  <c r="AP53" i="19"/>
  <c r="AF48" i="19"/>
  <c r="BK39" i="19"/>
  <c r="AU62" i="19"/>
  <c r="AC44" i="18"/>
  <c r="AO60" i="19"/>
  <c r="AA44" i="19"/>
  <c r="AS61" i="19"/>
  <c r="BB62" i="19"/>
  <c r="BD39" i="19"/>
  <c r="AL237" i="18"/>
  <c r="AJ239" i="28" s="1"/>
  <c r="Z44" i="19"/>
  <c r="AC359" i="18"/>
  <c r="AC31" i="18"/>
  <c r="AL554" i="18"/>
  <c r="AJ556" i="28" s="1"/>
  <c r="AC211" i="18"/>
  <c r="BG41" i="19"/>
  <c r="AC777" i="18"/>
  <c r="BB47" i="19"/>
  <c r="AL625" i="18"/>
  <c r="AJ627" i="28" s="1"/>
  <c r="BA41" i="19"/>
  <c r="BC57" i="19"/>
  <c r="AL54" i="19"/>
  <c r="AT55" i="19"/>
  <c r="AC94" i="18"/>
  <c r="BD53" i="19"/>
  <c r="AL466" i="18"/>
  <c r="AJ468" i="28" s="1"/>
  <c r="BG58" i="19"/>
  <c r="BJ59" i="19"/>
  <c r="AS42" i="19"/>
  <c r="Y52" i="19"/>
  <c r="AL183" i="18"/>
  <c r="AJ185" i="28" s="1"/>
  <c r="AU43" i="19"/>
  <c r="BJ52" i="19"/>
  <c r="AC499" i="18"/>
  <c r="AC35" i="18"/>
  <c r="AC718" i="18"/>
  <c r="AC901" i="18"/>
  <c r="AL330" i="18"/>
  <c r="AJ332" i="28" s="1"/>
  <c r="AL886" i="18"/>
  <c r="AJ888" i="28" s="1"/>
  <c r="AL75" i="18"/>
  <c r="AJ77" i="28" s="1"/>
  <c r="AF58" i="19"/>
  <c r="AC852" i="18"/>
  <c r="Z57" i="19"/>
  <c r="BL46" i="19"/>
  <c r="AC20" i="18"/>
  <c r="AL180" i="18"/>
  <c r="AJ182" i="28" s="1"/>
  <c r="AL826" i="18"/>
  <c r="AJ828" i="28" s="1"/>
  <c r="AI48" i="19"/>
  <c r="AD46" i="19"/>
  <c r="AC735" i="18"/>
  <c r="AL345" i="18"/>
  <c r="AJ347" i="28" s="1"/>
  <c r="BE61" i="19"/>
  <c r="AJ60" i="19"/>
  <c r="AL776" i="18"/>
  <c r="AJ778" i="28" s="1"/>
  <c r="AC853" i="18"/>
  <c r="AL658" i="18"/>
  <c r="AJ660" i="28" s="1"/>
  <c r="AL65" i="18"/>
  <c r="AJ67" i="28" s="1"/>
  <c r="AL675" i="18"/>
  <c r="AJ677" i="28" s="1"/>
  <c r="AL525" i="18"/>
  <c r="AJ527" i="28" s="1"/>
  <c r="AL62" i="19"/>
  <c r="AW40" i="19"/>
  <c r="AL211" i="18"/>
  <c r="AJ213" i="28" s="1"/>
  <c r="AC895" i="18"/>
  <c r="AC661" i="18"/>
  <c r="BE56" i="19"/>
  <c r="AL643" i="18"/>
  <c r="AJ645" i="28" s="1"/>
  <c r="AZ43" i="19"/>
  <c r="AN45" i="19"/>
  <c r="AC181" i="18"/>
  <c r="AL313" i="18"/>
  <c r="AJ315" i="28" s="1"/>
  <c r="Y39" i="19"/>
  <c r="AC288" i="18"/>
  <c r="AI56" i="19"/>
  <c r="AC642" i="18"/>
  <c r="AP54" i="19"/>
  <c r="AL793" i="18"/>
  <c r="AJ795" i="28" s="1"/>
  <c r="AL495" i="18"/>
  <c r="AJ497" i="28" s="1"/>
  <c r="AP40" i="19"/>
  <c r="AH59" i="19"/>
  <c r="AI61" i="19"/>
  <c r="AC283" i="18"/>
  <c r="AC13" i="18"/>
  <c r="AD13" i="18" s="1"/>
  <c r="AT56" i="19"/>
  <c r="AC195" i="18"/>
  <c r="AC675" i="18"/>
  <c r="AL900" i="18"/>
  <c r="AJ902" i="28" s="1"/>
  <c r="AL376" i="18"/>
  <c r="AJ378" i="28" s="1"/>
  <c r="AI49" i="19"/>
  <c r="AC436" i="18"/>
  <c r="BG59" i="19"/>
  <c r="AC360" i="18"/>
  <c r="AC705" i="18"/>
  <c r="AC90" i="18"/>
  <c r="AC375" i="18"/>
  <c r="AC225" i="18"/>
  <c r="AE42" i="19"/>
  <c r="AC598" i="18"/>
  <c r="AC17" i="18"/>
  <c r="AD17" i="18" s="1"/>
  <c r="AC391" i="18"/>
  <c r="AR49" i="19"/>
  <c r="AL79" i="18"/>
  <c r="AJ81" i="28" s="1"/>
  <c r="BL51" i="19"/>
  <c r="AL312" i="18"/>
  <c r="AJ314" i="28" s="1"/>
  <c r="AL570" i="18"/>
  <c r="AJ572" i="28" s="1"/>
  <c r="AC898" i="18"/>
  <c r="AC837" i="18"/>
  <c r="BH41" i="19"/>
  <c r="Y56" i="19"/>
  <c r="AL286" i="18"/>
  <c r="AJ288" i="28" s="1"/>
  <c r="BG62" i="19"/>
  <c r="AW45" i="19"/>
  <c r="AC481" i="18"/>
  <c r="AD496" i="18" s="1"/>
  <c r="AL44" i="18"/>
  <c r="AJ46" i="28" s="1"/>
  <c r="AC373" i="18"/>
  <c r="AC448" i="18"/>
  <c r="AC269" i="18"/>
  <c r="AC715" i="18"/>
  <c r="AC331" i="18"/>
  <c r="Z40" i="19"/>
  <c r="AC146" i="18"/>
  <c r="AC238" i="18"/>
  <c r="AD47" i="19"/>
  <c r="AL859" i="18"/>
  <c r="AJ861" i="28" s="1"/>
  <c r="AU54" i="19"/>
  <c r="AL210" i="18"/>
  <c r="AJ212" i="28" s="1"/>
  <c r="AL106" i="18"/>
  <c r="AJ108" i="28" s="1"/>
  <c r="AL266" i="18"/>
  <c r="AJ268" i="28" s="1"/>
  <c r="AL136" i="18"/>
  <c r="AJ138" i="28" s="1"/>
  <c r="AA62" i="19"/>
  <c r="AL897" i="18"/>
  <c r="AJ899" i="28" s="1"/>
  <c r="AL255" i="18"/>
  <c r="AJ257" i="28" s="1"/>
  <c r="AB48" i="19"/>
  <c r="AA51" i="19"/>
  <c r="AB50" i="19"/>
  <c r="AL898" i="18"/>
  <c r="AJ900" i="28" s="1"/>
  <c r="AL795" i="18"/>
  <c r="AJ797" i="28" s="1"/>
  <c r="AL105" i="18"/>
  <c r="AJ107" i="28" s="1"/>
  <c r="AL630" i="18"/>
  <c r="AJ632" i="28" s="1"/>
  <c r="AC856" i="18"/>
  <c r="AC778" i="18"/>
  <c r="AL765" i="18"/>
  <c r="AJ767" i="28" s="1"/>
  <c r="AC811" i="18"/>
  <c r="AL55" i="19"/>
  <c r="AP45" i="19"/>
  <c r="AC45" i="19"/>
  <c r="AC155" i="18"/>
  <c r="BB43" i="19"/>
  <c r="AQ50" i="19"/>
  <c r="AL825" i="18"/>
  <c r="AJ827" i="28" s="1"/>
  <c r="AL194" i="18"/>
  <c r="AJ196" i="28" s="1"/>
  <c r="AC888" i="18"/>
  <c r="AC121" i="18"/>
  <c r="AL778" i="18"/>
  <c r="AJ780" i="28" s="1"/>
  <c r="AL195" i="18"/>
  <c r="AJ197" i="28" s="1"/>
  <c r="AL616" i="18"/>
  <c r="AJ618" i="28" s="1"/>
  <c r="AC869" i="18"/>
  <c r="AF61" i="19"/>
  <c r="BD61" i="19"/>
  <c r="AC613" i="18"/>
  <c r="AL243" i="18"/>
  <c r="AJ245" i="28" s="1"/>
  <c r="BB52" i="19"/>
  <c r="AN57" i="19"/>
  <c r="AC33" i="18"/>
  <c r="AL26" i="18"/>
  <c r="AJ28" i="28" s="1"/>
  <c r="BI41" i="19"/>
  <c r="AC148" i="18"/>
  <c r="AY57" i="19"/>
  <c r="AC751" i="18"/>
  <c r="AA58" i="19"/>
  <c r="AL870" i="18"/>
  <c r="AJ872" i="28" s="1"/>
  <c r="AL841" i="18"/>
  <c r="AJ843" i="28" s="1"/>
  <c r="AS60" i="19"/>
  <c r="AL78" i="18"/>
  <c r="AJ80" i="28" s="1"/>
  <c r="BI61" i="19"/>
  <c r="AL375" i="18"/>
  <c r="AJ377" i="28" s="1"/>
  <c r="AL315" i="18"/>
  <c r="AJ317" i="28" s="1"/>
  <c r="AC376" i="18"/>
  <c r="AC615" i="18"/>
  <c r="BF51" i="19"/>
  <c r="AY55" i="19"/>
  <c r="AC541" i="18"/>
  <c r="AR59" i="19"/>
  <c r="AL750" i="18"/>
  <c r="AJ752" i="28" s="1"/>
  <c r="BC45" i="19"/>
  <c r="AL41" i="18"/>
  <c r="AJ43" i="28" s="1"/>
  <c r="BB53" i="19"/>
  <c r="AL270" i="18"/>
  <c r="AJ272" i="28" s="1"/>
  <c r="AC255" i="18"/>
  <c r="AL823" i="18"/>
  <c r="AJ825" i="28" s="1"/>
  <c r="AC523" i="18"/>
  <c r="BB54" i="19"/>
  <c r="AD40" i="19"/>
  <c r="AC5" i="18"/>
  <c r="AC75" i="18"/>
  <c r="AR44" i="19"/>
  <c r="AL571" i="18"/>
  <c r="AJ573" i="28" s="1"/>
  <c r="AW50" i="19"/>
  <c r="BK54" i="19"/>
  <c r="AC41" i="18"/>
  <c r="BJ48" i="19"/>
  <c r="AL511" i="18"/>
  <c r="AJ513" i="28" s="1"/>
  <c r="AK51" i="19"/>
  <c r="BC61" i="19"/>
  <c r="Y57" i="19"/>
  <c r="AL391" i="18"/>
  <c r="AJ393" i="28" s="1"/>
  <c r="AC406" i="18"/>
  <c r="AZ42" i="19"/>
  <c r="AG50" i="19"/>
  <c r="AS52" i="19"/>
  <c r="AL109" i="18"/>
  <c r="AJ111" i="28" s="1"/>
  <c r="AL222" i="18"/>
  <c r="AJ224" i="28" s="1"/>
  <c r="AC754" i="18"/>
  <c r="AC766" i="18"/>
  <c r="AC315" i="18"/>
  <c r="AL285" i="18"/>
  <c r="AJ287" i="28" s="1"/>
  <c r="BA45" i="19"/>
  <c r="AC641" i="18"/>
  <c r="AL150" i="18"/>
  <c r="AJ152" i="28" s="1"/>
  <c r="AD43" i="19"/>
  <c r="AL689" i="18"/>
  <c r="AJ691" i="28" s="1"/>
  <c r="AL450" i="18"/>
  <c r="AJ452" i="28" s="1"/>
  <c r="AO48" i="19"/>
  <c r="AL389" i="18"/>
  <c r="AJ391" i="28" s="1"/>
  <c r="AK42" i="19"/>
  <c r="AC388" i="18"/>
  <c r="AC462" i="18"/>
  <c r="AC170" i="18"/>
  <c r="AL645" i="18"/>
  <c r="AJ647" i="28" s="1"/>
  <c r="AC435" i="18"/>
  <c r="AL140" i="18"/>
  <c r="AJ142" i="28" s="1"/>
  <c r="AL853" i="18"/>
  <c r="AJ855" i="28" s="1"/>
  <c r="AL43" i="18"/>
  <c r="AJ45" i="28" s="1"/>
  <c r="AC498" i="18"/>
  <c r="AV61" i="19"/>
  <c r="AL871" i="18"/>
  <c r="AJ873" i="28" s="1"/>
  <c r="AA40" i="19"/>
  <c r="BC40" i="19"/>
  <c r="AL883" i="18"/>
  <c r="AJ885" i="28" s="1"/>
  <c r="AC418" i="18"/>
  <c r="AL736" i="18"/>
  <c r="AJ738" i="28" s="1"/>
  <c r="AL568" i="18"/>
  <c r="AJ570" i="28" s="1"/>
  <c r="AC886" i="18"/>
  <c r="AC361" i="18"/>
  <c r="AL631" i="18"/>
  <c r="AJ633" i="28" s="1"/>
  <c r="AL328" i="18"/>
  <c r="AJ330" i="28" s="1"/>
  <c r="AL856" i="18"/>
  <c r="AJ858" i="28" s="1"/>
  <c r="BA44" i="19"/>
  <c r="AC199" i="18"/>
  <c r="AH60" i="19"/>
  <c r="AH41" i="19"/>
  <c r="AL268" i="18"/>
  <c r="AJ270" i="28" s="1"/>
  <c r="BL54" i="19"/>
  <c r="AL56" i="19"/>
  <c r="AC839" i="18"/>
  <c r="AL166" i="18"/>
  <c r="AJ168" i="28" s="1"/>
  <c r="AC896" i="18"/>
  <c r="AC656" i="18"/>
  <c r="AL60" i="18"/>
  <c r="AJ62" i="28" s="1"/>
  <c r="AL333" i="18"/>
  <c r="AJ335" i="28" s="1"/>
  <c r="AP44" i="19"/>
  <c r="AR47" i="19"/>
  <c r="AY47" i="19"/>
  <c r="AC150" i="18"/>
  <c r="AL810" i="18"/>
  <c r="AJ812" i="28" s="1"/>
  <c r="AL835" i="18"/>
  <c r="AJ837" i="28" s="1"/>
  <c r="AL205" i="18"/>
  <c r="AJ207" i="28" s="1"/>
  <c r="AC491" i="18"/>
  <c r="AD506" i="18" s="1"/>
  <c r="AL882" i="18"/>
  <c r="AJ884" i="28" s="1"/>
  <c r="BA50" i="19"/>
  <c r="AL40" i="19"/>
  <c r="AP55" i="19"/>
  <c r="AC538" i="18"/>
  <c r="AL855" i="18"/>
  <c r="AJ857" i="28" s="1"/>
  <c r="AL690" i="18"/>
  <c r="AJ692" i="28" s="1"/>
  <c r="AL405" i="18"/>
  <c r="AJ407" i="28" s="1"/>
  <c r="AK57" i="19"/>
  <c r="AQ53" i="19"/>
  <c r="AC180" i="18"/>
  <c r="AL90" i="18"/>
  <c r="AJ92" i="28" s="1"/>
  <c r="AL735" i="18"/>
  <c r="AJ737" i="28" s="1"/>
  <c r="AL165" i="18"/>
  <c r="AJ167" i="28" s="1"/>
  <c r="BD55" i="19"/>
  <c r="AS58" i="19"/>
  <c r="AB60" i="19"/>
  <c r="BG45" i="19"/>
  <c r="AM48" i="19"/>
  <c r="AL139" i="18"/>
  <c r="AJ141" i="28" s="1"/>
  <c r="AL135" i="18"/>
  <c r="AJ137" i="28" s="1"/>
  <c r="AL121" i="18"/>
  <c r="AJ123" i="28" s="1"/>
  <c r="BL39" i="19"/>
  <c r="AL508" i="18"/>
  <c r="AJ510" i="28" s="1"/>
  <c r="AD51" i="19"/>
  <c r="AY40" i="19"/>
  <c r="AV39" i="19"/>
  <c r="AU49" i="19"/>
  <c r="BD44" i="19"/>
  <c r="AC526" i="18"/>
  <c r="AZ53" i="19"/>
  <c r="AM47" i="19"/>
  <c r="AJ41" i="19"/>
  <c r="AC627" i="18"/>
  <c r="AP39" i="19"/>
  <c r="AN60" i="19"/>
  <c r="BC59" i="19"/>
  <c r="AL634" i="18"/>
  <c r="AJ636" i="28" s="1"/>
  <c r="AC251" i="18"/>
  <c r="AC39" i="19"/>
  <c r="BJ49" i="19"/>
  <c r="AC120" i="18"/>
  <c r="AL120" i="18"/>
  <c r="AJ122" i="28" s="1"/>
  <c r="BG57" i="19"/>
  <c r="AC596" i="18"/>
  <c r="AL225" i="18"/>
  <c r="AJ227" i="28" s="1"/>
  <c r="AL838" i="18"/>
  <c r="AJ840" i="28" s="1"/>
  <c r="Y62" i="19"/>
  <c r="AL615" i="18"/>
  <c r="AJ617" i="28" s="1"/>
  <c r="AC495" i="18"/>
  <c r="AC795" i="18"/>
  <c r="AL481" i="18"/>
  <c r="AJ483" i="28" s="1"/>
  <c r="AG49" i="19"/>
  <c r="AH45" i="19"/>
  <c r="AL781" i="18"/>
  <c r="AJ783" i="28" s="1"/>
  <c r="AL241" i="18"/>
  <c r="AJ243" i="28" s="1"/>
  <c r="AL29" i="18"/>
  <c r="AJ31" i="28" s="1"/>
  <c r="AL585" i="18"/>
  <c r="AJ587" i="28" s="1"/>
  <c r="AT49" i="19"/>
  <c r="BE57" i="19"/>
  <c r="AL555" i="18"/>
  <c r="AJ557" i="28" s="1"/>
  <c r="BE53" i="19"/>
  <c r="AC736" i="18"/>
  <c r="AN53" i="19"/>
  <c r="AC855" i="18"/>
  <c r="AB42" i="19"/>
  <c r="AK50" i="19"/>
  <c r="AN40" i="19"/>
  <c r="AC421" i="18"/>
  <c r="BE40" i="19"/>
  <c r="AN49" i="19"/>
  <c r="Z56" i="19"/>
  <c r="AC345" i="18"/>
  <c r="AL733" i="18"/>
  <c r="AJ735" i="28" s="1"/>
  <c r="AU60" i="19"/>
  <c r="AC151" i="18"/>
  <c r="AL603" i="18"/>
  <c r="AJ605" i="28" s="1"/>
  <c r="BC58" i="19"/>
  <c r="AL718" i="18"/>
  <c r="AJ720" i="28" s="1"/>
  <c r="AL569" i="18"/>
  <c r="AJ571" i="28" s="1"/>
  <c r="AL48" i="18"/>
  <c r="AJ50" i="28" s="1"/>
  <c r="AI60" i="19"/>
  <c r="AC118" i="18"/>
  <c r="AC256" i="18"/>
  <c r="AL50" i="19"/>
  <c r="AL62" i="18"/>
  <c r="AJ64" i="28" s="1"/>
  <c r="AV50" i="19"/>
  <c r="AC415" i="18"/>
  <c r="AC296" i="18"/>
  <c r="BL60" i="19"/>
  <c r="AO44" i="19"/>
  <c r="AL510" i="18"/>
  <c r="AJ512" i="28" s="1"/>
  <c r="AL465" i="18"/>
  <c r="AJ467" i="28" s="1"/>
  <c r="BJ55" i="19"/>
  <c r="AC793" i="18"/>
  <c r="AC706" i="18"/>
  <c r="AC285" i="18"/>
  <c r="AJ47" i="19"/>
  <c r="AC358" i="18"/>
  <c r="BK48" i="19"/>
  <c r="AL581" i="18"/>
  <c r="AJ583" i="28" s="1"/>
  <c r="AC49" i="18"/>
  <c r="AL796" i="18"/>
  <c r="AJ798" i="28" s="1"/>
  <c r="AC871" i="18"/>
  <c r="AC810" i="18"/>
  <c r="AC660" i="18"/>
  <c r="AC720" i="18"/>
  <c r="AC883" i="18"/>
  <c r="AC885" i="18"/>
  <c r="AL390" i="18"/>
  <c r="AJ392" i="28" s="1"/>
  <c r="AL808" i="18"/>
  <c r="AJ810" i="28" s="1"/>
  <c r="AL720" i="18"/>
  <c r="AJ722" i="28" s="1"/>
  <c r="AC826" i="18"/>
  <c r="AC555" i="18"/>
  <c r="AL420" i="18"/>
  <c r="AJ422" i="28" s="1"/>
  <c r="AC510" i="18"/>
  <c r="AL540" i="18"/>
  <c r="AJ542" i="28" s="1"/>
  <c r="AC796" i="18"/>
  <c r="AC690" i="18"/>
  <c r="AL811" i="18"/>
  <c r="AJ813" i="28" s="1"/>
  <c r="AL435" i="18"/>
  <c r="AJ437" i="28" s="1"/>
  <c r="AL868" i="18"/>
  <c r="AJ870" i="28" s="1"/>
  <c r="AL480" i="18"/>
  <c r="AJ482" i="28" s="1"/>
  <c r="AL600" i="18"/>
  <c r="AJ602" i="28" s="1"/>
  <c r="AC390" i="18"/>
  <c r="AL780" i="18"/>
  <c r="AJ782" i="28" s="1"/>
  <c r="AC300" i="18"/>
  <c r="AC750" i="18"/>
  <c r="AL901" i="18"/>
  <c r="AJ903" i="28" s="1"/>
  <c r="AC135" i="18"/>
  <c r="AC165" i="18"/>
  <c r="AC405" i="18"/>
  <c r="AL77" i="18"/>
  <c r="AJ79" i="28" s="1"/>
  <c r="AC823" i="18"/>
  <c r="AC838" i="18"/>
  <c r="AC465" i="18"/>
  <c r="AC781" i="18"/>
  <c r="AC585" i="18"/>
  <c r="AL705" i="18"/>
  <c r="AJ707" i="28" s="1"/>
  <c r="AL660" i="18"/>
  <c r="AJ662" i="28" s="1"/>
  <c r="AC808" i="18"/>
  <c r="AC870" i="18"/>
  <c r="AC900" i="18"/>
  <c r="AC77" i="18"/>
  <c r="AC270" i="18"/>
  <c r="AC420" i="18"/>
  <c r="AL885" i="18"/>
  <c r="AJ887" i="28" s="1"/>
  <c r="AL240" i="18"/>
  <c r="AJ242" i="28" s="1"/>
  <c r="AL360" i="18"/>
  <c r="AJ362" i="28" s="1"/>
  <c r="AC525" i="18"/>
  <c r="AL840" i="18"/>
  <c r="AJ842" i="28" s="1"/>
  <c r="AC210" i="18"/>
  <c r="AC330" i="18"/>
  <c r="AC600" i="18"/>
  <c r="AC630" i="18"/>
  <c r="AC825" i="18"/>
  <c r="AL766" i="18"/>
  <c r="AJ768" i="28" s="1"/>
  <c r="AC765" i="18"/>
  <c r="AC780" i="18"/>
  <c r="AC841" i="18"/>
  <c r="L80" i="19"/>
  <c r="AC450" i="18"/>
  <c r="AL300" i="18"/>
  <c r="AJ302" i="28" s="1"/>
  <c r="Q95" i="19"/>
  <c r="R86" i="19"/>
  <c r="AL92" i="18"/>
  <c r="AJ94" i="28" s="1"/>
  <c r="Q79" i="19"/>
  <c r="Q75" i="19"/>
  <c r="Q93" i="19"/>
  <c r="Q90" i="19"/>
  <c r="O92" i="19"/>
  <c r="M76" i="19"/>
  <c r="AL185" i="18"/>
  <c r="AJ187" i="28" s="1"/>
  <c r="AC840" i="18"/>
  <c r="AC240" i="18"/>
  <c r="P88" i="19"/>
  <c r="Q89" i="19"/>
  <c r="L83" i="19"/>
  <c r="O82" i="19"/>
  <c r="Q76" i="19"/>
  <c r="M87" i="19"/>
  <c r="K80" i="19"/>
  <c r="Q80" i="19"/>
  <c r="N75" i="19"/>
  <c r="L90" i="19"/>
  <c r="N93" i="19"/>
  <c r="P87" i="19"/>
  <c r="J73" i="19"/>
  <c r="J84" i="19"/>
  <c r="P85" i="19"/>
  <c r="N79" i="19"/>
  <c r="AC645" i="18"/>
  <c r="AC540" i="18"/>
  <c r="J83" i="19"/>
  <c r="K81" i="19"/>
  <c r="L78" i="19"/>
  <c r="K84" i="19"/>
  <c r="R85" i="19"/>
  <c r="K86" i="19"/>
  <c r="P95" i="19"/>
  <c r="AC105" i="18"/>
  <c r="Q81" i="19"/>
  <c r="M74" i="19"/>
  <c r="J94" i="19"/>
  <c r="AL170" i="18"/>
  <c r="AJ172" i="28" s="1"/>
  <c r="M94" i="19"/>
  <c r="AC570" i="18"/>
  <c r="J90" i="19"/>
  <c r="L87" i="19"/>
  <c r="AC92" i="18"/>
  <c r="P81" i="19"/>
  <c r="N77" i="19"/>
  <c r="P74" i="19"/>
  <c r="Q87" i="19"/>
  <c r="O83" i="19"/>
  <c r="O85" i="19"/>
  <c r="AC868" i="18"/>
  <c r="AC480" i="18"/>
  <c r="L82" i="19"/>
  <c r="L94" i="19"/>
  <c r="R72" i="19"/>
  <c r="J79" i="19"/>
  <c r="P73" i="19"/>
  <c r="P89" i="19"/>
  <c r="M95" i="19"/>
  <c r="R95" i="19"/>
  <c r="O84" i="19"/>
  <c r="K83" i="19"/>
  <c r="J89" i="19"/>
  <c r="M82" i="19"/>
  <c r="Q82" i="19"/>
  <c r="J95" i="19"/>
  <c r="R82" i="19"/>
  <c r="Q83" i="19"/>
  <c r="K74" i="19"/>
  <c r="L77" i="19"/>
  <c r="R84" i="19"/>
  <c r="AC200" i="18"/>
  <c r="R94" i="19"/>
  <c r="O81" i="19"/>
  <c r="M75" i="19"/>
  <c r="R73" i="19"/>
  <c r="R91" i="19"/>
  <c r="R79" i="19"/>
  <c r="L79" i="19"/>
  <c r="N95" i="19"/>
  <c r="N94" i="19"/>
  <c r="R74" i="19"/>
  <c r="AC152" i="18"/>
  <c r="M81" i="19"/>
  <c r="R75" i="19"/>
  <c r="O89" i="19"/>
  <c r="R77" i="19"/>
  <c r="O76" i="19"/>
  <c r="K85" i="19"/>
  <c r="Q88" i="19"/>
  <c r="P91" i="19"/>
  <c r="N83" i="19"/>
  <c r="N74" i="19"/>
  <c r="J80" i="19"/>
  <c r="K93" i="19"/>
  <c r="L85" i="19"/>
  <c r="N72" i="19"/>
  <c r="P82" i="19"/>
  <c r="P79" i="19"/>
  <c r="N85" i="19"/>
  <c r="K82" i="19"/>
  <c r="J81" i="19"/>
  <c r="O78" i="19"/>
  <c r="N91" i="19"/>
  <c r="AL215" i="18"/>
  <c r="AJ217" i="28" s="1"/>
  <c r="O90" i="19"/>
  <c r="O79" i="19"/>
  <c r="R80" i="19"/>
  <c r="L76" i="19"/>
  <c r="M79" i="19"/>
  <c r="L88" i="19"/>
  <c r="P72" i="19"/>
  <c r="J85" i="19"/>
  <c r="K75" i="19"/>
  <c r="R78" i="19"/>
  <c r="R93" i="19"/>
  <c r="M85" i="19"/>
  <c r="M88" i="19"/>
  <c r="R90" i="19"/>
  <c r="O72" i="19"/>
  <c r="L84" i="19"/>
  <c r="N80" i="19"/>
  <c r="Q86" i="19"/>
  <c r="N89" i="19"/>
  <c r="J74" i="19"/>
  <c r="P94" i="19"/>
  <c r="P76" i="19"/>
  <c r="M92" i="19"/>
  <c r="P86" i="19"/>
  <c r="P78" i="19"/>
  <c r="L75" i="19"/>
  <c r="L86" i="19"/>
  <c r="O77" i="19"/>
  <c r="M73" i="19"/>
  <c r="K73" i="19"/>
  <c r="M93" i="19"/>
  <c r="L92" i="19"/>
  <c r="O74" i="19"/>
  <c r="M86" i="19"/>
  <c r="J75" i="19"/>
  <c r="N90" i="19"/>
  <c r="L95" i="19"/>
  <c r="J91" i="19"/>
  <c r="N84" i="19"/>
  <c r="L91" i="19"/>
  <c r="AL107" i="18"/>
  <c r="AJ109" i="28" s="1"/>
  <c r="Q77" i="19"/>
  <c r="Q94" i="19"/>
  <c r="O95" i="19"/>
  <c r="N78" i="19"/>
  <c r="J77" i="19"/>
  <c r="K87" i="19"/>
  <c r="J93" i="19"/>
  <c r="J92" i="19"/>
  <c r="Q85" i="19"/>
  <c r="O87" i="19"/>
  <c r="Q73" i="19"/>
  <c r="P75" i="19"/>
  <c r="N81" i="19"/>
  <c r="L93" i="19"/>
  <c r="AC107" i="18"/>
  <c r="K78" i="19"/>
  <c r="O93" i="19"/>
  <c r="N87" i="19"/>
  <c r="AC185" i="18"/>
  <c r="O73" i="19"/>
  <c r="L72" i="19"/>
  <c r="P92" i="19"/>
  <c r="K77" i="19"/>
  <c r="M89" i="19"/>
  <c r="J78" i="19"/>
  <c r="AL200" i="18"/>
  <c r="AJ202" i="28" s="1"/>
  <c r="O91" i="19"/>
  <c r="N82" i="19"/>
  <c r="J86" i="19"/>
  <c r="J76" i="19"/>
  <c r="P84" i="19"/>
  <c r="K90" i="19"/>
  <c r="K79" i="19"/>
  <c r="R81" i="19"/>
  <c r="J87" i="19"/>
  <c r="AL122" i="18"/>
  <c r="AJ124" i="28" s="1"/>
  <c r="P77" i="19"/>
  <c r="N92" i="19"/>
  <c r="L89" i="19"/>
  <c r="N76" i="19"/>
  <c r="R83" i="19"/>
  <c r="J82" i="19"/>
  <c r="AL230" i="18"/>
  <c r="AJ232" i="28" s="1"/>
  <c r="AC137" i="18"/>
  <c r="Q84" i="19"/>
  <c r="R92" i="19"/>
  <c r="R88" i="19"/>
  <c r="O75" i="19"/>
  <c r="O86" i="19"/>
  <c r="K91" i="19"/>
  <c r="P80" i="19"/>
  <c r="J72" i="19"/>
  <c r="K94" i="19"/>
  <c r="M77" i="19"/>
  <c r="K76" i="19"/>
  <c r="L74" i="19"/>
  <c r="M78" i="19"/>
  <c r="R76" i="19"/>
  <c r="K89" i="19"/>
  <c r="Q74" i="19"/>
  <c r="M91" i="19"/>
  <c r="K92" i="19"/>
  <c r="N88" i="19"/>
  <c r="M84" i="19"/>
  <c r="N73" i="19"/>
  <c r="AC122" i="18"/>
  <c r="Q78" i="19"/>
  <c r="M90" i="19"/>
  <c r="P93" i="19"/>
  <c r="O80" i="19"/>
  <c r="R87" i="19"/>
  <c r="L73" i="19"/>
  <c r="K95" i="19"/>
  <c r="M80" i="19"/>
  <c r="P90" i="19"/>
  <c r="J88" i="19"/>
  <c r="AL152" i="18"/>
  <c r="AJ154" i="28" s="1"/>
  <c r="M83" i="19"/>
  <c r="Q91" i="19"/>
  <c r="K88" i="19"/>
  <c r="O94" i="19"/>
  <c r="R89" i="19"/>
  <c r="Q72" i="19"/>
  <c r="O88" i="19"/>
  <c r="P83" i="19"/>
  <c r="K72" i="19"/>
  <c r="Q92" i="19"/>
  <c r="L81" i="19"/>
  <c r="AL245" i="18"/>
  <c r="AJ247" i="28" s="1"/>
  <c r="AC167" i="18"/>
  <c r="M72" i="19"/>
  <c r="AL167" i="18"/>
  <c r="AJ169" i="28" s="1"/>
  <c r="AC215" i="18"/>
  <c r="AC245" i="18"/>
  <c r="AL137" i="18"/>
  <c r="AJ139" i="28" s="1"/>
  <c r="N86" i="19"/>
  <c r="AC230" i="18"/>
  <c r="AL197" i="18"/>
  <c r="AJ199" i="28" s="1"/>
  <c r="AL275" i="18"/>
  <c r="AJ277" i="28" s="1"/>
  <c r="AC275" i="18"/>
  <c r="AC182" i="18"/>
  <c r="AL182" i="18"/>
  <c r="AJ184" i="28" s="1"/>
  <c r="AL227" i="18"/>
  <c r="AJ229" i="28" s="1"/>
  <c r="AL212" i="18"/>
  <c r="AJ214" i="28" s="1"/>
  <c r="AC197" i="18"/>
  <c r="AL260" i="18"/>
  <c r="AJ262" i="28" s="1"/>
  <c r="AC260" i="18"/>
  <c r="AL242" i="18"/>
  <c r="AJ244" i="28" s="1"/>
  <c r="AL305" i="18"/>
  <c r="AJ307" i="28" s="1"/>
  <c r="AC305" i="18"/>
  <c r="AC242" i="18"/>
  <c r="AL257" i="18"/>
  <c r="AJ259" i="28" s="1"/>
  <c r="AC212" i="18"/>
  <c r="AC227" i="18"/>
  <c r="AL290" i="18"/>
  <c r="AJ292" i="28" s="1"/>
  <c r="AC272" i="18"/>
  <c r="AC290" i="18"/>
  <c r="AC287" i="18"/>
  <c r="AL320" i="18"/>
  <c r="AJ322" i="28" s="1"/>
  <c r="AL272" i="18"/>
  <c r="AJ274" i="28" s="1"/>
  <c r="AC335" i="18"/>
  <c r="AL287" i="18"/>
  <c r="AJ289" i="28" s="1"/>
  <c r="AC257" i="18"/>
  <c r="AL335" i="18"/>
  <c r="AJ337" i="28" s="1"/>
  <c r="AC320" i="18"/>
  <c r="AC350" i="18"/>
  <c r="AL380" i="18"/>
  <c r="AJ382" i="28" s="1"/>
  <c r="AC380" i="18"/>
  <c r="AL350" i="18"/>
  <c r="AJ352" i="28" s="1"/>
  <c r="AL317" i="18"/>
  <c r="AJ319" i="28" s="1"/>
  <c r="AC302" i="18"/>
  <c r="AC347" i="18"/>
  <c r="AL365" i="18"/>
  <c r="AJ367" i="28" s="1"/>
  <c r="AC317" i="18"/>
  <c r="AC365" i="18"/>
  <c r="AC395" i="18"/>
  <c r="AL302" i="18"/>
  <c r="AJ304" i="28" s="1"/>
  <c r="AL395" i="18"/>
  <c r="AJ397" i="28" s="1"/>
  <c r="AC425" i="18"/>
  <c r="AL410" i="18"/>
  <c r="AJ412" i="28" s="1"/>
  <c r="AC440" i="18"/>
  <c r="AL347" i="18"/>
  <c r="AJ349" i="28" s="1"/>
  <c r="AL332" i="18"/>
  <c r="AJ334" i="28" s="1"/>
  <c r="AC410" i="18"/>
  <c r="AL425" i="18"/>
  <c r="AJ427" i="28" s="1"/>
  <c r="AL392" i="18"/>
  <c r="AJ394" i="28" s="1"/>
  <c r="AL440" i="18"/>
  <c r="AJ442" i="28" s="1"/>
  <c r="AC332" i="18"/>
  <c r="AC377" i="18"/>
  <c r="AL455" i="18"/>
  <c r="AJ457" i="28" s="1"/>
  <c r="AL362" i="18"/>
  <c r="AJ364" i="28" s="1"/>
  <c r="AC362" i="18"/>
  <c r="AC392" i="18"/>
  <c r="AL485" i="18"/>
  <c r="AJ487" i="28" s="1"/>
  <c r="AL377" i="18"/>
  <c r="AJ379" i="28" s="1"/>
  <c r="AC485" i="18"/>
  <c r="AC455" i="18"/>
  <c r="AL470" i="18"/>
  <c r="AJ472" i="28" s="1"/>
  <c r="AC407" i="18"/>
  <c r="AC470" i="18"/>
  <c r="AL407" i="18"/>
  <c r="AJ409" i="28" s="1"/>
  <c r="AL437" i="18"/>
  <c r="AJ439" i="28" s="1"/>
  <c r="AL500" i="18"/>
  <c r="AJ502" i="28" s="1"/>
  <c r="AL515" i="18"/>
  <c r="AJ517" i="28" s="1"/>
  <c r="AC515" i="18"/>
  <c r="AC500" i="18"/>
  <c r="AL422" i="18"/>
  <c r="AJ424" i="28" s="1"/>
  <c r="AC422" i="18"/>
  <c r="AC452" i="18"/>
  <c r="AL467" i="18"/>
  <c r="AJ469" i="28" s="1"/>
  <c r="AL452" i="18"/>
  <c r="AJ454" i="28" s="1"/>
  <c r="AL530" i="18"/>
  <c r="AJ532" i="28" s="1"/>
  <c r="AC437" i="18"/>
  <c r="AC467" i="18"/>
  <c r="AC560" i="18"/>
  <c r="AL560" i="18"/>
  <c r="AJ562" i="28" s="1"/>
  <c r="AC545" i="18"/>
  <c r="AC530" i="18"/>
  <c r="AL545" i="18"/>
  <c r="AJ547" i="28" s="1"/>
  <c r="AL575" i="18"/>
  <c r="AJ577" i="28" s="1"/>
  <c r="AL482" i="18"/>
  <c r="AJ484" i="28" s="1"/>
  <c r="AC482" i="18"/>
  <c r="AL512" i="18"/>
  <c r="AJ514" i="28" s="1"/>
  <c r="AL590" i="18"/>
  <c r="AJ592" i="28" s="1"/>
  <c r="AC512" i="18"/>
  <c r="AC590" i="18"/>
  <c r="AL620" i="18"/>
  <c r="AJ622" i="28" s="1"/>
  <c r="AC497" i="18"/>
  <c r="AC575" i="18"/>
  <c r="AL497" i="18"/>
  <c r="AJ499" i="28" s="1"/>
  <c r="AC542" i="18"/>
  <c r="AL572" i="18"/>
  <c r="AJ574" i="28" s="1"/>
  <c r="AL527" i="18"/>
  <c r="AJ529" i="28" s="1"/>
  <c r="AL605" i="18"/>
  <c r="AJ607" i="28" s="1"/>
  <c r="AC605" i="18"/>
  <c r="AL650" i="18"/>
  <c r="AJ652" i="28" s="1"/>
  <c r="AC620" i="18"/>
  <c r="AL557" i="18"/>
  <c r="AJ559" i="28" s="1"/>
  <c r="AC557" i="18"/>
  <c r="AC587" i="18"/>
  <c r="AL635" i="18"/>
  <c r="AJ637" i="28" s="1"/>
  <c r="AC527" i="18"/>
  <c r="AC572" i="18"/>
  <c r="AC635" i="18"/>
  <c r="AC650" i="18"/>
  <c r="AL680" i="18"/>
  <c r="AJ682" i="28" s="1"/>
  <c r="AL542" i="18"/>
  <c r="AJ544" i="28" s="1"/>
  <c r="AL587" i="18"/>
  <c r="AJ589" i="28" s="1"/>
  <c r="AC680" i="18"/>
  <c r="AC617" i="18"/>
  <c r="AC602" i="18"/>
  <c r="AL647" i="18"/>
  <c r="AJ649" i="28" s="1"/>
  <c r="AL665" i="18"/>
  <c r="AJ667" i="28" s="1"/>
  <c r="AL602" i="18"/>
  <c r="AJ604" i="28" s="1"/>
  <c r="AL662" i="18"/>
  <c r="AJ664" i="28" s="1"/>
  <c r="AC662" i="18"/>
  <c r="AL617" i="18"/>
  <c r="AJ619" i="28" s="1"/>
  <c r="AL710" i="18"/>
  <c r="AJ712" i="28" s="1"/>
  <c r="AC665" i="18"/>
  <c r="AC647" i="18"/>
  <c r="AL695" i="18"/>
  <c r="AJ697" i="28" s="1"/>
  <c r="AC695" i="18"/>
  <c r="AC710" i="18"/>
  <c r="AC740" i="18"/>
  <c r="AC632" i="18"/>
  <c r="AC677" i="18"/>
  <c r="AL632" i="18"/>
  <c r="AJ634" i="28" s="1"/>
  <c r="AC725" i="18"/>
  <c r="AC755" i="18"/>
  <c r="AL725" i="18"/>
  <c r="AJ727" i="28" s="1"/>
  <c r="AL677" i="18"/>
  <c r="AJ679" i="28" s="1"/>
  <c r="AL740" i="18"/>
  <c r="AJ742" i="28" s="1"/>
  <c r="AL692" i="18"/>
  <c r="AJ694" i="28" s="1"/>
  <c r="AL770" i="18"/>
  <c r="AL755" i="18"/>
  <c r="AL722" i="18"/>
  <c r="AJ724" i="28" s="1"/>
  <c r="AC707" i="18"/>
  <c r="AC692" i="18"/>
  <c r="AL800" i="18"/>
  <c r="AL707" i="18"/>
  <c r="AJ709" i="28" s="1"/>
  <c r="AC785" i="18"/>
  <c r="AL785" i="18"/>
  <c r="AC770" i="18"/>
  <c r="AC752" i="18"/>
  <c r="AA754" i="28" s="1"/>
  <c r="AC722" i="18"/>
  <c r="AL767" i="18"/>
  <c r="AJ769" i="28" s="1"/>
  <c r="AL752" i="18"/>
  <c r="AJ754" i="28" s="1"/>
  <c r="AC767" i="18"/>
  <c r="AC737" i="18"/>
  <c r="AL737" i="18"/>
  <c r="AJ739" i="28" s="1"/>
  <c r="AL857" i="18"/>
  <c r="AJ859" i="28" s="1"/>
  <c r="AC857" i="18"/>
  <c r="AD857" i="18" s="1"/>
  <c r="AC827" i="18"/>
  <c r="AL842" i="18"/>
  <c r="AJ844" i="28" s="1"/>
  <c r="AL812" i="18"/>
  <c r="AJ814" i="28" s="1"/>
  <c r="AC812" i="18"/>
  <c r="AC872" i="18"/>
  <c r="T812" i="18"/>
  <c r="R814" i="28" s="1"/>
  <c r="AA844" i="28"/>
  <c r="I51" i="19"/>
  <c r="J59" i="19"/>
  <c r="K46" i="19"/>
  <c r="L61" i="19"/>
  <c r="J52" i="19"/>
  <c r="I41" i="19"/>
  <c r="L59" i="19"/>
  <c r="I45" i="19"/>
  <c r="J57" i="19"/>
  <c r="K48" i="19"/>
  <c r="K40" i="19"/>
  <c r="I60" i="19"/>
  <c r="K60" i="19"/>
  <c r="I61" i="19"/>
  <c r="K44" i="19"/>
  <c r="I57" i="19"/>
  <c r="J43" i="19"/>
  <c r="L49" i="19"/>
  <c r="J50" i="19"/>
  <c r="L51" i="19"/>
  <c r="I62" i="19"/>
  <c r="L41" i="19"/>
  <c r="K45" i="19"/>
  <c r="L45" i="19"/>
  <c r="J41" i="19"/>
  <c r="L56" i="19"/>
  <c r="I55" i="19"/>
  <c r="K39" i="19"/>
  <c r="I42" i="19"/>
  <c r="I48" i="19"/>
  <c r="J54" i="19"/>
  <c r="L58" i="19"/>
  <c r="L54" i="19"/>
  <c r="I58" i="19"/>
  <c r="I46" i="19"/>
  <c r="J40" i="19"/>
  <c r="J46" i="19"/>
  <c r="I56" i="19"/>
  <c r="L48" i="19"/>
  <c r="I59" i="19"/>
  <c r="J61" i="19"/>
  <c r="J49" i="19"/>
  <c r="L55" i="19"/>
  <c r="L62" i="19"/>
  <c r="J56" i="19"/>
  <c r="L53" i="19"/>
  <c r="J55" i="19"/>
  <c r="L46" i="19"/>
  <c r="L42" i="19"/>
  <c r="I54" i="19"/>
  <c r="L44" i="19"/>
  <c r="I43" i="19"/>
  <c r="J48" i="19"/>
  <c r="K54" i="19"/>
  <c r="K53" i="19"/>
  <c r="I47" i="19"/>
  <c r="K55" i="19"/>
  <c r="J60" i="19"/>
  <c r="J62" i="19"/>
  <c r="L43" i="19"/>
  <c r="J47" i="19"/>
  <c r="K42" i="19"/>
  <c r="K56" i="19"/>
  <c r="I39" i="19"/>
  <c r="L52" i="19"/>
  <c r="K43" i="19"/>
  <c r="L40" i="19"/>
  <c r="L39" i="19"/>
  <c r="K59" i="19"/>
  <c r="K51" i="19"/>
  <c r="K41" i="19"/>
  <c r="J42" i="19"/>
  <c r="K62" i="19"/>
  <c r="K52" i="19"/>
  <c r="J45" i="19"/>
  <c r="K50" i="19"/>
  <c r="J53" i="19"/>
  <c r="L60" i="19"/>
  <c r="K58" i="19"/>
  <c r="J51" i="19"/>
  <c r="I53" i="19"/>
  <c r="K61" i="19"/>
  <c r="L47" i="19"/>
  <c r="I52" i="19"/>
  <c r="I44" i="19"/>
  <c r="K57" i="19"/>
  <c r="I50" i="19"/>
  <c r="J44" i="19"/>
  <c r="L57" i="19"/>
  <c r="I40" i="19"/>
  <c r="L50" i="19"/>
  <c r="K47" i="19"/>
  <c r="I49" i="19"/>
  <c r="J39" i="19"/>
  <c r="J58" i="19"/>
  <c r="K49" i="19"/>
  <c r="U59" i="19"/>
  <c r="V42" i="19"/>
  <c r="X42" i="19"/>
  <c r="V58" i="19"/>
  <c r="V44" i="19"/>
  <c r="W39" i="19"/>
  <c r="X41" i="19"/>
  <c r="U42" i="19"/>
  <c r="U51" i="19"/>
  <c r="W54" i="19"/>
  <c r="X52" i="19"/>
  <c r="W49" i="19"/>
  <c r="X40" i="19"/>
  <c r="U45" i="19"/>
  <c r="X46" i="19"/>
  <c r="V52" i="19"/>
  <c r="W53" i="19"/>
  <c r="W47" i="19"/>
  <c r="V46" i="19"/>
  <c r="W60" i="19"/>
  <c r="U43" i="19"/>
  <c r="V57" i="19"/>
  <c r="V51" i="19"/>
  <c r="W58" i="19"/>
  <c r="U39" i="19"/>
  <c r="X39" i="19"/>
  <c r="W55" i="19"/>
  <c r="U55" i="19"/>
  <c r="W48" i="19"/>
  <c r="U49" i="19"/>
  <c r="X44" i="19"/>
  <c r="X50" i="19"/>
  <c r="V56" i="19"/>
  <c r="X54" i="19"/>
  <c r="U50" i="19"/>
  <c r="W40" i="19"/>
  <c r="X48" i="19"/>
  <c r="X62" i="19"/>
  <c r="W45" i="19"/>
  <c r="V55" i="19"/>
  <c r="W41" i="19"/>
  <c r="X56" i="19"/>
  <c r="X57" i="19"/>
  <c r="V40" i="19"/>
  <c r="U40" i="19"/>
  <c r="U52" i="19"/>
  <c r="U44" i="19"/>
  <c r="X49" i="19"/>
  <c r="W59" i="19"/>
  <c r="V43" i="19"/>
  <c r="W56" i="19"/>
  <c r="X60" i="19"/>
  <c r="V48" i="19"/>
  <c r="W61" i="19"/>
  <c r="V53" i="19"/>
  <c r="W52" i="19"/>
  <c r="U54" i="19"/>
  <c r="V45" i="19"/>
  <c r="X47" i="19"/>
  <c r="U57" i="19"/>
  <c r="X45" i="19"/>
  <c r="W57" i="19"/>
  <c r="V59" i="19"/>
  <c r="W51" i="19"/>
  <c r="W44" i="19"/>
  <c r="U48" i="19"/>
  <c r="V50" i="19"/>
  <c r="V61" i="19"/>
  <c r="U47" i="19"/>
  <c r="X43" i="19"/>
  <c r="U61" i="19"/>
  <c r="X59" i="19"/>
  <c r="V60" i="19"/>
  <c r="V62" i="19"/>
  <c r="X51" i="19"/>
  <c r="U46" i="19"/>
  <c r="U41" i="19"/>
  <c r="U53" i="19"/>
  <c r="X55" i="19"/>
  <c r="X58" i="19"/>
  <c r="V47" i="19"/>
  <c r="W43" i="19"/>
  <c r="W46" i="19"/>
  <c r="U62" i="19"/>
  <c r="W62" i="19"/>
  <c r="U58" i="19"/>
  <c r="V39" i="19"/>
  <c r="X61" i="19"/>
  <c r="U56" i="19"/>
  <c r="V54" i="19"/>
  <c r="X53" i="19"/>
  <c r="V49" i="19"/>
  <c r="V41" i="19"/>
  <c r="U60" i="19"/>
  <c r="W50" i="19"/>
  <c r="W42" i="19"/>
  <c r="M48" i="19"/>
  <c r="O57" i="19"/>
  <c r="P48" i="19"/>
  <c r="M54" i="19"/>
  <c r="P57" i="19"/>
  <c r="O59" i="19"/>
  <c r="N47" i="19"/>
  <c r="M61" i="19"/>
  <c r="M62" i="19"/>
  <c r="P39" i="19"/>
  <c r="O43" i="19"/>
  <c r="P58" i="19"/>
  <c r="M49" i="19"/>
  <c r="M52" i="19"/>
  <c r="O53" i="19"/>
  <c r="N48" i="19"/>
  <c r="P47" i="19"/>
  <c r="P49" i="19"/>
  <c r="P50" i="19"/>
  <c r="O51" i="19"/>
  <c r="M58" i="19"/>
  <c r="O39" i="19"/>
  <c r="O47" i="19"/>
  <c r="N51" i="19"/>
  <c r="P55" i="19"/>
  <c r="N57" i="19"/>
  <c r="O40" i="19"/>
  <c r="M57" i="19"/>
  <c r="O52" i="19"/>
  <c r="N60" i="19"/>
  <c r="N43" i="19"/>
  <c r="O46" i="19"/>
  <c r="P61" i="19"/>
  <c r="M39" i="19"/>
  <c r="P43" i="19"/>
  <c r="O49" i="19"/>
  <c r="M46" i="19"/>
  <c r="M51" i="19"/>
  <c r="P45" i="19"/>
  <c r="O62" i="19"/>
  <c r="M40" i="19"/>
  <c r="P51" i="19"/>
  <c r="P41" i="19"/>
  <c r="N55" i="19"/>
  <c r="O55" i="19"/>
  <c r="N52" i="19"/>
  <c r="N42" i="19"/>
  <c r="M59" i="19"/>
  <c r="P42" i="19"/>
  <c r="P60" i="19"/>
  <c r="P44" i="19"/>
  <c r="O50" i="19"/>
  <c r="N45" i="19"/>
  <c r="N61" i="19"/>
  <c r="N59" i="19"/>
  <c r="P62" i="19"/>
  <c r="O45" i="19"/>
  <c r="O61" i="19"/>
  <c r="N54" i="19"/>
  <c r="N62" i="19"/>
  <c r="O44" i="19"/>
  <c r="N56" i="19"/>
  <c r="M45" i="19"/>
  <c r="M50" i="19"/>
  <c r="O48" i="19"/>
  <c r="M60" i="19"/>
  <c r="P40" i="19"/>
  <c r="N58" i="19"/>
  <c r="O60" i="19"/>
  <c r="O58" i="19"/>
  <c r="N40" i="19"/>
  <c r="P56" i="19"/>
  <c r="M44" i="19"/>
  <c r="M55" i="19"/>
  <c r="N49" i="19"/>
  <c r="M47" i="19"/>
  <c r="P54" i="19"/>
  <c r="N50" i="19"/>
  <c r="O56" i="19"/>
  <c r="P59" i="19"/>
  <c r="M41" i="19"/>
  <c r="O54" i="19"/>
  <c r="N46" i="19"/>
  <c r="M42" i="19"/>
  <c r="P46" i="19"/>
  <c r="N39" i="19"/>
  <c r="M43" i="19"/>
  <c r="P52" i="19"/>
  <c r="N53" i="19"/>
  <c r="M56" i="19"/>
  <c r="P53" i="19"/>
  <c r="N44" i="19"/>
  <c r="N41" i="19"/>
  <c r="O42" i="19"/>
  <c r="O41" i="19"/>
  <c r="M53" i="19"/>
  <c r="T46" i="19"/>
  <c r="Q40" i="19"/>
  <c r="S42" i="19"/>
  <c r="R43" i="19"/>
  <c r="T55" i="19"/>
  <c r="Q43" i="19"/>
  <c r="Q54" i="19"/>
  <c r="R42" i="19"/>
  <c r="S39" i="19"/>
  <c r="T59" i="19"/>
  <c r="S46" i="19"/>
  <c r="S45" i="19"/>
  <c r="R52" i="19"/>
  <c r="T41" i="19"/>
  <c r="T42" i="19"/>
  <c r="T54" i="19"/>
  <c r="T60" i="19"/>
  <c r="Q46" i="19"/>
  <c r="S54" i="19"/>
  <c r="R56" i="19"/>
  <c r="S59" i="19"/>
  <c r="T49" i="19"/>
  <c r="R55" i="19"/>
  <c r="R60" i="19"/>
  <c r="Q42" i="19"/>
  <c r="R51" i="19"/>
  <c r="S56" i="19"/>
  <c r="R46" i="19"/>
  <c r="T48" i="19"/>
  <c r="S40" i="19"/>
  <c r="S52" i="19"/>
  <c r="R54" i="19"/>
  <c r="S48" i="19"/>
  <c r="S55" i="19"/>
  <c r="Q55" i="19"/>
  <c r="Q50" i="19"/>
  <c r="S62" i="19"/>
  <c r="S57" i="19"/>
  <c r="S41" i="19"/>
  <c r="Q49" i="19"/>
  <c r="S58" i="19"/>
  <c r="Q58" i="19"/>
  <c r="Q56" i="19"/>
  <c r="T47" i="19"/>
  <c r="T52" i="19"/>
  <c r="R44" i="19"/>
  <c r="R61" i="19"/>
  <c r="Q44" i="19"/>
  <c r="S49" i="19"/>
  <c r="T51" i="19"/>
  <c r="S53" i="19"/>
  <c r="T50" i="19"/>
  <c r="S61" i="19"/>
  <c r="S51" i="19"/>
  <c r="R48" i="19"/>
  <c r="S50" i="19"/>
  <c r="Q53" i="19"/>
  <c r="R62" i="19"/>
  <c r="Q51" i="19"/>
  <c r="Q41" i="19"/>
  <c r="R50" i="19"/>
  <c r="Q57" i="19"/>
  <c r="T61" i="19"/>
  <c r="T56" i="19"/>
  <c r="T53" i="19"/>
  <c r="R41" i="19"/>
  <c r="T45" i="19"/>
  <c r="R53" i="19"/>
  <c r="Q59" i="19"/>
  <c r="S44" i="19"/>
  <c r="Q47" i="19"/>
  <c r="T44" i="19"/>
  <c r="R59" i="19"/>
  <c r="R49" i="19"/>
  <c r="R39" i="19"/>
  <c r="T40" i="19"/>
  <c r="S60" i="19"/>
  <c r="Q61" i="19"/>
  <c r="R47" i="19"/>
  <c r="Q48" i="19"/>
  <c r="R45" i="19"/>
  <c r="Q60" i="19"/>
  <c r="T43" i="19"/>
  <c r="Q45" i="19"/>
  <c r="T58" i="19"/>
  <c r="R40" i="19"/>
  <c r="S43" i="19"/>
  <c r="S47" i="19"/>
  <c r="Q39" i="19"/>
  <c r="R58" i="19"/>
  <c r="Q62" i="19"/>
  <c r="Q52" i="19"/>
  <c r="T39" i="19"/>
  <c r="R57" i="19"/>
  <c r="T57" i="19"/>
  <c r="T62" i="19"/>
  <c r="Z21" i="19"/>
  <c r="H55" i="19"/>
  <c r="AA16" i="19"/>
  <c r="G62" i="19"/>
  <c r="AK6" i="19"/>
  <c r="AA21" i="19"/>
  <c r="H58" i="19"/>
  <c r="H50" i="19"/>
  <c r="G47" i="19"/>
  <c r="H51" i="19"/>
  <c r="AJ13" i="19"/>
  <c r="G53" i="19"/>
  <c r="E50" i="19"/>
  <c r="G57" i="19"/>
  <c r="F49" i="19"/>
  <c r="F51" i="19"/>
  <c r="AK19" i="19"/>
  <c r="E55" i="19"/>
  <c r="G45" i="19"/>
  <c r="Z11" i="19"/>
  <c r="E60" i="19"/>
  <c r="AJ19" i="19"/>
  <c r="H42" i="19"/>
  <c r="E39" i="19"/>
  <c r="AK15" i="19"/>
  <c r="F60" i="19"/>
  <c r="AA20" i="19"/>
  <c r="H43" i="19"/>
  <c r="AJ17" i="19"/>
  <c r="F58" i="19"/>
  <c r="AA23" i="19"/>
  <c r="Z28" i="19"/>
  <c r="AJ26" i="19"/>
  <c r="AJ20" i="19"/>
  <c r="Z14" i="19"/>
  <c r="AA10" i="19"/>
  <c r="F40" i="19"/>
  <c r="F61" i="19"/>
  <c r="H59" i="19"/>
  <c r="G41" i="19"/>
  <c r="AK9" i="19"/>
  <c r="E42" i="19"/>
  <c r="AJ14" i="19"/>
  <c r="H56" i="19"/>
  <c r="E57" i="19"/>
  <c r="E56" i="19"/>
  <c r="AK27" i="19"/>
  <c r="F57" i="19"/>
  <c r="F55" i="19"/>
  <c r="AK7" i="19"/>
  <c r="AK28" i="19"/>
  <c r="Z8" i="19"/>
  <c r="E41" i="19"/>
  <c r="G59" i="19"/>
  <c r="Z20" i="19"/>
  <c r="E46" i="19"/>
  <c r="AA12" i="19"/>
  <c r="G46" i="19"/>
  <c r="G50" i="19"/>
  <c r="F42" i="19"/>
  <c r="AJ10" i="19"/>
  <c r="F45" i="19"/>
  <c r="E43" i="19"/>
  <c r="AJ25" i="19"/>
  <c r="AK23" i="19"/>
  <c r="AA27" i="19"/>
  <c r="G39" i="19"/>
  <c r="Z22" i="19"/>
  <c r="G44" i="19"/>
  <c r="E53" i="19"/>
  <c r="Z12" i="19"/>
  <c r="F47" i="19"/>
  <c r="G61" i="19"/>
  <c r="G43" i="19"/>
  <c r="AK16" i="19"/>
  <c r="H54" i="19"/>
  <c r="Z17" i="19"/>
  <c r="AA11" i="19"/>
  <c r="AA22" i="19"/>
  <c r="E51" i="19"/>
  <c r="F48" i="19"/>
  <c r="G54" i="19"/>
  <c r="E44" i="19"/>
  <c r="E40" i="19"/>
  <c r="E49" i="19"/>
  <c r="E52" i="19"/>
  <c r="F41" i="19"/>
  <c r="H60" i="19"/>
  <c r="G60" i="19"/>
  <c r="G58" i="19"/>
  <c r="H57" i="19"/>
  <c r="E61" i="19"/>
  <c r="G40" i="19"/>
  <c r="AK29" i="19"/>
  <c r="Z13" i="19"/>
  <c r="F59" i="19"/>
  <c r="AA19" i="19"/>
  <c r="F53" i="19"/>
  <c r="F46" i="19"/>
  <c r="AA7" i="19"/>
  <c r="AA24" i="19"/>
  <c r="AJ8" i="19"/>
  <c r="H40" i="19"/>
  <c r="AK10" i="19"/>
  <c r="F56" i="19"/>
  <c r="Z19" i="19"/>
  <c r="AA13" i="19"/>
  <c r="Z7" i="19"/>
  <c r="AK14" i="19"/>
  <c r="H62" i="19"/>
  <c r="Z25" i="19"/>
  <c r="AJ11" i="19"/>
  <c r="AA25" i="19"/>
  <c r="G56" i="19"/>
  <c r="G49" i="19"/>
  <c r="AK8" i="19"/>
  <c r="AK18" i="19"/>
  <c r="Z24" i="19"/>
  <c r="G55" i="19"/>
  <c r="H39" i="19"/>
  <c r="E59" i="19"/>
  <c r="AK24" i="19"/>
  <c r="H52" i="19"/>
  <c r="H45" i="19"/>
  <c r="AJ27" i="19"/>
  <c r="AA29" i="19"/>
  <c r="AA18" i="19"/>
  <c r="F52" i="19"/>
  <c r="AJ29" i="19"/>
  <c r="Z15" i="19"/>
  <c r="E48" i="19"/>
  <c r="AJ16" i="19"/>
  <c r="AA8" i="19"/>
  <c r="H47" i="19"/>
  <c r="H48" i="19"/>
  <c r="E47" i="19"/>
  <c r="AJ18" i="19"/>
  <c r="G51" i="19"/>
  <c r="E62" i="19"/>
  <c r="AJ24" i="19"/>
  <c r="H49" i="19"/>
  <c r="AA28" i="19"/>
  <c r="E58" i="19"/>
  <c r="H41" i="19"/>
  <c r="AJ23" i="19"/>
  <c r="AA15" i="19"/>
  <c r="Z26" i="19"/>
  <c r="Z23" i="19"/>
  <c r="AK22" i="19"/>
  <c r="Z29" i="19"/>
  <c r="F62" i="19"/>
  <c r="G52" i="19"/>
  <c r="Z10" i="19"/>
  <c r="F50" i="19"/>
  <c r="E45" i="19"/>
  <c r="H61" i="19"/>
  <c r="AA26" i="19"/>
  <c r="E54" i="19"/>
  <c r="Z16" i="19"/>
  <c r="F43" i="19"/>
  <c r="AJ7" i="19"/>
  <c r="H53" i="19"/>
  <c r="Z18" i="19"/>
  <c r="AA14" i="19"/>
  <c r="AK13" i="19"/>
  <c r="F44" i="19"/>
  <c r="H46" i="19"/>
  <c r="F39" i="19"/>
  <c r="AJ15" i="19"/>
  <c r="F54" i="19"/>
  <c r="AJ21" i="19"/>
  <c r="H44" i="19"/>
  <c r="G48" i="19"/>
  <c r="Z6" i="19"/>
  <c r="G42" i="19"/>
  <c r="AJ22" i="19"/>
  <c r="AK26" i="19"/>
  <c r="AJ12" i="19"/>
  <c r="AK11" i="19"/>
  <c r="AK21" i="19"/>
  <c r="AA6" i="19"/>
  <c r="AK25" i="19"/>
  <c r="AJ28" i="19"/>
  <c r="AA9" i="19"/>
  <c r="AK17" i="19"/>
  <c r="Z9" i="19"/>
  <c r="Z27" i="19"/>
  <c r="AJ6" i="19"/>
  <c r="AK12" i="19"/>
  <c r="AA17" i="19"/>
  <c r="AJ9" i="19"/>
  <c r="AK20" i="19"/>
  <c r="T800" i="18"/>
  <c r="R802" i="28" s="1"/>
  <c r="I168" i="19"/>
  <c r="I158" i="19"/>
  <c r="I160" i="19"/>
  <c r="I161" i="19"/>
  <c r="I165" i="19"/>
  <c r="I173" i="19"/>
  <c r="I159" i="19"/>
  <c r="I167" i="19"/>
  <c r="I156" i="19"/>
  <c r="I178" i="19"/>
  <c r="I170" i="19"/>
  <c r="I176" i="19"/>
  <c r="I171" i="19"/>
  <c r="I172" i="19"/>
  <c r="I164" i="19"/>
  <c r="I169" i="19"/>
  <c r="I166" i="19"/>
  <c r="I157" i="19"/>
  <c r="I179" i="19"/>
  <c r="I174" i="19"/>
  <c r="I163" i="19"/>
  <c r="I175" i="19"/>
  <c r="I177" i="19"/>
  <c r="I162" i="19"/>
  <c r="R892" i="28"/>
  <c r="T815" i="18"/>
  <c r="T740" i="18"/>
  <c r="R742" i="28" s="1"/>
  <c r="T860" i="18"/>
  <c r="AA55" i="20"/>
  <c r="AN56" i="20"/>
  <c r="AN55" i="20"/>
  <c r="AB56" i="20"/>
  <c r="AB54" i="20"/>
  <c r="AM56" i="20"/>
  <c r="AN54" i="20"/>
  <c r="T861" i="18"/>
  <c r="T202" i="18"/>
  <c r="T578" i="18"/>
  <c r="Z54" i="20"/>
  <c r="AE54" i="20" s="1"/>
  <c r="Z56" i="20"/>
  <c r="AE56" i="20" s="1"/>
  <c r="AB55" i="20"/>
  <c r="T458" i="18"/>
  <c r="T501" i="18"/>
  <c r="T188" i="18"/>
  <c r="T398" i="18"/>
  <c r="T833" i="18"/>
  <c r="T876" i="18"/>
  <c r="T82" i="18"/>
  <c r="AA56" i="20"/>
  <c r="T818" i="18"/>
  <c r="T577" i="18"/>
  <c r="T863" i="18"/>
  <c r="AA54" i="20"/>
  <c r="T517" i="18"/>
  <c r="T518" i="18"/>
  <c r="T52" i="18"/>
  <c r="T338" i="18"/>
  <c r="T98" i="18"/>
  <c r="T742" i="18"/>
  <c r="T637" i="18"/>
  <c r="T683" i="18"/>
  <c r="T367" i="18"/>
  <c r="T787" i="18"/>
  <c r="T68" i="18"/>
  <c r="T591" i="18"/>
  <c r="T366" i="18"/>
  <c r="T891" i="18"/>
  <c r="T368" i="18"/>
  <c r="T262" i="18"/>
  <c r="Z55" i="20"/>
  <c r="AE55" i="20" s="1"/>
  <c r="T218" i="18"/>
  <c r="T698" i="18"/>
  <c r="T322" i="18"/>
  <c r="T892" i="18"/>
  <c r="T96" i="18"/>
  <c r="T307" i="18"/>
  <c r="T142" i="18"/>
  <c r="T487" i="18"/>
  <c r="T713" i="18"/>
  <c r="T66" i="18"/>
  <c r="T623" i="18"/>
  <c r="T502" i="18"/>
  <c r="T352" i="18"/>
  <c r="T411" i="18"/>
  <c r="T353" i="18"/>
  <c r="T546" i="18"/>
  <c r="T652" i="18"/>
  <c r="T786" i="18"/>
  <c r="AM55" i="20"/>
  <c r="T621" i="18"/>
  <c r="T832" i="18"/>
  <c r="T516" i="18"/>
  <c r="T636" i="18"/>
  <c r="T427" i="18"/>
  <c r="T187" i="18"/>
  <c r="AM54" i="20"/>
  <c r="T382" i="18"/>
  <c r="T67" i="18"/>
  <c r="T622" i="18"/>
  <c r="T801" i="18"/>
  <c r="T23" i="18"/>
  <c r="T696" i="18"/>
  <c r="T503" i="18"/>
  <c r="T563" i="18"/>
  <c r="T428" i="18"/>
  <c r="T412" i="18"/>
  <c r="T666" i="18"/>
  <c r="T728" i="18"/>
  <c r="T668" i="18"/>
  <c r="T471" i="18"/>
  <c r="T321" i="18"/>
  <c r="T186" i="18"/>
  <c r="T726" i="18"/>
  <c r="T816" i="18"/>
  <c r="T743" i="18"/>
  <c r="R745" i="28" s="1"/>
  <c r="T233" i="18"/>
  <c r="T847" i="18"/>
  <c r="T472" i="18"/>
  <c r="T441" i="18"/>
  <c r="T772" i="18"/>
  <c r="T803" i="18"/>
  <c r="T337" i="18"/>
  <c r="T81" i="18"/>
  <c r="T111" i="18"/>
  <c r="T306" i="18"/>
  <c r="T413" i="18"/>
  <c r="T606" i="18"/>
  <c r="T592" i="18"/>
  <c r="T397" i="18"/>
  <c r="T533" i="18"/>
  <c r="T576" i="18"/>
  <c r="T727" i="18"/>
  <c r="T681" i="18"/>
  <c r="T248" i="18"/>
  <c r="T456" i="18"/>
  <c r="T756" i="18"/>
  <c r="T473" i="18"/>
  <c r="AD848" i="18"/>
  <c r="T156" i="18"/>
  <c r="T711" i="18"/>
  <c r="T562" i="18"/>
  <c r="T531" i="18"/>
  <c r="T712" i="18"/>
  <c r="T653" i="18"/>
  <c r="T758" i="18"/>
  <c r="T831" i="18"/>
  <c r="T7" i="18"/>
  <c r="T443" i="18"/>
  <c r="T846" i="18"/>
  <c r="T802" i="18"/>
  <c r="T141" i="18"/>
  <c r="T381" i="18"/>
  <c r="T263" i="18"/>
  <c r="T126" i="18"/>
  <c r="T201" i="18"/>
  <c r="T862" i="18"/>
  <c r="T607" i="18"/>
  <c r="T638" i="18"/>
  <c r="T486" i="18"/>
  <c r="T247" i="18"/>
  <c r="T143" i="18"/>
  <c r="T51" i="18"/>
  <c r="T457" i="18"/>
  <c r="T757" i="18"/>
  <c r="T547" i="18"/>
  <c r="T173" i="18"/>
  <c r="T172" i="18"/>
  <c r="T682" i="18"/>
  <c r="T278" i="18"/>
  <c r="T261" i="18"/>
  <c r="T291" i="18"/>
  <c r="T667" i="18"/>
  <c r="T561" i="18"/>
  <c r="T308" i="18"/>
  <c r="T817" i="18"/>
  <c r="T171" i="18"/>
  <c r="T848" i="18"/>
  <c r="T336" i="18"/>
  <c r="T36" i="18"/>
  <c r="T21" i="18"/>
  <c r="T532" i="18"/>
  <c r="T488" i="18"/>
  <c r="T608" i="18"/>
  <c r="T396" i="18"/>
  <c r="T442" i="18"/>
  <c r="T232" i="18"/>
  <c r="T877" i="18"/>
  <c r="T878" i="18"/>
  <c r="T8" i="18"/>
  <c r="T276" i="18"/>
  <c r="T893" i="18"/>
  <c r="T203" i="18"/>
  <c r="AD892" i="18"/>
  <c r="T697" i="18"/>
  <c r="T246" i="18"/>
  <c r="T548" i="18"/>
  <c r="T651" i="18"/>
  <c r="T38" i="18"/>
  <c r="T216" i="18"/>
  <c r="T351" i="18"/>
  <c r="T6" i="18"/>
  <c r="T277" i="18"/>
  <c r="T157" i="18"/>
  <c r="T773" i="18"/>
  <c r="T158" i="18"/>
  <c r="T771" i="18"/>
  <c r="T53" i="18"/>
  <c r="T217" i="18"/>
  <c r="T128" i="18"/>
  <c r="T22" i="18"/>
  <c r="T741" i="18"/>
  <c r="T37" i="18"/>
  <c r="T383" i="18"/>
  <c r="T97" i="18"/>
  <c r="T593" i="18"/>
  <c r="T113" i="18"/>
  <c r="AD876" i="18"/>
  <c r="T112" i="18"/>
  <c r="T426" i="18"/>
  <c r="T83" i="18"/>
  <c r="T231" i="18"/>
  <c r="T293" i="18"/>
  <c r="T323" i="18"/>
  <c r="T127" i="18"/>
  <c r="T292" i="18"/>
  <c r="T788" i="18"/>
  <c r="T830" i="18"/>
  <c r="AD830" i="18"/>
  <c r="T875" i="18"/>
  <c r="U890" i="18" s="1"/>
  <c r="T755" i="18"/>
  <c r="AJ892" i="28"/>
  <c r="AM890" i="18"/>
  <c r="R772" i="28"/>
  <c r="T785" i="18"/>
  <c r="T845" i="18"/>
  <c r="AD890" i="18"/>
  <c r="B904" i="28"/>
  <c r="AJ874" i="28"/>
  <c r="T752" i="18"/>
  <c r="R754" i="28" s="1"/>
  <c r="T872" i="18"/>
  <c r="R874" i="28" s="1"/>
  <c r="AJ889" i="28"/>
  <c r="S902" i="18"/>
  <c r="T902" i="18"/>
  <c r="R904" i="28" s="1"/>
  <c r="T887" i="18"/>
  <c r="R889" i="28" s="1"/>
  <c r="R902" i="18"/>
  <c r="O15" i="26"/>
  <c r="AQ15" i="26" s="1"/>
  <c r="P14" i="26"/>
  <c r="AR14" i="26" s="1"/>
  <c r="P15" i="19"/>
  <c r="O14" i="26"/>
  <c r="AQ14" i="26" s="1"/>
  <c r="P20" i="26"/>
  <c r="AR20" i="26" s="1"/>
  <c r="T155" i="18"/>
  <c r="R157" i="28" s="1"/>
  <c r="T170" i="18"/>
  <c r="R172" i="28" s="1"/>
  <c r="T140" i="18"/>
  <c r="R142" i="28" s="1"/>
  <c r="O15" i="19"/>
  <c r="D28" i="19"/>
  <c r="D16" i="19"/>
  <c r="G125" i="19"/>
  <c r="AA17" i="26"/>
  <c r="D29" i="19"/>
  <c r="AJ821" i="28"/>
  <c r="O17" i="26"/>
  <c r="AQ17" i="26" s="1"/>
  <c r="H10" i="19"/>
  <c r="G28" i="26"/>
  <c r="D28" i="26"/>
  <c r="AJ851" i="28"/>
  <c r="AB21" i="26"/>
  <c r="T103" i="18"/>
  <c r="R105" i="28" s="1"/>
  <c r="J30" i="26"/>
  <c r="T175" i="18"/>
  <c r="R177" i="28" s="1"/>
  <c r="I26" i="26"/>
  <c r="T16" i="18"/>
  <c r="R18" i="28" s="1"/>
  <c r="O27" i="26"/>
  <c r="AQ27" i="26" s="1"/>
  <c r="C178" i="19"/>
  <c r="O28" i="19"/>
  <c r="P17" i="26"/>
  <c r="AR17" i="26" s="1"/>
  <c r="P8" i="26"/>
  <c r="AR8" i="26" s="1"/>
  <c r="T133" i="18"/>
  <c r="R135" i="28" s="1"/>
  <c r="AJ770" i="28"/>
  <c r="AJ866" i="28"/>
  <c r="T181" i="18"/>
  <c r="R183" i="28" s="1"/>
  <c r="O19" i="19"/>
  <c r="D23" i="26"/>
  <c r="D17" i="26"/>
  <c r="P19" i="19"/>
  <c r="T220" i="18"/>
  <c r="R222" i="28" s="1"/>
  <c r="AB17" i="26"/>
  <c r="G11" i="26"/>
  <c r="P21" i="26"/>
  <c r="AR21" i="26" s="1"/>
  <c r="T672" i="18"/>
  <c r="R674" i="28" s="1"/>
  <c r="O26" i="26"/>
  <c r="AQ26" i="26" s="1"/>
  <c r="D11" i="19"/>
  <c r="T117" i="18"/>
  <c r="R119" i="28" s="1"/>
  <c r="AA21" i="26"/>
  <c r="O21" i="26"/>
  <c r="AQ21" i="26" s="1"/>
  <c r="AJ852" i="28"/>
  <c r="T700" i="18"/>
  <c r="R702" i="28" s="1"/>
  <c r="L25" i="19"/>
  <c r="N31" i="26"/>
  <c r="T776" i="18"/>
  <c r="R778" i="28" s="1"/>
  <c r="T71" i="18"/>
  <c r="R73" i="28" s="1"/>
  <c r="N19" i="19"/>
  <c r="M17" i="26"/>
  <c r="T79" i="18"/>
  <c r="R81" i="28" s="1"/>
  <c r="U9" i="26"/>
  <c r="Y9" i="26" s="1"/>
  <c r="T506" i="18"/>
  <c r="R508" i="28" s="1"/>
  <c r="T169" i="18"/>
  <c r="R171" i="28" s="1"/>
  <c r="T854" i="18"/>
  <c r="R856" i="28" s="1"/>
  <c r="T624" i="18"/>
  <c r="R626" i="28" s="1"/>
  <c r="I12" i="26"/>
  <c r="K26" i="26"/>
  <c r="N17" i="19"/>
  <c r="T538" i="18"/>
  <c r="R540" i="28" s="1"/>
  <c r="T433" i="18"/>
  <c r="R435" i="28" s="1"/>
  <c r="P9" i="26"/>
  <c r="AR9" i="26" s="1"/>
  <c r="H13" i="26"/>
  <c r="T9" i="18"/>
  <c r="R11" i="28" s="1"/>
  <c r="U26" i="19"/>
  <c r="AK22" i="26"/>
  <c r="AO22" i="26" s="1"/>
  <c r="T870" i="18"/>
  <c r="R872" i="28" s="1"/>
  <c r="H28" i="19"/>
  <c r="U20" i="26"/>
  <c r="Y20" i="26" s="1"/>
  <c r="T273" i="18"/>
  <c r="R275" i="28" s="1"/>
  <c r="D59" i="19"/>
  <c r="D88" i="19"/>
  <c r="N8" i="26"/>
  <c r="AA30" i="26"/>
  <c r="T670" i="18"/>
  <c r="R672" i="28" s="1"/>
  <c r="T196" i="18"/>
  <c r="R198" i="28" s="1"/>
  <c r="T270" i="18"/>
  <c r="R272" i="28" s="1"/>
  <c r="C171" i="19"/>
  <c r="T475" i="18"/>
  <c r="R477" i="28" s="1"/>
  <c r="O24" i="26"/>
  <c r="AQ24" i="26" s="1"/>
  <c r="T316" i="18"/>
  <c r="R318" i="28" s="1"/>
  <c r="T12" i="18"/>
  <c r="R14" i="28" s="1"/>
  <c r="T101" i="18"/>
  <c r="R103" i="28" s="1"/>
  <c r="T252" i="18"/>
  <c r="R254" i="28" s="1"/>
  <c r="T598" i="18"/>
  <c r="R600" i="28" s="1"/>
  <c r="J27" i="19"/>
  <c r="T221" i="18"/>
  <c r="R223" i="28" s="1"/>
  <c r="P12" i="26"/>
  <c r="AR12" i="26" s="1"/>
  <c r="D20" i="26"/>
  <c r="T33" i="18"/>
  <c r="R35" i="28" s="1"/>
  <c r="T714" i="18"/>
  <c r="R716" i="28" s="1"/>
  <c r="T762" i="18"/>
  <c r="R764" i="28" s="1"/>
  <c r="AA29" i="26"/>
  <c r="T595" i="18"/>
  <c r="R597" i="28" s="1"/>
  <c r="T678" i="18"/>
  <c r="R680" i="28" s="1"/>
  <c r="AK18" i="26"/>
  <c r="AO18" i="26" s="1"/>
  <c r="AB26" i="26"/>
  <c r="AJ267" i="28"/>
  <c r="D21" i="19"/>
  <c r="T888" i="18"/>
  <c r="R890" i="28" s="1"/>
  <c r="D92" i="19"/>
  <c r="T239" i="18"/>
  <c r="R241" i="28" s="1"/>
  <c r="T855" i="18"/>
  <c r="R857" i="28" s="1"/>
  <c r="O24" i="19"/>
  <c r="J25" i="26"/>
  <c r="G12" i="19"/>
  <c r="T550" i="18"/>
  <c r="R552" i="28" s="1"/>
  <c r="O6" i="19"/>
  <c r="M21" i="26"/>
  <c r="T379" i="18"/>
  <c r="R381" i="28" s="1"/>
  <c r="T796" i="18"/>
  <c r="R798" i="28" s="1"/>
  <c r="T514" i="18"/>
  <c r="R516" i="28" s="1"/>
  <c r="J14" i="26"/>
  <c r="H23" i="19"/>
  <c r="T289" i="18"/>
  <c r="R291" i="28" s="1"/>
  <c r="T198" i="18"/>
  <c r="R200" i="28" s="1"/>
  <c r="D53" i="19"/>
  <c r="T658" i="18"/>
  <c r="R660" i="28" s="1"/>
  <c r="T43" i="18"/>
  <c r="R45" i="28" s="1"/>
  <c r="T405" i="18"/>
  <c r="R407" i="28" s="1"/>
  <c r="AJ846" i="28"/>
  <c r="J22" i="26"/>
  <c r="T694" i="18"/>
  <c r="R696" i="28" s="1"/>
  <c r="T828" i="18"/>
  <c r="R830" i="28" s="1"/>
  <c r="N27" i="26"/>
  <c r="P18" i="26"/>
  <c r="AR18" i="26" s="1"/>
  <c r="T78" i="18"/>
  <c r="R80" i="28" s="1"/>
  <c r="I24" i="19"/>
  <c r="K10" i="26"/>
  <c r="L12" i="26"/>
  <c r="T284" i="18"/>
  <c r="R286" i="28" s="1"/>
  <c r="T469" i="18"/>
  <c r="R471" i="28" s="1"/>
  <c r="Z10" i="26"/>
  <c r="M31" i="26"/>
  <c r="R31" i="26" s="1"/>
  <c r="AJ566" i="28"/>
  <c r="O28" i="26"/>
  <c r="AQ28" i="26" s="1"/>
  <c r="T463" i="18"/>
  <c r="R465" i="28" s="1"/>
  <c r="U27" i="19"/>
  <c r="T510" i="18"/>
  <c r="R512" i="28" s="1"/>
  <c r="N24" i="26"/>
  <c r="D23" i="19"/>
  <c r="T240" i="18"/>
  <c r="R242" i="28" s="1"/>
  <c r="AK9" i="26"/>
  <c r="AO9" i="26" s="1"/>
  <c r="T789" i="18"/>
  <c r="R791" i="28" s="1"/>
  <c r="T844" i="18"/>
  <c r="R846" i="28" s="1"/>
  <c r="AK26" i="26"/>
  <c r="AO26" i="26" s="1"/>
  <c r="H29" i="19"/>
  <c r="L16" i="19"/>
  <c r="T565" i="18"/>
  <c r="R567" i="28" s="1"/>
  <c r="K25" i="19"/>
  <c r="T883" i="18"/>
  <c r="R885" i="28" s="1"/>
  <c r="T420" i="18"/>
  <c r="R422" i="28" s="1"/>
  <c r="T821" i="18"/>
  <c r="R823" i="28" s="1"/>
  <c r="N27" i="19"/>
  <c r="N12" i="19"/>
  <c r="AJ20" i="28"/>
  <c r="T494" i="18"/>
  <c r="R496" i="28" s="1"/>
  <c r="J19" i="19"/>
  <c r="T444" i="18"/>
  <c r="R446" i="28" s="1"/>
  <c r="T421" i="18"/>
  <c r="R423" i="28" s="1"/>
  <c r="H19" i="19"/>
  <c r="H6" i="19"/>
  <c r="T92" i="18"/>
  <c r="R94" i="28" s="1"/>
  <c r="T429" i="18"/>
  <c r="R431" i="28" s="1"/>
  <c r="T490" i="18"/>
  <c r="R492" i="28" s="1"/>
  <c r="T784" i="18"/>
  <c r="R786" i="28" s="1"/>
  <c r="K7" i="19"/>
  <c r="T329" i="18"/>
  <c r="R331" i="28" s="1"/>
  <c r="T282" i="18"/>
  <c r="R284" i="28" s="1"/>
  <c r="I23" i="19"/>
  <c r="I26" i="19"/>
  <c r="T646" i="18"/>
  <c r="R648" i="28" s="1"/>
  <c r="T311" i="18"/>
  <c r="R313" i="28" s="1"/>
  <c r="T106" i="18"/>
  <c r="R108" i="28" s="1"/>
  <c r="J29" i="26"/>
  <c r="T850" i="18"/>
  <c r="R852" i="28" s="1"/>
  <c r="C163" i="19"/>
  <c r="T189" i="18"/>
  <c r="R191" i="28" s="1"/>
  <c r="T775" i="18"/>
  <c r="R777" i="28" s="1"/>
  <c r="U14" i="26"/>
  <c r="Y14" i="26" s="1"/>
  <c r="U25" i="26"/>
  <c r="Y25" i="26" s="1"/>
  <c r="T684" i="18"/>
  <c r="R686" i="28" s="1"/>
  <c r="T309" i="18"/>
  <c r="R311" i="28" s="1"/>
  <c r="L11" i="19"/>
  <c r="J15" i="26"/>
  <c r="K24" i="26"/>
  <c r="T483" i="18"/>
  <c r="R485" i="28" s="1"/>
  <c r="U13" i="19"/>
  <c r="AP8" i="26"/>
  <c r="T327" i="18"/>
  <c r="R329" i="28" s="1"/>
  <c r="T55" i="18"/>
  <c r="R57" i="28" s="1"/>
  <c r="K20" i="19"/>
  <c r="N30" i="26"/>
  <c r="T163" i="18"/>
  <c r="R165" i="28" s="1"/>
  <c r="T526" i="18"/>
  <c r="R528" i="28" s="1"/>
  <c r="P16" i="19"/>
  <c r="N28" i="26"/>
  <c r="T535" i="18"/>
  <c r="R537" i="28" s="1"/>
  <c r="N14" i="26"/>
  <c r="L14" i="19"/>
  <c r="D61" i="19"/>
  <c r="T49" i="18"/>
  <c r="R51" i="28" s="1"/>
  <c r="T179" i="18"/>
  <c r="R181" i="28" s="1"/>
  <c r="T331" i="18"/>
  <c r="R333" i="28" s="1"/>
  <c r="P22" i="26"/>
  <c r="AR22" i="26" s="1"/>
  <c r="D77" i="19"/>
  <c r="Z25" i="26"/>
  <c r="D57" i="19"/>
  <c r="T496" i="18"/>
  <c r="R498" i="28" s="1"/>
  <c r="T295" i="18"/>
  <c r="R297" i="28" s="1"/>
  <c r="D83" i="19"/>
  <c r="O16" i="19"/>
  <c r="D76" i="19"/>
  <c r="T751" i="18"/>
  <c r="R753" i="28" s="1"/>
  <c r="T401" i="18"/>
  <c r="R403" i="28" s="1"/>
  <c r="T99" i="18"/>
  <c r="R101" i="28" s="1"/>
  <c r="Z23" i="26"/>
  <c r="N22" i="26"/>
  <c r="G23" i="19"/>
  <c r="G24" i="26"/>
  <c r="D49" i="19"/>
  <c r="J11" i="19"/>
  <c r="AP27" i="26"/>
  <c r="P25" i="19"/>
  <c r="P29" i="19"/>
  <c r="T174" i="18"/>
  <c r="R176" i="28" s="1"/>
  <c r="Z24" i="26"/>
  <c r="T183" i="18"/>
  <c r="R185" i="28" s="1"/>
  <c r="G10" i="26"/>
  <c r="T300" i="18"/>
  <c r="R302" i="28" s="1"/>
  <c r="T464" i="18"/>
  <c r="R466" i="28" s="1"/>
  <c r="T795" i="18"/>
  <c r="R797" i="28" s="1"/>
  <c r="AJ567" i="28"/>
  <c r="I16" i="19"/>
  <c r="T747" i="18"/>
  <c r="R749" i="28" s="1"/>
  <c r="G19" i="26"/>
  <c r="T184" i="18"/>
  <c r="R186" i="28" s="1"/>
  <c r="H25" i="26"/>
  <c r="AA8" i="26"/>
  <c r="T508" i="18"/>
  <c r="R510" i="28" s="1"/>
  <c r="AB28" i="26"/>
  <c r="T541" i="18"/>
  <c r="R543" i="28" s="1"/>
  <c r="T461" i="18"/>
  <c r="R463" i="28" s="1"/>
  <c r="T479" i="18"/>
  <c r="R481" i="28" s="1"/>
  <c r="J14" i="19"/>
  <c r="I15" i="26"/>
  <c r="AJ74" i="28"/>
  <c r="AP28" i="26"/>
  <c r="L18" i="26"/>
  <c r="G21" i="19"/>
  <c r="T254" i="18"/>
  <c r="R256" i="28" s="1"/>
  <c r="T491" i="18"/>
  <c r="R493" i="28" s="1"/>
  <c r="D18" i="19"/>
  <c r="D94" i="19"/>
  <c r="T159" i="18"/>
  <c r="R161" i="28" s="1"/>
  <c r="P27" i="26"/>
  <c r="AR27" i="26" s="1"/>
  <c r="H26" i="26"/>
  <c r="I14" i="26"/>
  <c r="T42" i="18"/>
  <c r="R44" i="28" s="1"/>
  <c r="T48" i="18"/>
  <c r="R50" i="28" s="1"/>
  <c r="D29" i="26"/>
  <c r="AP12" i="26"/>
  <c r="T633" i="18"/>
  <c r="R635" i="28" s="1"/>
  <c r="N29" i="26"/>
  <c r="T619" i="18"/>
  <c r="R621" i="28" s="1"/>
  <c r="M19" i="26"/>
  <c r="M23" i="26"/>
  <c r="R23" i="26" s="1"/>
  <c r="J6" i="19"/>
  <c r="D52" i="19"/>
  <c r="J29" i="19"/>
  <c r="T268" i="18"/>
  <c r="R270" i="28" s="1"/>
  <c r="N25" i="26"/>
  <c r="K30" i="26"/>
  <c r="T255" i="18"/>
  <c r="R257" i="28" s="1"/>
  <c r="T581" i="18"/>
  <c r="R583" i="28" s="1"/>
  <c r="T613" i="18"/>
  <c r="R615" i="28" s="1"/>
  <c r="AA27" i="26"/>
  <c r="AB12" i="26"/>
  <c r="T882" i="18"/>
  <c r="R884" i="28" s="1"/>
  <c r="T434" i="18"/>
  <c r="R436" i="28" s="1"/>
  <c r="AK21" i="26"/>
  <c r="AO21" i="26" s="1"/>
  <c r="G24" i="19"/>
  <c r="T418" i="18"/>
  <c r="R420" i="28" s="1"/>
  <c r="P28" i="26"/>
  <c r="AR28" i="26" s="1"/>
  <c r="N16" i="19"/>
  <c r="C176" i="19"/>
  <c r="AA28" i="26"/>
  <c r="T87" i="18"/>
  <c r="R89" i="28" s="1"/>
  <c r="T553" i="18"/>
  <c r="R555" i="28" s="1"/>
  <c r="G27" i="19"/>
  <c r="AB10" i="26"/>
  <c r="T669" i="18"/>
  <c r="R671" i="28" s="1"/>
  <c r="G15" i="19"/>
  <c r="T843" i="18"/>
  <c r="R845" i="28" s="1"/>
  <c r="J16" i="26"/>
  <c r="T386" i="18"/>
  <c r="R388" i="28" s="1"/>
  <c r="AJ693" i="28"/>
  <c r="H22" i="26"/>
  <c r="T298" i="18"/>
  <c r="R300" i="28" s="1"/>
  <c r="T147" i="18"/>
  <c r="R149" i="28" s="1"/>
  <c r="AP25" i="26"/>
  <c r="D13" i="26"/>
  <c r="T370" i="18"/>
  <c r="R372" i="28" s="1"/>
  <c r="T343" i="18"/>
  <c r="R345" i="28" s="1"/>
  <c r="AJ686" i="28"/>
  <c r="T769" i="18"/>
  <c r="R771" i="28" s="1"/>
  <c r="AK19" i="26"/>
  <c r="AO19" i="26" s="1"/>
  <c r="AB15" i="26"/>
  <c r="L23" i="19"/>
  <c r="T824" i="18"/>
  <c r="R826" i="28" s="1"/>
  <c r="D50" i="19"/>
  <c r="T439" i="18"/>
  <c r="R441" i="28" s="1"/>
  <c r="U12" i="26"/>
  <c r="Y12" i="26" s="1"/>
  <c r="T93" i="18"/>
  <c r="R95" i="28" s="1"/>
  <c r="T26" i="18"/>
  <c r="R28" i="28" s="1"/>
  <c r="T885" i="18"/>
  <c r="R887" i="28" s="1"/>
  <c r="T834" i="18"/>
  <c r="R836" i="28" s="1"/>
  <c r="T865" i="18"/>
  <c r="R867" i="28" s="1"/>
  <c r="J22" i="19"/>
  <c r="T749" i="18"/>
  <c r="R751" i="28" s="1"/>
  <c r="T46" i="18"/>
  <c r="R48" i="28" s="1"/>
  <c r="T869" i="18"/>
  <c r="R871" i="28" s="1"/>
  <c r="N21" i="19"/>
  <c r="K26" i="19"/>
  <c r="P24" i="19"/>
  <c r="D73" i="19"/>
  <c r="D51" i="19"/>
  <c r="T614" i="18"/>
  <c r="R616" i="28" s="1"/>
  <c r="T375" i="18"/>
  <c r="R377" i="28" s="1"/>
  <c r="AA31" i="26"/>
  <c r="Z29" i="26"/>
  <c r="T235" i="18"/>
  <c r="R237" i="28" s="1"/>
  <c r="O25" i="19"/>
  <c r="T895" i="18"/>
  <c r="R897" i="28" s="1"/>
  <c r="T644" i="18"/>
  <c r="R646" i="28" s="1"/>
  <c r="T582" i="18"/>
  <c r="R584" i="28" s="1"/>
  <c r="D78" i="19"/>
  <c r="J20" i="19"/>
  <c r="T356" i="18"/>
  <c r="R358" i="28" s="1"/>
  <c r="T364" i="18"/>
  <c r="R366" i="28" s="1"/>
  <c r="T612" i="18"/>
  <c r="R614" i="28" s="1"/>
  <c r="T753" i="18"/>
  <c r="R755" i="28" s="1"/>
  <c r="T777" i="18"/>
  <c r="R779" i="28" s="1"/>
  <c r="AA19" i="26"/>
  <c r="T310" i="18"/>
  <c r="R312" i="28" s="1"/>
  <c r="T691" i="18"/>
  <c r="R693" i="28" s="1"/>
  <c r="T484" i="18"/>
  <c r="R486" i="28" s="1"/>
  <c r="O30" i="26"/>
  <c r="AQ30" i="26" s="1"/>
  <c r="J9" i="26"/>
  <c r="G28" i="19"/>
  <c r="T856" i="18"/>
  <c r="R858" i="28" s="1"/>
  <c r="J7" i="19"/>
  <c r="D91" i="19"/>
  <c r="I24" i="26"/>
  <c r="U10" i="19"/>
  <c r="M22" i="26"/>
  <c r="H10" i="26"/>
  <c r="H26" i="19"/>
  <c r="D25" i="19"/>
  <c r="Z9" i="26"/>
  <c r="T237" i="18"/>
  <c r="R239" i="28" s="1"/>
  <c r="AJ836" i="28"/>
  <c r="L25" i="26"/>
  <c r="T724" i="18"/>
  <c r="R726" i="28" s="1"/>
  <c r="U22" i="19"/>
  <c r="I20" i="26"/>
  <c r="T344" i="18"/>
  <c r="R346" i="28" s="1"/>
  <c r="T603" i="18"/>
  <c r="R605" i="28" s="1"/>
  <c r="K12" i="26"/>
  <c r="T498" i="18"/>
  <c r="R500" i="28" s="1"/>
  <c r="D22" i="19"/>
  <c r="D17" i="19"/>
  <c r="AJ282" i="28"/>
  <c r="G9" i="26"/>
  <c r="T57" i="18"/>
  <c r="R59" i="28" s="1"/>
  <c r="T687" i="18"/>
  <c r="R689" i="28" s="1"/>
  <c r="T192" i="18"/>
  <c r="R194" i="28" s="1"/>
  <c r="Z16" i="26"/>
  <c r="T735" i="18"/>
  <c r="R737" i="28" s="1"/>
  <c r="T288" i="18"/>
  <c r="R290" i="28" s="1"/>
  <c r="P9" i="19"/>
  <c r="T489" i="18"/>
  <c r="R491" i="28" s="1"/>
  <c r="AP16" i="26"/>
  <c r="T354" i="18"/>
  <c r="R356" i="28" s="1"/>
  <c r="T64" i="18"/>
  <c r="R66" i="28" s="1"/>
  <c r="D13" i="19"/>
  <c r="T558" i="18"/>
  <c r="R560" i="28" s="1"/>
  <c r="K23" i="26"/>
  <c r="T45" i="18"/>
  <c r="R47" i="28" s="1"/>
  <c r="L22" i="19"/>
  <c r="T27" i="18"/>
  <c r="R29" i="28" s="1"/>
  <c r="T778" i="18"/>
  <c r="R780" i="28" s="1"/>
  <c r="T534" i="18"/>
  <c r="R536" i="28" s="1"/>
  <c r="P16" i="26"/>
  <c r="AR16" i="26" s="1"/>
  <c r="T162" i="18"/>
  <c r="R164" i="28" s="1"/>
  <c r="T805" i="18"/>
  <c r="R807" i="28" s="1"/>
  <c r="T859" i="18"/>
  <c r="R861" i="28" s="1"/>
  <c r="AK8" i="26"/>
  <c r="AK13" i="26"/>
  <c r="AO13" i="26" s="1"/>
  <c r="D22" i="26"/>
  <c r="D27" i="19"/>
  <c r="T597" i="18"/>
  <c r="R599" i="28" s="1"/>
  <c r="M16" i="26"/>
  <c r="AK31" i="26"/>
  <c r="AO31" i="26" s="1"/>
  <c r="T274" i="18"/>
  <c r="R276" i="28" s="1"/>
  <c r="T76" i="18"/>
  <c r="R78" i="28" s="1"/>
  <c r="T783" i="18"/>
  <c r="R785" i="28" s="1"/>
  <c r="AB22" i="26"/>
  <c r="T618" i="18"/>
  <c r="R620" i="28" s="1"/>
  <c r="C159" i="19"/>
  <c r="AJ91" i="28"/>
  <c r="T901" i="18"/>
  <c r="R903" i="28" s="1"/>
  <c r="T874" i="18"/>
  <c r="R876" i="28" s="1"/>
  <c r="K15" i="19"/>
  <c r="N7" i="19"/>
  <c r="I16" i="26"/>
  <c r="K16" i="19"/>
  <c r="J12" i="26"/>
  <c r="T40" i="18"/>
  <c r="R42" i="28" s="1"/>
  <c r="T166" i="18"/>
  <c r="R168" i="28" s="1"/>
  <c r="T266" i="18"/>
  <c r="R268" i="28" s="1"/>
  <c r="T74" i="18"/>
  <c r="R76" i="28" s="1"/>
  <c r="T138" i="18"/>
  <c r="R140" i="28" s="1"/>
  <c r="C157" i="19"/>
  <c r="H17" i="26"/>
  <c r="T60" i="18"/>
  <c r="R62" i="28" s="1"/>
  <c r="T525" i="18"/>
  <c r="R527" i="28" s="1"/>
  <c r="D8" i="19"/>
  <c r="T349" i="18"/>
  <c r="R351" i="28" s="1"/>
  <c r="T568" i="18"/>
  <c r="R570" i="28" s="1"/>
  <c r="D75" i="19"/>
  <c r="L13" i="26"/>
  <c r="T625" i="18"/>
  <c r="R627" i="28" s="1"/>
  <c r="I28" i="26"/>
  <c r="T566" i="18"/>
  <c r="R568" i="28" s="1"/>
  <c r="K18" i="26"/>
  <c r="AJ181" i="28"/>
  <c r="P11" i="19"/>
  <c r="T402" i="18"/>
  <c r="R404" i="28" s="1"/>
  <c r="C156" i="19"/>
  <c r="T132" i="18"/>
  <c r="R134" i="28" s="1"/>
  <c r="T324" i="18"/>
  <c r="R326" i="28" s="1"/>
  <c r="T204" i="18"/>
  <c r="R206" i="28" s="1"/>
  <c r="T62" i="18"/>
  <c r="R64" i="28" s="1"/>
  <c r="AP15" i="26"/>
  <c r="T34" i="18"/>
  <c r="R36" i="28" s="1"/>
  <c r="AJ511" i="28"/>
  <c r="T478" i="18"/>
  <c r="R480" i="28" s="1"/>
  <c r="T793" i="18"/>
  <c r="R795" i="28" s="1"/>
  <c r="J10" i="19"/>
  <c r="T165" i="18"/>
  <c r="R167" i="28" s="1"/>
  <c r="T813" i="18"/>
  <c r="R815" i="28" s="1"/>
  <c r="AJ363" i="28"/>
  <c r="T403" i="18"/>
  <c r="R405" i="28" s="1"/>
  <c r="D7" i="19"/>
  <c r="U19" i="19"/>
  <c r="H9" i="26"/>
  <c r="T519" i="18"/>
  <c r="R521" i="28" s="1"/>
  <c r="T404" i="18"/>
  <c r="R406" i="28" s="1"/>
  <c r="N20" i="26"/>
  <c r="T739" i="18"/>
  <c r="R741" i="28" s="1"/>
  <c r="Z13" i="26"/>
  <c r="Z8" i="26"/>
  <c r="T509" i="18"/>
  <c r="R511" i="28" s="1"/>
  <c r="AJ251" i="28"/>
  <c r="K21" i="26"/>
  <c r="T44" i="18"/>
  <c r="R46" i="28" s="1"/>
  <c r="D10" i="19"/>
  <c r="L11" i="26"/>
  <c r="T481" i="18"/>
  <c r="R483" i="28" s="1"/>
  <c r="H11" i="19"/>
  <c r="G19" i="19"/>
  <c r="T704" i="18"/>
  <c r="R706" i="28" s="1"/>
  <c r="N24" i="19"/>
  <c r="O27" i="19"/>
  <c r="AB29" i="26"/>
  <c r="T717" i="18"/>
  <c r="R719" i="28" s="1"/>
  <c r="J13" i="26"/>
  <c r="AJ479" i="28"/>
  <c r="C168" i="19"/>
  <c r="P26" i="19"/>
  <c r="AJ635" i="28"/>
  <c r="N21" i="26"/>
  <c r="T825" i="18"/>
  <c r="R827" i="28" s="1"/>
  <c r="H21" i="26"/>
  <c r="C165" i="19"/>
  <c r="T210" i="18"/>
  <c r="R212" i="28" s="1"/>
  <c r="H13" i="19"/>
  <c r="G29" i="26"/>
  <c r="T385" i="18"/>
  <c r="R387" i="28" s="1"/>
  <c r="G15" i="26"/>
  <c r="T123" i="18"/>
  <c r="R125" i="28" s="1"/>
  <c r="I13" i="26"/>
  <c r="O19" i="26"/>
  <c r="AQ19" i="26" s="1"/>
  <c r="T341" i="18"/>
  <c r="R343" i="28" s="1"/>
  <c r="P21" i="19"/>
  <c r="T149" i="18"/>
  <c r="R151" i="28" s="1"/>
  <c r="AA22" i="26"/>
  <c r="O10" i="19"/>
  <c r="T790" i="18"/>
  <c r="R792" i="28" s="1"/>
  <c r="O13" i="26"/>
  <c r="AQ13" i="26" s="1"/>
  <c r="AJ290" i="28"/>
  <c r="T355" i="18"/>
  <c r="R357" i="28" s="1"/>
  <c r="D19" i="26"/>
  <c r="T676" i="18"/>
  <c r="R678" i="28" s="1"/>
  <c r="T574" i="18"/>
  <c r="R576" i="28" s="1"/>
  <c r="M12" i="26"/>
  <c r="G8" i="19"/>
  <c r="H17" i="19"/>
  <c r="T373" i="18"/>
  <c r="R375" i="28" s="1"/>
  <c r="AP18" i="26"/>
  <c r="T708" i="18"/>
  <c r="R710" i="28" s="1"/>
  <c r="H18" i="26"/>
  <c r="H18" i="19"/>
  <c r="T570" i="18"/>
  <c r="R572" i="28" s="1"/>
  <c r="T499" i="18"/>
  <c r="R501" i="28" s="1"/>
  <c r="L30" i="26"/>
  <c r="T359" i="18"/>
  <c r="R361" i="28" s="1"/>
  <c r="T178" i="18"/>
  <c r="R180" i="28" s="1"/>
  <c r="T851" i="18"/>
  <c r="R853" i="28" s="1"/>
  <c r="T774" i="18"/>
  <c r="R776" i="28" s="1"/>
  <c r="T822" i="18"/>
  <c r="R824" i="28" s="1"/>
  <c r="AB30" i="26"/>
  <c r="D87" i="19"/>
  <c r="C170" i="19"/>
  <c r="T228" i="18"/>
  <c r="R230" i="28" s="1"/>
  <c r="AK12" i="26"/>
  <c r="AO12" i="26" s="1"/>
  <c r="O16" i="26"/>
  <c r="AQ16" i="26" s="1"/>
  <c r="G25" i="26"/>
  <c r="T826" i="18"/>
  <c r="R828" i="28" s="1"/>
  <c r="T312" i="18"/>
  <c r="R314" i="28" s="1"/>
  <c r="T841" i="18"/>
  <c r="R843" i="28" s="1"/>
  <c r="T387" i="18"/>
  <c r="R389" i="28" s="1"/>
  <c r="AJ896" i="28"/>
  <c r="T417" i="18"/>
  <c r="R419" i="28" s="1"/>
  <c r="AA11" i="26"/>
  <c r="T536" i="18"/>
  <c r="R538" i="28" s="1"/>
  <c r="M26" i="26"/>
  <c r="R26" i="26" s="1"/>
  <c r="T256" i="18"/>
  <c r="R258" i="28" s="1"/>
  <c r="P17" i="19"/>
  <c r="O29" i="26"/>
  <c r="AQ29" i="26" s="1"/>
  <c r="G9" i="19"/>
  <c r="T424" i="18"/>
  <c r="R426" i="28" s="1"/>
  <c r="K23" i="19"/>
  <c r="D79" i="19"/>
  <c r="T539" i="18"/>
  <c r="R541" i="28" s="1"/>
  <c r="T17" i="18"/>
  <c r="R19" i="28" s="1"/>
  <c r="T886" i="18"/>
  <c r="R888" i="28" s="1"/>
  <c r="J21" i="19"/>
  <c r="T839" i="18"/>
  <c r="R841" i="28" s="1"/>
  <c r="T493" i="18"/>
  <c r="R495" i="28" s="1"/>
  <c r="T894" i="18"/>
  <c r="R896" i="28" s="1"/>
  <c r="AJ732" i="28"/>
  <c r="L14" i="26"/>
  <c r="T107" i="18"/>
  <c r="R109" i="28" s="1"/>
  <c r="T31" i="18"/>
  <c r="R33" i="28" s="1"/>
  <c r="AA26" i="26"/>
  <c r="T168" i="18"/>
  <c r="R170" i="28" s="1"/>
  <c r="L10" i="26"/>
  <c r="Z19" i="26"/>
  <c r="T301" i="18"/>
  <c r="R303" i="28" s="1"/>
  <c r="K15" i="26"/>
  <c r="AJ869" i="28"/>
  <c r="T838" i="18"/>
  <c r="R840" i="28" s="1"/>
  <c r="AJ358" i="28"/>
  <c r="I28" i="19"/>
  <c r="N15" i="19"/>
  <c r="K11" i="19"/>
  <c r="I9" i="19"/>
  <c r="T449" i="18"/>
  <c r="R451" i="28" s="1"/>
  <c r="AJ881" i="28"/>
  <c r="D10" i="26"/>
  <c r="M27" i="26"/>
  <c r="R27" i="26" s="1"/>
  <c r="AJ766" i="28"/>
  <c r="T898" i="18"/>
  <c r="R900" i="28" s="1"/>
  <c r="AB13" i="26"/>
  <c r="T899" i="18"/>
  <c r="R901" i="28" s="1"/>
  <c r="T627" i="18"/>
  <c r="R629" i="28" s="1"/>
  <c r="T734" i="18"/>
  <c r="R736" i="28" s="1"/>
  <c r="T450" i="18"/>
  <c r="R452" i="28" s="1"/>
  <c r="Z22" i="26"/>
  <c r="D25" i="26"/>
  <c r="I29" i="19"/>
  <c r="T693" i="18"/>
  <c r="R695" i="28" s="1"/>
  <c r="N16" i="26"/>
  <c r="T799" i="18"/>
  <c r="R801" i="28" s="1"/>
  <c r="T259" i="18"/>
  <c r="R261" i="28" s="1"/>
  <c r="O20" i="19"/>
  <c r="T835" i="18"/>
  <c r="R837" i="28" s="1"/>
  <c r="C177" i="19"/>
  <c r="T454" i="18"/>
  <c r="R456" i="28" s="1"/>
  <c r="AP22" i="26"/>
  <c r="T391" i="18"/>
  <c r="R393" i="28" s="1"/>
  <c r="D82" i="19"/>
  <c r="T745" i="18"/>
  <c r="R747" i="28" s="1"/>
  <c r="AJ591" i="28"/>
  <c r="T880" i="18"/>
  <c r="R882" i="28" s="1"/>
  <c r="T208" i="18"/>
  <c r="R210" i="28" s="1"/>
  <c r="N10" i="26"/>
  <c r="T345" i="18"/>
  <c r="R347" i="28" s="1"/>
  <c r="T342" i="18"/>
  <c r="R344" i="28" s="1"/>
  <c r="Z15" i="26"/>
  <c r="T11" i="18"/>
  <c r="R13" i="28" s="1"/>
  <c r="T24" i="18"/>
  <c r="R26" i="28" s="1"/>
  <c r="G23" i="26"/>
  <c r="AK15" i="26"/>
  <c r="AO15" i="26" s="1"/>
  <c r="T549" i="18"/>
  <c r="R551" i="28" s="1"/>
  <c r="T207" i="18"/>
  <c r="R209" i="28" s="1"/>
  <c r="T160" i="18"/>
  <c r="R162" i="28" s="1"/>
  <c r="J8" i="26"/>
  <c r="T641" i="18"/>
  <c r="R643" i="28" s="1"/>
  <c r="AA14" i="26"/>
  <c r="T299" i="18"/>
  <c r="R301" i="28" s="1"/>
  <c r="T849" i="18"/>
  <c r="R851" i="28" s="1"/>
  <c r="T63" i="18"/>
  <c r="R65" i="28" s="1"/>
  <c r="O17" i="19"/>
  <c r="K16" i="26"/>
  <c r="L27" i="19"/>
  <c r="L10" i="19"/>
  <c r="AA18" i="26"/>
  <c r="T661" i="18"/>
  <c r="R663" i="28" s="1"/>
  <c r="D81" i="19"/>
  <c r="J26" i="19"/>
  <c r="L26" i="19"/>
  <c r="AK29" i="26"/>
  <c r="AO29" i="26" s="1"/>
  <c r="T339" i="18"/>
  <c r="R341" i="28" s="1"/>
  <c r="T445" i="18"/>
  <c r="R447" i="28" s="1"/>
  <c r="T840" i="18"/>
  <c r="R842" i="28" s="1"/>
  <c r="U6" i="19"/>
  <c r="AB8" i="26"/>
  <c r="G6" i="19"/>
  <c r="T571" i="18"/>
  <c r="R573" i="28" s="1"/>
  <c r="J28" i="19"/>
  <c r="M11" i="26"/>
  <c r="T900" i="18"/>
  <c r="R902" i="28" s="1"/>
  <c r="AM57" i="20"/>
  <c r="T864" i="18"/>
  <c r="R866" i="28" s="1"/>
  <c r="H14" i="26"/>
  <c r="P23" i="26"/>
  <c r="AR23" i="26" s="1"/>
  <c r="O23" i="26"/>
  <c r="AQ23" i="26" s="1"/>
  <c r="U7" i="19"/>
  <c r="D11" i="26"/>
  <c r="T250" i="18"/>
  <c r="R252" i="28" s="1"/>
  <c r="T77" i="18"/>
  <c r="R79" i="28" s="1"/>
  <c r="K17" i="26"/>
  <c r="G18" i="19"/>
  <c r="P13" i="26"/>
  <c r="AR13" i="26" s="1"/>
  <c r="C173" i="19"/>
  <c r="D31" i="26"/>
  <c r="L20" i="26"/>
  <c r="T136" i="18"/>
  <c r="R138" i="28" s="1"/>
  <c r="T654" i="18"/>
  <c r="R656" i="28" s="1"/>
  <c r="AP21" i="26"/>
  <c r="T764" i="18"/>
  <c r="R766" i="28" s="1"/>
  <c r="D44" i="19"/>
  <c r="O9" i="26"/>
  <c r="AQ9" i="26" s="1"/>
  <c r="I30" i="26"/>
  <c r="T229" i="18"/>
  <c r="R231" i="28" s="1"/>
  <c r="G20" i="19"/>
  <c r="AN57" i="20"/>
  <c r="U15" i="19"/>
  <c r="J26" i="26"/>
  <c r="T267" i="18"/>
  <c r="R269" i="28" s="1"/>
  <c r="T904" i="18"/>
  <c r="R906" i="28" s="1"/>
  <c r="H8" i="26"/>
  <c r="D26" i="19"/>
  <c r="I15" i="19"/>
  <c r="K17" i="19"/>
  <c r="K24" i="19"/>
  <c r="N26" i="26"/>
  <c r="I23" i="26"/>
  <c r="G27" i="26"/>
  <c r="T314" i="18"/>
  <c r="R316" i="28" s="1"/>
  <c r="T357" i="18"/>
  <c r="R359" i="28" s="1"/>
  <c r="J20" i="26"/>
  <c r="P30" i="26"/>
  <c r="AR30" i="26" s="1"/>
  <c r="P29" i="26"/>
  <c r="AR29" i="26" s="1"/>
  <c r="T90" i="18"/>
  <c r="R92" i="28" s="1"/>
  <c r="AP29" i="26"/>
  <c r="T675" i="18"/>
  <c r="R677" i="28" s="1"/>
  <c r="AJ236" i="28"/>
  <c r="N9" i="19"/>
  <c r="T537" i="18"/>
  <c r="R539" i="28" s="1"/>
  <c r="T580" i="18"/>
  <c r="R582" i="28" s="1"/>
  <c r="U28" i="19"/>
  <c r="D15" i="19"/>
  <c r="T109" i="18"/>
  <c r="R111" i="28" s="1"/>
  <c r="T746" i="18"/>
  <c r="R748" i="28" s="1"/>
  <c r="J18" i="19"/>
  <c r="T881" i="18"/>
  <c r="R883" i="28" s="1"/>
  <c r="P7" i="19"/>
  <c r="J23" i="26"/>
  <c r="H31" i="26"/>
  <c r="T760" i="18"/>
  <c r="R762" i="28" s="1"/>
  <c r="T702" i="18"/>
  <c r="R704" i="28" s="1"/>
  <c r="T705" i="18"/>
  <c r="R707" i="28" s="1"/>
  <c r="T453" i="18"/>
  <c r="R455" i="28" s="1"/>
  <c r="AK16" i="26"/>
  <c r="AO16" i="26" s="1"/>
  <c r="D16" i="26"/>
  <c r="P10" i="19"/>
  <c r="T243" i="18"/>
  <c r="R245" i="28" s="1"/>
  <c r="T334" i="18"/>
  <c r="R336" i="28" s="1"/>
  <c r="T119" i="18"/>
  <c r="R121" i="28" s="1"/>
  <c r="U10" i="26"/>
  <c r="Y10" i="26" s="1"/>
  <c r="T129" i="18"/>
  <c r="R131" i="28" s="1"/>
  <c r="T673" i="18"/>
  <c r="R675" i="28" s="1"/>
  <c r="D41" i="19"/>
  <c r="D24" i="19"/>
  <c r="C166" i="19"/>
  <c r="T640" i="18"/>
  <c r="R642" i="28" s="1"/>
  <c r="T609" i="18"/>
  <c r="R611" i="28" s="1"/>
  <c r="L6" i="19"/>
  <c r="T372" i="18"/>
  <c r="R374" i="28" s="1"/>
  <c r="AJ871" i="28"/>
  <c r="G13" i="26"/>
  <c r="T234" i="18"/>
  <c r="R236" i="28" s="1"/>
  <c r="Z28" i="26"/>
  <c r="T664" i="18"/>
  <c r="R666" i="28" s="1"/>
  <c r="T84" i="18"/>
  <c r="R86" i="28" s="1"/>
  <c r="T108" i="18"/>
  <c r="R110" i="28" s="1"/>
  <c r="T631" i="18"/>
  <c r="R633" i="28" s="1"/>
  <c r="T866" i="18"/>
  <c r="R868" i="28" s="1"/>
  <c r="T384" i="18"/>
  <c r="R386" i="28" s="1"/>
  <c r="T389" i="18"/>
  <c r="R391" i="28" s="1"/>
  <c r="J24" i="19"/>
  <c r="T476" i="18"/>
  <c r="R478" i="28" s="1"/>
  <c r="T211" i="18"/>
  <c r="R213" i="28" s="1"/>
  <c r="N11" i="26"/>
  <c r="T642" i="18"/>
  <c r="R644" i="28" s="1"/>
  <c r="J21" i="26"/>
  <c r="C161" i="19"/>
  <c r="U17" i="19"/>
  <c r="T85" i="18"/>
  <c r="R87" i="28" s="1"/>
  <c r="K22" i="19"/>
  <c r="U17" i="26"/>
  <c r="Y17" i="26" s="1"/>
  <c r="T594" i="18"/>
  <c r="R596" i="28" s="1"/>
  <c r="T648" i="18"/>
  <c r="R650" i="28" s="1"/>
  <c r="T791" i="18"/>
  <c r="R793" i="28" s="1"/>
  <c r="Z30" i="26"/>
  <c r="K13" i="26"/>
  <c r="L26" i="26"/>
  <c r="T315" i="18"/>
  <c r="R317" i="28" s="1"/>
  <c r="T438" i="18"/>
  <c r="R440" i="28" s="1"/>
  <c r="T759" i="18"/>
  <c r="R761" i="28" s="1"/>
  <c r="T361" i="18"/>
  <c r="R363" i="28" s="1"/>
  <c r="M15" i="26"/>
  <c r="P31" i="26"/>
  <c r="AR31" i="26" s="1"/>
  <c r="M25" i="26"/>
  <c r="R25" i="26" s="1"/>
  <c r="O12" i="19"/>
  <c r="AJ170" i="28"/>
  <c r="T723" i="18"/>
  <c r="R725" i="28" s="1"/>
  <c r="U13" i="26"/>
  <c r="Y13" i="26" s="1"/>
  <c r="T643" i="18"/>
  <c r="R645" i="28" s="1"/>
  <c r="T205" i="18"/>
  <c r="R207" i="28" s="1"/>
  <c r="T61" i="18"/>
  <c r="R63" i="28" s="1"/>
  <c r="T655" i="18"/>
  <c r="R657" i="28" s="1"/>
  <c r="T543" i="18"/>
  <c r="R545" i="28" s="1"/>
  <c r="T505" i="18"/>
  <c r="R507" i="28" s="1"/>
  <c r="T889" i="18"/>
  <c r="R891" i="28" s="1"/>
  <c r="T121" i="18"/>
  <c r="R123" i="28" s="1"/>
  <c r="T69" i="18"/>
  <c r="R71" i="28" s="1"/>
  <c r="T589" i="18"/>
  <c r="R591" i="28" s="1"/>
  <c r="T414" i="18"/>
  <c r="R416" i="28" s="1"/>
  <c r="O20" i="26"/>
  <c r="AQ20" i="26" s="1"/>
  <c r="T430" i="18"/>
  <c r="R432" i="28" s="1"/>
  <c r="AK11" i="26"/>
  <c r="AO11" i="26" s="1"/>
  <c r="T459" i="18"/>
  <c r="R461" i="28" s="1"/>
  <c r="T194" i="18"/>
  <c r="R196" i="28" s="1"/>
  <c r="T524" i="18"/>
  <c r="R526" i="28" s="1"/>
  <c r="U28" i="26"/>
  <c r="Y28" i="26" s="1"/>
  <c r="L7" i="19"/>
  <c r="K14" i="19"/>
  <c r="T206" i="18"/>
  <c r="R208" i="28" s="1"/>
  <c r="C167" i="19"/>
  <c r="K8" i="19"/>
  <c r="U24" i="26"/>
  <c r="Y24" i="26" s="1"/>
  <c r="T408" i="18"/>
  <c r="R410" i="28" s="1"/>
  <c r="L22" i="26"/>
  <c r="T616" i="18"/>
  <c r="R618" i="28" s="1"/>
  <c r="T554" i="18"/>
  <c r="R556" i="28" s="1"/>
  <c r="I10" i="19"/>
  <c r="M24" i="26"/>
  <c r="R24" i="26" s="1"/>
  <c r="T520" i="18"/>
  <c r="R522" i="28" s="1"/>
  <c r="T318" i="18"/>
  <c r="R320" i="28" s="1"/>
  <c r="T330" i="18"/>
  <c r="R332" i="28" s="1"/>
  <c r="T474" i="18"/>
  <c r="R476" i="28" s="1"/>
  <c r="U9" i="19"/>
  <c r="H30" i="26"/>
  <c r="U14" i="19"/>
  <c r="T416" i="18"/>
  <c r="R418" i="28" s="1"/>
  <c r="AP9" i="26"/>
  <c r="T718" i="18"/>
  <c r="R720" i="28" s="1"/>
  <c r="I6" i="19"/>
  <c r="T731" i="18"/>
  <c r="R733" i="28" s="1"/>
  <c r="T223" i="18"/>
  <c r="R225" i="28" s="1"/>
  <c r="AB23" i="26"/>
  <c r="AA23" i="26"/>
  <c r="T460" i="18"/>
  <c r="R462" i="28" s="1"/>
  <c r="AA12" i="26"/>
  <c r="C174" i="19"/>
  <c r="G11" i="19"/>
  <c r="T754" i="18"/>
  <c r="R756" i="28" s="1"/>
  <c r="J23" i="19"/>
  <c r="T253" i="18"/>
  <c r="R255" i="28" s="1"/>
  <c r="C160" i="19"/>
  <c r="T326" i="18"/>
  <c r="R328" i="28" s="1"/>
  <c r="T394" i="18"/>
  <c r="R396" i="28" s="1"/>
  <c r="G29" i="19"/>
  <c r="T871" i="18"/>
  <c r="R873" i="28" s="1"/>
  <c r="T304" i="18"/>
  <c r="R306" i="28" s="1"/>
  <c r="L9" i="19"/>
  <c r="T161" i="18"/>
  <c r="R163" i="28" s="1"/>
  <c r="T10" i="18"/>
  <c r="R12" i="28" s="1"/>
  <c r="J18" i="26"/>
  <c r="AJ326" i="28"/>
  <c r="H8" i="19"/>
  <c r="H23" i="26"/>
  <c r="T703" i="18"/>
  <c r="R705" i="28" s="1"/>
  <c r="J31" i="26"/>
  <c r="H16" i="19"/>
  <c r="D46" i="19"/>
  <c r="D43" i="19"/>
  <c r="AB57" i="20"/>
  <c r="T59" i="18"/>
  <c r="R61" i="28" s="1"/>
  <c r="T583" i="18"/>
  <c r="R585" i="28" s="1"/>
  <c r="T148" i="18"/>
  <c r="R150" i="28" s="1"/>
  <c r="AJ406" i="28"/>
  <c r="K12" i="19"/>
  <c r="T761" i="18"/>
  <c r="R763" i="28" s="1"/>
  <c r="I18" i="26"/>
  <c r="T629" i="18"/>
  <c r="R631" i="28" s="1"/>
  <c r="T521" i="18"/>
  <c r="R523" i="28" s="1"/>
  <c r="P14" i="19"/>
  <c r="T600" i="18"/>
  <c r="R602" i="28" s="1"/>
  <c r="T829" i="18"/>
  <c r="R831" i="28" s="1"/>
  <c r="T748" i="18"/>
  <c r="R750" i="28" s="1"/>
  <c r="T477" i="18"/>
  <c r="R479" i="28" s="1"/>
  <c r="N18" i="19"/>
  <c r="T659" i="18"/>
  <c r="R661" i="28" s="1"/>
  <c r="T146" i="18"/>
  <c r="R148" i="28" s="1"/>
  <c r="T297" i="18"/>
  <c r="R299" i="28" s="1"/>
  <c r="T814" i="18"/>
  <c r="R816" i="28" s="1"/>
  <c r="U11" i="26"/>
  <c r="Y11" i="26" s="1"/>
  <c r="T15" i="18"/>
  <c r="R17" i="28" s="1"/>
  <c r="C179" i="19"/>
  <c r="T241" i="18"/>
  <c r="R243" i="28" s="1"/>
  <c r="U23" i="19"/>
  <c r="G14" i="26"/>
  <c r="G12" i="26"/>
  <c r="O12" i="26"/>
  <c r="AQ12" i="26" s="1"/>
  <c r="I18" i="19"/>
  <c r="T733" i="18"/>
  <c r="R735" i="28" s="1"/>
  <c r="T765" i="18"/>
  <c r="R767" i="28" s="1"/>
  <c r="T853" i="18"/>
  <c r="R855" i="28" s="1"/>
  <c r="T14" i="18"/>
  <c r="R16" i="28" s="1"/>
  <c r="M28" i="26"/>
  <c r="R28" i="26" s="1"/>
  <c r="T30" i="18"/>
  <c r="R32" i="28" s="1"/>
  <c r="T281" i="18"/>
  <c r="R283" i="28" s="1"/>
  <c r="K10" i="19"/>
  <c r="U24" i="19"/>
  <c r="T448" i="18"/>
  <c r="R450" i="28" s="1"/>
  <c r="T419" i="18"/>
  <c r="R421" i="28" s="1"/>
  <c r="I25" i="19"/>
  <c r="T226" i="18"/>
  <c r="R228" i="28" s="1"/>
  <c r="T529" i="18"/>
  <c r="R531" i="28" s="1"/>
  <c r="T873" i="18"/>
  <c r="R875" i="28" s="1"/>
  <c r="Z20" i="26"/>
  <c r="T29" i="18"/>
  <c r="R31" i="28" s="1"/>
  <c r="N28" i="19"/>
  <c r="H29" i="26"/>
  <c r="T585" i="18"/>
  <c r="R587" i="28" s="1"/>
  <c r="I8" i="26"/>
  <c r="M9" i="26"/>
  <c r="T94" i="18"/>
  <c r="R96" i="28" s="1"/>
  <c r="D12" i="26"/>
  <c r="P18" i="19"/>
  <c r="T423" i="18"/>
  <c r="R425" i="28" s="1"/>
  <c r="M14" i="26"/>
  <c r="T721" i="18"/>
  <c r="R723" i="28" s="1"/>
  <c r="T346" i="18"/>
  <c r="R348" i="28" s="1"/>
  <c r="T251" i="18"/>
  <c r="R253" i="28" s="1"/>
  <c r="T447" i="18"/>
  <c r="R449" i="28" s="1"/>
  <c r="O8" i="19"/>
  <c r="T399" i="18"/>
  <c r="R401" i="28" s="1"/>
  <c r="T584" i="18"/>
  <c r="R586" i="28" s="1"/>
  <c r="C169" i="19"/>
  <c r="T120" i="18"/>
  <c r="R122" i="28" s="1"/>
  <c r="T858" i="18"/>
  <c r="R860" i="28" s="1"/>
  <c r="T135" i="18"/>
  <c r="R137" i="28" s="1"/>
  <c r="H20" i="26"/>
  <c r="T628" i="18"/>
  <c r="R630" i="28" s="1"/>
  <c r="C172" i="19"/>
  <c r="AP10" i="26"/>
  <c r="D54" i="19"/>
  <c r="H12" i="19"/>
  <c r="P27" i="19"/>
  <c r="T809" i="18"/>
  <c r="R811" i="28" s="1"/>
  <c r="U23" i="26"/>
  <c r="Y23" i="26" s="1"/>
  <c r="T604" i="18"/>
  <c r="R606" i="28" s="1"/>
  <c r="D89" i="19"/>
  <c r="L28" i="19"/>
  <c r="T224" i="18"/>
  <c r="R226" i="28" s="1"/>
  <c r="T134" i="18"/>
  <c r="R136" i="28" s="1"/>
  <c r="AJ195" i="28"/>
  <c r="M8" i="26"/>
  <c r="AB9" i="26"/>
  <c r="D9" i="26"/>
  <c r="M18" i="26"/>
  <c r="H19" i="26"/>
  <c r="T28" i="18"/>
  <c r="R30" i="28" s="1"/>
  <c r="D45" i="19"/>
  <c r="J17" i="19"/>
  <c r="T73" i="18"/>
  <c r="R75" i="28" s="1"/>
  <c r="G10" i="19"/>
  <c r="O11" i="26"/>
  <c r="AQ11" i="26" s="1"/>
  <c r="T588" i="18"/>
  <c r="R590" i="28" s="1"/>
  <c r="G17" i="26"/>
  <c r="K29" i="19"/>
  <c r="T400" i="18"/>
  <c r="R402" i="28" s="1"/>
  <c r="T569" i="18"/>
  <c r="R571" i="28" s="1"/>
  <c r="G26" i="26"/>
  <c r="U31" i="26"/>
  <c r="Y31" i="26" s="1"/>
  <c r="T190" i="18"/>
  <c r="R192" i="28" s="1"/>
  <c r="T522" i="18"/>
  <c r="R524" i="28" s="1"/>
  <c r="Z11" i="26"/>
  <c r="T639" i="18"/>
  <c r="R641" i="28" s="1"/>
  <c r="T555" i="18"/>
  <c r="R557" i="28" s="1"/>
  <c r="AJ806" i="28"/>
  <c r="T559" i="18"/>
  <c r="R561" i="28" s="1"/>
  <c r="T264" i="18"/>
  <c r="R266" i="28" s="1"/>
  <c r="T313" i="18"/>
  <c r="R315" i="28" s="1"/>
  <c r="L28" i="26"/>
  <c r="T390" i="18"/>
  <c r="R392" i="28" s="1"/>
  <c r="L9" i="26"/>
  <c r="K21" i="19"/>
  <c r="T671" i="18"/>
  <c r="R673" i="28" s="1"/>
  <c r="T780" i="18"/>
  <c r="R782" i="28" s="1"/>
  <c r="AK17" i="26"/>
  <c r="AO17" i="26" s="1"/>
  <c r="N22" i="19"/>
  <c r="T630" i="18"/>
  <c r="R632" i="28" s="1"/>
  <c r="I31" i="26"/>
  <c r="AJ736" i="28"/>
  <c r="T806" i="18"/>
  <c r="R808" i="28" s="1"/>
  <c r="T732" i="18"/>
  <c r="R734" i="28" s="1"/>
  <c r="AB19" i="26"/>
  <c r="H20" i="19"/>
  <c r="T39" i="18"/>
  <c r="R41" i="28" s="1"/>
  <c r="N13" i="19"/>
  <c r="U25" i="19"/>
  <c r="D27" i="26"/>
  <c r="D8" i="26"/>
  <c r="AI8" i="26" s="1"/>
  <c r="AG8" i="26" s="1"/>
  <c r="I29" i="26"/>
  <c r="T836" i="18"/>
  <c r="R838" i="28" s="1"/>
  <c r="T279" i="18"/>
  <c r="R281" i="28" s="1"/>
  <c r="H27" i="26"/>
  <c r="G22" i="26"/>
  <c r="J24" i="26"/>
  <c r="T466" i="18"/>
  <c r="R468" i="28" s="1"/>
  <c r="T152" i="18"/>
  <c r="R154" i="28" s="1"/>
  <c r="U27" i="26"/>
  <c r="Y27" i="26" s="1"/>
  <c r="G21" i="26"/>
  <c r="T451" i="18"/>
  <c r="R453" i="28" s="1"/>
  <c r="N8" i="19"/>
  <c r="AJ791" i="28"/>
  <c r="T238" i="18"/>
  <c r="R240" i="28" s="1"/>
  <c r="D21" i="26"/>
  <c r="T798" i="18"/>
  <c r="R800" i="28" s="1"/>
  <c r="U15" i="26"/>
  <c r="Y15" i="26" s="1"/>
  <c r="T573" i="18"/>
  <c r="R575" i="28" s="1"/>
  <c r="T715" i="18"/>
  <c r="R717" i="28" s="1"/>
  <c r="T180" i="18"/>
  <c r="R182" i="28" s="1"/>
  <c r="AB18" i="26"/>
  <c r="Z26" i="26"/>
  <c r="K13" i="19"/>
  <c r="P22" i="19"/>
  <c r="N17" i="26"/>
  <c r="T729" i="18"/>
  <c r="R731" i="28" s="1"/>
  <c r="J11" i="26"/>
  <c r="Z31" i="26"/>
  <c r="AB20" i="26"/>
  <c r="I14" i="19"/>
  <c r="T649" i="18"/>
  <c r="R651" i="28" s="1"/>
  <c r="N15" i="26"/>
  <c r="J25" i="19"/>
  <c r="L19" i="19"/>
  <c r="N20" i="19"/>
  <c r="D30" i="26"/>
  <c r="K28" i="26"/>
  <c r="N12" i="26"/>
  <c r="O21" i="19"/>
  <c r="N29" i="19"/>
  <c r="T258" i="18"/>
  <c r="R260" i="28" s="1"/>
  <c r="T176" i="18"/>
  <c r="R178" i="28" s="1"/>
  <c r="T41" i="18"/>
  <c r="R43" i="28" s="1"/>
  <c r="K6" i="19"/>
  <c r="D74" i="19"/>
  <c r="J17" i="26"/>
  <c r="T465" i="18"/>
  <c r="R467" i="28" s="1"/>
  <c r="D14" i="19"/>
  <c r="I21" i="19"/>
  <c r="I8" i="19"/>
  <c r="Z17" i="26"/>
  <c r="T706" i="18"/>
  <c r="R708" i="28" s="1"/>
  <c r="T468" i="18"/>
  <c r="R470" i="28" s="1"/>
  <c r="O11" i="19"/>
  <c r="AP26" i="26"/>
  <c r="I7" i="19"/>
  <c r="T679" i="18"/>
  <c r="R681" i="28" s="1"/>
  <c r="T378" i="18"/>
  <c r="R380" i="28" s="1"/>
  <c r="U12" i="19"/>
  <c r="O22" i="26"/>
  <c r="AQ22" i="26" s="1"/>
  <c r="U26" i="26"/>
  <c r="Y26" i="26" s="1"/>
  <c r="AB11" i="26"/>
  <c r="G20" i="26"/>
  <c r="G16" i="26"/>
  <c r="C162" i="19"/>
  <c r="U30" i="26"/>
  <c r="Y30" i="26" s="1"/>
  <c r="T586" i="18"/>
  <c r="R588" i="28" s="1"/>
  <c r="AJ375" i="28"/>
  <c r="T610" i="18"/>
  <c r="R612" i="28" s="1"/>
  <c r="M30" i="26"/>
  <c r="R30" i="26" s="1"/>
  <c r="T599" i="18"/>
  <c r="R601" i="28" s="1"/>
  <c r="AK25" i="26"/>
  <c r="AO25" i="26" s="1"/>
  <c r="J19" i="26"/>
  <c r="L23" i="26"/>
  <c r="K8" i="26"/>
  <c r="O10" i="26"/>
  <c r="AQ10" i="26" s="1"/>
  <c r="T388" i="18"/>
  <c r="R390" i="28" s="1"/>
  <c r="D42" i="19"/>
  <c r="M20" i="26"/>
  <c r="T199" i="18"/>
  <c r="R201" i="28" s="1"/>
  <c r="H11" i="26"/>
  <c r="G17" i="19"/>
  <c r="D85" i="19"/>
  <c r="T867" i="18"/>
  <c r="R869" i="28" s="1"/>
  <c r="AP14" i="26"/>
  <c r="T105" i="18"/>
  <c r="R107" i="28" s="1"/>
  <c r="T897" i="18"/>
  <c r="R899" i="28" s="1"/>
  <c r="T852" i="18"/>
  <c r="R854" i="28" s="1"/>
  <c r="T564" i="18"/>
  <c r="R566" i="28" s="1"/>
  <c r="AP24" i="26"/>
  <c r="O18" i="19"/>
  <c r="H27" i="19"/>
  <c r="T808" i="18"/>
  <c r="R810" i="28" s="1"/>
  <c r="T750" i="18"/>
  <c r="R752" i="28" s="1"/>
  <c r="Z57" i="20"/>
  <c r="T213" i="18"/>
  <c r="R215" i="28" s="1"/>
  <c r="I27" i="26"/>
  <c r="T435" i="18"/>
  <c r="R437" i="28" s="1"/>
  <c r="AJ230" i="28"/>
  <c r="I10" i="26"/>
  <c r="D18" i="26"/>
  <c r="T763" i="18"/>
  <c r="R765" i="28" s="1"/>
  <c r="H25" i="19"/>
  <c r="K31" i="26"/>
  <c r="T144" i="18"/>
  <c r="R146" i="28" s="1"/>
  <c r="J15" i="19"/>
  <c r="T686" i="18"/>
  <c r="R688" i="28" s="1"/>
  <c r="L15" i="19"/>
  <c r="Z12" i="26"/>
  <c r="AA24" i="26"/>
  <c r="T75" i="18"/>
  <c r="R77" i="28" s="1"/>
  <c r="L8" i="19"/>
  <c r="T820" i="18"/>
  <c r="R822" i="28" s="1"/>
  <c r="AP30" i="26"/>
  <c r="T393" i="18"/>
  <c r="R395" i="28" s="1"/>
  <c r="U21" i="26"/>
  <c r="Y21" i="26" s="1"/>
  <c r="P20" i="19"/>
  <c r="T709" i="18"/>
  <c r="R711" i="28" s="1"/>
  <c r="U20" i="19"/>
  <c r="T779" i="18"/>
  <c r="R781" i="28" s="1"/>
  <c r="D40" i="19"/>
  <c r="D84" i="19"/>
  <c r="T283" i="18"/>
  <c r="R285" i="28" s="1"/>
  <c r="T150" i="18"/>
  <c r="R152" i="28" s="1"/>
  <c r="T358" i="18"/>
  <c r="R360" i="28" s="1"/>
  <c r="T116" i="18"/>
  <c r="R118" i="28" s="1"/>
  <c r="T88" i="18"/>
  <c r="R90" i="28" s="1"/>
  <c r="D48" i="19"/>
  <c r="L31" i="26"/>
  <c r="T507" i="18"/>
  <c r="R509" i="28" s="1"/>
  <c r="D9" i="19"/>
  <c r="AK10" i="26"/>
  <c r="AO10" i="26" s="1"/>
  <c r="G31" i="26"/>
  <c r="G18" i="26"/>
  <c r="T374" i="18"/>
  <c r="R376" i="28" s="1"/>
  <c r="N10" i="19"/>
  <c r="T896" i="18"/>
  <c r="R898" i="28" s="1"/>
  <c r="I20" i="19"/>
  <c r="U18" i="26"/>
  <c r="Y18" i="26" s="1"/>
  <c r="O31" i="26"/>
  <c r="AQ31" i="26" s="1"/>
  <c r="D20" i="19"/>
  <c r="AJ611" i="28"/>
  <c r="O22" i="19"/>
  <c r="T431" i="18"/>
  <c r="R433" i="28" s="1"/>
  <c r="H15" i="19"/>
  <c r="O18" i="26"/>
  <c r="AQ18" i="26" s="1"/>
  <c r="T131" i="18"/>
  <c r="R133" i="28" s="1"/>
  <c r="Z18" i="26"/>
  <c r="T436" i="18"/>
  <c r="R438" i="28" s="1"/>
  <c r="T811" i="18"/>
  <c r="R813" i="28" s="1"/>
  <c r="O13" i="19"/>
  <c r="T804" i="18"/>
  <c r="R806" i="28" s="1"/>
  <c r="T656" i="18"/>
  <c r="R658" i="28" s="1"/>
  <c r="AK24" i="26"/>
  <c r="AO24" i="26" s="1"/>
  <c r="T32" i="18"/>
  <c r="R34" i="28" s="1"/>
  <c r="AJ465" i="28"/>
  <c r="I19" i="26"/>
  <c r="T271" i="18"/>
  <c r="R273" i="28" s="1"/>
  <c r="AJ440" i="28"/>
  <c r="N26" i="19"/>
  <c r="T13" i="18"/>
  <c r="R15" i="28" s="1"/>
  <c r="T689" i="18"/>
  <c r="R691" i="28" s="1"/>
  <c r="L13" i="19"/>
  <c r="AJ509" i="28"/>
  <c r="T376" i="18"/>
  <c r="R378" i="28" s="1"/>
  <c r="U16" i="26"/>
  <c r="Y16" i="26" s="1"/>
  <c r="H22" i="19"/>
  <c r="P11" i="26"/>
  <c r="AR11" i="26" s="1"/>
  <c r="T177" i="18"/>
  <c r="R179" i="28" s="1"/>
  <c r="L20" i="19"/>
  <c r="T837" i="18"/>
  <c r="R839" i="28" s="1"/>
  <c r="AK28" i="26"/>
  <c r="AO28" i="26" s="1"/>
  <c r="T193" i="18"/>
  <c r="R195" i="28" s="1"/>
  <c r="K19" i="19"/>
  <c r="T556" i="18"/>
  <c r="R558" i="28" s="1"/>
  <c r="K27" i="19"/>
  <c r="I13" i="19"/>
  <c r="T674" i="18"/>
  <c r="R676" i="28" s="1"/>
  <c r="T495" i="18"/>
  <c r="R497" i="28" s="1"/>
  <c r="D60" i="19"/>
  <c r="P6" i="19"/>
  <c r="T736" i="18"/>
  <c r="R738" i="28" s="1"/>
  <c r="K19" i="26"/>
  <c r="AJ41" i="28"/>
  <c r="T626" i="18"/>
  <c r="R628" i="28" s="1"/>
  <c r="D93" i="19"/>
  <c r="T615" i="18"/>
  <c r="R617" i="28" s="1"/>
  <c r="T781" i="18"/>
  <c r="R783" i="28" s="1"/>
  <c r="AA10" i="26"/>
  <c r="T657" i="18"/>
  <c r="R659" i="28" s="1"/>
  <c r="H24" i="26"/>
  <c r="AB14" i="26"/>
  <c r="P19" i="26"/>
  <c r="AR19" i="26" s="1"/>
  <c r="D56" i="19"/>
  <c r="P13" i="19"/>
  <c r="AJ687" i="28"/>
  <c r="T884" i="18"/>
  <c r="R886" i="28" s="1"/>
  <c r="T716" i="18"/>
  <c r="R718" i="28" s="1"/>
  <c r="L29" i="19"/>
  <c r="G22" i="19"/>
  <c r="AP13" i="26"/>
  <c r="T222" i="18"/>
  <c r="R224" i="28" s="1"/>
  <c r="T492" i="18"/>
  <c r="R494" i="28" s="1"/>
  <c r="J8" i="19"/>
  <c r="T89" i="18"/>
  <c r="R91" i="28" s="1"/>
  <c r="H28" i="26"/>
  <c r="T523" i="18"/>
  <c r="R525" i="28" s="1"/>
  <c r="T214" i="18"/>
  <c r="R216" i="28" s="1"/>
  <c r="Z21" i="26"/>
  <c r="T645" i="18"/>
  <c r="R647" i="28" s="1"/>
  <c r="T236" i="18"/>
  <c r="R238" i="28" s="1"/>
  <c r="T579" i="18"/>
  <c r="R581" i="28" s="1"/>
  <c r="T280" i="18"/>
  <c r="R282" i="28" s="1"/>
  <c r="T139" i="18"/>
  <c r="R141" i="28" s="1"/>
  <c r="T118" i="18"/>
  <c r="R120" i="28" s="1"/>
  <c r="AK27" i="26"/>
  <c r="AO27" i="26" s="1"/>
  <c r="N11" i="19"/>
  <c r="L15" i="26"/>
  <c r="D90" i="19"/>
  <c r="D24" i="26"/>
  <c r="T265" i="18"/>
  <c r="R267" i="28" s="1"/>
  <c r="T72" i="18"/>
  <c r="R74" i="28" s="1"/>
  <c r="AJ781" i="28"/>
  <c r="U8" i="19"/>
  <c r="O7" i="19"/>
  <c r="T100" i="18"/>
  <c r="R102" i="28" s="1"/>
  <c r="AJ12" i="28"/>
  <c r="O8" i="26"/>
  <c r="AQ8" i="26" s="1"/>
  <c r="D15" i="26"/>
  <c r="I27" i="19"/>
  <c r="L24" i="19"/>
  <c r="AB24" i="26"/>
  <c r="T720" i="18"/>
  <c r="R722" i="28" s="1"/>
  <c r="AB27" i="26"/>
  <c r="T544" i="18"/>
  <c r="R546" i="28" s="1"/>
  <c r="T552" i="18"/>
  <c r="R554" i="28" s="1"/>
  <c r="H14" i="19"/>
  <c r="G30" i="26"/>
  <c r="AK30" i="26"/>
  <c r="AO30" i="26" s="1"/>
  <c r="D39" i="19"/>
  <c r="T360" i="18"/>
  <c r="R362" i="28" s="1"/>
  <c r="T432" i="18"/>
  <c r="R434" i="28" s="1"/>
  <c r="I9" i="26"/>
  <c r="T792" i="18"/>
  <c r="R794" i="28" s="1"/>
  <c r="T122" i="18"/>
  <c r="R124" i="28" s="1"/>
  <c r="D12" i="19"/>
  <c r="K14" i="26"/>
  <c r="T333" i="18"/>
  <c r="R335" i="28" s="1"/>
  <c r="T114" i="18"/>
  <c r="R116" i="28" s="1"/>
  <c r="T446" i="18"/>
  <c r="R448" i="28" s="1"/>
  <c r="AA16" i="26"/>
  <c r="K25" i="26"/>
  <c r="K11" i="26"/>
  <c r="U29" i="19"/>
  <c r="U8" i="26"/>
  <c r="AJ194" i="28"/>
  <c r="D86" i="19"/>
  <c r="G8" i="26"/>
  <c r="AB16" i="26"/>
  <c r="I17" i="19"/>
  <c r="T70" i="18"/>
  <c r="R72" i="28" s="1"/>
  <c r="I12" i="19"/>
  <c r="T660" i="18"/>
  <c r="R662" i="28" s="1"/>
  <c r="AK14" i="26"/>
  <c r="AO14" i="26" s="1"/>
  <c r="P24" i="26"/>
  <c r="AR24" i="26" s="1"/>
  <c r="P12" i="19"/>
  <c r="T124" i="18"/>
  <c r="R126" i="28" s="1"/>
  <c r="T738" i="18"/>
  <c r="R740" i="28" s="1"/>
  <c r="J12" i="19"/>
  <c r="D19" i="19"/>
  <c r="T296" i="18"/>
  <c r="R298" i="28" s="1"/>
  <c r="T104" i="18"/>
  <c r="R106" i="28" s="1"/>
  <c r="T406" i="18"/>
  <c r="R408" i="28" s="1"/>
  <c r="T47" i="18"/>
  <c r="R49" i="28" s="1"/>
  <c r="N9" i="26"/>
  <c r="T699" i="18"/>
  <c r="R701" i="28" s="1"/>
  <c r="L17" i="19"/>
  <c r="T634" i="18"/>
  <c r="R636" i="28" s="1"/>
  <c r="T285" i="18"/>
  <c r="R287" i="28" s="1"/>
  <c r="J27" i="26"/>
  <c r="K22" i="26"/>
  <c r="C158" i="19"/>
  <c r="U22" i="26"/>
  <c r="Y22" i="26" s="1"/>
  <c r="N23" i="26"/>
  <c r="G13" i="19"/>
  <c r="D14" i="26"/>
  <c r="AJ822" i="28"/>
  <c r="AJ404" i="28"/>
  <c r="P26" i="26"/>
  <c r="AR26" i="26" s="1"/>
  <c r="AP19" i="26"/>
  <c r="H16" i="26"/>
  <c r="L24" i="26"/>
  <c r="T86" i="18"/>
  <c r="R88" i="28" s="1"/>
  <c r="U19" i="26"/>
  <c r="Y19" i="26" s="1"/>
  <c r="T551" i="18"/>
  <c r="R553" i="28" s="1"/>
  <c r="AP17" i="26"/>
  <c r="T249" i="18"/>
  <c r="R251" i="28" s="1"/>
  <c r="D26" i="26"/>
  <c r="T286" i="18"/>
  <c r="R288" i="28" s="1"/>
  <c r="O9" i="19"/>
  <c r="T868" i="18"/>
  <c r="R870" i="28" s="1"/>
  <c r="T719" i="18"/>
  <c r="R721" i="28" s="1"/>
  <c r="L21" i="26"/>
  <c r="T685" i="18"/>
  <c r="R687" i="28" s="1"/>
  <c r="L27" i="26"/>
  <c r="T328" i="18"/>
  <c r="R330" i="28" s="1"/>
  <c r="T54" i="18"/>
  <c r="R56" i="28" s="1"/>
  <c r="P8" i="19"/>
  <c r="D58" i="19"/>
  <c r="AD864" i="18"/>
  <c r="N13" i="26"/>
  <c r="T154" i="18"/>
  <c r="R156" i="28" s="1"/>
  <c r="I22" i="19"/>
  <c r="T102" i="18"/>
  <c r="R104" i="28" s="1"/>
  <c r="T153" i="18"/>
  <c r="R155" i="28" s="1"/>
  <c r="T504" i="18"/>
  <c r="R506" i="28" s="1"/>
  <c r="I11" i="26"/>
  <c r="T611" i="18"/>
  <c r="R613" i="28" s="1"/>
  <c r="T18" i="18"/>
  <c r="R20" i="28" s="1"/>
  <c r="I21" i="26"/>
  <c r="G25" i="19"/>
  <c r="T25" i="18"/>
  <c r="R27" i="28" s="1"/>
  <c r="T480" i="18"/>
  <c r="R482" i="28" s="1"/>
  <c r="T130" i="18"/>
  <c r="R132" i="28" s="1"/>
  <c r="G14" i="19"/>
  <c r="T567" i="18"/>
  <c r="R569" i="28" s="1"/>
  <c r="N6" i="19"/>
  <c r="T58" i="18"/>
  <c r="R60" i="28" s="1"/>
  <c r="AJ762" i="28"/>
  <c r="AP31" i="26"/>
  <c r="K27" i="26"/>
  <c r="T151" i="18"/>
  <c r="R153" i="28" s="1"/>
  <c r="J9" i="19"/>
  <c r="T195" i="18"/>
  <c r="R197" i="28" s="1"/>
  <c r="K9" i="19"/>
  <c r="AJ117" i="28"/>
  <c r="AP11" i="26"/>
  <c r="M10" i="26"/>
  <c r="AA15" i="26"/>
  <c r="C175" i="19"/>
  <c r="K20" i="26"/>
  <c r="N25" i="19"/>
  <c r="N19" i="26"/>
  <c r="T810" i="18"/>
  <c r="R812" i="28" s="1"/>
  <c r="T294" i="18"/>
  <c r="R296" i="28" s="1"/>
  <c r="H7" i="19"/>
  <c r="G16" i="19"/>
  <c r="C164" i="19"/>
  <c r="AK20" i="26"/>
  <c r="AO20" i="26" s="1"/>
  <c r="O26" i="19"/>
  <c r="T19" i="18"/>
  <c r="R21" i="28" s="1"/>
  <c r="AA13" i="26"/>
  <c r="T807" i="18"/>
  <c r="R809" i="28" s="1"/>
  <c r="T601" i="18"/>
  <c r="R603" i="28" s="1"/>
  <c r="T879" i="18"/>
  <c r="R881" i="28" s="1"/>
  <c r="AA9" i="26"/>
  <c r="G7" i="19"/>
  <c r="P10" i="26"/>
  <c r="AR10" i="26" s="1"/>
  <c r="T348" i="18"/>
  <c r="R350" i="28" s="1"/>
  <c r="T56" i="18"/>
  <c r="R58" i="28" s="1"/>
  <c r="J10" i="26"/>
  <c r="Z27" i="26"/>
  <c r="AB31" i="26"/>
  <c r="AP20" i="26"/>
  <c r="L16" i="26"/>
  <c r="T794" i="18"/>
  <c r="R796" i="28" s="1"/>
  <c r="T91" i="18"/>
  <c r="R93" i="28" s="1"/>
  <c r="G26" i="19"/>
  <c r="U18" i="19"/>
  <c r="T191" i="18"/>
  <c r="R193" i="28" s="1"/>
  <c r="K29" i="26"/>
  <c r="N14" i="19"/>
  <c r="K28" i="19"/>
  <c r="J16" i="19"/>
  <c r="U16" i="19"/>
  <c r="T819" i="18"/>
  <c r="R821" i="28" s="1"/>
  <c r="I11" i="19"/>
  <c r="T371" i="18"/>
  <c r="R373" i="28" s="1"/>
  <c r="T325" i="18"/>
  <c r="R327" i="28" s="1"/>
  <c r="T145" i="18"/>
  <c r="R147" i="28" s="1"/>
  <c r="N18" i="26"/>
  <c r="AA57" i="20"/>
  <c r="H21" i="19"/>
  <c r="T409" i="18"/>
  <c r="R411" i="28" s="1"/>
  <c r="H9" i="19"/>
  <c r="T164" i="18"/>
  <c r="R166" i="28" s="1"/>
  <c r="P15" i="26"/>
  <c r="AR15" i="26" s="1"/>
  <c r="T269" i="18"/>
  <c r="R271" i="28" s="1"/>
  <c r="T903" i="18"/>
  <c r="R905" i="28" s="1"/>
  <c r="T768" i="18"/>
  <c r="R770" i="28" s="1"/>
  <c r="L21" i="19"/>
  <c r="U29" i="26"/>
  <c r="Y29" i="26" s="1"/>
  <c r="T369" i="18"/>
  <c r="R371" i="28" s="1"/>
  <c r="K18" i="19"/>
  <c r="T115" i="18"/>
  <c r="R117" i="28" s="1"/>
  <c r="O14" i="19"/>
  <c r="P28" i="19"/>
  <c r="T688" i="18"/>
  <c r="R690" i="28" s="1"/>
  <c r="G111" i="19"/>
  <c r="E177" i="19"/>
  <c r="E167" i="19"/>
  <c r="E170" i="19"/>
  <c r="G108" i="19"/>
  <c r="E174" i="19"/>
  <c r="F119" i="19"/>
  <c r="E122" i="19"/>
  <c r="Z53" i="20"/>
  <c r="AE53" i="20" s="1"/>
  <c r="E157" i="19"/>
  <c r="E160" i="19"/>
  <c r="C122" i="19"/>
  <c r="G119" i="19"/>
  <c r="T65" i="18"/>
  <c r="R67" i="28" s="1"/>
  <c r="T185" i="18"/>
  <c r="R187" i="28" s="1"/>
  <c r="K9" i="26"/>
  <c r="D55" i="19"/>
  <c r="U21" i="19"/>
  <c r="T219" i="18"/>
  <c r="R221" i="28" s="1"/>
  <c r="T340" i="18"/>
  <c r="R342" i="28" s="1"/>
  <c r="J13" i="19"/>
  <c r="D113" i="19"/>
  <c r="D120" i="19"/>
  <c r="D116" i="19"/>
  <c r="F123" i="19"/>
  <c r="E115" i="19"/>
  <c r="C120" i="19"/>
  <c r="F128" i="19"/>
  <c r="E158" i="19"/>
  <c r="C119" i="19"/>
  <c r="G120" i="19"/>
  <c r="G109" i="19"/>
  <c r="C110" i="19"/>
  <c r="G123" i="19"/>
  <c r="G113" i="19"/>
  <c r="E106" i="19"/>
  <c r="T511" i="18"/>
  <c r="R513" i="28" s="1"/>
  <c r="I19" i="19"/>
  <c r="L19" i="26"/>
  <c r="AA20" i="26"/>
  <c r="D80" i="19"/>
  <c r="H12" i="26"/>
  <c r="T690" i="18"/>
  <c r="R692" i="28" s="1"/>
  <c r="I17" i="26"/>
  <c r="H24" i="19"/>
  <c r="T363" i="18"/>
  <c r="R365" i="28" s="1"/>
  <c r="F122" i="19"/>
  <c r="E176" i="19"/>
  <c r="E109" i="19"/>
  <c r="C125" i="19"/>
  <c r="C121" i="19"/>
  <c r="T5" i="18"/>
  <c r="G115" i="19"/>
  <c r="F127" i="19"/>
  <c r="D106" i="19"/>
  <c r="T35" i="18"/>
  <c r="R37" i="28" s="1"/>
  <c r="G118" i="19"/>
  <c r="T80" i="18"/>
  <c r="R82" i="28" s="1"/>
  <c r="G117" i="19"/>
  <c r="D105" i="19"/>
  <c r="E111" i="19"/>
  <c r="D110" i="19"/>
  <c r="F106" i="19"/>
  <c r="C111" i="19"/>
  <c r="G124" i="19"/>
  <c r="T200" i="18"/>
  <c r="R202" i="28" s="1"/>
  <c r="G112" i="19"/>
  <c r="D122" i="19"/>
  <c r="D111" i="19"/>
  <c r="N23" i="19"/>
  <c r="Z14" i="26"/>
  <c r="T462" i="18"/>
  <c r="R464" i="28" s="1"/>
  <c r="D95" i="19"/>
  <c r="D62" i="19"/>
  <c r="AJ839" i="28"/>
  <c r="AB53" i="20"/>
  <c r="F120" i="19"/>
  <c r="E175" i="19"/>
  <c r="E166" i="19"/>
  <c r="C109" i="19"/>
  <c r="D118" i="19"/>
  <c r="E161" i="19"/>
  <c r="F105" i="19"/>
  <c r="G107" i="19"/>
  <c r="E117" i="19"/>
  <c r="G128" i="19"/>
  <c r="F109" i="19"/>
  <c r="E128" i="19"/>
  <c r="E118" i="19"/>
  <c r="E178" i="19"/>
  <c r="E110" i="19"/>
  <c r="C105" i="19"/>
  <c r="E107" i="19"/>
  <c r="E127" i="19"/>
  <c r="G106" i="19"/>
  <c r="F117" i="19"/>
  <c r="F121" i="19"/>
  <c r="G105" i="19"/>
  <c r="E171" i="19"/>
  <c r="F116" i="19"/>
  <c r="G116" i="19"/>
  <c r="E121" i="19"/>
  <c r="C107" i="19"/>
  <c r="E163" i="19"/>
  <c r="T110" i="18"/>
  <c r="R112" i="28" s="1"/>
  <c r="M13" i="26"/>
  <c r="L17" i="26"/>
  <c r="AP23" i="26"/>
  <c r="AJ455" i="28"/>
  <c r="T596" i="18"/>
  <c r="R598" i="28" s="1"/>
  <c r="T663" i="18"/>
  <c r="R665" i="28" s="1"/>
  <c r="O29" i="19"/>
  <c r="I25" i="26"/>
  <c r="T319" i="18"/>
  <c r="R321" i="28" s="1"/>
  <c r="E120" i="19"/>
  <c r="F111" i="19"/>
  <c r="E123" i="19"/>
  <c r="F126" i="19"/>
  <c r="T215" i="18"/>
  <c r="R217" i="28" s="1"/>
  <c r="G114" i="19"/>
  <c r="F114" i="19"/>
  <c r="E156" i="19"/>
  <c r="T50" i="18"/>
  <c r="R52" i="28" s="1"/>
  <c r="E114" i="19"/>
  <c r="D123" i="19"/>
  <c r="C116" i="19"/>
  <c r="D119" i="19"/>
  <c r="F125" i="19"/>
  <c r="F107" i="19"/>
  <c r="E119" i="19"/>
  <c r="G121" i="19"/>
  <c r="D121" i="19"/>
  <c r="E105" i="19"/>
  <c r="C117" i="19"/>
  <c r="C127" i="19"/>
  <c r="D117" i="19"/>
  <c r="D108" i="19"/>
  <c r="G127" i="19"/>
  <c r="D115" i="19"/>
  <c r="D125" i="19"/>
  <c r="E112" i="19"/>
  <c r="F112" i="19"/>
  <c r="L18" i="19"/>
  <c r="L8" i="26"/>
  <c r="H15" i="26"/>
  <c r="T823" i="18"/>
  <c r="R825" i="28" s="1"/>
  <c r="J28" i="26"/>
  <c r="T766" i="18"/>
  <c r="R768" i="28" s="1"/>
  <c r="L12" i="19"/>
  <c r="L29" i="26"/>
  <c r="T513" i="18"/>
  <c r="R515" i="28" s="1"/>
  <c r="AK23" i="26"/>
  <c r="AO23" i="26" s="1"/>
  <c r="D109" i="19"/>
  <c r="C128" i="19"/>
  <c r="C115" i="19"/>
  <c r="AJ82" i="28"/>
  <c r="AA53" i="20"/>
  <c r="D127" i="19"/>
  <c r="F113" i="19"/>
  <c r="E126" i="19"/>
  <c r="D124" i="19"/>
  <c r="C108" i="19"/>
  <c r="E159" i="19"/>
  <c r="C114" i="19"/>
  <c r="G126" i="19"/>
  <c r="E169" i="19"/>
  <c r="E125" i="19"/>
  <c r="C124" i="19"/>
  <c r="F118" i="19"/>
  <c r="C113" i="19"/>
  <c r="D114" i="19"/>
  <c r="C112" i="19"/>
  <c r="F110" i="19"/>
  <c r="C106" i="19"/>
  <c r="D112" i="19"/>
  <c r="E162" i="19"/>
  <c r="D128" i="19"/>
  <c r="T730" i="18"/>
  <c r="R732" i="28" s="1"/>
  <c r="T528" i="18"/>
  <c r="R530" i="28" s="1"/>
  <c r="D72" i="19"/>
  <c r="T303" i="18"/>
  <c r="R305" i="28" s="1"/>
  <c r="T415" i="18"/>
  <c r="R417" i="28" s="1"/>
  <c r="M29" i="26"/>
  <c r="R29" i="26" s="1"/>
  <c r="E164" i="19"/>
  <c r="D126" i="19"/>
  <c r="E113" i="19"/>
  <c r="E179" i="19"/>
  <c r="E165" i="19"/>
  <c r="F115" i="19"/>
  <c r="F108" i="19"/>
  <c r="C126" i="19"/>
  <c r="E116" i="19"/>
  <c r="E124" i="19"/>
  <c r="C123" i="19"/>
  <c r="T244" i="18"/>
  <c r="R246" i="28" s="1"/>
  <c r="T225" i="18"/>
  <c r="R227" i="28" s="1"/>
  <c r="U11" i="19"/>
  <c r="D47" i="19"/>
  <c r="T540" i="18"/>
  <c r="R542" i="28" s="1"/>
  <c r="T209" i="18"/>
  <c r="R211" i="28" s="1"/>
  <c r="T701" i="18"/>
  <c r="R703" i="28" s="1"/>
  <c r="T744" i="18"/>
  <c r="R746" i="28" s="1"/>
  <c r="I22" i="26"/>
  <c r="G122" i="19"/>
  <c r="C118" i="19"/>
  <c r="F124" i="19"/>
  <c r="T125" i="18"/>
  <c r="R127" i="28" s="1"/>
  <c r="G110" i="19"/>
  <c r="E172" i="19"/>
  <c r="E108" i="19"/>
  <c r="D107" i="19"/>
  <c r="E168" i="19"/>
  <c r="E173" i="19"/>
  <c r="T95" i="18"/>
  <c r="R97" i="28" s="1"/>
  <c r="T20" i="18"/>
  <c r="R22" i="28" s="1"/>
  <c r="T230" i="18"/>
  <c r="R232" i="28" s="1"/>
  <c r="T137" i="18"/>
  <c r="R139" i="28" s="1"/>
  <c r="T245" i="18"/>
  <c r="R247" i="28" s="1"/>
  <c r="T260" i="18"/>
  <c r="R262" i="28" s="1"/>
  <c r="T167" i="18"/>
  <c r="R169" i="28" s="1"/>
  <c r="T290" i="18"/>
  <c r="R292" i="28" s="1"/>
  <c r="T182" i="18"/>
  <c r="R184" i="28" s="1"/>
  <c r="T275" i="18"/>
  <c r="R277" i="28" s="1"/>
  <c r="T197" i="18"/>
  <c r="R199" i="28" s="1"/>
  <c r="T212" i="18"/>
  <c r="R214" i="28" s="1"/>
  <c r="T335" i="18"/>
  <c r="R337" i="28" s="1"/>
  <c r="T305" i="18"/>
  <c r="R307" i="28" s="1"/>
  <c r="T320" i="18"/>
  <c r="R322" i="28" s="1"/>
  <c r="T227" i="18"/>
  <c r="R229" i="28" s="1"/>
  <c r="T242" i="18"/>
  <c r="R244" i="28" s="1"/>
  <c r="T350" i="18"/>
  <c r="R352" i="28" s="1"/>
  <c r="T257" i="18"/>
  <c r="R259" i="28" s="1"/>
  <c r="T365" i="18"/>
  <c r="R367" i="28" s="1"/>
  <c r="T272" i="18"/>
  <c r="R274" i="28" s="1"/>
  <c r="T380" i="18"/>
  <c r="R382" i="28" s="1"/>
  <c r="T287" i="18"/>
  <c r="R289" i="28" s="1"/>
  <c r="T302" i="18"/>
  <c r="R304" i="28" s="1"/>
  <c r="T395" i="18"/>
  <c r="R397" i="28" s="1"/>
  <c r="T410" i="18"/>
  <c r="R412" i="28" s="1"/>
  <c r="T317" i="18"/>
  <c r="R319" i="28" s="1"/>
  <c r="T425" i="18"/>
  <c r="R427" i="28" s="1"/>
  <c r="T332" i="18"/>
  <c r="R334" i="28" s="1"/>
  <c r="T347" i="18"/>
  <c r="R349" i="28" s="1"/>
  <c r="T440" i="18"/>
  <c r="R442" i="28" s="1"/>
  <c r="T362" i="18"/>
  <c r="R364" i="28" s="1"/>
  <c r="T455" i="18"/>
  <c r="R457" i="28" s="1"/>
  <c r="T377" i="18"/>
  <c r="R379" i="28" s="1"/>
  <c r="T470" i="18"/>
  <c r="R472" i="28" s="1"/>
  <c r="T392" i="18"/>
  <c r="R394" i="28" s="1"/>
  <c r="T485" i="18"/>
  <c r="R487" i="28" s="1"/>
  <c r="T500" i="18"/>
  <c r="R502" i="28" s="1"/>
  <c r="T515" i="18"/>
  <c r="R517" i="28" s="1"/>
  <c r="T407" i="18"/>
  <c r="R409" i="28" s="1"/>
  <c r="T422" i="18"/>
  <c r="R424" i="28" s="1"/>
  <c r="T575" i="18"/>
  <c r="R577" i="28" s="1"/>
  <c r="T530" i="18"/>
  <c r="R532" i="28" s="1"/>
  <c r="T437" i="18"/>
  <c r="R439" i="28" s="1"/>
  <c r="T545" i="18"/>
  <c r="R547" i="28" s="1"/>
  <c r="T452" i="18"/>
  <c r="R454" i="28" s="1"/>
  <c r="T467" i="18"/>
  <c r="R469" i="28" s="1"/>
  <c r="T635" i="18"/>
  <c r="R637" i="28" s="1"/>
  <c r="T560" i="18"/>
  <c r="R562" i="28" s="1"/>
  <c r="T482" i="18"/>
  <c r="R484" i="28" s="1"/>
  <c r="T590" i="18"/>
  <c r="R592" i="28" s="1"/>
  <c r="T497" i="18"/>
  <c r="R499" i="28" s="1"/>
  <c r="T512" i="18"/>
  <c r="R514" i="28" s="1"/>
  <c r="T605" i="18"/>
  <c r="R607" i="28" s="1"/>
  <c r="T527" i="18"/>
  <c r="R529" i="28" s="1"/>
  <c r="T620" i="18"/>
  <c r="R622" i="28" s="1"/>
  <c r="T542" i="18"/>
  <c r="R544" i="28" s="1"/>
  <c r="T557" i="18"/>
  <c r="R559" i="28" s="1"/>
  <c r="T650" i="18"/>
  <c r="R652" i="28" s="1"/>
  <c r="T665" i="18"/>
  <c r="R667" i="28" s="1"/>
  <c r="T572" i="18"/>
  <c r="R574" i="28" s="1"/>
  <c r="T680" i="18"/>
  <c r="R682" i="28" s="1"/>
  <c r="T695" i="18"/>
  <c r="R697" i="28" s="1"/>
  <c r="T587" i="18"/>
  <c r="R589" i="28" s="1"/>
  <c r="T602" i="18"/>
  <c r="R604" i="28" s="1"/>
  <c r="T617" i="18"/>
  <c r="R619" i="28" s="1"/>
  <c r="T710" i="18"/>
  <c r="R712" i="28" s="1"/>
  <c r="T725" i="18"/>
  <c r="R727" i="28" s="1"/>
  <c r="T632" i="18"/>
  <c r="R634" i="28" s="1"/>
  <c r="T647" i="18"/>
  <c r="R649" i="28" s="1"/>
  <c r="T662" i="18"/>
  <c r="R664" i="28" s="1"/>
  <c r="T677" i="18"/>
  <c r="R679" i="28" s="1"/>
  <c r="T692" i="18"/>
  <c r="R694" i="28" s="1"/>
  <c r="T707" i="18"/>
  <c r="R709" i="28" s="1"/>
  <c r="T737" i="18"/>
  <c r="R739" i="28" s="1"/>
  <c r="T722" i="18"/>
  <c r="R724" i="28" s="1"/>
  <c r="T857" i="18"/>
  <c r="R859" i="28" s="1"/>
  <c r="T797" i="18"/>
  <c r="R799" i="28" s="1"/>
  <c r="AJ799" i="28"/>
  <c r="AJ784" i="28"/>
  <c r="T767" i="18"/>
  <c r="R769" i="28" s="1"/>
  <c r="T827" i="18"/>
  <c r="R829" i="28" s="1"/>
  <c r="AD858" i="18" l="1"/>
  <c r="AE57" i="20"/>
  <c r="AE68" i="20" s="1"/>
  <c r="Y3" i="26" a="1"/>
  <c r="Y3" i="26" s="1"/>
  <c r="AO3" i="26" a="1"/>
  <c r="AO3" i="26" s="1"/>
  <c r="AH19" i="26"/>
  <c r="AH18" i="26"/>
  <c r="AO8" i="26"/>
  <c r="Y8" i="26"/>
  <c r="Q4" i="19"/>
  <c r="AC13" i="20"/>
  <c r="AD13" i="20" s="1"/>
  <c r="AC16" i="20"/>
  <c r="AD16" i="20" s="1"/>
  <c r="AC14" i="20"/>
  <c r="AD14" i="20" s="1"/>
  <c r="AC15" i="20"/>
  <c r="AD15" i="20" s="1"/>
  <c r="AC12" i="20"/>
  <c r="AC17" i="20"/>
  <c r="AD17" i="20" s="1"/>
  <c r="AC24" i="20"/>
  <c r="AD24" i="20" s="1"/>
  <c r="AC18" i="20"/>
  <c r="AD18" i="20" s="1"/>
  <c r="AC19" i="20"/>
  <c r="AD19" i="20" s="1"/>
  <c r="AC22" i="20"/>
  <c r="AD22" i="20" s="1"/>
  <c r="AC23" i="20"/>
  <c r="AD23" i="20" s="1"/>
  <c r="AC20" i="20"/>
  <c r="AD20" i="20" s="1"/>
  <c r="AC26" i="20"/>
  <c r="AD26" i="20" s="1"/>
  <c r="AC25" i="20"/>
  <c r="AD25" i="20" s="1"/>
  <c r="AC21" i="20"/>
  <c r="AD21" i="20" s="1"/>
  <c r="AG167" i="19"/>
  <c r="AH157" i="19"/>
  <c r="AE169" i="19"/>
  <c r="AF167" i="19"/>
  <c r="Z160" i="19"/>
  <c r="AD369" i="18"/>
  <c r="AB371" i="28" s="1"/>
  <c r="AD72" i="18"/>
  <c r="AB74" i="28" s="1"/>
  <c r="AD279" i="18"/>
  <c r="AB281" i="28" s="1"/>
  <c r="AD270" i="18"/>
  <c r="AB272" i="28" s="1"/>
  <c r="AD871" i="18"/>
  <c r="AB873" i="28" s="1"/>
  <c r="AD450" i="18"/>
  <c r="AB452" i="28" s="1"/>
  <c r="AG162" i="19"/>
  <c r="AB167" i="19"/>
  <c r="AC156" i="19"/>
  <c r="AI158" i="19"/>
  <c r="AH174" i="19"/>
  <c r="Z156" i="19"/>
  <c r="AI162" i="19"/>
  <c r="Z179" i="19"/>
  <c r="AA177" i="19"/>
  <c r="AG158" i="19"/>
  <c r="AC159" i="19"/>
  <c r="AI164" i="19"/>
  <c r="AH178" i="19"/>
  <c r="AA167" i="19"/>
  <c r="AG166" i="19"/>
  <c r="AD160" i="19"/>
  <c r="AF179" i="19"/>
  <c r="AE175" i="19"/>
  <c r="AA162" i="19"/>
  <c r="AD169" i="19"/>
  <c r="AE165" i="19"/>
  <c r="AC174" i="19"/>
  <c r="Z174" i="19"/>
  <c r="U159" i="19"/>
  <c r="Y165" i="19"/>
  <c r="V157" i="19"/>
  <c r="V175" i="19"/>
  <c r="AB166" i="19"/>
  <c r="AF162" i="19"/>
  <c r="AD174" i="19"/>
  <c r="AI157" i="19"/>
  <c r="X171" i="19"/>
  <c r="W160" i="19"/>
  <c r="V167" i="19"/>
  <c r="AB169" i="19"/>
  <c r="AB175" i="19"/>
  <c r="X156" i="19"/>
  <c r="X159" i="19"/>
  <c r="W158" i="19"/>
  <c r="W161" i="19"/>
  <c r="W157" i="19"/>
  <c r="W179" i="19"/>
  <c r="Y173" i="19"/>
  <c r="Y171" i="19"/>
  <c r="Y168" i="19"/>
  <c r="AG161" i="19"/>
  <c r="AE178" i="19"/>
  <c r="AD156" i="19"/>
  <c r="AD162" i="19"/>
  <c r="AG179" i="19"/>
  <c r="AA163" i="19"/>
  <c r="AH171" i="19"/>
  <c r="AF173" i="19"/>
  <c r="AH168" i="19"/>
  <c r="AH162" i="19"/>
  <c r="AI167" i="19"/>
  <c r="AB157" i="19"/>
  <c r="AA161" i="19"/>
  <c r="AD234" i="18"/>
  <c r="AB236" i="28" s="1"/>
  <c r="AH156" i="19"/>
  <c r="AC163" i="19"/>
  <c r="Z176" i="19"/>
  <c r="U169" i="19"/>
  <c r="U170" i="19"/>
  <c r="U173" i="19"/>
  <c r="X178" i="19"/>
  <c r="X160" i="19"/>
  <c r="W168" i="19"/>
  <c r="Y177" i="19"/>
  <c r="Y175" i="19"/>
  <c r="Y170" i="19"/>
  <c r="Y169" i="19"/>
  <c r="Y166" i="19"/>
  <c r="Y162" i="19"/>
  <c r="V173" i="19"/>
  <c r="V165" i="19"/>
  <c r="V178" i="19"/>
  <c r="AE177" i="19"/>
  <c r="Z173" i="19"/>
  <c r="Z161" i="19"/>
  <c r="AE168" i="19"/>
  <c r="AH175" i="19"/>
  <c r="AB170" i="19"/>
  <c r="AC175" i="19"/>
  <c r="AD168" i="19"/>
  <c r="AD178" i="19"/>
  <c r="AA156" i="19"/>
  <c r="AC168" i="19"/>
  <c r="V163" i="19"/>
  <c r="AH173" i="19"/>
  <c r="U172" i="19"/>
  <c r="X177" i="19"/>
  <c r="X175" i="19"/>
  <c r="X163" i="19"/>
  <c r="X157" i="19"/>
  <c r="W173" i="19"/>
  <c r="W172" i="19"/>
  <c r="W177" i="19"/>
  <c r="W156" i="19"/>
  <c r="V171" i="19"/>
  <c r="AD176" i="19"/>
  <c r="AH164" i="19"/>
  <c r="AI175" i="19"/>
  <c r="AA174" i="19"/>
  <c r="AC160" i="19"/>
  <c r="AB179" i="19"/>
  <c r="Z166" i="19"/>
  <c r="AA172" i="19"/>
  <c r="AI163" i="19"/>
  <c r="AE162" i="19"/>
  <c r="AE156" i="19"/>
  <c r="AH159" i="19"/>
  <c r="AB178" i="19"/>
  <c r="AD172" i="19"/>
  <c r="AH161" i="19"/>
  <c r="AA164" i="19"/>
  <c r="AC171" i="19"/>
  <c r="AA176" i="19"/>
  <c r="U176" i="19"/>
  <c r="W165" i="19"/>
  <c r="Y176" i="19"/>
  <c r="V170" i="19"/>
  <c r="V168" i="19"/>
  <c r="AI176" i="19"/>
  <c r="AA168" i="19"/>
  <c r="AE161" i="19"/>
  <c r="AE172" i="19"/>
  <c r="Z162" i="19"/>
  <c r="AC179" i="19"/>
  <c r="AH179" i="19"/>
  <c r="AB176" i="19"/>
  <c r="AC176" i="19"/>
  <c r="X170" i="19"/>
  <c r="Y156" i="19"/>
  <c r="U164" i="19"/>
  <c r="U168" i="19"/>
  <c r="U163" i="19"/>
  <c r="U156" i="19"/>
  <c r="X165" i="19"/>
  <c r="X161" i="19"/>
  <c r="X166" i="19"/>
  <c r="W170" i="19"/>
  <c r="W167" i="19"/>
  <c r="W176" i="19"/>
  <c r="W178" i="19"/>
  <c r="Y159" i="19"/>
  <c r="V156" i="19"/>
  <c r="V164" i="19"/>
  <c r="V176" i="19"/>
  <c r="V174" i="19"/>
  <c r="V162" i="19"/>
  <c r="AD161" i="19"/>
  <c r="AC167" i="19"/>
  <c r="AD165" i="19"/>
  <c r="AI178" i="19"/>
  <c r="Z169" i="19"/>
  <c r="AG171" i="19"/>
  <c r="AG156" i="19"/>
  <c r="AI166" i="19"/>
  <c r="AB165" i="19"/>
  <c r="AA159" i="19"/>
  <c r="AF170" i="19"/>
  <c r="AE167" i="19"/>
  <c r="Z158" i="19"/>
  <c r="Z172" i="19"/>
  <c r="AI168" i="19"/>
  <c r="AB177" i="19"/>
  <c r="AI173" i="19"/>
  <c r="AH176" i="19"/>
  <c r="Z159" i="19"/>
  <c r="AD163" i="19"/>
  <c r="AA169" i="19"/>
  <c r="AE157" i="19"/>
  <c r="AC158" i="19"/>
  <c r="AC166" i="19"/>
  <c r="AD179" i="19"/>
  <c r="AF166" i="19"/>
  <c r="U171" i="19"/>
  <c r="U175" i="19"/>
  <c r="U160" i="19"/>
  <c r="X164" i="19"/>
  <c r="W162" i="19"/>
  <c r="Y178" i="19"/>
  <c r="Y161" i="19"/>
  <c r="AF157" i="19"/>
  <c r="AE159" i="19"/>
  <c r="AD177" i="19"/>
  <c r="AB163" i="19"/>
  <c r="AC164" i="19"/>
  <c r="Z164" i="19"/>
  <c r="AI177" i="19"/>
  <c r="AA160" i="19"/>
  <c r="AE166" i="19"/>
  <c r="AC169" i="19"/>
  <c r="AC177" i="19"/>
  <c r="AD157" i="19"/>
  <c r="AF176" i="19"/>
  <c r="AG176" i="19"/>
  <c r="AG173" i="19"/>
  <c r="AH160" i="19"/>
  <c r="AH177" i="19"/>
  <c r="AH165" i="19"/>
  <c r="AF158" i="19"/>
  <c r="AE163" i="19"/>
  <c r="AI161" i="19"/>
  <c r="AI171" i="19"/>
  <c r="AE174" i="19"/>
  <c r="AE170" i="19"/>
  <c r="AE171" i="19"/>
  <c r="AF161" i="19"/>
  <c r="AA165" i="19"/>
  <c r="AD171" i="19"/>
  <c r="AC170" i="19"/>
  <c r="AG175" i="19"/>
  <c r="AD166" i="19"/>
  <c r="X174" i="19"/>
  <c r="V158" i="19"/>
  <c r="AC157" i="19"/>
  <c r="AI165" i="19"/>
  <c r="AF159" i="19"/>
  <c r="AB160" i="19"/>
  <c r="AH158" i="19"/>
  <c r="AC162" i="19"/>
  <c r="AI156" i="19"/>
  <c r="AA158" i="19"/>
  <c r="AH163" i="19"/>
  <c r="AD167" i="19"/>
  <c r="AF171" i="19"/>
  <c r="AA166" i="19"/>
  <c r="AD170" i="19"/>
  <c r="AC172" i="19"/>
  <c r="AB164" i="19"/>
  <c r="AH172" i="19"/>
  <c r="W169" i="19"/>
  <c r="U166" i="19"/>
  <c r="U158" i="19"/>
  <c r="U174" i="19"/>
  <c r="U177" i="19"/>
  <c r="U167" i="19"/>
  <c r="X176" i="19"/>
  <c r="W163" i="19"/>
  <c r="W175" i="19"/>
  <c r="W166" i="19"/>
  <c r="Y158" i="19"/>
  <c r="Y164" i="19"/>
  <c r="Y157" i="19"/>
  <c r="Y160" i="19"/>
  <c r="V166" i="19"/>
  <c r="V161" i="19"/>
  <c r="V159" i="19"/>
  <c r="V179" i="19"/>
  <c r="Z165" i="19"/>
  <c r="AF164" i="19"/>
  <c r="AI179" i="19"/>
  <c r="AE164" i="19"/>
  <c r="AB174" i="19"/>
  <c r="AG165" i="19"/>
  <c r="AG157" i="19"/>
  <c r="AE158" i="19"/>
  <c r="Z177" i="19"/>
  <c r="AC178" i="19"/>
  <c r="AI170" i="19"/>
  <c r="Z170" i="19"/>
  <c r="AF172" i="19"/>
  <c r="AE160" i="19"/>
  <c r="AF168" i="19"/>
  <c r="AG168" i="19"/>
  <c r="AD175" i="19"/>
  <c r="AG164" i="19"/>
  <c r="AD173" i="19"/>
  <c r="AA173" i="19"/>
  <c r="AG174" i="19"/>
  <c r="AB161" i="19"/>
  <c r="AA170" i="19"/>
  <c r="AB171" i="19"/>
  <c r="AA179" i="19"/>
  <c r="AB156" i="19"/>
  <c r="Z167" i="19"/>
  <c r="AH167" i="19"/>
  <c r="AI159" i="19"/>
  <c r="U162" i="19"/>
  <c r="U178" i="19"/>
  <c r="U157" i="19"/>
  <c r="X169" i="19"/>
  <c r="X162" i="19"/>
  <c r="X158" i="19"/>
  <c r="X167" i="19"/>
  <c r="W159" i="19"/>
  <c r="W164" i="19"/>
  <c r="W174" i="19"/>
  <c r="W171" i="19"/>
  <c r="Y179" i="19"/>
  <c r="Y163" i="19"/>
  <c r="Y174" i="19"/>
  <c r="Y172" i="19"/>
  <c r="V169" i="19"/>
  <c r="V160" i="19"/>
  <c r="V177" i="19"/>
  <c r="AG159" i="19"/>
  <c r="AG169" i="19"/>
  <c r="Z168" i="19"/>
  <c r="AI172" i="19"/>
  <c r="AG172" i="19"/>
  <c r="AD164" i="19"/>
  <c r="AF178" i="19"/>
  <c r="AB162" i="19"/>
  <c r="AA171" i="19"/>
  <c r="AD159" i="19"/>
  <c r="AF165" i="19"/>
  <c r="AH169" i="19"/>
  <c r="AC165" i="19"/>
  <c r="AE176" i="19"/>
  <c r="Z171" i="19"/>
  <c r="U179" i="19"/>
  <c r="U165" i="19"/>
  <c r="U161" i="19"/>
  <c r="X179" i="19"/>
  <c r="X168" i="19"/>
  <c r="X173" i="19"/>
  <c r="X172" i="19"/>
  <c r="Y167" i="19"/>
  <c r="V172" i="19"/>
  <c r="AH170" i="19"/>
  <c r="AF160" i="19"/>
  <c r="AA178" i="19"/>
  <c r="Z157" i="19"/>
  <c r="AE179" i="19"/>
  <c r="AF174" i="19"/>
  <c r="AA175" i="19"/>
  <c r="AB173" i="19"/>
  <c r="AG178" i="19"/>
  <c r="AB172" i="19"/>
  <c r="AC161" i="19"/>
  <c r="AB159" i="19"/>
  <c r="AE173" i="19"/>
  <c r="AH166" i="19"/>
  <c r="AD158" i="19"/>
  <c r="AI169" i="19"/>
  <c r="AG177" i="19"/>
  <c r="AI174" i="19"/>
  <c r="AF177" i="19"/>
  <c r="Z178" i="19"/>
  <c r="AB158" i="19"/>
  <c r="AF169" i="19"/>
  <c r="AF175" i="19"/>
  <c r="AF156" i="19"/>
  <c r="Z163" i="19"/>
  <c r="AB168" i="19"/>
  <c r="Z175" i="19"/>
  <c r="AG160" i="19"/>
  <c r="AC173" i="19"/>
  <c r="AA157" i="19"/>
  <c r="AG170" i="19"/>
  <c r="AG163" i="19"/>
  <c r="AF163" i="19"/>
  <c r="AI160" i="19"/>
  <c r="AD442" i="18"/>
  <c r="AB444" i="28" s="1"/>
  <c r="AD232" i="18"/>
  <c r="AB234" i="28" s="1"/>
  <c r="AD276" i="18"/>
  <c r="AB278" i="28" s="1"/>
  <c r="AD348" i="18"/>
  <c r="AB350" i="28" s="1"/>
  <c r="AD117" i="18"/>
  <c r="AB119" i="28" s="1"/>
  <c r="AD768" i="18"/>
  <c r="AB770" i="28" s="1"/>
  <c r="AD336" i="18"/>
  <c r="AB338" i="28" s="1"/>
  <c r="R7" i="28"/>
  <c r="Q5" i="19"/>
  <c r="AD747" i="18"/>
  <c r="AB749" i="28" s="1"/>
  <c r="AD493" i="18"/>
  <c r="AB495" i="28" s="1"/>
  <c r="AK68" i="20"/>
  <c r="AD395" i="18"/>
  <c r="AB397" i="28" s="1"/>
  <c r="AD343" i="18"/>
  <c r="AB345" i="28" s="1"/>
  <c r="AD204" i="18"/>
  <c r="AB206" i="28" s="1"/>
  <c r="AD674" i="18"/>
  <c r="AB676" i="28" s="1"/>
  <c r="AD67" i="18"/>
  <c r="AB69" i="28" s="1"/>
  <c r="AD489" i="18"/>
  <c r="AB491" i="28" s="1"/>
  <c r="AD884" i="18"/>
  <c r="AB886" i="28" s="1"/>
  <c r="AD220" i="18"/>
  <c r="AB222" i="28" s="1"/>
  <c r="AD328" i="18"/>
  <c r="AB330" i="28" s="1"/>
  <c r="AD312" i="18"/>
  <c r="AB314" i="28" s="1"/>
  <c r="AD712" i="18"/>
  <c r="AB714" i="28" s="1"/>
  <c r="AD51" i="18"/>
  <c r="AB53" i="28" s="1"/>
  <c r="AD198" i="18"/>
  <c r="AB200" i="28" s="1"/>
  <c r="AD528" i="18"/>
  <c r="AB530" i="28" s="1"/>
  <c r="AD130" i="18"/>
  <c r="AB132" i="28" s="1"/>
  <c r="AD529" i="18"/>
  <c r="AB531" i="28" s="1"/>
  <c r="AD445" i="18"/>
  <c r="AB447" i="28" s="1"/>
  <c r="AD327" i="18"/>
  <c r="AB329" i="28" s="1"/>
  <c r="AD104" i="18"/>
  <c r="AB106" i="28" s="1"/>
  <c r="AD359" i="18"/>
  <c r="AB361" i="28" s="1"/>
  <c r="AD334" i="18"/>
  <c r="AB336" i="28" s="1"/>
  <c r="AD539" i="18"/>
  <c r="AB541" i="28" s="1"/>
  <c r="AD433" i="18"/>
  <c r="AB435" i="28" s="1"/>
  <c r="AD523" i="18"/>
  <c r="AB525" i="28" s="1"/>
  <c r="AD686" i="18"/>
  <c r="AB688" i="28" s="1"/>
  <c r="AD487" i="18"/>
  <c r="AB489" i="28" s="1"/>
  <c r="AD591" i="18"/>
  <c r="AB593" i="28" s="1"/>
  <c r="AD78" i="18"/>
  <c r="AB80" i="28" s="1"/>
  <c r="AD41" i="18"/>
  <c r="AB43" i="28" s="1"/>
  <c r="AD903" i="18"/>
  <c r="AB905" i="28" s="1"/>
  <c r="AD666" i="18"/>
  <c r="AB668" i="28" s="1"/>
  <c r="AD866" i="18"/>
  <c r="AB868" i="28" s="1"/>
  <c r="AD280" i="18"/>
  <c r="AB282" i="28" s="1"/>
  <c r="AD483" i="18"/>
  <c r="AB485" i="28" s="1"/>
  <c r="AD507" i="18"/>
  <c r="AB509" i="28" s="1"/>
  <c r="AD73" i="18"/>
  <c r="AB75" i="28" s="1"/>
  <c r="AD383" i="18"/>
  <c r="AB385" i="28" s="1"/>
  <c r="AD759" i="18"/>
  <c r="AB761" i="28" s="1"/>
  <c r="AD624" i="18"/>
  <c r="AB626" i="28" s="1"/>
  <c r="AD593" i="18"/>
  <c r="AB595" i="28" s="1"/>
  <c r="AD486" i="18"/>
  <c r="AB488" i="28" s="1"/>
  <c r="AD64" i="18"/>
  <c r="AB66" i="28" s="1"/>
  <c r="AD79" i="18"/>
  <c r="AB81" i="28" s="1"/>
  <c r="AD355" i="18"/>
  <c r="AB357" i="28" s="1"/>
  <c r="AD459" i="18"/>
  <c r="AB461" i="28" s="1"/>
  <c r="W4" i="19"/>
  <c r="Q904" i="28"/>
  <c r="R61" i="5"/>
  <c r="AD738" i="18"/>
  <c r="AB740" i="28" s="1"/>
  <c r="AD573" i="18"/>
  <c r="AB575" i="28" s="1"/>
  <c r="AD566" i="18"/>
  <c r="AB568" i="28" s="1"/>
  <c r="AD322" i="18"/>
  <c r="AB324" i="28" s="1"/>
  <c r="AD54" i="18"/>
  <c r="AB56" i="28" s="1"/>
  <c r="AD36" i="18"/>
  <c r="AB38" i="28" s="1"/>
  <c r="AK892" i="28"/>
  <c r="P904" i="28"/>
  <c r="Q61" i="5"/>
  <c r="S892" i="28"/>
  <c r="AD663" i="18"/>
  <c r="AB665" i="28" s="1"/>
  <c r="AD574" i="18"/>
  <c r="AB576" i="28" s="1"/>
  <c r="AD400" i="18"/>
  <c r="AB402" i="28" s="1"/>
  <c r="AD717" i="18"/>
  <c r="AB719" i="28" s="1"/>
  <c r="AD651" i="18"/>
  <c r="AB653" i="28" s="1"/>
  <c r="AD311" i="18"/>
  <c r="AB313" i="28" s="1"/>
  <c r="AD588" i="18"/>
  <c r="AB590" i="28" s="1"/>
  <c r="AD807" i="18"/>
  <c r="AB809" i="28" s="1"/>
  <c r="AD267" i="18"/>
  <c r="AB269" i="28" s="1"/>
  <c r="AD636" i="18"/>
  <c r="AB638" i="28" s="1"/>
  <c r="AH4" i="19"/>
  <c r="AG4" i="19" s="1"/>
  <c r="AR4" i="19"/>
  <c r="AQ4" i="19" s="1"/>
  <c r="V4" i="19"/>
  <c r="E4" i="19"/>
  <c r="AD501" i="18"/>
  <c r="AB503" i="28" s="1"/>
  <c r="AD229" i="18"/>
  <c r="AB231" i="28" s="1"/>
  <c r="E5" i="19"/>
  <c r="V5" i="19"/>
  <c r="AR5" i="19"/>
  <c r="AQ5" i="19" s="1"/>
  <c r="AH5" i="19"/>
  <c r="AG5" i="19" s="1"/>
  <c r="AE5" i="19"/>
  <c r="AO5" i="19"/>
  <c r="AO4" i="19"/>
  <c r="AE4" i="19"/>
  <c r="AU23" i="26"/>
  <c r="AU30" i="26"/>
  <c r="AU27" i="26"/>
  <c r="AU28" i="26"/>
  <c r="AU24" i="26"/>
  <c r="AU25" i="26"/>
  <c r="AU29" i="26"/>
  <c r="AH12" i="26"/>
  <c r="AU31" i="26"/>
  <c r="AU26" i="26"/>
  <c r="AD656" i="18"/>
  <c r="AB658" i="28" s="1"/>
  <c r="AD779" i="18"/>
  <c r="AB781" i="28" s="1"/>
  <c r="AD184" i="18"/>
  <c r="AB186" i="28" s="1"/>
  <c r="AD509" i="18"/>
  <c r="AB511" i="28" s="1"/>
  <c r="AD76" i="18"/>
  <c r="AB78" i="28" s="1"/>
  <c r="AD58" i="18"/>
  <c r="AB60" i="28" s="1"/>
  <c r="AD262" i="18"/>
  <c r="AB264" i="28" s="1"/>
  <c r="AD111" i="18"/>
  <c r="AB113" i="28" s="1"/>
  <c r="AD146" i="18"/>
  <c r="AB148" i="28" s="1"/>
  <c r="AD687" i="18"/>
  <c r="AB689" i="28" s="1"/>
  <c r="AD417" i="18"/>
  <c r="AB419" i="28" s="1"/>
  <c r="AD765" i="18"/>
  <c r="AB767" i="28" s="1"/>
  <c r="AD889" i="18"/>
  <c r="AB891" i="28" s="1"/>
  <c r="AD691" i="18"/>
  <c r="AB693" i="28" s="1"/>
  <c r="AD149" i="18"/>
  <c r="AB151" i="28" s="1"/>
  <c r="AD349" i="18"/>
  <c r="AB351" i="28" s="1"/>
  <c r="AD376" i="18"/>
  <c r="AB378" i="28" s="1"/>
  <c r="AD253" i="18"/>
  <c r="AB255" i="28" s="1"/>
  <c r="AD502" i="18"/>
  <c r="AB504" i="28" s="1"/>
  <c r="AD538" i="18"/>
  <c r="AB540" i="28" s="1"/>
  <c r="AD449" i="18"/>
  <c r="AB451" i="28" s="1"/>
  <c r="AD673" i="18"/>
  <c r="AB675" i="28" s="1"/>
  <c r="AD62" i="18"/>
  <c r="AB64" i="28" s="1"/>
  <c r="AD193" i="18"/>
  <c r="AB195" i="28" s="1"/>
  <c r="AD781" i="18"/>
  <c r="AB783" i="28" s="1"/>
  <c r="AD841" i="18"/>
  <c r="AB843" i="28" s="1"/>
  <c r="AD869" i="18"/>
  <c r="AB871" i="28" s="1"/>
  <c r="AD35" i="18"/>
  <c r="AD690" i="18"/>
  <c r="AB692" i="28" s="1"/>
  <c r="AD181" i="18"/>
  <c r="AB183" i="28" s="1"/>
  <c r="AD604" i="18"/>
  <c r="AB606" i="28" s="1"/>
  <c r="AD762" i="18"/>
  <c r="AB764" i="28" s="1"/>
  <c r="AD163" i="18"/>
  <c r="AB165" i="28" s="1"/>
  <c r="AD346" i="18"/>
  <c r="AB348" i="28" s="1"/>
  <c r="AD655" i="18"/>
  <c r="AB657" i="28" s="1"/>
  <c r="AD565" i="18"/>
  <c r="AB567" i="28" s="1"/>
  <c r="AD356" i="18"/>
  <c r="AB358" i="28" s="1"/>
  <c r="AD379" i="18"/>
  <c r="AB381" i="28" s="1"/>
  <c r="AD721" i="18"/>
  <c r="AB723" i="28" s="1"/>
  <c r="AD138" i="18"/>
  <c r="AB140" i="28" s="1"/>
  <c r="AD776" i="18"/>
  <c r="AB778" i="28" s="1"/>
  <c r="AD685" i="18"/>
  <c r="AB687" i="28" s="1"/>
  <c r="AD431" i="18"/>
  <c r="AB433" i="28" s="1"/>
  <c r="AD303" i="18"/>
  <c r="AB305" i="28" s="1"/>
  <c r="AD209" i="18"/>
  <c r="AB211" i="28" s="1"/>
  <c r="AD580" i="18"/>
  <c r="AB582" i="28" s="1"/>
  <c r="AD806" i="18"/>
  <c r="AB808" i="28" s="1"/>
  <c r="AD757" i="18"/>
  <c r="AB759" i="28" s="1"/>
  <c r="AD421" i="18"/>
  <c r="AB423" i="28" s="1"/>
  <c r="AD416" i="18"/>
  <c r="AB418" i="28" s="1"/>
  <c r="AD31" i="18"/>
  <c r="AB33" i="28" s="1"/>
  <c r="AD299" i="18"/>
  <c r="AB301" i="28" s="1"/>
  <c r="AD301" i="18"/>
  <c r="AB303" i="28" s="1"/>
  <c r="AD900" i="18"/>
  <c r="AB902" i="28" s="1"/>
  <c r="AD751" i="18"/>
  <c r="AB753" i="28" s="1"/>
  <c r="AD317" i="18"/>
  <c r="AB319" i="28" s="1"/>
  <c r="AD540" i="18"/>
  <c r="AB542" i="28" s="1"/>
  <c r="AD241" i="18"/>
  <c r="AB243" i="28" s="1"/>
  <c r="AD92" i="18"/>
  <c r="AB94" i="28" s="1"/>
  <c r="AD390" i="18"/>
  <c r="AB392" i="28" s="1"/>
  <c r="AD148" i="18"/>
  <c r="AB150" i="28" s="1"/>
  <c r="AD271" i="18"/>
  <c r="AB273" i="28" s="1"/>
  <c r="AD731" i="18"/>
  <c r="AB733" i="28" s="1"/>
  <c r="AD745" i="18"/>
  <c r="AB747" i="28" s="1"/>
  <c r="AD150" i="18"/>
  <c r="AB152" i="28" s="1"/>
  <c r="AD225" i="18"/>
  <c r="AB227" i="28" s="1"/>
  <c r="AD100" i="18"/>
  <c r="AB102" i="28" s="1"/>
  <c r="AD616" i="18"/>
  <c r="AB618" i="28" s="1"/>
  <c r="AD139" i="18"/>
  <c r="AB141" i="28" s="1"/>
  <c r="AD901" i="18"/>
  <c r="AB903" i="28" s="1"/>
  <c r="AD657" i="18"/>
  <c r="AB659" i="28" s="1"/>
  <c r="AD68" i="18"/>
  <c r="AB70" i="28" s="1"/>
  <c r="AD240" i="18"/>
  <c r="AB242" i="28" s="1"/>
  <c r="AD630" i="18"/>
  <c r="AB632" i="28" s="1"/>
  <c r="AD388" i="18"/>
  <c r="AB390" i="28" s="1"/>
  <c r="AD393" i="18"/>
  <c r="AB395" i="28" s="1"/>
  <c r="AD784" i="18"/>
  <c r="AB786" i="28" s="1"/>
  <c r="AD464" i="18"/>
  <c r="AB466" i="28" s="1"/>
  <c r="AD582" i="18"/>
  <c r="AB584" i="28" s="1"/>
  <c r="AD739" i="18"/>
  <c r="AB741" i="28" s="1"/>
  <c r="AD520" i="18"/>
  <c r="AB522" i="28" s="1"/>
  <c r="AD518" i="18"/>
  <c r="AB520" i="28" s="1"/>
  <c r="AD428" i="18"/>
  <c r="AB430" i="28" s="1"/>
  <c r="AD729" i="18"/>
  <c r="AB731" i="28" s="1"/>
  <c r="AD562" i="18"/>
  <c r="AB564" i="28" s="1"/>
  <c r="AD532" i="18"/>
  <c r="AB534" i="28" s="1"/>
  <c r="AD414" i="18"/>
  <c r="AB416" i="28" s="1"/>
  <c r="AD705" i="18"/>
  <c r="AB707" i="28" s="1"/>
  <c r="AD452" i="18"/>
  <c r="AB454" i="28" s="1"/>
  <c r="AD330" i="18"/>
  <c r="AB332" i="28" s="1"/>
  <c r="AD32" i="18"/>
  <c r="AB34" i="28" s="1"/>
  <c r="AD760" i="18"/>
  <c r="AB762" i="28" s="1"/>
  <c r="AD823" i="18"/>
  <c r="AB825" i="28" s="1"/>
  <c r="AD503" i="18"/>
  <c r="AB505" i="28" s="1"/>
  <c r="AD284" i="18"/>
  <c r="AB286" i="28" s="1"/>
  <c r="AD870" i="18"/>
  <c r="AB872" i="28" s="1"/>
  <c r="AD200" i="18"/>
  <c r="AD827" i="18"/>
  <c r="AB829" i="28" s="1"/>
  <c r="AD740" i="18"/>
  <c r="AD180" i="18"/>
  <c r="AB182" i="28" s="1"/>
  <c r="AD883" i="18"/>
  <c r="AB885" i="28" s="1"/>
  <c r="AD767" i="18"/>
  <c r="AB769" i="28" s="1"/>
  <c r="AE9" i="19"/>
  <c r="AO9" i="19"/>
  <c r="AE24" i="19"/>
  <c r="AO24" i="19"/>
  <c r="AE18" i="19"/>
  <c r="AO18" i="19"/>
  <c r="AO28" i="19"/>
  <c r="AE28" i="19"/>
  <c r="AE29" i="19"/>
  <c r="AO29" i="19"/>
  <c r="AE27" i="19"/>
  <c r="AO27" i="19"/>
  <c r="AE21" i="19"/>
  <c r="AO21" i="19"/>
  <c r="AE13" i="19"/>
  <c r="AO13" i="19"/>
  <c r="AE19" i="19"/>
  <c r="AO19" i="19"/>
  <c r="AO25" i="19"/>
  <c r="AE25" i="19"/>
  <c r="AE23" i="19"/>
  <c r="AO23" i="19"/>
  <c r="AE12" i="19"/>
  <c r="AO12" i="19"/>
  <c r="AE16" i="19"/>
  <c r="AO16" i="19"/>
  <c r="AE15" i="19"/>
  <c r="AO15" i="19"/>
  <c r="AO8" i="19"/>
  <c r="AE8" i="19"/>
  <c r="AE11" i="19"/>
  <c r="AO11" i="19"/>
  <c r="AE26" i="19"/>
  <c r="AO26" i="19"/>
  <c r="AO22" i="19"/>
  <c r="AE22" i="19"/>
  <c r="AO6" i="19"/>
  <c r="AE6" i="19"/>
  <c r="AE10" i="19"/>
  <c r="AO10" i="19"/>
  <c r="AO7" i="19"/>
  <c r="AE7" i="19"/>
  <c r="AE20" i="19"/>
  <c r="AO20" i="19"/>
  <c r="AO17" i="19"/>
  <c r="AE17" i="19"/>
  <c r="AO14" i="19"/>
  <c r="AE14" i="19"/>
  <c r="M66" i="19"/>
  <c r="M70" i="19" s="1"/>
  <c r="M71" i="19" s="1"/>
  <c r="Q66" i="19"/>
  <c r="Q70" i="19" s="1"/>
  <c r="Q71" i="19" s="1"/>
  <c r="AP33" i="19"/>
  <c r="AP37" i="19" s="1"/>
  <c r="AP38" i="19" s="1"/>
  <c r="AV33" i="19"/>
  <c r="AV37" i="19" s="1"/>
  <c r="AV38" i="19" s="1"/>
  <c r="AC33" i="19"/>
  <c r="AC37" i="19" s="1"/>
  <c r="AC38" i="19" s="1"/>
  <c r="R66" i="19"/>
  <c r="R70" i="19" s="1"/>
  <c r="R71" i="19" s="1"/>
  <c r="AF33" i="19"/>
  <c r="AF37" i="19" s="1"/>
  <c r="AF38" i="19" s="1"/>
  <c r="BF33" i="19"/>
  <c r="BF37" i="19" s="1"/>
  <c r="BF38" i="19" s="1"/>
  <c r="AS33" i="19"/>
  <c r="AS37" i="19" s="1"/>
  <c r="AS38" i="19" s="1"/>
  <c r="AA33" i="19"/>
  <c r="AA37" i="19" s="1"/>
  <c r="AA38" i="19" s="1"/>
  <c r="Z33" i="19"/>
  <c r="Z37" i="19" s="1"/>
  <c r="Z38" i="19" s="1"/>
  <c r="J66" i="19"/>
  <c r="J70" i="19" s="1"/>
  <c r="J71" i="19" s="1"/>
  <c r="Y33" i="19"/>
  <c r="Y37" i="19" s="1"/>
  <c r="Y38" i="19" s="1"/>
  <c r="AO33" i="19"/>
  <c r="AO37" i="19" s="1"/>
  <c r="AO38" i="19" s="1"/>
  <c r="AK33" i="19"/>
  <c r="AK37" i="19" s="1"/>
  <c r="AK38" i="19" s="1"/>
  <c r="AM33" i="19"/>
  <c r="AM37" i="19" s="1"/>
  <c r="AM38" i="19" s="1"/>
  <c r="BA33" i="19"/>
  <c r="BA37" i="19" s="1"/>
  <c r="BA38" i="19" s="1"/>
  <c r="BE33" i="19"/>
  <c r="BE37" i="19" s="1"/>
  <c r="BE38" i="19" s="1"/>
  <c r="BJ33" i="19"/>
  <c r="BJ37" i="19" s="1"/>
  <c r="BJ38" i="19" s="1"/>
  <c r="BG33" i="19"/>
  <c r="BG37" i="19" s="1"/>
  <c r="BG38" i="19" s="1"/>
  <c r="AH33" i="19"/>
  <c r="AH37" i="19" s="1"/>
  <c r="AH38" i="19" s="1"/>
  <c r="AN33" i="19"/>
  <c r="AN37" i="19" s="1"/>
  <c r="AN38" i="19" s="1"/>
  <c r="AE33" i="19"/>
  <c r="AE37" i="19" s="1"/>
  <c r="AE38" i="19" s="1"/>
  <c r="AB33" i="19"/>
  <c r="AB37" i="19" s="1"/>
  <c r="AB38" i="19" s="1"/>
  <c r="AY33" i="19"/>
  <c r="AY37" i="19" s="1"/>
  <c r="AY38" i="19" s="1"/>
  <c r="O66" i="19"/>
  <c r="O70" i="19" s="1"/>
  <c r="O71" i="19" s="1"/>
  <c r="AQ33" i="19"/>
  <c r="AQ37" i="19" s="1"/>
  <c r="AQ38" i="19" s="1"/>
  <c r="BC33" i="19"/>
  <c r="BC37" i="19" s="1"/>
  <c r="BC38" i="19" s="1"/>
  <c r="AJ33" i="19"/>
  <c r="AJ37" i="19" s="1"/>
  <c r="AJ38" i="19" s="1"/>
  <c r="BI33" i="19"/>
  <c r="BI37" i="19" s="1"/>
  <c r="BI38" i="19" s="1"/>
  <c r="AX33" i="19"/>
  <c r="AX37" i="19" s="1"/>
  <c r="AX38" i="19" s="1"/>
  <c r="AU33" i="19"/>
  <c r="AU37" i="19" s="1"/>
  <c r="AU38" i="19" s="1"/>
  <c r="AI33" i="19"/>
  <c r="AI37" i="19" s="1"/>
  <c r="AI38" i="19" s="1"/>
  <c r="BB33" i="19"/>
  <c r="BB37" i="19" s="1"/>
  <c r="BB38" i="19" s="1"/>
  <c r="AG33" i="19"/>
  <c r="AG37" i="19" s="1"/>
  <c r="AG38" i="19" s="1"/>
  <c r="L66" i="19"/>
  <c r="L70" i="19" s="1"/>
  <c r="L71" i="19" s="1"/>
  <c r="N66" i="19"/>
  <c r="N70" i="19" s="1"/>
  <c r="N71" i="19" s="1"/>
  <c r="BL33" i="19"/>
  <c r="BL37" i="19" s="1"/>
  <c r="BL38" i="19" s="1"/>
  <c r="BK33" i="19"/>
  <c r="BK37" i="19" s="1"/>
  <c r="BK38" i="19" s="1"/>
  <c r="AZ33" i="19"/>
  <c r="AZ37" i="19" s="1"/>
  <c r="AZ38" i="19" s="1"/>
  <c r="AL33" i="19"/>
  <c r="AL37" i="19" s="1"/>
  <c r="AL38" i="19" s="1"/>
  <c r="AD33" i="19"/>
  <c r="AD37" i="19" s="1"/>
  <c r="AD38" i="19" s="1"/>
  <c r="AH20" i="26"/>
  <c r="K66" i="19"/>
  <c r="K70" i="19" s="1"/>
  <c r="K71" i="19" s="1"/>
  <c r="P66" i="19"/>
  <c r="P70" i="19" s="1"/>
  <c r="P71" i="19" s="1"/>
  <c r="BD33" i="19"/>
  <c r="BD37" i="19" s="1"/>
  <c r="BD38" i="19" s="1"/>
  <c r="AT33" i="19"/>
  <c r="AT37" i="19" s="1"/>
  <c r="AT38" i="19" s="1"/>
  <c r="BH33" i="19"/>
  <c r="BH37" i="19" s="1"/>
  <c r="BH38" i="19" s="1"/>
  <c r="AR33" i="19"/>
  <c r="AR37" i="19" s="1"/>
  <c r="AR38" i="19" s="1"/>
  <c r="AW33" i="19"/>
  <c r="AW37" i="19" s="1"/>
  <c r="AW38" i="19" s="1"/>
  <c r="AD324" i="18"/>
  <c r="AB326" i="28" s="1"/>
  <c r="AD387" i="18"/>
  <c r="AB389" i="28" s="1"/>
  <c r="AD325" i="18"/>
  <c r="AB327" i="28" s="1"/>
  <c r="AD192" i="18"/>
  <c r="AB194" i="28" s="1"/>
  <c r="AD29" i="18"/>
  <c r="AB31" i="28" s="1"/>
  <c r="AD386" i="18"/>
  <c r="AB388" i="28" s="1"/>
  <c r="AD40" i="18"/>
  <c r="AB42" i="28" s="1"/>
  <c r="AD484" i="18"/>
  <c r="AB486" i="28" s="1"/>
  <c r="AD606" i="18"/>
  <c r="AB608" i="28" s="1"/>
  <c r="AD701" i="18"/>
  <c r="AB703" i="28" s="1"/>
  <c r="AD594" i="18"/>
  <c r="AB596" i="28" s="1"/>
  <c r="AD231" i="18"/>
  <c r="AB233" i="28" s="1"/>
  <c r="AD654" i="18"/>
  <c r="AB656" i="28" s="1"/>
  <c r="AD171" i="18"/>
  <c r="AB173" i="28" s="1"/>
  <c r="AD187" i="18"/>
  <c r="AB189" i="28" s="1"/>
  <c r="AD462" i="18"/>
  <c r="AB464" i="28" s="1"/>
  <c r="AD174" i="18"/>
  <c r="AB176" i="28" s="1"/>
  <c r="AD109" i="18"/>
  <c r="AB111" i="28" s="1"/>
  <c r="AD45" i="18"/>
  <c r="AB47" i="28" s="1"/>
  <c r="AD304" i="18"/>
  <c r="AB306" i="28" s="1"/>
  <c r="AD563" i="18"/>
  <c r="AB565" i="28" s="1"/>
  <c r="AD167" i="18"/>
  <c r="AB169" i="28" s="1"/>
  <c r="AD33" i="18"/>
  <c r="AB35" i="28" s="1"/>
  <c r="AD491" i="18"/>
  <c r="AB493" i="28" s="1"/>
  <c r="AD143" i="18"/>
  <c r="AB145" i="28" s="1"/>
  <c r="AD583" i="18"/>
  <c r="AB585" i="28" s="1"/>
  <c r="AD248" i="18"/>
  <c r="AB250" i="28" s="1"/>
  <c r="AD599" i="18"/>
  <c r="AB601" i="28" s="1"/>
  <c r="AD432" i="18"/>
  <c r="AB434" i="28" s="1"/>
  <c r="AD129" i="18"/>
  <c r="AB131" i="28" s="1"/>
  <c r="AD454" i="18"/>
  <c r="AB456" i="28" s="1"/>
  <c r="AD819" i="18"/>
  <c r="AB821" i="28" s="1"/>
  <c r="AD107" i="18"/>
  <c r="AB109" i="28" s="1"/>
  <c r="AD75" i="18"/>
  <c r="AB77" i="28" s="1"/>
  <c r="AD777" i="18"/>
  <c r="AB779" i="28" s="1"/>
  <c r="AD694" i="18"/>
  <c r="AB696" i="28" s="1"/>
  <c r="AD803" i="18"/>
  <c r="AB805" i="28" s="1"/>
  <c r="AD713" i="18"/>
  <c r="AB715" i="28" s="1"/>
  <c r="AD112" i="18"/>
  <c r="AB114" i="28" s="1"/>
  <c r="AD456" i="18"/>
  <c r="AB458" i="28" s="1"/>
  <c r="AD275" i="18"/>
  <c r="AD57" i="18"/>
  <c r="AB59" i="28" s="1"/>
  <c r="AD277" i="18"/>
  <c r="AB279" i="28" s="1"/>
  <c r="AD758" i="18"/>
  <c r="AB760" i="28" s="1"/>
  <c r="AD527" i="18"/>
  <c r="AB529" i="28" s="1"/>
  <c r="AD281" i="18"/>
  <c r="AB283" i="28" s="1"/>
  <c r="AD266" i="18"/>
  <c r="AB268" i="28" s="1"/>
  <c r="AD559" i="18"/>
  <c r="AB561" i="28" s="1"/>
  <c r="AD151" i="18"/>
  <c r="AB153" i="28" s="1"/>
  <c r="AD370" i="18"/>
  <c r="AB372" i="28" s="1"/>
  <c r="AD780" i="18"/>
  <c r="AB782" i="28" s="1"/>
  <c r="AD541" i="18"/>
  <c r="AB543" i="28" s="1"/>
  <c r="AD612" i="18"/>
  <c r="AB614" i="28" s="1"/>
  <c r="AD699" i="18"/>
  <c r="AB701" i="28" s="1"/>
  <c r="AD880" i="18"/>
  <c r="AB882" i="28" s="1"/>
  <c r="AD481" i="18"/>
  <c r="AB483" i="28" s="1"/>
  <c r="AD778" i="18"/>
  <c r="AB780" i="28" s="1"/>
  <c r="AD553" i="18"/>
  <c r="AB555" i="28" s="1"/>
  <c r="AD632" i="18"/>
  <c r="AB634" i="28" s="1"/>
  <c r="AD572" i="18"/>
  <c r="AB574" i="28" s="1"/>
  <c r="AD605" i="18"/>
  <c r="AD575" i="18"/>
  <c r="AD814" i="18"/>
  <c r="AB816" i="28" s="1"/>
  <c r="AD300" i="18"/>
  <c r="AB302" i="28" s="1"/>
  <c r="AD251" i="18"/>
  <c r="AB253" i="28" s="1"/>
  <c r="AD377" i="18"/>
  <c r="AB379" i="28" s="1"/>
  <c r="AD257" i="18"/>
  <c r="AB259" i="28" s="1"/>
  <c r="AD551" i="18"/>
  <c r="AB553" i="28" s="1"/>
  <c r="AD264" i="18"/>
  <c r="AB266" i="28" s="1"/>
  <c r="AD641" i="18"/>
  <c r="AB643" i="28" s="1"/>
  <c r="AD207" i="18"/>
  <c r="AB209" i="28" s="1"/>
  <c r="AD634" i="18"/>
  <c r="AB636" i="28" s="1"/>
  <c r="AD90" i="18"/>
  <c r="AB92" i="28" s="1"/>
  <c r="AD423" i="18"/>
  <c r="AB425" i="28" s="1"/>
  <c r="AD172" i="18"/>
  <c r="AB174" i="28" s="1"/>
  <c r="AD273" i="18"/>
  <c r="AB275" i="28" s="1"/>
  <c r="AD121" i="18"/>
  <c r="AB123" i="28" s="1"/>
  <c r="AD147" i="18"/>
  <c r="AB149" i="28" s="1"/>
  <c r="AD515" i="18"/>
  <c r="AD144" i="18"/>
  <c r="AB146" i="28" s="1"/>
  <c r="AD333" i="18"/>
  <c r="AB335" i="28" s="1"/>
  <c r="AD665" i="18"/>
  <c r="AD557" i="18"/>
  <c r="AB559" i="28" s="1"/>
  <c r="AD560" i="18"/>
  <c r="AD24" i="18"/>
  <c r="AB26" i="28" s="1"/>
  <c r="AD485" i="18"/>
  <c r="AD362" i="18"/>
  <c r="AB364" i="28" s="1"/>
  <c r="AD283" i="18"/>
  <c r="AB285" i="28" s="1"/>
  <c r="AD176" i="18"/>
  <c r="AB178" i="28" s="1"/>
  <c r="AD615" i="18"/>
  <c r="AB617" i="28" s="1"/>
  <c r="AD837" i="18"/>
  <c r="AB839" i="28" s="1"/>
  <c r="AD625" i="18"/>
  <c r="AB627" i="28" s="1"/>
  <c r="AD522" i="18"/>
  <c r="AB524" i="28" s="1"/>
  <c r="AD642" i="18"/>
  <c r="AB644" i="28" s="1"/>
  <c r="AD680" i="18"/>
  <c r="AD305" i="18"/>
  <c r="AD95" i="18"/>
  <c r="AD882" i="18"/>
  <c r="AB884" i="28" s="1"/>
  <c r="AD715" i="18"/>
  <c r="AB717" i="28" s="1"/>
  <c r="AD839" i="18"/>
  <c r="AB841" i="28" s="1"/>
  <c r="AD74" i="18"/>
  <c r="AB76" i="28" s="1"/>
  <c r="AD828" i="18"/>
  <c r="AB830" i="28" s="1"/>
  <c r="AD175" i="18"/>
  <c r="AB177" i="28" s="1"/>
  <c r="AD531" i="18"/>
  <c r="AB533" i="28" s="1"/>
  <c r="AD550" i="18"/>
  <c r="AB552" i="28" s="1"/>
  <c r="AD801" i="18"/>
  <c r="AB803" i="28" s="1"/>
  <c r="AD512" i="18"/>
  <c r="AB514" i="28" s="1"/>
  <c r="AD320" i="18"/>
  <c r="AD191" i="18"/>
  <c r="AB193" i="28" s="1"/>
  <c r="AD789" i="18"/>
  <c r="AB791" i="28" s="1"/>
  <c r="AD805" i="18"/>
  <c r="AB807" i="28" s="1"/>
  <c r="AD403" i="18"/>
  <c r="AB405" i="28" s="1"/>
  <c r="AD510" i="18"/>
  <c r="AB512" i="28" s="1"/>
  <c r="AD549" i="18"/>
  <c r="AB551" i="28" s="1"/>
  <c r="AD824" i="18"/>
  <c r="AB826" i="28" s="1"/>
  <c r="AD59" i="18"/>
  <c r="AB61" i="28" s="1"/>
  <c r="AD131" i="18"/>
  <c r="AB133" i="28" s="1"/>
  <c r="AD310" i="18"/>
  <c r="AB312" i="28" s="1"/>
  <c r="AD351" i="18"/>
  <c r="AB353" i="28" s="1"/>
  <c r="AD620" i="18"/>
  <c r="AD662" i="18"/>
  <c r="AB664" i="28" s="1"/>
  <c r="AD342" i="18"/>
  <c r="AB344" i="28" s="1"/>
  <c r="AD735" i="18"/>
  <c r="AB737" i="28" s="1"/>
  <c r="AD20" i="18"/>
  <c r="AD775" i="18"/>
  <c r="AB777" i="28" s="1"/>
  <c r="AD794" i="18"/>
  <c r="AB796" i="28" s="1"/>
  <c r="AD669" i="18"/>
  <c r="AB671" i="28" s="1"/>
  <c r="AD843" i="18"/>
  <c r="AB845" i="28" s="1"/>
  <c r="AD514" i="18"/>
  <c r="AB516" i="28" s="1"/>
  <c r="AD476" i="18"/>
  <c r="AB478" i="28" s="1"/>
  <c r="AD748" i="18"/>
  <c r="AB750" i="28" s="1"/>
  <c r="AD81" i="18"/>
  <c r="AB83" i="28" s="1"/>
  <c r="AD592" i="18"/>
  <c r="AB594" i="28" s="1"/>
  <c r="AD818" i="18"/>
  <c r="AB820" i="28" s="1"/>
  <c r="AD815" i="18"/>
  <c r="AD709" i="18"/>
  <c r="AB711" i="28" s="1"/>
  <c r="AD888" i="18"/>
  <c r="AB890" i="28" s="1"/>
  <c r="AD183" i="18"/>
  <c r="AB185" i="28" s="1"/>
  <c r="AD617" i="18"/>
  <c r="AB619" i="28" s="1"/>
  <c r="AD852" i="18"/>
  <c r="AB854" i="28" s="1"/>
  <c r="AD610" i="18"/>
  <c r="AB612" i="28" s="1"/>
  <c r="AD165" i="18"/>
  <c r="AB167" i="28" s="1"/>
  <c r="AD338" i="18"/>
  <c r="AB340" i="28" s="1"/>
  <c r="AD141" i="18"/>
  <c r="AB143" i="28" s="1"/>
  <c r="AD217" i="18"/>
  <c r="AB219" i="28" s="1"/>
  <c r="AD190" i="18"/>
  <c r="AB192" i="28" s="1"/>
  <c r="AD648" i="18"/>
  <c r="AB650" i="28" s="1"/>
  <c r="AD643" i="18"/>
  <c r="AB645" i="28" s="1"/>
  <c r="AD652" i="18"/>
  <c r="AB654" i="28" s="1"/>
  <c r="AD422" i="18"/>
  <c r="AB424" i="28" s="1"/>
  <c r="AD236" i="18"/>
  <c r="AB238" i="28" s="1"/>
  <c r="AD201" i="18"/>
  <c r="AB203" i="28" s="1"/>
  <c r="AD166" i="18"/>
  <c r="AB168" i="28" s="1"/>
  <c r="AD473" i="18"/>
  <c r="AB475" i="28" s="1"/>
  <c r="AD623" i="18"/>
  <c r="AB625" i="28" s="1"/>
  <c r="AD66" i="18"/>
  <c r="AB68" i="28" s="1"/>
  <c r="AD38" i="18"/>
  <c r="AB40" i="28" s="1"/>
  <c r="AD302" i="18"/>
  <c r="AB304" i="28" s="1"/>
  <c r="AD350" i="18"/>
  <c r="AD821" i="18"/>
  <c r="AB823" i="28" s="1"/>
  <c r="AD199" i="18"/>
  <c r="AB201" i="28" s="1"/>
  <c r="AD706" i="18"/>
  <c r="AB708" i="28" s="1"/>
  <c r="AD118" i="18"/>
  <c r="AB120" i="28" s="1"/>
  <c r="AD22" i="18"/>
  <c r="AB24" i="28" s="1"/>
  <c r="AD287" i="18"/>
  <c r="AB289" i="28" s="1"/>
  <c r="AD197" i="18"/>
  <c r="AB199" i="28" s="1"/>
  <c r="AD230" i="18"/>
  <c r="AD479" i="18"/>
  <c r="AB481" i="28" s="1"/>
  <c r="AD460" i="18"/>
  <c r="AB462" i="28" s="1"/>
  <c r="AD734" i="18"/>
  <c r="AB736" i="28" s="1"/>
  <c r="AD263" i="18"/>
  <c r="AB265" i="28" s="1"/>
  <c r="AD440" i="18"/>
  <c r="AB442" i="28" s="1"/>
  <c r="AD410" i="18"/>
  <c r="AD140" i="18"/>
  <c r="AD160" i="18"/>
  <c r="AB162" i="28" s="1"/>
  <c r="AD360" i="18"/>
  <c r="AB362" i="28" s="1"/>
  <c r="AD851" i="18"/>
  <c r="AB853" i="28" s="1"/>
  <c r="AD658" i="18"/>
  <c r="AB660" i="28" s="1"/>
  <c r="AD341" i="18"/>
  <c r="AB343" i="28" s="1"/>
  <c r="AD173" i="18"/>
  <c r="AB175" i="28" s="1"/>
  <c r="AD526" i="18"/>
  <c r="AB528" i="28" s="1"/>
  <c r="AD98" i="18"/>
  <c r="AB100" i="28" s="1"/>
  <c r="AD87" i="18"/>
  <c r="AB89" i="28" s="1"/>
  <c r="AD77" i="18"/>
  <c r="AB79" i="28" s="1"/>
  <c r="AD831" i="18"/>
  <c r="AB833" i="28" s="1"/>
  <c r="AD458" i="18"/>
  <c r="AB460" i="28" s="1"/>
  <c r="AD682" i="18"/>
  <c r="AB684" i="28" s="1"/>
  <c r="AD373" i="18"/>
  <c r="AB375" i="28" s="1"/>
  <c r="AD381" i="18"/>
  <c r="AB383" i="28" s="1"/>
  <c r="AD863" i="18"/>
  <c r="AB865" i="28" s="1"/>
  <c r="AD893" i="18"/>
  <c r="AB895" i="28" s="1"/>
  <c r="AD846" i="18"/>
  <c r="AB848" i="28" s="1"/>
  <c r="AD82" i="18"/>
  <c r="AB84" i="28" s="1"/>
  <c r="AD278" i="18"/>
  <c r="AB280" i="28" s="1"/>
  <c r="AD726" i="18"/>
  <c r="AB728" i="28" s="1"/>
  <c r="AD773" i="18"/>
  <c r="AB775" i="28" s="1"/>
  <c r="AD653" i="18"/>
  <c r="AB655" i="28" s="1"/>
  <c r="AD127" i="18"/>
  <c r="AB129" i="28" s="1"/>
  <c r="AD622" i="18"/>
  <c r="AB624" i="28" s="1"/>
  <c r="AD337" i="18"/>
  <c r="AB339" i="28" s="1"/>
  <c r="AD817" i="18"/>
  <c r="AB819" i="28" s="1"/>
  <c r="AD860" i="18"/>
  <c r="AD490" i="18"/>
  <c r="AB492" i="28" s="1"/>
  <c r="AD614" i="18"/>
  <c r="AB616" i="28" s="1"/>
  <c r="AD774" i="18"/>
  <c r="AB776" i="28" s="1"/>
  <c r="AD835" i="18"/>
  <c r="AB837" i="28" s="1"/>
  <c r="AD453" i="18"/>
  <c r="AB455" i="28" s="1"/>
  <c r="AD659" i="18"/>
  <c r="AB661" i="28" s="1"/>
  <c r="AD260" i="18"/>
  <c r="AD137" i="18"/>
  <c r="AB139" i="28" s="1"/>
  <c r="AD80" i="18"/>
  <c r="AD571" i="18"/>
  <c r="AB573" i="28" s="1"/>
  <c r="AD558" i="18"/>
  <c r="AB560" i="28" s="1"/>
  <c r="AD27" i="18"/>
  <c r="AB29" i="28" s="1"/>
  <c r="AD737" i="18"/>
  <c r="AB739" i="28" s="1"/>
  <c r="AD692" i="18"/>
  <c r="AB694" i="28" s="1"/>
  <c r="AD542" i="18"/>
  <c r="AB544" i="28" s="1"/>
  <c r="AD470" i="18"/>
  <c r="AD363" i="18"/>
  <c r="AB365" i="28" s="1"/>
  <c r="AD519" i="18"/>
  <c r="AB521" i="28" s="1"/>
  <c r="AD164" i="18"/>
  <c r="AB166" i="28" s="1"/>
  <c r="AD105" i="18"/>
  <c r="AB107" i="28" s="1"/>
  <c r="AD250" i="18"/>
  <c r="AB252" i="28" s="1"/>
  <c r="AD570" i="18"/>
  <c r="AB572" i="28" s="1"/>
  <c r="AD316" i="18"/>
  <c r="AB318" i="28" s="1"/>
  <c r="AD429" i="18"/>
  <c r="AB431" i="28" s="1"/>
  <c r="AD719" i="18"/>
  <c r="AB721" i="28" s="1"/>
  <c r="AD684" i="18"/>
  <c r="AB686" i="28" s="1"/>
  <c r="AD646" i="18"/>
  <c r="AB648" i="28" s="1"/>
  <c r="AD69" i="18"/>
  <c r="AB71" i="28" s="1"/>
  <c r="AD744" i="18"/>
  <c r="AB746" i="28" s="1"/>
  <c r="AD103" i="18"/>
  <c r="AB105" i="28" s="1"/>
  <c r="AD292" i="18"/>
  <c r="AB294" i="28" s="1"/>
  <c r="AD83" i="18"/>
  <c r="AB85" i="28" s="1"/>
  <c r="AD711" i="18"/>
  <c r="AB713" i="28" s="1"/>
  <c r="AD862" i="18"/>
  <c r="AB864" i="28" s="1"/>
  <c r="AD23" i="18"/>
  <c r="AB25" i="28" s="1"/>
  <c r="AD235" i="18"/>
  <c r="AB237" i="28" s="1"/>
  <c r="AD411" i="18"/>
  <c r="AB413" i="28" s="1"/>
  <c r="AM306" i="18"/>
  <c r="AK308" i="28" s="1"/>
  <c r="AD397" i="18"/>
  <c r="AB399" i="28" s="1"/>
  <c r="AD497" i="18"/>
  <c r="AB499" i="28" s="1"/>
  <c r="AD242" i="18"/>
  <c r="AB244" i="28" s="1"/>
  <c r="AD170" i="18"/>
  <c r="AD108" i="18"/>
  <c r="AB110" i="28" s="1"/>
  <c r="AD708" i="18"/>
  <c r="AB710" i="28" s="1"/>
  <c r="AD555" i="18"/>
  <c r="AB557" i="28" s="1"/>
  <c r="AD619" i="18"/>
  <c r="AB621" i="28" s="1"/>
  <c r="AD810" i="18"/>
  <c r="AB812" i="28" s="1"/>
  <c r="AD679" i="18"/>
  <c r="AB681" i="28" s="1"/>
  <c r="AD763" i="18"/>
  <c r="AB765" i="28" s="1"/>
  <c r="AD389" i="18"/>
  <c r="AB391" i="28" s="1"/>
  <c r="AD683" i="18"/>
  <c r="AB685" i="28" s="1"/>
  <c r="AD233" i="18"/>
  <c r="AB235" i="28" s="1"/>
  <c r="AD128" i="18"/>
  <c r="AB130" i="28" s="1"/>
  <c r="AD743" i="18"/>
  <c r="AB745" i="28" s="1"/>
  <c r="AD441" i="18"/>
  <c r="AB443" i="28" s="1"/>
  <c r="AD844" i="18"/>
  <c r="AB846" i="28" s="1"/>
  <c r="AD46" i="18"/>
  <c r="AB48" i="28" s="1"/>
  <c r="AD498" i="18"/>
  <c r="AB500" i="28" s="1"/>
  <c r="AD339" i="18"/>
  <c r="AB341" i="28" s="1"/>
  <c r="AD693" i="18"/>
  <c r="AB695" i="28" s="1"/>
  <c r="AD854" i="18"/>
  <c r="AB856" i="28" s="1"/>
  <c r="AD645" i="18"/>
  <c r="AB647" i="28" s="1"/>
  <c r="AD294" i="18"/>
  <c r="AB296" i="28" s="1"/>
  <c r="AD838" i="18"/>
  <c r="AB840" i="28" s="1"/>
  <c r="AD239" i="18"/>
  <c r="AB241" i="28" s="1"/>
  <c r="AD664" i="18"/>
  <c r="AB666" i="28" s="1"/>
  <c r="AD448" i="18"/>
  <c r="AB450" i="28" s="1"/>
  <c r="AD134" i="18"/>
  <c r="AB136" i="28" s="1"/>
  <c r="AD792" i="18"/>
  <c r="AB794" i="28" s="1"/>
  <c r="AD436" i="18"/>
  <c r="AB438" i="28" s="1"/>
  <c r="AD178" i="18"/>
  <c r="AB180" i="28" s="1"/>
  <c r="AD435" i="18"/>
  <c r="AB437" i="28" s="1"/>
  <c r="AD385" i="18"/>
  <c r="AB387" i="28" s="1"/>
  <c r="AD671" i="18"/>
  <c r="AB673" i="28" s="1"/>
  <c r="AD438" i="18"/>
  <c r="AB440" i="28" s="1"/>
  <c r="AD286" i="18"/>
  <c r="AB288" i="28" s="1"/>
  <c r="AD750" i="18"/>
  <c r="AB752" i="28" s="1"/>
  <c r="AD809" i="18"/>
  <c r="AB811" i="28" s="1"/>
  <c r="AD703" i="18"/>
  <c r="AB705" i="28" s="1"/>
  <c r="AD670" i="18"/>
  <c r="AB672" i="28" s="1"/>
  <c r="AD265" i="18"/>
  <c r="AB267" i="28" s="1"/>
  <c r="AD319" i="18"/>
  <c r="AB321" i="28" s="1"/>
  <c r="AD834" i="18"/>
  <c r="AB836" i="28" s="1"/>
  <c r="AD237" i="18"/>
  <c r="AB239" i="28" s="1"/>
  <c r="AD899" i="18"/>
  <c r="AB901" i="28" s="1"/>
  <c r="AD34" i="18"/>
  <c r="AB36" i="28" s="1"/>
  <c r="AD357" i="18"/>
  <c r="AB359" i="28" s="1"/>
  <c r="AD254" i="18"/>
  <c r="AB256" i="28" s="1"/>
  <c r="AD508" i="18"/>
  <c r="AB510" i="28" s="1"/>
  <c r="AD115" i="18"/>
  <c r="AB117" i="28" s="1"/>
  <c r="AD401" i="18"/>
  <c r="AB403" i="28" s="1"/>
  <c r="AD872" i="18"/>
  <c r="AB874" i="28" s="1"/>
  <c r="AD530" i="18"/>
  <c r="AD208" i="18"/>
  <c r="AB210" i="28" s="1"/>
  <c r="AD534" i="18"/>
  <c r="AB536" i="28" s="1"/>
  <c r="AD154" i="18"/>
  <c r="AB156" i="28" s="1"/>
  <c r="AD56" i="18"/>
  <c r="AB58" i="28" s="1"/>
  <c r="AD859" i="18"/>
  <c r="AB861" i="28" s="1"/>
  <c r="AD196" i="18"/>
  <c r="AB198" i="28" s="1"/>
  <c r="AD259" i="18"/>
  <c r="AB261" i="28" s="1"/>
  <c r="AD579" i="18"/>
  <c r="AB581" i="28" s="1"/>
  <c r="AD865" i="18"/>
  <c r="AB867" i="28" s="1"/>
  <c r="AD853" i="18"/>
  <c r="AB855" i="28" s="1"/>
  <c r="AD415" i="18"/>
  <c r="AB417" i="28" s="1"/>
  <c r="AD898" i="18"/>
  <c r="AB900" i="28" s="1"/>
  <c r="AD309" i="18"/>
  <c r="AB311" i="28" s="1"/>
  <c r="AD688" i="18"/>
  <c r="AB690" i="28" s="1"/>
  <c r="AD463" i="18"/>
  <c r="AB465" i="28" s="1"/>
  <c r="AD444" i="18"/>
  <c r="AB446" i="28" s="1"/>
  <c r="AD447" i="18"/>
  <c r="AB449" i="28" s="1"/>
  <c r="AD885" i="18"/>
  <c r="AB887" i="28" s="1"/>
  <c r="AD162" i="18"/>
  <c r="AB164" i="28" s="1"/>
  <c r="AD340" i="18"/>
  <c r="AB342" i="28" s="1"/>
  <c r="AD25" i="18"/>
  <c r="AB27" i="28" s="1"/>
  <c r="AD404" i="18"/>
  <c r="AB406" i="28" s="1"/>
  <c r="AD855" i="18"/>
  <c r="AB857" i="28" s="1"/>
  <c r="AD288" i="18"/>
  <c r="AB290" i="28" s="1"/>
  <c r="AD221" i="18"/>
  <c r="AB223" i="28" s="1"/>
  <c r="AD544" i="18"/>
  <c r="AB546" i="28" s="1"/>
  <c r="AD639" i="18"/>
  <c r="AB641" i="28" s="1"/>
  <c r="AD826" i="18"/>
  <c r="AB828" i="28" s="1"/>
  <c r="AD329" i="18"/>
  <c r="AB331" i="28" s="1"/>
  <c r="AD424" i="18"/>
  <c r="AB426" i="28" s="1"/>
  <c r="AD372" i="18"/>
  <c r="AB374" i="28" s="1"/>
  <c r="AD384" i="18"/>
  <c r="AB386" i="28" s="1"/>
  <c r="AD177" i="18"/>
  <c r="AB179" i="28" s="1"/>
  <c r="AD672" i="18"/>
  <c r="AB674" i="28" s="1"/>
  <c r="AD628" i="18"/>
  <c r="AB630" i="28" s="1"/>
  <c r="AD469" i="18"/>
  <c r="AB471" i="28" s="1"/>
  <c r="AD640" i="18"/>
  <c r="AB642" i="28" s="1"/>
  <c r="AD723" i="18"/>
  <c r="AB725" i="28" s="1"/>
  <c r="AD466" i="18"/>
  <c r="AB468" i="28" s="1"/>
  <c r="AD136" i="18"/>
  <c r="AB138" i="28" s="1"/>
  <c r="AD812" i="18"/>
  <c r="AB814" i="28" s="1"/>
  <c r="AD875" i="18"/>
  <c r="AD756" i="18"/>
  <c r="AB758" i="28" s="1"/>
  <c r="AD352" i="18"/>
  <c r="AB354" i="28" s="1"/>
  <c r="AD771" i="18"/>
  <c r="AB773" i="28" s="1"/>
  <c r="AD202" i="18"/>
  <c r="AB204" i="28" s="1"/>
  <c r="AD697" i="18"/>
  <c r="AB699" i="28" s="1"/>
  <c r="AD216" i="18"/>
  <c r="AB218" i="28" s="1"/>
  <c r="AD96" i="18"/>
  <c r="AB98" i="28" s="1"/>
  <c r="AD891" i="18"/>
  <c r="AB893" i="28" s="1"/>
  <c r="AD800" i="18"/>
  <c r="AD635" i="18"/>
  <c r="AD332" i="18"/>
  <c r="AB334" i="28" s="1"/>
  <c r="AD290" i="18"/>
  <c r="AD110" i="18"/>
  <c r="AD689" i="18"/>
  <c r="AB691" i="28" s="1"/>
  <c r="AD820" i="18"/>
  <c r="AB822" i="28" s="1"/>
  <c r="AD71" i="18"/>
  <c r="AB73" i="28" s="1"/>
  <c r="AD391" i="18"/>
  <c r="AB393" i="28" s="1"/>
  <c r="AD446" i="18"/>
  <c r="AB448" i="28" s="1"/>
  <c r="AD904" i="18"/>
  <c r="AD629" i="18"/>
  <c r="AB631" i="28" s="1"/>
  <c r="AD371" i="18"/>
  <c r="AB373" i="28" s="1"/>
  <c r="AD867" i="18"/>
  <c r="AB869" i="28" s="1"/>
  <c r="AD274" i="18"/>
  <c r="AB276" i="28" s="1"/>
  <c r="AD222" i="18"/>
  <c r="AB224" i="28" s="1"/>
  <c r="AD567" i="18"/>
  <c r="AB569" i="28" s="1"/>
  <c r="AD43" i="18"/>
  <c r="AB45" i="28" s="1"/>
  <c r="AD361" i="18"/>
  <c r="AB363" i="28" s="1"/>
  <c r="AD406" i="18"/>
  <c r="AB408" i="28" s="1"/>
  <c r="AD766" i="18"/>
  <c r="AB768" i="28" s="1"/>
  <c r="AD849" i="18"/>
  <c r="AB851" i="28" s="1"/>
  <c r="AD205" i="18"/>
  <c r="AB207" i="28" s="1"/>
  <c r="AD813" i="18"/>
  <c r="AB815" i="28" s="1"/>
  <c r="AD791" i="18"/>
  <c r="AB793" i="28" s="1"/>
  <c r="AD886" i="18"/>
  <c r="AB888" i="28" s="1"/>
  <c r="AD746" i="18"/>
  <c r="AB748" i="28" s="1"/>
  <c r="AD700" i="18"/>
  <c r="AB702" i="28" s="1"/>
  <c r="AD874" i="18"/>
  <c r="AB876" i="28" s="1"/>
  <c r="AD451" i="18"/>
  <c r="AB453" i="28" s="1"/>
  <c r="AD99" i="18"/>
  <c r="AB101" i="28" s="1"/>
  <c r="AD769" i="18"/>
  <c r="AB771" i="28" s="1"/>
  <c r="AD718" i="18"/>
  <c r="AB720" i="28" s="1"/>
  <c r="AD133" i="18"/>
  <c r="AB135" i="28" s="1"/>
  <c r="AD102" i="18"/>
  <c r="AB104" i="28" s="1"/>
  <c r="AD627" i="18"/>
  <c r="AB629" i="28" s="1"/>
  <c r="AD736" i="18"/>
  <c r="AB738" i="28" s="1"/>
  <c r="AD730" i="18"/>
  <c r="AB732" i="28" s="1"/>
  <c r="AD413" i="18"/>
  <c r="AB415" i="28" s="1"/>
  <c r="AD156" i="18"/>
  <c r="AB158" i="28" s="1"/>
  <c r="AD788" i="18"/>
  <c r="AB790" i="28" s="1"/>
  <c r="AD561" i="18"/>
  <c r="AB563" i="28" s="1"/>
  <c r="AD547" i="18"/>
  <c r="AB549" i="28" s="1"/>
  <c r="AD97" i="18"/>
  <c r="AB99" i="28" s="1"/>
  <c r="AD770" i="18"/>
  <c r="AD272" i="18"/>
  <c r="AB274" i="28" s="1"/>
  <c r="AD590" i="18"/>
  <c r="AD347" i="18"/>
  <c r="AB349" i="28" s="1"/>
  <c r="AD678" i="18"/>
  <c r="AB680" i="28" s="1"/>
  <c r="AD268" i="18"/>
  <c r="AB270" i="28" s="1"/>
  <c r="AD420" i="18"/>
  <c r="AB422" i="28" s="1"/>
  <c r="AD213" i="18"/>
  <c r="AB215" i="28" s="1"/>
  <c r="AD119" i="18"/>
  <c r="AB121" i="28" s="1"/>
  <c r="AD850" i="18"/>
  <c r="AB852" i="28" s="1"/>
  <c r="AD597" i="18"/>
  <c r="AB599" i="28" s="1"/>
  <c r="AD808" i="18"/>
  <c r="AB810" i="28" s="1"/>
  <c r="AD811" i="18"/>
  <c r="AB813" i="28" s="1"/>
  <c r="AD536" i="18"/>
  <c r="AB538" i="28" s="1"/>
  <c r="AD732" i="18"/>
  <c r="AB734" i="28" s="1"/>
  <c r="AD296" i="18"/>
  <c r="AB298" i="28" s="1"/>
  <c r="AD598" i="18"/>
  <c r="AB600" i="28" s="1"/>
  <c r="AD749" i="18"/>
  <c r="AB751" i="28" s="1"/>
  <c r="AD61" i="18"/>
  <c r="AB63" i="28" s="1"/>
  <c r="AD601" i="18"/>
  <c r="AB603" i="28" s="1"/>
  <c r="AD375" i="18"/>
  <c r="AB377" i="28" s="1"/>
  <c r="AD255" i="18"/>
  <c r="AB257" i="28" s="1"/>
  <c r="AD613" i="18"/>
  <c r="AB615" i="28" s="1"/>
  <c r="AD836" i="18"/>
  <c r="AB838" i="28" s="1"/>
  <c r="AD753" i="18"/>
  <c r="AB755" i="28" s="1"/>
  <c r="AD896" i="18"/>
  <c r="AB898" i="28" s="1"/>
  <c r="AD494" i="18"/>
  <c r="AB496" i="28" s="1"/>
  <c r="AD256" i="18"/>
  <c r="AB258" i="28" s="1"/>
  <c r="AD897" i="18"/>
  <c r="AB899" i="28" s="1"/>
  <c r="AD210" i="18"/>
  <c r="AB212" i="28" s="1"/>
  <c r="AD702" i="18"/>
  <c r="AB704" i="28" s="1"/>
  <c r="AD543" i="18"/>
  <c r="AB545" i="28" s="1"/>
  <c r="AD764" i="18"/>
  <c r="AB766" i="28" s="1"/>
  <c r="AD344" i="18"/>
  <c r="AB346" i="28" s="1"/>
  <c r="AD313" i="18"/>
  <c r="AB315" i="28" s="1"/>
  <c r="AD492" i="18"/>
  <c r="AB494" i="28" s="1"/>
  <c r="AD39" i="18"/>
  <c r="AB41" i="28" s="1"/>
  <c r="AD188" i="18"/>
  <c r="AB190" i="28" s="1"/>
  <c r="AD306" i="18"/>
  <c r="AB308" i="28" s="1"/>
  <c r="AD158" i="18"/>
  <c r="AB160" i="28" s="1"/>
  <c r="AD681" i="18"/>
  <c r="AB683" i="28" s="1"/>
  <c r="AD218" i="18"/>
  <c r="AB220" i="28" s="1"/>
  <c r="AD516" i="18"/>
  <c r="AB518" i="28" s="1"/>
  <c r="AD786" i="18"/>
  <c r="AB788" i="28" s="1"/>
  <c r="AD607" i="18"/>
  <c r="AB609" i="28" s="1"/>
  <c r="AD877" i="18"/>
  <c r="AB879" i="28" s="1"/>
  <c r="AD457" i="18"/>
  <c r="AB459" i="28" s="1"/>
  <c r="AD53" i="18"/>
  <c r="AB55" i="28" s="1"/>
  <c r="AD576" i="18"/>
  <c r="AB578" i="28" s="1"/>
  <c r="AD247" i="18"/>
  <c r="AB249" i="28" s="1"/>
  <c r="AD261" i="18"/>
  <c r="AB263" i="28" s="1"/>
  <c r="AD802" i="18"/>
  <c r="AB804" i="28" s="1"/>
  <c r="AD785" i="18"/>
  <c r="AD437" i="18"/>
  <c r="AB439" i="28" s="1"/>
  <c r="AD695" i="18"/>
  <c r="AD722" i="18"/>
  <c r="AB724" i="28" s="1"/>
  <c r="AD602" i="18"/>
  <c r="AB604" i="28" s="1"/>
  <c r="AD725" i="18"/>
  <c r="AD650" i="18"/>
  <c r="AD482" i="18"/>
  <c r="AB484" i="28" s="1"/>
  <c r="AD545" i="18"/>
  <c r="AD500" i="18"/>
  <c r="AD455" i="18"/>
  <c r="AD380" i="18"/>
  <c r="AD227" i="18"/>
  <c r="AB229" i="28" s="1"/>
  <c r="AD125" i="18"/>
  <c r="AD155" i="18"/>
  <c r="AD185" i="18"/>
  <c r="AD206" i="18"/>
  <c r="AB208" i="28" s="1"/>
  <c r="AD394" i="18"/>
  <c r="AB396" i="28" s="1"/>
  <c r="AD405" i="18"/>
  <c r="AB407" i="28" s="1"/>
  <c r="AD603" i="18"/>
  <c r="AB605" i="28" s="1"/>
  <c r="AD132" i="18"/>
  <c r="AB134" i="28" s="1"/>
  <c r="AD564" i="18"/>
  <c r="AB566" i="28" s="1"/>
  <c r="AD704" i="18"/>
  <c r="AB706" i="28" s="1"/>
  <c r="AD840" i="18"/>
  <c r="AB842" i="28" s="1"/>
  <c r="AD799" i="18"/>
  <c r="AB801" i="28" s="1"/>
  <c r="AD211" i="18"/>
  <c r="AB213" i="28" s="1"/>
  <c r="AD238" i="18"/>
  <c r="AB240" i="28" s="1"/>
  <c r="AD214" i="18"/>
  <c r="AB216" i="28" s="1"/>
  <c r="AD123" i="18"/>
  <c r="AB125" i="28" s="1"/>
  <c r="AD468" i="18"/>
  <c r="AB470" i="28" s="1"/>
  <c r="AD626" i="18"/>
  <c r="AB628" i="28" s="1"/>
  <c r="AD354" i="18"/>
  <c r="AB356" i="28" s="1"/>
  <c r="AD89" i="18"/>
  <c r="AB91" i="28" s="1"/>
  <c r="AD675" i="18"/>
  <c r="AB677" i="28" s="1"/>
  <c r="AD315" i="18"/>
  <c r="AB317" i="28" s="1"/>
  <c r="AD285" i="18"/>
  <c r="AB287" i="28" s="1"/>
  <c r="AD868" i="18"/>
  <c r="AB870" i="28" s="1"/>
  <c r="AD331" i="18"/>
  <c r="AB333" i="28" s="1"/>
  <c r="AD537" i="18"/>
  <c r="AB539" i="28" s="1"/>
  <c r="AD282" i="18"/>
  <c r="AB284" i="28" s="1"/>
  <c r="AD589" i="18"/>
  <c r="AB591" i="28" s="1"/>
  <c r="AD252" i="18"/>
  <c r="AB254" i="28" s="1"/>
  <c r="AD434" i="18"/>
  <c r="AB436" i="28" s="1"/>
  <c r="AD63" i="18"/>
  <c r="AB65" i="28" s="1"/>
  <c r="AD295" i="18"/>
  <c r="AB297" i="28" s="1"/>
  <c r="AD856" i="18"/>
  <c r="AB858" i="28" s="1"/>
  <c r="AD47" i="18"/>
  <c r="AB49" i="28" s="1"/>
  <c r="AD49" i="18"/>
  <c r="AB51" i="28" s="1"/>
  <c r="AD116" i="18"/>
  <c r="AB118" i="28" s="1"/>
  <c r="AD535" i="18"/>
  <c r="AB537" i="28" s="1"/>
  <c r="AD135" i="18"/>
  <c r="AB137" i="28" s="1"/>
  <c r="AD398" i="18"/>
  <c r="AB400" i="28" s="1"/>
  <c r="AD861" i="18"/>
  <c r="AB863" i="28" s="1"/>
  <c r="AD533" i="18"/>
  <c r="AB535" i="28" s="1"/>
  <c r="AD412" i="18"/>
  <c r="AB414" i="28" s="1"/>
  <c r="AD727" i="18"/>
  <c r="AB729" i="28" s="1"/>
  <c r="AD668" i="18"/>
  <c r="AB670" i="28" s="1"/>
  <c r="AD517" i="18"/>
  <c r="AB519" i="28" s="1"/>
  <c r="AD157" i="18"/>
  <c r="AB159" i="28" s="1"/>
  <c r="AD472" i="18"/>
  <c r="AB474" i="28" s="1"/>
  <c r="AD307" i="18"/>
  <c r="AB309" i="28" s="1"/>
  <c r="AD833" i="18"/>
  <c r="AB835" i="28" s="1"/>
  <c r="AD698" i="18"/>
  <c r="AB700" i="28" s="1"/>
  <c r="AD845" i="18"/>
  <c r="AD392" i="18"/>
  <c r="AB394" i="28" s="1"/>
  <c r="AD647" i="18"/>
  <c r="AB649" i="28" s="1"/>
  <c r="AD710" i="18"/>
  <c r="AD467" i="18"/>
  <c r="AB469" i="28" s="1"/>
  <c r="AD425" i="18"/>
  <c r="AD365" i="18"/>
  <c r="AD212" i="18"/>
  <c r="AB214" i="28" s="1"/>
  <c r="AD50" i="18"/>
  <c r="AD790" i="18"/>
  <c r="AB792" i="28" s="1"/>
  <c r="AD244" i="18"/>
  <c r="AB246" i="28" s="1"/>
  <c r="AD55" i="18"/>
  <c r="AB57" i="28" s="1"/>
  <c r="AD879" i="18"/>
  <c r="AB881" i="28" s="1"/>
  <c r="AD649" i="18"/>
  <c r="AB651" i="28" s="1"/>
  <c r="AD86" i="18"/>
  <c r="AB88" i="28" s="1"/>
  <c r="AD408" i="18"/>
  <c r="AB410" i="28" s="1"/>
  <c r="AD101" i="18"/>
  <c r="AB103" i="28" s="1"/>
  <c r="AD783" i="18"/>
  <c r="AB785" i="28" s="1"/>
  <c r="AD798" i="18"/>
  <c r="AB800" i="28" s="1"/>
  <c r="AD195" i="18"/>
  <c r="AB197" i="28" s="1"/>
  <c r="AD418" i="18"/>
  <c r="AB420" i="28" s="1"/>
  <c r="AD895" i="18"/>
  <c r="AB897" i="28" s="1"/>
  <c r="AD505" i="18"/>
  <c r="AB507" i="28" s="1"/>
  <c r="AD409" i="18"/>
  <c r="AB411" i="28" s="1"/>
  <c r="AD724" i="18"/>
  <c r="AB726" i="28" s="1"/>
  <c r="AD84" i="18"/>
  <c r="AB86" i="28" s="1"/>
  <c r="AD243" i="18"/>
  <c r="AB245" i="28" s="1"/>
  <c r="AD609" i="18"/>
  <c r="AB611" i="28" s="1"/>
  <c r="AD249" i="18"/>
  <c r="AB251" i="28" s="1"/>
  <c r="AD194" i="18"/>
  <c r="AB196" i="28" s="1"/>
  <c r="AD720" i="18"/>
  <c r="AB722" i="28" s="1"/>
  <c r="AD419" i="18"/>
  <c r="AB421" i="28" s="1"/>
  <c r="AD881" i="18"/>
  <c r="AB883" i="28" s="1"/>
  <c r="AD44" i="18"/>
  <c r="AB46" i="28" s="1"/>
  <c r="AD314" i="18"/>
  <c r="AB316" i="28" s="1"/>
  <c r="AD478" i="18"/>
  <c r="AB480" i="28" s="1"/>
  <c r="AD754" i="18"/>
  <c r="AB756" i="28" s="1"/>
  <c r="AD894" i="18"/>
  <c r="AB896" i="28" s="1"/>
  <c r="AD85" i="18"/>
  <c r="AB87" i="28" s="1"/>
  <c r="AD189" i="18"/>
  <c r="AB191" i="28" s="1"/>
  <c r="AD499" i="18"/>
  <c r="AB501" i="28" s="1"/>
  <c r="AD495" i="18"/>
  <c r="AB497" i="28" s="1"/>
  <c r="AD714" i="18"/>
  <c r="AB716" i="28" s="1"/>
  <c r="AD124" i="18"/>
  <c r="AB126" i="28" s="1"/>
  <c r="AD461" i="18"/>
  <c r="AB463" i="28" s="1"/>
  <c r="AD297" i="18"/>
  <c r="AB299" i="28" s="1"/>
  <c r="AD716" i="18"/>
  <c r="AB718" i="28" s="1"/>
  <c r="AD42" i="18"/>
  <c r="AB44" i="28" s="1"/>
  <c r="AD525" i="18"/>
  <c r="AB527" i="28" s="1"/>
  <c r="AD477" i="18"/>
  <c r="AB479" i="28" s="1"/>
  <c r="AD226" i="18"/>
  <c r="AB228" i="28" s="1"/>
  <c r="AD513" i="18"/>
  <c r="AB515" i="28" s="1"/>
  <c r="AD782" i="18"/>
  <c r="AB784" i="28" s="1"/>
  <c r="AD755" i="18"/>
  <c r="AD772" i="18"/>
  <c r="AB774" i="28" s="1"/>
  <c r="AD37" i="18"/>
  <c r="AB39" i="28" s="1"/>
  <c r="AD293" i="18"/>
  <c r="AB295" i="28" s="1"/>
  <c r="AD308" i="18"/>
  <c r="AB310" i="28" s="1"/>
  <c r="AD638" i="18"/>
  <c r="AB640" i="28" s="1"/>
  <c r="AD548" i="18"/>
  <c r="AB550" i="28" s="1"/>
  <c r="AD621" i="18"/>
  <c r="AB623" i="28" s="1"/>
  <c r="AD427" i="18"/>
  <c r="AB429" i="28" s="1"/>
  <c r="AD471" i="18"/>
  <c r="AB473" i="28" s="1"/>
  <c r="AD321" i="18"/>
  <c r="AB323" i="28" s="1"/>
  <c r="AD368" i="18"/>
  <c r="AB370" i="28" s="1"/>
  <c r="AD52" i="18"/>
  <c r="AB54" i="28" s="1"/>
  <c r="AD246" i="18"/>
  <c r="AB248" i="28" s="1"/>
  <c r="AD742" i="18"/>
  <c r="AB744" i="28" s="1"/>
  <c r="AD21" i="18"/>
  <c r="AB23" i="28" s="1"/>
  <c r="AD578" i="18"/>
  <c r="AB580" i="28" s="1"/>
  <c r="AD707" i="18"/>
  <c r="AB709" i="28" s="1"/>
  <c r="AD677" i="18"/>
  <c r="AB679" i="28" s="1"/>
  <c r="AD587" i="18"/>
  <c r="AB589" i="28" s="1"/>
  <c r="AD407" i="18"/>
  <c r="AB409" i="28" s="1"/>
  <c r="AD335" i="18"/>
  <c r="AD182" i="18"/>
  <c r="AB184" i="28" s="1"/>
  <c r="AD245" i="18"/>
  <c r="AD215" i="18"/>
  <c r="AD65" i="18"/>
  <c r="AA7" i="28"/>
  <c r="AD5" i="18"/>
  <c r="AD145" i="18"/>
  <c r="AB147" i="28" s="1"/>
  <c r="AD345" i="18"/>
  <c r="AB347" i="28" s="1"/>
  <c r="AD223" i="18"/>
  <c r="AB225" i="28" s="1"/>
  <c r="AD596" i="18"/>
  <c r="AB598" i="28" s="1"/>
  <c r="AD152" i="18"/>
  <c r="AB154" i="28" s="1"/>
  <c r="AD825" i="18"/>
  <c r="AB827" i="28" s="1"/>
  <c r="AD611" i="18"/>
  <c r="AB613" i="28" s="1"/>
  <c r="AD474" i="18"/>
  <c r="AB476" i="28" s="1"/>
  <c r="AD521" i="18"/>
  <c r="AB523" i="28" s="1"/>
  <c r="AD568" i="18"/>
  <c r="AB570" i="28" s="1"/>
  <c r="AD511" i="18"/>
  <c r="AB513" i="28" s="1"/>
  <c r="AD70" i="18"/>
  <c r="AB72" i="28" s="1"/>
  <c r="AD595" i="18"/>
  <c r="AB597" i="28" s="1"/>
  <c r="AD289" i="18"/>
  <c r="AB291" i="28" s="1"/>
  <c r="AD873" i="18"/>
  <c r="AB875" i="28" s="1"/>
  <c r="AD94" i="18"/>
  <c r="AB96" i="28" s="1"/>
  <c r="AD661" i="18"/>
  <c r="AB663" i="28" s="1"/>
  <c r="AD554" i="18"/>
  <c r="AB556" i="28" s="1"/>
  <c r="AD430" i="18"/>
  <c r="AB432" i="28" s="1"/>
  <c r="AD153" i="18"/>
  <c r="AB155" i="28" s="1"/>
  <c r="AD676" i="18"/>
  <c r="AB678" i="28" s="1"/>
  <c r="AD584" i="18"/>
  <c r="AB586" i="28" s="1"/>
  <c r="AD804" i="18"/>
  <c r="AB806" i="28" s="1"/>
  <c r="AD633" i="18"/>
  <c r="AB635" i="28" s="1"/>
  <c r="AD91" i="18"/>
  <c r="AB93" i="28" s="1"/>
  <c r="AD26" i="18"/>
  <c r="AB28" i="28" s="1"/>
  <c r="AD106" i="18"/>
  <c r="AB108" i="28" s="1"/>
  <c r="AD258" i="18"/>
  <c r="AB260" i="28" s="1"/>
  <c r="AD60" i="18"/>
  <c r="AB62" i="28" s="1"/>
  <c r="AD30" i="18"/>
  <c r="AB32" i="28" s="1"/>
  <c r="AD159" i="18"/>
  <c r="AB161" i="28" s="1"/>
  <c r="AD114" i="18"/>
  <c r="AB116" i="28" s="1"/>
  <c r="AD120" i="18"/>
  <c r="AB122" i="28" s="1"/>
  <c r="AD168" i="18"/>
  <c r="AB170" i="28" s="1"/>
  <c r="AD326" i="18"/>
  <c r="AB328" i="28" s="1"/>
  <c r="AD585" i="18"/>
  <c r="AB587" i="28" s="1"/>
  <c r="AD399" i="18"/>
  <c r="AB401" i="28" s="1"/>
  <c r="AD439" i="18"/>
  <c r="AB441" i="28" s="1"/>
  <c r="AD269" i="18"/>
  <c r="AB271" i="28" s="1"/>
  <c r="AD378" i="18"/>
  <c r="AB380" i="28" s="1"/>
  <c r="AD733" i="18"/>
  <c r="AB735" i="28" s="1"/>
  <c r="AD887" i="18"/>
  <c r="AB889" i="28" s="1"/>
  <c r="AD291" i="18"/>
  <c r="AB293" i="28" s="1"/>
  <c r="AD878" i="18"/>
  <c r="AB880" i="28" s="1"/>
  <c r="AD203" i="18"/>
  <c r="AB205" i="28" s="1"/>
  <c r="AD186" i="18"/>
  <c r="AB188" i="28" s="1"/>
  <c r="AD787" i="18"/>
  <c r="AB789" i="28" s="1"/>
  <c r="AD142" i="18"/>
  <c r="AB144" i="28" s="1"/>
  <c r="AD353" i="18"/>
  <c r="AB355" i="28" s="1"/>
  <c r="AD323" i="18"/>
  <c r="AB325" i="28" s="1"/>
  <c r="AD608" i="18"/>
  <c r="AB610" i="28" s="1"/>
  <c r="AD577" i="18"/>
  <c r="AB579" i="28" s="1"/>
  <c r="AD488" i="18"/>
  <c r="AB490" i="28" s="1"/>
  <c r="AD637" i="18"/>
  <c r="AB639" i="28" s="1"/>
  <c r="AD126" i="18"/>
  <c r="AB128" i="28" s="1"/>
  <c r="AD752" i="18"/>
  <c r="AB754" i="28" s="1"/>
  <c r="AD179" i="18"/>
  <c r="AB181" i="28" s="1"/>
  <c r="AD581" i="18"/>
  <c r="AB583" i="28" s="1"/>
  <c r="AD465" i="18"/>
  <c r="AB467" i="28" s="1"/>
  <c r="AD793" i="18"/>
  <c r="AB795" i="28" s="1"/>
  <c r="AD298" i="18"/>
  <c r="AB300" i="28" s="1"/>
  <c r="AD795" i="18"/>
  <c r="AB797" i="28" s="1"/>
  <c r="AD122" i="18"/>
  <c r="AB124" i="28" s="1"/>
  <c r="AD618" i="18"/>
  <c r="AB620" i="28" s="1"/>
  <c r="AD504" i="18"/>
  <c r="AB506" i="28" s="1"/>
  <c r="AD796" i="18"/>
  <c r="AB798" i="28" s="1"/>
  <c r="AD475" i="18"/>
  <c r="AB477" i="28" s="1"/>
  <c r="AD556" i="18"/>
  <c r="AB558" i="28" s="1"/>
  <c r="AD364" i="18"/>
  <c r="AB366" i="28" s="1"/>
  <c r="AD48" i="18"/>
  <c r="AB50" i="28" s="1"/>
  <c r="AD28" i="18"/>
  <c r="AB30" i="28" s="1"/>
  <c r="AD660" i="18"/>
  <c r="AB662" i="28" s="1"/>
  <c r="AD161" i="18"/>
  <c r="AB163" i="28" s="1"/>
  <c r="AD631" i="18"/>
  <c r="AB633" i="28" s="1"/>
  <c r="AD822" i="18"/>
  <c r="AB824" i="28" s="1"/>
  <c r="AD219" i="18"/>
  <c r="AB221" i="28" s="1"/>
  <c r="AD228" i="18"/>
  <c r="AB230" i="28" s="1"/>
  <c r="AD586" i="18"/>
  <c r="AB588" i="28" s="1"/>
  <c r="AD480" i="18"/>
  <c r="AB482" i="28" s="1"/>
  <c r="AD169" i="18"/>
  <c r="AB171" i="28" s="1"/>
  <c r="AD524" i="18"/>
  <c r="AB526" i="28" s="1"/>
  <c r="AD358" i="18"/>
  <c r="AB360" i="28" s="1"/>
  <c r="AD374" i="18"/>
  <c r="AB376" i="28" s="1"/>
  <c r="AD644" i="18"/>
  <c r="AB646" i="28" s="1"/>
  <c r="AD402" i="18"/>
  <c r="AB404" i="28" s="1"/>
  <c r="AD761" i="18"/>
  <c r="AB763" i="28" s="1"/>
  <c r="AD600" i="18"/>
  <c r="AB602" i="28" s="1"/>
  <c r="AD88" i="18"/>
  <c r="AB90" i="28" s="1"/>
  <c r="AD318" i="18"/>
  <c r="AB320" i="28" s="1"/>
  <c r="AD902" i="18"/>
  <c r="AB904" i="28" s="1"/>
  <c r="AD741" i="18"/>
  <c r="AB743" i="28" s="1"/>
  <c r="AD366" i="18"/>
  <c r="AB368" i="28" s="1"/>
  <c r="AD367" i="18"/>
  <c r="AB369" i="28" s="1"/>
  <c r="AD443" i="18"/>
  <c r="AB445" i="28" s="1"/>
  <c r="AD816" i="18"/>
  <c r="AB818" i="28" s="1"/>
  <c r="AD832" i="18"/>
  <c r="AB834" i="28" s="1"/>
  <c r="AD113" i="18"/>
  <c r="AB115" i="28" s="1"/>
  <c r="AD546" i="18"/>
  <c r="AB548" i="28" s="1"/>
  <c r="AD728" i="18"/>
  <c r="AB730" i="28" s="1"/>
  <c r="AD382" i="18"/>
  <c r="AB384" i="28" s="1"/>
  <c r="AD667" i="18"/>
  <c r="AB669" i="28" s="1"/>
  <c r="AD696" i="18"/>
  <c r="AB698" i="28" s="1"/>
  <c r="AD426" i="18"/>
  <c r="AB428" i="28" s="1"/>
  <c r="AD396" i="18"/>
  <c r="AB398" i="28" s="1"/>
  <c r="AD847" i="18"/>
  <c r="AB849" i="28" s="1"/>
  <c r="AD842" i="18"/>
  <c r="AB844" i="28" s="1"/>
  <c r="AM248" i="18"/>
  <c r="AK250" i="28" s="1"/>
  <c r="AA709" i="28"/>
  <c r="AA679" i="28"/>
  <c r="AA589" i="28"/>
  <c r="AA529" i="28"/>
  <c r="AA514" i="28"/>
  <c r="AA409" i="28"/>
  <c r="AA337" i="28"/>
  <c r="AA184" i="28"/>
  <c r="AA247" i="28"/>
  <c r="AA217" i="28"/>
  <c r="AA461" i="28"/>
  <c r="AA67" i="28"/>
  <c r="AA779" i="28"/>
  <c r="AA866" i="28"/>
  <c r="AA435" i="28"/>
  <c r="AA452" i="28"/>
  <c r="AA392" i="28"/>
  <c r="AA326" i="28"/>
  <c r="AA696" i="28"/>
  <c r="AA627" i="28"/>
  <c r="AA770" i="28"/>
  <c r="AA149" i="28"/>
  <c r="AA582" i="28"/>
  <c r="AA618" i="28"/>
  <c r="AA89" i="28"/>
  <c r="AA269" i="28"/>
  <c r="AA147" i="28"/>
  <c r="AA347" i="28"/>
  <c r="AA843" i="28"/>
  <c r="AA225" i="28"/>
  <c r="AA762" i="28"/>
  <c r="AA491" i="28"/>
  <c r="AA598" i="28"/>
  <c r="AA154" i="28"/>
  <c r="AA140" i="28"/>
  <c r="AA301" i="28"/>
  <c r="AA447" i="28"/>
  <c r="AA827" i="28"/>
  <c r="AA613" i="28"/>
  <c r="AA268" i="28"/>
  <c r="AA476" i="28"/>
  <c r="AA286" i="28"/>
  <c r="AA523" i="28"/>
  <c r="AA524" i="28"/>
  <c r="AA416" i="28"/>
  <c r="AA570" i="28"/>
  <c r="AA389" i="28"/>
  <c r="AA513" i="28"/>
  <c r="AA576" i="28"/>
  <c r="AA72" i="28"/>
  <c r="AA597" i="28"/>
  <c r="AA495" i="28"/>
  <c r="AA327" i="28"/>
  <c r="AA291" i="28"/>
  <c r="AA875" i="28"/>
  <c r="AA96" i="28"/>
  <c r="AA194" i="28"/>
  <c r="AA152" i="28"/>
  <c r="AA663" i="28"/>
  <c r="AA556" i="28"/>
  <c r="AA432" i="28"/>
  <c r="AA155" i="28"/>
  <c r="AA94" i="28"/>
  <c r="AA693" i="28"/>
  <c r="AA561" i="28"/>
  <c r="AA678" i="28"/>
  <c r="AA586" i="28"/>
  <c r="AA806" i="28"/>
  <c r="AA31" i="28"/>
  <c r="AA635" i="28"/>
  <c r="AA20" i="28"/>
  <c r="AB20" i="28"/>
  <c r="AA93" i="28"/>
  <c r="AA28" i="28"/>
  <c r="AA108" i="28"/>
  <c r="AA79" i="28"/>
  <c r="AA260" i="28"/>
  <c r="AA62" i="28"/>
  <c r="AA32" i="28"/>
  <c r="AA161" i="28"/>
  <c r="AA116" i="28"/>
  <c r="AA122" i="28"/>
  <c r="AA170" i="28"/>
  <c r="AA328" i="28"/>
  <c r="AA587" i="28"/>
  <c r="AA401" i="28"/>
  <c r="AA153" i="28"/>
  <c r="AA441" i="28"/>
  <c r="AA271" i="28"/>
  <c r="AA380" i="28"/>
  <c r="AA735" i="28"/>
  <c r="AA889" i="28"/>
  <c r="AA574" i="28"/>
  <c r="AA607" i="28"/>
  <c r="AA657" i="28"/>
  <c r="AA786" i="28"/>
  <c r="AA676" i="28"/>
  <c r="AA181" i="28"/>
  <c r="AA568" i="28"/>
  <c r="AA14" i="28"/>
  <c r="AB14" i="28"/>
  <c r="AA791" i="28"/>
  <c r="AA807" i="28"/>
  <c r="AA777" i="28"/>
  <c r="AA872" i="28"/>
  <c r="AA583" i="28"/>
  <c r="AA405" i="28"/>
  <c r="AA783" i="28"/>
  <c r="AA860" i="28"/>
  <c r="AA15" i="28"/>
  <c r="AB15" i="28"/>
  <c r="AA467" i="28"/>
  <c r="AA795" i="28"/>
  <c r="AA300" i="28"/>
  <c r="AA797" i="28"/>
  <c r="AA542" i="28"/>
  <c r="AA124" i="28"/>
  <c r="AA796" i="28"/>
  <c r="AA531" i="28"/>
  <c r="AA620" i="28"/>
  <c r="AA506" i="28"/>
  <c r="AA798" i="28"/>
  <c r="AA477" i="28"/>
  <c r="AA74" i="28"/>
  <c r="AA95" i="28"/>
  <c r="AA272" i="28"/>
  <c r="AA558" i="28"/>
  <c r="AA366" i="28"/>
  <c r="AA671" i="28"/>
  <c r="AA50" i="28"/>
  <c r="AA553" i="28"/>
  <c r="AA30" i="28"/>
  <c r="AA662" i="28"/>
  <c r="AA163" i="28"/>
  <c r="AA633" i="28"/>
  <c r="AA824" i="28"/>
  <c r="AA419" i="28"/>
  <c r="AA186" i="28"/>
  <c r="AA221" i="28"/>
  <c r="AA230" i="28"/>
  <c r="AA588" i="28"/>
  <c r="AA13" i="28"/>
  <c r="AB13" i="28"/>
  <c r="AA482" i="28"/>
  <c r="AA845" i="28"/>
  <c r="AA171" i="28"/>
  <c r="AA526" i="28"/>
  <c r="AA360" i="28"/>
  <c r="AA516" i="28"/>
  <c r="AA376" i="28"/>
  <c r="AA646" i="28"/>
  <c r="AA644" i="28"/>
  <c r="AA478" i="28"/>
  <c r="AA750" i="28"/>
  <c r="AA404" i="28"/>
  <c r="AA763" i="28"/>
  <c r="AA602" i="28"/>
  <c r="AA90" i="28"/>
  <c r="AA320" i="28"/>
  <c r="AA904" i="28"/>
  <c r="AA799" i="28"/>
  <c r="AA424" i="28"/>
  <c r="AA259" i="28"/>
  <c r="AA169" i="28"/>
  <c r="AA37" i="28"/>
  <c r="AA372" i="28"/>
  <c r="AA381" i="28"/>
  <c r="AA891" i="28"/>
  <c r="AA590" i="28"/>
  <c r="AA193" i="28"/>
  <c r="AA682" i="28"/>
  <c r="AA637" i="28"/>
  <c r="AA454" i="28"/>
  <c r="AA439" i="28"/>
  <c r="AA517" i="28"/>
  <c r="AA487" i="28"/>
  <c r="AA379" i="28"/>
  <c r="AA364" i="28"/>
  <c r="AA319" i="28"/>
  <c r="AA304" i="28"/>
  <c r="AA352" i="28"/>
  <c r="AA307" i="28"/>
  <c r="AA97" i="28"/>
  <c r="AA711" i="28"/>
  <c r="AA33" i="28"/>
  <c r="AA831" i="28"/>
  <c r="AA200" i="28"/>
  <c r="AA903" i="28"/>
  <c r="AA846" i="28"/>
  <c r="AA48" i="28"/>
  <c r="AA29" i="28"/>
  <c r="AA541" i="28"/>
  <c r="AA388" i="28"/>
  <c r="AA176" i="28"/>
  <c r="AA350" i="28"/>
  <c r="AA285" i="28"/>
  <c r="AA146" i="28"/>
  <c r="AA111" i="28"/>
  <c r="AA782" i="28"/>
  <c r="AA530" i="28"/>
  <c r="AA132" i="28"/>
  <c r="AA178" i="28"/>
  <c r="AA659" i="28"/>
  <c r="AA543" i="28"/>
  <c r="AA47" i="28"/>
  <c r="AA222" i="28"/>
  <c r="AA761" i="28"/>
  <c r="AA500" i="28"/>
  <c r="AA823" i="28"/>
  <c r="AA780" i="28"/>
  <c r="AA242" i="28"/>
  <c r="AA151" i="28"/>
  <c r="AA341" i="28"/>
  <c r="AA231" i="28"/>
  <c r="AA42" i="28"/>
  <c r="AA695" i="28"/>
  <c r="AA871" i="28"/>
  <c r="AA856" i="28"/>
  <c r="AA647" i="28"/>
  <c r="AA296" i="28"/>
  <c r="AA840" i="28"/>
  <c r="AA241" i="28"/>
  <c r="AA666" i="28"/>
  <c r="AA450" i="28"/>
  <c r="AA266" i="28"/>
  <c r="AA201" i="28"/>
  <c r="AA486" i="28"/>
  <c r="AA136" i="28"/>
  <c r="AA606" i="28"/>
  <c r="AA335" i="28"/>
  <c r="AA794" i="28"/>
  <c r="AA206" i="28"/>
  <c r="AA438" i="28"/>
  <c r="AA731" i="28"/>
  <c r="AA643" i="28"/>
  <c r="AA180" i="28"/>
  <c r="AA303" i="28"/>
  <c r="AA437" i="28"/>
  <c r="AA387" i="28"/>
  <c r="AA673" i="28"/>
  <c r="AA440" i="28"/>
  <c r="AA708" i="28"/>
  <c r="AA375" i="28"/>
  <c r="AA243" i="28"/>
  <c r="AA288" i="28"/>
  <c r="AA752" i="28"/>
  <c r="AA811" i="28"/>
  <c r="AA705" i="28"/>
  <c r="AA672" i="28"/>
  <c r="AA267" i="28"/>
  <c r="AA59" i="28"/>
  <c r="AA321" i="28"/>
  <c r="AA836" i="28"/>
  <c r="AA239" i="28"/>
  <c r="AA901" i="28"/>
  <c r="AA36" i="28"/>
  <c r="AA120" i="28"/>
  <c r="AA359" i="28"/>
  <c r="AA256" i="28"/>
  <c r="AA510" i="28"/>
  <c r="AA117" i="28"/>
  <c r="AA403" i="28"/>
  <c r="AA874" i="28"/>
  <c r="AA723" i="28"/>
  <c r="AA202" i="28"/>
  <c r="AA289" i="28"/>
  <c r="AA675" i="28"/>
  <c r="AA195" i="28"/>
  <c r="AA255" i="28"/>
  <c r="AA492" i="28"/>
  <c r="AA868" i="28"/>
  <c r="AA17" i="28"/>
  <c r="AB17" i="28"/>
  <c r="AA753" i="28"/>
  <c r="AA165" i="28"/>
  <c r="AA616" i="28"/>
  <c r="AA905" i="28"/>
  <c r="AA776" i="28"/>
  <c r="AA210" i="28"/>
  <c r="AA348" i="28"/>
  <c r="AA182" i="28"/>
  <c r="AA102" i="28"/>
  <c r="AA329" i="28"/>
  <c r="AA536" i="28"/>
  <c r="AA764" i="28"/>
  <c r="AA141" i="28"/>
  <c r="AA209" i="28"/>
  <c r="AA749" i="28"/>
  <c r="AA390" i="28"/>
  <c r="AA462" i="28"/>
  <c r="AA837" i="28"/>
  <c r="AA156" i="28"/>
  <c r="AA884" i="28"/>
  <c r="AA58" i="28"/>
  <c r="AA736" i="28"/>
  <c r="AA861" i="28"/>
  <c r="AA614" i="28"/>
  <c r="AA198" i="28"/>
  <c r="AA261" i="28"/>
  <c r="AA581" i="28"/>
  <c r="AA498" i="28"/>
  <c r="AB498" i="28"/>
  <c r="AA867" i="28"/>
  <c r="AA855" i="28"/>
  <c r="AA417" i="28"/>
  <c r="AA900" i="28"/>
  <c r="AA311" i="28"/>
  <c r="AA690" i="28"/>
  <c r="AA740" i="28"/>
  <c r="AA890" i="28"/>
  <c r="AA717" i="28"/>
  <c r="AA465" i="28"/>
  <c r="AA446" i="28"/>
  <c r="AA449" i="28"/>
  <c r="AA887" i="28"/>
  <c r="AA617" i="28"/>
  <c r="AA164" i="28"/>
  <c r="AA455" i="28"/>
  <c r="AA305" i="28"/>
  <c r="AA342" i="28"/>
  <c r="AA27" i="28"/>
  <c r="AA512" i="28"/>
  <c r="AA661" i="28"/>
  <c r="AA567" i="28"/>
  <c r="AA406" i="28"/>
  <c r="AA857" i="28"/>
  <c r="AA290" i="28"/>
  <c r="AA223" i="28"/>
  <c r="AA546" i="28"/>
  <c r="AA185" i="28"/>
  <c r="AA641" i="28"/>
  <c r="AA828" i="28"/>
  <c r="AA552" i="28"/>
  <c r="AA331" i="28"/>
  <c r="AA426" i="28"/>
  <c r="AA374" i="28"/>
  <c r="AA386" i="28"/>
  <c r="AA179" i="28"/>
  <c r="AA674" i="28"/>
  <c r="AA630" i="28"/>
  <c r="AA471" i="28"/>
  <c r="AA642" i="28"/>
  <c r="AA725" i="28"/>
  <c r="AA468" i="28"/>
  <c r="AA16" i="28"/>
  <c r="AB16" i="28"/>
  <c r="AA138" i="28"/>
  <c r="AA814" i="28"/>
  <c r="AA577" i="28"/>
  <c r="AA226" i="28"/>
  <c r="AA562" i="28"/>
  <c r="AA274" i="28"/>
  <c r="AA886" i="28"/>
  <c r="AA689" i="28"/>
  <c r="AA733" i="28"/>
  <c r="AA281" i="28"/>
  <c r="AA236" i="28"/>
  <c r="AA619" i="28"/>
  <c r="AA697" i="28"/>
  <c r="AA442" i="28"/>
  <c r="AA334" i="28"/>
  <c r="AA412" i="28"/>
  <c r="AA292" i="28"/>
  <c r="AA262" i="28"/>
  <c r="AA139" i="28"/>
  <c r="AA112" i="28"/>
  <c r="AA82" i="28"/>
  <c r="AA142" i="28"/>
  <c r="AA35" i="28"/>
  <c r="AA81" i="28"/>
  <c r="AA632" i="28"/>
  <c r="AA351" i="28"/>
  <c r="AA106" i="28"/>
  <c r="AA336" i="28"/>
  <c r="AA691" i="28"/>
  <c r="AA701" i="28"/>
  <c r="AA313" i="28"/>
  <c r="AA162" i="28"/>
  <c r="AA362" i="28"/>
  <c r="AA636" i="28"/>
  <c r="AA854" i="28"/>
  <c r="AA92" i="28"/>
  <c r="AA551" i="28"/>
  <c r="AA371" i="28"/>
  <c r="AA658" i="28"/>
  <c r="AA626" i="28"/>
  <c r="AA882" i="28"/>
  <c r="AA885" i="28"/>
  <c r="AA378" i="28"/>
  <c r="AA425" i="28"/>
  <c r="AA822" i="28"/>
  <c r="AA73" i="28"/>
  <c r="AA612" i="28"/>
  <c r="AA573" i="28"/>
  <c r="AA21" i="28"/>
  <c r="AB21" i="28"/>
  <c r="AA688" i="28"/>
  <c r="AA508" i="28"/>
  <c r="AA493" i="28"/>
  <c r="AA393" i="28"/>
  <c r="AA448" i="28"/>
  <c r="AA906" i="28"/>
  <c r="AA361" i="28"/>
  <c r="AA631" i="28"/>
  <c r="AA373" i="28"/>
  <c r="AA78" i="28"/>
  <c r="AA869" i="28"/>
  <c r="AA56" i="28"/>
  <c r="AA276" i="28"/>
  <c r="AA167" i="28"/>
  <c r="AA509" i="28"/>
  <c r="AA12" i="28"/>
  <c r="AB12" i="28"/>
  <c r="AA224" i="28"/>
  <c r="AA569" i="28"/>
  <c r="AA826" i="28"/>
  <c r="AA314" i="28"/>
  <c r="AA60" i="28"/>
  <c r="AA45" i="28"/>
  <c r="AA363" i="28"/>
  <c r="AA408" i="28"/>
  <c r="AA61" i="28"/>
  <c r="AA768" i="28"/>
  <c r="AA851" i="28"/>
  <c r="AA747" i="28"/>
  <c r="AA207" i="28"/>
  <c r="AA815" i="28"/>
  <c r="AA853" i="28"/>
  <c r="AA793" i="28"/>
  <c r="AA888" i="28"/>
  <c r="AA660" i="28"/>
  <c r="AA748" i="28"/>
  <c r="AA702" i="28"/>
  <c r="AA876" i="28"/>
  <c r="AA453" i="28"/>
  <c r="AA101" i="28"/>
  <c r="AA771" i="28"/>
  <c r="AA720" i="28"/>
  <c r="AA135" i="28"/>
  <c r="AA133" i="28"/>
  <c r="AA312" i="28"/>
  <c r="AA560" i="28"/>
  <c r="AA343" i="28"/>
  <c r="AA104" i="28"/>
  <c r="AA629" i="28"/>
  <c r="AA738" i="28"/>
  <c r="AA732" i="28"/>
  <c r="AA809" i="28"/>
  <c r="AA667" i="28"/>
  <c r="AA665" i="28"/>
  <c r="AA306" i="28"/>
  <c r="AA719" i="28"/>
  <c r="AA829" i="28"/>
  <c r="AA544" i="28"/>
  <c r="AA592" i="28"/>
  <c r="AA472" i="28"/>
  <c r="AA349" i="28"/>
  <c r="AA703" i="28"/>
  <c r="AA585" i="28"/>
  <c r="AA395" i="28"/>
  <c r="AA365" i="28"/>
  <c r="AA466" i="28"/>
  <c r="AA192" i="28"/>
  <c r="AA344" i="28"/>
  <c r="AA521" i="28"/>
  <c r="AA166" i="28"/>
  <c r="AA596" i="28"/>
  <c r="AA902" i="28"/>
  <c r="AA107" i="28"/>
  <c r="AA252" i="28"/>
  <c r="AA584" i="28"/>
  <c r="AA402" i="28"/>
  <c r="AA680" i="28"/>
  <c r="AA282" i="28"/>
  <c r="AA119" i="28"/>
  <c r="AA270" i="28"/>
  <c r="AA572" i="28"/>
  <c r="AA778" i="28"/>
  <c r="AA357" i="28"/>
  <c r="AA422" i="28"/>
  <c r="AA183" i="28"/>
  <c r="AA554" i="28"/>
  <c r="AA816" i="28"/>
  <c r="AA318" i="28"/>
  <c r="AA215" i="28"/>
  <c r="AA121" i="28"/>
  <c r="AA841" i="28"/>
  <c r="AA767" i="28"/>
  <c r="AA451" i="28"/>
  <c r="AA431" i="28"/>
  <c r="AA528" i="28"/>
  <c r="AA76" i="28"/>
  <c r="AA721" i="28"/>
  <c r="AA650" i="28"/>
  <c r="AA686" i="28"/>
  <c r="AA418" i="28"/>
  <c r="AA648" i="28"/>
  <c r="AA71" i="28"/>
  <c r="AA852" i="28"/>
  <c r="AA599" i="28"/>
  <c r="AA810" i="28"/>
  <c r="AA813" i="28"/>
  <c r="AA302" i="28"/>
  <c r="AA66" i="28"/>
  <c r="AA538" i="28"/>
  <c r="AA734" i="28"/>
  <c r="AA746" i="28"/>
  <c r="AA253" i="28"/>
  <c r="AA298" i="28"/>
  <c r="AA600" i="28"/>
  <c r="AA751" i="28"/>
  <c r="AA830" i="28"/>
  <c r="AA63" i="28"/>
  <c r="AA603" i="28"/>
  <c r="AA18" i="28"/>
  <c r="AA377" i="28"/>
  <c r="AA257" i="28"/>
  <c r="AA615" i="28"/>
  <c r="AA838" i="28"/>
  <c r="AA755" i="28"/>
  <c r="AA898" i="28"/>
  <c r="AA496" i="28"/>
  <c r="AA258" i="28"/>
  <c r="AA899" i="28"/>
  <c r="AA212" i="28"/>
  <c r="AA704" i="28"/>
  <c r="AA645" i="28"/>
  <c r="AA545" i="28"/>
  <c r="AA766" i="28"/>
  <c r="AA346" i="28"/>
  <c r="AA315" i="28"/>
  <c r="AA105" i="28"/>
  <c r="AA494" i="28"/>
  <c r="AA41" i="28"/>
  <c r="AA634" i="28"/>
  <c r="AA622" i="28"/>
  <c r="AA322" i="28"/>
  <c r="AA571" i="28"/>
  <c r="AA664" i="28"/>
  <c r="AA532" i="28"/>
  <c r="AA825" i="28"/>
  <c r="AA26" i="28"/>
  <c r="AA433" i="28"/>
  <c r="AA481" i="28"/>
  <c r="AA859" i="28"/>
  <c r="AB859" i="28"/>
  <c r="AA739" i="28"/>
  <c r="AA694" i="28"/>
  <c r="AA724" i="28"/>
  <c r="AA742" i="28"/>
  <c r="AA604" i="28"/>
  <c r="AA727" i="28"/>
  <c r="AA652" i="28"/>
  <c r="AA484" i="28"/>
  <c r="AA547" i="28"/>
  <c r="AA502" i="28"/>
  <c r="AA457" i="28"/>
  <c r="AA397" i="28"/>
  <c r="AA382" i="28"/>
  <c r="AA229" i="28"/>
  <c r="AA127" i="28"/>
  <c r="AA157" i="28"/>
  <c r="AA187" i="28"/>
  <c r="AA208" i="28"/>
  <c r="AA396" i="28"/>
  <c r="AA407" i="28"/>
  <c r="AA601" i="28"/>
  <c r="AA148" i="28"/>
  <c r="AA237" i="28"/>
  <c r="AA11" i="28"/>
  <c r="AB11" i="28"/>
  <c r="AA687" i="28"/>
  <c r="AA808" i="28"/>
  <c r="AA605" i="28"/>
  <c r="AA555" i="28"/>
  <c r="AA332" i="28"/>
  <c r="AA434" i="28"/>
  <c r="AA511" i="28"/>
  <c r="AA134" i="28"/>
  <c r="AA575" i="28"/>
  <c r="AA839" i="28"/>
  <c r="AA566" i="28"/>
  <c r="AA706" i="28"/>
  <c r="AA150" i="28"/>
  <c r="AA211" i="28"/>
  <c r="AA131" i="28"/>
  <c r="AA842" i="28"/>
  <c r="AA781" i="28"/>
  <c r="AA692" i="28"/>
  <c r="AA801" i="28"/>
  <c r="AA656" i="28"/>
  <c r="AA213" i="28"/>
  <c r="AA873" i="28"/>
  <c r="AA240" i="28"/>
  <c r="AA275" i="28"/>
  <c r="AA525" i="28"/>
  <c r="AA456" i="28"/>
  <c r="AA123" i="28"/>
  <c r="AA216" i="28"/>
  <c r="AA227" i="28"/>
  <c r="AA737" i="28"/>
  <c r="AA125" i="28"/>
  <c r="AA470" i="28"/>
  <c r="AA628" i="28"/>
  <c r="AA356" i="28"/>
  <c r="AA238" i="28"/>
  <c r="AA80" i="28"/>
  <c r="AA91" i="28"/>
  <c r="AA677" i="28"/>
  <c r="AA317" i="28"/>
  <c r="AA287" i="28"/>
  <c r="AA870" i="28"/>
  <c r="AA333" i="28"/>
  <c r="AA539" i="28"/>
  <c r="AA284" i="28"/>
  <c r="AA591" i="28"/>
  <c r="AA254" i="28"/>
  <c r="AA64" i="28"/>
  <c r="AA483" i="28"/>
  <c r="AA436" i="28"/>
  <c r="AA65" i="28"/>
  <c r="AA297" i="28"/>
  <c r="AA858" i="28"/>
  <c r="AA49" i="28"/>
  <c r="AA51" i="28"/>
  <c r="AA118" i="28"/>
  <c r="AA537" i="28"/>
  <c r="AA137" i="28"/>
  <c r="AA277" i="28"/>
  <c r="AA22" i="28"/>
  <c r="AA485" i="28"/>
  <c r="AA559" i="28"/>
  <c r="AA394" i="28"/>
  <c r="AA199" i="28"/>
  <c r="AA232" i="28"/>
  <c r="AA769" i="28"/>
  <c r="AA649" i="28"/>
  <c r="AA712" i="28"/>
  <c r="AA499" i="28"/>
  <c r="AA469" i="28"/>
  <c r="AA427" i="28"/>
  <c r="AA367" i="28"/>
  <c r="AA244" i="28"/>
  <c r="AA214" i="28"/>
  <c r="AA52" i="28"/>
  <c r="AA172" i="28"/>
  <c r="AA358" i="28"/>
  <c r="AA43" i="28"/>
  <c r="AA177" i="28"/>
  <c r="AA283" i="28"/>
  <c r="AA345" i="28"/>
  <c r="AA75" i="28"/>
  <c r="AA110" i="28"/>
  <c r="AA710" i="28"/>
  <c r="AA821" i="28"/>
  <c r="AA330" i="28"/>
  <c r="AA109" i="28"/>
  <c r="AA792" i="28"/>
  <c r="AA423" i="28"/>
  <c r="AA557" i="28"/>
  <c r="AA621" i="28"/>
  <c r="AA707" i="28"/>
  <c r="AA812" i="28"/>
  <c r="AA522" i="28"/>
  <c r="AA681" i="28"/>
  <c r="AA246" i="28"/>
  <c r="AA540" i="28"/>
  <c r="AA57" i="28"/>
  <c r="AA881" i="28"/>
  <c r="AA651" i="28"/>
  <c r="AA464" i="28"/>
  <c r="AA88" i="28"/>
  <c r="AA410" i="28"/>
  <c r="AA103" i="28"/>
  <c r="AA785" i="28"/>
  <c r="AA800" i="28"/>
  <c r="AA197" i="28"/>
  <c r="AA77" i="28"/>
  <c r="AA420" i="28"/>
  <c r="AA897" i="28"/>
  <c r="AA34" i="28"/>
  <c r="AA741" i="28"/>
  <c r="AA507" i="28"/>
  <c r="AA411" i="28"/>
  <c r="AA726" i="28"/>
  <c r="AA765" i="28"/>
  <c r="AA273" i="28"/>
  <c r="AA86" i="28"/>
  <c r="AA245" i="28"/>
  <c r="AA611" i="28"/>
  <c r="AA251" i="28"/>
  <c r="AA391" i="28"/>
  <c r="AA196" i="28"/>
  <c r="AA722" i="28"/>
  <c r="AA421" i="28"/>
  <c r="AA883" i="28"/>
  <c r="AA46" i="28"/>
  <c r="AA316" i="28"/>
  <c r="AA480" i="28"/>
  <c r="AA756" i="28"/>
  <c r="AA896" i="28"/>
  <c r="AA19" i="28"/>
  <c r="AB19" i="28"/>
  <c r="AA87" i="28"/>
  <c r="AA191" i="28"/>
  <c r="AA501" i="28"/>
  <c r="AA497" i="28"/>
  <c r="AA168" i="28"/>
  <c r="AA716" i="28"/>
  <c r="AA126" i="28"/>
  <c r="AA463" i="28"/>
  <c r="AA299" i="28"/>
  <c r="AA718" i="28"/>
  <c r="AA44" i="28"/>
  <c r="AA527" i="28"/>
  <c r="AA479" i="28"/>
  <c r="AA228" i="28"/>
  <c r="AA515" i="28"/>
  <c r="AA784" i="28"/>
  <c r="AA757" i="28"/>
  <c r="AH9" i="19"/>
  <c r="AG9" i="19" s="1"/>
  <c r="AR9" i="19"/>
  <c r="AQ9" i="19" s="1"/>
  <c r="AH15" i="19"/>
  <c r="AG15" i="19" s="1"/>
  <c r="AR15" i="19"/>
  <c r="AQ15" i="19" s="1"/>
  <c r="AR6" i="19"/>
  <c r="AQ6" i="19" s="1"/>
  <c r="AH6" i="19"/>
  <c r="AG6" i="19" s="1"/>
  <c r="AR8" i="19"/>
  <c r="AQ8" i="19" s="1"/>
  <c r="AH8" i="19"/>
  <c r="AG8" i="19" s="1"/>
  <c r="AH27" i="19"/>
  <c r="AG27" i="19" s="1"/>
  <c r="AR27" i="19"/>
  <c r="AQ27" i="19" s="1"/>
  <c r="I33" i="19"/>
  <c r="I37" i="19" s="1"/>
  <c r="I38" i="19" s="1"/>
  <c r="AH19" i="19"/>
  <c r="AG19" i="19" s="1"/>
  <c r="AR19" i="19"/>
  <c r="AQ19" i="19" s="1"/>
  <c r="AH21" i="19"/>
  <c r="AG21" i="19" s="1"/>
  <c r="AR21" i="19"/>
  <c r="AQ21" i="19" s="1"/>
  <c r="AD55" i="20"/>
  <c r="V33" i="19"/>
  <c r="V37" i="19" s="1"/>
  <c r="V38" i="19" s="1"/>
  <c r="AD53" i="20"/>
  <c r="AR18" i="19"/>
  <c r="AQ18" i="19" s="1"/>
  <c r="AH18" i="19"/>
  <c r="AG18" i="19" s="1"/>
  <c r="AD56" i="20"/>
  <c r="N33" i="19"/>
  <c r="N37" i="19" s="1"/>
  <c r="N38" i="19" s="1"/>
  <c r="J33" i="19"/>
  <c r="J37" i="19" s="1"/>
  <c r="J38" i="19" s="1"/>
  <c r="AR12" i="19"/>
  <c r="AQ12" i="19" s="1"/>
  <c r="AH12" i="19"/>
  <c r="AG12" i="19" s="1"/>
  <c r="AR26" i="19"/>
  <c r="AQ26" i="19" s="1"/>
  <c r="AH26" i="19"/>
  <c r="AG26" i="19" s="1"/>
  <c r="U33" i="19"/>
  <c r="U37" i="19" s="1"/>
  <c r="U38" i="19" s="1"/>
  <c r="AH20" i="19"/>
  <c r="AG20" i="19" s="1"/>
  <c r="AR20" i="19"/>
  <c r="AQ20" i="19" s="1"/>
  <c r="AR10" i="19"/>
  <c r="AQ10" i="19" s="1"/>
  <c r="AH10" i="19"/>
  <c r="AG10" i="19" s="1"/>
  <c r="AH17" i="19"/>
  <c r="AG17" i="19" s="1"/>
  <c r="AR17" i="19"/>
  <c r="AQ17" i="19" s="1"/>
  <c r="AH11" i="19"/>
  <c r="AG11" i="19" s="1"/>
  <c r="AR11" i="19"/>
  <c r="AQ11" i="19" s="1"/>
  <c r="T33" i="19"/>
  <c r="T37" i="19" s="1"/>
  <c r="T38" i="19" s="1"/>
  <c r="W33" i="19"/>
  <c r="W37" i="19" s="1"/>
  <c r="W38" i="19" s="1"/>
  <c r="L33" i="19"/>
  <c r="L37" i="19" s="1"/>
  <c r="L38" i="19" s="1"/>
  <c r="K33" i="19"/>
  <c r="K37" i="19" s="1"/>
  <c r="K38" i="19" s="1"/>
  <c r="AD57" i="20"/>
  <c r="AR22" i="19"/>
  <c r="AQ22" i="19" s="1"/>
  <c r="AH22" i="19"/>
  <c r="AG22" i="19" s="1"/>
  <c r="AH23" i="19"/>
  <c r="AG23" i="19" s="1"/>
  <c r="AR23" i="19"/>
  <c r="AQ23" i="19" s="1"/>
  <c r="AH29" i="19"/>
  <c r="AG29" i="19" s="1"/>
  <c r="AR29" i="19"/>
  <c r="AQ29" i="19" s="1"/>
  <c r="AR16" i="19"/>
  <c r="AQ16" i="19" s="1"/>
  <c r="AH16" i="19"/>
  <c r="AG16" i="19" s="1"/>
  <c r="H33" i="19"/>
  <c r="H37" i="19" s="1"/>
  <c r="H38" i="19" s="1"/>
  <c r="E33" i="19"/>
  <c r="E37" i="19" s="1"/>
  <c r="E38" i="19" s="1"/>
  <c r="R33" i="19"/>
  <c r="R37" i="19" s="1"/>
  <c r="R38" i="19" s="1"/>
  <c r="O33" i="19"/>
  <c r="O37" i="19" s="1"/>
  <c r="O38" i="19" s="1"/>
  <c r="AH25" i="19"/>
  <c r="AG25" i="19" s="1"/>
  <c r="AR25" i="19"/>
  <c r="AQ25" i="19" s="1"/>
  <c r="AH28" i="19"/>
  <c r="AG28" i="19" s="1"/>
  <c r="AR28" i="19"/>
  <c r="AQ28" i="19" s="1"/>
  <c r="P33" i="19"/>
  <c r="P37" i="19" s="1"/>
  <c r="P38" i="19" s="1"/>
  <c r="X33" i="19"/>
  <c r="X37" i="19" s="1"/>
  <c r="X38" i="19" s="1"/>
  <c r="AR14" i="19"/>
  <c r="AQ14" i="19" s="1"/>
  <c r="AH14" i="19"/>
  <c r="AG14" i="19" s="1"/>
  <c r="AH24" i="19"/>
  <c r="AG24" i="19" s="1"/>
  <c r="AR24" i="19"/>
  <c r="AQ24" i="19" s="1"/>
  <c r="AH7" i="19"/>
  <c r="AG7" i="19" s="1"/>
  <c r="AR7" i="19"/>
  <c r="AQ7" i="19" s="1"/>
  <c r="AH13" i="19"/>
  <c r="AG13" i="19" s="1"/>
  <c r="AR13" i="19"/>
  <c r="AQ13" i="19" s="1"/>
  <c r="F33" i="19"/>
  <c r="F37" i="19" s="1"/>
  <c r="F38" i="19" s="1"/>
  <c r="G33" i="19"/>
  <c r="G37" i="19" s="1"/>
  <c r="G38" i="19" s="1"/>
  <c r="Q33" i="19"/>
  <c r="Q37" i="19" s="1"/>
  <c r="Q38" i="19" s="1"/>
  <c r="S33" i="19"/>
  <c r="S37" i="19" s="1"/>
  <c r="S38" i="19" s="1"/>
  <c r="M33" i="19"/>
  <c r="M37" i="19" s="1"/>
  <c r="M38" i="19" s="1"/>
  <c r="R787" i="28"/>
  <c r="U785" i="18"/>
  <c r="R757" i="28"/>
  <c r="U755" i="18"/>
  <c r="AA877" i="28"/>
  <c r="R129" i="28"/>
  <c r="U127" i="18"/>
  <c r="AJ279" i="28"/>
  <c r="AM277" i="18"/>
  <c r="AK279" i="28" s="1"/>
  <c r="R428" i="28"/>
  <c r="U426" i="18"/>
  <c r="AA803" i="28"/>
  <c r="AJ489" i="28"/>
  <c r="AM487" i="18"/>
  <c r="AK489" i="28" s="1"/>
  <c r="AJ205" i="28"/>
  <c r="AM203" i="18"/>
  <c r="AK205" i="28" s="1"/>
  <c r="R219" i="28"/>
  <c r="U217" i="18"/>
  <c r="R159" i="28"/>
  <c r="U157" i="18"/>
  <c r="AA565" i="28"/>
  <c r="AA265" i="28"/>
  <c r="AJ295" i="28"/>
  <c r="AM293" i="18"/>
  <c r="AK295" i="28" s="1"/>
  <c r="AM157" i="18"/>
  <c r="AK159" i="28" s="1"/>
  <c r="AJ159" i="28"/>
  <c r="AJ653" i="28"/>
  <c r="AM651" i="18"/>
  <c r="AK653" i="28" s="1"/>
  <c r="AA714" i="28"/>
  <c r="R38" i="28"/>
  <c r="U36" i="18"/>
  <c r="S38" i="28" s="1"/>
  <c r="AJ564" i="28"/>
  <c r="AM562" i="18"/>
  <c r="AK564" i="28" s="1"/>
  <c r="AJ24" i="28"/>
  <c r="AM22" i="18"/>
  <c r="AK24" i="28" s="1"/>
  <c r="AJ610" i="28"/>
  <c r="AM608" i="18"/>
  <c r="AK610" i="28" s="1"/>
  <c r="AJ760" i="28"/>
  <c r="AM758" i="18"/>
  <c r="AK760" i="28" s="1"/>
  <c r="R459" i="28"/>
  <c r="U457" i="18"/>
  <c r="AJ338" i="28"/>
  <c r="AM336" i="18"/>
  <c r="AK338" i="28" s="1"/>
  <c r="R864" i="28"/>
  <c r="U862" i="18"/>
  <c r="S864" i="28" s="1"/>
  <c r="AJ130" i="28"/>
  <c r="AM128" i="18"/>
  <c r="AK130" i="28" s="1"/>
  <c r="AA758" i="28"/>
  <c r="R848" i="28"/>
  <c r="U846" i="18"/>
  <c r="S848" i="28" s="1"/>
  <c r="R9" i="28"/>
  <c r="U7" i="18"/>
  <c r="R760" i="28"/>
  <c r="U758" i="18"/>
  <c r="S760" i="28" s="1"/>
  <c r="AA354" i="28"/>
  <c r="U473" i="18"/>
  <c r="R475" i="28"/>
  <c r="R683" i="28"/>
  <c r="U681" i="18"/>
  <c r="S683" i="28" s="1"/>
  <c r="AJ805" i="28"/>
  <c r="AM803" i="18"/>
  <c r="AK805" i="28" s="1"/>
  <c r="U397" i="18"/>
  <c r="R399" i="28"/>
  <c r="AJ325" i="28"/>
  <c r="AM323" i="18"/>
  <c r="AK325" i="28" s="1"/>
  <c r="AM352" i="18"/>
  <c r="AK354" i="28" s="1"/>
  <c r="AJ354" i="28"/>
  <c r="AJ893" i="28"/>
  <c r="AM891" i="18"/>
  <c r="AK893" i="28" s="1"/>
  <c r="AJ730" i="28"/>
  <c r="AM728" i="18"/>
  <c r="AK730" i="28" s="1"/>
  <c r="R188" i="28"/>
  <c r="U186" i="18"/>
  <c r="S188" i="28" s="1"/>
  <c r="AJ473" i="28"/>
  <c r="AM471" i="18"/>
  <c r="AK473" i="28" s="1"/>
  <c r="AA113" i="28"/>
  <c r="AA773" i="28"/>
  <c r="R668" i="28"/>
  <c r="U666" i="18"/>
  <c r="S668" i="28" s="1"/>
  <c r="AJ250" i="28"/>
  <c r="R698" i="28"/>
  <c r="U696" i="18"/>
  <c r="S698" i="28" s="1"/>
  <c r="R384" i="28"/>
  <c r="U382" i="18"/>
  <c r="AJ25" i="28"/>
  <c r="AM23" i="18"/>
  <c r="AK25" i="28" s="1"/>
  <c r="AJ38" i="28"/>
  <c r="AM36" i="18"/>
  <c r="AK38" i="28" s="1"/>
  <c r="R623" i="28"/>
  <c r="U621" i="18"/>
  <c r="S623" i="28" s="1"/>
  <c r="AJ415" i="28"/>
  <c r="AM413" i="18"/>
  <c r="AK415" i="28" s="1"/>
  <c r="R355" i="28"/>
  <c r="U353" i="18"/>
  <c r="AH35" i="20" s="1"/>
  <c r="U352" i="18"/>
  <c r="AH34" i="20" s="1"/>
  <c r="R354" i="28"/>
  <c r="R715" i="28"/>
  <c r="U713" i="18"/>
  <c r="S715" i="28" s="1"/>
  <c r="U307" i="18"/>
  <c r="AE34" i="20" s="1"/>
  <c r="AT14" i="20" s="1"/>
  <c r="R309" i="28"/>
  <c r="R324" i="28"/>
  <c r="U322" i="18"/>
  <c r="AF34" i="20" s="1"/>
  <c r="AJ368" i="28"/>
  <c r="AM366" i="18"/>
  <c r="AK368" i="28" s="1"/>
  <c r="AJ189" i="28"/>
  <c r="AM187" i="18"/>
  <c r="AK189" i="28" s="1"/>
  <c r="R70" i="28"/>
  <c r="U68" i="18"/>
  <c r="AA204" i="28"/>
  <c r="AJ880" i="28"/>
  <c r="AM878" i="18"/>
  <c r="AK880" i="28" s="1"/>
  <c r="U517" i="18"/>
  <c r="R519" i="28"/>
  <c r="AJ790" i="28"/>
  <c r="AM788" i="18"/>
  <c r="AK790" i="28" s="1"/>
  <c r="U82" i="18"/>
  <c r="R84" i="28"/>
  <c r="AA699" i="28"/>
  <c r="R190" i="28"/>
  <c r="U188" i="18"/>
  <c r="AJ578" i="28"/>
  <c r="AM576" i="18"/>
  <c r="AK578" i="28" s="1"/>
  <c r="AA218" i="28"/>
  <c r="AA98" i="28"/>
  <c r="AM548" i="18"/>
  <c r="AK550" i="28" s="1"/>
  <c r="AJ550" i="28"/>
  <c r="AM666" i="18"/>
  <c r="AK668" i="28" s="1"/>
  <c r="AJ668" i="28"/>
  <c r="AA893" i="28"/>
  <c r="AJ803" i="28"/>
  <c r="AM801" i="18"/>
  <c r="AK803" i="28" s="1"/>
  <c r="AA802" i="28"/>
  <c r="U770" i="18"/>
  <c r="AJ802" i="28"/>
  <c r="AM800" i="18"/>
  <c r="R832" i="28"/>
  <c r="U830" i="18"/>
  <c r="R325" i="28"/>
  <c r="U323" i="18"/>
  <c r="AF35" i="20" s="1"/>
  <c r="R85" i="28"/>
  <c r="U83" i="18"/>
  <c r="R114" i="28"/>
  <c r="U112" i="18"/>
  <c r="AA353" i="28"/>
  <c r="R99" i="28"/>
  <c r="U97" i="18"/>
  <c r="AJ563" i="28"/>
  <c r="AM561" i="18"/>
  <c r="AK563" i="28" s="1"/>
  <c r="R55" i="28"/>
  <c r="U53" i="18"/>
  <c r="AM427" i="18"/>
  <c r="AK429" i="28" s="1"/>
  <c r="AJ429" i="28"/>
  <c r="R653" i="28"/>
  <c r="U651" i="18"/>
  <c r="S653" i="28" s="1"/>
  <c r="AJ340" i="28"/>
  <c r="AM338" i="18"/>
  <c r="AK340" i="28" s="1"/>
  <c r="AJ475" i="28"/>
  <c r="AM473" i="18"/>
  <c r="AK475" i="28" s="1"/>
  <c r="AJ623" i="28"/>
  <c r="AM621" i="18"/>
  <c r="AK623" i="28" s="1"/>
  <c r="R234" i="28"/>
  <c r="U232" i="18"/>
  <c r="Z34" i="20" s="1"/>
  <c r="R490" i="28"/>
  <c r="U488" i="18"/>
  <c r="R338" i="28"/>
  <c r="U336" i="18"/>
  <c r="AA175" i="28"/>
  <c r="AA564" i="28"/>
  <c r="R263" i="28"/>
  <c r="U261" i="18"/>
  <c r="AA430" i="28"/>
  <c r="AA595" i="28"/>
  <c r="AA145" i="28"/>
  <c r="AJ580" i="28"/>
  <c r="AM578" i="18"/>
  <c r="AK580" i="28" s="1"/>
  <c r="AJ174" i="28"/>
  <c r="AM172" i="18"/>
  <c r="AK174" i="28" s="1"/>
  <c r="AJ99" i="28"/>
  <c r="AM97" i="18"/>
  <c r="AK99" i="28" s="1"/>
  <c r="R445" i="28"/>
  <c r="U443" i="18"/>
  <c r="AJ128" i="28"/>
  <c r="AM126" i="18"/>
  <c r="AK128" i="28" s="1"/>
  <c r="AA340" i="28"/>
  <c r="AJ39" i="28"/>
  <c r="AM37" i="18"/>
  <c r="AK39" i="28" s="1"/>
  <c r="R758" i="28"/>
  <c r="U756" i="18"/>
  <c r="S758" i="28" s="1"/>
  <c r="AA234" i="28"/>
  <c r="AA264" i="28"/>
  <c r="AA143" i="28"/>
  <c r="R415" i="28"/>
  <c r="U413" i="18"/>
  <c r="R339" i="28"/>
  <c r="U337" i="18"/>
  <c r="AG34" i="20" s="1"/>
  <c r="AJ864" i="28"/>
  <c r="AM862" i="18"/>
  <c r="AK864" i="28" s="1"/>
  <c r="R235" i="28"/>
  <c r="U233" i="18"/>
  <c r="Z35" i="20" s="1"/>
  <c r="AJ863" i="28"/>
  <c r="AM861" i="18"/>
  <c r="AK863" i="28" s="1"/>
  <c r="AJ370" i="28"/>
  <c r="AM368" i="18"/>
  <c r="AK370" i="28" s="1"/>
  <c r="AA415" i="28"/>
  <c r="R670" i="28"/>
  <c r="U668" i="18"/>
  <c r="S670" i="28" s="1"/>
  <c r="R414" i="28"/>
  <c r="U412" i="18"/>
  <c r="AA158" i="28"/>
  <c r="R25" i="28"/>
  <c r="U23" i="18"/>
  <c r="AM667" i="18"/>
  <c r="AK669" i="28" s="1"/>
  <c r="AJ669" i="28"/>
  <c r="AA174" i="28"/>
  <c r="AJ23" i="28"/>
  <c r="AM21" i="18"/>
  <c r="AK23" i="28" s="1"/>
  <c r="AA219" i="28"/>
  <c r="AJ535" i="28"/>
  <c r="AM533" i="18"/>
  <c r="AK535" i="28" s="1"/>
  <c r="R413" i="28"/>
  <c r="U411" i="18"/>
  <c r="R504" i="28"/>
  <c r="U502" i="18"/>
  <c r="AA790" i="28"/>
  <c r="AA593" i="28"/>
  <c r="AM321" i="18"/>
  <c r="AK323" i="28" s="1"/>
  <c r="AJ323" i="28"/>
  <c r="AC55" i="20"/>
  <c r="AQ55" i="20" s="1"/>
  <c r="R368" i="28"/>
  <c r="U366" i="18"/>
  <c r="R789" i="28"/>
  <c r="U787" i="18"/>
  <c r="S789" i="28" s="1"/>
  <c r="U637" i="18"/>
  <c r="S639" i="28" s="1"/>
  <c r="R639" i="28"/>
  <c r="AA563" i="28"/>
  <c r="AJ878" i="28"/>
  <c r="AM876" i="18"/>
  <c r="AK878" i="28" s="1"/>
  <c r="AJ474" i="28"/>
  <c r="AM472" i="18"/>
  <c r="AK474" i="28" s="1"/>
  <c r="AJ204" i="28"/>
  <c r="AM202" i="18"/>
  <c r="AK204" i="28" s="1"/>
  <c r="R503" i="28"/>
  <c r="U501" i="18"/>
  <c r="AJ850" i="28"/>
  <c r="AM848" i="18"/>
  <c r="AK850" i="28" s="1"/>
  <c r="AC54" i="20"/>
  <c r="AQ54" i="20" s="1"/>
  <c r="R204" i="28"/>
  <c r="U202" i="18"/>
  <c r="AA549" i="28"/>
  <c r="AA99" i="28"/>
  <c r="AA772" i="28"/>
  <c r="R817" i="28"/>
  <c r="U815" i="18"/>
  <c r="AJ757" i="28"/>
  <c r="AM755" i="18"/>
  <c r="AJ817" i="28"/>
  <c r="AM815" i="18"/>
  <c r="AA294" i="28"/>
  <c r="AJ145" i="28"/>
  <c r="AM143" i="18"/>
  <c r="AK145" i="28" s="1"/>
  <c r="AA878" i="28"/>
  <c r="AB878" i="28"/>
  <c r="AM652" i="18"/>
  <c r="AK654" i="28" s="1"/>
  <c r="AJ654" i="28"/>
  <c r="AA534" i="28"/>
  <c r="R743" i="28"/>
  <c r="U741" i="18"/>
  <c r="S743" i="28" s="1"/>
  <c r="R773" i="28"/>
  <c r="U771" i="18"/>
  <c r="S773" i="28" s="1"/>
  <c r="R279" i="28"/>
  <c r="U277" i="18"/>
  <c r="AC34" i="20" s="1"/>
  <c r="AR14" i="20" s="1"/>
  <c r="AA190" i="28"/>
  <c r="R248" i="28"/>
  <c r="U246" i="18"/>
  <c r="R278" i="28"/>
  <c r="U276" i="18"/>
  <c r="AA308" i="28"/>
  <c r="R444" i="28"/>
  <c r="U442" i="18"/>
  <c r="R534" i="28"/>
  <c r="U532" i="18"/>
  <c r="S534" i="28" s="1"/>
  <c r="R850" i="28"/>
  <c r="U848" i="18"/>
  <c r="S850" i="28" s="1"/>
  <c r="AA654" i="28"/>
  <c r="AA160" i="28"/>
  <c r="AA53" i="28"/>
  <c r="AJ518" i="28"/>
  <c r="AM516" i="18"/>
  <c r="AK518" i="28" s="1"/>
  <c r="AA504" i="28"/>
  <c r="AA444" i="28"/>
  <c r="AA250" i="28"/>
  <c r="AA85" i="28"/>
  <c r="R383" i="28"/>
  <c r="U381" i="18"/>
  <c r="AA713" i="28"/>
  <c r="AA683" i="28"/>
  <c r="AA9" i="28"/>
  <c r="AB9" i="28"/>
  <c r="U711" i="18"/>
  <c r="S713" i="28" s="1"/>
  <c r="R713" i="28"/>
  <c r="AJ879" i="28"/>
  <c r="AM877" i="18"/>
  <c r="AK879" i="28" s="1"/>
  <c r="AA220" i="28"/>
  <c r="AA488" i="28"/>
  <c r="AA864" i="28"/>
  <c r="AA25" i="28"/>
  <c r="R805" i="28"/>
  <c r="U803" i="18"/>
  <c r="S805" i="28" s="1"/>
  <c r="R474" i="28"/>
  <c r="U472" i="18"/>
  <c r="AJ129" i="28"/>
  <c r="AM127" i="18"/>
  <c r="AK129" i="28" s="1"/>
  <c r="AA518" i="28"/>
  <c r="AJ729" i="28"/>
  <c r="AM727" i="18"/>
  <c r="AK729" i="28" s="1"/>
  <c r="AA788" i="28"/>
  <c r="AA233" i="28"/>
  <c r="R505" i="28"/>
  <c r="U503" i="18"/>
  <c r="R803" i="28"/>
  <c r="U801" i="18"/>
  <c r="S803" i="28" s="1"/>
  <c r="AA609" i="28"/>
  <c r="AM396" i="18"/>
  <c r="AK398" i="28" s="1"/>
  <c r="AJ398" i="28"/>
  <c r="R518" i="28"/>
  <c r="U516" i="18"/>
  <c r="AJ84" i="28"/>
  <c r="AM82" i="18"/>
  <c r="AK84" i="28" s="1"/>
  <c r="AA879" i="28"/>
  <c r="AJ264" i="28"/>
  <c r="AM262" i="18"/>
  <c r="AK264" i="28" s="1"/>
  <c r="AJ835" i="28"/>
  <c r="AM833" i="18"/>
  <c r="AK835" i="28" s="1"/>
  <c r="AM278" i="18"/>
  <c r="AK280" i="28" s="1"/>
  <c r="AJ280" i="28"/>
  <c r="R98" i="28"/>
  <c r="U96" i="18"/>
  <c r="S98" i="28" s="1"/>
  <c r="R700" i="28"/>
  <c r="U698" i="18"/>
  <c r="S700" i="28" s="1"/>
  <c r="AJ743" i="28"/>
  <c r="AM741" i="18"/>
  <c r="AK743" i="28" s="1"/>
  <c r="U591" i="18"/>
  <c r="S593" i="28" s="1"/>
  <c r="R593" i="28"/>
  <c r="AA459" i="28"/>
  <c r="AA55" i="28"/>
  <c r="R340" i="28"/>
  <c r="U338" i="18"/>
  <c r="AG35" i="20" s="1"/>
  <c r="R865" i="28"/>
  <c r="U863" i="18"/>
  <c r="S865" i="28" s="1"/>
  <c r="R820" i="28"/>
  <c r="U818" i="18"/>
  <c r="S820" i="28" s="1"/>
  <c r="R878" i="28"/>
  <c r="U876" i="18"/>
  <c r="S878" i="28" s="1"/>
  <c r="AJ504" i="28"/>
  <c r="AM502" i="18"/>
  <c r="AK504" i="28" s="1"/>
  <c r="AA578" i="28"/>
  <c r="AC56" i="20"/>
  <c r="AQ56" i="20" s="1"/>
  <c r="AM6" i="18"/>
  <c r="AJ8" i="28"/>
  <c r="AA249" i="28"/>
  <c r="AA263" i="28"/>
  <c r="AA804" i="28"/>
  <c r="AA787" i="28"/>
  <c r="AJ832" i="28"/>
  <c r="AM830" i="18"/>
  <c r="AJ877" i="28"/>
  <c r="AM875" i="18"/>
  <c r="AJ787" i="28"/>
  <c r="AM785" i="18"/>
  <c r="U788" i="18"/>
  <c r="S790" i="28" s="1"/>
  <c r="R790" i="28"/>
  <c r="R295" i="28"/>
  <c r="U293" i="18"/>
  <c r="AD35" i="20" s="1"/>
  <c r="AS15" i="20" s="1"/>
  <c r="AJ278" i="28"/>
  <c r="AM276" i="18"/>
  <c r="AK278" i="28" s="1"/>
  <c r="AJ40" i="28"/>
  <c r="AM38" i="18"/>
  <c r="AK40" i="28" s="1"/>
  <c r="AA173" i="28"/>
  <c r="U383" i="18"/>
  <c r="R385" i="28"/>
  <c r="R24" i="28"/>
  <c r="U22" i="18"/>
  <c r="AJ383" i="28"/>
  <c r="AM381" i="18"/>
  <c r="AK383" i="28" s="1"/>
  <c r="U6" i="18"/>
  <c r="R8" i="28"/>
  <c r="AA413" i="28"/>
  <c r="U697" i="18"/>
  <c r="S699" i="28" s="1"/>
  <c r="R699" i="28"/>
  <c r="AA203" i="28"/>
  <c r="AJ503" i="28"/>
  <c r="AM501" i="18"/>
  <c r="AK503" i="28" s="1"/>
  <c r="AA189" i="28"/>
  <c r="R23" i="28"/>
  <c r="U21" i="18"/>
  <c r="S23" i="28" s="1"/>
  <c r="AM67" i="18"/>
  <c r="AK69" i="28" s="1"/>
  <c r="AJ69" i="28"/>
  <c r="AA279" i="28"/>
  <c r="AJ143" i="28"/>
  <c r="AM141" i="18"/>
  <c r="AK143" i="28" s="1"/>
  <c r="R280" i="28"/>
  <c r="U278" i="18"/>
  <c r="AC35" i="20" s="1"/>
  <c r="AA400" i="28"/>
  <c r="R53" i="28"/>
  <c r="U51" i="18"/>
  <c r="S53" i="28" s="1"/>
  <c r="AJ308" i="28"/>
  <c r="AA399" i="28"/>
  <c r="AJ728" i="28"/>
  <c r="AM726" i="18"/>
  <c r="AK728" i="28" s="1"/>
  <c r="AJ355" i="28"/>
  <c r="AM353" i="18"/>
  <c r="AK355" i="28" s="1"/>
  <c r="AJ548" i="28"/>
  <c r="AM546" i="18"/>
  <c r="AK548" i="28" s="1"/>
  <c r="AA8" i="28"/>
  <c r="AB8" i="28"/>
  <c r="R655" i="28"/>
  <c r="U653" i="18"/>
  <c r="S655" i="28" s="1"/>
  <c r="AA863" i="28"/>
  <c r="AA535" i="28"/>
  <c r="AA414" i="28"/>
  <c r="AA729" i="28"/>
  <c r="R594" i="28"/>
  <c r="U592" i="18"/>
  <c r="S594" i="28" s="1"/>
  <c r="R308" i="28"/>
  <c r="U306" i="18"/>
  <c r="AA670" i="28"/>
  <c r="AJ55" i="28"/>
  <c r="AM53" i="18"/>
  <c r="AK55" i="28" s="1"/>
  <c r="AA760" i="28"/>
  <c r="AJ775" i="28"/>
  <c r="AM773" i="18"/>
  <c r="AK775" i="28" s="1"/>
  <c r="AJ820" i="28"/>
  <c r="AM818" i="18"/>
  <c r="AK820" i="28" s="1"/>
  <c r="AM623" i="18"/>
  <c r="AK625" i="28" s="1"/>
  <c r="AJ625" i="28"/>
  <c r="R430" i="28"/>
  <c r="U428" i="18"/>
  <c r="AJ773" i="28"/>
  <c r="AM771" i="18"/>
  <c r="AK773" i="28" s="1"/>
  <c r="R624" i="28"/>
  <c r="U622" i="18"/>
  <c r="S624" i="28" s="1"/>
  <c r="AJ534" i="28"/>
  <c r="AM532" i="18"/>
  <c r="AK534" i="28" s="1"/>
  <c r="AA489" i="28"/>
  <c r="AA38" i="28"/>
  <c r="AJ444" i="28"/>
  <c r="AM442" i="18"/>
  <c r="AK444" i="28" s="1"/>
  <c r="AJ233" i="28"/>
  <c r="AM231" i="18"/>
  <c r="AK233" i="28" s="1"/>
  <c r="U623" i="18"/>
  <c r="S625" i="28" s="1"/>
  <c r="R625" i="28"/>
  <c r="AJ698" i="28"/>
  <c r="AM696" i="18"/>
  <c r="AK698" i="28" s="1"/>
  <c r="R894" i="28"/>
  <c r="U892" i="18"/>
  <c r="S894" i="28" s="1"/>
  <c r="AJ894" i="28"/>
  <c r="AM892" i="18"/>
  <c r="AK894" i="28" s="1"/>
  <c r="R264" i="28"/>
  <c r="U262" i="18"/>
  <c r="AB34" i="20" s="1"/>
  <c r="AQ14" i="20" s="1"/>
  <c r="AJ309" i="28"/>
  <c r="AM307" i="18"/>
  <c r="AK309" i="28" s="1"/>
  <c r="AA519" i="28"/>
  <c r="R744" i="28"/>
  <c r="U742" i="18"/>
  <c r="S744" i="28" s="1"/>
  <c r="AA159" i="28"/>
  <c r="AA474" i="28"/>
  <c r="AA309" i="28"/>
  <c r="AJ804" i="28"/>
  <c r="AM802" i="18"/>
  <c r="AK804" i="28" s="1"/>
  <c r="U458" i="18"/>
  <c r="R460" i="28"/>
  <c r="AJ443" i="28"/>
  <c r="AM441" i="18"/>
  <c r="AK443" i="28" s="1"/>
  <c r="AJ203" i="28"/>
  <c r="AM201" i="18"/>
  <c r="AK203" i="28" s="1"/>
  <c r="AA835" i="28"/>
  <c r="AA700" i="28"/>
  <c r="R862" i="28"/>
  <c r="U860" i="18"/>
  <c r="AA847" i="28"/>
  <c r="AJ490" i="28"/>
  <c r="AM488" i="18"/>
  <c r="AK490" i="28" s="1"/>
  <c r="AJ53" i="28"/>
  <c r="AM51" i="18"/>
  <c r="AK53" i="28" s="1"/>
  <c r="AA475" i="28"/>
  <c r="AA324" i="28"/>
  <c r="R115" i="28"/>
  <c r="U113" i="18"/>
  <c r="AA774" i="28"/>
  <c r="AA39" i="28"/>
  <c r="R160" i="28"/>
  <c r="U158" i="18"/>
  <c r="AJ220" i="28"/>
  <c r="AM218" i="18"/>
  <c r="AK220" i="28" s="1"/>
  <c r="AA295" i="28"/>
  <c r="AA894" i="28"/>
  <c r="AB894" i="28"/>
  <c r="AJ173" i="28"/>
  <c r="AM171" i="18"/>
  <c r="AK173" i="28" s="1"/>
  <c r="AJ428" i="28"/>
  <c r="AM426" i="18"/>
  <c r="AK428" i="28" s="1"/>
  <c r="AA625" i="28"/>
  <c r="AA338" i="28"/>
  <c r="R173" i="28"/>
  <c r="U171" i="18"/>
  <c r="S173" i="28" s="1"/>
  <c r="AA100" i="28"/>
  <c r="R563" i="28"/>
  <c r="U561" i="18"/>
  <c r="S563" i="28" s="1"/>
  <c r="R684" i="28"/>
  <c r="U682" i="18"/>
  <c r="S684" i="28" s="1"/>
  <c r="AM517" i="18"/>
  <c r="AK519" i="28" s="1"/>
  <c r="AJ519" i="28"/>
  <c r="R145" i="28"/>
  <c r="U143" i="18"/>
  <c r="R640" i="28"/>
  <c r="U638" i="18"/>
  <c r="S640" i="28" s="1"/>
  <c r="R203" i="28"/>
  <c r="U201" i="18"/>
  <c r="S203" i="28" s="1"/>
  <c r="R265" i="28"/>
  <c r="U263" i="18"/>
  <c r="AB35" i="20" s="1"/>
  <c r="R143" i="28"/>
  <c r="U141" i="18"/>
  <c r="S143" i="28" s="1"/>
  <c r="AA685" i="28"/>
  <c r="AJ113" i="28"/>
  <c r="AM111" i="18"/>
  <c r="AK113" i="28" s="1"/>
  <c r="R714" i="28"/>
  <c r="U712" i="18"/>
  <c r="S714" i="28" s="1"/>
  <c r="AA69" i="28"/>
  <c r="AA310" i="28"/>
  <c r="R729" i="28"/>
  <c r="U727" i="18"/>
  <c r="S729" i="28" s="1"/>
  <c r="R535" i="28"/>
  <c r="U533" i="18"/>
  <c r="S535" i="28" s="1"/>
  <c r="AA235" i="28"/>
  <c r="R113" i="28"/>
  <c r="U111" i="18"/>
  <c r="S113" i="28" s="1"/>
  <c r="R774" i="28"/>
  <c r="U772" i="18"/>
  <c r="S774" i="28" s="1"/>
  <c r="R849" i="28"/>
  <c r="U847" i="18"/>
  <c r="S849" i="28" s="1"/>
  <c r="AJ700" i="28"/>
  <c r="AM698" i="18"/>
  <c r="AK700" i="28" s="1"/>
  <c r="AA640" i="28"/>
  <c r="AA130" i="28"/>
  <c r="U471" i="18"/>
  <c r="R473" i="28"/>
  <c r="AJ655" i="28"/>
  <c r="AM653" i="18"/>
  <c r="AK655" i="28" s="1"/>
  <c r="U563" i="18"/>
  <c r="S565" i="28" s="1"/>
  <c r="R565" i="28"/>
  <c r="AA745" i="28"/>
  <c r="AA550" i="28"/>
  <c r="AM531" i="18"/>
  <c r="AK533" i="28" s="1"/>
  <c r="AJ533" i="28"/>
  <c r="AJ609" i="28"/>
  <c r="AM607" i="18"/>
  <c r="AK609" i="28" s="1"/>
  <c r="AA443" i="28"/>
  <c r="AA623" i="28"/>
  <c r="AA429" i="28"/>
  <c r="AJ624" i="28"/>
  <c r="AM622" i="18"/>
  <c r="AK624" i="28" s="1"/>
  <c r="AJ219" i="28"/>
  <c r="AM217" i="18"/>
  <c r="AK219" i="28" s="1"/>
  <c r="R489" i="28"/>
  <c r="U487" i="18"/>
  <c r="AJ849" i="28"/>
  <c r="AM847" i="18"/>
  <c r="AK849" i="28" s="1"/>
  <c r="R220" i="28"/>
  <c r="U218" i="18"/>
  <c r="R370" i="28"/>
  <c r="U368" i="18"/>
  <c r="AA473" i="28"/>
  <c r="U367" i="18"/>
  <c r="R369" i="28"/>
  <c r="AA323" i="28"/>
  <c r="AA370" i="28"/>
  <c r="AA54" i="28"/>
  <c r="AM382" i="18"/>
  <c r="AK384" i="28" s="1"/>
  <c r="AJ384" i="28"/>
  <c r="AM443" i="18"/>
  <c r="AK445" i="28" s="1"/>
  <c r="AJ445" i="28"/>
  <c r="AJ594" i="28"/>
  <c r="AM592" i="18"/>
  <c r="AK594" i="28" s="1"/>
  <c r="AM683" i="18"/>
  <c r="AK685" i="28" s="1"/>
  <c r="AJ685" i="28"/>
  <c r="AA248" i="28"/>
  <c r="AA744" i="28"/>
  <c r="AA23" i="28"/>
  <c r="AA580" i="28"/>
  <c r="R877" i="28"/>
  <c r="U875" i="18"/>
  <c r="AJ565" i="28"/>
  <c r="AM563" i="18"/>
  <c r="AK565" i="28" s="1"/>
  <c r="AA833" i="28"/>
  <c r="AJ324" i="28"/>
  <c r="AM322" i="18"/>
  <c r="AK324" i="28" s="1"/>
  <c r="AA293" i="28"/>
  <c r="AJ294" i="28"/>
  <c r="AM292" i="18"/>
  <c r="AK294" i="28" s="1"/>
  <c r="AA880" i="28"/>
  <c r="R130" i="28"/>
  <c r="U128" i="18"/>
  <c r="AA68" i="28"/>
  <c r="R353" i="28"/>
  <c r="U351" i="18"/>
  <c r="AA205" i="28"/>
  <c r="R205" i="28"/>
  <c r="U203" i="18"/>
  <c r="AA520" i="28"/>
  <c r="AM216" i="18"/>
  <c r="AK218" i="28" s="1"/>
  <c r="AJ218" i="28"/>
  <c r="AA460" i="28"/>
  <c r="AA188" i="28"/>
  <c r="R819" i="28"/>
  <c r="U817" i="18"/>
  <c r="S819" i="28" s="1"/>
  <c r="AA684" i="28"/>
  <c r="R669" i="28"/>
  <c r="U667" i="18"/>
  <c r="S669" i="28" s="1"/>
  <c r="R174" i="28"/>
  <c r="U172" i="18"/>
  <c r="R549" i="28"/>
  <c r="U547" i="18"/>
  <c r="S549" i="28" s="1"/>
  <c r="R249" i="28"/>
  <c r="U247" i="18"/>
  <c r="AA34" i="20" s="1"/>
  <c r="AP14" i="20" s="1"/>
  <c r="R609" i="28"/>
  <c r="U607" i="18"/>
  <c r="S609" i="28" s="1"/>
  <c r="AJ458" i="28"/>
  <c r="AM456" i="18"/>
  <c r="AK458" i="28" s="1"/>
  <c r="AJ549" i="28"/>
  <c r="AM547" i="18"/>
  <c r="AK549" i="28" s="1"/>
  <c r="AJ833" i="28"/>
  <c r="AM831" i="18"/>
  <c r="AK833" i="28" s="1"/>
  <c r="AJ263" i="28"/>
  <c r="AM261" i="18"/>
  <c r="AK263" i="28" s="1"/>
  <c r="AJ595" i="28"/>
  <c r="AM593" i="18"/>
  <c r="AK595" i="28" s="1"/>
  <c r="AJ774" i="28"/>
  <c r="AM772" i="18"/>
  <c r="AK774" i="28" s="1"/>
  <c r="R158" i="28"/>
  <c r="U156" i="18"/>
  <c r="S158" i="28" s="1"/>
  <c r="R458" i="28"/>
  <c r="U456" i="18"/>
  <c r="R578" i="28"/>
  <c r="U576" i="18"/>
  <c r="S578" i="28" s="1"/>
  <c r="AA505" i="28"/>
  <c r="R608" i="28"/>
  <c r="U606" i="18"/>
  <c r="S608" i="28" s="1"/>
  <c r="AA40" i="28"/>
  <c r="AA805" i="28"/>
  <c r="AA458" i="28"/>
  <c r="R818" i="28"/>
  <c r="U816" i="18"/>
  <c r="S818" i="28" s="1"/>
  <c r="AA789" i="28"/>
  <c r="AA10" i="28"/>
  <c r="AB10" i="28"/>
  <c r="AJ98" i="28"/>
  <c r="AM96" i="18"/>
  <c r="AK98" i="28" s="1"/>
  <c r="U743" i="18"/>
  <c r="S745" i="28" s="1"/>
  <c r="R730" i="28"/>
  <c r="U728" i="18"/>
  <c r="S730" i="28" s="1"/>
  <c r="AA715" i="28"/>
  <c r="AJ758" i="28"/>
  <c r="AM756" i="18"/>
  <c r="AK758" i="28" s="1"/>
  <c r="AJ265" i="28"/>
  <c r="AM263" i="18"/>
  <c r="AK265" i="28" s="1"/>
  <c r="AJ715" i="28"/>
  <c r="AM713" i="18"/>
  <c r="AK715" i="28" s="1"/>
  <c r="R189" i="28"/>
  <c r="U187" i="18"/>
  <c r="AA144" i="28"/>
  <c r="AM232" i="18"/>
  <c r="AK234" i="28" s="1"/>
  <c r="AJ234" i="28"/>
  <c r="R654" i="28"/>
  <c r="U652" i="18"/>
  <c r="S654" i="28" s="1"/>
  <c r="AJ413" i="28"/>
  <c r="AM411" i="18"/>
  <c r="AK413" i="28" s="1"/>
  <c r="AM412" i="18"/>
  <c r="AK414" i="28" s="1"/>
  <c r="AJ414" i="28"/>
  <c r="R144" i="28"/>
  <c r="U142" i="18"/>
  <c r="AM158" i="18"/>
  <c r="AK160" i="28" s="1"/>
  <c r="AJ160" i="28"/>
  <c r="AA355" i="28"/>
  <c r="AJ248" i="28"/>
  <c r="AM246" i="18"/>
  <c r="AK248" i="28" s="1"/>
  <c r="AA325" i="28"/>
  <c r="R685" i="28"/>
  <c r="U683" i="18"/>
  <c r="S685" i="28" s="1"/>
  <c r="AA610" i="28"/>
  <c r="AA579" i="28"/>
  <c r="R579" i="28"/>
  <c r="U577" i="18"/>
  <c r="S579" i="28" s="1"/>
  <c r="AA490" i="28"/>
  <c r="AJ353" i="28"/>
  <c r="AM351" i="18"/>
  <c r="AK353" i="28" s="1"/>
  <c r="AJ158" i="28"/>
  <c r="AM156" i="18"/>
  <c r="AK158" i="28" s="1"/>
  <c r="AJ789" i="28"/>
  <c r="AM787" i="18"/>
  <c r="AK789" i="28" s="1"/>
  <c r="AJ713" i="28"/>
  <c r="AM711" i="18"/>
  <c r="AK713" i="28" s="1"/>
  <c r="AA639" i="28"/>
  <c r="AJ85" i="28"/>
  <c r="AM83" i="18"/>
  <c r="AK85" i="28" s="1"/>
  <c r="AA128" i="28"/>
  <c r="AJ865" i="28"/>
  <c r="AM863" i="18"/>
  <c r="AK865" i="28" s="1"/>
  <c r="AJ847" i="28"/>
  <c r="AM845" i="18"/>
  <c r="AA892" i="28"/>
  <c r="AB892" i="28"/>
  <c r="AA832" i="28"/>
  <c r="AB832" i="28"/>
  <c r="R294" i="28"/>
  <c r="U292" i="18"/>
  <c r="AD34" i="20" s="1"/>
  <c r="AS14" i="20" s="1"/>
  <c r="R233" i="28"/>
  <c r="U231" i="18"/>
  <c r="AA743" i="28"/>
  <c r="AA278" i="28"/>
  <c r="U593" i="18"/>
  <c r="S595" i="28" s="1"/>
  <c r="R595" i="28"/>
  <c r="AA368" i="28"/>
  <c r="AA83" i="28"/>
  <c r="AJ115" i="28"/>
  <c r="AM113" i="18"/>
  <c r="AK115" i="28" s="1"/>
  <c r="R218" i="28"/>
  <c r="U216" i="18"/>
  <c r="S218" i="28" s="1"/>
  <c r="R550" i="28"/>
  <c r="U548" i="18"/>
  <c r="S550" i="28" s="1"/>
  <c r="AJ9" i="28"/>
  <c r="AM7" i="18"/>
  <c r="AM188" i="18"/>
  <c r="AK190" i="28" s="1"/>
  <c r="AJ190" i="28"/>
  <c r="R880" i="28"/>
  <c r="U878" i="18"/>
  <c r="S880" i="28" s="1"/>
  <c r="R398" i="28"/>
  <c r="U396" i="18"/>
  <c r="AA594" i="28"/>
  <c r="R310" i="28"/>
  <c r="U308" i="18"/>
  <c r="AE35" i="20" s="1"/>
  <c r="AT15" i="20" s="1"/>
  <c r="AJ895" i="28"/>
  <c r="AM893" i="18"/>
  <c r="AK895" i="28" s="1"/>
  <c r="R293" i="28"/>
  <c r="U291" i="18"/>
  <c r="AJ100" i="28"/>
  <c r="AM98" i="18"/>
  <c r="AK100" i="28" s="1"/>
  <c r="AJ54" i="28"/>
  <c r="AM52" i="18"/>
  <c r="AK54" i="28" s="1"/>
  <c r="R488" i="28"/>
  <c r="U486" i="18"/>
  <c r="AA820" i="28"/>
  <c r="AJ399" i="28"/>
  <c r="AM397" i="18"/>
  <c r="AK399" i="28" s="1"/>
  <c r="AJ114" i="28"/>
  <c r="AM112" i="18"/>
  <c r="AK114" i="28" s="1"/>
  <c r="R804" i="28"/>
  <c r="U802" i="18"/>
  <c r="S804" i="28" s="1"/>
  <c r="AA70" i="28"/>
  <c r="AJ670" i="28"/>
  <c r="AM668" i="18"/>
  <c r="AK670" i="28" s="1"/>
  <c r="R533" i="28"/>
  <c r="U531" i="18"/>
  <c r="S533" i="28" s="1"/>
  <c r="AA850" i="28"/>
  <c r="AB850" i="28"/>
  <c r="R250" i="28"/>
  <c r="U248" i="18"/>
  <c r="AA35" i="20" s="1"/>
  <c r="AP15" i="20" s="1"/>
  <c r="AA533" i="28"/>
  <c r="AA369" i="28"/>
  <c r="AA445" i="28"/>
  <c r="R83" i="28"/>
  <c r="U81" i="18"/>
  <c r="S83" i="28" s="1"/>
  <c r="AJ70" i="28"/>
  <c r="AM68" i="18"/>
  <c r="AK70" i="28" s="1"/>
  <c r="AJ310" i="28"/>
  <c r="AM308" i="18"/>
  <c r="AK310" i="28" s="1"/>
  <c r="R728" i="28"/>
  <c r="U726" i="18"/>
  <c r="S728" i="28" s="1"/>
  <c r="AJ639" i="28"/>
  <c r="AM637" i="18"/>
  <c r="AK639" i="28" s="1"/>
  <c r="AJ520" i="28"/>
  <c r="AM518" i="18"/>
  <c r="AK520" i="28" s="1"/>
  <c r="AJ640" i="28"/>
  <c r="AM638" i="18"/>
  <c r="AK640" i="28" s="1"/>
  <c r="AA114" i="28"/>
  <c r="AA818" i="28"/>
  <c r="AA834" i="28"/>
  <c r="R69" i="28"/>
  <c r="U67" i="18"/>
  <c r="U427" i="18"/>
  <c r="R429" i="28"/>
  <c r="AJ249" i="28"/>
  <c r="AM247" i="18"/>
  <c r="AK249" i="28" s="1"/>
  <c r="AA115" i="28"/>
  <c r="R548" i="28"/>
  <c r="U546" i="18"/>
  <c r="S548" i="28" s="1"/>
  <c r="AA548" i="28"/>
  <c r="AM291" i="18"/>
  <c r="AK293" i="28" s="1"/>
  <c r="AJ293" i="28"/>
  <c r="AA730" i="28"/>
  <c r="AA384" i="28"/>
  <c r="AA669" i="28"/>
  <c r="AA698" i="28"/>
  <c r="AA428" i="28"/>
  <c r="AJ175" i="28"/>
  <c r="AM173" i="18"/>
  <c r="AK175" i="28" s="1"/>
  <c r="AJ744" i="28"/>
  <c r="AM742" i="18"/>
  <c r="AK744" i="28" s="1"/>
  <c r="R54" i="28"/>
  <c r="U52" i="18"/>
  <c r="AJ683" i="28"/>
  <c r="AM681" i="18"/>
  <c r="AK683" i="28" s="1"/>
  <c r="AJ459" i="28"/>
  <c r="AM457" i="18"/>
  <c r="AK459" i="28" s="1"/>
  <c r="R835" i="28"/>
  <c r="U833" i="18"/>
  <c r="S835" i="28" s="1"/>
  <c r="R400" i="28"/>
  <c r="U398" i="18"/>
  <c r="AJ339" i="28"/>
  <c r="AM337" i="18"/>
  <c r="AK339" i="28" s="1"/>
  <c r="AJ699" i="28"/>
  <c r="AM697" i="18"/>
  <c r="AK699" i="28" s="1"/>
  <c r="AJ144" i="28"/>
  <c r="AM142" i="18"/>
  <c r="AK144" i="28" s="1"/>
  <c r="R863" i="28"/>
  <c r="U861" i="18"/>
  <c r="S863" i="28" s="1"/>
  <c r="AA398" i="28"/>
  <c r="AA849" i="28"/>
  <c r="AA817" i="28"/>
  <c r="U800" i="18"/>
  <c r="R847" i="28"/>
  <c r="U845" i="18"/>
  <c r="AJ772" i="28"/>
  <c r="AM770" i="18"/>
  <c r="AJ862" i="28"/>
  <c r="AM860" i="18"/>
  <c r="AA383" i="28"/>
  <c r="AJ638" i="28"/>
  <c r="AM636" i="18"/>
  <c r="AK638" i="28" s="1"/>
  <c r="AA503" i="28"/>
  <c r="AJ579" i="28"/>
  <c r="AM577" i="18"/>
  <c r="AK579" i="28" s="1"/>
  <c r="AA668" i="28"/>
  <c r="R39" i="28"/>
  <c r="U37" i="18"/>
  <c r="AA608" i="28"/>
  <c r="R775" i="28"/>
  <c r="U773" i="18"/>
  <c r="S775" i="28" s="1"/>
  <c r="R40" i="28"/>
  <c r="U38" i="18"/>
  <c r="AM428" i="18"/>
  <c r="AK430" i="28" s="1"/>
  <c r="AJ430" i="28"/>
  <c r="R895" i="28"/>
  <c r="U893" i="18"/>
  <c r="S895" i="28" s="1"/>
  <c r="R10" i="28"/>
  <c r="U8" i="18"/>
  <c r="R879" i="28"/>
  <c r="U877" i="18"/>
  <c r="S879" i="28" s="1"/>
  <c r="R610" i="28"/>
  <c r="U608" i="18"/>
  <c r="S610" i="28" s="1"/>
  <c r="AA865" i="28"/>
  <c r="AJ759" i="28"/>
  <c r="AM757" i="18"/>
  <c r="AK759" i="28" s="1"/>
  <c r="AA895" i="28"/>
  <c r="AJ369" i="28"/>
  <c r="AM367" i="18"/>
  <c r="AK369" i="28" s="1"/>
  <c r="R175" i="28"/>
  <c r="U173" i="18"/>
  <c r="R759" i="28"/>
  <c r="U757" i="18"/>
  <c r="S759" i="28" s="1"/>
  <c r="AJ848" i="28"/>
  <c r="AM846" i="18"/>
  <c r="AK848" i="28" s="1"/>
  <c r="AA653" i="28"/>
  <c r="R128" i="28"/>
  <c r="U126" i="18"/>
  <c r="S128" i="28" s="1"/>
  <c r="AA385" i="28"/>
  <c r="AA24" i="28"/>
  <c r="AA848" i="28"/>
  <c r="R833" i="28"/>
  <c r="U831" i="18"/>
  <c r="S833" i="28" s="1"/>
  <c r="R564" i="28"/>
  <c r="U562" i="18"/>
  <c r="S564" i="28" s="1"/>
  <c r="AA638" i="28"/>
  <c r="AJ745" i="28"/>
  <c r="AM743" i="18"/>
  <c r="AK745" i="28" s="1"/>
  <c r="AJ400" i="28"/>
  <c r="AM398" i="18"/>
  <c r="AK400" i="28" s="1"/>
  <c r="AA84" i="28"/>
  <c r="AA280" i="28"/>
  <c r="AA728" i="28"/>
  <c r="R443" i="28"/>
  <c r="U441" i="18"/>
  <c r="AA775" i="28"/>
  <c r="AJ819" i="28"/>
  <c r="AM817" i="18"/>
  <c r="AK819" i="28" s="1"/>
  <c r="R323" i="28"/>
  <c r="U321" i="18"/>
  <c r="AJ235" i="28"/>
  <c r="AM233" i="18"/>
  <c r="AK235" i="28" s="1"/>
  <c r="AJ488" i="28"/>
  <c r="AM486" i="18"/>
  <c r="AK488" i="28" s="1"/>
  <c r="AJ714" i="28"/>
  <c r="AM712" i="18"/>
  <c r="AK714" i="28" s="1"/>
  <c r="AA655" i="28"/>
  <c r="AJ385" i="28"/>
  <c r="AM383" i="18"/>
  <c r="AK385" i="28" s="1"/>
  <c r="AJ68" i="28"/>
  <c r="AM66" i="18"/>
  <c r="AK68" i="28" s="1"/>
  <c r="AA129" i="28"/>
  <c r="R638" i="28"/>
  <c r="U636" i="18"/>
  <c r="S638" i="28" s="1"/>
  <c r="R834" i="28"/>
  <c r="U832" i="18"/>
  <c r="S834" i="28" s="1"/>
  <c r="R788" i="28"/>
  <c r="U786" i="18"/>
  <c r="S788" i="28" s="1"/>
  <c r="AJ684" i="28"/>
  <c r="AM682" i="18"/>
  <c r="AK684" i="28" s="1"/>
  <c r="AJ188" i="28"/>
  <c r="AM186" i="18"/>
  <c r="AK188" i="28" s="1"/>
  <c r="R68" i="28"/>
  <c r="U66" i="18"/>
  <c r="S68" i="28" s="1"/>
  <c r="AJ10" i="28"/>
  <c r="AM8" i="18"/>
  <c r="AJ818" i="28"/>
  <c r="AM816" i="18"/>
  <c r="AK818" i="28" s="1"/>
  <c r="AA759" i="28"/>
  <c r="R893" i="28"/>
  <c r="U891" i="18"/>
  <c r="S893" i="28" s="1"/>
  <c r="AJ505" i="28"/>
  <c r="AM503" i="18"/>
  <c r="AK505" i="28" s="1"/>
  <c r="AJ460" i="28"/>
  <c r="AM458" i="18"/>
  <c r="AK460" i="28" s="1"/>
  <c r="R100" i="28"/>
  <c r="U98" i="18"/>
  <c r="R520" i="28"/>
  <c r="U518" i="18"/>
  <c r="AA624" i="28"/>
  <c r="AM591" i="18"/>
  <c r="AK593" i="28" s="1"/>
  <c r="AJ593" i="28"/>
  <c r="AJ788" i="28"/>
  <c r="AM786" i="18"/>
  <c r="AK788" i="28" s="1"/>
  <c r="AM81" i="18"/>
  <c r="AK83" i="28" s="1"/>
  <c r="AJ83" i="28"/>
  <c r="AJ834" i="28"/>
  <c r="AM832" i="18"/>
  <c r="AK834" i="28" s="1"/>
  <c r="R580" i="28"/>
  <c r="U578" i="18"/>
  <c r="S580" i="28" s="1"/>
  <c r="AJ608" i="28"/>
  <c r="AM606" i="18"/>
  <c r="AK608" i="28" s="1"/>
  <c r="AA339" i="28"/>
  <c r="AA819" i="28"/>
  <c r="AA862" i="28"/>
  <c r="AA68" i="20"/>
  <c r="U767" i="18"/>
  <c r="S769" i="28" s="1"/>
  <c r="AM767" i="18"/>
  <c r="AK769" i="28" s="1"/>
  <c r="AM407" i="18"/>
  <c r="AK409" i="28" s="1"/>
  <c r="U212" i="18"/>
  <c r="S214" i="28" s="1"/>
  <c r="U766" i="18"/>
  <c r="S768" i="28" s="1"/>
  <c r="U688" i="18"/>
  <c r="S690" i="28" s="1"/>
  <c r="AM701" i="18"/>
  <c r="AK703" i="28" s="1"/>
  <c r="AB831" i="28"/>
  <c r="AM242" i="18"/>
  <c r="AK244" i="28" s="1"/>
  <c r="U182" i="18"/>
  <c r="S184" i="28" s="1"/>
  <c r="U167" i="18"/>
  <c r="S169" i="28" s="1"/>
  <c r="U663" i="18"/>
  <c r="S665" i="28" s="1"/>
  <c r="U164" i="18"/>
  <c r="S166" i="28" s="1"/>
  <c r="U325" i="18"/>
  <c r="U794" i="18"/>
  <c r="S796" i="28" s="1"/>
  <c r="AM344" i="18"/>
  <c r="AK346" i="28" s="1"/>
  <c r="AM594" i="18"/>
  <c r="AK596" i="28" s="1"/>
  <c r="U153" i="18"/>
  <c r="S155" i="28" s="1"/>
  <c r="U685" i="18"/>
  <c r="S687" i="28" s="1"/>
  <c r="AM371" i="18"/>
  <c r="AK373" i="28" s="1"/>
  <c r="AM314" i="18"/>
  <c r="AK316" i="28" s="1"/>
  <c r="AM330" i="18"/>
  <c r="AK332" i="28" s="1"/>
  <c r="U432" i="18"/>
  <c r="S434" i="28" s="1"/>
  <c r="U544" i="18"/>
  <c r="S546" i="28" s="1"/>
  <c r="AM406" i="18"/>
  <c r="AK408" i="28" s="1"/>
  <c r="U265" i="18"/>
  <c r="U492" i="18"/>
  <c r="S494" i="28" s="1"/>
  <c r="U884" i="18"/>
  <c r="S886" i="28" s="1"/>
  <c r="AM39" i="18"/>
  <c r="AK41" i="28" s="1"/>
  <c r="U193" i="18"/>
  <c r="S195" i="28" s="1"/>
  <c r="U177" i="18"/>
  <c r="S179" i="28" s="1"/>
  <c r="U32" i="18"/>
  <c r="S34" i="28" s="1"/>
  <c r="AM678" i="18"/>
  <c r="AK680" i="28" s="1"/>
  <c r="U75" i="18"/>
  <c r="S77" i="28" s="1"/>
  <c r="AM598" i="18"/>
  <c r="AK600" i="28" s="1"/>
  <c r="AM724" i="18"/>
  <c r="AK726" i="28" s="1"/>
  <c r="AM719" i="18"/>
  <c r="AK721" i="28" s="1"/>
  <c r="AM465" i="18"/>
  <c r="AK467" i="28" s="1"/>
  <c r="AM76" i="18"/>
  <c r="AK78" i="28" s="1"/>
  <c r="AM664" i="18"/>
  <c r="AK666" i="28" s="1"/>
  <c r="AM493" i="18"/>
  <c r="AK495" i="28" s="1"/>
  <c r="AM729" i="18"/>
  <c r="AK731" i="28" s="1"/>
  <c r="U798" i="18"/>
  <c r="S800" i="28" s="1"/>
  <c r="AM166" i="18"/>
  <c r="AK168" i="28" s="1"/>
  <c r="U400" i="18"/>
  <c r="AM372" i="18"/>
  <c r="AK374" i="28" s="1"/>
  <c r="AM17" i="18"/>
  <c r="AM901" i="18"/>
  <c r="AK903" i="28" s="1"/>
  <c r="U121" i="18"/>
  <c r="S123" i="28" s="1"/>
  <c r="AM376" i="18"/>
  <c r="AK378" i="28" s="1"/>
  <c r="U315" i="18"/>
  <c r="S317" i="28" s="1"/>
  <c r="U476" i="18"/>
  <c r="S478" i="28" s="1"/>
  <c r="AM104" i="18"/>
  <c r="AK106" i="28" s="1"/>
  <c r="U640" i="18"/>
  <c r="S642" i="28" s="1"/>
  <c r="AM793" i="18"/>
  <c r="AK795" i="28" s="1"/>
  <c r="AB554" i="28"/>
  <c r="AM74" i="18"/>
  <c r="AK76" i="28" s="1"/>
  <c r="U299" i="18"/>
  <c r="S301" i="28" s="1"/>
  <c r="AM105" i="18"/>
  <c r="AK107" i="28" s="1"/>
  <c r="AM553" i="18"/>
  <c r="AK555" i="28" s="1"/>
  <c r="AM400" i="18"/>
  <c r="AK402" i="28" s="1"/>
  <c r="U898" i="18"/>
  <c r="S900" i="28" s="1"/>
  <c r="U107" i="18"/>
  <c r="S109" i="28" s="1"/>
  <c r="AM523" i="18"/>
  <c r="AK525" i="28" s="1"/>
  <c r="AM288" i="18"/>
  <c r="AK290" i="28" s="1"/>
  <c r="AM19" i="18"/>
  <c r="U525" i="18"/>
  <c r="S527" i="28" s="1"/>
  <c r="AM86" i="18"/>
  <c r="AK88" i="28" s="1"/>
  <c r="AB18" i="28"/>
  <c r="AM864" i="18"/>
  <c r="AK866" i="28" s="1"/>
  <c r="AB799" i="28"/>
  <c r="U440" i="18"/>
  <c r="AN32" i="20" s="1"/>
  <c r="U542" i="18"/>
  <c r="S544" i="28" s="1"/>
  <c r="AM275" i="18"/>
  <c r="AM137" i="18"/>
  <c r="AK139" i="28" s="1"/>
  <c r="AM558" i="18"/>
  <c r="AK560" i="28" s="1"/>
  <c r="U823" i="18"/>
  <c r="S825" i="28" s="1"/>
  <c r="U596" i="18"/>
  <c r="S598" i="28" s="1"/>
  <c r="AM5" i="18"/>
  <c r="AM837" i="18"/>
  <c r="AK839" i="28" s="1"/>
  <c r="AM790" i="18"/>
  <c r="AK792" i="28" s="1"/>
  <c r="U819" i="18"/>
  <c r="S821" i="28" s="1"/>
  <c r="U19" i="18"/>
  <c r="S21" i="28" s="1"/>
  <c r="AM798" i="18"/>
  <c r="AK800" i="28" s="1"/>
  <c r="AM624" i="18"/>
  <c r="AK626" i="28" s="1"/>
  <c r="U195" i="18"/>
  <c r="S197" i="28" s="1"/>
  <c r="U58" i="18"/>
  <c r="S60" i="28" s="1"/>
  <c r="U102" i="18"/>
  <c r="S104" i="28" s="1"/>
  <c r="AB866" i="28"/>
  <c r="U86" i="18"/>
  <c r="S88" i="28" s="1"/>
  <c r="AM484" i="18"/>
  <c r="AK486" i="28" s="1"/>
  <c r="U406" i="18"/>
  <c r="S408" i="28" s="1"/>
  <c r="U738" i="18"/>
  <c r="S740" i="28" s="1"/>
  <c r="AM295" i="18"/>
  <c r="AK297" i="28" s="1"/>
  <c r="AM269" i="18"/>
  <c r="AK271" i="28" s="1"/>
  <c r="U360" i="18"/>
  <c r="S362" i="28" s="1"/>
  <c r="AM731" i="18"/>
  <c r="AK733" i="28" s="1"/>
  <c r="AM109" i="18"/>
  <c r="AK111" i="28" s="1"/>
  <c r="AM779" i="18"/>
  <c r="AK781" i="28" s="1"/>
  <c r="AM64" i="18"/>
  <c r="AK66" i="28" s="1"/>
  <c r="U236" i="18"/>
  <c r="S238" i="28" s="1"/>
  <c r="U523" i="18"/>
  <c r="S525" i="28" s="1"/>
  <c r="U222" i="18"/>
  <c r="S224" i="28" s="1"/>
  <c r="AM685" i="18"/>
  <c r="AK687" i="28" s="1"/>
  <c r="AM14" i="18"/>
  <c r="AM604" i="18"/>
  <c r="AK606" i="28" s="1"/>
  <c r="AM586" i="18"/>
  <c r="AK588" i="28" s="1"/>
  <c r="AM101" i="18"/>
  <c r="AK103" i="28" s="1"/>
  <c r="U213" i="18"/>
  <c r="S215" i="28" s="1"/>
  <c r="U897" i="18"/>
  <c r="S899" i="28" s="1"/>
  <c r="U388" i="18"/>
  <c r="S390" i="28" s="1"/>
  <c r="U465" i="18"/>
  <c r="S467" i="28" s="1"/>
  <c r="AM745" i="18"/>
  <c r="AK747" i="28" s="1"/>
  <c r="AB860" i="28"/>
  <c r="U858" i="18"/>
  <c r="S860" i="28" s="1"/>
  <c r="U226" i="18"/>
  <c r="S228" i="28" s="1"/>
  <c r="AM94" i="18"/>
  <c r="AK96" i="28" s="1"/>
  <c r="AM873" i="18"/>
  <c r="AK875" i="28" s="1"/>
  <c r="AM464" i="18"/>
  <c r="AK466" i="28" s="1"/>
  <c r="U723" i="18"/>
  <c r="S725" i="28" s="1"/>
  <c r="AM304" i="18"/>
  <c r="AK306" i="28" s="1"/>
  <c r="AM655" i="18"/>
  <c r="AK657" i="28" s="1"/>
  <c r="U866" i="18"/>
  <c r="S868" i="28" s="1"/>
  <c r="U580" i="18"/>
  <c r="S582" i="28" s="1"/>
  <c r="AM569" i="18"/>
  <c r="AK571" i="28" s="1"/>
  <c r="AM631" i="18"/>
  <c r="AK633" i="28" s="1"/>
  <c r="U499" i="18"/>
  <c r="S501" i="28" s="1"/>
  <c r="AM394" i="18"/>
  <c r="AK396" i="28" s="1"/>
  <c r="AM179" i="18"/>
  <c r="AK181" i="28" s="1"/>
  <c r="U568" i="18"/>
  <c r="S570" i="28" s="1"/>
  <c r="U60" i="18"/>
  <c r="S62" i="28" s="1"/>
  <c r="AM106" i="18"/>
  <c r="AK108" i="28" s="1"/>
  <c r="U859" i="18"/>
  <c r="S861" i="28" s="1"/>
  <c r="AM689" i="18"/>
  <c r="AK691" i="28" s="1"/>
  <c r="AM349" i="18"/>
  <c r="AK351" i="28" s="1"/>
  <c r="AM280" i="18"/>
  <c r="AK282" i="28" s="1"/>
  <c r="U235" i="18"/>
  <c r="U869" i="18"/>
  <c r="S871" i="28" s="1"/>
  <c r="AM433" i="18"/>
  <c r="AK435" i="28" s="1"/>
  <c r="AM259" i="18"/>
  <c r="AK261" i="28" s="1"/>
  <c r="U184" i="18"/>
  <c r="S186" i="28" s="1"/>
  <c r="U565" i="18"/>
  <c r="S567" i="28" s="1"/>
  <c r="AM780" i="18"/>
  <c r="AK782" i="28" s="1"/>
  <c r="AM887" i="18"/>
  <c r="AK889" i="28" s="1"/>
  <c r="AM782" i="18"/>
  <c r="AK784" i="28" s="1"/>
  <c r="U680" i="18"/>
  <c r="AM335" i="18"/>
  <c r="U827" i="18"/>
  <c r="S829" i="28" s="1"/>
  <c r="U744" i="18"/>
  <c r="S746" i="28" s="1"/>
  <c r="AM654" i="18"/>
  <c r="AK656" i="28" s="1"/>
  <c r="AM453" i="18"/>
  <c r="AK455" i="28" s="1"/>
  <c r="AM784" i="18"/>
  <c r="AK786" i="28" s="1"/>
  <c r="AM751" i="18"/>
  <c r="AK753" i="28" s="1"/>
  <c r="U409" i="18"/>
  <c r="S411" i="28" s="1"/>
  <c r="U294" i="18"/>
  <c r="AD36" i="20" s="1"/>
  <c r="AS16" i="20" s="1"/>
  <c r="AM115" i="18"/>
  <c r="AK117" i="28" s="1"/>
  <c r="AM331" i="18"/>
  <c r="AK333" i="28" s="1"/>
  <c r="U719" i="18"/>
  <c r="S721" i="28" s="1"/>
  <c r="U249" i="18"/>
  <c r="AA36" i="20" s="1"/>
  <c r="AP16" i="20" s="1"/>
  <c r="U124" i="18"/>
  <c r="S126" i="28" s="1"/>
  <c r="U720" i="18"/>
  <c r="S722" i="28" s="1"/>
  <c r="AM856" i="18"/>
  <c r="AK858" i="28" s="1"/>
  <c r="AM10" i="18"/>
  <c r="AM144" i="18"/>
  <c r="AK146" i="28" s="1"/>
  <c r="U118" i="18"/>
  <c r="S120" i="28" s="1"/>
  <c r="AM552" i="18"/>
  <c r="AK554" i="28" s="1"/>
  <c r="U657" i="18"/>
  <c r="S659" i="28" s="1"/>
  <c r="U674" i="18"/>
  <c r="S676" i="28" s="1"/>
  <c r="AM183" i="18"/>
  <c r="AK185" i="28" s="1"/>
  <c r="AM507" i="18"/>
  <c r="AK509" i="28" s="1"/>
  <c r="AM438" i="18"/>
  <c r="AK440" i="28" s="1"/>
  <c r="AM240" i="18"/>
  <c r="AK242" i="28" s="1"/>
  <c r="U116" i="18"/>
  <c r="S118" i="28" s="1"/>
  <c r="AM228" i="18"/>
  <c r="AK230" i="28" s="1"/>
  <c r="AM430" i="18"/>
  <c r="AK432" i="28" s="1"/>
  <c r="U586" i="18"/>
  <c r="S588" i="28" s="1"/>
  <c r="AM34" i="18"/>
  <c r="AK36" i="28" s="1"/>
  <c r="AM630" i="18"/>
  <c r="AK632" i="28" s="1"/>
  <c r="U729" i="18"/>
  <c r="S731" i="28" s="1"/>
  <c r="U190" i="18"/>
  <c r="S192" i="28" s="1"/>
  <c r="AM646" i="18"/>
  <c r="AK648" i="28" s="1"/>
  <c r="U346" i="18"/>
  <c r="S348" i="28" s="1"/>
  <c r="U281" i="18"/>
  <c r="S283" i="28" s="1"/>
  <c r="AM343" i="18"/>
  <c r="AK345" i="28" s="1"/>
  <c r="U814" i="18"/>
  <c r="S816" i="28" s="1"/>
  <c r="AM222" i="18"/>
  <c r="AK224" i="28" s="1"/>
  <c r="AM536" i="18"/>
  <c r="AK538" i="28" s="1"/>
  <c r="AM404" i="18"/>
  <c r="AK406" i="28" s="1"/>
  <c r="U304" i="18"/>
  <c r="S306" i="28" s="1"/>
  <c r="AM145" i="18"/>
  <c r="AK147" i="28" s="1"/>
  <c r="U524" i="18"/>
  <c r="S526" i="28" s="1"/>
  <c r="U889" i="18"/>
  <c r="S891" i="28" s="1"/>
  <c r="U702" i="18"/>
  <c r="S704" i="28" s="1"/>
  <c r="U357" i="18"/>
  <c r="S359" i="28" s="1"/>
  <c r="U342" i="18"/>
  <c r="S344" i="28" s="1"/>
  <c r="AM56" i="18"/>
  <c r="AK58" i="28" s="1"/>
  <c r="AM450" i="18"/>
  <c r="AK452" i="28" s="1"/>
  <c r="AM764" i="18"/>
  <c r="AK766" i="28" s="1"/>
  <c r="AM879" i="18"/>
  <c r="AK881" i="28" s="1"/>
  <c r="AB95" i="28"/>
  <c r="AM285" i="18"/>
  <c r="AK287" i="28" s="1"/>
  <c r="U17" i="18"/>
  <c r="S19" i="28" s="1"/>
  <c r="U359" i="18"/>
  <c r="S361" i="28" s="1"/>
  <c r="AM289" i="18"/>
  <c r="AK291" i="28" s="1"/>
  <c r="U478" i="18"/>
  <c r="S480" i="28" s="1"/>
  <c r="AM706" i="18"/>
  <c r="AK708" i="28" s="1"/>
  <c r="AM270" i="18"/>
  <c r="AK272" i="28" s="1"/>
  <c r="AM506" i="18"/>
  <c r="AK508" i="28" s="1"/>
  <c r="AM271" i="18"/>
  <c r="AK273" i="28" s="1"/>
  <c r="AM702" i="18"/>
  <c r="AK704" i="28" s="1"/>
  <c r="AM549" i="18"/>
  <c r="AK551" i="28" s="1"/>
  <c r="AM405" i="18"/>
  <c r="AK407" i="28" s="1"/>
  <c r="AM627" i="18"/>
  <c r="AK629" i="28" s="1"/>
  <c r="AM57" i="18"/>
  <c r="AK59" i="28" s="1"/>
  <c r="U587" i="18"/>
  <c r="S589" i="28" s="1"/>
  <c r="U650" i="18"/>
  <c r="U560" i="18"/>
  <c r="AM347" i="18"/>
  <c r="AK349" i="28" s="1"/>
  <c r="U272" i="18"/>
  <c r="S274" i="28" s="1"/>
  <c r="AM212" i="18"/>
  <c r="AK214" i="28" s="1"/>
  <c r="U701" i="18"/>
  <c r="S703" i="28" s="1"/>
  <c r="U225" i="18"/>
  <c r="S227" i="28" s="1"/>
  <c r="U730" i="18"/>
  <c r="S732" i="28" s="1"/>
  <c r="U513" i="18"/>
  <c r="S515" i="28" s="1"/>
  <c r="U319" i="18"/>
  <c r="S321" i="28" s="1"/>
  <c r="U768" i="18"/>
  <c r="S770" i="28" s="1"/>
  <c r="U371" i="18"/>
  <c r="S373" i="28" s="1"/>
  <c r="U810" i="18"/>
  <c r="S812" i="28" s="1"/>
  <c r="AM432" i="18"/>
  <c r="AK434" i="28" s="1"/>
  <c r="AM479" i="18"/>
  <c r="AK481" i="28" s="1"/>
  <c r="AM147" i="18"/>
  <c r="AK149" i="28" s="1"/>
  <c r="AM820" i="18"/>
  <c r="AK822" i="28" s="1"/>
  <c r="AM133" i="18"/>
  <c r="AK135" i="28" s="1"/>
  <c r="AB571" i="28"/>
  <c r="U634" i="18"/>
  <c r="S636" i="28" s="1"/>
  <c r="U70" i="18"/>
  <c r="S72" i="28" s="1"/>
  <c r="U114" i="18"/>
  <c r="U122" i="18"/>
  <c r="S124" i="28" s="1"/>
  <c r="AM250" i="18"/>
  <c r="AK252" i="28" s="1"/>
  <c r="U837" i="18"/>
  <c r="S839" i="28" s="1"/>
  <c r="AM190" i="18"/>
  <c r="AK192" i="28" s="1"/>
  <c r="AM776" i="18"/>
  <c r="AK778" i="28" s="1"/>
  <c r="U656" i="18"/>
  <c r="S658" i="28" s="1"/>
  <c r="AM462" i="18"/>
  <c r="AK464" i="28" s="1"/>
  <c r="U779" i="18"/>
  <c r="S781" i="28" s="1"/>
  <c r="U105" i="18"/>
  <c r="S107" i="28" s="1"/>
  <c r="AM840" i="18"/>
  <c r="AK842" i="28" s="1"/>
  <c r="AM448" i="18"/>
  <c r="AK450" i="28" s="1"/>
  <c r="U706" i="18"/>
  <c r="S708" i="28" s="1"/>
  <c r="AM789" i="18"/>
  <c r="AK791" i="28" s="1"/>
  <c r="U836" i="18"/>
  <c r="S838" i="28" s="1"/>
  <c r="U39" i="18"/>
  <c r="AM826" i="18"/>
  <c r="AK828" i="28" s="1"/>
  <c r="U313" i="18"/>
  <c r="S315" i="28" s="1"/>
  <c r="AM777" i="18"/>
  <c r="AK779" i="28" s="1"/>
  <c r="AM312" i="18"/>
  <c r="AK314" i="28" s="1"/>
  <c r="AM870" i="18"/>
  <c r="AK872" i="28" s="1"/>
  <c r="U585" i="18"/>
  <c r="S587" i="28" s="1"/>
  <c r="U419" i="18"/>
  <c r="S421" i="28" s="1"/>
  <c r="U14" i="18"/>
  <c r="S16" i="28" s="1"/>
  <c r="AM644" i="18"/>
  <c r="AK646" i="28" s="1"/>
  <c r="U761" i="18"/>
  <c r="S763" i="28" s="1"/>
  <c r="AM490" i="18"/>
  <c r="AK492" i="28" s="1"/>
  <c r="AM579" i="18"/>
  <c r="AK581" i="28" s="1"/>
  <c r="U871" i="18"/>
  <c r="S873" i="28" s="1"/>
  <c r="U223" i="18"/>
  <c r="S225" i="28" s="1"/>
  <c r="U416" i="18"/>
  <c r="S418" i="28" s="1"/>
  <c r="U520" i="18"/>
  <c r="U505" i="18"/>
  <c r="AM618" i="18"/>
  <c r="AK620" i="28" s="1"/>
  <c r="U108" i="18"/>
  <c r="S110" i="28" s="1"/>
  <c r="AM206" i="18"/>
  <c r="AK208" i="28" s="1"/>
  <c r="AM460" i="18"/>
  <c r="AK462" i="28" s="1"/>
  <c r="U339" i="18"/>
  <c r="AG36" i="20" s="1"/>
  <c r="U661" i="18"/>
  <c r="S663" i="28" s="1"/>
  <c r="U799" i="18"/>
  <c r="S801" i="28" s="1"/>
  <c r="AM900" i="18"/>
  <c r="AK902" i="28" s="1"/>
  <c r="AM62" i="18"/>
  <c r="AK64" i="28" s="1"/>
  <c r="AM690" i="18"/>
  <c r="AK692" i="28" s="1"/>
  <c r="AM286" i="18"/>
  <c r="AK288" i="28" s="1"/>
  <c r="U790" i="18"/>
  <c r="S792" i="28" s="1"/>
  <c r="AM814" i="18"/>
  <c r="AK816" i="28" s="1"/>
  <c r="U204" i="18"/>
  <c r="AM414" i="18"/>
  <c r="AK416" i="28" s="1"/>
  <c r="AM834" i="18"/>
  <c r="AK836" i="28" s="1"/>
  <c r="U484" i="18"/>
  <c r="S486" i="28" s="1"/>
  <c r="U865" i="18"/>
  <c r="S867" i="28" s="1"/>
  <c r="AM836" i="18"/>
  <c r="AK838" i="28" s="1"/>
  <c r="AM616" i="18"/>
  <c r="AK618" i="28" s="1"/>
  <c r="AM18" i="18"/>
  <c r="AM15" i="18"/>
  <c r="AM736" i="18"/>
  <c r="AK738" i="28" s="1"/>
  <c r="U16" i="18"/>
  <c r="S18" i="28" s="1"/>
  <c r="AM778" i="18"/>
  <c r="AK780" i="28" s="1"/>
  <c r="U887" i="18"/>
  <c r="S889" i="28" s="1"/>
  <c r="AM857" i="18"/>
  <c r="AK859" i="28" s="1"/>
  <c r="AM470" i="18"/>
  <c r="U209" i="18"/>
  <c r="S211" i="28" s="1"/>
  <c r="U244" i="18"/>
  <c r="S246" i="28" s="1"/>
  <c r="AM80" i="18"/>
  <c r="AM582" i="18"/>
  <c r="AK584" i="28" s="1"/>
  <c r="AM439" i="18"/>
  <c r="AK441" i="28" s="1"/>
  <c r="U903" i="18"/>
  <c r="S905" i="28" s="1"/>
  <c r="AM672" i="18"/>
  <c r="AK674" i="28" s="1"/>
  <c r="U191" i="18"/>
  <c r="S193" i="28" s="1"/>
  <c r="U879" i="18"/>
  <c r="S881" i="28" s="1"/>
  <c r="AM87" i="18"/>
  <c r="AK89" i="28" s="1"/>
  <c r="U151" i="18"/>
  <c r="S153" i="28" s="1"/>
  <c r="U480" i="18"/>
  <c r="S482" i="28" s="1"/>
  <c r="U54" i="18"/>
  <c r="U868" i="18"/>
  <c r="S870" i="28" s="1"/>
  <c r="U285" i="18"/>
  <c r="S287" i="28" s="1"/>
  <c r="U104" i="18"/>
  <c r="S106" i="28" s="1"/>
  <c r="AM153" i="18"/>
  <c r="AK155" i="28" s="1"/>
  <c r="AB226" i="28"/>
  <c r="U333" i="18"/>
  <c r="S335" i="28" s="1"/>
  <c r="U792" i="18"/>
  <c r="S794" i="28" s="1"/>
  <c r="AM195" i="18"/>
  <c r="AK197" i="28" s="1"/>
  <c r="AM28" i="18"/>
  <c r="AK30" i="28" s="1"/>
  <c r="U645" i="18"/>
  <c r="S647" i="28" s="1"/>
  <c r="U89" i="18"/>
  <c r="S91" i="28" s="1"/>
  <c r="AM703" i="18"/>
  <c r="AK705" i="28" s="1"/>
  <c r="U736" i="18"/>
  <c r="S738" i="28" s="1"/>
  <c r="AM33" i="18"/>
  <c r="AK35" i="28" s="1"/>
  <c r="U804" i="18"/>
  <c r="S806" i="28" s="1"/>
  <c r="AM489" i="18"/>
  <c r="AK491" i="28" s="1"/>
  <c r="U358" i="18"/>
  <c r="S360" i="28" s="1"/>
  <c r="U763" i="18"/>
  <c r="S765" i="28" s="1"/>
  <c r="U435" i="18"/>
  <c r="S437" i="28" s="1"/>
  <c r="AM535" i="18"/>
  <c r="AK537" i="28" s="1"/>
  <c r="U599" i="18"/>
  <c r="S601" i="28" s="1"/>
  <c r="U679" i="18"/>
  <c r="S681" i="28" s="1"/>
  <c r="AM641" i="18"/>
  <c r="AK643" i="28" s="1"/>
  <c r="AM715" i="18"/>
  <c r="AK717" i="28" s="1"/>
  <c r="U176" i="18"/>
  <c r="S178" i="28" s="1"/>
  <c r="U180" i="18"/>
  <c r="S182" i="28" s="1"/>
  <c r="U134" i="18"/>
  <c r="S136" i="28" s="1"/>
  <c r="U604" i="18"/>
  <c r="S606" i="28" s="1"/>
  <c r="AM626" i="18"/>
  <c r="AK628" i="28" s="1"/>
  <c r="AM169" i="18"/>
  <c r="AK171" i="28" s="1"/>
  <c r="AM178" i="18"/>
  <c r="AK180" i="28" s="1"/>
  <c r="AM311" i="18"/>
  <c r="AK313" i="28" s="1"/>
  <c r="U853" i="18"/>
  <c r="S855" i="28" s="1"/>
  <c r="AM238" i="18"/>
  <c r="AK240" i="28" s="1"/>
  <c r="U297" i="18"/>
  <c r="S299" i="28" s="1"/>
  <c r="AM300" i="18"/>
  <c r="AK302" i="28" s="1"/>
  <c r="U148" i="18"/>
  <c r="S150" i="28" s="1"/>
  <c r="AM149" i="18"/>
  <c r="AK151" i="28" s="1"/>
  <c r="AM424" i="18"/>
  <c r="AK426" i="28" s="1"/>
  <c r="U194" i="18"/>
  <c r="S196" i="28" s="1"/>
  <c r="AM46" i="18"/>
  <c r="AK48" i="28" s="1"/>
  <c r="AM235" i="18"/>
  <c r="AK237" i="28" s="1"/>
  <c r="U760" i="18"/>
  <c r="S762" i="28" s="1"/>
  <c r="AM537" i="18"/>
  <c r="AK539" i="28" s="1"/>
  <c r="U24" i="18"/>
  <c r="U880" i="18"/>
  <c r="S882" i="28" s="1"/>
  <c r="AM436" i="18"/>
  <c r="AK438" i="28" s="1"/>
  <c r="AM281" i="18"/>
  <c r="AK283" i="28" s="1"/>
  <c r="U839" i="18"/>
  <c r="S841" i="28" s="1"/>
  <c r="AM401" i="18"/>
  <c r="AK403" i="28" s="1"/>
  <c r="U509" i="18"/>
  <c r="S511" i="28" s="1"/>
  <c r="U162" i="18"/>
  <c r="S164" i="28" s="1"/>
  <c r="U687" i="18"/>
  <c r="S689" i="28" s="1"/>
  <c r="U498" i="18"/>
  <c r="S500" i="28" s="1"/>
  <c r="U885" i="18"/>
  <c r="S887" i="28" s="1"/>
  <c r="AM72" i="18"/>
  <c r="AK74" i="28" s="1"/>
  <c r="U331" i="18"/>
  <c r="S333" i="28" s="1"/>
  <c r="U196" i="18"/>
  <c r="S198" i="28" s="1"/>
  <c r="U9" i="18"/>
  <c r="AM16" i="18"/>
  <c r="AM827" i="18"/>
  <c r="AK829" i="28" s="1"/>
  <c r="U857" i="18"/>
  <c r="S859" i="28" s="1"/>
  <c r="U512" i="18"/>
  <c r="S514" i="28" s="1"/>
  <c r="AM167" i="18"/>
  <c r="AK169" i="28" s="1"/>
  <c r="U540" i="18"/>
  <c r="S542" i="28" s="1"/>
  <c r="U303" i="18"/>
  <c r="S305" i="28" s="1"/>
  <c r="AM595" i="18"/>
  <c r="AK597" i="28" s="1"/>
  <c r="U115" i="18"/>
  <c r="S117" i="28" s="1"/>
  <c r="U601" i="18"/>
  <c r="S603" i="28" s="1"/>
  <c r="AM717" i="18"/>
  <c r="AK719" i="28" s="1"/>
  <c r="AM898" i="18"/>
  <c r="AK900" i="28" s="1"/>
  <c r="AM600" i="18"/>
  <c r="AK602" i="28" s="1"/>
  <c r="AM309" i="18"/>
  <c r="AK311" i="28" s="1"/>
  <c r="AM70" i="18"/>
  <c r="AK72" i="28" s="1"/>
  <c r="U328" i="18"/>
  <c r="S330" i="28" s="1"/>
  <c r="U699" i="18"/>
  <c r="S701" i="28" s="1"/>
  <c r="U296" i="18"/>
  <c r="S298" i="28" s="1"/>
  <c r="AM325" i="18"/>
  <c r="AK327" i="28" s="1"/>
  <c r="AM192" i="18"/>
  <c r="AK194" i="28" s="1"/>
  <c r="U552" i="18"/>
  <c r="S554" i="28" s="1"/>
  <c r="AM199" i="18"/>
  <c r="AK201" i="28" s="1"/>
  <c r="U100" i="18"/>
  <c r="S102" i="28" s="1"/>
  <c r="U615" i="18"/>
  <c r="S617" i="28" s="1"/>
  <c r="U556" i="18"/>
  <c r="S558" i="28" s="1"/>
  <c r="U271" i="18"/>
  <c r="S273" i="28" s="1"/>
  <c r="U150" i="18"/>
  <c r="S152" i="28" s="1"/>
  <c r="AM408" i="18"/>
  <c r="AK410" i="28" s="1"/>
  <c r="AM459" i="18"/>
  <c r="AK461" i="28" s="1"/>
  <c r="AM387" i="18"/>
  <c r="AK389" i="28" s="1"/>
  <c r="AM239" i="18"/>
  <c r="AK241" i="28" s="1"/>
  <c r="U715" i="18"/>
  <c r="S717" i="28" s="1"/>
  <c r="AM673" i="18"/>
  <c r="AK675" i="28" s="1"/>
  <c r="U639" i="18"/>
  <c r="S641" i="28" s="1"/>
  <c r="U399" i="18"/>
  <c r="U94" i="18"/>
  <c r="S96" i="28" s="1"/>
  <c r="AM843" i="18"/>
  <c r="AK845" i="28" s="1"/>
  <c r="U659" i="18"/>
  <c r="S661" i="28" s="1"/>
  <c r="U394" i="18"/>
  <c r="S396" i="28" s="1"/>
  <c r="U474" i="18"/>
  <c r="U459" i="18"/>
  <c r="AM519" i="18"/>
  <c r="AK521" i="28" s="1"/>
  <c r="AM234" i="18"/>
  <c r="AK236" i="28" s="1"/>
  <c r="AM378" i="18"/>
  <c r="AK380" i="28" s="1"/>
  <c r="AM589" i="18"/>
  <c r="AK591" i="28" s="1"/>
  <c r="U454" i="18"/>
  <c r="S456" i="28" s="1"/>
  <c r="AM720" i="18"/>
  <c r="AK722" i="28" s="1"/>
  <c r="AM103" i="18"/>
  <c r="AK105" i="28" s="1"/>
  <c r="U627" i="18"/>
  <c r="S629" i="28" s="1"/>
  <c r="U449" i="18"/>
  <c r="S451" i="28" s="1"/>
  <c r="U31" i="18"/>
  <c r="S33" i="28" s="1"/>
  <c r="AM883" i="18"/>
  <c r="AK885" i="28" s="1"/>
  <c r="AM370" i="18"/>
  <c r="AK372" i="28" s="1"/>
  <c r="U324" i="18"/>
  <c r="AF36" i="20" s="1"/>
  <c r="U27" i="18"/>
  <c r="S29" i="28" s="1"/>
  <c r="AM469" i="18"/>
  <c r="AK471" i="28" s="1"/>
  <c r="U64" i="18"/>
  <c r="S66" i="28" s="1"/>
  <c r="U288" i="18"/>
  <c r="S290" i="28" s="1"/>
  <c r="U843" i="18"/>
  <c r="S845" i="28" s="1"/>
  <c r="U553" i="18"/>
  <c r="S555" i="28" s="1"/>
  <c r="U613" i="18"/>
  <c r="S615" i="28" s="1"/>
  <c r="AM541" i="18"/>
  <c r="AK543" i="28" s="1"/>
  <c r="AM363" i="18"/>
  <c r="AK365" i="28" s="1"/>
  <c r="AM12" i="18"/>
  <c r="U254" i="18"/>
  <c r="S256" i="28" s="1"/>
  <c r="AM13" i="18"/>
  <c r="AM11" i="18"/>
  <c r="AM151" i="18"/>
  <c r="AK153" i="28" s="1"/>
  <c r="AM9" i="18"/>
  <c r="U797" i="18"/>
  <c r="S799" i="28" s="1"/>
  <c r="AM529" i="18"/>
  <c r="AK531" i="28" s="1"/>
  <c r="U462" i="18"/>
  <c r="S464" i="28" s="1"/>
  <c r="U690" i="18"/>
  <c r="S692" i="28" s="1"/>
  <c r="U511" i="18"/>
  <c r="S513" i="28" s="1"/>
  <c r="U219" i="18"/>
  <c r="U269" i="18"/>
  <c r="S271" i="28" s="1"/>
  <c r="U56" i="18"/>
  <c r="S58" i="28" s="1"/>
  <c r="U25" i="18"/>
  <c r="S27" i="28" s="1"/>
  <c r="AM369" i="18"/>
  <c r="AK371" i="28" s="1"/>
  <c r="AM810" i="18"/>
  <c r="AK812" i="28" s="1"/>
  <c r="AM107" i="18"/>
  <c r="AK109" i="28" s="1"/>
  <c r="AM525" i="18"/>
  <c r="AK527" i="28" s="1"/>
  <c r="AM888" i="18"/>
  <c r="AK890" i="28" s="1"/>
  <c r="AM176" i="18"/>
  <c r="AK178" i="28" s="1"/>
  <c r="U13" i="18"/>
  <c r="S15" i="28" s="1"/>
  <c r="U811" i="18"/>
  <c r="S813" i="28" s="1"/>
  <c r="AM45" i="18"/>
  <c r="AK47" i="28" s="1"/>
  <c r="U283" i="18"/>
  <c r="S285" i="28" s="1"/>
  <c r="U820" i="18"/>
  <c r="S822" i="28" s="1"/>
  <c r="AM524" i="18"/>
  <c r="AK526" i="28" s="1"/>
  <c r="U750" i="18"/>
  <c r="S752" i="28" s="1"/>
  <c r="AM738" i="18"/>
  <c r="AK740" i="28" s="1"/>
  <c r="U610" i="18"/>
  <c r="S612" i="28" s="1"/>
  <c r="AM282" i="18"/>
  <c r="AK284" i="28" s="1"/>
  <c r="AM614" i="18"/>
  <c r="AK616" i="28" s="1"/>
  <c r="U573" i="18"/>
  <c r="S575" i="28" s="1"/>
  <c r="U732" i="18"/>
  <c r="S734" i="28" s="1"/>
  <c r="U628" i="18"/>
  <c r="S630" i="28" s="1"/>
  <c r="U448" i="18"/>
  <c r="S450" i="28" s="1"/>
  <c r="AM120" i="18"/>
  <c r="AK122" i="28" s="1"/>
  <c r="U521" i="18"/>
  <c r="S523" i="28" s="1"/>
  <c r="U583" i="18"/>
  <c r="S585" i="28" s="1"/>
  <c r="U754" i="18"/>
  <c r="S756" i="28" s="1"/>
  <c r="U589" i="18"/>
  <c r="S591" i="28" s="1"/>
  <c r="U791" i="18"/>
  <c r="S793" i="28" s="1"/>
  <c r="U211" i="18"/>
  <c r="S213" i="28" s="1"/>
  <c r="AM853" i="18"/>
  <c r="AK855" i="28" s="1"/>
  <c r="AM420" i="18"/>
  <c r="AK422" i="28" s="1"/>
  <c r="AM869" i="18"/>
  <c r="AK871" i="28" s="1"/>
  <c r="AM658" i="18"/>
  <c r="AK660" i="28" s="1"/>
  <c r="U764" i="18"/>
  <c r="S766" i="28" s="1"/>
  <c r="AM796" i="18"/>
  <c r="AK798" i="28" s="1"/>
  <c r="U77" i="18"/>
  <c r="S79" i="28" s="1"/>
  <c r="U63" i="18"/>
  <c r="S65" i="28" s="1"/>
  <c r="U207" i="18"/>
  <c r="S209" i="28" s="1"/>
  <c r="U11" i="18"/>
  <c r="S13" i="28" s="1"/>
  <c r="AM723" i="18"/>
  <c r="AK725" i="28" s="1"/>
  <c r="AM264" i="18"/>
  <c r="AK266" i="28" s="1"/>
  <c r="U417" i="18"/>
  <c r="S419" i="28" s="1"/>
  <c r="AM180" i="18"/>
  <c r="AK182" i="28" s="1"/>
  <c r="AM431" i="18"/>
  <c r="AK433" i="28" s="1"/>
  <c r="AM132" i="18"/>
  <c r="AK134" i="28" s="1"/>
  <c r="AM299" i="18"/>
  <c r="AK301" i="28" s="1"/>
  <c r="U93" i="18"/>
  <c r="S95" i="28" s="1"/>
  <c r="AM267" i="18"/>
  <c r="AK269" i="28" s="1"/>
  <c r="AM880" i="18"/>
  <c r="AK882" i="28" s="1"/>
  <c r="AM511" i="18"/>
  <c r="AK513" i="28" s="1"/>
  <c r="AM643" i="18"/>
  <c r="AK645" i="28" s="1"/>
  <c r="AM266" i="18"/>
  <c r="AK268" i="28" s="1"/>
  <c r="AM65" i="18"/>
  <c r="U752" i="18"/>
  <c r="S754" i="28" s="1"/>
  <c r="U632" i="18"/>
  <c r="S634" i="28" s="1"/>
  <c r="AM452" i="18"/>
  <c r="AK454" i="28" s="1"/>
  <c r="U530" i="18"/>
  <c r="AM287" i="18"/>
  <c r="AK289" i="28" s="1"/>
  <c r="AM791" i="18"/>
  <c r="AK793" i="28" s="1"/>
  <c r="U369" i="18"/>
  <c r="U91" i="18"/>
  <c r="S93" i="28" s="1"/>
  <c r="AM78" i="18"/>
  <c r="AK80" i="28" s="1"/>
  <c r="AM760" i="18"/>
  <c r="AK762" i="28" s="1"/>
  <c r="AM483" i="18"/>
  <c r="AK485" i="28" s="1"/>
  <c r="U18" i="18"/>
  <c r="S20" i="28" s="1"/>
  <c r="U504" i="18"/>
  <c r="U286" i="18"/>
  <c r="S288" i="28" s="1"/>
  <c r="U551" i="18"/>
  <c r="S553" i="28" s="1"/>
  <c r="AM839" i="18"/>
  <c r="AK841" i="28" s="1"/>
  <c r="U72" i="18"/>
  <c r="S74" i="28" s="1"/>
  <c r="AM446" i="18"/>
  <c r="AK448" i="28" s="1"/>
  <c r="AM596" i="18"/>
  <c r="AK598" i="28" s="1"/>
  <c r="U214" i="18"/>
  <c r="S216" i="28" s="1"/>
  <c r="AM744" i="18"/>
  <c r="AK746" i="28" s="1"/>
  <c r="AM671" i="18"/>
  <c r="AK673" i="28" s="1"/>
  <c r="AM895" i="18"/>
  <c r="AK897" i="28" s="1"/>
  <c r="U436" i="18"/>
  <c r="S438" i="28" s="1"/>
  <c r="U896" i="18"/>
  <c r="S898" i="28" s="1"/>
  <c r="U374" i="18"/>
  <c r="S376" i="28" s="1"/>
  <c r="U709" i="18"/>
  <c r="S711" i="28" s="1"/>
  <c r="U144" i="18"/>
  <c r="U808" i="18"/>
  <c r="S810" i="28" s="1"/>
  <c r="U564" i="18"/>
  <c r="S566" i="28" s="1"/>
  <c r="AM69" i="18"/>
  <c r="AK71" i="28" s="1"/>
  <c r="U199" i="18"/>
  <c r="S201" i="28" s="1"/>
  <c r="AM194" i="18"/>
  <c r="AK196" i="28" s="1"/>
  <c r="AM373" i="18"/>
  <c r="AK375" i="28" s="1"/>
  <c r="U41" i="18"/>
  <c r="S43" i="28" s="1"/>
  <c r="U806" i="18"/>
  <c r="S808" i="28" s="1"/>
  <c r="AM364" i="18"/>
  <c r="AK366" i="28" s="1"/>
  <c r="U390" i="18"/>
  <c r="S392" i="28" s="1"/>
  <c r="U529" i="18"/>
  <c r="S531" i="28" s="1"/>
  <c r="AM881" i="18"/>
  <c r="AK883" i="28" s="1"/>
  <c r="AM747" i="18"/>
  <c r="AK749" i="28" s="1"/>
  <c r="U15" i="18"/>
  <c r="S17" i="28" s="1"/>
  <c r="U629" i="18"/>
  <c r="S631" i="28" s="1"/>
  <c r="U59" i="18"/>
  <c r="S61" i="28" s="1"/>
  <c r="AM807" i="18"/>
  <c r="AK809" i="28" s="1"/>
  <c r="U10" i="18"/>
  <c r="U326" i="18"/>
  <c r="S328" i="28" s="1"/>
  <c r="U460" i="18"/>
  <c r="U554" i="18"/>
  <c r="S556" i="28" s="1"/>
  <c r="AM699" i="18"/>
  <c r="AK701" i="28" s="1"/>
  <c r="U61" i="18"/>
  <c r="S63" i="28" s="1"/>
  <c r="AM899" i="18"/>
  <c r="AK901" i="28" s="1"/>
  <c r="U648" i="18"/>
  <c r="S650" i="28" s="1"/>
  <c r="AM108" i="18"/>
  <c r="AK110" i="28" s="1"/>
  <c r="AM30" i="18"/>
  <c r="AK32" i="28" s="1"/>
  <c r="U673" i="18"/>
  <c r="S675" i="28" s="1"/>
  <c r="AB508" i="28"/>
  <c r="U267" i="18"/>
  <c r="S269" i="28" s="1"/>
  <c r="AM333" i="18"/>
  <c r="AK335" i="28" s="1"/>
  <c r="U250" i="18"/>
  <c r="U900" i="18"/>
  <c r="S902" i="28" s="1"/>
  <c r="U849" i="18"/>
  <c r="S851" i="28" s="1"/>
  <c r="U549" i="18"/>
  <c r="S551" i="28" s="1"/>
  <c r="U693" i="18"/>
  <c r="S695" i="28" s="1"/>
  <c r="U178" i="18"/>
  <c r="S180" i="28" s="1"/>
  <c r="AM874" i="18"/>
  <c r="AK876" i="28" s="1"/>
  <c r="AM73" i="18"/>
  <c r="AK75" i="28" s="1"/>
  <c r="AM138" i="18"/>
  <c r="AK140" i="28" s="1"/>
  <c r="AM361" i="18"/>
  <c r="AK363" i="28" s="1"/>
  <c r="U132" i="18"/>
  <c r="S134" i="28" s="1"/>
  <c r="AM663" i="18"/>
  <c r="AK665" i="28" s="1"/>
  <c r="AM219" i="18"/>
  <c r="AK221" i="28" s="1"/>
  <c r="U57" i="18"/>
  <c r="S59" i="28" s="1"/>
  <c r="AM31" i="18"/>
  <c r="AK33" i="28" s="1"/>
  <c r="U777" i="18"/>
  <c r="S779" i="28" s="1"/>
  <c r="AM342" i="18"/>
  <c r="AK344" i="28" s="1"/>
  <c r="AM510" i="18"/>
  <c r="AK512" i="28" s="1"/>
  <c r="AM897" i="18"/>
  <c r="AK899" i="28" s="1"/>
  <c r="AM449" i="18"/>
  <c r="AK451" i="28" s="1"/>
  <c r="AM354" i="18"/>
  <c r="AK356" i="28" s="1"/>
  <c r="AM769" i="18"/>
  <c r="AK771" i="28" s="1"/>
  <c r="U12" i="18"/>
  <c r="S14" i="28" s="1"/>
  <c r="AM334" i="18"/>
  <c r="AK336" i="28" s="1"/>
  <c r="AM585" i="18"/>
  <c r="AK587" i="28" s="1"/>
  <c r="AM24" i="18"/>
  <c r="AK26" i="28" s="1"/>
  <c r="U131" i="18"/>
  <c r="S133" i="28" s="1"/>
  <c r="AM559" i="18"/>
  <c r="AK561" i="28" s="1"/>
  <c r="AM645" i="18"/>
  <c r="AK647" i="28" s="1"/>
  <c r="AM237" i="18"/>
  <c r="AK239" i="28" s="1"/>
  <c r="AM27" i="18"/>
  <c r="AK29" i="28" s="1"/>
  <c r="U138" i="18"/>
  <c r="S140" i="28" s="1"/>
  <c r="AM140" i="18"/>
  <c r="AM99" i="18"/>
  <c r="AK101" i="28" s="1"/>
  <c r="U255" i="18"/>
  <c r="S257" i="28" s="1"/>
  <c r="U154" i="18"/>
  <c r="S156" i="28" s="1"/>
  <c r="AM388" i="18"/>
  <c r="AK390" i="28" s="1"/>
  <c r="AM160" i="18"/>
  <c r="AK162" i="28" s="1"/>
  <c r="AM902" i="18"/>
  <c r="AK904" i="28" s="1"/>
  <c r="U545" i="18"/>
  <c r="U829" i="18"/>
  <c r="S831" i="28" s="1"/>
  <c r="AM560" i="18"/>
  <c r="U485" i="18"/>
  <c r="AQ32" i="20" s="1"/>
  <c r="U145" i="18"/>
  <c r="S147" i="28" s="1"/>
  <c r="U348" i="18"/>
  <c r="S350" i="28" s="1"/>
  <c r="U626" i="18"/>
  <c r="S628" i="28" s="1"/>
  <c r="AM625" i="18"/>
  <c r="AK627" i="28" s="1"/>
  <c r="U541" i="18"/>
  <c r="S543" i="28" s="1"/>
  <c r="AM571" i="18"/>
  <c r="AK573" i="28" s="1"/>
  <c r="U365" i="18"/>
  <c r="AI32" i="20" s="1"/>
  <c r="U135" i="18"/>
  <c r="S137" i="28" s="1"/>
  <c r="AM40" i="18"/>
  <c r="AK42" i="28" s="1"/>
  <c r="U733" i="18"/>
  <c r="S735" i="28" s="1"/>
  <c r="AM355" i="18"/>
  <c r="AK357" i="28" s="1"/>
  <c r="U48" i="18"/>
  <c r="S50" i="28" s="1"/>
  <c r="U88" i="18"/>
  <c r="S90" i="28" s="1"/>
  <c r="AM797" i="18"/>
  <c r="AK799" i="28" s="1"/>
  <c r="AM527" i="18"/>
  <c r="AK529" i="28" s="1"/>
  <c r="U422" i="18"/>
  <c r="S424" i="28" s="1"/>
  <c r="U455" i="18"/>
  <c r="AO32" i="20" s="1"/>
  <c r="U305" i="18"/>
  <c r="AE32" i="20" s="1"/>
  <c r="AT12" i="20" s="1"/>
  <c r="AM581" i="18"/>
  <c r="AK583" i="28" s="1"/>
  <c r="AM526" i="18"/>
  <c r="AK528" i="28" s="1"/>
  <c r="AM768" i="18"/>
  <c r="AK770" i="28" s="1"/>
  <c r="U647" i="18"/>
  <c r="S649" i="28" s="1"/>
  <c r="U452" i="18"/>
  <c r="S454" i="28" s="1"/>
  <c r="AM485" i="18"/>
  <c r="AM302" i="18"/>
  <c r="AK304" i="28" s="1"/>
  <c r="U257" i="18"/>
  <c r="S259" i="28" s="1"/>
  <c r="U335" i="18"/>
  <c r="AG32" i="20" s="1"/>
  <c r="AM513" i="18"/>
  <c r="AK515" i="28" s="1"/>
  <c r="AM116" i="18"/>
  <c r="AK118" i="28" s="1"/>
  <c r="U253" i="18"/>
  <c r="S255" i="28" s="1"/>
  <c r="AM135" i="18"/>
  <c r="AK137" i="28" s="1"/>
  <c r="U605" i="18"/>
  <c r="U873" i="18"/>
  <c r="S875" i="28" s="1"/>
  <c r="U241" i="18"/>
  <c r="S243" i="28" s="1"/>
  <c r="AM811" i="18"/>
  <c r="AK813" i="28" s="1"/>
  <c r="U633" i="18"/>
  <c r="S635" i="28" s="1"/>
  <c r="AM851" i="18"/>
  <c r="AK853" i="28" s="1"/>
  <c r="AM425" i="18"/>
  <c r="U242" i="18"/>
  <c r="S244" i="28" s="1"/>
  <c r="U710" i="18"/>
  <c r="AM737" i="18"/>
  <c r="AK739" i="28" s="1"/>
  <c r="U617" i="18"/>
  <c r="S619" i="28" s="1"/>
  <c r="Q29" i="19"/>
  <c r="Q25" i="19"/>
  <c r="U807" i="18"/>
  <c r="S809" i="28" s="1"/>
  <c r="AM374" i="18"/>
  <c r="AK376" i="28" s="1"/>
  <c r="AM114" i="18"/>
  <c r="AK116" i="28" s="1"/>
  <c r="U867" i="18"/>
  <c r="S869" i="28" s="1"/>
  <c r="U569" i="18"/>
  <c r="S571" i="28" s="1"/>
  <c r="U224" i="18"/>
  <c r="S226" i="28" s="1"/>
  <c r="U423" i="18"/>
  <c r="S425" i="28" s="1"/>
  <c r="U30" i="18"/>
  <c r="S32" i="28" s="1"/>
  <c r="U243" i="18"/>
  <c r="S245" i="28" s="1"/>
  <c r="AM211" i="18"/>
  <c r="AK213" i="28" s="1"/>
  <c r="AM709" i="18"/>
  <c r="AK711" i="28" s="1"/>
  <c r="U310" i="18"/>
  <c r="AM294" i="18"/>
  <c r="AK296" i="28" s="1"/>
  <c r="U572" i="18"/>
  <c r="S574" i="28" s="1"/>
  <c r="AM650" i="18"/>
  <c r="Q27" i="19"/>
  <c r="AM463" i="18"/>
  <c r="AK465" i="28" s="1"/>
  <c r="AM209" i="18"/>
  <c r="AK211" i="28" s="1"/>
  <c r="U840" i="18"/>
  <c r="S842" i="28" s="1"/>
  <c r="AM662" i="18"/>
  <c r="AK664" i="28" s="1"/>
  <c r="AM572" i="18"/>
  <c r="AK574" i="28" s="1"/>
  <c r="AM395" i="18"/>
  <c r="AM272" i="18"/>
  <c r="AK274" i="28" s="1"/>
  <c r="AM95" i="18"/>
  <c r="AM215" i="18"/>
  <c r="AM766" i="18"/>
  <c r="AK768" i="28" s="1"/>
  <c r="U841" i="18"/>
  <c r="S843" i="28" s="1"/>
  <c r="AM714" i="18"/>
  <c r="AK716" i="28" s="1"/>
  <c r="AM77" i="18"/>
  <c r="AK79" i="28" s="1"/>
  <c r="AM444" i="18"/>
  <c r="AK446" i="28" s="1"/>
  <c r="U684" i="18"/>
  <c r="S686" i="28" s="1"/>
  <c r="U420" i="18"/>
  <c r="S422" i="28" s="1"/>
  <c r="AM722" i="18"/>
  <c r="AK724" i="28" s="1"/>
  <c r="AM692" i="18"/>
  <c r="AK694" i="28" s="1"/>
  <c r="AM590" i="18"/>
  <c r="U467" i="18"/>
  <c r="S469" i="28" s="1"/>
  <c r="AM422" i="18"/>
  <c r="AK424" i="28" s="1"/>
  <c r="U392" i="18"/>
  <c r="S394" i="28" s="1"/>
  <c r="U347" i="18"/>
  <c r="S349" i="28" s="1"/>
  <c r="AM317" i="18"/>
  <c r="AK319" i="28" s="1"/>
  <c r="U380" i="18"/>
  <c r="AJ32" i="20" s="1"/>
  <c r="AM320" i="18"/>
  <c r="AM245" i="18"/>
  <c r="AM461" i="18"/>
  <c r="AK463" i="28" s="1"/>
  <c r="U495" i="18"/>
  <c r="S497" i="28" s="1"/>
  <c r="U376" i="18"/>
  <c r="S378" i="28" s="1"/>
  <c r="AM746" i="18"/>
  <c r="AK748" i="28" s="1"/>
  <c r="AM345" i="18"/>
  <c r="AK347" i="28" s="1"/>
  <c r="AM177" i="18"/>
  <c r="AK179" i="28" s="1"/>
  <c r="AM268" i="18"/>
  <c r="AK270" i="28" s="1"/>
  <c r="AM341" i="18"/>
  <c r="AK343" i="28" s="1"/>
  <c r="AM661" i="18"/>
  <c r="AK663" i="28" s="1"/>
  <c r="U881" i="18"/>
  <c r="S883" i="28" s="1"/>
  <c r="U493" i="18"/>
  <c r="S495" i="28" s="1"/>
  <c r="U793" i="18"/>
  <c r="S795" i="28" s="1"/>
  <c r="AM588" i="18"/>
  <c r="AK590" i="28" s="1"/>
  <c r="AM375" i="18"/>
  <c r="AK377" i="28" s="1"/>
  <c r="AM632" i="18"/>
  <c r="AK634" i="28" s="1"/>
  <c r="U620" i="18"/>
  <c r="U515" i="18"/>
  <c r="AS32" i="20" s="1"/>
  <c r="U812" i="18"/>
  <c r="S814" i="28" s="1"/>
  <c r="U722" i="18"/>
  <c r="S724" i="28" s="1"/>
  <c r="U692" i="18"/>
  <c r="S694" i="28" s="1"/>
  <c r="AM602" i="18"/>
  <c r="AK604" i="28" s="1"/>
  <c r="AM680" i="18"/>
  <c r="U665" i="18"/>
  <c r="U527" i="18"/>
  <c r="S529" i="28" s="1"/>
  <c r="AM467" i="18"/>
  <c r="AK469" i="28" s="1"/>
  <c r="AM530" i="18"/>
  <c r="AM500" i="18"/>
  <c r="AM377" i="18"/>
  <c r="AK379" i="28" s="1"/>
  <c r="AM440" i="18"/>
  <c r="U317" i="18"/>
  <c r="S319" i="28" s="1"/>
  <c r="AM182" i="18"/>
  <c r="AK184" i="28" s="1"/>
  <c r="U260" i="18"/>
  <c r="AB32" i="20" s="1"/>
  <c r="AQ12" i="20" s="1"/>
  <c r="AM170" i="18"/>
  <c r="AM125" i="18"/>
  <c r="U446" i="18"/>
  <c r="S448" i="28" s="1"/>
  <c r="AM208" i="18"/>
  <c r="AK210" i="28" s="1"/>
  <c r="U686" i="18"/>
  <c r="S688" i="28" s="1"/>
  <c r="U152" i="18"/>
  <c r="S154" i="28" s="1"/>
  <c r="U279" i="18"/>
  <c r="AC36" i="20" s="1"/>
  <c r="AR16" i="20" s="1"/>
  <c r="AM221" i="18"/>
  <c r="AK223" i="28" s="1"/>
  <c r="U748" i="18"/>
  <c r="S750" i="28" s="1"/>
  <c r="U136" i="18"/>
  <c r="S138" i="28" s="1"/>
  <c r="AM829" i="18"/>
  <c r="AK831" i="28" s="1"/>
  <c r="AM642" i="18"/>
  <c r="AK644" i="28" s="1"/>
  <c r="AM121" i="18"/>
  <c r="AK123" i="28" s="1"/>
  <c r="AM894" i="18"/>
  <c r="AK896" i="28" s="1"/>
  <c r="U901" i="18"/>
  <c r="S903" i="28" s="1"/>
  <c r="U393" i="18"/>
  <c r="S395" i="28" s="1"/>
  <c r="U600" i="18"/>
  <c r="S602" i="28" s="1"/>
  <c r="U490" i="18"/>
  <c r="AM765" i="18"/>
  <c r="AK767" i="28" s="1"/>
  <c r="U707" i="18"/>
  <c r="S709" i="28" s="1"/>
  <c r="AM542" i="18"/>
  <c r="AK544" i="28" s="1"/>
  <c r="AM605" i="18"/>
  <c r="AM872" i="18"/>
  <c r="AK874" i="28" s="1"/>
  <c r="U662" i="18"/>
  <c r="S664" i="28" s="1"/>
  <c r="U725" i="18"/>
  <c r="U740" i="18"/>
  <c r="U602" i="18"/>
  <c r="S604" i="28" s="1"/>
  <c r="AM587" i="18"/>
  <c r="AK589" i="28" s="1"/>
  <c r="AM665" i="18"/>
  <c r="U482" i="18"/>
  <c r="S484" i="28" s="1"/>
  <c r="U635" i="18"/>
  <c r="AM437" i="18"/>
  <c r="AK439" i="28" s="1"/>
  <c r="U575" i="18"/>
  <c r="AM392" i="18"/>
  <c r="AK394" i="28" s="1"/>
  <c r="AM332" i="18"/>
  <c r="AK334" i="28" s="1"/>
  <c r="U287" i="18"/>
  <c r="S289" i="28" s="1"/>
  <c r="AM227" i="18"/>
  <c r="AK229" i="28" s="1"/>
  <c r="AM197" i="18"/>
  <c r="AK199" i="28" s="1"/>
  <c r="AM230" i="18"/>
  <c r="AM155" i="18"/>
  <c r="AM185" i="18"/>
  <c r="U110" i="18"/>
  <c r="Q13" i="19"/>
  <c r="U185" i="18"/>
  <c r="Q18" i="19"/>
  <c r="V12" i="19"/>
  <c r="E12" i="19"/>
  <c r="D162" i="19" s="1"/>
  <c r="AM609" i="18"/>
  <c r="AK611" i="28" s="1"/>
  <c r="U507" i="18"/>
  <c r="S509" i="28" s="1"/>
  <c r="AM214" i="18"/>
  <c r="AK216" i="28" s="1"/>
  <c r="AC57" i="20"/>
  <c r="AQ57" i="20" s="1"/>
  <c r="U378" i="18"/>
  <c r="S380" i="28" s="1"/>
  <c r="AM540" i="18"/>
  <c r="AK542" i="28" s="1"/>
  <c r="U649" i="18"/>
  <c r="S651" i="28" s="1"/>
  <c r="U238" i="18"/>
  <c r="S240" i="28" s="1"/>
  <c r="AM283" i="18"/>
  <c r="AK285" i="28" s="1"/>
  <c r="AM734" i="18"/>
  <c r="AK736" i="28" s="1"/>
  <c r="AM403" i="18"/>
  <c r="AK405" i="28" s="1"/>
  <c r="U559" i="18"/>
  <c r="S561" i="28" s="1"/>
  <c r="U588" i="18"/>
  <c r="S590" i="28" s="1"/>
  <c r="U73" i="18"/>
  <c r="S75" i="28" s="1"/>
  <c r="AM718" i="18"/>
  <c r="AK720" i="28" s="1"/>
  <c r="U206" i="18"/>
  <c r="S208" i="28" s="1"/>
  <c r="Q28" i="19"/>
  <c r="U84" i="18"/>
  <c r="AM326" i="18"/>
  <c r="AK328" i="28" s="1"/>
  <c r="U334" i="18"/>
  <c r="S336" i="28" s="1"/>
  <c r="AM84" i="18"/>
  <c r="AK86" i="28" s="1"/>
  <c r="U109" i="18"/>
  <c r="S111" i="28" s="1"/>
  <c r="AM693" i="18"/>
  <c r="AK695" i="28" s="1"/>
  <c r="U745" i="18"/>
  <c r="S747" i="28" s="1"/>
  <c r="AM520" i="18"/>
  <c r="AK522" i="28" s="1"/>
  <c r="AM54" i="18"/>
  <c r="AK56" i="28" s="1"/>
  <c r="U256" i="18"/>
  <c r="S258" i="28" s="1"/>
  <c r="AM423" i="18"/>
  <c r="AK425" i="28" s="1"/>
  <c r="U822" i="18"/>
  <c r="S824" i="28" s="1"/>
  <c r="AM451" i="18"/>
  <c r="AK453" i="28" s="1"/>
  <c r="U676" i="18"/>
  <c r="S678" i="28" s="1"/>
  <c r="U355" i="18"/>
  <c r="AM477" i="18"/>
  <c r="AK479" i="28" s="1"/>
  <c r="AM858" i="18"/>
  <c r="AK860" i="28" s="1"/>
  <c r="AM249" i="18"/>
  <c r="AK251" i="28" s="1"/>
  <c r="U404" i="18"/>
  <c r="S406" i="28" s="1"/>
  <c r="U165" i="18"/>
  <c r="S167" i="28" s="1"/>
  <c r="U402" i="18"/>
  <c r="S404" i="28" s="1"/>
  <c r="U566" i="18"/>
  <c r="S568" i="28" s="1"/>
  <c r="U266" i="18"/>
  <c r="S268" i="28" s="1"/>
  <c r="AM213" i="18"/>
  <c r="AK215" i="28" s="1"/>
  <c r="AM89" i="18"/>
  <c r="AK91" i="28" s="1"/>
  <c r="U274" i="18"/>
  <c r="S276" i="28" s="1"/>
  <c r="U778" i="18"/>
  <c r="S780" i="28" s="1"/>
  <c r="U45" i="18"/>
  <c r="S47" i="28" s="1"/>
  <c r="AM88" i="18"/>
  <c r="AK90" i="28" s="1"/>
  <c r="U644" i="18"/>
  <c r="S646" i="28" s="1"/>
  <c r="U147" i="18"/>
  <c r="S149" i="28" s="1"/>
  <c r="AM71" i="18"/>
  <c r="AK73" i="28" s="1"/>
  <c r="U42" i="18"/>
  <c r="S44" i="28" s="1"/>
  <c r="AM316" i="18"/>
  <c r="AK318" i="28" s="1"/>
  <c r="AM565" i="18"/>
  <c r="AK567" i="28" s="1"/>
  <c r="AM491" i="18"/>
  <c r="AK493" i="28" s="1"/>
  <c r="AM139" i="18"/>
  <c r="AK141" i="28" s="1"/>
  <c r="U401" i="18"/>
  <c r="S403" i="28" s="1"/>
  <c r="AM117" i="18"/>
  <c r="AK119" i="28" s="1"/>
  <c r="U496" i="18"/>
  <c r="S498" i="28" s="1"/>
  <c r="U55" i="18"/>
  <c r="S57" i="28" s="1"/>
  <c r="AM735" i="18"/>
  <c r="AK737" i="28" s="1"/>
  <c r="U429" i="18"/>
  <c r="U444" i="18"/>
  <c r="AM91" i="18"/>
  <c r="AK93" i="28" s="1"/>
  <c r="AM360" i="18"/>
  <c r="AK362" i="28" s="1"/>
  <c r="AM48" i="18"/>
  <c r="AK50" i="28" s="1"/>
  <c r="U469" i="18"/>
  <c r="S471" i="28" s="1"/>
  <c r="AM284" i="18"/>
  <c r="AK286" i="28" s="1"/>
  <c r="AM161" i="18"/>
  <c r="AK163" i="28" s="1"/>
  <c r="AM492" i="18"/>
  <c r="AK494" i="28" s="1"/>
  <c r="AM416" i="18"/>
  <c r="AK418" i="28" s="1"/>
  <c r="AM705" i="18"/>
  <c r="AK707" i="28" s="1"/>
  <c r="AM854" i="18"/>
  <c r="AK856" i="28" s="1"/>
  <c r="U672" i="18"/>
  <c r="S674" i="28" s="1"/>
  <c r="AM32" i="18"/>
  <c r="AK34" i="28" s="1"/>
  <c r="AM886" i="18"/>
  <c r="AK888" i="28" s="1"/>
  <c r="E23" i="26"/>
  <c r="AM574" i="18"/>
  <c r="AK576" i="28" s="1"/>
  <c r="AM165" i="18"/>
  <c r="AK167" i="28" s="1"/>
  <c r="AM849" i="18"/>
  <c r="AK851" i="28" s="1"/>
  <c r="AM763" i="18"/>
  <c r="AK765" i="28" s="1"/>
  <c r="AM256" i="18"/>
  <c r="AK258" i="28" s="1"/>
  <c r="E28" i="19"/>
  <c r="D178" i="19" s="1"/>
  <c r="V28" i="19"/>
  <c r="AM50" i="18"/>
  <c r="U842" i="18"/>
  <c r="S844" i="28" s="1"/>
  <c r="AM842" i="18"/>
  <c r="AK844" i="28" s="1"/>
  <c r="E24" i="26"/>
  <c r="E20" i="19"/>
  <c r="D170" i="19" s="1"/>
  <c r="V20" i="19"/>
  <c r="AM804" i="18"/>
  <c r="AK806" i="28" s="1"/>
  <c r="E9" i="26"/>
  <c r="U809" i="18"/>
  <c r="S811" i="28" s="1"/>
  <c r="AM669" i="18"/>
  <c r="AK671" i="28" s="1"/>
  <c r="AM775" i="18"/>
  <c r="AK777" i="28" s="1"/>
  <c r="U438" i="18"/>
  <c r="S440" i="28" s="1"/>
  <c r="U453" i="18"/>
  <c r="S455" i="28" s="1"/>
  <c r="E11" i="26"/>
  <c r="AM43" i="18"/>
  <c r="AK45" i="28" s="1"/>
  <c r="U734" i="18"/>
  <c r="S736" i="28" s="1"/>
  <c r="U301" i="18"/>
  <c r="S303" i="28" s="1"/>
  <c r="AM205" i="18"/>
  <c r="AK207" i="28" s="1"/>
  <c r="AM808" i="18"/>
  <c r="AK810" i="28" s="1"/>
  <c r="AM660" i="18"/>
  <c r="AK662" i="28" s="1"/>
  <c r="U312" i="18"/>
  <c r="S314" i="28" s="1"/>
  <c r="U149" i="18"/>
  <c r="S151" i="28" s="1"/>
  <c r="U481" i="18"/>
  <c r="S483" i="28" s="1"/>
  <c r="AM679" i="18"/>
  <c r="AK681" i="28" s="1"/>
  <c r="AM55" i="18"/>
  <c r="AK57" i="28" s="1"/>
  <c r="U166" i="18"/>
  <c r="S168" i="28" s="1"/>
  <c r="U597" i="18"/>
  <c r="S599" i="28" s="1"/>
  <c r="AM543" i="18"/>
  <c r="AK545" i="28" s="1"/>
  <c r="U856" i="18"/>
  <c r="S858" i="28" s="1"/>
  <c r="U356" i="18"/>
  <c r="S358" i="28" s="1"/>
  <c r="U895" i="18"/>
  <c r="S897" i="28" s="1"/>
  <c r="U834" i="18"/>
  <c r="S836" i="28" s="1"/>
  <c r="U298" i="18"/>
  <c r="S300" i="28" s="1"/>
  <c r="AM384" i="18"/>
  <c r="AK386" i="28" s="1"/>
  <c r="AM429" i="18"/>
  <c r="AK431" i="28" s="1"/>
  <c r="AM466" i="18"/>
  <c r="AK468" i="28" s="1"/>
  <c r="AM649" i="18"/>
  <c r="AK651" i="28" s="1"/>
  <c r="AM885" i="18"/>
  <c r="AK887" i="28" s="1"/>
  <c r="U174" i="18"/>
  <c r="AM340" i="18"/>
  <c r="AK342" i="28" s="1"/>
  <c r="U179" i="18"/>
  <c r="S181" i="28" s="1"/>
  <c r="AM640" i="18"/>
  <c r="AK642" i="28" s="1"/>
  <c r="U327" i="18"/>
  <c r="S329" i="28" s="1"/>
  <c r="U189" i="18"/>
  <c r="U106" i="18"/>
  <c r="S108" i="28" s="1"/>
  <c r="AM154" i="18"/>
  <c r="AK156" i="28" s="1"/>
  <c r="U92" i="18"/>
  <c r="S94" i="28" s="1"/>
  <c r="U821" i="18"/>
  <c r="S823" i="28" s="1"/>
  <c r="AM601" i="18"/>
  <c r="AK603" i="28" s="1"/>
  <c r="AM597" i="18"/>
  <c r="AK599" i="28" s="1"/>
  <c r="U379" i="18"/>
  <c r="S381" i="28" s="1"/>
  <c r="U678" i="18"/>
  <c r="S680" i="28" s="1"/>
  <c r="AM123" i="18"/>
  <c r="AK125" i="28" s="1"/>
  <c r="U598" i="18"/>
  <c r="S600" i="28" s="1"/>
  <c r="U870" i="18"/>
  <c r="S872" i="28" s="1"/>
  <c r="AM648" i="18"/>
  <c r="AK650" i="28" s="1"/>
  <c r="AM859" i="18"/>
  <c r="AK861" i="28" s="1"/>
  <c r="AM58" i="18"/>
  <c r="AK60" i="28" s="1"/>
  <c r="AM865" i="18"/>
  <c r="AK867" i="28" s="1"/>
  <c r="AM241" i="18"/>
  <c r="AK243" i="28" s="1"/>
  <c r="AM254" i="18"/>
  <c r="AK256" i="28" s="1"/>
  <c r="AM260" i="18"/>
  <c r="AM26" i="18"/>
  <c r="AK28" i="28" s="1"/>
  <c r="AM390" i="18"/>
  <c r="AK392" i="28" s="1"/>
  <c r="AM555" i="18"/>
  <c r="AK557" i="28" s="1"/>
  <c r="U170" i="18"/>
  <c r="Q17" i="19"/>
  <c r="AM868" i="18"/>
  <c r="AK870" i="28" s="1"/>
  <c r="U782" i="18"/>
  <c r="S784" i="28" s="1"/>
  <c r="U872" i="18"/>
  <c r="S874" i="28" s="1"/>
  <c r="U80" i="18"/>
  <c r="Q11" i="19"/>
  <c r="U65" i="18"/>
  <c r="Q10" i="19"/>
  <c r="E14" i="26"/>
  <c r="U139" i="18"/>
  <c r="S141" i="28" s="1"/>
  <c r="E30" i="26"/>
  <c r="U466" i="18"/>
  <c r="S468" i="28" s="1"/>
  <c r="U780" i="18"/>
  <c r="S782" i="28" s="1"/>
  <c r="U522" i="18"/>
  <c r="S524" i="28" s="1"/>
  <c r="AM236" i="18"/>
  <c r="AK238" i="28" s="1"/>
  <c r="AM852" i="18"/>
  <c r="AK854" i="28" s="1"/>
  <c r="U731" i="18"/>
  <c r="S733" i="28" s="1"/>
  <c r="AM223" i="18"/>
  <c r="AK225" i="28" s="1"/>
  <c r="U408" i="18"/>
  <c r="S410" i="28" s="1"/>
  <c r="U594" i="18"/>
  <c r="S596" i="28" s="1"/>
  <c r="U384" i="18"/>
  <c r="U609" i="18"/>
  <c r="S611" i="28" s="1"/>
  <c r="U705" i="18"/>
  <c r="S707" i="28" s="1"/>
  <c r="V15" i="19"/>
  <c r="E15" i="19"/>
  <c r="D165" i="19" s="1"/>
  <c r="AM813" i="18"/>
  <c r="AK815" i="28" s="1"/>
  <c r="U654" i="18"/>
  <c r="S656" i="28" s="1"/>
  <c r="AM841" i="18"/>
  <c r="AK843" i="28" s="1"/>
  <c r="U259" i="18"/>
  <c r="S261" i="28" s="1"/>
  <c r="AM131" i="18"/>
  <c r="AK133" i="28" s="1"/>
  <c r="AM356" i="18"/>
  <c r="AK358" i="28" s="1"/>
  <c r="AM867" i="18"/>
  <c r="AK869" i="28" s="1"/>
  <c r="AM730" i="18"/>
  <c r="AK732" i="28" s="1"/>
  <c r="AM207" i="18"/>
  <c r="AK209" i="28" s="1"/>
  <c r="U536" i="18"/>
  <c r="S538" i="28" s="1"/>
  <c r="AM61" i="18"/>
  <c r="AK63" i="28" s="1"/>
  <c r="AM129" i="18"/>
  <c r="AK131" i="28" s="1"/>
  <c r="U123" i="18"/>
  <c r="S125" i="28" s="1"/>
  <c r="U210" i="18"/>
  <c r="S212" i="28" s="1"/>
  <c r="AM633" i="18"/>
  <c r="AK635" i="28" s="1"/>
  <c r="U704" i="18"/>
  <c r="S706" i="28" s="1"/>
  <c r="AM539" i="18"/>
  <c r="AK541" i="28" s="1"/>
  <c r="U739" i="18"/>
  <c r="S741" i="28" s="1"/>
  <c r="AM509" i="18"/>
  <c r="AK511" i="28" s="1"/>
  <c r="AM694" i="18"/>
  <c r="AK696" i="28" s="1"/>
  <c r="U40" i="18"/>
  <c r="S42" i="28" s="1"/>
  <c r="E22" i="26"/>
  <c r="U805" i="18"/>
  <c r="S807" i="28" s="1"/>
  <c r="U735" i="18"/>
  <c r="S737" i="28" s="1"/>
  <c r="U603" i="18"/>
  <c r="S605" i="28" s="1"/>
  <c r="U237" i="18"/>
  <c r="S239" i="28" s="1"/>
  <c r="U753" i="18"/>
  <c r="S755" i="28" s="1"/>
  <c r="U614" i="18"/>
  <c r="S616" i="28" s="1"/>
  <c r="AM79" i="18"/>
  <c r="AK81" i="28" s="1"/>
  <c r="AM675" i="18"/>
  <c r="AK677" i="28" s="1"/>
  <c r="AM475" i="18"/>
  <c r="AK477" i="28" s="1"/>
  <c r="AM274" i="18"/>
  <c r="AK276" i="28" s="1"/>
  <c r="E18" i="19"/>
  <c r="D168" i="19" s="1"/>
  <c r="V18" i="19"/>
  <c r="U491" i="18"/>
  <c r="S493" i="28" s="1"/>
  <c r="U461" i="18"/>
  <c r="S463" i="28" s="1"/>
  <c r="AM584" i="18"/>
  <c r="AK586" i="28" s="1"/>
  <c r="U795" i="18"/>
  <c r="S797" i="28" s="1"/>
  <c r="U300" i="18"/>
  <c r="S302" i="28" s="1"/>
  <c r="U751" i="18"/>
  <c r="S753" i="28" s="1"/>
  <c r="U309" i="18"/>
  <c r="AE36" i="20" s="1"/>
  <c r="AT16" i="20" s="1"/>
  <c r="U311" i="18"/>
  <c r="S313" i="28" s="1"/>
  <c r="AM904" i="18"/>
  <c r="U240" i="18"/>
  <c r="S242" i="28" s="1"/>
  <c r="U463" i="18"/>
  <c r="S465" i="28" s="1"/>
  <c r="U284" i="18"/>
  <c r="S286" i="28" s="1"/>
  <c r="U78" i="18"/>
  <c r="S80" i="28" s="1"/>
  <c r="AM415" i="18"/>
  <c r="AK417" i="28" s="1"/>
  <c r="U888" i="18"/>
  <c r="S890" i="28" s="1"/>
  <c r="U595" i="18"/>
  <c r="S597" i="28" s="1"/>
  <c r="U252" i="18"/>
  <c r="S254" i="28" s="1"/>
  <c r="AM882" i="18"/>
  <c r="AK884" i="28" s="1"/>
  <c r="U624" i="18"/>
  <c r="S626" i="28" s="1"/>
  <c r="AM297" i="18"/>
  <c r="AK299" i="28" s="1"/>
  <c r="AM210" i="18"/>
  <c r="AK212" i="28" s="1"/>
  <c r="AM41" i="18"/>
  <c r="AK43" i="28" s="1"/>
  <c r="AM496" i="18"/>
  <c r="AK498" i="28" s="1"/>
  <c r="AM454" i="18"/>
  <c r="AK456" i="28" s="1"/>
  <c r="AM44" i="18"/>
  <c r="AK46" i="28" s="1"/>
  <c r="U175" i="18"/>
  <c r="S177" i="28" s="1"/>
  <c r="AM319" i="18"/>
  <c r="AK321" i="28" s="1"/>
  <c r="AM628" i="18"/>
  <c r="AK630" i="28" s="1"/>
  <c r="AM795" i="18"/>
  <c r="AK797" i="28" s="1"/>
  <c r="AM615" i="18"/>
  <c r="AK617" i="28" s="1"/>
  <c r="O23" i="19"/>
  <c r="O25" i="26"/>
  <c r="AQ25" i="26" s="1"/>
  <c r="AA25" i="26"/>
  <c r="AM647" i="18"/>
  <c r="AK649" i="28" s="1"/>
  <c r="AM497" i="18"/>
  <c r="AK499" i="28" s="1"/>
  <c r="U410" i="18"/>
  <c r="AL32" i="20" s="1"/>
  <c r="E19" i="19"/>
  <c r="D169" i="19" s="1"/>
  <c r="V19" i="19"/>
  <c r="E18" i="26"/>
  <c r="U451" i="18"/>
  <c r="S453" i="28" s="1"/>
  <c r="U447" i="18"/>
  <c r="S449" i="28" s="1"/>
  <c r="U765" i="18"/>
  <c r="S767" i="28" s="1"/>
  <c r="AM505" i="18"/>
  <c r="AK507" i="28" s="1"/>
  <c r="AM324" i="18"/>
  <c r="AK326" i="28" s="1"/>
  <c r="AM124" i="18"/>
  <c r="AK126" i="28" s="1"/>
  <c r="U664" i="18"/>
  <c r="S666" i="28" s="1"/>
  <c r="AM499" i="18"/>
  <c r="AK501" i="28" s="1"/>
  <c r="AM298" i="18"/>
  <c r="AK300" i="28" s="1"/>
  <c r="AM759" i="18"/>
  <c r="AK761" i="28" s="1"/>
  <c r="E31" i="26"/>
  <c r="AM634" i="18"/>
  <c r="AK636" i="28" s="1"/>
  <c r="AM700" i="18"/>
  <c r="AK702" i="28" s="1"/>
  <c r="AM567" i="18"/>
  <c r="AK569" i="28" s="1"/>
  <c r="U899" i="18"/>
  <c r="S901" i="28" s="1"/>
  <c r="E10" i="26"/>
  <c r="AM25" i="18"/>
  <c r="AK27" i="28" s="1"/>
  <c r="AM480" i="18"/>
  <c r="AK482" i="28" s="1"/>
  <c r="U894" i="18"/>
  <c r="S896" i="28" s="1"/>
  <c r="U539" i="18"/>
  <c r="S541" i="28" s="1"/>
  <c r="AM119" i="18"/>
  <c r="AK121" i="28" s="1"/>
  <c r="U570" i="18"/>
  <c r="S572" i="28" s="1"/>
  <c r="AM629" i="18"/>
  <c r="AK631" i="28" s="1"/>
  <c r="E19" i="26"/>
  <c r="AM134" i="18"/>
  <c r="AK136" i="28" s="1"/>
  <c r="E10" i="19"/>
  <c r="D160" i="19" s="1"/>
  <c r="V10" i="19"/>
  <c r="U519" i="18"/>
  <c r="U403" i="18"/>
  <c r="S405" i="28" s="1"/>
  <c r="AM445" i="18"/>
  <c r="AK447" i="28" s="1"/>
  <c r="U625" i="18"/>
  <c r="S627" i="28" s="1"/>
  <c r="U349" i="18"/>
  <c r="S351" i="28" s="1"/>
  <c r="U489" i="18"/>
  <c r="E17" i="19"/>
  <c r="D167" i="19" s="1"/>
  <c r="V17" i="19"/>
  <c r="U724" i="18"/>
  <c r="S726" i="28" s="1"/>
  <c r="U370" i="18"/>
  <c r="AM303" i="18"/>
  <c r="AK305" i="28" s="1"/>
  <c r="U434" i="18"/>
  <c r="S436" i="28" s="1"/>
  <c r="AM258" i="18"/>
  <c r="AK260" i="28" s="1"/>
  <c r="AM871" i="18"/>
  <c r="AK873" i="28" s="1"/>
  <c r="AM639" i="18"/>
  <c r="AK641" i="28" s="1"/>
  <c r="U508" i="18"/>
  <c r="S510" i="28" s="1"/>
  <c r="AM528" i="18"/>
  <c r="AK530" i="28" s="1"/>
  <c r="U464" i="18"/>
  <c r="S466" i="28" s="1"/>
  <c r="AM704" i="18"/>
  <c r="AK706" i="28" s="1"/>
  <c r="U535" i="18"/>
  <c r="S537" i="28" s="1"/>
  <c r="AM328" i="18"/>
  <c r="AK330" i="28" s="1"/>
  <c r="U646" i="18"/>
  <c r="S648" i="28" s="1"/>
  <c r="U329" i="18"/>
  <c r="S331" i="28" s="1"/>
  <c r="AM204" i="18"/>
  <c r="AK206" i="28" s="1"/>
  <c r="U883" i="18"/>
  <c r="S885" i="28" s="1"/>
  <c r="AM508" i="18"/>
  <c r="AK510" i="28" s="1"/>
  <c r="V23" i="19"/>
  <c r="E23" i="19"/>
  <c r="D173" i="19" s="1"/>
  <c r="AM844" i="18"/>
  <c r="AK846" i="28" s="1"/>
  <c r="U514" i="18"/>
  <c r="S516" i="28" s="1"/>
  <c r="E21" i="19"/>
  <c r="D171" i="19" s="1"/>
  <c r="V21" i="19"/>
  <c r="U762" i="18"/>
  <c r="S764" i="28" s="1"/>
  <c r="AM93" i="18"/>
  <c r="AK95" i="28" s="1"/>
  <c r="U316" i="18"/>
  <c r="S318" i="28" s="1"/>
  <c r="U538" i="18"/>
  <c r="S540" i="28" s="1"/>
  <c r="U71" i="18"/>
  <c r="S73" i="28" s="1"/>
  <c r="U700" i="18"/>
  <c r="S702" i="28" s="1"/>
  <c r="AM850" i="18"/>
  <c r="AK852" i="28" s="1"/>
  <c r="U117" i="18"/>
  <c r="S119" i="28" s="1"/>
  <c r="E11" i="19"/>
  <c r="D161" i="19" s="1"/>
  <c r="V11" i="19"/>
  <c r="AM255" i="18"/>
  <c r="AK257" i="28" s="1"/>
  <c r="AM348" i="18"/>
  <c r="AK350" i="28" s="1"/>
  <c r="AM379" i="18"/>
  <c r="AK381" i="28" s="1"/>
  <c r="AM29" i="18"/>
  <c r="AK31" i="28" s="1"/>
  <c r="AM225" i="18"/>
  <c r="AK227" i="28" s="1"/>
  <c r="AM136" i="18"/>
  <c r="AK138" i="28" s="1"/>
  <c r="AM399" i="18"/>
  <c r="AK401" i="28" s="1"/>
  <c r="AM418" i="18"/>
  <c r="AK420" i="28" s="1"/>
  <c r="AM339" i="18"/>
  <c r="AK341" i="28" s="1"/>
  <c r="AM118" i="18"/>
  <c r="AK120" i="28" s="1"/>
  <c r="U155" i="18"/>
  <c r="Q16" i="19"/>
  <c r="U125" i="18"/>
  <c r="Q14" i="19"/>
  <c r="U50" i="18"/>
  <c r="E72" i="19" s="1"/>
  <c r="Q9" i="19"/>
  <c r="AM515" i="18"/>
  <c r="U737" i="18"/>
  <c r="S739" i="28" s="1"/>
  <c r="AM677" i="18"/>
  <c r="AK679" i="28" s="1"/>
  <c r="AM710" i="18"/>
  <c r="U695" i="18"/>
  <c r="U557" i="18"/>
  <c r="S559" i="28" s="1"/>
  <c r="AM575" i="18"/>
  <c r="U437" i="18"/>
  <c r="S439" i="28" s="1"/>
  <c r="U500" i="18"/>
  <c r="AR32" i="20" s="1"/>
  <c r="AM362" i="18"/>
  <c r="AK364" i="28" s="1"/>
  <c r="AM455" i="18"/>
  <c r="U302" i="18"/>
  <c r="S304" i="28" s="1"/>
  <c r="AM380" i="18"/>
  <c r="AM305" i="18"/>
  <c r="U245" i="18"/>
  <c r="AA32" i="20" s="1"/>
  <c r="AP12" i="20" s="1"/>
  <c r="Q22" i="19"/>
  <c r="U415" i="18"/>
  <c r="AM110" i="18"/>
  <c r="U363" i="18"/>
  <c r="S365" i="28" s="1"/>
  <c r="AM20" i="18"/>
  <c r="Z68" i="20"/>
  <c r="AC53" i="20"/>
  <c r="AQ53" i="20" s="1"/>
  <c r="AM835" i="18"/>
  <c r="AK837" i="28" s="1"/>
  <c r="AM806" i="18"/>
  <c r="AK808" i="28" s="1"/>
  <c r="E26" i="26"/>
  <c r="E15" i="26"/>
  <c r="AM550" i="18"/>
  <c r="AK552" i="28" s="1"/>
  <c r="U781" i="18"/>
  <c r="S783" i="28" s="1"/>
  <c r="AM159" i="18"/>
  <c r="AK161" i="28" s="1"/>
  <c r="U852" i="18"/>
  <c r="S854" i="28" s="1"/>
  <c r="E14" i="19"/>
  <c r="D164" i="19" s="1"/>
  <c r="V14" i="19"/>
  <c r="U258" i="18"/>
  <c r="S260" i="28" s="1"/>
  <c r="U630" i="18"/>
  <c r="S632" i="28" s="1"/>
  <c r="U251" i="18"/>
  <c r="S253" i="28" s="1"/>
  <c r="U29" i="18"/>
  <c r="S31" i="28" s="1"/>
  <c r="AM739" i="18"/>
  <c r="AK741" i="28" s="1"/>
  <c r="U718" i="18"/>
  <c r="S720" i="28" s="1"/>
  <c r="U414" i="18"/>
  <c r="U543" i="18"/>
  <c r="S545" i="28" s="1"/>
  <c r="AM184" i="18"/>
  <c r="AK186" i="28" s="1"/>
  <c r="AM896" i="18"/>
  <c r="AK898" i="28" s="1"/>
  <c r="AM102" i="18"/>
  <c r="AK104" i="28" s="1"/>
  <c r="U642" i="18"/>
  <c r="S644" i="28" s="1"/>
  <c r="U372" i="18"/>
  <c r="S374" i="28" s="1"/>
  <c r="U129" i="18"/>
  <c r="E16" i="26"/>
  <c r="U675" i="18"/>
  <c r="S677" i="28" s="1"/>
  <c r="V26" i="19"/>
  <c r="E26" i="19"/>
  <c r="D176" i="19" s="1"/>
  <c r="AM175" i="18"/>
  <c r="AK177" i="28" s="1"/>
  <c r="U229" i="18"/>
  <c r="S231" i="28" s="1"/>
  <c r="U571" i="18"/>
  <c r="S573" i="28" s="1"/>
  <c r="U445" i="18"/>
  <c r="U641" i="18"/>
  <c r="S643" i="28" s="1"/>
  <c r="E25" i="26"/>
  <c r="AM805" i="18"/>
  <c r="AK807" i="28" s="1"/>
  <c r="AM514" i="18"/>
  <c r="AK516" i="28" s="1"/>
  <c r="AM659" i="18"/>
  <c r="AK661" i="28" s="1"/>
  <c r="AM85" i="18"/>
  <c r="AK87" i="28" s="1"/>
  <c r="AM220" i="18"/>
  <c r="AK222" i="28" s="1"/>
  <c r="AM196" i="18"/>
  <c r="AK198" i="28" s="1"/>
  <c r="U341" i="18"/>
  <c r="S343" i="28" s="1"/>
  <c r="AM386" i="18"/>
  <c r="AK388" i="28" s="1"/>
  <c r="U717" i="18"/>
  <c r="S719" i="28" s="1"/>
  <c r="AM733" i="18"/>
  <c r="AK735" i="28" s="1"/>
  <c r="AM781" i="18"/>
  <c r="AK783" i="28" s="1"/>
  <c r="AM792" i="18"/>
  <c r="AK794" i="28" s="1"/>
  <c r="E8" i="19"/>
  <c r="D158" i="19" s="1"/>
  <c r="V8" i="19"/>
  <c r="U74" i="18"/>
  <c r="S76" i="28" s="1"/>
  <c r="U874" i="18"/>
  <c r="S876" i="28" s="1"/>
  <c r="U618" i="18"/>
  <c r="S620" i="28" s="1"/>
  <c r="U558" i="18"/>
  <c r="S560" i="28" s="1"/>
  <c r="U192" i="18"/>
  <c r="S194" i="28" s="1"/>
  <c r="V22" i="19"/>
  <c r="E22" i="19"/>
  <c r="D172" i="19" s="1"/>
  <c r="U344" i="18"/>
  <c r="S346" i="28" s="1"/>
  <c r="AM476" i="18"/>
  <c r="AK478" i="28" s="1"/>
  <c r="U46" i="18"/>
  <c r="S48" i="28" s="1"/>
  <c r="U439" i="18"/>
  <c r="S441" i="28" s="1"/>
  <c r="U343" i="18"/>
  <c r="S345" i="28" s="1"/>
  <c r="E13" i="26"/>
  <c r="AM688" i="18"/>
  <c r="AK690" i="28" s="1"/>
  <c r="U87" i="18"/>
  <c r="S89" i="28" s="1"/>
  <c r="U882" i="18"/>
  <c r="S884" i="28" s="1"/>
  <c r="AM164" i="18"/>
  <c r="AK166" i="28" s="1"/>
  <c r="AM310" i="18"/>
  <c r="AK312" i="28" s="1"/>
  <c r="AM603" i="18"/>
  <c r="AK605" i="28" s="1"/>
  <c r="U483" i="18"/>
  <c r="S485" i="28" s="1"/>
  <c r="AM889" i="18"/>
  <c r="AK891" i="28" s="1"/>
  <c r="AM656" i="18"/>
  <c r="AK658" i="28" s="1"/>
  <c r="AM674" i="18"/>
  <c r="AK676" i="28" s="1"/>
  <c r="AM389" i="18"/>
  <c r="AK391" i="28" s="1"/>
  <c r="U405" i="18"/>
  <c r="S407" i="28" s="1"/>
  <c r="U198" i="18"/>
  <c r="S200" i="28" s="1"/>
  <c r="U855" i="18"/>
  <c r="S857" i="28" s="1"/>
  <c r="U714" i="18"/>
  <c r="S716" i="28" s="1"/>
  <c r="AM809" i="18"/>
  <c r="AK811" i="28" s="1"/>
  <c r="U101" i="18"/>
  <c r="S103" i="28" s="1"/>
  <c r="AM130" i="18"/>
  <c r="AK132" i="28" s="1"/>
  <c r="AM481" i="18"/>
  <c r="AK483" i="28" s="1"/>
  <c r="AM538" i="18"/>
  <c r="AK540" i="28" s="1"/>
  <c r="U854" i="18"/>
  <c r="S856" i="28" s="1"/>
  <c r="AM358" i="18"/>
  <c r="AK360" i="28" s="1"/>
  <c r="AM522" i="18"/>
  <c r="AK524" i="28" s="1"/>
  <c r="AM251" i="18"/>
  <c r="AK253" i="28" s="1"/>
  <c r="U220" i="18"/>
  <c r="S222" i="28" s="1"/>
  <c r="U181" i="18"/>
  <c r="S183" i="28" s="1"/>
  <c r="AM163" i="18"/>
  <c r="AK165" i="28" s="1"/>
  <c r="AM855" i="18"/>
  <c r="AK857" i="28" s="1"/>
  <c r="AM42" i="18"/>
  <c r="AK44" i="28" s="1"/>
  <c r="AM279" i="18"/>
  <c r="AK281" i="28" s="1"/>
  <c r="E28" i="26"/>
  <c r="AM754" i="18"/>
  <c r="AK756" i="28" s="1"/>
  <c r="AM478" i="18"/>
  <c r="AK480" i="28" s="1"/>
  <c r="U902" i="18"/>
  <c r="S904" i="28" s="1"/>
  <c r="U395" i="18"/>
  <c r="AK32" i="20" s="1"/>
  <c r="AM290" i="18"/>
  <c r="AM617" i="18"/>
  <c r="AK619" i="28" s="1"/>
  <c r="U362" i="18"/>
  <c r="S364" i="28" s="1"/>
  <c r="U230" i="18"/>
  <c r="Z32" i="20" s="1"/>
  <c r="AO12" i="20" s="1"/>
  <c r="Q21" i="19"/>
  <c r="U5" i="18"/>
  <c r="Q6" i="19"/>
  <c r="AM707" i="18"/>
  <c r="AK709" i="28" s="1"/>
  <c r="U677" i="18"/>
  <c r="S679" i="28" s="1"/>
  <c r="AM725" i="18"/>
  <c r="AM740" i="18"/>
  <c r="AM557" i="18"/>
  <c r="AK559" i="28" s="1"/>
  <c r="AM635" i="18"/>
  <c r="U497" i="18"/>
  <c r="S499" i="28" s="1"/>
  <c r="U332" i="18"/>
  <c r="S334" i="28" s="1"/>
  <c r="AM365" i="18"/>
  <c r="AM257" i="18"/>
  <c r="AK259" i="28" s="1"/>
  <c r="U197" i="18"/>
  <c r="S199" i="28" s="1"/>
  <c r="U137" i="18"/>
  <c r="S139" i="28" s="1"/>
  <c r="U20" i="18"/>
  <c r="Q7" i="19"/>
  <c r="AM35" i="18"/>
  <c r="U215" i="18"/>
  <c r="Q20" i="19"/>
  <c r="U35" i="18"/>
  <c r="Q8" i="19"/>
  <c r="Q26" i="19"/>
  <c r="AM619" i="18"/>
  <c r="AK621" i="28" s="1"/>
  <c r="U130" i="18"/>
  <c r="S132" i="28" s="1"/>
  <c r="U611" i="18"/>
  <c r="S613" i="28" s="1"/>
  <c r="U47" i="18"/>
  <c r="S49" i="28" s="1"/>
  <c r="AM498" i="18"/>
  <c r="AK500" i="28" s="1"/>
  <c r="U280" i="18"/>
  <c r="U431" i="18"/>
  <c r="S433" i="28" s="1"/>
  <c r="AM825" i="18"/>
  <c r="AK827" i="28" s="1"/>
  <c r="AM243" i="18"/>
  <c r="AK245" i="28" s="1"/>
  <c r="E8" i="26"/>
  <c r="U671" i="18"/>
  <c r="S673" i="28" s="1"/>
  <c r="AM686" i="18"/>
  <c r="AK688" i="28" s="1"/>
  <c r="U555" i="18"/>
  <c r="S557" i="28" s="1"/>
  <c r="AM162" i="18"/>
  <c r="AK164" i="28" s="1"/>
  <c r="U28" i="18"/>
  <c r="S30" i="28" s="1"/>
  <c r="U120" i="18"/>
  <c r="S122" i="28" s="1"/>
  <c r="AM468" i="18"/>
  <c r="AK470" i="28" s="1"/>
  <c r="U146" i="18"/>
  <c r="S148" i="28" s="1"/>
  <c r="AM761" i="18"/>
  <c r="AK763" i="28" s="1"/>
  <c r="U205" i="18"/>
  <c r="S207" i="28" s="1"/>
  <c r="AM60" i="18"/>
  <c r="AK62" i="28" s="1"/>
  <c r="U85" i="18"/>
  <c r="S87" i="28" s="1"/>
  <c r="U631" i="18"/>
  <c r="S633" i="28" s="1"/>
  <c r="U119" i="18"/>
  <c r="S121" i="28" s="1"/>
  <c r="AM494" i="18"/>
  <c r="AK496" i="28" s="1"/>
  <c r="U864" i="18"/>
  <c r="S866" i="28" s="1"/>
  <c r="AX23" i="26"/>
  <c r="AH10" i="26"/>
  <c r="AX26" i="26"/>
  <c r="AX8" i="26"/>
  <c r="AH14" i="26"/>
  <c r="AX27" i="26"/>
  <c r="AH30" i="26"/>
  <c r="AX30" i="26"/>
  <c r="AX10" i="26"/>
  <c r="AX11" i="26"/>
  <c r="AX18" i="26"/>
  <c r="AX15" i="26"/>
  <c r="AH16" i="26"/>
  <c r="AH31" i="26"/>
  <c r="AX22" i="26"/>
  <c r="AX16" i="26"/>
  <c r="AH17" i="26"/>
  <c r="AX24" i="26"/>
  <c r="AH24" i="26"/>
  <c r="AH26" i="26"/>
  <c r="AH27" i="26"/>
  <c r="AH25" i="26"/>
  <c r="AH28" i="26"/>
  <c r="AH15" i="26"/>
  <c r="AH8" i="26"/>
  <c r="AH29" i="26"/>
  <c r="AX28" i="26"/>
  <c r="AX31" i="26"/>
  <c r="AH23" i="26"/>
  <c r="AX20" i="26"/>
  <c r="AH11" i="26"/>
  <c r="AH22" i="26"/>
  <c r="AH9" i="26"/>
  <c r="AX17" i="26"/>
  <c r="AX21" i="26"/>
  <c r="AX29" i="26"/>
  <c r="AX14" i="26"/>
  <c r="AX9" i="26"/>
  <c r="Y4" i="26"/>
  <c r="AH13" i="26"/>
  <c r="AX25" i="26"/>
  <c r="AH21" i="26"/>
  <c r="AX13" i="26"/>
  <c r="AX12" i="26"/>
  <c r="AO4" i="26"/>
  <c r="AX19" i="26"/>
  <c r="U208" i="18"/>
  <c r="S210" i="28" s="1"/>
  <c r="U391" i="18"/>
  <c r="S393" i="28" s="1"/>
  <c r="U835" i="18"/>
  <c r="S837" i="28" s="1"/>
  <c r="AM49" i="18"/>
  <c r="AK51" i="28" s="1"/>
  <c r="U886" i="18"/>
  <c r="S888" i="28" s="1"/>
  <c r="U387" i="18"/>
  <c r="S389" i="28" s="1"/>
  <c r="U826" i="18"/>
  <c r="S828" i="28" s="1"/>
  <c r="U228" i="18"/>
  <c r="S230" i="28" s="1"/>
  <c r="U774" i="18"/>
  <c r="S776" i="28" s="1"/>
  <c r="U373" i="18"/>
  <c r="S375" i="28" s="1"/>
  <c r="AM670" i="18"/>
  <c r="AK672" i="28" s="1"/>
  <c r="U385" i="18"/>
  <c r="U44" i="18"/>
  <c r="S46" i="28" s="1"/>
  <c r="U813" i="18"/>
  <c r="S815" i="28" s="1"/>
  <c r="U34" i="18"/>
  <c r="S36" i="28" s="1"/>
  <c r="AM146" i="18"/>
  <c r="AK148" i="28" s="1"/>
  <c r="AM191" i="18"/>
  <c r="AK193" i="28" s="1"/>
  <c r="AM774" i="18"/>
  <c r="AK776" i="28" s="1"/>
  <c r="AM822" i="18"/>
  <c r="AK824" i="28" s="1"/>
  <c r="AM189" i="18"/>
  <c r="AK191" i="28" s="1"/>
  <c r="AM504" i="18"/>
  <c r="AK506" i="28" s="1"/>
  <c r="V13" i="19"/>
  <c r="E13" i="19"/>
  <c r="D163" i="19" s="1"/>
  <c r="AM823" i="18"/>
  <c r="AK825" i="28" s="1"/>
  <c r="U612" i="18"/>
  <c r="S614" i="28" s="1"/>
  <c r="AM573" i="18"/>
  <c r="AK575" i="28" s="1"/>
  <c r="U769" i="18"/>
  <c r="S771" i="28" s="1"/>
  <c r="AM691" i="18"/>
  <c r="AK693" i="28" s="1"/>
  <c r="U669" i="18"/>
  <c r="S671" i="28" s="1"/>
  <c r="AM748" i="18"/>
  <c r="AK750" i="28" s="1"/>
  <c r="AM687" i="18"/>
  <c r="AK689" i="28" s="1"/>
  <c r="U268" i="18"/>
  <c r="S270" i="28" s="1"/>
  <c r="E29" i="26"/>
  <c r="AM385" i="18"/>
  <c r="AK387" i="28" s="1"/>
  <c r="AM63" i="18"/>
  <c r="AK65" i="28" s="1"/>
  <c r="U747" i="18"/>
  <c r="S749" i="28" s="1"/>
  <c r="U183" i="18"/>
  <c r="S185" i="28" s="1"/>
  <c r="AM224" i="18"/>
  <c r="AK226" i="28" s="1"/>
  <c r="U49" i="18"/>
  <c r="S51" i="28" s="1"/>
  <c r="U850" i="18"/>
  <c r="S852" i="28" s="1"/>
  <c r="AM564" i="18"/>
  <c r="AK566" i="28" s="1"/>
  <c r="U43" i="18"/>
  <c r="S45" i="28" s="1"/>
  <c r="U550" i="18"/>
  <c r="S552" i="28" s="1"/>
  <c r="U239" i="18"/>
  <c r="S241" i="28" s="1"/>
  <c r="AM265" i="18"/>
  <c r="AK267" i="28" s="1"/>
  <c r="U33" i="18"/>
  <c r="S35" i="28" s="1"/>
  <c r="U270" i="18"/>
  <c r="S272" i="28" s="1"/>
  <c r="AM327" i="18"/>
  <c r="AK329" i="28" s="1"/>
  <c r="AM346" i="18"/>
  <c r="AK348" i="28" s="1"/>
  <c r="U169" i="18"/>
  <c r="S171" i="28" s="1"/>
  <c r="U79" i="18"/>
  <c r="S81" i="28" s="1"/>
  <c r="AM244" i="18"/>
  <c r="AK246" i="28" s="1"/>
  <c r="AM474" i="18"/>
  <c r="AK476" i="28" s="1"/>
  <c r="AM148" i="18"/>
  <c r="AK150" i="28" s="1"/>
  <c r="AM824" i="18"/>
  <c r="AK826" i="28" s="1"/>
  <c r="AM393" i="18"/>
  <c r="AK395" i="28" s="1"/>
  <c r="AM556" i="18"/>
  <c r="AK558" i="28" s="1"/>
  <c r="AM534" i="18"/>
  <c r="AK536" i="28" s="1"/>
  <c r="AM716" i="18"/>
  <c r="AK718" i="28" s="1"/>
  <c r="AM521" i="18"/>
  <c r="AK523" i="28" s="1"/>
  <c r="U140" i="18"/>
  <c r="Q15" i="19"/>
  <c r="P25" i="26"/>
  <c r="AR25" i="26" s="1"/>
  <c r="AB25" i="26"/>
  <c r="P23" i="19"/>
  <c r="AM812" i="18"/>
  <c r="AK814" i="28" s="1"/>
  <c r="AM695" i="18"/>
  <c r="AM620" i="18"/>
  <c r="AM512" i="18"/>
  <c r="AK514" i="28" s="1"/>
  <c r="U590" i="18"/>
  <c r="AM545" i="18"/>
  <c r="U407" i="18"/>
  <c r="S409" i="28" s="1"/>
  <c r="U470" i="18"/>
  <c r="AP32" i="20" s="1"/>
  <c r="U425" i="18"/>
  <c r="AM32" i="20" s="1"/>
  <c r="AM410" i="18"/>
  <c r="U350" i="18"/>
  <c r="AH32" i="20" s="1"/>
  <c r="U227" i="18"/>
  <c r="S229" i="28" s="1"/>
  <c r="U275" i="18"/>
  <c r="AC32" i="20" s="1"/>
  <c r="AR12" i="20" s="1"/>
  <c r="U290" i="18"/>
  <c r="AD32" i="20" s="1"/>
  <c r="AS12" i="20" s="1"/>
  <c r="U95" i="18"/>
  <c r="Q12" i="19"/>
  <c r="AM152" i="18"/>
  <c r="AK154" i="28" s="1"/>
  <c r="AB68" i="20"/>
  <c r="U340" i="18"/>
  <c r="AM200" i="18"/>
  <c r="U660" i="18"/>
  <c r="S662" i="28" s="1"/>
  <c r="AM794" i="18"/>
  <c r="AK796" i="28" s="1"/>
  <c r="U716" i="18"/>
  <c r="S718" i="28" s="1"/>
  <c r="E9" i="19"/>
  <c r="D159" i="19" s="1"/>
  <c r="V9" i="19"/>
  <c r="U468" i="18"/>
  <c r="S470" i="28" s="1"/>
  <c r="E27" i="26"/>
  <c r="U264" i="18"/>
  <c r="AB36" i="20" s="1"/>
  <c r="AQ16" i="20" s="1"/>
  <c r="AM193" i="18"/>
  <c r="AK195" i="28" s="1"/>
  <c r="U721" i="18"/>
  <c r="S723" i="28" s="1"/>
  <c r="AM174" i="18"/>
  <c r="AK176" i="28" s="1"/>
  <c r="U703" i="18"/>
  <c r="S705" i="28" s="1"/>
  <c r="U161" i="18"/>
  <c r="S163" i="28" s="1"/>
  <c r="U330" i="18"/>
  <c r="S332" i="28" s="1"/>
  <c r="U655" i="18"/>
  <c r="S657" i="28" s="1"/>
  <c r="U643" i="18"/>
  <c r="S645" i="28" s="1"/>
  <c r="U759" i="18"/>
  <c r="S761" i="28" s="1"/>
  <c r="AM551" i="18"/>
  <c r="AK553" i="28" s="1"/>
  <c r="U234" i="18"/>
  <c r="Z36" i="20" s="1"/>
  <c r="U537" i="18"/>
  <c r="S539" i="28" s="1"/>
  <c r="U904" i="18"/>
  <c r="S906" i="28" s="1"/>
  <c r="Q24" i="19"/>
  <c r="Q23" i="19"/>
  <c r="AM568" i="18"/>
  <c r="AK570" i="28" s="1"/>
  <c r="AM150" i="18"/>
  <c r="AK152" i="28" s="1"/>
  <c r="U160" i="18"/>
  <c r="S162" i="28" s="1"/>
  <c r="U345" i="18"/>
  <c r="S347" i="28" s="1"/>
  <c r="AM75" i="18"/>
  <c r="AK77" i="28" s="1"/>
  <c r="AM611" i="18"/>
  <c r="AK613" i="28" s="1"/>
  <c r="U450" i="18"/>
  <c r="S452" i="28" s="1"/>
  <c r="AM447" i="18"/>
  <c r="AK449" i="28" s="1"/>
  <c r="U838" i="18"/>
  <c r="S840" i="28" s="1"/>
  <c r="U168" i="18"/>
  <c r="S170" i="28" s="1"/>
  <c r="AM421" i="18"/>
  <c r="AK423" i="28" s="1"/>
  <c r="AM732" i="18"/>
  <c r="AK734" i="28" s="1"/>
  <c r="V6" i="19"/>
  <c r="E6" i="19"/>
  <c r="D156" i="19" s="1"/>
  <c r="AM409" i="18"/>
  <c r="AK411" i="28" s="1"/>
  <c r="U62" i="18"/>
  <c r="S64" i="28" s="1"/>
  <c r="U783" i="18"/>
  <c r="S785" i="28" s="1"/>
  <c r="AM544" i="18"/>
  <c r="AK546" i="28" s="1"/>
  <c r="V25" i="19"/>
  <c r="E25" i="19"/>
  <c r="D175" i="19" s="1"/>
  <c r="U691" i="18"/>
  <c r="S693" i="28" s="1"/>
  <c r="U364" i="18"/>
  <c r="S366" i="28" s="1"/>
  <c r="U824" i="18"/>
  <c r="S826" i="28" s="1"/>
  <c r="AM684" i="18"/>
  <c r="AK686" i="28" s="1"/>
  <c r="U386" i="18"/>
  <c r="S388" i="28" s="1"/>
  <c r="U418" i="18"/>
  <c r="S420" i="28" s="1"/>
  <c r="AM318" i="18"/>
  <c r="AK320" i="28" s="1"/>
  <c r="U159" i="18"/>
  <c r="AM554" i="18"/>
  <c r="AK556" i="28" s="1"/>
  <c r="AM417" i="18"/>
  <c r="AK419" i="28" s="1"/>
  <c r="U526" i="18"/>
  <c r="S528" i="28" s="1"/>
  <c r="U775" i="18"/>
  <c r="S777" i="28" s="1"/>
  <c r="U784" i="18"/>
  <c r="S786" i="28" s="1"/>
  <c r="U421" i="18"/>
  <c r="S423" i="28" s="1"/>
  <c r="U494" i="18"/>
  <c r="S496" i="28" s="1"/>
  <c r="AM329" i="18"/>
  <c r="AK331" i="28" s="1"/>
  <c r="U844" i="18"/>
  <c r="S846" i="28" s="1"/>
  <c r="U510" i="18"/>
  <c r="S512" i="28" s="1"/>
  <c r="U828" i="18"/>
  <c r="S830" i="28" s="1"/>
  <c r="U658" i="18"/>
  <c r="S660" i="28" s="1"/>
  <c r="U289" i="18"/>
  <c r="S291" i="28" s="1"/>
  <c r="U796" i="18"/>
  <c r="S798" i="28" s="1"/>
  <c r="AM90" i="18"/>
  <c r="AK92" i="28" s="1"/>
  <c r="AM229" i="18"/>
  <c r="AK231" i="28" s="1"/>
  <c r="AM657" i="18"/>
  <c r="AK659" i="28" s="1"/>
  <c r="AM357" i="18"/>
  <c r="AK359" i="28" s="1"/>
  <c r="U475" i="18"/>
  <c r="U273" i="18"/>
  <c r="S275" i="28" s="1"/>
  <c r="AM821" i="18"/>
  <c r="AK823" i="28" s="1"/>
  <c r="U433" i="18"/>
  <c r="S435" i="28" s="1"/>
  <c r="U506" i="18"/>
  <c r="S508" i="28" s="1"/>
  <c r="U776" i="18"/>
  <c r="S778" i="28" s="1"/>
  <c r="AM226" i="18"/>
  <c r="AK228" i="28" s="1"/>
  <c r="AM866" i="18"/>
  <c r="AK868" i="28" s="1"/>
  <c r="E17" i="26"/>
  <c r="AM721" i="18"/>
  <c r="AK723" i="28" s="1"/>
  <c r="AM59" i="18"/>
  <c r="AK61" i="28" s="1"/>
  <c r="AM762" i="18"/>
  <c r="AK764" i="28" s="1"/>
  <c r="AM819" i="18"/>
  <c r="AK821" i="28" s="1"/>
  <c r="AM753" i="18"/>
  <c r="AK755" i="28" s="1"/>
  <c r="AM482" i="18"/>
  <c r="AK484" i="28" s="1"/>
  <c r="U377" i="18"/>
  <c r="S379" i="28" s="1"/>
  <c r="AM350" i="18"/>
  <c r="U320" i="18"/>
  <c r="AF32" i="20" s="1"/>
  <c r="U528" i="18"/>
  <c r="S530" i="28" s="1"/>
  <c r="U200" i="18"/>
  <c r="Q19" i="19"/>
  <c r="U567" i="18"/>
  <c r="S569" i="28" s="1"/>
  <c r="AM198" i="18"/>
  <c r="AK200" i="28" s="1"/>
  <c r="AM402" i="18"/>
  <c r="AK404" i="28" s="1"/>
  <c r="U579" i="18"/>
  <c r="S581" i="28" s="1"/>
  <c r="U689" i="18"/>
  <c r="S691" i="28" s="1"/>
  <c r="AM359" i="18"/>
  <c r="AK361" i="28" s="1"/>
  <c r="AM181" i="18"/>
  <c r="AK183" i="28" s="1"/>
  <c r="E21" i="26"/>
  <c r="AM253" i="18"/>
  <c r="AK255" i="28" s="1"/>
  <c r="U584" i="18"/>
  <c r="S586" i="28" s="1"/>
  <c r="E12" i="26"/>
  <c r="U477" i="18"/>
  <c r="S479" i="28" s="1"/>
  <c r="U318" i="18"/>
  <c r="S320" i="28" s="1"/>
  <c r="U616" i="18"/>
  <c r="S618" i="28" s="1"/>
  <c r="U430" i="18"/>
  <c r="U69" i="18"/>
  <c r="AM168" i="18"/>
  <c r="AK170" i="28" s="1"/>
  <c r="U361" i="18"/>
  <c r="S363" i="28" s="1"/>
  <c r="AM313" i="18"/>
  <c r="AK315" i="28" s="1"/>
  <c r="U389" i="18"/>
  <c r="S391" i="28" s="1"/>
  <c r="V24" i="19"/>
  <c r="E24" i="19"/>
  <c r="D174" i="19" s="1"/>
  <c r="U746" i="18"/>
  <c r="S748" i="28" s="1"/>
  <c r="U90" i="18"/>
  <c r="S92" i="28" s="1"/>
  <c r="U314" i="18"/>
  <c r="S316" i="28" s="1"/>
  <c r="AM676" i="18"/>
  <c r="AK678" i="28" s="1"/>
  <c r="AM613" i="18"/>
  <c r="AK615" i="28" s="1"/>
  <c r="U424" i="18"/>
  <c r="S426" i="28" s="1"/>
  <c r="AM610" i="18"/>
  <c r="AK612" i="28" s="1"/>
  <c r="U851" i="18"/>
  <c r="S853" i="28" s="1"/>
  <c r="AM903" i="18"/>
  <c r="AK905" i="28" s="1"/>
  <c r="U708" i="18"/>
  <c r="S710" i="28" s="1"/>
  <c r="U574" i="18"/>
  <c r="S576" i="28" s="1"/>
  <c r="U825" i="18"/>
  <c r="S827" i="28" s="1"/>
  <c r="E7" i="19"/>
  <c r="D157" i="19" s="1"/>
  <c r="V7" i="19"/>
  <c r="U76" i="18"/>
  <c r="S78" i="28" s="1"/>
  <c r="E27" i="19"/>
  <c r="D177" i="19" s="1"/>
  <c r="V27" i="19"/>
  <c r="AM273" i="18"/>
  <c r="AK275" i="28" s="1"/>
  <c r="U534" i="18"/>
  <c r="S536" i="28" s="1"/>
  <c r="U354" i="18"/>
  <c r="AH36" i="20" s="1"/>
  <c r="AM749" i="18"/>
  <c r="AK751" i="28" s="1"/>
  <c r="AM92" i="18"/>
  <c r="AK94" i="28" s="1"/>
  <c r="U582" i="18"/>
  <c r="S584" i="28" s="1"/>
  <c r="U375" i="18"/>
  <c r="S377" i="28" s="1"/>
  <c r="U749" i="18"/>
  <c r="S751" i="28" s="1"/>
  <c r="U26" i="18"/>
  <c r="S28" i="28" s="1"/>
  <c r="U581" i="18"/>
  <c r="S583" i="28" s="1"/>
  <c r="AM301" i="18"/>
  <c r="AK303" i="28" s="1"/>
  <c r="AM838" i="18"/>
  <c r="AK840" i="28" s="1"/>
  <c r="U619" i="18"/>
  <c r="S621" i="28" s="1"/>
  <c r="AM566" i="18"/>
  <c r="AK568" i="28" s="1"/>
  <c r="U479" i="18"/>
  <c r="S481" i="28" s="1"/>
  <c r="AM828" i="18"/>
  <c r="AK830" i="28" s="1"/>
  <c r="AM391" i="18"/>
  <c r="AK393" i="28" s="1"/>
  <c r="AM580" i="18"/>
  <c r="AK582" i="28" s="1"/>
  <c r="U99" i="18"/>
  <c r="U295" i="18"/>
  <c r="U163" i="18"/>
  <c r="S165" i="28" s="1"/>
  <c r="AM435" i="18"/>
  <c r="AK437" i="28" s="1"/>
  <c r="U282" i="18"/>
  <c r="S284" i="28" s="1"/>
  <c r="AM122" i="18"/>
  <c r="AK124" i="28" s="1"/>
  <c r="U789" i="18"/>
  <c r="S791" i="28" s="1"/>
  <c r="AM799" i="18"/>
  <c r="AK801" i="28" s="1"/>
  <c r="U694" i="18"/>
  <c r="S696" i="28" s="1"/>
  <c r="AM884" i="18"/>
  <c r="AK886" i="28" s="1"/>
  <c r="AM296" i="18"/>
  <c r="AK298" i="28" s="1"/>
  <c r="E20" i="26"/>
  <c r="U221" i="18"/>
  <c r="S223" i="28" s="1"/>
  <c r="U670" i="18"/>
  <c r="S672" i="28" s="1"/>
  <c r="AM708" i="18"/>
  <c r="AK710" i="28" s="1"/>
  <c r="AM495" i="18"/>
  <c r="AK497" i="28" s="1"/>
  <c r="AM315" i="18"/>
  <c r="AK317" i="28" s="1"/>
  <c r="AM419" i="18"/>
  <c r="AK421" i="28" s="1"/>
  <c r="AM583" i="18"/>
  <c r="AK585" i="28" s="1"/>
  <c r="AM612" i="18"/>
  <c r="AK614" i="28" s="1"/>
  <c r="U133" i="18"/>
  <c r="S135" i="28" s="1"/>
  <c r="AM47" i="18"/>
  <c r="AK49" i="28" s="1"/>
  <c r="AM783" i="18"/>
  <c r="AK785" i="28" s="1"/>
  <c r="AM100" i="18"/>
  <c r="AK102" i="28" s="1"/>
  <c r="AM434" i="18"/>
  <c r="AK436" i="28" s="1"/>
  <c r="U103" i="18"/>
  <c r="S105" i="28" s="1"/>
  <c r="AM570" i="18"/>
  <c r="AK572" i="28" s="1"/>
  <c r="AM750" i="18"/>
  <c r="AK752" i="28" s="1"/>
  <c r="E29" i="19"/>
  <c r="D179" i="19" s="1"/>
  <c r="V29" i="19"/>
  <c r="AM599" i="18"/>
  <c r="AK601" i="28" s="1"/>
  <c r="E16" i="19"/>
  <c r="D166" i="19" s="1"/>
  <c r="V16" i="19"/>
  <c r="AM252" i="18"/>
  <c r="AK254" i="28" s="1"/>
  <c r="AM752" i="18"/>
  <c r="AK754" i="28" s="1"/>
  <c r="AQ15" i="20" l="1"/>
  <c r="AR15" i="20"/>
  <c r="AD68" i="20"/>
  <c r="S263" i="28"/>
  <c r="AB33" i="20"/>
  <c r="AQ13" i="20" s="1"/>
  <c r="AP4" i="19"/>
  <c r="S491" i="28"/>
  <c r="AQ36" i="20"/>
  <c r="S323" i="28"/>
  <c r="AF33" i="20"/>
  <c r="S293" i="28"/>
  <c r="AD33" i="20"/>
  <c r="AS13" i="20" s="1"/>
  <c r="S414" i="28"/>
  <c r="AL34" i="20"/>
  <c r="S519" i="28"/>
  <c r="AS34" i="20"/>
  <c r="S475" i="28"/>
  <c r="AP35" i="20"/>
  <c r="S386" i="28"/>
  <c r="AJ36" i="20"/>
  <c r="AO14" i="20"/>
  <c r="S520" i="28"/>
  <c r="AS35" i="20"/>
  <c r="S505" i="28"/>
  <c r="AR35" i="20"/>
  <c r="S444" i="28"/>
  <c r="AN34" i="20"/>
  <c r="S504" i="28"/>
  <c r="AR34" i="20"/>
  <c r="AO15" i="20"/>
  <c r="S267" i="28"/>
  <c r="AB37" i="20"/>
  <c r="AQ17" i="20" s="1"/>
  <c r="AB45" i="20"/>
  <c r="AQ25" i="20" s="1"/>
  <c r="AB40" i="20"/>
  <c r="AQ20" i="20" s="1"/>
  <c r="AB43" i="20"/>
  <c r="AQ23" i="20" s="1"/>
  <c r="AB38" i="20"/>
  <c r="AQ18" i="20" s="1"/>
  <c r="AB46" i="20"/>
  <c r="AQ26" i="20" s="1"/>
  <c r="AB41" i="20"/>
  <c r="AQ21" i="20" s="1"/>
  <c r="AB44" i="20"/>
  <c r="AQ24" i="20" s="1"/>
  <c r="AB39" i="20"/>
  <c r="AQ19" i="20" s="1"/>
  <c r="AB42" i="20"/>
  <c r="AQ22" i="20" s="1"/>
  <c r="S432" i="28"/>
  <c r="AM44" i="20"/>
  <c r="AM39" i="20"/>
  <c r="AM45" i="20"/>
  <c r="AM42" i="20"/>
  <c r="AM37" i="20"/>
  <c r="AM43" i="20"/>
  <c r="AM38" i="20"/>
  <c r="AM46" i="20"/>
  <c r="AM41" i="20"/>
  <c r="AM40" i="20"/>
  <c r="R4" i="19"/>
  <c r="AT32" i="20"/>
  <c r="S446" i="28"/>
  <c r="AN36" i="20"/>
  <c r="S401" i="28"/>
  <c r="AK36" i="20"/>
  <c r="S507" i="28"/>
  <c r="AR37" i="20"/>
  <c r="AR45" i="20"/>
  <c r="AR40" i="20"/>
  <c r="AR43" i="20"/>
  <c r="AR46" i="20"/>
  <c r="AR38" i="20"/>
  <c r="AR41" i="20"/>
  <c r="AR44" i="20"/>
  <c r="AR39" i="20"/>
  <c r="AR42" i="20"/>
  <c r="S327" i="28"/>
  <c r="AF41" i="20"/>
  <c r="AF44" i="20"/>
  <c r="AF39" i="20"/>
  <c r="AF37" i="20"/>
  <c r="AF42" i="20"/>
  <c r="AF40" i="20"/>
  <c r="AF43" i="20"/>
  <c r="AF38" i="20"/>
  <c r="AF46" i="20"/>
  <c r="AF45" i="20"/>
  <c r="S488" i="28"/>
  <c r="AQ33" i="20"/>
  <c r="S460" i="28"/>
  <c r="AO35" i="20"/>
  <c r="S518" i="28"/>
  <c r="AS33" i="20"/>
  <c r="S474" i="28"/>
  <c r="AP34" i="20"/>
  <c r="S383" i="28"/>
  <c r="AJ33" i="20"/>
  <c r="S368" i="28"/>
  <c r="AI33" i="20"/>
  <c r="S338" i="28"/>
  <c r="AG33" i="20"/>
  <c r="S399" i="28"/>
  <c r="AK34" i="20"/>
  <c r="AD12" i="20"/>
  <c r="AC27" i="20"/>
  <c r="AD27" i="20" s="1"/>
  <c r="S506" i="28"/>
  <c r="AR36" i="20"/>
  <c r="S248" i="28"/>
  <c r="AA33" i="20"/>
  <c r="AP13" i="20" s="1"/>
  <c r="S342" i="28"/>
  <c r="AG38" i="20"/>
  <c r="AG46" i="20"/>
  <c r="AG42" i="20"/>
  <c r="AG41" i="20"/>
  <c r="AG44" i="20"/>
  <c r="AG39" i="20"/>
  <c r="AG37" i="20"/>
  <c r="AG45" i="20"/>
  <c r="AG40" i="20"/>
  <c r="AG43" i="20"/>
  <c r="S387" i="28"/>
  <c r="AJ37" i="20"/>
  <c r="AJ45" i="20"/>
  <c r="AJ40" i="20"/>
  <c r="AJ43" i="20"/>
  <c r="AJ41" i="20"/>
  <c r="AJ38" i="20"/>
  <c r="AJ44" i="20"/>
  <c r="AJ39" i="20"/>
  <c r="AJ42" i="20"/>
  <c r="AJ46" i="20"/>
  <c r="S417" i="28"/>
  <c r="AL39" i="20"/>
  <c r="AL42" i="20"/>
  <c r="AL37" i="20"/>
  <c r="AL45" i="20"/>
  <c r="AL40" i="20"/>
  <c r="AL43" i="20"/>
  <c r="AL46" i="20"/>
  <c r="AL38" i="20"/>
  <c r="AL41" i="20"/>
  <c r="AL44" i="20"/>
  <c r="S431" i="28"/>
  <c r="AM36" i="20"/>
  <c r="S462" i="28"/>
  <c r="AO38" i="20"/>
  <c r="AO46" i="20"/>
  <c r="AO41" i="20"/>
  <c r="AO42" i="20"/>
  <c r="AO44" i="20"/>
  <c r="AO39" i="20"/>
  <c r="AO37" i="20"/>
  <c r="AO45" i="20"/>
  <c r="AO40" i="20"/>
  <c r="AO43" i="20"/>
  <c r="S522" i="28"/>
  <c r="AS42" i="20"/>
  <c r="AS37" i="20"/>
  <c r="AS45" i="20"/>
  <c r="AS43" i="20"/>
  <c r="AS46" i="20"/>
  <c r="AS40" i="20"/>
  <c r="AS38" i="20"/>
  <c r="AS41" i="20"/>
  <c r="AS44" i="20"/>
  <c r="AS39" i="20"/>
  <c r="S402" i="28"/>
  <c r="AK42" i="20"/>
  <c r="AK46" i="20"/>
  <c r="AK37" i="20"/>
  <c r="AK45" i="20"/>
  <c r="AK40" i="20"/>
  <c r="AK43" i="20"/>
  <c r="AK38" i="20"/>
  <c r="AK41" i="20"/>
  <c r="AK44" i="20"/>
  <c r="AK39" i="20"/>
  <c r="S429" i="28"/>
  <c r="AM34" i="20"/>
  <c r="S233" i="28"/>
  <c r="Z33" i="20"/>
  <c r="S353" i="28"/>
  <c r="AH33" i="20"/>
  <c r="S369" i="28"/>
  <c r="AI34" i="20"/>
  <c r="S489" i="28"/>
  <c r="AQ34" i="20"/>
  <c r="S430" i="28"/>
  <c r="AM35" i="20"/>
  <c r="S413" i="28"/>
  <c r="AL33" i="20"/>
  <c r="S445" i="28"/>
  <c r="AN35" i="20"/>
  <c r="S447" i="28"/>
  <c r="AN41" i="20"/>
  <c r="AN44" i="20"/>
  <c r="AN37" i="20"/>
  <c r="AN39" i="20"/>
  <c r="AN45" i="20"/>
  <c r="AN42" i="20"/>
  <c r="AN40" i="20"/>
  <c r="AN43" i="20"/>
  <c r="AN38" i="20"/>
  <c r="AN46" i="20"/>
  <c r="S237" i="28"/>
  <c r="Z44" i="20"/>
  <c r="Z45" i="20"/>
  <c r="Z39" i="20"/>
  <c r="Z41" i="20"/>
  <c r="Z37" i="20"/>
  <c r="Z38" i="20"/>
  <c r="Z46" i="20"/>
  <c r="Z42" i="20"/>
  <c r="Z43" i="20"/>
  <c r="Z40" i="20"/>
  <c r="S477" i="28"/>
  <c r="AP43" i="20"/>
  <c r="AP44" i="20"/>
  <c r="AP38" i="20"/>
  <c r="AP46" i="20"/>
  <c r="AP39" i="20"/>
  <c r="AP41" i="20"/>
  <c r="AP42" i="20"/>
  <c r="AP37" i="20"/>
  <c r="AP45" i="20"/>
  <c r="AP40" i="20"/>
  <c r="S372" i="28"/>
  <c r="AI40" i="20"/>
  <c r="AI44" i="20"/>
  <c r="AI43" i="20"/>
  <c r="AI38" i="20"/>
  <c r="AI46" i="20"/>
  <c r="AI41" i="20"/>
  <c r="AI39" i="20"/>
  <c r="AI42" i="20"/>
  <c r="AI37" i="20"/>
  <c r="AI45" i="20"/>
  <c r="S492" i="28"/>
  <c r="AQ40" i="20"/>
  <c r="AQ43" i="20"/>
  <c r="AQ44" i="20"/>
  <c r="AQ38" i="20"/>
  <c r="AQ46" i="20"/>
  <c r="AQ41" i="20"/>
  <c r="AQ39" i="20"/>
  <c r="AQ42" i="20"/>
  <c r="AQ37" i="20"/>
  <c r="AQ45" i="20"/>
  <c r="S371" i="28"/>
  <c r="AI36" i="20"/>
  <c r="S461" i="28"/>
  <c r="AO36" i="20"/>
  <c r="S278" i="28"/>
  <c r="AC33" i="20"/>
  <c r="AR13" i="20" s="1"/>
  <c r="S490" i="28"/>
  <c r="AQ35" i="20"/>
  <c r="S384" i="28"/>
  <c r="AJ34" i="20"/>
  <c r="S297" i="28"/>
  <c r="AD39" i="20"/>
  <c r="AS19" i="20" s="1"/>
  <c r="AD42" i="20"/>
  <c r="AS22" i="20" s="1"/>
  <c r="AD37" i="20"/>
  <c r="AS17" i="20" s="1"/>
  <c r="AD45" i="20"/>
  <c r="AS25" i="20" s="1"/>
  <c r="AD46" i="20"/>
  <c r="AS26" i="20" s="1"/>
  <c r="AD40" i="20"/>
  <c r="AS20" i="20" s="1"/>
  <c r="AD38" i="20"/>
  <c r="AS18" i="20" s="1"/>
  <c r="AD41" i="20"/>
  <c r="AS21" i="20" s="1"/>
  <c r="AD44" i="20"/>
  <c r="AS24" i="20" s="1"/>
  <c r="AD43" i="20"/>
  <c r="AS23" i="20" s="1"/>
  <c r="S282" i="28"/>
  <c r="AC42" i="20"/>
  <c r="AR22" i="20" s="1"/>
  <c r="AC37" i="20"/>
  <c r="AR17" i="20" s="1"/>
  <c r="AC45" i="20"/>
  <c r="AR25" i="20" s="1"/>
  <c r="AC40" i="20"/>
  <c r="AR20" i="20" s="1"/>
  <c r="AC43" i="20"/>
  <c r="AR23" i="20" s="1"/>
  <c r="AC46" i="20"/>
  <c r="AR26" i="20" s="1"/>
  <c r="AC41" i="20"/>
  <c r="AR21" i="20" s="1"/>
  <c r="AC44" i="20"/>
  <c r="AR24" i="20" s="1"/>
  <c r="AC39" i="20"/>
  <c r="AR19" i="20" s="1"/>
  <c r="AC38" i="20"/>
  <c r="AR18" i="20" s="1"/>
  <c r="S416" i="28"/>
  <c r="AL36" i="20"/>
  <c r="S521" i="28"/>
  <c r="AS36" i="20"/>
  <c r="S312" i="28"/>
  <c r="AE44" i="20"/>
  <c r="AT24" i="20" s="1"/>
  <c r="AE40" i="20"/>
  <c r="AT20" i="20" s="1"/>
  <c r="AE39" i="20"/>
  <c r="AT19" i="20" s="1"/>
  <c r="AE42" i="20"/>
  <c r="AT22" i="20" s="1"/>
  <c r="AE45" i="20"/>
  <c r="AT25" i="20" s="1"/>
  <c r="AE37" i="20"/>
  <c r="AT17" i="20" s="1"/>
  <c r="AE43" i="20"/>
  <c r="AT23" i="20" s="1"/>
  <c r="AE38" i="20"/>
  <c r="AT18" i="20" s="1"/>
  <c r="AE46" i="20"/>
  <c r="AT26" i="20" s="1"/>
  <c r="AE41" i="20"/>
  <c r="AT21" i="20" s="1"/>
  <c r="S476" i="28"/>
  <c r="AP36" i="20"/>
  <c r="S443" i="28"/>
  <c r="AN33" i="20"/>
  <c r="S370" i="28"/>
  <c r="AI35" i="20"/>
  <c r="S385" i="28"/>
  <c r="AJ35" i="20"/>
  <c r="S503" i="28"/>
  <c r="AR33" i="20"/>
  <c r="S428" i="28"/>
  <c r="AM33" i="20"/>
  <c r="S458" i="28"/>
  <c r="AO33" i="20"/>
  <c r="AO16" i="20"/>
  <c r="S357" i="28"/>
  <c r="AH43" i="20"/>
  <c r="AH38" i="20"/>
  <c r="AH46" i="20"/>
  <c r="AH41" i="20"/>
  <c r="AH39" i="20"/>
  <c r="AH42" i="20"/>
  <c r="AH37" i="20"/>
  <c r="AH45" i="20"/>
  <c r="AH40" i="20"/>
  <c r="AH44" i="20"/>
  <c r="S252" i="28"/>
  <c r="AA40" i="20"/>
  <c r="AP20" i="20" s="1"/>
  <c r="AA43" i="20"/>
  <c r="AP23" i="20" s="1"/>
  <c r="AA38" i="20"/>
  <c r="AP18" i="20" s="1"/>
  <c r="AA46" i="20"/>
  <c r="AP26" i="20" s="1"/>
  <c r="AA44" i="20"/>
  <c r="AP24" i="20" s="1"/>
  <c r="AA41" i="20"/>
  <c r="AP21" i="20" s="1"/>
  <c r="AA39" i="20"/>
  <c r="AP19" i="20" s="1"/>
  <c r="AA42" i="20"/>
  <c r="AP22" i="20" s="1"/>
  <c r="AA37" i="20"/>
  <c r="AP17" i="20" s="1"/>
  <c r="AA45" i="20"/>
  <c r="AP25" i="20" s="1"/>
  <c r="S400" i="28"/>
  <c r="AK35" i="20"/>
  <c r="S398" i="28"/>
  <c r="AK33" i="20"/>
  <c r="S473" i="28"/>
  <c r="AP33" i="20"/>
  <c r="S308" i="28"/>
  <c r="AE33" i="20"/>
  <c r="AT13" i="20" s="1"/>
  <c r="S415" i="28"/>
  <c r="AL35" i="20"/>
  <c r="S459" i="28"/>
  <c r="AO34" i="20"/>
  <c r="AJ165" i="19"/>
  <c r="AJ161" i="19"/>
  <c r="AJ157" i="19"/>
  <c r="AJ177" i="19"/>
  <c r="AJ166" i="19"/>
  <c r="AJ171" i="19"/>
  <c r="AJ168" i="19"/>
  <c r="AJ172" i="19"/>
  <c r="AJ170" i="19"/>
  <c r="AJ178" i="19"/>
  <c r="AJ174" i="19"/>
  <c r="AJ160" i="19"/>
  <c r="AJ156" i="19"/>
  <c r="AJ164" i="19"/>
  <c r="AJ169" i="19"/>
  <c r="AJ159" i="19"/>
  <c r="AJ179" i="19"/>
  <c r="AJ162" i="19"/>
  <c r="AJ167" i="19"/>
  <c r="AJ158" i="19"/>
  <c r="AJ175" i="19"/>
  <c r="AJ163" i="19"/>
  <c r="AJ176" i="19"/>
  <c r="AJ173" i="19"/>
  <c r="AX171" i="19"/>
  <c r="AM168" i="19"/>
  <c r="AO163" i="19"/>
  <c r="AR156" i="19"/>
  <c r="AW164" i="19"/>
  <c r="AW158" i="19"/>
  <c r="AL163" i="19"/>
  <c r="AO169" i="19"/>
  <c r="AT169" i="19"/>
  <c r="AL166" i="19"/>
  <c r="AN176" i="19"/>
  <c r="AN171" i="19"/>
  <c r="AL157" i="19"/>
  <c r="AP173" i="19"/>
  <c r="AN167" i="19"/>
  <c r="AK170" i="19"/>
  <c r="AR170" i="19"/>
  <c r="AQ177" i="19"/>
  <c r="AS168" i="19"/>
  <c r="AY160" i="19"/>
  <c r="AR168" i="19"/>
  <c r="AY174" i="19"/>
  <c r="AR172" i="19"/>
  <c r="AS178" i="19"/>
  <c r="AX174" i="19"/>
  <c r="AW173" i="19"/>
  <c r="AQ167" i="19"/>
  <c r="AK161" i="19"/>
  <c r="AY158" i="19"/>
  <c r="AM158" i="19"/>
  <c r="AW159" i="19"/>
  <c r="AM157" i="19"/>
  <c r="AR166" i="19"/>
  <c r="AV171" i="19"/>
  <c r="AW170" i="19"/>
  <c r="AV175" i="19"/>
  <c r="AT158" i="19"/>
  <c r="AK179" i="19"/>
  <c r="AR162" i="19"/>
  <c r="AL177" i="19"/>
  <c r="AX178" i="19"/>
  <c r="AN159" i="19"/>
  <c r="AX175" i="19"/>
  <c r="AY165" i="19"/>
  <c r="AT160" i="19"/>
  <c r="AQ157" i="19"/>
  <c r="AV169" i="19"/>
  <c r="AT162" i="19"/>
  <c r="AL175" i="19"/>
  <c r="AV160" i="19"/>
  <c r="AN162" i="19"/>
  <c r="AV164" i="19"/>
  <c r="AS172" i="19"/>
  <c r="AY156" i="19"/>
  <c r="AL165" i="19"/>
  <c r="AT166" i="19"/>
  <c r="AU174" i="19"/>
  <c r="AP176" i="19"/>
  <c r="AU159" i="19"/>
  <c r="AM162" i="19"/>
  <c r="AT179" i="19"/>
  <c r="AY173" i="19"/>
  <c r="AX156" i="19"/>
  <c r="AY178" i="19"/>
  <c r="AL156" i="19"/>
  <c r="AN165" i="19"/>
  <c r="AM179" i="19"/>
  <c r="AS179" i="19"/>
  <c r="AY164" i="19"/>
  <c r="AV162" i="19"/>
  <c r="AR178" i="19"/>
  <c r="AS160" i="19"/>
  <c r="AS159" i="19"/>
  <c r="AM172" i="19"/>
  <c r="AV163" i="19"/>
  <c r="AP163" i="19"/>
  <c r="AW177" i="19"/>
  <c r="AW178" i="19"/>
  <c r="AO167" i="19"/>
  <c r="AP171" i="19"/>
  <c r="AV178" i="19"/>
  <c r="AO179" i="19"/>
  <c r="AN169" i="19"/>
  <c r="AQ179" i="19"/>
  <c r="AT175" i="19"/>
  <c r="AP177" i="19"/>
  <c r="AP165" i="19"/>
  <c r="AO160" i="19"/>
  <c r="AK167" i="19"/>
  <c r="AO170" i="19"/>
  <c r="AT170" i="19"/>
  <c r="AS162" i="19"/>
  <c r="AL173" i="19"/>
  <c r="AW175" i="19"/>
  <c r="AY171" i="19"/>
  <c r="AW176" i="19"/>
  <c r="AR169" i="19"/>
  <c r="AV157" i="19"/>
  <c r="AM160" i="19"/>
  <c r="AS166" i="19"/>
  <c r="AR177" i="19"/>
  <c r="AR165" i="19"/>
  <c r="AT165" i="19"/>
  <c r="AO159" i="19"/>
  <c r="AK156" i="19"/>
  <c r="AQ161" i="19"/>
  <c r="AP162" i="19"/>
  <c r="AW161" i="19"/>
  <c r="AX159" i="19"/>
  <c r="AQ174" i="19"/>
  <c r="AM173" i="19"/>
  <c r="AW163" i="19"/>
  <c r="AV156" i="19"/>
  <c r="AY169" i="19"/>
  <c r="AR173" i="19"/>
  <c r="AX173" i="19"/>
  <c r="AN172" i="19"/>
  <c r="AU176" i="19"/>
  <c r="AT164" i="19"/>
  <c r="AM171" i="19"/>
  <c r="AK157" i="19"/>
  <c r="AR171" i="19"/>
  <c r="AW168" i="19"/>
  <c r="AU158" i="19"/>
  <c r="AU175" i="19"/>
  <c r="AO157" i="19"/>
  <c r="AK177" i="19"/>
  <c r="AO177" i="19"/>
  <c r="AQ166" i="19"/>
  <c r="AX158" i="19"/>
  <c r="AO175" i="19"/>
  <c r="AS170" i="19"/>
  <c r="AY161" i="19"/>
  <c r="AV176" i="19"/>
  <c r="AY177" i="19"/>
  <c r="AS158" i="19"/>
  <c r="AY168" i="19"/>
  <c r="AY166" i="19"/>
  <c r="AS167" i="19"/>
  <c r="AM178" i="19"/>
  <c r="AK163" i="19"/>
  <c r="AM161" i="19"/>
  <c r="AT174" i="19"/>
  <c r="AQ163" i="19"/>
  <c r="AT156" i="19"/>
  <c r="AK176" i="19"/>
  <c r="AU156" i="19"/>
  <c r="AY175" i="19"/>
  <c r="AN157" i="19"/>
  <c r="AQ175" i="19"/>
  <c r="AQ162" i="19"/>
  <c r="AN173" i="19"/>
  <c r="AS165" i="19"/>
  <c r="AW172" i="19"/>
  <c r="AM174" i="19"/>
  <c r="AK178" i="19"/>
  <c r="AQ170" i="19"/>
  <c r="AV168" i="19"/>
  <c r="AW157" i="19"/>
  <c r="AQ156" i="19"/>
  <c r="AO164" i="19"/>
  <c r="AK174" i="19"/>
  <c r="AM169" i="19"/>
  <c r="AR160" i="19"/>
  <c r="AU177" i="19"/>
  <c r="AT171" i="19"/>
  <c r="AU163" i="19"/>
  <c r="AT157" i="19"/>
  <c r="AP164" i="19"/>
  <c r="AV167" i="19"/>
  <c r="AN164" i="19"/>
  <c r="AU157" i="19"/>
  <c r="AP172" i="19"/>
  <c r="AY157" i="19"/>
  <c r="AT161" i="19"/>
  <c r="AM176" i="19"/>
  <c r="AK168" i="19"/>
  <c r="AN170" i="19"/>
  <c r="AR157" i="19"/>
  <c r="AS156" i="19"/>
  <c r="AL168" i="19"/>
  <c r="AQ176" i="19"/>
  <c r="AU162" i="19"/>
  <c r="AX164" i="19"/>
  <c r="AL171" i="19"/>
  <c r="AN163" i="19"/>
  <c r="AX166" i="19"/>
  <c r="AV174" i="19"/>
  <c r="AU169" i="19"/>
  <c r="AN168" i="19"/>
  <c r="AX169" i="19"/>
  <c r="AY172" i="19"/>
  <c r="AL160" i="19"/>
  <c r="AM164" i="19"/>
  <c r="AK162" i="19"/>
  <c r="AR161" i="19"/>
  <c r="AU160" i="19"/>
  <c r="AW165" i="19"/>
  <c r="AP179" i="19"/>
  <c r="AO158" i="19"/>
  <c r="AK158" i="19"/>
  <c r="AN160" i="19"/>
  <c r="AT167" i="19"/>
  <c r="AT178" i="19"/>
  <c r="AS157" i="19"/>
  <c r="AP174" i="19"/>
  <c r="AN174" i="19"/>
  <c r="AQ165" i="19"/>
  <c r="AV158" i="19"/>
  <c r="AS177" i="19"/>
  <c r="AS164" i="19"/>
  <c r="AW167" i="19"/>
  <c r="AK160" i="19"/>
  <c r="AQ169" i="19"/>
  <c r="AP158" i="19"/>
  <c r="AW156" i="19"/>
  <c r="AL162" i="19"/>
  <c r="AM167" i="19"/>
  <c r="AK164" i="19"/>
  <c r="AN156" i="19"/>
  <c r="AY167" i="19"/>
  <c r="AU172" i="19"/>
  <c r="AY176" i="19"/>
  <c r="AL170" i="19"/>
  <c r="AS171" i="19"/>
  <c r="AY163" i="19"/>
  <c r="AT176" i="19"/>
  <c r="AN175" i="19"/>
  <c r="AS173" i="19"/>
  <c r="AR158" i="19"/>
  <c r="AU173" i="19"/>
  <c r="AU179" i="19"/>
  <c r="AX170" i="19"/>
  <c r="AN179" i="19"/>
  <c r="AV165" i="19"/>
  <c r="AR175" i="19"/>
  <c r="AL169" i="19"/>
  <c r="AM159" i="19"/>
  <c r="AY159" i="19"/>
  <c r="AW174" i="19"/>
  <c r="AV172" i="19"/>
  <c r="AR174" i="19"/>
  <c r="AL179" i="19"/>
  <c r="AM166" i="19"/>
  <c r="AK166" i="19"/>
  <c r="AX163" i="19"/>
  <c r="AT168" i="19"/>
  <c r="AU168" i="19"/>
  <c r="AS174" i="19"/>
  <c r="AN178" i="19"/>
  <c r="AV161" i="19"/>
  <c r="AX165" i="19"/>
  <c r="AS169" i="19"/>
  <c r="AR163" i="19"/>
  <c r="AL167" i="19"/>
  <c r="AK175" i="19"/>
  <c r="AT163" i="19"/>
  <c r="AU167" i="19"/>
  <c r="AW171" i="19"/>
  <c r="AL174" i="19"/>
  <c r="AM170" i="19"/>
  <c r="AO156" i="19"/>
  <c r="AS176" i="19"/>
  <c r="AX162" i="19"/>
  <c r="AW179" i="19"/>
  <c r="AY162" i="19"/>
  <c r="AO176" i="19"/>
  <c r="AQ164" i="19"/>
  <c r="AQ172" i="19"/>
  <c r="AW166" i="19"/>
  <c r="AO165" i="19"/>
  <c r="AN177" i="19"/>
  <c r="AW160" i="19"/>
  <c r="AP178" i="19"/>
  <c r="AR159" i="19"/>
  <c r="AP157" i="19"/>
  <c r="AX157" i="19"/>
  <c r="AT159" i="19"/>
  <c r="AP168" i="19"/>
  <c r="AO172" i="19"/>
  <c r="AX167" i="19"/>
  <c r="AQ173" i="19"/>
  <c r="AP170" i="19"/>
  <c r="AU164" i="19"/>
  <c r="AL159" i="19"/>
  <c r="AM175" i="19"/>
  <c r="AO162" i="19"/>
  <c r="AX172" i="19"/>
  <c r="AQ158" i="19"/>
  <c r="AS175" i="19"/>
  <c r="AP161" i="19"/>
  <c r="AL158" i="19"/>
  <c r="AK173" i="19"/>
  <c r="AU171" i="19"/>
  <c r="AX177" i="19"/>
  <c r="AU166" i="19"/>
  <c r="AS163" i="19"/>
  <c r="AO161" i="19"/>
  <c r="AK171" i="19"/>
  <c r="AP159" i="19"/>
  <c r="AV170" i="19"/>
  <c r="AU165" i="19"/>
  <c r="AL176" i="19"/>
  <c r="AN166" i="19"/>
  <c r="AO171" i="19"/>
  <c r="AR176" i="19"/>
  <c r="AX168" i="19"/>
  <c r="AU161" i="19"/>
  <c r="AU178" i="19"/>
  <c r="AO168" i="19"/>
  <c r="AX161" i="19"/>
  <c r="AP166" i="19"/>
  <c r="AR167" i="19"/>
  <c r="AM156" i="19"/>
  <c r="AK172" i="19"/>
  <c r="AP175" i="19"/>
  <c r="AV177" i="19"/>
  <c r="AS161" i="19"/>
  <c r="AQ178" i="19"/>
  <c r="AL172" i="19"/>
  <c r="AK165" i="19"/>
  <c r="AQ171" i="19"/>
  <c r="AW169" i="19"/>
  <c r="AO174" i="19"/>
  <c r="AN158" i="19"/>
  <c r="AP167" i="19"/>
  <c r="AT173" i="19"/>
  <c r="AY170" i="19"/>
  <c r="AY179" i="19"/>
  <c r="AL161" i="19"/>
  <c r="AM163" i="19"/>
  <c r="AO166" i="19"/>
  <c r="AR164" i="19"/>
  <c r="AV179" i="19"/>
  <c r="AV159" i="19"/>
  <c r="AP160" i="19"/>
  <c r="AL178" i="19"/>
  <c r="AK169" i="19"/>
  <c r="AU170" i="19"/>
  <c r="AX160" i="19"/>
  <c r="AQ160" i="19"/>
  <c r="AT177" i="19"/>
  <c r="AO178" i="19"/>
  <c r="AV166" i="19"/>
  <c r="AX176" i="19"/>
  <c r="AQ159" i="19"/>
  <c r="AP169" i="19"/>
  <c r="AL164" i="19"/>
  <c r="AN161" i="19"/>
  <c r="AO173" i="19"/>
  <c r="AX179" i="19"/>
  <c r="AV173" i="19"/>
  <c r="AQ168" i="19"/>
  <c r="AP156" i="19"/>
  <c r="AM165" i="19"/>
  <c r="AT172" i="19"/>
  <c r="AR179" i="19"/>
  <c r="AW162" i="19"/>
  <c r="AM177" i="19"/>
  <c r="AK159" i="19"/>
  <c r="H72" i="19"/>
  <c r="G72" i="19"/>
  <c r="AP5" i="19"/>
  <c r="R5" i="19"/>
  <c r="AL57" i="20"/>
  <c r="AL56" i="20"/>
  <c r="AL55" i="20"/>
  <c r="AL53" i="20"/>
  <c r="AL54" i="20"/>
  <c r="AL15" i="5"/>
  <c r="AC5" i="5"/>
  <c r="AC14" i="5"/>
  <c r="AC19" i="5"/>
  <c r="T17" i="5"/>
  <c r="T11" i="5"/>
  <c r="T4" i="5"/>
  <c r="AL17" i="5"/>
  <c r="T24" i="5"/>
  <c r="AL25" i="5"/>
  <c r="AL21" i="5"/>
  <c r="AB877" i="28"/>
  <c r="AC60" i="5"/>
  <c r="AK367" i="28"/>
  <c r="AL26" i="5"/>
  <c r="S397" i="28"/>
  <c r="T28" i="5"/>
  <c r="AL9" i="5"/>
  <c r="AK52" i="28"/>
  <c r="AL5" i="5"/>
  <c r="AK607" i="28"/>
  <c r="AL42" i="5"/>
  <c r="T19" i="5"/>
  <c r="S622" i="28"/>
  <c r="T43" i="5"/>
  <c r="AL18" i="5"/>
  <c r="AK592" i="28"/>
  <c r="AL41" i="5"/>
  <c r="T22" i="5"/>
  <c r="AL6" i="5"/>
  <c r="S562" i="28"/>
  <c r="T39" i="5"/>
  <c r="AK787" i="28"/>
  <c r="AL54" i="5"/>
  <c r="S757" i="28"/>
  <c r="T52" i="5"/>
  <c r="AB157" i="28"/>
  <c r="AC12" i="5"/>
  <c r="AB652" i="28"/>
  <c r="AC45" i="5"/>
  <c r="AB592" i="28"/>
  <c r="AC41" i="5"/>
  <c r="AB622" i="28"/>
  <c r="AC43" i="5"/>
  <c r="AC22" i="5"/>
  <c r="AC15" i="5"/>
  <c r="AC28" i="5"/>
  <c r="S682" i="28"/>
  <c r="T47" i="5"/>
  <c r="AK757" i="28"/>
  <c r="AL52" i="5"/>
  <c r="AE5" i="18"/>
  <c r="AC2" i="5"/>
  <c r="AB847" i="28"/>
  <c r="AC58" i="5"/>
  <c r="T25" i="5"/>
  <c r="AK412" i="28"/>
  <c r="AL29" i="5"/>
  <c r="AK697" i="28"/>
  <c r="AL48" i="5"/>
  <c r="T16" i="5"/>
  <c r="S502" i="28"/>
  <c r="T35" i="5"/>
  <c r="AK517" i="28"/>
  <c r="AL36" i="5"/>
  <c r="AK667" i="28"/>
  <c r="AL46" i="5"/>
  <c r="S667" i="28"/>
  <c r="T46" i="5"/>
  <c r="AL23" i="5"/>
  <c r="S457" i="28"/>
  <c r="T32" i="5"/>
  <c r="S652" i="28"/>
  <c r="T45" i="5"/>
  <c r="AK862" i="28"/>
  <c r="AL59" i="5"/>
  <c r="S817" i="28"/>
  <c r="T56" i="5"/>
  <c r="S832" i="28"/>
  <c r="T57" i="5"/>
  <c r="AC6" i="5"/>
  <c r="AB367" i="28"/>
  <c r="AC26" i="5"/>
  <c r="AB127" i="28"/>
  <c r="AC10" i="5"/>
  <c r="AB727" i="28"/>
  <c r="AC50" i="5"/>
  <c r="AB532" i="28"/>
  <c r="AC37" i="5"/>
  <c r="AC17" i="5"/>
  <c r="AC25" i="5"/>
  <c r="AB817" i="28"/>
  <c r="AC56" i="5"/>
  <c r="AB682" i="28"/>
  <c r="AC47" i="5"/>
  <c r="AB517" i="28"/>
  <c r="AC36" i="5"/>
  <c r="AC8" i="5"/>
  <c r="AC20" i="5"/>
  <c r="AK622" i="28"/>
  <c r="AL43" i="5"/>
  <c r="S427" i="28"/>
  <c r="T30" i="5"/>
  <c r="AL4" i="5"/>
  <c r="T2" i="5"/>
  <c r="T13" i="5"/>
  <c r="T14" i="5"/>
  <c r="AK682" i="28"/>
  <c r="AL47" i="5"/>
  <c r="S382" i="28"/>
  <c r="T27" i="5"/>
  <c r="S712" i="28"/>
  <c r="T49" i="5"/>
  <c r="S607" i="28"/>
  <c r="T42" i="5"/>
  <c r="AK487" i="28"/>
  <c r="AL34" i="5"/>
  <c r="S487" i="28"/>
  <c r="T34" i="5"/>
  <c r="AK847" i="28"/>
  <c r="AL58" i="5"/>
  <c r="S877" i="28"/>
  <c r="T60" i="5"/>
  <c r="AK877" i="28"/>
  <c r="AL60" i="5"/>
  <c r="S787" i="28"/>
  <c r="T54" i="5"/>
  <c r="AC16" i="5"/>
  <c r="AB757" i="28"/>
  <c r="AC52" i="5"/>
  <c r="AB427" i="28"/>
  <c r="AC30" i="5"/>
  <c r="AB772" i="28"/>
  <c r="AC53" i="5"/>
  <c r="AC9" i="5"/>
  <c r="AC11" i="5"/>
  <c r="AB487" i="28"/>
  <c r="AC34" i="5"/>
  <c r="AB577" i="28"/>
  <c r="AC40" i="5"/>
  <c r="AL19" i="5"/>
  <c r="S472" i="28"/>
  <c r="T33" i="5"/>
  <c r="AK637" i="28"/>
  <c r="AL44" i="5"/>
  <c r="T18" i="5"/>
  <c r="AK577" i="28"/>
  <c r="AL40" i="5"/>
  <c r="T5" i="5"/>
  <c r="T6" i="5"/>
  <c r="AK442" i="28"/>
  <c r="AL31" i="5"/>
  <c r="S367" i="28"/>
  <c r="T26" i="5"/>
  <c r="AK562" i="28"/>
  <c r="AL39" i="5"/>
  <c r="AL7" i="5"/>
  <c r="AK772" i="28"/>
  <c r="AL53" i="5"/>
  <c r="AK802" i="28"/>
  <c r="AL55" i="5"/>
  <c r="AC18" i="5"/>
  <c r="AB382" i="28"/>
  <c r="AC27" i="5"/>
  <c r="AC21" i="5"/>
  <c r="AB412" i="28"/>
  <c r="AC29" i="5"/>
  <c r="AB607" i="28"/>
  <c r="AC42" i="5"/>
  <c r="AL61" i="5"/>
  <c r="AC57" i="5"/>
  <c r="AK457" i="28"/>
  <c r="AL32" i="5"/>
  <c r="AK172" i="28"/>
  <c r="AL13" i="5"/>
  <c r="S802" i="28"/>
  <c r="T55" i="5"/>
  <c r="T15" i="5"/>
  <c r="T8" i="5"/>
  <c r="T3" i="5"/>
  <c r="AL22" i="5"/>
  <c r="T9" i="5"/>
  <c r="S742" i="28"/>
  <c r="T51" i="5"/>
  <c r="AL16" i="5"/>
  <c r="AK427" i="28"/>
  <c r="AL30" i="5"/>
  <c r="AK142" i="28"/>
  <c r="AL11" i="5"/>
  <c r="S532" i="28"/>
  <c r="T37" i="5"/>
  <c r="AL20" i="5"/>
  <c r="AK832" i="28"/>
  <c r="AL57" i="5"/>
  <c r="AB712" i="28"/>
  <c r="AC49" i="5"/>
  <c r="AB457" i="28"/>
  <c r="AC32" i="5"/>
  <c r="AB697" i="28"/>
  <c r="AC48" i="5"/>
  <c r="AC13" i="5"/>
  <c r="AC31" i="5"/>
  <c r="AC3" i="5"/>
  <c r="AC23" i="5"/>
  <c r="AB562" i="28"/>
  <c r="AC39" i="5"/>
  <c r="AC61" i="5"/>
  <c r="T12" i="5"/>
  <c r="S637" i="28"/>
  <c r="T44" i="5"/>
  <c r="T21" i="5"/>
  <c r="AK547" i="28"/>
  <c r="AL38" i="5"/>
  <c r="AK742" i="28"/>
  <c r="AL51" i="5"/>
  <c r="AK382" i="28"/>
  <c r="AL27" i="5"/>
  <c r="S697" i="28"/>
  <c r="T48" i="5"/>
  <c r="T10" i="5"/>
  <c r="S412" i="28"/>
  <c r="T29" i="5"/>
  <c r="T7" i="5"/>
  <c r="AL14" i="5"/>
  <c r="S577" i="28"/>
  <c r="T40" i="5"/>
  <c r="S727" i="28"/>
  <c r="T50" i="5"/>
  <c r="AK502" i="28"/>
  <c r="AL35" i="5"/>
  <c r="AL8" i="5"/>
  <c r="S547" i="28"/>
  <c r="T38" i="5"/>
  <c r="S847" i="28"/>
  <c r="T58" i="5"/>
  <c r="AK817" i="28"/>
  <c r="AL56" i="5"/>
  <c r="S772" i="28"/>
  <c r="T53" i="5"/>
  <c r="AC24" i="5"/>
  <c r="AB502" i="28"/>
  <c r="AC35" i="5"/>
  <c r="AB637" i="28"/>
  <c r="AC44" i="5"/>
  <c r="AC7" i="5"/>
  <c r="AC4" i="5"/>
  <c r="S517" i="28"/>
  <c r="T36" i="5"/>
  <c r="AK397" i="28"/>
  <c r="AL28" i="5"/>
  <c r="AN5" i="18"/>
  <c r="AL2" i="5"/>
  <c r="T23" i="5"/>
  <c r="T20" i="5"/>
  <c r="S592" i="28"/>
  <c r="T41" i="5"/>
  <c r="AK727" i="28"/>
  <c r="AL50" i="5"/>
  <c r="AL3" i="5"/>
  <c r="AK712" i="28"/>
  <c r="AL49" i="5"/>
  <c r="AK157" i="28"/>
  <c r="AL12" i="5"/>
  <c r="AK127" i="28"/>
  <c r="AL10" i="5"/>
  <c r="AK532" i="28"/>
  <c r="AL37" i="5"/>
  <c r="AK652" i="28"/>
  <c r="AL45" i="5"/>
  <c r="AK472" i="28"/>
  <c r="AL33" i="5"/>
  <c r="AL24" i="5"/>
  <c r="S442" i="28"/>
  <c r="T31" i="5"/>
  <c r="S862" i="28"/>
  <c r="T59" i="5"/>
  <c r="AB547" i="28"/>
  <c r="AC38" i="5"/>
  <c r="AB787" i="28"/>
  <c r="AC54" i="5"/>
  <c r="AB802" i="28"/>
  <c r="AC55" i="5"/>
  <c r="AB472" i="28"/>
  <c r="AC33" i="5"/>
  <c r="AB862" i="28"/>
  <c r="AC59" i="5"/>
  <c r="AB667" i="28"/>
  <c r="AC46" i="5"/>
  <c r="AB742" i="28"/>
  <c r="AC51" i="5"/>
  <c r="T61" i="5"/>
  <c r="AB67" i="28"/>
  <c r="AF5" i="19"/>
  <c r="AB52" i="28"/>
  <c r="AF4" i="19"/>
  <c r="V13" i="18"/>
  <c r="T15" i="28" s="1"/>
  <c r="AK15" i="28"/>
  <c r="AN13" i="18"/>
  <c r="AL15" i="28" s="1"/>
  <c r="AK18" i="28"/>
  <c r="AN16" i="18"/>
  <c r="AL18" i="28" s="1"/>
  <c r="AK21" i="28"/>
  <c r="AN19" i="18"/>
  <c r="AL21" i="28" s="1"/>
  <c r="AK8" i="28"/>
  <c r="AN6" i="18"/>
  <c r="AK14" i="28"/>
  <c r="AN12" i="18"/>
  <c r="AL14" i="28" s="1"/>
  <c r="AK9" i="28"/>
  <c r="AN7" i="18"/>
  <c r="AK13" i="28"/>
  <c r="AN11" i="18"/>
  <c r="AL13" i="28" s="1"/>
  <c r="AK20" i="28"/>
  <c r="AN18" i="18"/>
  <c r="AL20" i="28" s="1"/>
  <c r="AK10" i="28"/>
  <c r="AN8" i="18"/>
  <c r="AK11" i="28"/>
  <c r="AN9" i="18"/>
  <c r="AL11" i="28" s="1"/>
  <c r="AK19" i="28"/>
  <c r="AN17" i="18"/>
  <c r="AL19" i="28" s="1"/>
  <c r="AK17" i="28"/>
  <c r="AN15" i="18"/>
  <c r="AL17" i="28" s="1"/>
  <c r="AK12" i="28"/>
  <c r="AN10" i="18"/>
  <c r="AL12" i="28" s="1"/>
  <c r="AK16" i="28"/>
  <c r="AN14" i="18"/>
  <c r="AL16" i="28" s="1"/>
  <c r="AK37" i="28"/>
  <c r="AP8" i="19"/>
  <c r="AK22" i="28"/>
  <c r="AP7" i="19"/>
  <c r="AB906" i="28"/>
  <c r="AF9" i="19"/>
  <c r="AF10" i="19"/>
  <c r="AF16" i="19"/>
  <c r="AF14" i="19"/>
  <c r="AK187" i="28"/>
  <c r="AP18" i="19"/>
  <c r="AB337" i="28"/>
  <c r="AF28" i="19"/>
  <c r="AB262" i="28"/>
  <c r="AF23" i="19"/>
  <c r="AK112" i="28"/>
  <c r="AP13" i="19"/>
  <c r="AK307" i="28"/>
  <c r="AP26" i="19"/>
  <c r="AK232" i="28"/>
  <c r="AP21" i="19"/>
  <c r="AK322" i="28"/>
  <c r="AP27" i="19"/>
  <c r="AB202" i="28"/>
  <c r="AF19" i="19"/>
  <c r="AB172" i="28"/>
  <c r="AF17" i="19"/>
  <c r="AB232" i="28"/>
  <c r="AF21" i="19"/>
  <c r="AB187" i="28"/>
  <c r="AF18" i="19"/>
  <c r="AB112" i="28"/>
  <c r="AF13" i="19"/>
  <c r="AB322" i="28"/>
  <c r="AF27" i="19"/>
  <c r="AK352" i="28"/>
  <c r="AP29" i="19"/>
  <c r="AB82" i="28"/>
  <c r="AF11" i="19"/>
  <c r="AB97" i="28"/>
  <c r="AF12" i="19"/>
  <c r="AK906" i="28"/>
  <c r="AP9" i="19"/>
  <c r="AP14" i="19"/>
  <c r="AP15" i="19"/>
  <c r="AP17" i="19"/>
  <c r="AP16" i="19"/>
  <c r="AB22" i="28"/>
  <c r="AF7" i="19"/>
  <c r="AB292" i="28"/>
  <c r="AF25" i="19"/>
  <c r="AK262" i="28"/>
  <c r="AP23" i="19"/>
  <c r="AK292" i="28"/>
  <c r="AP25" i="19"/>
  <c r="AB37" i="28"/>
  <c r="AF8" i="19"/>
  <c r="AK277" i="28"/>
  <c r="AP24" i="19"/>
  <c r="AK202" i="28"/>
  <c r="AP19" i="19"/>
  <c r="AB217" i="28"/>
  <c r="AF20" i="19"/>
  <c r="AB247" i="28"/>
  <c r="AF22" i="19"/>
  <c r="AK7" i="28"/>
  <c r="AP6" i="19"/>
  <c r="AK247" i="28"/>
  <c r="AP22" i="19"/>
  <c r="AB307" i="28"/>
  <c r="AF26" i="19"/>
  <c r="AB277" i="28"/>
  <c r="AF24" i="19"/>
  <c r="AK217" i="28"/>
  <c r="AP20" i="19"/>
  <c r="AK67" i="28"/>
  <c r="AP10" i="19"/>
  <c r="AB7" i="28"/>
  <c r="AF6" i="19"/>
  <c r="AK82" i="28"/>
  <c r="AP11" i="19"/>
  <c r="AK337" i="28"/>
  <c r="AP28" i="19"/>
  <c r="AB142" i="28"/>
  <c r="AF15" i="19"/>
  <c r="AB352" i="28"/>
  <c r="AF29" i="19"/>
  <c r="AK97" i="28"/>
  <c r="AP12" i="19"/>
  <c r="AE15" i="18"/>
  <c r="AC17" i="28" s="1"/>
  <c r="V15" i="18"/>
  <c r="T17" i="28" s="1"/>
  <c r="AE18" i="18"/>
  <c r="AC20" i="28" s="1"/>
  <c r="V18" i="18"/>
  <c r="T20" i="28" s="1"/>
  <c r="S341" i="28"/>
  <c r="I94" i="19"/>
  <c r="S326" i="28"/>
  <c r="I93" i="19"/>
  <c r="S56" i="28"/>
  <c r="I75" i="19"/>
  <c r="S296" i="28"/>
  <c r="I91" i="19"/>
  <c r="S281" i="28"/>
  <c r="I90" i="19"/>
  <c r="S266" i="28"/>
  <c r="I89" i="19"/>
  <c r="S101" i="28"/>
  <c r="I78" i="19"/>
  <c r="S131" i="28"/>
  <c r="I80" i="19"/>
  <c r="S176" i="28"/>
  <c r="I83" i="19"/>
  <c r="S11" i="28"/>
  <c r="I72" i="19"/>
  <c r="S311" i="28"/>
  <c r="I92" i="19"/>
  <c r="S146" i="28"/>
  <c r="I81" i="19"/>
  <c r="S41" i="28"/>
  <c r="I74" i="19"/>
  <c r="S251" i="28"/>
  <c r="I88" i="19"/>
  <c r="S191" i="28"/>
  <c r="I84" i="19"/>
  <c r="S26" i="28"/>
  <c r="I73" i="19"/>
  <c r="S206" i="28"/>
  <c r="I85" i="19"/>
  <c r="S116" i="28"/>
  <c r="I79" i="19"/>
  <c r="S236" i="28"/>
  <c r="I87" i="19"/>
  <c r="S86" i="28"/>
  <c r="I77" i="19"/>
  <c r="S221" i="28"/>
  <c r="I86" i="19"/>
  <c r="S71" i="28"/>
  <c r="I76" i="19"/>
  <c r="S161" i="28"/>
  <c r="I82" i="19"/>
  <c r="S356" i="28"/>
  <c r="I95" i="19"/>
  <c r="S100" i="28"/>
  <c r="H78" i="19"/>
  <c r="S205" i="28"/>
  <c r="H85" i="19"/>
  <c r="S130" i="28"/>
  <c r="H80" i="19"/>
  <c r="S355" i="28"/>
  <c r="H95" i="19"/>
  <c r="S250" i="28"/>
  <c r="H88" i="19"/>
  <c r="S265" i="28"/>
  <c r="H89" i="19"/>
  <c r="S160" i="28"/>
  <c r="H82" i="19"/>
  <c r="S280" i="28"/>
  <c r="H90" i="19"/>
  <c r="S25" i="28"/>
  <c r="H73" i="19"/>
  <c r="S55" i="28"/>
  <c r="H75" i="19"/>
  <c r="S40" i="28"/>
  <c r="H74" i="19"/>
  <c r="S70" i="28"/>
  <c r="H76" i="19"/>
  <c r="S295" i="28"/>
  <c r="H91" i="19"/>
  <c r="S85" i="28"/>
  <c r="H77" i="19"/>
  <c r="S340" i="28"/>
  <c r="H94" i="19"/>
  <c r="S190" i="28"/>
  <c r="H84" i="19"/>
  <c r="S310" i="28"/>
  <c r="H92" i="19"/>
  <c r="S220" i="28"/>
  <c r="H86" i="19"/>
  <c r="S325" i="28"/>
  <c r="H93" i="19"/>
  <c r="S175" i="28"/>
  <c r="H83" i="19"/>
  <c r="S145" i="28"/>
  <c r="H81" i="19"/>
  <c r="S115" i="28"/>
  <c r="H79" i="19"/>
  <c r="S235" i="28"/>
  <c r="H87" i="19"/>
  <c r="S174" i="28"/>
  <c r="G83" i="19"/>
  <c r="S54" i="28"/>
  <c r="G75" i="19"/>
  <c r="S189" i="28"/>
  <c r="G84" i="19"/>
  <c r="S24" i="28"/>
  <c r="G73" i="19"/>
  <c r="S114" i="28"/>
  <c r="G79" i="19"/>
  <c r="S84" i="28"/>
  <c r="G77" i="19"/>
  <c r="S39" i="28"/>
  <c r="G74" i="19"/>
  <c r="S324" i="28"/>
  <c r="G93" i="19"/>
  <c r="S129" i="28"/>
  <c r="G80" i="19"/>
  <c r="S159" i="28"/>
  <c r="G82" i="19"/>
  <c r="S294" i="28"/>
  <c r="G91" i="19"/>
  <c r="S204" i="28"/>
  <c r="G85" i="19"/>
  <c r="S339" i="28"/>
  <c r="G94" i="19"/>
  <c r="S309" i="28"/>
  <c r="G92" i="19"/>
  <c r="S249" i="28"/>
  <c r="G88" i="19"/>
  <c r="S219" i="28"/>
  <c r="G86" i="19"/>
  <c r="S69" i="28"/>
  <c r="G76" i="19"/>
  <c r="S144" i="28"/>
  <c r="G81" i="19"/>
  <c r="S264" i="28"/>
  <c r="G89" i="19"/>
  <c r="S234" i="28"/>
  <c r="G87" i="19"/>
  <c r="S99" i="28"/>
  <c r="G78" i="19"/>
  <c r="S279" i="28"/>
  <c r="G90" i="19"/>
  <c r="S354" i="28"/>
  <c r="G95" i="19"/>
  <c r="AF56" i="20"/>
  <c r="V12" i="18"/>
  <c r="T14" i="28" s="1"/>
  <c r="AF55" i="20"/>
  <c r="S10" i="28"/>
  <c r="V8" i="18"/>
  <c r="AE8" i="18"/>
  <c r="V6" i="18"/>
  <c r="AE6" i="18"/>
  <c r="S8" i="28"/>
  <c r="S9" i="28"/>
  <c r="AE7" i="18"/>
  <c r="V7" i="18"/>
  <c r="AF54" i="20"/>
  <c r="AE9" i="18"/>
  <c r="AC11" i="28" s="1"/>
  <c r="AE17" i="18"/>
  <c r="AC19" i="28" s="1"/>
  <c r="V19" i="18"/>
  <c r="T21" i="28" s="1"/>
  <c r="AE13" i="18"/>
  <c r="AC15" i="28" s="1"/>
  <c r="AE12" i="18"/>
  <c r="AC14" i="28" s="1"/>
  <c r="AE11" i="18"/>
  <c r="AC13" i="28" s="1"/>
  <c r="AE19" i="18"/>
  <c r="AC21" i="28" s="1"/>
  <c r="V9" i="18"/>
  <c r="T11" i="28" s="1"/>
  <c r="AF57" i="20"/>
  <c r="AE16" i="18"/>
  <c r="AC18" i="28" s="1"/>
  <c r="V11" i="18"/>
  <c r="T13" i="28" s="1"/>
  <c r="V16" i="18"/>
  <c r="T18" i="28" s="1"/>
  <c r="S22" i="28"/>
  <c r="F73" i="19"/>
  <c r="S247" i="28"/>
  <c r="F88" i="19"/>
  <c r="S322" i="28"/>
  <c r="F93" i="19"/>
  <c r="S277" i="28"/>
  <c r="F90" i="19"/>
  <c r="S142" i="28"/>
  <c r="F81" i="19"/>
  <c r="S37" i="28"/>
  <c r="F74" i="19"/>
  <c r="S262" i="28"/>
  <c r="F89" i="19"/>
  <c r="S67" i="28"/>
  <c r="F76" i="19"/>
  <c r="S172" i="28"/>
  <c r="F83" i="19"/>
  <c r="S352" i="28"/>
  <c r="F95" i="19"/>
  <c r="S7" i="28"/>
  <c r="F72" i="19"/>
  <c r="S157" i="28"/>
  <c r="F82" i="19"/>
  <c r="S187" i="28"/>
  <c r="F84" i="19"/>
  <c r="S202" i="28"/>
  <c r="F85" i="19"/>
  <c r="S217" i="28"/>
  <c r="F86" i="19"/>
  <c r="S52" i="28"/>
  <c r="F75" i="19"/>
  <c r="S82" i="28"/>
  <c r="F77" i="19"/>
  <c r="S307" i="28"/>
  <c r="F92" i="19"/>
  <c r="S232" i="28"/>
  <c r="F87" i="19"/>
  <c r="S292" i="28"/>
  <c r="F91" i="19"/>
  <c r="S97" i="28"/>
  <c r="F78" i="19"/>
  <c r="S127" i="28"/>
  <c r="F80" i="19"/>
  <c r="S112" i="28"/>
  <c r="F79" i="19"/>
  <c r="S337" i="28"/>
  <c r="F94" i="19"/>
  <c r="AE14" i="18"/>
  <c r="AC16" i="28" s="1"/>
  <c r="V14" i="18"/>
  <c r="T16" i="28" s="1"/>
  <c r="V17" i="18"/>
  <c r="T19" i="28" s="1"/>
  <c r="V10" i="18"/>
  <c r="T12" i="28" s="1"/>
  <c r="S12" i="28"/>
  <c r="AE10" i="18"/>
  <c r="AC12" i="28" s="1"/>
  <c r="E90" i="19"/>
  <c r="E89" i="19"/>
  <c r="E92" i="19"/>
  <c r="E94" i="19"/>
  <c r="R28" i="19"/>
  <c r="R26" i="19"/>
  <c r="E91" i="19"/>
  <c r="R25" i="19"/>
  <c r="E85" i="19"/>
  <c r="R19" i="19"/>
  <c r="R29" i="19"/>
  <c r="E81" i="19"/>
  <c r="R15" i="19"/>
  <c r="R23" i="19"/>
  <c r="E95" i="19"/>
  <c r="R24" i="19"/>
  <c r="E87" i="19"/>
  <c r="R21" i="19"/>
  <c r="E84" i="19"/>
  <c r="R18" i="19"/>
  <c r="E93" i="19"/>
  <c r="R27" i="19"/>
  <c r="E78" i="19"/>
  <c r="R12" i="19"/>
  <c r="E73" i="19"/>
  <c r="R7" i="19"/>
  <c r="AF53" i="20"/>
  <c r="E76" i="19"/>
  <c r="R10" i="19"/>
  <c r="AQ68" i="20"/>
  <c r="AC68" i="20"/>
  <c r="R9" i="19"/>
  <c r="E75" i="19"/>
  <c r="E79" i="19"/>
  <c r="R13" i="19"/>
  <c r="E74" i="19"/>
  <c r="R8" i="19"/>
  <c r="E82" i="19"/>
  <c r="R16" i="19"/>
  <c r="E77" i="19"/>
  <c r="R11" i="19"/>
  <c r="E83" i="19"/>
  <c r="R17" i="19"/>
  <c r="E80" i="19"/>
  <c r="R14" i="19"/>
  <c r="E86" i="19"/>
  <c r="R20" i="19"/>
  <c r="V5" i="18"/>
  <c r="R6" i="19"/>
  <c r="E88" i="19"/>
  <c r="R22" i="19"/>
  <c r="AF68" i="20" l="1"/>
  <c r="AL47" i="20"/>
  <c r="AB47" i="20"/>
  <c r="AQ47" i="20"/>
  <c r="AN47" i="20"/>
  <c r="AS47" i="20"/>
  <c r="AR47" i="20"/>
  <c r="AK47" i="20"/>
  <c r="AM47" i="20"/>
  <c r="AP47" i="20"/>
  <c r="AG47" i="20"/>
  <c r="AO47" i="20"/>
  <c r="AT36" i="20"/>
  <c r="AI47" i="20"/>
  <c r="AT34" i="20"/>
  <c r="AT35" i="20"/>
  <c r="AJ47" i="20"/>
  <c r="AF47" i="20"/>
  <c r="AH47" i="20"/>
  <c r="AO21" i="20"/>
  <c r="AT41" i="20"/>
  <c r="AC47" i="20"/>
  <c r="AO19" i="20"/>
  <c r="AT39" i="20"/>
  <c r="AO20" i="20"/>
  <c r="AT40" i="20"/>
  <c r="AO25" i="20"/>
  <c r="AT45" i="20"/>
  <c r="AE47" i="20"/>
  <c r="AA47" i="20"/>
  <c r="AO23" i="20"/>
  <c r="AT43" i="20"/>
  <c r="AO24" i="20"/>
  <c r="AT44" i="20"/>
  <c r="AO22" i="20"/>
  <c r="AT42" i="20"/>
  <c r="AO13" i="20"/>
  <c r="AT33" i="20"/>
  <c r="Z47" i="20"/>
  <c r="AO27" i="20" s="1"/>
  <c r="AD47" i="20"/>
  <c r="AO26" i="20"/>
  <c r="AT46" i="20"/>
  <c r="AO18" i="20"/>
  <c r="AT38" i="20"/>
  <c r="AO17" i="20"/>
  <c r="AT37" i="20"/>
  <c r="AI10" i="26"/>
  <c r="AG10" i="26" s="1"/>
  <c r="AL68" i="20"/>
  <c r="AE3" i="26" s="1"/>
  <c r="T7" i="28"/>
  <c r="U2" i="5"/>
  <c r="V2" i="5" s="1"/>
  <c r="AD2" i="5"/>
  <c r="AE2" i="5" s="1"/>
  <c r="AM2" i="5"/>
  <c r="AN2" i="5" s="1"/>
  <c r="AG25" i="18"/>
  <c r="AN25" i="18" s="1"/>
  <c r="AL27" i="28" s="1"/>
  <c r="F28" i="18"/>
  <c r="D30" i="28" s="1"/>
  <c r="AG28" i="18"/>
  <c r="AN28" i="18" s="1"/>
  <c r="AL30" i="28" s="1"/>
  <c r="X30" i="18"/>
  <c r="V32" i="28" s="1"/>
  <c r="X33" i="18"/>
  <c r="V35" i="28" s="1"/>
  <c r="AG33" i="18"/>
  <c r="AN33" i="18" s="1"/>
  <c r="AL35" i="28" s="1"/>
  <c r="AL7" i="28"/>
  <c r="AC7" i="28"/>
  <c r="F30" i="18"/>
  <c r="D32" i="28" s="1"/>
  <c r="F34" i="18"/>
  <c r="D36" i="28" s="1"/>
  <c r="F33" i="18"/>
  <c r="D35" i="28" s="1"/>
  <c r="AG30" i="18"/>
  <c r="AN30" i="18" s="1"/>
  <c r="AG27" i="18"/>
  <c r="AN27" i="18" s="1"/>
  <c r="X34" i="18"/>
  <c r="V36" i="28" s="1"/>
  <c r="I66" i="19"/>
  <c r="I70" i="19" s="1"/>
  <c r="I71" i="19" s="1"/>
  <c r="H66" i="19"/>
  <c r="H70" i="19" s="1"/>
  <c r="H71" i="19" s="1"/>
  <c r="G66" i="19"/>
  <c r="G70" i="19" s="1"/>
  <c r="G71" i="19" s="1"/>
  <c r="X32" i="18"/>
  <c r="V34" i="28" s="1"/>
  <c r="F27" i="18"/>
  <c r="D29" i="28" s="1"/>
  <c r="X21" i="18"/>
  <c r="AC8" i="28"/>
  <c r="F21" i="18"/>
  <c r="T8" i="28"/>
  <c r="AL9" i="28"/>
  <c r="AG22" i="18"/>
  <c r="AN22" i="18" s="1"/>
  <c r="T9" i="28"/>
  <c r="F22" i="18"/>
  <c r="AL10" i="28"/>
  <c r="AG23" i="18"/>
  <c r="AN23" i="18" s="1"/>
  <c r="X22" i="18"/>
  <c r="AC9" i="28"/>
  <c r="AC10" i="28"/>
  <c r="X23" i="18"/>
  <c r="T10" i="28"/>
  <c r="F23" i="18"/>
  <c r="AL8" i="28"/>
  <c r="AG21" i="18"/>
  <c r="AN21" i="18" s="1"/>
  <c r="AG32" i="18"/>
  <c r="AN32" i="18" s="1"/>
  <c r="X24" i="18"/>
  <c r="V26" i="28" s="1"/>
  <c r="X26" i="18"/>
  <c r="AE26" i="18" s="1"/>
  <c r="AC28" i="28" s="1"/>
  <c r="X28" i="18"/>
  <c r="V30" i="28" s="1"/>
  <c r="AG34" i="18"/>
  <c r="AN34" i="18" s="1"/>
  <c r="F31" i="18"/>
  <c r="D33" i="28" s="1"/>
  <c r="F24" i="18"/>
  <c r="D26" i="28" s="1"/>
  <c r="AG26" i="18"/>
  <c r="AN26" i="18" s="1"/>
  <c r="X27" i="18"/>
  <c r="V29" i="28" s="1"/>
  <c r="AG31" i="18"/>
  <c r="AN31" i="18" s="1"/>
  <c r="AG24" i="18"/>
  <c r="AN24" i="18" s="1"/>
  <c r="F26" i="18"/>
  <c r="D28" i="28" s="1"/>
  <c r="X31" i="18"/>
  <c r="V33" i="28" s="1"/>
  <c r="F29" i="18"/>
  <c r="D31" i="28" s="1"/>
  <c r="AG29" i="18"/>
  <c r="AN29" i="18" s="1"/>
  <c r="F66" i="19"/>
  <c r="F70" i="19" s="1"/>
  <c r="F71" i="19" s="1"/>
  <c r="F32" i="18"/>
  <c r="D34" i="28" s="1"/>
  <c r="X29" i="18"/>
  <c r="X25" i="18"/>
  <c r="V27" i="28" s="1"/>
  <c r="F25" i="18"/>
  <c r="D27" i="28" s="1"/>
  <c r="E66" i="19"/>
  <c r="E70" i="19" s="1"/>
  <c r="E71" i="19" s="1"/>
  <c r="AY23" i="26"/>
  <c r="AW23" i="26" s="1"/>
  <c r="AY24" i="26"/>
  <c r="AW24" i="26" s="1"/>
  <c r="AY9" i="26"/>
  <c r="AW9" i="26" s="1"/>
  <c r="AY14" i="26"/>
  <c r="AW14" i="26" s="1"/>
  <c r="AY18" i="26"/>
  <c r="AW18" i="26" s="1"/>
  <c r="AI26" i="26"/>
  <c r="AG26" i="26" s="1"/>
  <c r="AI25" i="26"/>
  <c r="AG25" i="26" s="1"/>
  <c r="AI28" i="26"/>
  <c r="AG28" i="26" s="1"/>
  <c r="AY27" i="26"/>
  <c r="AW27" i="26" s="1"/>
  <c r="AI23" i="26"/>
  <c r="AG23" i="26" s="1"/>
  <c r="AI14" i="26"/>
  <c r="AG14" i="26" s="1"/>
  <c r="AI30" i="26"/>
  <c r="AG30" i="26" s="1"/>
  <c r="AY26" i="26"/>
  <c r="AW26" i="26" s="1"/>
  <c r="AY25" i="26"/>
  <c r="AW25" i="26" s="1"/>
  <c r="AY8" i="26"/>
  <c r="AW8" i="26" s="1"/>
  <c r="AI9" i="26"/>
  <c r="AG9" i="26" s="1"/>
  <c r="AY30" i="26"/>
  <c r="AW30" i="26" s="1"/>
  <c r="AY10" i="26"/>
  <c r="AW10" i="26" s="1"/>
  <c r="AY13" i="26"/>
  <c r="AW13" i="26" s="1"/>
  <c r="AI31" i="26"/>
  <c r="AG31" i="26" s="1"/>
  <c r="AI15" i="26"/>
  <c r="AG15" i="26" s="1"/>
  <c r="AI11" i="26"/>
  <c r="AG11" i="26" s="1"/>
  <c r="AI22" i="26"/>
  <c r="AG22" i="26" s="1"/>
  <c r="AY31" i="26"/>
  <c r="AW31" i="26" s="1"/>
  <c r="AI13" i="26"/>
  <c r="AG13" i="26" s="1"/>
  <c r="AY29" i="26"/>
  <c r="AW29" i="26" s="1"/>
  <c r="AI21" i="26"/>
  <c r="AG21" i="26" s="1"/>
  <c r="AI12" i="26"/>
  <c r="AG12" i="26" s="1"/>
  <c r="AI29" i="26"/>
  <c r="AG29" i="26" s="1"/>
  <c r="AY12" i="26"/>
  <c r="AW12" i="26" s="1"/>
  <c r="AY11" i="26"/>
  <c r="AW11" i="26" s="1"/>
  <c r="AY22" i="26"/>
  <c r="AW22" i="26" s="1"/>
  <c r="AY19" i="26"/>
  <c r="AW19" i="26" s="1"/>
  <c r="AY15" i="26"/>
  <c r="AW15" i="26" s="1"/>
  <c r="AI17" i="26"/>
  <c r="AG17" i="26" s="1"/>
  <c r="AI18" i="26"/>
  <c r="AG18" i="26" s="1"/>
  <c r="AI19" i="26"/>
  <c r="AG19" i="26" s="1"/>
  <c r="AY16" i="26"/>
  <c r="AW16" i="26" s="1"/>
  <c r="AY21" i="26"/>
  <c r="AW21" i="26" s="1"/>
  <c r="AY20" i="26"/>
  <c r="AW20" i="26" s="1"/>
  <c r="AI27" i="26"/>
  <c r="AG27" i="26" s="1"/>
  <c r="AI24" i="26"/>
  <c r="AG24" i="26" s="1"/>
  <c r="AI16" i="26"/>
  <c r="AG16" i="26" s="1"/>
  <c r="AY28" i="26"/>
  <c r="AW28" i="26" s="1"/>
  <c r="AY17" i="26"/>
  <c r="AW17" i="26" s="1"/>
  <c r="AI20" i="26"/>
  <c r="AG20" i="26" s="1"/>
  <c r="AG20" i="18"/>
  <c r="X20" i="18"/>
  <c r="F20" i="18"/>
  <c r="AI4" i="19" l="1"/>
  <c r="AP27" i="20"/>
  <c r="AT27" i="20"/>
  <c r="AS27" i="20"/>
  <c r="AR27" i="20"/>
  <c r="AQ27" i="20"/>
  <c r="F4" i="19"/>
  <c r="AU3" i="26"/>
  <c r="V28" i="18"/>
  <c r="T30" i="28" s="1"/>
  <c r="W3" i="5"/>
  <c r="AN20" i="18"/>
  <c r="AN4" i="19" s="1"/>
  <c r="AF3" i="5"/>
  <c r="D22" i="28"/>
  <c r="E3" i="5"/>
  <c r="AE27" i="28"/>
  <c r="AE30" i="18"/>
  <c r="AC32" i="28" s="1"/>
  <c r="AE30" i="28"/>
  <c r="AE35" i="28"/>
  <c r="AE33" i="18"/>
  <c r="AC35" i="28" s="1"/>
  <c r="V30" i="18"/>
  <c r="T32" i="28" s="1"/>
  <c r="AE32" i="28"/>
  <c r="AE36" i="28"/>
  <c r="AE26" i="28"/>
  <c r="AE28" i="28"/>
  <c r="AL28" i="28"/>
  <c r="AE33" i="28"/>
  <c r="AE29" i="28"/>
  <c r="AL29" i="28"/>
  <c r="AE34" i="28"/>
  <c r="AL34" i="28"/>
  <c r="AE22" i="28"/>
  <c r="V22" i="28"/>
  <c r="V33" i="18"/>
  <c r="T35" i="28" s="1"/>
  <c r="V34" i="18"/>
  <c r="T36" i="28" s="1"/>
  <c r="AE32" i="18"/>
  <c r="AC34" i="28" s="1"/>
  <c r="AL32" i="28"/>
  <c r="AE34" i="18"/>
  <c r="AC36" i="28" s="1"/>
  <c r="V27" i="18"/>
  <c r="T29" i="28" s="1"/>
  <c r="AE24" i="18"/>
  <c r="AC26" i="28" s="1"/>
  <c r="D25" i="28"/>
  <c r="V23" i="18"/>
  <c r="D24" i="28"/>
  <c r="V22" i="18"/>
  <c r="V25" i="28"/>
  <c r="AE23" i="18"/>
  <c r="AE24" i="28"/>
  <c r="AE22" i="18"/>
  <c r="V24" i="28"/>
  <c r="D23" i="28"/>
  <c r="V21" i="18"/>
  <c r="AE23" i="28"/>
  <c r="AE25" i="28"/>
  <c r="AE21" i="18"/>
  <c r="V23" i="28"/>
  <c r="V31" i="18"/>
  <c r="T33" i="28" s="1"/>
  <c r="AE28" i="18"/>
  <c r="AC30" i="28" s="1"/>
  <c r="V28" i="28"/>
  <c r="AL36" i="28"/>
  <c r="V24" i="18"/>
  <c r="T26" i="28" s="1"/>
  <c r="AE27" i="18"/>
  <c r="AC29" i="28" s="1"/>
  <c r="V26" i="18"/>
  <c r="T28" i="28" s="1"/>
  <c r="AL26" i="28"/>
  <c r="AL33" i="28"/>
  <c r="V29" i="18"/>
  <c r="T31" i="28" s="1"/>
  <c r="AE25" i="18"/>
  <c r="AC27" i="28" s="1"/>
  <c r="AE31" i="18"/>
  <c r="AC33" i="28" s="1"/>
  <c r="V32" i="18"/>
  <c r="T34" i="28" s="1"/>
  <c r="AG48" i="18"/>
  <c r="AN48" i="18" s="1"/>
  <c r="AE31" i="28"/>
  <c r="V25" i="18"/>
  <c r="T27" i="28" s="1"/>
  <c r="V31" i="28"/>
  <c r="AE29" i="18"/>
  <c r="X41" i="18"/>
  <c r="V43" i="28" s="1"/>
  <c r="AG43" i="18"/>
  <c r="AN43" i="18" s="1"/>
  <c r="AG40" i="18"/>
  <c r="AN40" i="18" s="1"/>
  <c r="AE20" i="18"/>
  <c r="V20" i="18"/>
  <c r="S4" i="19" l="1"/>
  <c r="AM3" i="5"/>
  <c r="AN3" i="5" s="1"/>
  <c r="AU8" i="26"/>
  <c r="F43" i="18"/>
  <c r="D45" i="28" s="1"/>
  <c r="AD3" i="5"/>
  <c r="AE3" i="5" s="1"/>
  <c r="T22" i="28"/>
  <c r="U3" i="5"/>
  <c r="V3" i="5" s="1"/>
  <c r="X45" i="18"/>
  <c r="V47" i="28" s="1"/>
  <c r="X48" i="18"/>
  <c r="V50" i="28" s="1"/>
  <c r="F45" i="18"/>
  <c r="D47" i="28" s="1"/>
  <c r="AE42" i="28"/>
  <c r="AE45" i="28"/>
  <c r="AE50" i="28"/>
  <c r="AL50" i="28"/>
  <c r="AL22" i="28"/>
  <c r="AC22" i="28"/>
  <c r="AG42" i="18"/>
  <c r="AN42" i="18" s="1"/>
  <c r="F48" i="18"/>
  <c r="D50" i="28" s="1"/>
  <c r="X47" i="18"/>
  <c r="V49" i="28" s="1"/>
  <c r="F49" i="18"/>
  <c r="D51" i="28" s="1"/>
  <c r="AG45" i="18"/>
  <c r="AN45" i="18" s="1"/>
  <c r="X49" i="18"/>
  <c r="V51" i="28" s="1"/>
  <c r="F42" i="18"/>
  <c r="D44" i="28" s="1"/>
  <c r="X39" i="18"/>
  <c r="V41" i="28" s="1"/>
  <c r="AG47" i="18"/>
  <c r="AN47" i="18" s="1"/>
  <c r="AL25" i="28"/>
  <c r="AG38" i="18"/>
  <c r="AN38" i="18" s="1"/>
  <c r="AL24" i="28"/>
  <c r="AG37" i="18"/>
  <c r="AN37" i="18" s="1"/>
  <c r="AC25" i="28"/>
  <c r="X38" i="18"/>
  <c r="AL23" i="28"/>
  <c r="AG36" i="18"/>
  <c r="AN36" i="18" s="1"/>
  <c r="T23" i="28"/>
  <c r="F36" i="18"/>
  <c r="F37" i="18"/>
  <c r="T24" i="28"/>
  <c r="T25" i="28"/>
  <c r="F38" i="18"/>
  <c r="AC23" i="28"/>
  <c r="X36" i="18"/>
  <c r="AC24" i="28"/>
  <c r="X37" i="18"/>
  <c r="F39" i="18"/>
  <c r="D41" i="28" s="1"/>
  <c r="X42" i="18"/>
  <c r="V44" i="28" s="1"/>
  <c r="F46" i="18"/>
  <c r="D48" i="28" s="1"/>
  <c r="X43" i="18"/>
  <c r="V45" i="28" s="1"/>
  <c r="AG49" i="18"/>
  <c r="AN49" i="18" s="1"/>
  <c r="AG41" i="18"/>
  <c r="AN41" i="18" s="1"/>
  <c r="AG39" i="18"/>
  <c r="AN39" i="18" s="1"/>
  <c r="F41" i="18"/>
  <c r="D43" i="28" s="1"/>
  <c r="F47" i="18"/>
  <c r="D49" i="28" s="1"/>
  <c r="AG46" i="18"/>
  <c r="AN46" i="18" s="1"/>
  <c r="F44" i="18"/>
  <c r="D46" i="28" s="1"/>
  <c r="X46" i="18"/>
  <c r="V48" i="28" s="1"/>
  <c r="X40" i="18"/>
  <c r="V42" i="28" s="1"/>
  <c r="F40" i="18"/>
  <c r="D42" i="28" s="1"/>
  <c r="AL31" i="28"/>
  <c r="AG44" i="18"/>
  <c r="AN44" i="18" s="1"/>
  <c r="AC31" i="28"/>
  <c r="X44" i="18"/>
  <c r="AE41" i="18"/>
  <c r="AC43" i="28" s="1"/>
  <c r="AL42" i="28"/>
  <c r="AL45" i="28"/>
  <c r="F35" i="18"/>
  <c r="X35" i="18"/>
  <c r="AG35" i="18"/>
  <c r="AI5" i="19" l="1"/>
  <c r="F5" i="19"/>
  <c r="V43" i="18"/>
  <c r="T45" i="28" s="1"/>
  <c r="W4" i="5"/>
  <c r="AN35" i="18"/>
  <c r="AF4" i="5"/>
  <c r="D37" i="28"/>
  <c r="E4" i="5"/>
  <c r="AE45" i="18"/>
  <c r="AC47" i="28" s="1"/>
  <c r="AE48" i="18"/>
  <c r="AC50" i="28" s="1"/>
  <c r="V45" i="18"/>
  <c r="T47" i="28" s="1"/>
  <c r="AE49" i="28"/>
  <c r="AL49" i="28"/>
  <c r="AE44" i="28"/>
  <c r="AL44" i="28"/>
  <c r="AE48" i="28"/>
  <c r="AL48" i="28"/>
  <c r="AE41" i="28"/>
  <c r="AL41" i="28"/>
  <c r="AE43" i="28"/>
  <c r="AL43" i="28"/>
  <c r="AE51" i="28"/>
  <c r="AE47" i="28"/>
  <c r="AL47" i="28"/>
  <c r="AE37" i="28"/>
  <c r="V37" i="28"/>
  <c r="AE47" i="18"/>
  <c r="AC49" i="28" s="1"/>
  <c r="V49" i="18"/>
  <c r="T51" i="28" s="1"/>
  <c r="V48" i="18"/>
  <c r="T50" i="28" s="1"/>
  <c r="AE49" i="18"/>
  <c r="AC51" i="28" s="1"/>
  <c r="V42" i="18"/>
  <c r="T44" i="28" s="1"/>
  <c r="AE39" i="18"/>
  <c r="AC41" i="28" s="1"/>
  <c r="V38" i="28"/>
  <c r="AE36" i="18"/>
  <c r="AE38" i="28"/>
  <c r="D40" i="28"/>
  <c r="V38" i="18"/>
  <c r="V40" i="28"/>
  <c r="AE38" i="18"/>
  <c r="AE39" i="28"/>
  <c r="D39" i="28"/>
  <c r="V37" i="18"/>
  <c r="AE37" i="18"/>
  <c r="V39" i="28"/>
  <c r="D38" i="28"/>
  <c r="V36" i="18"/>
  <c r="AE40" i="28"/>
  <c r="AE46" i="18"/>
  <c r="AC48" i="28" s="1"/>
  <c r="V39" i="18"/>
  <c r="T41" i="28" s="1"/>
  <c r="V46" i="18"/>
  <c r="T48" i="28" s="1"/>
  <c r="AE42" i="18"/>
  <c r="AC44" i="28" s="1"/>
  <c r="AE43" i="18"/>
  <c r="AC45" i="28" s="1"/>
  <c r="AL51" i="28"/>
  <c r="V41" i="18"/>
  <c r="T43" i="28" s="1"/>
  <c r="V40" i="18"/>
  <c r="T42" i="28" s="1"/>
  <c r="V47" i="18"/>
  <c r="T49" i="28" s="1"/>
  <c r="AE40" i="18"/>
  <c r="AC42" i="28" s="1"/>
  <c r="AD43" i="28"/>
  <c r="AG63" i="18"/>
  <c r="AN63" i="18" s="1"/>
  <c r="V44" i="18"/>
  <c r="T46" i="28" s="1"/>
  <c r="U45" i="28"/>
  <c r="X56" i="18"/>
  <c r="V58" i="28" s="1"/>
  <c r="AM50" i="28"/>
  <c r="AE46" i="28"/>
  <c r="V46" i="28"/>
  <c r="AE44" i="18"/>
  <c r="AD47" i="28"/>
  <c r="AM42" i="28"/>
  <c r="AG55" i="18"/>
  <c r="AN55" i="18" s="1"/>
  <c r="AM45" i="28"/>
  <c r="AG58" i="18"/>
  <c r="AN58" i="18" s="1"/>
  <c r="AE35" i="18"/>
  <c r="AF35" i="18" s="1"/>
  <c r="V35" i="18"/>
  <c r="AO35" i="18" l="1"/>
  <c r="AM37" i="28" s="1"/>
  <c r="AN5" i="19"/>
  <c r="W35" i="18"/>
  <c r="U37" i="28" s="1"/>
  <c r="S5" i="19"/>
  <c r="W5" i="19" s="1"/>
  <c r="AM4" i="5"/>
  <c r="AN4" i="5" s="1"/>
  <c r="F58" i="18"/>
  <c r="D60" i="28" s="1"/>
  <c r="AD4" i="5"/>
  <c r="AE4" i="5" s="1"/>
  <c r="T37" i="28"/>
  <c r="U4" i="5"/>
  <c r="V4" i="5" s="1"/>
  <c r="X60" i="18"/>
  <c r="V62" i="28" s="1"/>
  <c r="AD50" i="28"/>
  <c r="F60" i="18"/>
  <c r="D62" i="28" s="1"/>
  <c r="X63" i="18"/>
  <c r="V65" i="28" s="1"/>
  <c r="U47" i="28"/>
  <c r="AE60" i="28"/>
  <c r="AE57" i="28"/>
  <c r="AE65" i="28"/>
  <c r="AL65" i="28"/>
  <c r="AC37" i="28"/>
  <c r="AL37" i="28"/>
  <c r="AM44" i="28"/>
  <c r="AG57" i="18"/>
  <c r="AN57" i="18" s="1"/>
  <c r="AD49" i="28"/>
  <c r="X62" i="18"/>
  <c r="V64" i="28" s="1"/>
  <c r="F63" i="18"/>
  <c r="D65" i="28" s="1"/>
  <c r="F64" i="18"/>
  <c r="D66" i="28" s="1"/>
  <c r="U51" i="28"/>
  <c r="U50" i="28"/>
  <c r="AM49" i="28"/>
  <c r="AM47" i="28"/>
  <c r="AG62" i="18"/>
  <c r="AN62" i="18" s="1"/>
  <c r="AG60" i="18"/>
  <c r="AN60" i="18" s="1"/>
  <c r="AD51" i="28"/>
  <c r="X64" i="18"/>
  <c r="V66" i="28" s="1"/>
  <c r="U44" i="28"/>
  <c r="F57" i="18"/>
  <c r="D59" i="28" s="1"/>
  <c r="X54" i="18"/>
  <c r="V56" i="28" s="1"/>
  <c r="AD41" i="28"/>
  <c r="T38" i="28"/>
  <c r="F51" i="18"/>
  <c r="U38" i="28"/>
  <c r="AC40" i="28"/>
  <c r="X53" i="18"/>
  <c r="AD40" i="28"/>
  <c r="T40" i="28"/>
  <c r="U40" i="28"/>
  <c r="F53" i="18"/>
  <c r="X52" i="18"/>
  <c r="AC39" i="28"/>
  <c r="AD39" i="28"/>
  <c r="T39" i="28"/>
  <c r="F52" i="18"/>
  <c r="U39" i="28"/>
  <c r="AL38" i="28"/>
  <c r="AG51" i="18"/>
  <c r="AN51" i="18" s="1"/>
  <c r="AM38" i="28"/>
  <c r="AL40" i="28"/>
  <c r="AM40" i="28"/>
  <c r="AG53" i="18"/>
  <c r="AN53" i="18" s="1"/>
  <c r="AL39" i="28"/>
  <c r="AG52" i="18"/>
  <c r="AN52" i="18" s="1"/>
  <c r="AM39" i="28"/>
  <c r="AC38" i="28"/>
  <c r="X51" i="18"/>
  <c r="AD38" i="28"/>
  <c r="U48" i="28"/>
  <c r="F61" i="18"/>
  <c r="D63" i="28" s="1"/>
  <c r="U41" i="28"/>
  <c r="F54" i="18"/>
  <c r="D56" i="28" s="1"/>
  <c r="X61" i="18"/>
  <c r="V63" i="28" s="1"/>
  <c r="AD48" i="28"/>
  <c r="X58" i="18"/>
  <c r="V60" i="28" s="1"/>
  <c r="AD45" i="28"/>
  <c r="X57" i="18"/>
  <c r="V59" i="28" s="1"/>
  <c r="AD44" i="28"/>
  <c r="AG64" i="18"/>
  <c r="AN64" i="18" s="1"/>
  <c r="AM51" i="28"/>
  <c r="AG56" i="18"/>
  <c r="AN56" i="18" s="1"/>
  <c r="AM43" i="28"/>
  <c r="U43" i="28"/>
  <c r="F59" i="18"/>
  <c r="D61" i="28" s="1"/>
  <c r="F56" i="18"/>
  <c r="D58" i="28" s="1"/>
  <c r="AM41" i="28"/>
  <c r="AG54" i="18"/>
  <c r="AN54" i="18" s="1"/>
  <c r="U42" i="28"/>
  <c r="F55" i="18"/>
  <c r="D57" i="28" s="1"/>
  <c r="U49" i="28"/>
  <c r="F62" i="18"/>
  <c r="D64" i="28" s="1"/>
  <c r="X55" i="18"/>
  <c r="V57" i="28" s="1"/>
  <c r="AD42" i="28"/>
  <c r="AM48" i="28"/>
  <c r="AE56" i="18"/>
  <c r="AC58" i="28" s="1"/>
  <c r="AG61" i="18"/>
  <c r="AN61" i="18" s="1"/>
  <c r="U46" i="28"/>
  <c r="AL46" i="28"/>
  <c r="AG59" i="18"/>
  <c r="AN59" i="18" s="1"/>
  <c r="AM46" i="28"/>
  <c r="AC46" i="28"/>
  <c r="AD46" i="28"/>
  <c r="X59" i="18"/>
  <c r="AL57" i="28"/>
  <c r="AL60" i="28"/>
  <c r="F50" i="18"/>
  <c r="X50" i="18"/>
  <c r="AD37" i="28"/>
  <c r="AG50" i="18"/>
  <c r="F6" i="19" l="1"/>
  <c r="F8" i="26"/>
  <c r="AI6" i="19"/>
  <c r="AJ8" i="26"/>
  <c r="AT8" i="26" s="1"/>
  <c r="V58" i="18"/>
  <c r="T60" i="28" s="1"/>
  <c r="AN50" i="18"/>
  <c r="AF5" i="5"/>
  <c r="D52" i="28"/>
  <c r="E5" i="5"/>
  <c r="W5" i="5"/>
  <c r="V52" i="28"/>
  <c r="AE60" i="18"/>
  <c r="AC62" i="28" s="1"/>
  <c r="V60" i="18"/>
  <c r="T62" i="28" s="1"/>
  <c r="AE63" i="18"/>
  <c r="AC65" i="28" s="1"/>
  <c r="AE52" i="28"/>
  <c r="AE64" i="28"/>
  <c r="AE62" i="28"/>
  <c r="AE56" i="28"/>
  <c r="AL56" i="28"/>
  <c r="AE58" i="28"/>
  <c r="AL58" i="28"/>
  <c r="AE59" i="28"/>
  <c r="AL59" i="28"/>
  <c r="AE63" i="28"/>
  <c r="AE66" i="28"/>
  <c r="AL66" i="28"/>
  <c r="V63" i="18"/>
  <c r="T65" i="28" s="1"/>
  <c r="AE62" i="18"/>
  <c r="AC64" i="28" s="1"/>
  <c r="V64" i="18"/>
  <c r="T66" i="28" s="1"/>
  <c r="AL64" i="28"/>
  <c r="AE64" i="18"/>
  <c r="AC66" i="28" s="1"/>
  <c r="AL62" i="28"/>
  <c r="V57" i="18"/>
  <c r="T59" i="28" s="1"/>
  <c r="V61" i="18"/>
  <c r="T63" i="28" s="1"/>
  <c r="AE54" i="18"/>
  <c r="AC56" i="28" s="1"/>
  <c r="AE61" i="18"/>
  <c r="AC63" i="28" s="1"/>
  <c r="AE54" i="28"/>
  <c r="D54" i="28"/>
  <c r="V52" i="18"/>
  <c r="AE55" i="28"/>
  <c r="V55" i="28"/>
  <c r="AE53" i="18"/>
  <c r="V53" i="28"/>
  <c r="AE51" i="18"/>
  <c r="AE52" i="18"/>
  <c r="V54" i="28"/>
  <c r="D53" i="28"/>
  <c r="V51" i="18"/>
  <c r="AE53" i="28"/>
  <c r="D55" i="28"/>
  <c r="V53" i="18"/>
  <c r="V54" i="18"/>
  <c r="T56" i="28" s="1"/>
  <c r="AE58" i="18"/>
  <c r="AC60" i="28" s="1"/>
  <c r="U60" i="28"/>
  <c r="AE57" i="18"/>
  <c r="AC59" i="28" s="1"/>
  <c r="V56" i="18"/>
  <c r="T58" i="28" s="1"/>
  <c r="V59" i="18"/>
  <c r="T61" i="28" s="1"/>
  <c r="AL63" i="28"/>
  <c r="AD58" i="28"/>
  <c r="V55" i="18"/>
  <c r="T57" i="28" s="1"/>
  <c r="AG78" i="18"/>
  <c r="AN78" i="18" s="1"/>
  <c r="AM65" i="28"/>
  <c r="AE55" i="18"/>
  <c r="AC57" i="28" s="1"/>
  <c r="V62" i="18"/>
  <c r="T64" i="28" s="1"/>
  <c r="X71" i="18"/>
  <c r="V73" i="28" s="1"/>
  <c r="AE61" i="28"/>
  <c r="V61" i="28"/>
  <c r="AE59" i="18"/>
  <c r="AD62" i="28"/>
  <c r="AM57" i="28"/>
  <c r="AG70" i="18"/>
  <c r="AN70" i="18" s="1"/>
  <c r="AM60" i="28"/>
  <c r="AG73" i="18"/>
  <c r="AN73" i="18" s="1"/>
  <c r="AE50" i="18"/>
  <c r="AF50" i="18" s="1"/>
  <c r="V50" i="18"/>
  <c r="AO50" i="18" l="1"/>
  <c r="AM52" i="28" s="1"/>
  <c r="AN6" i="19"/>
  <c r="AJ9" i="26"/>
  <c r="AT9" i="26" s="1"/>
  <c r="AV8" i="26"/>
  <c r="Q8" i="26"/>
  <c r="S6" i="19"/>
  <c r="W6" i="19" s="1"/>
  <c r="F73" i="18"/>
  <c r="D75" i="28" s="1"/>
  <c r="AM5" i="5"/>
  <c r="AN5" i="5" s="1"/>
  <c r="U5" i="5"/>
  <c r="V5" i="5" s="1"/>
  <c r="AD5" i="5"/>
  <c r="AE5" i="5" s="1"/>
  <c r="X75" i="18"/>
  <c r="V77" i="28" s="1"/>
  <c r="AC52" i="28"/>
  <c r="AD52" i="28"/>
  <c r="T52" i="28"/>
  <c r="W50" i="18"/>
  <c r="U52" i="28" s="1"/>
  <c r="U62" i="28"/>
  <c r="F75" i="18"/>
  <c r="D77" i="28" s="1"/>
  <c r="X78" i="18"/>
  <c r="V80" i="28" s="1"/>
  <c r="AD65" i="28"/>
  <c r="AE72" i="28"/>
  <c r="AE80" i="28"/>
  <c r="AE75" i="28"/>
  <c r="AL52" i="28"/>
  <c r="AM59" i="28"/>
  <c r="AG72" i="18"/>
  <c r="AN72" i="18" s="1"/>
  <c r="F78" i="18"/>
  <c r="D80" i="28" s="1"/>
  <c r="X77" i="18"/>
  <c r="V79" i="28" s="1"/>
  <c r="U65" i="28"/>
  <c r="AD66" i="28"/>
  <c r="X79" i="18"/>
  <c r="V81" i="28" s="1"/>
  <c r="AM64" i="28"/>
  <c r="AD64" i="28"/>
  <c r="F79" i="18"/>
  <c r="D81" i="28" s="1"/>
  <c r="U66" i="28"/>
  <c r="AG77" i="18"/>
  <c r="AN77" i="18" s="1"/>
  <c r="AM62" i="28"/>
  <c r="AG75" i="18"/>
  <c r="AN75" i="18" s="1"/>
  <c r="U63" i="28"/>
  <c r="AD60" i="28"/>
  <c r="X76" i="18"/>
  <c r="V78" i="28" s="1"/>
  <c r="F72" i="18"/>
  <c r="D74" i="28" s="1"/>
  <c r="F76" i="18"/>
  <c r="D78" i="28" s="1"/>
  <c r="U59" i="28"/>
  <c r="AD56" i="28"/>
  <c r="X69" i="18"/>
  <c r="V71" i="28" s="1"/>
  <c r="AD63" i="28"/>
  <c r="AL53" i="28"/>
  <c r="AM53" i="28"/>
  <c r="AG66" i="18"/>
  <c r="AN66" i="18" s="1"/>
  <c r="AC55" i="28"/>
  <c r="AD55" i="28"/>
  <c r="X68" i="18"/>
  <c r="U53" i="28"/>
  <c r="T53" i="28"/>
  <c r="F66" i="18"/>
  <c r="AL55" i="28"/>
  <c r="AM55" i="28"/>
  <c r="AG68" i="18"/>
  <c r="AN68" i="18" s="1"/>
  <c r="AO68" i="18" s="1"/>
  <c r="T54" i="28"/>
  <c r="F67" i="18"/>
  <c r="U54" i="28"/>
  <c r="AC54" i="28"/>
  <c r="X67" i="18"/>
  <c r="AD54" i="28"/>
  <c r="T55" i="28"/>
  <c r="F68" i="18"/>
  <c r="U55" i="28"/>
  <c r="AC53" i="28"/>
  <c r="AD53" i="28"/>
  <c r="X66" i="18"/>
  <c r="AL54" i="28"/>
  <c r="AM54" i="28"/>
  <c r="AG67" i="18"/>
  <c r="AN67" i="18" s="1"/>
  <c r="U56" i="28"/>
  <c r="F69" i="18"/>
  <c r="D71" i="28" s="1"/>
  <c r="X72" i="18"/>
  <c r="V74" i="28" s="1"/>
  <c r="AD59" i="28"/>
  <c r="X70" i="18"/>
  <c r="V72" i="28" s="1"/>
  <c r="AM63" i="28"/>
  <c r="AG71" i="18"/>
  <c r="AN71" i="18" s="1"/>
  <c r="X73" i="18"/>
  <c r="V75" i="28" s="1"/>
  <c r="AG79" i="18"/>
  <c r="AN79" i="18" s="1"/>
  <c r="AM58" i="28"/>
  <c r="AM66" i="28"/>
  <c r="AM56" i="28"/>
  <c r="F71" i="18"/>
  <c r="D73" i="28" s="1"/>
  <c r="AD57" i="28"/>
  <c r="AL80" i="28"/>
  <c r="AG76" i="18"/>
  <c r="AN76" i="18" s="1"/>
  <c r="U58" i="28"/>
  <c r="F70" i="18"/>
  <c r="D72" i="28" s="1"/>
  <c r="U57" i="28"/>
  <c r="AG69" i="18"/>
  <c r="AN69" i="18" s="1"/>
  <c r="U61" i="28"/>
  <c r="F74" i="18"/>
  <c r="U64" i="28"/>
  <c r="F77" i="18"/>
  <c r="D79" i="28" s="1"/>
  <c r="AE71" i="18"/>
  <c r="AC73" i="28" s="1"/>
  <c r="AL61" i="28"/>
  <c r="AG74" i="18"/>
  <c r="AN74" i="18" s="1"/>
  <c r="AM61" i="28"/>
  <c r="AC61" i="28"/>
  <c r="X74" i="18"/>
  <c r="AD61" i="28"/>
  <c r="AL75" i="28"/>
  <c r="AL72" i="28"/>
  <c r="F65" i="18"/>
  <c r="AG65" i="18"/>
  <c r="X65" i="18"/>
  <c r="AI7" i="19" l="1"/>
  <c r="AU9" i="26"/>
  <c r="AJ10" i="26"/>
  <c r="AT10" i="26" s="1"/>
  <c r="AV9" i="26"/>
  <c r="F9" i="26"/>
  <c r="F7" i="19"/>
  <c r="V73" i="18"/>
  <c r="T75" i="28" s="1"/>
  <c r="W6" i="5"/>
  <c r="D67" i="28"/>
  <c r="E6" i="5"/>
  <c r="AN65" i="18"/>
  <c r="AF6" i="5"/>
  <c r="AE75" i="18"/>
  <c r="AC77" i="28" s="1"/>
  <c r="V75" i="18"/>
  <c r="T77" i="28" s="1"/>
  <c r="AE78" i="18"/>
  <c r="AC80" i="28" s="1"/>
  <c r="AE77" i="28"/>
  <c r="AE78" i="28"/>
  <c r="AL78" i="28"/>
  <c r="AE79" i="28"/>
  <c r="AE73" i="28"/>
  <c r="AL73" i="28"/>
  <c r="AE67" i="28"/>
  <c r="AE81" i="28"/>
  <c r="AE71" i="28"/>
  <c r="AE74" i="28"/>
  <c r="AL74" i="28"/>
  <c r="V67" i="28"/>
  <c r="AE77" i="18"/>
  <c r="AC79" i="28" s="1"/>
  <c r="AL77" i="28"/>
  <c r="AE79" i="18"/>
  <c r="AC81" i="28" s="1"/>
  <c r="V78" i="18"/>
  <c r="T80" i="28" s="1"/>
  <c r="AL79" i="28"/>
  <c r="V79" i="18"/>
  <c r="T81" i="28" s="1"/>
  <c r="AE76" i="18"/>
  <c r="AC78" i="28" s="1"/>
  <c r="V76" i="18"/>
  <c r="T78" i="28" s="1"/>
  <c r="V72" i="18"/>
  <c r="T74" i="28" s="1"/>
  <c r="AE69" i="18"/>
  <c r="AC71" i="28" s="1"/>
  <c r="AE70" i="18"/>
  <c r="AC72" i="28" s="1"/>
  <c r="V68" i="28"/>
  <c r="AE66" i="18"/>
  <c r="D69" i="28"/>
  <c r="V67" i="18"/>
  <c r="V70" i="28"/>
  <c r="AE68" i="18"/>
  <c r="AF68" i="18" s="1"/>
  <c r="D70" i="28"/>
  <c r="V68" i="18"/>
  <c r="W68" i="18" s="1"/>
  <c r="AE70" i="28"/>
  <c r="AE69" i="28"/>
  <c r="AE68" i="28"/>
  <c r="V69" i="28"/>
  <c r="AE67" i="18"/>
  <c r="D68" i="28"/>
  <c r="V66" i="18"/>
  <c r="AE73" i="18"/>
  <c r="AC75" i="28" s="1"/>
  <c r="AL81" i="28"/>
  <c r="AE72" i="18"/>
  <c r="AC74" i="28" s="1"/>
  <c r="V69" i="18"/>
  <c r="T71" i="28" s="1"/>
  <c r="V71" i="18"/>
  <c r="T73" i="28" s="1"/>
  <c r="U75" i="28"/>
  <c r="AG93" i="18"/>
  <c r="AN93" i="18" s="1"/>
  <c r="AD80" i="28"/>
  <c r="V77" i="18"/>
  <c r="T79" i="28" s="1"/>
  <c r="AM80" i="28"/>
  <c r="AD73" i="28"/>
  <c r="AL71" i="28"/>
  <c r="V70" i="18"/>
  <c r="T72" i="28" s="1"/>
  <c r="D76" i="28"/>
  <c r="V74" i="18"/>
  <c r="X86" i="18"/>
  <c r="V88" i="28" s="1"/>
  <c r="AE76" i="28"/>
  <c r="V76" i="28"/>
  <c r="AE74" i="18"/>
  <c r="AG88" i="18"/>
  <c r="AN88" i="18" s="1"/>
  <c r="AM75" i="28"/>
  <c r="AG85" i="18"/>
  <c r="AN85" i="18" s="1"/>
  <c r="AM72" i="28"/>
  <c r="AD77" i="28"/>
  <c r="V65" i="18"/>
  <c r="AE65" i="18"/>
  <c r="AN7" i="19" l="1"/>
  <c r="S7" i="19"/>
  <c r="W7" i="19" s="1"/>
  <c r="Q9" i="26"/>
  <c r="AU10" i="26"/>
  <c r="AJ11" i="26"/>
  <c r="AT11" i="26" s="1"/>
  <c r="AV10" i="26"/>
  <c r="F88" i="18"/>
  <c r="D90" i="28" s="1"/>
  <c r="AD6" i="5"/>
  <c r="AE6" i="5" s="1"/>
  <c r="AF65" i="18"/>
  <c r="AD67" i="28" s="1"/>
  <c r="AM6" i="5"/>
  <c r="AN6" i="5" s="1"/>
  <c r="AO65" i="18"/>
  <c r="AM67" i="28" s="1"/>
  <c r="U6" i="5"/>
  <c r="V6" i="5" s="1"/>
  <c r="X90" i="18"/>
  <c r="V92" i="28" s="1"/>
  <c r="T67" i="28"/>
  <c r="W65" i="18"/>
  <c r="U67" i="28" s="1"/>
  <c r="U77" i="28"/>
  <c r="F90" i="18"/>
  <c r="D92" i="28" s="1"/>
  <c r="X93" i="18"/>
  <c r="V95" i="28" s="1"/>
  <c r="AE87" i="28"/>
  <c r="AE90" i="28"/>
  <c r="AE95" i="28"/>
  <c r="AC67" i="28"/>
  <c r="AL67" i="28"/>
  <c r="AM74" i="28"/>
  <c r="X92" i="18"/>
  <c r="V94" i="28" s="1"/>
  <c r="AD79" i="28"/>
  <c r="AG87" i="18"/>
  <c r="AN87" i="18" s="1"/>
  <c r="AG92" i="18"/>
  <c r="AN92" i="18" s="1"/>
  <c r="AM77" i="28"/>
  <c r="AG90" i="18"/>
  <c r="AN90" i="18" s="1"/>
  <c r="AD81" i="28"/>
  <c r="F93" i="18"/>
  <c r="D95" i="28" s="1"/>
  <c r="U80" i="28"/>
  <c r="AD78" i="28"/>
  <c r="X94" i="18"/>
  <c r="V96" i="28" s="1"/>
  <c r="X91" i="18"/>
  <c r="V93" i="28" s="1"/>
  <c r="F94" i="18"/>
  <c r="D96" i="28" s="1"/>
  <c r="AM79" i="28"/>
  <c r="U81" i="28"/>
  <c r="AD71" i="28"/>
  <c r="X84" i="18"/>
  <c r="V86" i="28" s="1"/>
  <c r="U74" i="28"/>
  <c r="U78" i="28"/>
  <c r="F87" i="18"/>
  <c r="D89" i="28" s="1"/>
  <c r="F91" i="18"/>
  <c r="D93" i="28" s="1"/>
  <c r="U71" i="28"/>
  <c r="X88" i="18"/>
  <c r="V90" i="28" s="1"/>
  <c r="AD75" i="28"/>
  <c r="X85" i="18"/>
  <c r="V87" i="28" s="1"/>
  <c r="AD72" i="28"/>
  <c r="AG91" i="18"/>
  <c r="AN91" i="18" s="1"/>
  <c r="AC69" i="28"/>
  <c r="X82" i="18"/>
  <c r="AD69" i="28"/>
  <c r="T70" i="28"/>
  <c r="F83" i="18"/>
  <c r="U70" i="28"/>
  <c r="AL68" i="28"/>
  <c r="AM68" i="28"/>
  <c r="AG81" i="18"/>
  <c r="AN81" i="18" s="1"/>
  <c r="AC70" i="28"/>
  <c r="X83" i="18"/>
  <c r="AD70" i="28"/>
  <c r="AG82" i="18"/>
  <c r="AN82" i="18" s="1"/>
  <c r="AL69" i="28"/>
  <c r="AM69" i="28"/>
  <c r="T69" i="28"/>
  <c r="U69" i="28"/>
  <c r="F82" i="18"/>
  <c r="U73" i="28"/>
  <c r="T68" i="28"/>
  <c r="U68" i="28"/>
  <c r="F81" i="18"/>
  <c r="AL70" i="28"/>
  <c r="AM70" i="28"/>
  <c r="AG83" i="18"/>
  <c r="AN83" i="18" s="1"/>
  <c r="AO83" i="18" s="1"/>
  <c r="AD68" i="28"/>
  <c r="AC68" i="28"/>
  <c r="X81" i="18"/>
  <c r="AG94" i="18"/>
  <c r="AN94" i="18" s="1"/>
  <c r="AG86" i="18"/>
  <c r="AN86" i="18" s="1"/>
  <c r="F84" i="18"/>
  <c r="D86" i="28" s="1"/>
  <c r="AM81" i="28"/>
  <c r="AD74" i="28"/>
  <c r="X87" i="18"/>
  <c r="V89" i="28" s="1"/>
  <c r="F86" i="18"/>
  <c r="D88" i="28" s="1"/>
  <c r="AM78" i="28"/>
  <c r="F85" i="18"/>
  <c r="D87" i="28" s="1"/>
  <c r="AM73" i="28"/>
  <c r="AG84" i="18"/>
  <c r="AN84" i="18" s="1"/>
  <c r="AM71" i="28"/>
  <c r="U72" i="28"/>
  <c r="AL95" i="28"/>
  <c r="F92" i="18"/>
  <c r="D94" i="28" s="1"/>
  <c r="U79" i="28"/>
  <c r="T76" i="28"/>
  <c r="F89" i="18"/>
  <c r="U76" i="28"/>
  <c r="AE86" i="18"/>
  <c r="AC88" i="28" s="1"/>
  <c r="AL76" i="28"/>
  <c r="AG89" i="18"/>
  <c r="AN89" i="18" s="1"/>
  <c r="AM76" i="28"/>
  <c r="AC76" i="28"/>
  <c r="X89" i="18"/>
  <c r="AD76" i="28"/>
  <c r="AL87" i="28"/>
  <c r="AL90" i="28"/>
  <c r="F80" i="18"/>
  <c r="AG80" i="18"/>
  <c r="X80" i="18"/>
  <c r="Y4" i="19" s="1"/>
  <c r="AI8" i="19" l="1"/>
  <c r="F8" i="19"/>
  <c r="F10" i="26"/>
  <c r="AV11" i="26"/>
  <c r="AJ12" i="26"/>
  <c r="AT12" i="26" s="1"/>
  <c r="AU11" i="26"/>
  <c r="V88" i="18"/>
  <c r="T90" i="28" s="1"/>
  <c r="W7" i="5"/>
  <c r="AN80" i="18"/>
  <c r="AF7" i="5"/>
  <c r="D82" i="28"/>
  <c r="E7" i="5"/>
  <c r="AE90" i="18"/>
  <c r="AC92" i="28" s="1"/>
  <c r="AE91" i="18"/>
  <c r="AC93" i="28" s="1"/>
  <c r="V90" i="18"/>
  <c r="T92" i="28" s="1"/>
  <c r="AE93" i="18"/>
  <c r="AC95" i="28" s="1"/>
  <c r="AE94" i="28"/>
  <c r="AE86" i="28"/>
  <c r="AE93" i="28"/>
  <c r="AE89" i="28"/>
  <c r="AE88" i="28"/>
  <c r="AL88" i="28"/>
  <c r="AE96" i="28"/>
  <c r="AE92" i="28"/>
  <c r="V82" i="28"/>
  <c r="AE82" i="28"/>
  <c r="AE94" i="18"/>
  <c r="AC96" i="28" s="1"/>
  <c r="AL94" i="28"/>
  <c r="AE92" i="18"/>
  <c r="AC94" i="28" s="1"/>
  <c r="AL92" i="28"/>
  <c r="AL89" i="28"/>
  <c r="AE88" i="18"/>
  <c r="AC90" i="28" s="1"/>
  <c r="V93" i="18"/>
  <c r="T95" i="28" s="1"/>
  <c r="V94" i="18"/>
  <c r="T96" i="28" s="1"/>
  <c r="AE84" i="18"/>
  <c r="AC86" i="28" s="1"/>
  <c r="AL93" i="28"/>
  <c r="V91" i="18"/>
  <c r="T93" i="28" s="1"/>
  <c r="V87" i="18"/>
  <c r="T89" i="28" s="1"/>
  <c r="AL96" i="28"/>
  <c r="AE85" i="18"/>
  <c r="AC87" i="28" s="1"/>
  <c r="D83" i="28"/>
  <c r="V81" i="18"/>
  <c r="AE84" i="28"/>
  <c r="D85" i="28"/>
  <c r="V83" i="18"/>
  <c r="W83" i="18" s="1"/>
  <c r="V83" i="28"/>
  <c r="AE81" i="18"/>
  <c r="V85" i="28"/>
  <c r="AE83" i="18"/>
  <c r="AF83" i="18" s="1"/>
  <c r="D84" i="28"/>
  <c r="V82" i="18"/>
  <c r="AE82" i="18"/>
  <c r="V84" i="28"/>
  <c r="AE85" i="28"/>
  <c r="AE83" i="28"/>
  <c r="V84" i="18"/>
  <c r="T86" i="28" s="1"/>
  <c r="V85" i="18"/>
  <c r="T87" i="28" s="1"/>
  <c r="AM95" i="28"/>
  <c r="AE87" i="18"/>
  <c r="AC89" i="28" s="1"/>
  <c r="U90" i="28"/>
  <c r="V92" i="18"/>
  <c r="T94" i="28" s="1"/>
  <c r="AL86" i="28"/>
  <c r="V86" i="18"/>
  <c r="T88" i="28" s="1"/>
  <c r="AG108" i="18"/>
  <c r="AN108" i="18" s="1"/>
  <c r="D91" i="28"/>
  <c r="V89" i="18"/>
  <c r="AD88" i="28"/>
  <c r="X101" i="18"/>
  <c r="V103" i="28" s="1"/>
  <c r="AE91" i="28"/>
  <c r="V91" i="28"/>
  <c r="AE89" i="18"/>
  <c r="AD92" i="28"/>
  <c r="AG100" i="18"/>
  <c r="AN100" i="18" s="1"/>
  <c r="AM87" i="28"/>
  <c r="AG103" i="18"/>
  <c r="AN103" i="18" s="1"/>
  <c r="AM90" i="28"/>
  <c r="V80" i="18"/>
  <c r="AE80" i="18"/>
  <c r="AD4" i="19" s="1"/>
  <c r="F103" i="18" l="1"/>
  <c r="D105" i="28" s="1"/>
  <c r="AN8" i="19"/>
  <c r="AJ13" i="26"/>
  <c r="AT13" i="26" s="1"/>
  <c r="AU12" i="26"/>
  <c r="AV12" i="26"/>
  <c r="Q10" i="26"/>
  <c r="R10" i="26" s="1"/>
  <c r="S8" i="19"/>
  <c r="W8" i="19" s="1"/>
  <c r="U7" i="5"/>
  <c r="V7" i="5" s="1"/>
  <c r="AD7" i="5"/>
  <c r="AE7" i="5" s="1"/>
  <c r="AF80" i="18"/>
  <c r="AD82" i="28" s="1"/>
  <c r="AM7" i="5"/>
  <c r="AN7" i="5" s="1"/>
  <c r="AO80" i="18"/>
  <c r="AM82" i="28" s="1"/>
  <c r="X105" i="18"/>
  <c r="V107" i="28" s="1"/>
  <c r="X106" i="18"/>
  <c r="V108" i="28" s="1"/>
  <c r="T82" i="28"/>
  <c r="W80" i="18"/>
  <c r="U82" i="28" s="1"/>
  <c r="AD93" i="28"/>
  <c r="AD95" i="28"/>
  <c r="F105" i="18"/>
  <c r="D107" i="28" s="1"/>
  <c r="U92" i="28"/>
  <c r="X108" i="18"/>
  <c r="V110" i="28" s="1"/>
  <c r="AE102" i="28"/>
  <c r="AE105" i="28"/>
  <c r="AE110" i="28"/>
  <c r="AL110" i="28"/>
  <c r="AC82" i="28"/>
  <c r="AL82" i="28"/>
  <c r="X109" i="18"/>
  <c r="V111" i="28" s="1"/>
  <c r="AD96" i="28"/>
  <c r="AG107" i="18"/>
  <c r="AN107" i="18" s="1"/>
  <c r="AG105" i="18"/>
  <c r="AN105" i="18" s="1"/>
  <c r="AM94" i="28"/>
  <c r="AM92" i="28"/>
  <c r="AD94" i="28"/>
  <c r="X107" i="18"/>
  <c r="V109" i="28" s="1"/>
  <c r="U95" i="28"/>
  <c r="AM89" i="28"/>
  <c r="X103" i="18"/>
  <c r="V105" i="28" s="1"/>
  <c r="AG102" i="18"/>
  <c r="AN102" i="18" s="1"/>
  <c r="AD90" i="28"/>
  <c r="F109" i="18"/>
  <c r="D111" i="28" s="1"/>
  <c r="F108" i="18"/>
  <c r="D110" i="28" s="1"/>
  <c r="U96" i="28"/>
  <c r="X99" i="18"/>
  <c r="V101" i="28" s="1"/>
  <c r="AD86" i="28"/>
  <c r="AM93" i="28"/>
  <c r="AG106" i="18"/>
  <c r="AN106" i="18" s="1"/>
  <c r="U93" i="28"/>
  <c r="F106" i="18"/>
  <c r="D108" i="28" s="1"/>
  <c r="U89" i="28"/>
  <c r="X100" i="18"/>
  <c r="V102" i="28" s="1"/>
  <c r="AD87" i="28"/>
  <c r="F102" i="18"/>
  <c r="D104" i="28" s="1"/>
  <c r="F99" i="18"/>
  <c r="D101" i="28" s="1"/>
  <c r="AM96" i="28"/>
  <c r="AG109" i="18"/>
  <c r="AN109" i="18" s="1"/>
  <c r="AL85" i="28"/>
  <c r="AM85" i="28"/>
  <c r="AG98" i="18"/>
  <c r="AN98" i="18" s="1"/>
  <c r="AO98" i="18" s="1"/>
  <c r="AC83" i="28"/>
  <c r="AD83" i="28"/>
  <c r="X96" i="18"/>
  <c r="T85" i="28"/>
  <c r="F98" i="18"/>
  <c r="U85" i="28"/>
  <c r="U87" i="28"/>
  <c r="AC84" i="28"/>
  <c r="X97" i="18"/>
  <c r="AD84" i="28"/>
  <c r="T84" i="28"/>
  <c r="U84" i="28"/>
  <c r="F97" i="18"/>
  <c r="AG97" i="18"/>
  <c r="AN97" i="18" s="1"/>
  <c r="AL84" i="28"/>
  <c r="AM84" i="28"/>
  <c r="AL83" i="28"/>
  <c r="AM83" i="28"/>
  <c r="AG96" i="18"/>
  <c r="AN96" i="18" s="1"/>
  <c r="AO96" i="18" s="1"/>
  <c r="AC85" i="28"/>
  <c r="AD85" i="28"/>
  <c r="X98" i="18"/>
  <c r="T83" i="28"/>
  <c r="F96" i="18"/>
  <c r="U83" i="28"/>
  <c r="F100" i="18"/>
  <c r="D102" i="28" s="1"/>
  <c r="U88" i="28"/>
  <c r="AM88" i="28"/>
  <c r="U86" i="28"/>
  <c r="AG101" i="18"/>
  <c r="AN101" i="18" s="1"/>
  <c r="AD89" i="28"/>
  <c r="X102" i="18"/>
  <c r="V104" i="28" s="1"/>
  <c r="F101" i="18"/>
  <c r="D103" i="28" s="1"/>
  <c r="AM86" i="28"/>
  <c r="F107" i="18"/>
  <c r="D109" i="28" s="1"/>
  <c r="AG99" i="18"/>
  <c r="AN99" i="18" s="1"/>
  <c r="U94" i="28"/>
  <c r="AE101" i="18"/>
  <c r="AC103" i="28" s="1"/>
  <c r="T91" i="28"/>
  <c r="F104" i="18"/>
  <c r="U91" i="28"/>
  <c r="AL91" i="28"/>
  <c r="AG104" i="18"/>
  <c r="AN104" i="18" s="1"/>
  <c r="AM91" i="28"/>
  <c r="AC91" i="28"/>
  <c r="AD91" i="28"/>
  <c r="X104" i="18"/>
  <c r="AL102" i="28"/>
  <c r="AL105" i="28"/>
  <c r="X95" i="18"/>
  <c r="Y5" i="19" s="1"/>
  <c r="AG95" i="18"/>
  <c r="F95" i="18"/>
  <c r="V103" i="18" l="1"/>
  <c r="T105" i="28" s="1"/>
  <c r="F9" i="19"/>
  <c r="F11" i="26"/>
  <c r="AJ14" i="26"/>
  <c r="AT14" i="26" s="1"/>
  <c r="AU13" i="26"/>
  <c r="AV13" i="26"/>
  <c r="AU22" i="26"/>
  <c r="AN95" i="18"/>
  <c r="AF8" i="5"/>
  <c r="W8" i="5"/>
  <c r="D97" i="28"/>
  <c r="E8" i="5"/>
  <c r="AE105" i="18"/>
  <c r="AC107" i="28" s="1"/>
  <c r="AE106" i="18"/>
  <c r="AC108" i="28" s="1"/>
  <c r="V105" i="18"/>
  <c r="T107" i="28" s="1"/>
  <c r="AE108" i="18"/>
  <c r="AC110" i="28" s="1"/>
  <c r="AE109" i="18"/>
  <c r="AC111" i="28" s="1"/>
  <c r="AE111" i="28"/>
  <c r="AE103" i="28"/>
  <c r="AL103" i="28"/>
  <c r="AE108" i="28"/>
  <c r="AL108" i="28"/>
  <c r="AE104" i="28"/>
  <c r="AL104" i="28"/>
  <c r="AE107" i="28"/>
  <c r="AL107" i="28"/>
  <c r="AE101" i="28"/>
  <c r="AE109" i="28"/>
  <c r="AL109" i="28"/>
  <c r="AE97" i="28"/>
  <c r="V97" i="28"/>
  <c r="AE107" i="18"/>
  <c r="AC109" i="28" s="1"/>
  <c r="V108" i="18"/>
  <c r="T110" i="28" s="1"/>
  <c r="AE103" i="18"/>
  <c r="AC105" i="28" s="1"/>
  <c r="V109" i="18"/>
  <c r="T111" i="28" s="1"/>
  <c r="AE99" i="18"/>
  <c r="AC101" i="28" s="1"/>
  <c r="V106" i="18"/>
  <c r="T108" i="28" s="1"/>
  <c r="AE100" i="18"/>
  <c r="AC102" i="28" s="1"/>
  <c r="V102" i="18"/>
  <c r="T104" i="28" s="1"/>
  <c r="V99" i="18"/>
  <c r="T101" i="28" s="1"/>
  <c r="AL111" i="28"/>
  <c r="V101" i="18"/>
  <c r="T103" i="28" s="1"/>
  <c r="AE102" i="18"/>
  <c r="AC104" i="28" s="1"/>
  <c r="V100" i="18"/>
  <c r="T102" i="28" s="1"/>
  <c r="D99" i="28"/>
  <c r="V97" i="18"/>
  <c r="D100" i="28"/>
  <c r="V98" i="18"/>
  <c r="W98" i="18" s="1"/>
  <c r="AE98" i="28"/>
  <c r="V98" i="28"/>
  <c r="AE96" i="18"/>
  <c r="AF96" i="18" s="1"/>
  <c r="V99" i="28"/>
  <c r="AE97" i="18"/>
  <c r="V96" i="18"/>
  <c r="W96" i="18" s="1"/>
  <c r="D98" i="28"/>
  <c r="AE100" i="28"/>
  <c r="V100" i="28"/>
  <c r="AE98" i="18"/>
  <c r="AF98" i="18" s="1"/>
  <c r="AE99" i="28"/>
  <c r="U105" i="28"/>
  <c r="AM110" i="28"/>
  <c r="AG123" i="18"/>
  <c r="AN123" i="18" s="1"/>
  <c r="AL101" i="28"/>
  <c r="V107" i="18"/>
  <c r="T109" i="28" s="1"/>
  <c r="AD103" i="28"/>
  <c r="X116" i="18"/>
  <c r="V118" i="28" s="1"/>
  <c r="D106" i="28"/>
  <c r="V104" i="18"/>
  <c r="AE106" i="28"/>
  <c r="V106" i="28"/>
  <c r="AE104" i="18"/>
  <c r="AM102" i="28"/>
  <c r="AG115" i="18"/>
  <c r="AN115" i="18" s="1"/>
  <c r="AM104" i="28"/>
  <c r="AD108" i="28"/>
  <c r="AD107" i="28"/>
  <c r="AM105" i="28"/>
  <c r="AG118" i="18"/>
  <c r="AN118" i="18" s="1"/>
  <c r="V95" i="18"/>
  <c r="AE95" i="18"/>
  <c r="AD5" i="19" s="1"/>
  <c r="F118" i="18" l="1"/>
  <c r="D120" i="28" s="1"/>
  <c r="Q11" i="26"/>
  <c r="R11" i="26" s="1"/>
  <c r="S9" i="19"/>
  <c r="W9" i="19" s="1"/>
  <c r="AN9" i="19"/>
  <c r="AJ15" i="26"/>
  <c r="AT15" i="26" s="1"/>
  <c r="AV14" i="26"/>
  <c r="AU14" i="26"/>
  <c r="AM8" i="5"/>
  <c r="AN8" i="5" s="1"/>
  <c r="AO95" i="18"/>
  <c r="AM97" i="28" s="1"/>
  <c r="U8" i="5"/>
  <c r="V8" i="5" s="1"/>
  <c r="AD8" i="5"/>
  <c r="AE8" i="5" s="1"/>
  <c r="AF95" i="18"/>
  <c r="AD97" i="28" s="1"/>
  <c r="X120" i="18"/>
  <c r="V122" i="28" s="1"/>
  <c r="X121" i="18"/>
  <c r="V123" i="28" s="1"/>
  <c r="T97" i="28"/>
  <c r="W95" i="18"/>
  <c r="U97" i="28" s="1"/>
  <c r="X123" i="18"/>
  <c r="V125" i="28" s="1"/>
  <c r="U107" i="28"/>
  <c r="F120" i="18"/>
  <c r="D122" i="28" s="1"/>
  <c r="AD110" i="28"/>
  <c r="AD111" i="28"/>
  <c r="X124" i="18"/>
  <c r="V126" i="28" s="1"/>
  <c r="AG117" i="18"/>
  <c r="AN117" i="18" s="1"/>
  <c r="AE125" i="28"/>
  <c r="AE117" i="28"/>
  <c r="AL117" i="28"/>
  <c r="AE120" i="28"/>
  <c r="AC97" i="28"/>
  <c r="AL97" i="28"/>
  <c r="AM109" i="28"/>
  <c r="AG122" i="18"/>
  <c r="AN122" i="18" s="1"/>
  <c r="AD105" i="28"/>
  <c r="X118" i="18"/>
  <c r="V120" i="28" s="1"/>
  <c r="AD109" i="28"/>
  <c r="X122" i="18"/>
  <c r="V124" i="28" s="1"/>
  <c r="AM107" i="28"/>
  <c r="AG120" i="18"/>
  <c r="AN120" i="18" s="1"/>
  <c r="F124" i="18"/>
  <c r="D126" i="28" s="1"/>
  <c r="U111" i="28"/>
  <c r="U110" i="28"/>
  <c r="F123" i="18"/>
  <c r="D125" i="28" s="1"/>
  <c r="X114" i="18"/>
  <c r="V116" i="28" s="1"/>
  <c r="AD101" i="28"/>
  <c r="F121" i="18"/>
  <c r="D123" i="28" s="1"/>
  <c r="AG121" i="18"/>
  <c r="AN121" i="18" s="1"/>
  <c r="U108" i="28"/>
  <c r="AM108" i="28"/>
  <c r="AL125" i="28"/>
  <c r="X117" i="18"/>
  <c r="V119" i="28" s="1"/>
  <c r="X115" i="18"/>
  <c r="V117" i="28" s="1"/>
  <c r="AD102" i="28"/>
  <c r="F115" i="18"/>
  <c r="D117" i="28" s="1"/>
  <c r="U104" i="28"/>
  <c r="F117" i="18"/>
  <c r="D119" i="28" s="1"/>
  <c r="U101" i="28"/>
  <c r="AM111" i="28"/>
  <c r="F114" i="18"/>
  <c r="D116" i="28" s="1"/>
  <c r="AG124" i="18"/>
  <c r="AN124" i="18" s="1"/>
  <c r="F116" i="18"/>
  <c r="D118" i="28" s="1"/>
  <c r="U103" i="28"/>
  <c r="U102" i="28"/>
  <c r="AG116" i="18"/>
  <c r="AN116" i="18" s="1"/>
  <c r="AM103" i="28"/>
  <c r="AD104" i="28"/>
  <c r="AC100" i="28"/>
  <c r="AD100" i="28"/>
  <c r="X113" i="18"/>
  <c r="AC98" i="28"/>
  <c r="X111" i="18"/>
  <c r="AD98" i="28"/>
  <c r="AL100" i="28"/>
  <c r="AG113" i="18"/>
  <c r="AN113" i="18" s="1"/>
  <c r="AO113" i="18" s="1"/>
  <c r="AM100" i="28"/>
  <c r="AL98" i="28"/>
  <c r="AG111" i="18"/>
  <c r="AN111" i="18" s="1"/>
  <c r="AO111" i="18" s="1"/>
  <c r="AM98" i="28"/>
  <c r="T100" i="28"/>
  <c r="U100" i="28"/>
  <c r="F113" i="18"/>
  <c r="F111" i="18"/>
  <c r="T98" i="28"/>
  <c r="U98" i="28"/>
  <c r="AL99" i="28"/>
  <c r="AG112" i="18"/>
  <c r="AN112" i="18" s="1"/>
  <c r="AM99" i="28"/>
  <c r="X112" i="18"/>
  <c r="AC99" i="28"/>
  <c r="AD99" i="28"/>
  <c r="T99" i="28"/>
  <c r="F112" i="18"/>
  <c r="U99" i="28"/>
  <c r="F122" i="18"/>
  <c r="D124" i="28" s="1"/>
  <c r="U109" i="28"/>
  <c r="AM101" i="28"/>
  <c r="AG114" i="18"/>
  <c r="AN114" i="18" s="1"/>
  <c r="AE116" i="18"/>
  <c r="AC118" i="28" s="1"/>
  <c r="T106" i="28"/>
  <c r="F119" i="18"/>
  <c r="U106" i="28"/>
  <c r="AL106" i="28"/>
  <c r="AM106" i="28"/>
  <c r="AG119" i="18"/>
  <c r="AN119" i="18" s="1"/>
  <c r="AC106" i="28"/>
  <c r="X119" i="18"/>
  <c r="AD106" i="28"/>
  <c r="AL120" i="28"/>
  <c r="X110" i="18"/>
  <c r="F110" i="18"/>
  <c r="AG110" i="18"/>
  <c r="V118" i="18" l="1"/>
  <c r="T120" i="28" s="1"/>
  <c r="AJ16" i="26"/>
  <c r="AT16" i="26" s="1"/>
  <c r="AV15" i="26"/>
  <c r="AU15" i="26"/>
  <c r="F10" i="19"/>
  <c r="F12" i="26"/>
  <c r="Y6" i="19"/>
  <c r="T8" i="26"/>
  <c r="AD8" i="26" s="1"/>
  <c r="AE120" i="18"/>
  <c r="AC122" i="28" s="1"/>
  <c r="AN110" i="18"/>
  <c r="AF9" i="5"/>
  <c r="D112" i="28"/>
  <c r="E9" i="5"/>
  <c r="W9" i="5"/>
  <c r="AE121" i="18"/>
  <c r="AC123" i="28" s="1"/>
  <c r="AE123" i="18"/>
  <c r="AC125" i="28" s="1"/>
  <c r="V120" i="18"/>
  <c r="T122" i="28" s="1"/>
  <c r="AE124" i="18"/>
  <c r="AC126" i="28" s="1"/>
  <c r="AE118" i="18"/>
  <c r="AC120" i="28" s="1"/>
  <c r="AE116" i="28"/>
  <c r="AE124" i="28"/>
  <c r="AL124" i="28"/>
  <c r="AE118" i="28"/>
  <c r="AL118" i="28"/>
  <c r="AE123" i="28"/>
  <c r="AE122" i="28"/>
  <c r="AE119" i="28"/>
  <c r="AL119" i="28"/>
  <c r="V112" i="28"/>
  <c r="AE112" i="28"/>
  <c r="AE122" i="18"/>
  <c r="AC124" i="28" s="1"/>
  <c r="AL122" i="28"/>
  <c r="V124" i="18"/>
  <c r="T126" i="28" s="1"/>
  <c r="V123" i="18"/>
  <c r="T125" i="28" s="1"/>
  <c r="AE114" i="18"/>
  <c r="AC116" i="28" s="1"/>
  <c r="V115" i="18"/>
  <c r="T117" i="28" s="1"/>
  <c r="V121" i="18"/>
  <c r="T123" i="28" s="1"/>
  <c r="AL123" i="28"/>
  <c r="V117" i="18"/>
  <c r="T119" i="28" s="1"/>
  <c r="AG138" i="18"/>
  <c r="AN138" i="18" s="1"/>
  <c r="AM125" i="28"/>
  <c r="AE115" i="18"/>
  <c r="AC117" i="28" s="1"/>
  <c r="AE117" i="18"/>
  <c r="AC119" i="28" s="1"/>
  <c r="V116" i="18"/>
  <c r="T118" i="28" s="1"/>
  <c r="V114" i="18"/>
  <c r="T116" i="28" s="1"/>
  <c r="AE126" i="28"/>
  <c r="D113" i="28"/>
  <c r="V111" i="18"/>
  <c r="W111" i="18" s="1"/>
  <c r="AE115" i="28"/>
  <c r="D115" i="28"/>
  <c r="V113" i="18"/>
  <c r="W113" i="18" s="1"/>
  <c r="V114" i="28"/>
  <c r="AE112" i="18"/>
  <c r="V113" i="28"/>
  <c r="AE111" i="18"/>
  <c r="AF111" i="18" s="1"/>
  <c r="AE114" i="28"/>
  <c r="AE113" i="28"/>
  <c r="V115" i="28"/>
  <c r="AE113" i="18"/>
  <c r="AF113" i="18" s="1"/>
  <c r="D114" i="28"/>
  <c r="V112" i="18"/>
  <c r="U120" i="28"/>
  <c r="V122" i="18"/>
  <c r="T124" i="28" s="1"/>
  <c r="X131" i="18"/>
  <c r="V133" i="28" s="1"/>
  <c r="AL116" i="28"/>
  <c r="AD118" i="28"/>
  <c r="D121" i="28"/>
  <c r="V119" i="18"/>
  <c r="AE121" i="28"/>
  <c r="V121" i="28"/>
  <c r="AE119" i="18"/>
  <c r="AM120" i="28"/>
  <c r="AG133" i="18"/>
  <c r="AN133" i="18" s="1"/>
  <c r="AG130" i="18"/>
  <c r="AN130" i="18" s="1"/>
  <c r="AM117" i="28"/>
  <c r="AM119" i="28"/>
  <c r="AD122" i="28"/>
  <c r="AD123" i="28"/>
  <c r="AM122" i="28"/>
  <c r="AG135" i="18"/>
  <c r="AN135" i="18" s="1"/>
  <c r="AM124" i="28"/>
  <c r="AG137" i="18"/>
  <c r="AN137" i="18" s="1"/>
  <c r="AE110" i="18"/>
  <c r="AD6" i="19" s="1"/>
  <c r="V110" i="18"/>
  <c r="F133" i="18" l="1"/>
  <c r="D135" i="28" s="1"/>
  <c r="AN10" i="19"/>
  <c r="S10" i="19"/>
  <c r="W10" i="19" s="1"/>
  <c r="Q12" i="26"/>
  <c r="R12" i="26" s="1"/>
  <c r="AV16" i="26"/>
  <c r="AJ17" i="26"/>
  <c r="AT17" i="26" s="1"/>
  <c r="AU16" i="26"/>
  <c r="AU20" i="26"/>
  <c r="AF8" i="26"/>
  <c r="AE8" i="26"/>
  <c r="T9" i="26"/>
  <c r="AD9" i="26" s="1"/>
  <c r="X135" i="18"/>
  <c r="V137" i="28" s="1"/>
  <c r="U9" i="5"/>
  <c r="V9" i="5" s="1"/>
  <c r="AD9" i="5"/>
  <c r="AE9" i="5" s="1"/>
  <c r="AF110" i="18"/>
  <c r="AD112" i="28" s="1"/>
  <c r="AM9" i="5"/>
  <c r="AN9" i="5" s="1"/>
  <c r="AO110" i="18"/>
  <c r="AM112" i="28" s="1"/>
  <c r="X136" i="18"/>
  <c r="V138" i="28" s="1"/>
  <c r="T112" i="28"/>
  <c r="W110" i="18"/>
  <c r="U112" i="28" s="1"/>
  <c r="U122" i="28"/>
  <c r="AD125" i="28"/>
  <c r="F135" i="18"/>
  <c r="D137" i="28" s="1"/>
  <c r="X138" i="18"/>
  <c r="V140" i="28" s="1"/>
  <c r="AD126" i="28"/>
  <c r="X139" i="18"/>
  <c r="V141" i="28" s="1"/>
  <c r="X133" i="18"/>
  <c r="V135" i="28" s="1"/>
  <c r="AD120" i="28"/>
  <c r="AD124" i="28"/>
  <c r="U126" i="28"/>
  <c r="X137" i="18"/>
  <c r="V139" i="28" s="1"/>
  <c r="AE132" i="28"/>
  <c r="AE137" i="28"/>
  <c r="AE135" i="28"/>
  <c r="AL135" i="28"/>
  <c r="AE140" i="28"/>
  <c r="AE139" i="28"/>
  <c r="AL139" i="28"/>
  <c r="AG132" i="18"/>
  <c r="AN132" i="18" s="1"/>
  <c r="AL112" i="28"/>
  <c r="AC112" i="28"/>
  <c r="F139" i="18"/>
  <c r="D141" i="28" s="1"/>
  <c r="F138" i="18"/>
  <c r="D140" i="28" s="1"/>
  <c r="U125" i="28"/>
  <c r="U117" i="28"/>
  <c r="X129" i="18"/>
  <c r="V131" i="28" s="1"/>
  <c r="AD116" i="28"/>
  <c r="F136" i="18"/>
  <c r="D138" i="28" s="1"/>
  <c r="U123" i="28"/>
  <c r="F130" i="18"/>
  <c r="D132" i="28" s="1"/>
  <c r="AM123" i="28"/>
  <c r="AG136" i="18"/>
  <c r="AN136" i="18" s="1"/>
  <c r="U119" i="28"/>
  <c r="F132" i="18"/>
  <c r="D134" i="28" s="1"/>
  <c r="AD117" i="28"/>
  <c r="X132" i="18"/>
  <c r="V134" i="28" s="1"/>
  <c r="X130" i="18"/>
  <c r="V132" i="28" s="1"/>
  <c r="AL140" i="28"/>
  <c r="AD119" i="28"/>
  <c r="F129" i="18"/>
  <c r="D131" i="28" s="1"/>
  <c r="F131" i="18"/>
  <c r="D133" i="28" s="1"/>
  <c r="U116" i="28"/>
  <c r="AL126" i="28"/>
  <c r="AG139" i="18"/>
  <c r="AN139" i="18" s="1"/>
  <c r="AM126" i="28"/>
  <c r="U118" i="28"/>
  <c r="AG131" i="18"/>
  <c r="AN131" i="18" s="1"/>
  <c r="AM118" i="28"/>
  <c r="AC115" i="28"/>
  <c r="X128" i="18"/>
  <c r="AD115" i="28"/>
  <c r="AC114" i="28"/>
  <c r="AD114" i="28"/>
  <c r="X127" i="18"/>
  <c r="T115" i="28"/>
  <c r="F128" i="18"/>
  <c r="U115" i="28"/>
  <c r="AL113" i="28"/>
  <c r="AG126" i="18"/>
  <c r="AN126" i="18" s="1"/>
  <c r="AO126" i="18" s="1"/>
  <c r="AM113" i="28"/>
  <c r="AL115" i="28"/>
  <c r="AG128" i="18"/>
  <c r="AN128" i="18" s="1"/>
  <c r="AO128" i="18" s="1"/>
  <c r="AM115" i="28"/>
  <c r="AG127" i="18"/>
  <c r="AN127" i="18" s="1"/>
  <c r="AL114" i="28"/>
  <c r="AM114" i="28"/>
  <c r="T114" i="28"/>
  <c r="F127" i="18"/>
  <c r="U114" i="28"/>
  <c r="X126" i="18"/>
  <c r="AC113" i="28"/>
  <c r="AD113" i="28"/>
  <c r="U113" i="28"/>
  <c r="T113" i="28"/>
  <c r="F126" i="18"/>
  <c r="U124" i="28"/>
  <c r="F137" i="18"/>
  <c r="D139" i="28" s="1"/>
  <c r="AM116" i="28"/>
  <c r="AE131" i="18"/>
  <c r="AC133" i="28" s="1"/>
  <c r="AG129" i="18"/>
  <c r="AN129" i="18" s="1"/>
  <c r="T121" i="28"/>
  <c r="U121" i="28"/>
  <c r="F134" i="18"/>
  <c r="AL121" i="28"/>
  <c r="AG134" i="18"/>
  <c r="AN134" i="18" s="1"/>
  <c r="AM121" i="28"/>
  <c r="AC121" i="28"/>
  <c r="X134" i="18"/>
  <c r="AD121" i="28"/>
  <c r="AL137" i="28"/>
  <c r="AL132" i="28"/>
  <c r="AG125" i="18"/>
  <c r="X125" i="18"/>
  <c r="Y7" i="19" s="1"/>
  <c r="F125" i="18"/>
  <c r="V133" i="18" l="1"/>
  <c r="T135" i="28" s="1"/>
  <c r="AI11" i="19"/>
  <c r="AU17" i="26"/>
  <c r="AJ18" i="26"/>
  <c r="AT18" i="26" s="1"/>
  <c r="AV17" i="26"/>
  <c r="F13" i="26"/>
  <c r="F11" i="19"/>
  <c r="AE135" i="18"/>
  <c r="AC137" i="28" s="1"/>
  <c r="AU21" i="26"/>
  <c r="AF9" i="26"/>
  <c r="AE9" i="26"/>
  <c r="T10" i="26"/>
  <c r="AD10" i="26" s="1"/>
  <c r="V127" i="28"/>
  <c r="W10" i="5"/>
  <c r="D127" i="28"/>
  <c r="E10" i="5"/>
  <c r="AN125" i="18"/>
  <c r="AN11" i="19" s="1"/>
  <c r="AF10" i="5"/>
  <c r="AE136" i="18"/>
  <c r="AC138" i="28" s="1"/>
  <c r="AE138" i="18"/>
  <c r="AC140" i="28" s="1"/>
  <c r="V138" i="18"/>
  <c r="T140" i="28" s="1"/>
  <c r="V135" i="18"/>
  <c r="T137" i="28" s="1"/>
  <c r="AE139" i="18"/>
  <c r="AC141" i="28" s="1"/>
  <c r="AE133" i="18"/>
  <c r="AC135" i="28" s="1"/>
  <c r="AE137" i="18"/>
  <c r="AC139" i="28" s="1"/>
  <c r="V139" i="18"/>
  <c r="T141" i="28" s="1"/>
  <c r="AE131" i="28"/>
  <c r="AE127" i="28"/>
  <c r="AE134" i="28"/>
  <c r="AL134" i="28"/>
  <c r="AE138" i="28"/>
  <c r="AL138" i="28"/>
  <c r="AE129" i="18"/>
  <c r="AC131" i="28" s="1"/>
  <c r="V130" i="18"/>
  <c r="T132" i="28" s="1"/>
  <c r="V136" i="18"/>
  <c r="T138" i="28" s="1"/>
  <c r="AE130" i="18"/>
  <c r="AC132" i="28" s="1"/>
  <c r="AM140" i="28"/>
  <c r="V132" i="18"/>
  <c r="T134" i="28" s="1"/>
  <c r="AE132" i="18"/>
  <c r="AC134" i="28" s="1"/>
  <c r="U140" i="28"/>
  <c r="AG153" i="18"/>
  <c r="AN153" i="18" s="1"/>
  <c r="V129" i="18"/>
  <c r="T131" i="28" s="1"/>
  <c r="V131" i="18"/>
  <c r="U133" i="28" s="1"/>
  <c r="AE141" i="28"/>
  <c r="AE133" i="28"/>
  <c r="AD140" i="28"/>
  <c r="U135" i="28"/>
  <c r="V137" i="18"/>
  <c r="T139" i="28" s="1"/>
  <c r="AE129" i="28"/>
  <c r="D130" i="28"/>
  <c r="V128" i="18"/>
  <c r="W128" i="18" s="1"/>
  <c r="V128" i="28"/>
  <c r="AE126" i="18"/>
  <c r="AF126" i="18" s="1"/>
  <c r="AE130" i="28"/>
  <c r="AE127" i="18"/>
  <c r="V129" i="28"/>
  <c r="D129" i="28"/>
  <c r="V127" i="18"/>
  <c r="V126" i="18"/>
  <c r="W126" i="18" s="1"/>
  <c r="D128" i="28"/>
  <c r="AE128" i="28"/>
  <c r="V130" i="28"/>
  <c r="AE128" i="18"/>
  <c r="AF128" i="18" s="1"/>
  <c r="X146" i="18"/>
  <c r="V148" i="28" s="1"/>
  <c r="AD133" i="28"/>
  <c r="AL131" i="28"/>
  <c r="D136" i="28"/>
  <c r="V134" i="18"/>
  <c r="AE136" i="28"/>
  <c r="V136" i="28"/>
  <c r="AE134" i="18"/>
  <c r="AD137" i="28"/>
  <c r="AM135" i="28"/>
  <c r="AG148" i="18"/>
  <c r="AN148" i="18" s="1"/>
  <c r="AD138" i="28"/>
  <c r="AM132" i="28"/>
  <c r="AG145" i="18"/>
  <c r="AN145" i="18" s="1"/>
  <c r="AG152" i="18"/>
  <c r="AN152" i="18" s="1"/>
  <c r="AM139" i="28"/>
  <c r="AG150" i="18"/>
  <c r="AN150" i="18" s="1"/>
  <c r="AM137" i="28"/>
  <c r="U137" i="28"/>
  <c r="AE125" i="18"/>
  <c r="AD7" i="19" s="1"/>
  <c r="V125" i="18"/>
  <c r="F148" i="18" l="1"/>
  <c r="D150" i="28" s="1"/>
  <c r="AJ19" i="26"/>
  <c r="AT19" i="26" s="1"/>
  <c r="AU18" i="26"/>
  <c r="AV18" i="26"/>
  <c r="Q13" i="26"/>
  <c r="R13" i="26" s="1"/>
  <c r="S11" i="19"/>
  <c r="W11" i="19" s="1"/>
  <c r="X150" i="18"/>
  <c r="V152" i="28" s="1"/>
  <c r="AL127" i="28"/>
  <c r="T11" i="26"/>
  <c r="AD11" i="26" s="1"/>
  <c r="AF10" i="26"/>
  <c r="AE10" i="26"/>
  <c r="U10" i="5"/>
  <c r="V10" i="5" s="1"/>
  <c r="AM10" i="5"/>
  <c r="AN10" i="5" s="1"/>
  <c r="AO125" i="18"/>
  <c r="AM127" i="28" s="1"/>
  <c r="AD10" i="5"/>
  <c r="AE10" i="5" s="1"/>
  <c r="AF125" i="18"/>
  <c r="AD127" i="28" s="1"/>
  <c r="X153" i="18"/>
  <c r="V155" i="28" s="1"/>
  <c r="X151" i="18"/>
  <c r="V153" i="28" s="1"/>
  <c r="F153" i="18"/>
  <c r="D155" i="28" s="1"/>
  <c r="F150" i="18"/>
  <c r="D152" i="28" s="1"/>
  <c r="T127" i="28"/>
  <c r="W125" i="18"/>
  <c r="U127" i="28" s="1"/>
  <c r="AC127" i="28"/>
  <c r="AD141" i="28"/>
  <c r="X154" i="18"/>
  <c r="V156" i="28" s="1"/>
  <c r="X148" i="18"/>
  <c r="V150" i="28" s="1"/>
  <c r="AD135" i="28"/>
  <c r="X152" i="18"/>
  <c r="V154" i="28" s="1"/>
  <c r="AD139" i="28"/>
  <c r="U141" i="28"/>
  <c r="F154" i="18"/>
  <c r="D156" i="28" s="1"/>
  <c r="AE152" i="28"/>
  <c r="AE154" i="28"/>
  <c r="AG151" i="18"/>
  <c r="AN151" i="18" s="1"/>
  <c r="AE147" i="28"/>
  <c r="AL147" i="28"/>
  <c r="AE150" i="28"/>
  <c r="AE155" i="28"/>
  <c r="AM134" i="28"/>
  <c r="AG147" i="18"/>
  <c r="AN147" i="18" s="1"/>
  <c r="AM138" i="28"/>
  <c r="X144" i="18"/>
  <c r="V146" i="28" s="1"/>
  <c r="X147" i="18"/>
  <c r="V149" i="28" s="1"/>
  <c r="AD131" i="28"/>
  <c r="F151" i="18"/>
  <c r="D153" i="28" s="1"/>
  <c r="F145" i="18"/>
  <c r="D147" i="28" s="1"/>
  <c r="U138" i="28"/>
  <c r="U132" i="28"/>
  <c r="F147" i="18"/>
  <c r="D149" i="28" s="1"/>
  <c r="X145" i="18"/>
  <c r="V147" i="28" s="1"/>
  <c r="AD132" i="28"/>
  <c r="U134" i="28"/>
  <c r="F152" i="18"/>
  <c r="D154" i="28" s="1"/>
  <c r="AD134" i="28"/>
  <c r="U131" i="28"/>
  <c r="F144" i="18"/>
  <c r="D146" i="28" s="1"/>
  <c r="AL155" i="28"/>
  <c r="T133" i="28"/>
  <c r="F146" i="18"/>
  <c r="AL141" i="28"/>
  <c r="AG154" i="18"/>
  <c r="AN154" i="18" s="1"/>
  <c r="AM141" i="28"/>
  <c r="AL133" i="28"/>
  <c r="AG146" i="18"/>
  <c r="AN146" i="18" s="1"/>
  <c r="AM133" i="28"/>
  <c r="AE146" i="18"/>
  <c r="AC148" i="28" s="1"/>
  <c r="U139" i="28"/>
  <c r="AL130" i="28"/>
  <c r="AM130" i="28"/>
  <c r="AG143" i="18"/>
  <c r="AN143" i="18" s="1"/>
  <c r="AO143" i="18" s="1"/>
  <c r="AL128" i="28"/>
  <c r="AM128" i="28"/>
  <c r="AG141" i="18"/>
  <c r="AN141" i="18" s="1"/>
  <c r="AO141" i="18" s="1"/>
  <c r="X141" i="18"/>
  <c r="AD128" i="28"/>
  <c r="AC128" i="28"/>
  <c r="T128" i="28"/>
  <c r="U128" i="28"/>
  <c r="F141" i="18"/>
  <c r="U129" i="28"/>
  <c r="T129" i="28"/>
  <c r="F142" i="18"/>
  <c r="T130" i="28"/>
  <c r="U130" i="28"/>
  <c r="F143" i="18"/>
  <c r="AC130" i="28"/>
  <c r="X143" i="18"/>
  <c r="AD130" i="28"/>
  <c r="AL129" i="28"/>
  <c r="AM129" i="28"/>
  <c r="AG142" i="18"/>
  <c r="AN142" i="18" s="1"/>
  <c r="AO142" i="18" s="1"/>
  <c r="AC129" i="28"/>
  <c r="AD129" i="28"/>
  <c r="X142" i="18"/>
  <c r="AM131" i="28"/>
  <c r="AG144" i="18"/>
  <c r="AN144" i="18" s="1"/>
  <c r="AO144" i="18" s="1"/>
  <c r="T136" i="28"/>
  <c r="F149" i="18"/>
  <c r="U136" i="28"/>
  <c r="AL136" i="28"/>
  <c r="AM136" i="28"/>
  <c r="AG149" i="18"/>
  <c r="AN149" i="18" s="1"/>
  <c r="AC136" i="28"/>
  <c r="X149" i="18"/>
  <c r="AD136" i="28"/>
  <c r="AL154" i="28"/>
  <c r="AL150" i="28"/>
  <c r="AL152" i="28"/>
  <c r="AG140" i="18"/>
  <c r="X140" i="18"/>
  <c r="Y8" i="19" s="1"/>
  <c r="F140" i="18"/>
  <c r="V148" i="18" l="1"/>
  <c r="T150" i="28" s="1"/>
  <c r="AI12" i="19"/>
  <c r="F12" i="19"/>
  <c r="F14" i="26"/>
  <c r="AU19" i="26"/>
  <c r="AJ20" i="26"/>
  <c r="AT20" i="26" s="1"/>
  <c r="AV19" i="26"/>
  <c r="AE150" i="18"/>
  <c r="AC152" i="28" s="1"/>
  <c r="T12" i="26"/>
  <c r="AD12" i="26" s="1"/>
  <c r="AF11" i="26"/>
  <c r="AE11" i="26"/>
  <c r="AE151" i="18"/>
  <c r="AC153" i="28" s="1"/>
  <c r="AE153" i="18"/>
  <c r="AC155" i="28" s="1"/>
  <c r="D142" i="28"/>
  <c r="E11" i="5"/>
  <c r="W11" i="5"/>
  <c r="AN140" i="18"/>
  <c r="AF11" i="5"/>
  <c r="V142" i="28"/>
  <c r="V153" i="18"/>
  <c r="T155" i="28" s="1"/>
  <c r="V150" i="18"/>
  <c r="T152" i="28" s="1"/>
  <c r="AE154" i="18"/>
  <c r="AC156" i="28" s="1"/>
  <c r="AE148" i="18"/>
  <c r="AC150" i="28" s="1"/>
  <c r="AE152" i="18"/>
  <c r="AC154" i="28" s="1"/>
  <c r="V154" i="18"/>
  <c r="T156" i="28" s="1"/>
  <c r="AE149" i="28"/>
  <c r="AL149" i="28"/>
  <c r="AE153" i="28"/>
  <c r="AL153" i="28"/>
  <c r="AE142" i="28"/>
  <c r="AE146" i="28"/>
  <c r="AE144" i="18"/>
  <c r="AF144" i="18" s="1"/>
  <c r="AE147" i="18"/>
  <c r="AC149" i="28" s="1"/>
  <c r="V147" i="18"/>
  <c r="T149" i="28" s="1"/>
  <c r="V145" i="18"/>
  <c r="T147" i="28" s="1"/>
  <c r="V151" i="18"/>
  <c r="T153" i="28" s="1"/>
  <c r="AE145" i="18"/>
  <c r="AC147" i="28" s="1"/>
  <c r="U155" i="28"/>
  <c r="V144" i="18"/>
  <c r="AG168" i="18"/>
  <c r="AN168" i="18" s="1"/>
  <c r="AM155" i="28"/>
  <c r="V152" i="18"/>
  <c r="T154" i="28" s="1"/>
  <c r="X161" i="18"/>
  <c r="V163" i="28" s="1"/>
  <c r="AD155" i="28"/>
  <c r="U150" i="28"/>
  <c r="D148" i="28"/>
  <c r="V146" i="18"/>
  <c r="AE156" i="28"/>
  <c r="AE148" i="28"/>
  <c r="AD148" i="28"/>
  <c r="AE144" i="28"/>
  <c r="D144" i="28"/>
  <c r="V142" i="18"/>
  <c r="W142" i="18" s="1"/>
  <c r="V143" i="28"/>
  <c r="AE141" i="18"/>
  <c r="AF141" i="18" s="1"/>
  <c r="AE143" i="28"/>
  <c r="V145" i="28"/>
  <c r="AE143" i="18"/>
  <c r="AF143" i="18" s="1"/>
  <c r="V141" i="18"/>
  <c r="W141" i="18" s="1"/>
  <c r="D143" i="28"/>
  <c r="V144" i="28"/>
  <c r="AE142" i="18"/>
  <c r="AF142" i="18" s="1"/>
  <c r="AE145" i="28"/>
  <c r="D145" i="28"/>
  <c r="V143" i="18"/>
  <c r="W143" i="18" s="1"/>
  <c r="AL146" i="28"/>
  <c r="D151" i="28"/>
  <c r="V149" i="18"/>
  <c r="AE151" i="28"/>
  <c r="V151" i="28"/>
  <c r="AE149" i="18"/>
  <c r="AG162" i="18"/>
  <c r="AN162" i="18" s="1"/>
  <c r="AM149" i="28"/>
  <c r="AM154" i="28"/>
  <c r="AG167" i="18"/>
  <c r="AN167" i="18" s="1"/>
  <c r="AM147" i="28"/>
  <c r="AG160" i="18"/>
  <c r="AN160" i="18" s="1"/>
  <c r="AM153" i="28"/>
  <c r="AG166" i="18"/>
  <c r="AN166" i="18" s="1"/>
  <c r="U152" i="28"/>
  <c r="AD152" i="28"/>
  <c r="AM150" i="28"/>
  <c r="AG163" i="18"/>
  <c r="AN163" i="18" s="1"/>
  <c r="AG165" i="18"/>
  <c r="AN165" i="18" s="1"/>
  <c r="AM152" i="28"/>
  <c r="AD153" i="28"/>
  <c r="AE140" i="18"/>
  <c r="AD8" i="19" s="1"/>
  <c r="V140" i="18"/>
  <c r="F163" i="18" l="1"/>
  <c r="D165" i="28" s="1"/>
  <c r="Q14" i="26"/>
  <c r="R14" i="26" s="1"/>
  <c r="S12" i="19"/>
  <c r="W12" i="19" s="1"/>
  <c r="AJ21" i="26"/>
  <c r="AT21" i="26" s="1"/>
  <c r="AV20" i="26"/>
  <c r="AL142" i="28"/>
  <c r="AN12" i="19"/>
  <c r="X165" i="18"/>
  <c r="V167" i="28" s="1"/>
  <c r="AE12" i="26"/>
  <c r="T13" i="26"/>
  <c r="AD13" i="26" s="1"/>
  <c r="AF12" i="26"/>
  <c r="X168" i="18"/>
  <c r="V170" i="28" s="1"/>
  <c r="X166" i="18"/>
  <c r="V168" i="28" s="1"/>
  <c r="U11" i="5"/>
  <c r="V11" i="5" s="1"/>
  <c r="AD11" i="5"/>
  <c r="AE11" i="5" s="1"/>
  <c r="AF140" i="18"/>
  <c r="AD142" i="28" s="1"/>
  <c r="AM11" i="5"/>
  <c r="AN11" i="5" s="1"/>
  <c r="AO140" i="18"/>
  <c r="AM142" i="28" s="1"/>
  <c r="F168" i="18"/>
  <c r="D170" i="28" s="1"/>
  <c r="F165" i="18"/>
  <c r="D167" i="28" s="1"/>
  <c r="T142" i="28"/>
  <c r="W140" i="18"/>
  <c r="U142" i="28" s="1"/>
  <c r="T146" i="28"/>
  <c r="W144" i="18"/>
  <c r="U146" i="28" s="1"/>
  <c r="AC146" i="28"/>
  <c r="AD146" i="28"/>
  <c r="AC142" i="28"/>
  <c r="AD150" i="28"/>
  <c r="AD156" i="28"/>
  <c r="X163" i="18"/>
  <c r="V165" i="28" s="1"/>
  <c r="X169" i="18"/>
  <c r="V171" i="28" s="1"/>
  <c r="AD154" i="28"/>
  <c r="X167" i="18"/>
  <c r="V169" i="28" s="1"/>
  <c r="U156" i="28"/>
  <c r="F169" i="18"/>
  <c r="D171" i="28" s="1"/>
  <c r="AE161" i="18"/>
  <c r="AC163" i="28" s="1"/>
  <c r="X162" i="18"/>
  <c r="V164" i="28" s="1"/>
  <c r="AE169" i="28"/>
  <c r="AE168" i="28"/>
  <c r="AE164" i="28"/>
  <c r="AE170" i="28"/>
  <c r="AL170" i="28"/>
  <c r="AE167" i="28"/>
  <c r="AE165" i="28"/>
  <c r="AE162" i="28"/>
  <c r="AD149" i="28"/>
  <c r="X159" i="18"/>
  <c r="V161" i="28" s="1"/>
  <c r="F162" i="18"/>
  <c r="D164" i="28" s="1"/>
  <c r="U149" i="28"/>
  <c r="F159" i="18"/>
  <c r="D161" i="28" s="1"/>
  <c r="U147" i="28"/>
  <c r="F160" i="18"/>
  <c r="D162" i="28" s="1"/>
  <c r="U153" i="28"/>
  <c r="F166" i="18"/>
  <c r="D168" i="28" s="1"/>
  <c r="AD147" i="28"/>
  <c r="X160" i="18"/>
  <c r="V162" i="28" s="1"/>
  <c r="U154" i="28"/>
  <c r="F167" i="18"/>
  <c r="D169" i="28" s="1"/>
  <c r="AM146" i="28"/>
  <c r="T148" i="28"/>
  <c r="F161" i="18"/>
  <c r="U148" i="28"/>
  <c r="AL156" i="28"/>
  <c r="AG169" i="18"/>
  <c r="AN169" i="18" s="1"/>
  <c r="AM156" i="28"/>
  <c r="AL148" i="28"/>
  <c r="AM148" i="28"/>
  <c r="AG161" i="18"/>
  <c r="AN161" i="18" s="1"/>
  <c r="AL145" i="28"/>
  <c r="AG158" i="18"/>
  <c r="AN158" i="18" s="1"/>
  <c r="AO158" i="18" s="1"/>
  <c r="AM145" i="28"/>
  <c r="AG156" i="18"/>
  <c r="AN156" i="18" s="1"/>
  <c r="AO156" i="18" s="1"/>
  <c r="AL143" i="28"/>
  <c r="AM143" i="28"/>
  <c r="AD144" i="28"/>
  <c r="X157" i="18"/>
  <c r="AC144" i="28"/>
  <c r="AC143" i="28"/>
  <c r="AD143" i="28"/>
  <c r="X156" i="18"/>
  <c r="U144" i="28"/>
  <c r="T144" i="28"/>
  <c r="F157" i="18"/>
  <c r="F156" i="18"/>
  <c r="U143" i="28"/>
  <c r="T143" i="28"/>
  <c r="T145" i="28"/>
  <c r="U145" i="28"/>
  <c r="F158" i="18"/>
  <c r="AC145" i="28"/>
  <c r="X158" i="18"/>
  <c r="AD145" i="28"/>
  <c r="AG157" i="18"/>
  <c r="AN157" i="18" s="1"/>
  <c r="AO157" i="18" s="1"/>
  <c r="AL144" i="28"/>
  <c r="AM144" i="28"/>
  <c r="AG159" i="18"/>
  <c r="AN159" i="18" s="1"/>
  <c r="AO159" i="18" s="1"/>
  <c r="T151" i="28"/>
  <c r="U151" i="28"/>
  <c r="F164" i="18"/>
  <c r="AL151" i="28"/>
  <c r="AM151" i="28"/>
  <c r="AG164" i="18"/>
  <c r="AN164" i="18" s="1"/>
  <c r="AC151" i="28"/>
  <c r="X164" i="18"/>
  <c r="AD151" i="28"/>
  <c r="AL162" i="28"/>
  <c r="AL165" i="28"/>
  <c r="AL164" i="28"/>
  <c r="AL169" i="28"/>
  <c r="AL167" i="28"/>
  <c r="AL168" i="28"/>
  <c r="F155" i="18"/>
  <c r="X155" i="18"/>
  <c r="AG155" i="18"/>
  <c r="V163" i="18" l="1"/>
  <c r="T165" i="28" s="1"/>
  <c r="AI13" i="19"/>
  <c r="F13" i="19"/>
  <c r="F15" i="26"/>
  <c r="AV21" i="26"/>
  <c r="AJ22" i="26"/>
  <c r="AT22" i="26" s="1"/>
  <c r="AE165" i="18"/>
  <c r="AC167" i="28" s="1"/>
  <c r="AE13" i="26"/>
  <c r="T14" i="26"/>
  <c r="AD14" i="26" s="1"/>
  <c r="AF13" i="26"/>
  <c r="AE168" i="18"/>
  <c r="AC170" i="28" s="1"/>
  <c r="AE166" i="18"/>
  <c r="AC168" i="28" s="1"/>
  <c r="V168" i="18"/>
  <c r="T170" i="28" s="1"/>
  <c r="W12" i="5"/>
  <c r="D157" i="28"/>
  <c r="E12" i="5"/>
  <c r="AN155" i="18"/>
  <c r="AN13" i="19" s="1"/>
  <c r="AF12" i="5"/>
  <c r="AE163" i="18"/>
  <c r="AC165" i="28" s="1"/>
  <c r="V165" i="18"/>
  <c r="T167" i="28" s="1"/>
  <c r="AE169" i="18"/>
  <c r="AC171" i="28" s="1"/>
  <c r="AE162" i="18"/>
  <c r="AC164" i="28" s="1"/>
  <c r="AE167" i="18"/>
  <c r="AC169" i="28" s="1"/>
  <c r="X176" i="18"/>
  <c r="V178" i="28" s="1"/>
  <c r="AE159" i="18"/>
  <c r="AF159" i="18" s="1"/>
  <c r="V169" i="18"/>
  <c r="T171" i="28" s="1"/>
  <c r="AD163" i="28"/>
  <c r="AE161" i="28"/>
  <c r="AE157" i="28"/>
  <c r="V157" i="28"/>
  <c r="V159" i="18"/>
  <c r="AD170" i="28"/>
  <c r="AM170" i="28"/>
  <c r="AG183" i="18"/>
  <c r="AN183" i="18" s="1"/>
  <c r="V166" i="18"/>
  <c r="T168" i="28" s="1"/>
  <c r="V162" i="18"/>
  <c r="T164" i="28" s="1"/>
  <c r="V160" i="18"/>
  <c r="T162" i="28" s="1"/>
  <c r="AE160" i="18"/>
  <c r="AC162" i="28" s="1"/>
  <c r="V167" i="18"/>
  <c r="T169" i="28" s="1"/>
  <c r="U170" i="28"/>
  <c r="U165" i="28"/>
  <c r="D163" i="28"/>
  <c r="V161" i="18"/>
  <c r="AE171" i="28"/>
  <c r="AE163" i="28"/>
  <c r="V156" i="18"/>
  <c r="W156" i="18" s="1"/>
  <c r="D158" i="28"/>
  <c r="AE157" i="18"/>
  <c r="AF157" i="18" s="1"/>
  <c r="V159" i="28"/>
  <c r="V160" i="28"/>
  <c r="AE158" i="18"/>
  <c r="AF158" i="18" s="1"/>
  <c r="V157" i="18"/>
  <c r="W157" i="18" s="1"/>
  <c r="D159" i="28"/>
  <c r="D160" i="28"/>
  <c r="V158" i="18"/>
  <c r="W158" i="18" s="1"/>
  <c r="V158" i="28"/>
  <c r="AE156" i="18"/>
  <c r="AF156" i="18" s="1"/>
  <c r="AE158" i="28"/>
  <c r="AE160" i="28"/>
  <c r="AE159" i="28"/>
  <c r="AL161" i="28"/>
  <c r="AD165" i="28"/>
  <c r="D166" i="28"/>
  <c r="V164" i="18"/>
  <c r="AE166" i="28"/>
  <c r="V166" i="28"/>
  <c r="AE164" i="18"/>
  <c r="AM165" i="28"/>
  <c r="AG178" i="18"/>
  <c r="AN178" i="18" s="1"/>
  <c r="AG177" i="18"/>
  <c r="AN177" i="18" s="1"/>
  <c r="AM164" i="28"/>
  <c r="U167" i="28"/>
  <c r="AG180" i="18"/>
  <c r="AN180" i="18" s="1"/>
  <c r="AM167" i="28"/>
  <c r="AG182" i="18"/>
  <c r="AN182" i="18" s="1"/>
  <c r="AM169" i="28"/>
  <c r="AD167" i="28"/>
  <c r="AD171" i="28"/>
  <c r="AD168" i="28"/>
  <c r="AG181" i="18"/>
  <c r="AN181" i="18" s="1"/>
  <c r="AM168" i="28"/>
  <c r="AG175" i="18"/>
  <c r="AN175" i="18" s="1"/>
  <c r="AM162" i="28"/>
  <c r="AE155" i="18"/>
  <c r="AF155" i="18" s="1"/>
  <c r="V155" i="18"/>
  <c r="F178" i="18" l="1"/>
  <c r="D180" i="28" s="1"/>
  <c r="W155" i="18"/>
  <c r="U157" i="28" s="1"/>
  <c r="Q15" i="26"/>
  <c r="R15" i="26" s="1"/>
  <c r="S13" i="19"/>
  <c r="W13" i="19" s="1"/>
  <c r="AV22" i="26"/>
  <c r="AJ23" i="26"/>
  <c r="AT23" i="26" s="1"/>
  <c r="AM12" i="5"/>
  <c r="AN12" i="5" s="1"/>
  <c r="AO155" i="18"/>
  <c r="AM157" i="28" s="1"/>
  <c r="X180" i="18"/>
  <c r="V182" i="28" s="1"/>
  <c r="AF14" i="26"/>
  <c r="AE14" i="26"/>
  <c r="T15" i="26"/>
  <c r="AD15" i="26" s="1"/>
  <c r="X181" i="18"/>
  <c r="V183" i="28" s="1"/>
  <c r="X183" i="18"/>
  <c r="V185" i="28" s="1"/>
  <c r="F183" i="18"/>
  <c r="D185" i="28" s="1"/>
  <c r="AD12" i="5"/>
  <c r="AE12" i="5" s="1"/>
  <c r="T157" i="28"/>
  <c r="U12" i="5"/>
  <c r="V12" i="5" s="1"/>
  <c r="AC157" i="28"/>
  <c r="X184" i="18"/>
  <c r="V186" i="28" s="1"/>
  <c r="X178" i="18"/>
  <c r="V180" i="28" s="1"/>
  <c r="F180" i="18"/>
  <c r="D182" i="28" s="1"/>
  <c r="T161" i="28"/>
  <c r="W159" i="18"/>
  <c r="U161" i="28" s="1"/>
  <c r="AC161" i="28"/>
  <c r="AD161" i="28"/>
  <c r="AE176" i="18"/>
  <c r="AC178" i="28" s="1"/>
  <c r="AD164" i="28"/>
  <c r="X177" i="18"/>
  <c r="V179" i="28" s="1"/>
  <c r="AD169" i="28"/>
  <c r="X182" i="18"/>
  <c r="V184" i="28" s="1"/>
  <c r="X174" i="18"/>
  <c r="V176" i="28" s="1"/>
  <c r="U171" i="28"/>
  <c r="F184" i="18"/>
  <c r="D186" i="28" s="1"/>
  <c r="F174" i="18"/>
  <c r="D176" i="28" s="1"/>
  <c r="U164" i="28"/>
  <c r="U168" i="28"/>
  <c r="AD162" i="28"/>
  <c r="AE177" i="28"/>
  <c r="AE179" i="28"/>
  <c r="AE184" i="28"/>
  <c r="AE180" i="28"/>
  <c r="AL180" i="28"/>
  <c r="AE183" i="28"/>
  <c r="AE182" i="28"/>
  <c r="AE185" i="28"/>
  <c r="AL185" i="28"/>
  <c r="F181" i="18"/>
  <c r="D183" i="28" s="1"/>
  <c r="AL157" i="28"/>
  <c r="F182" i="18"/>
  <c r="D184" i="28" s="1"/>
  <c r="F177" i="18"/>
  <c r="D179" i="28" s="1"/>
  <c r="U162" i="28"/>
  <c r="U169" i="28"/>
  <c r="F175" i="18"/>
  <c r="D177" i="28" s="1"/>
  <c r="X175" i="18"/>
  <c r="V177" i="28" s="1"/>
  <c r="T163" i="28"/>
  <c r="F176" i="18"/>
  <c r="U163" i="28"/>
  <c r="AL171" i="28"/>
  <c r="AG184" i="18"/>
  <c r="AN184" i="18" s="1"/>
  <c r="AM171" i="28"/>
  <c r="AL163" i="28"/>
  <c r="AG176" i="18"/>
  <c r="AN176" i="18" s="1"/>
  <c r="AM163" i="28"/>
  <c r="AL160" i="28"/>
  <c r="AM160" i="28"/>
  <c r="AG173" i="18"/>
  <c r="AN173" i="18" s="1"/>
  <c r="AO173" i="18" s="1"/>
  <c r="T159" i="28"/>
  <c r="F172" i="18"/>
  <c r="U159" i="28"/>
  <c r="AL158" i="28"/>
  <c r="AM158" i="28"/>
  <c r="AG171" i="18"/>
  <c r="AN171" i="18" s="1"/>
  <c r="AO171" i="18" s="1"/>
  <c r="AC160" i="28"/>
  <c r="AD160" i="28"/>
  <c r="X173" i="18"/>
  <c r="AC158" i="28"/>
  <c r="X171" i="18"/>
  <c r="AD158" i="28"/>
  <c r="X172" i="18"/>
  <c r="AD159" i="28"/>
  <c r="AC159" i="28"/>
  <c r="T160" i="28"/>
  <c r="U160" i="28"/>
  <c r="F173" i="18"/>
  <c r="AM159" i="28"/>
  <c r="AG172" i="18"/>
  <c r="AN172" i="18" s="1"/>
  <c r="AO172" i="18" s="1"/>
  <c r="AL159" i="28"/>
  <c r="T158" i="28"/>
  <c r="U158" i="28"/>
  <c r="F171" i="18"/>
  <c r="AM161" i="28"/>
  <c r="AG174" i="18"/>
  <c r="AN174" i="18" s="1"/>
  <c r="T166" i="28"/>
  <c r="F179" i="18"/>
  <c r="U166" i="28"/>
  <c r="AL166" i="28"/>
  <c r="AG179" i="18"/>
  <c r="AN179" i="18" s="1"/>
  <c r="AM166" i="28"/>
  <c r="AC166" i="28"/>
  <c r="X179" i="18"/>
  <c r="AD166" i="28"/>
  <c r="AL179" i="28"/>
  <c r="AL177" i="28"/>
  <c r="AD178" i="28"/>
  <c r="AM185" i="28"/>
  <c r="AL184" i="28"/>
  <c r="AL183" i="28"/>
  <c r="AL182" i="28"/>
  <c r="AG170" i="18"/>
  <c r="F170" i="18"/>
  <c r="AD157" i="28"/>
  <c r="X170" i="18"/>
  <c r="Y10" i="19" s="1"/>
  <c r="V178" i="18" l="1"/>
  <c r="T180" i="28" s="1"/>
  <c r="AV23" i="26"/>
  <c r="AJ24" i="26"/>
  <c r="AT24" i="26" s="1"/>
  <c r="F16" i="26"/>
  <c r="F14" i="19"/>
  <c r="AE180" i="18"/>
  <c r="AC182" i="28" s="1"/>
  <c r="AE15" i="26"/>
  <c r="T16" i="26"/>
  <c r="AD16" i="26" s="1"/>
  <c r="AF15" i="26"/>
  <c r="AE181" i="18"/>
  <c r="AC183" i="28" s="1"/>
  <c r="AE183" i="18"/>
  <c r="AC185" i="28" s="1"/>
  <c r="AE178" i="18"/>
  <c r="AC180" i="28" s="1"/>
  <c r="V183" i="18"/>
  <c r="T185" i="28" s="1"/>
  <c r="AN170" i="18"/>
  <c r="AO170" i="18" s="1"/>
  <c r="AF13" i="5"/>
  <c r="W13" i="5"/>
  <c r="D172" i="28"/>
  <c r="E13" i="5"/>
  <c r="AE184" i="18"/>
  <c r="AC186" i="28" s="1"/>
  <c r="V180" i="18"/>
  <c r="T182" i="28" s="1"/>
  <c r="AE177" i="18"/>
  <c r="AC179" i="28" s="1"/>
  <c r="X191" i="18"/>
  <c r="V193" i="28" s="1"/>
  <c r="U185" i="28"/>
  <c r="AE182" i="18"/>
  <c r="AC184" i="28" s="1"/>
  <c r="V184" i="18"/>
  <c r="T186" i="28" s="1"/>
  <c r="AE174" i="18"/>
  <c r="AC176" i="28" s="1"/>
  <c r="V174" i="18"/>
  <c r="T176" i="28" s="1"/>
  <c r="AD185" i="28"/>
  <c r="V181" i="18"/>
  <c r="T183" i="28" s="1"/>
  <c r="AE176" i="28"/>
  <c r="V172" i="28"/>
  <c r="AE172" i="28"/>
  <c r="AG198" i="18"/>
  <c r="AN198" i="18" s="1"/>
  <c r="V182" i="18"/>
  <c r="T184" i="28" s="1"/>
  <c r="AE175" i="18"/>
  <c r="AC177" i="28" s="1"/>
  <c r="V177" i="18"/>
  <c r="T179" i="28" s="1"/>
  <c r="V175" i="18"/>
  <c r="T177" i="28" s="1"/>
  <c r="U180" i="28"/>
  <c r="D178" i="28"/>
  <c r="V176" i="18"/>
  <c r="AE186" i="28"/>
  <c r="AE178" i="28"/>
  <c r="AD180" i="28"/>
  <c r="AL176" i="28"/>
  <c r="V174" i="28"/>
  <c r="AE172" i="18"/>
  <c r="AF172" i="18" s="1"/>
  <c r="AE174" i="28"/>
  <c r="V173" i="28"/>
  <c r="AE171" i="18"/>
  <c r="AF171" i="18" s="1"/>
  <c r="D175" i="28"/>
  <c r="V173" i="18"/>
  <c r="W173" i="18" s="1"/>
  <c r="D174" i="28"/>
  <c r="V172" i="18"/>
  <c r="W172" i="18" s="1"/>
  <c r="V175" i="28"/>
  <c r="AE173" i="18"/>
  <c r="AF173" i="18" s="1"/>
  <c r="D173" i="28"/>
  <c r="V171" i="18"/>
  <c r="W171" i="18" s="1"/>
  <c r="AE175" i="28"/>
  <c r="AE173" i="28"/>
  <c r="D181" i="28"/>
  <c r="V179" i="18"/>
  <c r="AE181" i="28"/>
  <c r="V181" i="28"/>
  <c r="AE179" i="18"/>
  <c r="AD183" i="28"/>
  <c r="AG190" i="18"/>
  <c r="AN190" i="18" s="1"/>
  <c r="AM177" i="28"/>
  <c r="AD182" i="28"/>
  <c r="U182" i="28"/>
  <c r="AG192" i="18"/>
  <c r="AN192" i="18" s="1"/>
  <c r="AM179" i="28"/>
  <c r="AG195" i="18"/>
  <c r="AN195" i="18" s="1"/>
  <c r="AM182" i="28"/>
  <c r="AM184" i="28"/>
  <c r="AG197" i="18"/>
  <c r="AN197" i="18" s="1"/>
  <c r="AG193" i="18"/>
  <c r="AN193" i="18" s="1"/>
  <c r="AM180" i="28"/>
  <c r="AM183" i="28"/>
  <c r="AG196" i="18"/>
  <c r="AN196" i="18" s="1"/>
  <c r="AD179" i="28"/>
  <c r="AD186" i="28"/>
  <c r="AE170" i="18"/>
  <c r="V170" i="18"/>
  <c r="F193" i="18" l="1"/>
  <c r="D195" i="28" s="1"/>
  <c r="W170" i="18"/>
  <c r="S14" i="19"/>
  <c r="W14" i="19" s="1"/>
  <c r="Q16" i="26"/>
  <c r="R16" i="26" s="1"/>
  <c r="AV24" i="26"/>
  <c r="AJ25" i="26"/>
  <c r="AT25" i="26" s="1"/>
  <c r="X195" i="18"/>
  <c r="V197" i="28" s="1"/>
  <c r="AD10" i="19"/>
  <c r="AF170" i="18"/>
  <c r="AD172" i="28" s="1"/>
  <c r="AM13" i="5"/>
  <c r="AN13" i="5" s="1"/>
  <c r="AE16" i="26"/>
  <c r="AF16" i="26"/>
  <c r="T17" i="26"/>
  <c r="AD17" i="26" s="1"/>
  <c r="X196" i="18"/>
  <c r="V198" i="28" s="1"/>
  <c r="X198" i="18"/>
  <c r="V200" i="28" s="1"/>
  <c r="F198" i="18"/>
  <c r="D200" i="28" s="1"/>
  <c r="X193" i="18"/>
  <c r="V195" i="28" s="1"/>
  <c r="AD13" i="5"/>
  <c r="AE13" i="5" s="1"/>
  <c r="T172" i="28"/>
  <c r="U13" i="5"/>
  <c r="V13" i="5" s="1"/>
  <c r="X199" i="18"/>
  <c r="V201" i="28" s="1"/>
  <c r="F195" i="18"/>
  <c r="D197" i="28" s="1"/>
  <c r="X192" i="18"/>
  <c r="V194" i="28" s="1"/>
  <c r="AE191" i="18"/>
  <c r="AC193" i="28" s="1"/>
  <c r="F199" i="18"/>
  <c r="D201" i="28" s="1"/>
  <c r="X189" i="18"/>
  <c r="V191" i="28" s="1"/>
  <c r="AD176" i="28"/>
  <c r="U186" i="28"/>
  <c r="U176" i="28"/>
  <c r="U177" i="28"/>
  <c r="AD184" i="28"/>
  <c r="F189" i="18"/>
  <c r="D191" i="28" s="1"/>
  <c r="F190" i="18"/>
  <c r="D192" i="28" s="1"/>
  <c r="X197" i="18"/>
  <c r="V199" i="28" s="1"/>
  <c r="U183" i="28"/>
  <c r="F196" i="18"/>
  <c r="D198" i="28" s="1"/>
  <c r="X190" i="18"/>
  <c r="V192" i="28" s="1"/>
  <c r="AD177" i="28"/>
  <c r="AE192" i="28"/>
  <c r="AE200" i="28"/>
  <c r="AL200" i="28"/>
  <c r="AE199" i="28"/>
  <c r="AL199" i="28"/>
  <c r="AE198" i="28"/>
  <c r="AE195" i="28"/>
  <c r="AE197" i="28"/>
  <c r="AE194" i="28"/>
  <c r="AL194" i="28"/>
  <c r="AC172" i="28"/>
  <c r="AL172" i="28"/>
  <c r="F197" i="18"/>
  <c r="D199" i="28" s="1"/>
  <c r="U184" i="28"/>
  <c r="U179" i="28"/>
  <c r="F192" i="18"/>
  <c r="D194" i="28" s="1"/>
  <c r="V193" i="18"/>
  <c r="T195" i="28" s="1"/>
  <c r="T178" i="28"/>
  <c r="F191" i="18"/>
  <c r="U178" i="28"/>
  <c r="AL186" i="28"/>
  <c r="AG199" i="18"/>
  <c r="AN199" i="18" s="1"/>
  <c r="AM186" i="28"/>
  <c r="AL178" i="28"/>
  <c r="AM178" i="28"/>
  <c r="AG191" i="18"/>
  <c r="AN191" i="18" s="1"/>
  <c r="AM176" i="28"/>
  <c r="AG189" i="18"/>
  <c r="AN189" i="18" s="1"/>
  <c r="AL175" i="28"/>
  <c r="AM175" i="28"/>
  <c r="AG188" i="18"/>
  <c r="AN188" i="18" s="1"/>
  <c r="AO188" i="18" s="1"/>
  <c r="T175" i="28"/>
  <c r="U175" i="28"/>
  <c r="F188" i="18"/>
  <c r="T173" i="28"/>
  <c r="F186" i="18"/>
  <c r="U173" i="28"/>
  <c r="AC173" i="28"/>
  <c r="X186" i="18"/>
  <c r="AD173" i="28"/>
  <c r="AC175" i="28"/>
  <c r="X188" i="18"/>
  <c r="AD175" i="28"/>
  <c r="AM174" i="28"/>
  <c r="AL174" i="28"/>
  <c r="AG187" i="18"/>
  <c r="AN187" i="18" s="1"/>
  <c r="AO187" i="18" s="1"/>
  <c r="F187" i="18"/>
  <c r="U174" i="28"/>
  <c r="T174" i="28"/>
  <c r="AC174" i="28"/>
  <c r="X187" i="18"/>
  <c r="AD174" i="28"/>
  <c r="AL173" i="28"/>
  <c r="AM173" i="28"/>
  <c r="AG186" i="18"/>
  <c r="AN186" i="18" s="1"/>
  <c r="AO186" i="18" s="1"/>
  <c r="T181" i="28"/>
  <c r="F194" i="18"/>
  <c r="U181" i="28"/>
  <c r="AL181" i="28"/>
  <c r="AG194" i="18"/>
  <c r="AN194" i="18" s="1"/>
  <c r="AM181" i="28"/>
  <c r="AC181" i="28"/>
  <c r="AD181" i="28"/>
  <c r="X194" i="18"/>
  <c r="AL198" i="28"/>
  <c r="AL195" i="28"/>
  <c r="AL197" i="28"/>
  <c r="AD193" i="28"/>
  <c r="AG213" i="18"/>
  <c r="AN213" i="18" s="1"/>
  <c r="AM200" i="28"/>
  <c r="AL192" i="28"/>
  <c r="AM172" i="28"/>
  <c r="AG185" i="18"/>
  <c r="X185" i="18"/>
  <c r="Y11" i="19" s="1"/>
  <c r="F185" i="18"/>
  <c r="U172" i="28"/>
  <c r="F17" i="26" l="1"/>
  <c r="F15" i="19"/>
  <c r="AJ26" i="26"/>
  <c r="AT26" i="26" s="1"/>
  <c r="AV25" i="26"/>
  <c r="AE195" i="18"/>
  <c r="AC197" i="28" s="1"/>
  <c r="AE17" i="26"/>
  <c r="AF17" i="26"/>
  <c r="T18" i="26"/>
  <c r="AD18" i="26" s="1"/>
  <c r="AE196" i="18"/>
  <c r="AC198" i="28" s="1"/>
  <c r="AE198" i="18"/>
  <c r="AC200" i="28" s="1"/>
  <c r="V198" i="18"/>
  <c r="T200" i="28" s="1"/>
  <c r="AE193" i="18"/>
  <c r="AC195" i="28" s="1"/>
  <c r="AN185" i="18"/>
  <c r="AO185" i="18" s="1"/>
  <c r="AF14" i="5"/>
  <c r="W14" i="5"/>
  <c r="D187" i="28"/>
  <c r="E14" i="5"/>
  <c r="AE199" i="18"/>
  <c r="AC201" i="28" s="1"/>
  <c r="V195" i="18"/>
  <c r="T197" i="28" s="1"/>
  <c r="X206" i="18"/>
  <c r="V208" i="28" s="1"/>
  <c r="AE192" i="18"/>
  <c r="AC194" i="28" s="1"/>
  <c r="AE189" i="18"/>
  <c r="AC191" i="28" s="1"/>
  <c r="AE197" i="18"/>
  <c r="AC199" i="28" s="1"/>
  <c r="V199" i="18"/>
  <c r="T201" i="28" s="1"/>
  <c r="V189" i="18"/>
  <c r="T191" i="28" s="1"/>
  <c r="V190" i="18"/>
  <c r="T192" i="28" s="1"/>
  <c r="U200" i="28"/>
  <c r="V196" i="18"/>
  <c r="T198" i="28" s="1"/>
  <c r="V192" i="18"/>
  <c r="T194" i="28" s="1"/>
  <c r="AD200" i="28"/>
  <c r="AE190" i="18"/>
  <c r="AC192" i="28" s="1"/>
  <c r="AE191" i="28"/>
  <c r="AE215" i="28"/>
  <c r="V197" i="18"/>
  <c r="T199" i="28" s="1"/>
  <c r="V187" i="28"/>
  <c r="AE187" i="28"/>
  <c r="U195" i="28"/>
  <c r="F208" i="18"/>
  <c r="D210" i="28" s="1"/>
  <c r="AL191" i="28"/>
  <c r="D193" i="28"/>
  <c r="V191" i="18"/>
  <c r="AE201" i="28"/>
  <c r="AD195" i="28"/>
  <c r="AE193" i="28"/>
  <c r="V186" i="18"/>
  <c r="W186" i="18" s="1"/>
  <c r="D188" i="28"/>
  <c r="V189" i="28"/>
  <c r="AE187" i="18"/>
  <c r="AF187" i="18" s="1"/>
  <c r="V190" i="28"/>
  <c r="AE188" i="18"/>
  <c r="AF188" i="18" s="1"/>
  <c r="D190" i="28"/>
  <c r="V188" i="18"/>
  <c r="W188" i="18" s="1"/>
  <c r="AE188" i="28"/>
  <c r="D189" i="28"/>
  <c r="V187" i="18"/>
  <c r="W187" i="18" s="1"/>
  <c r="V188" i="28"/>
  <c r="AE186" i="18"/>
  <c r="AF186" i="18" s="1"/>
  <c r="AE190" i="28"/>
  <c r="AE189" i="28"/>
  <c r="D196" i="28"/>
  <c r="V194" i="18"/>
  <c r="AE196" i="28"/>
  <c r="V196" i="28"/>
  <c r="AE194" i="18"/>
  <c r="AD201" i="28"/>
  <c r="U197" i="28"/>
  <c r="AD198" i="28"/>
  <c r="AG207" i="18"/>
  <c r="AN207" i="18" s="1"/>
  <c r="AM194" i="28"/>
  <c r="AD199" i="28"/>
  <c r="AM199" i="28"/>
  <c r="AG212" i="18"/>
  <c r="AN212" i="18" s="1"/>
  <c r="AD194" i="28"/>
  <c r="AG208" i="18"/>
  <c r="AN208" i="18" s="1"/>
  <c r="AM195" i="28"/>
  <c r="AG211" i="18"/>
  <c r="AN211" i="18" s="1"/>
  <c r="AM198" i="28"/>
  <c r="AL215" i="28"/>
  <c r="AG210" i="18"/>
  <c r="AN210" i="18" s="1"/>
  <c r="AM197" i="28"/>
  <c r="AG205" i="18"/>
  <c r="AN205" i="18" s="1"/>
  <c r="AM192" i="28"/>
  <c r="AD191" i="28"/>
  <c r="AD197" i="28"/>
  <c r="V185" i="18"/>
  <c r="AE185" i="18"/>
  <c r="AV26" i="26" l="1"/>
  <c r="AJ27" i="26"/>
  <c r="AT27" i="26" s="1"/>
  <c r="W185" i="18"/>
  <c r="U187" i="28" s="1"/>
  <c r="S15" i="19"/>
  <c r="W15" i="19" s="1"/>
  <c r="Q17" i="26"/>
  <c r="R17" i="26" s="1"/>
  <c r="AD11" i="19"/>
  <c r="AF185" i="18"/>
  <c r="AD187" i="28" s="1"/>
  <c r="X210" i="18"/>
  <c r="V212" i="28" s="1"/>
  <c r="X211" i="18"/>
  <c r="V213" i="28" s="1"/>
  <c r="AM14" i="5"/>
  <c r="AN14" i="5" s="1"/>
  <c r="X213" i="18"/>
  <c r="V215" i="28" s="1"/>
  <c r="AE18" i="26"/>
  <c r="T19" i="26"/>
  <c r="AD19" i="26" s="1"/>
  <c r="AF18" i="26"/>
  <c r="F213" i="18"/>
  <c r="D215" i="28" s="1"/>
  <c r="X208" i="18"/>
  <c r="V210" i="28" s="1"/>
  <c r="AL187" i="28"/>
  <c r="AD14" i="5"/>
  <c r="AE14" i="5" s="1"/>
  <c r="T187" i="28"/>
  <c r="U14" i="5"/>
  <c r="V14" i="5" s="1"/>
  <c r="X214" i="18"/>
  <c r="V216" i="28" s="1"/>
  <c r="F210" i="18"/>
  <c r="D212" i="28" s="1"/>
  <c r="X207" i="18"/>
  <c r="V209" i="28" s="1"/>
  <c r="X204" i="18"/>
  <c r="V206" i="28" s="1"/>
  <c r="AE206" i="18"/>
  <c r="AC208" i="28" s="1"/>
  <c r="X212" i="18"/>
  <c r="V214" i="28" s="1"/>
  <c r="F214" i="18"/>
  <c r="D216" i="28" s="1"/>
  <c r="U201" i="28"/>
  <c r="F205" i="18"/>
  <c r="D207" i="28" s="1"/>
  <c r="U198" i="28"/>
  <c r="U191" i="28"/>
  <c r="F204" i="18"/>
  <c r="D206" i="28" s="1"/>
  <c r="U192" i="28"/>
  <c r="F211" i="18"/>
  <c r="D213" i="28" s="1"/>
  <c r="X205" i="18"/>
  <c r="V207" i="28" s="1"/>
  <c r="AD192" i="28"/>
  <c r="F207" i="18"/>
  <c r="D209" i="28" s="1"/>
  <c r="U194" i="28"/>
  <c r="F212" i="18"/>
  <c r="D214" i="28" s="1"/>
  <c r="U199" i="28"/>
  <c r="AE207" i="28"/>
  <c r="AE209" i="28"/>
  <c r="AE212" i="28"/>
  <c r="AE210" i="28"/>
  <c r="AE214" i="28"/>
  <c r="AE213" i="28"/>
  <c r="AC187" i="28"/>
  <c r="V208" i="18"/>
  <c r="T210" i="28" s="1"/>
  <c r="AM191" i="28"/>
  <c r="AG204" i="18"/>
  <c r="AN204" i="18" s="1"/>
  <c r="T193" i="28"/>
  <c r="U193" i="28"/>
  <c r="F206" i="18"/>
  <c r="AL201" i="28"/>
  <c r="AM201" i="28"/>
  <c r="AG214" i="18"/>
  <c r="AN214" i="18" s="1"/>
  <c r="AL193" i="28"/>
  <c r="AG206" i="18"/>
  <c r="AN206" i="18" s="1"/>
  <c r="AM193" i="28"/>
  <c r="AL190" i="28"/>
  <c r="AG203" i="18"/>
  <c r="AN203" i="18" s="1"/>
  <c r="AO203" i="18" s="1"/>
  <c r="AM190" i="28"/>
  <c r="T190" i="28"/>
  <c r="F203" i="18"/>
  <c r="U190" i="28"/>
  <c r="AC188" i="28"/>
  <c r="AD188" i="28"/>
  <c r="X201" i="18"/>
  <c r="AC190" i="28"/>
  <c r="X203" i="18"/>
  <c r="AD190" i="28"/>
  <c r="T189" i="28"/>
  <c r="U189" i="28"/>
  <c r="F202" i="18"/>
  <c r="AC189" i="28"/>
  <c r="X202" i="18"/>
  <c r="AD189" i="28"/>
  <c r="AM189" i="28"/>
  <c r="AG202" i="18"/>
  <c r="AN202" i="18" s="1"/>
  <c r="AO202" i="18" s="1"/>
  <c r="AL189" i="28"/>
  <c r="AL188" i="28"/>
  <c r="AM188" i="28"/>
  <c r="AG201" i="18"/>
  <c r="AN201" i="18" s="1"/>
  <c r="AO201" i="18" s="1"/>
  <c r="F201" i="18"/>
  <c r="T188" i="28"/>
  <c r="U188" i="28"/>
  <c r="T196" i="28"/>
  <c r="U196" i="28"/>
  <c r="F209" i="18"/>
  <c r="AL196" i="28"/>
  <c r="AM196" i="28"/>
  <c r="AG209" i="18"/>
  <c r="AN209" i="18" s="1"/>
  <c r="AC196" i="28"/>
  <c r="AD196" i="28"/>
  <c r="X209" i="18"/>
  <c r="AL207" i="28"/>
  <c r="AM215" i="28"/>
  <c r="AG228" i="18"/>
  <c r="AN228" i="18" s="1"/>
  <c r="AL213" i="28"/>
  <c r="AL212" i="28"/>
  <c r="AL209" i="28"/>
  <c r="AL214" i="28"/>
  <c r="AL210" i="28"/>
  <c r="AD208" i="28"/>
  <c r="F200" i="18"/>
  <c r="AG200" i="18"/>
  <c r="AM187" i="28"/>
  <c r="X200" i="18"/>
  <c r="Y12" i="19" s="1"/>
  <c r="AE210" i="18" l="1"/>
  <c r="AC212" i="28" s="1"/>
  <c r="AI16" i="19"/>
  <c r="F16" i="19"/>
  <c r="F18" i="26"/>
  <c r="AV27" i="26"/>
  <c r="AJ28" i="26"/>
  <c r="AT28" i="26" s="1"/>
  <c r="AE211" i="18"/>
  <c r="AC213" i="28" s="1"/>
  <c r="AE213" i="18"/>
  <c r="AC215" i="28" s="1"/>
  <c r="AE19" i="26"/>
  <c r="AF19" i="26"/>
  <c r="T20" i="26"/>
  <c r="AD20" i="26" s="1"/>
  <c r="V213" i="18"/>
  <c r="T215" i="28" s="1"/>
  <c r="AE208" i="18"/>
  <c r="AC210" i="28" s="1"/>
  <c r="AE207" i="18"/>
  <c r="AC209" i="28" s="1"/>
  <c r="AE214" i="18"/>
  <c r="AC216" i="28" s="1"/>
  <c r="W15" i="5"/>
  <c r="AN200" i="18"/>
  <c r="AN16" i="19" s="1"/>
  <c r="AF15" i="5"/>
  <c r="D202" i="28"/>
  <c r="E15" i="5"/>
  <c r="V210" i="18"/>
  <c r="T212" i="28" s="1"/>
  <c r="X221" i="18"/>
  <c r="V223" i="28" s="1"/>
  <c r="AE204" i="18"/>
  <c r="AC206" i="28" s="1"/>
  <c r="AE212" i="18"/>
  <c r="AC214" i="28" s="1"/>
  <c r="V214" i="18"/>
  <c r="T216" i="28" s="1"/>
  <c r="V205" i="18"/>
  <c r="T207" i="28" s="1"/>
  <c r="U216" i="28"/>
  <c r="V204" i="18"/>
  <c r="T206" i="28" s="1"/>
  <c r="V211" i="18"/>
  <c r="T213" i="28" s="1"/>
  <c r="AE205" i="18"/>
  <c r="AC207" i="28" s="1"/>
  <c r="V207" i="18"/>
  <c r="T209" i="28" s="1"/>
  <c r="U215" i="28"/>
  <c r="AD215" i="28"/>
  <c r="V212" i="18"/>
  <c r="T214" i="28" s="1"/>
  <c r="AE230" i="28"/>
  <c r="AE206" i="28"/>
  <c r="AL206" i="28"/>
  <c r="V202" i="28"/>
  <c r="AE202" i="28"/>
  <c r="U210" i="28"/>
  <c r="F223" i="18"/>
  <c r="D225" i="28" s="1"/>
  <c r="AD210" i="28"/>
  <c r="D208" i="28"/>
  <c r="V206" i="18"/>
  <c r="AE216" i="28"/>
  <c r="AE208" i="28"/>
  <c r="AE203" i="28"/>
  <c r="D204" i="28"/>
  <c r="V202" i="18"/>
  <c r="W202" i="18" s="1"/>
  <c r="D205" i="28"/>
  <c r="V203" i="18"/>
  <c r="W203" i="18" s="1"/>
  <c r="AE204" i="28"/>
  <c r="V205" i="28"/>
  <c r="AE203" i="18"/>
  <c r="AF203" i="18" s="1"/>
  <c r="AE205" i="28"/>
  <c r="V201" i="18"/>
  <c r="W201" i="18" s="1"/>
  <c r="D203" i="28"/>
  <c r="V204" i="28"/>
  <c r="AE202" i="18"/>
  <c r="AF202" i="18" s="1"/>
  <c r="V203" i="28"/>
  <c r="AE201" i="18"/>
  <c r="AF201" i="18" s="1"/>
  <c r="D211" i="28"/>
  <c r="V209" i="18"/>
  <c r="AE211" i="28"/>
  <c r="V211" i="28"/>
  <c r="AE209" i="18"/>
  <c r="AM213" i="28"/>
  <c r="AG226" i="18"/>
  <c r="AN226" i="18" s="1"/>
  <c r="AD213" i="28"/>
  <c r="AG225" i="18"/>
  <c r="AN225" i="18" s="1"/>
  <c r="AM212" i="28"/>
  <c r="AG223" i="18"/>
  <c r="AN223" i="18" s="1"/>
  <c r="AM210" i="28"/>
  <c r="AD216" i="28"/>
  <c r="AD209" i="28"/>
  <c r="AM214" i="28"/>
  <c r="AG227" i="18"/>
  <c r="AN227" i="18" s="1"/>
  <c r="AD214" i="28"/>
  <c r="AL230" i="28"/>
  <c r="U212" i="28"/>
  <c r="AD206" i="28"/>
  <c r="AM209" i="28"/>
  <c r="AG222" i="18"/>
  <c r="AN222" i="18" s="1"/>
  <c r="AD212" i="28"/>
  <c r="AM207" i="28"/>
  <c r="AG220" i="18"/>
  <c r="AN220" i="18" s="1"/>
  <c r="V200" i="18"/>
  <c r="AE200" i="18"/>
  <c r="X225" i="18" l="1"/>
  <c r="V227" i="28" s="1"/>
  <c r="W200" i="18"/>
  <c r="U202" i="28" s="1"/>
  <c r="Q18" i="26"/>
  <c r="R18" i="26" s="1"/>
  <c r="S16" i="19"/>
  <c r="W16" i="19" s="1"/>
  <c r="AJ29" i="26"/>
  <c r="AT29" i="26" s="1"/>
  <c r="AV28" i="26"/>
  <c r="AM15" i="5"/>
  <c r="AN15" i="5" s="1"/>
  <c r="AO200" i="18"/>
  <c r="AM202" i="28" s="1"/>
  <c r="AD12" i="19"/>
  <c r="AF200" i="18"/>
  <c r="AD202" i="28" s="1"/>
  <c r="X226" i="18"/>
  <c r="V228" i="28" s="1"/>
  <c r="X228" i="18"/>
  <c r="V230" i="28" s="1"/>
  <c r="AE20" i="26"/>
  <c r="T21" i="26"/>
  <c r="AD21" i="26" s="1"/>
  <c r="AF20" i="26"/>
  <c r="X223" i="18"/>
  <c r="V225" i="28" s="1"/>
  <c r="F228" i="18"/>
  <c r="D230" i="28" s="1"/>
  <c r="X222" i="18"/>
  <c r="V224" i="28" s="1"/>
  <c r="AD15" i="5"/>
  <c r="AE15" i="5" s="1"/>
  <c r="X229" i="18"/>
  <c r="V231" i="28" s="1"/>
  <c r="T202" i="28"/>
  <c r="U15" i="5"/>
  <c r="V15" i="5" s="1"/>
  <c r="F225" i="18"/>
  <c r="D227" i="28" s="1"/>
  <c r="AE221" i="18"/>
  <c r="AC223" i="28" s="1"/>
  <c r="X219" i="18"/>
  <c r="V221" i="28" s="1"/>
  <c r="X227" i="18"/>
  <c r="V229" i="28" s="1"/>
  <c r="F220" i="18"/>
  <c r="D222" i="28" s="1"/>
  <c r="U207" i="28"/>
  <c r="F229" i="18"/>
  <c r="D231" i="28" s="1"/>
  <c r="F222" i="18"/>
  <c r="D224" i="28" s="1"/>
  <c r="X220" i="18"/>
  <c r="V222" i="28" s="1"/>
  <c r="F219" i="18"/>
  <c r="D221" i="28" s="1"/>
  <c r="U206" i="28"/>
  <c r="U209" i="28"/>
  <c r="U213" i="28"/>
  <c r="F226" i="18"/>
  <c r="D228" i="28" s="1"/>
  <c r="AD207" i="28"/>
  <c r="F227" i="18"/>
  <c r="D229" i="28" s="1"/>
  <c r="U214" i="28"/>
  <c r="AE229" i="28"/>
  <c r="AE225" i="28"/>
  <c r="AE222" i="28"/>
  <c r="AE227" i="28"/>
  <c r="AE228" i="28"/>
  <c r="AE224" i="28"/>
  <c r="AL224" i="28"/>
  <c r="AC202" i="28"/>
  <c r="AL202" i="28"/>
  <c r="AG219" i="18"/>
  <c r="AN219" i="18" s="1"/>
  <c r="V223" i="18"/>
  <c r="T225" i="28" s="1"/>
  <c r="AM206" i="28"/>
  <c r="T208" i="28"/>
  <c r="U208" i="28"/>
  <c r="F221" i="18"/>
  <c r="AL216" i="28"/>
  <c r="AG229" i="18"/>
  <c r="AN229" i="18" s="1"/>
  <c r="AM216" i="28"/>
  <c r="AL208" i="28"/>
  <c r="AG221" i="18"/>
  <c r="AN221" i="18" s="1"/>
  <c r="AM208" i="28"/>
  <c r="AD204" i="28"/>
  <c r="AC204" i="28"/>
  <c r="X217" i="18"/>
  <c r="AL204" i="28"/>
  <c r="AG217" i="18"/>
  <c r="AN217" i="18" s="1"/>
  <c r="AO217" i="18" s="1"/>
  <c r="AM204" i="28"/>
  <c r="T205" i="28"/>
  <c r="U205" i="28"/>
  <c r="F218" i="18"/>
  <c r="U203" i="28"/>
  <c r="T203" i="28"/>
  <c r="F216" i="18"/>
  <c r="AL205" i="28"/>
  <c r="AM205" i="28"/>
  <c r="AG218" i="18"/>
  <c r="AN218" i="18" s="1"/>
  <c r="AO218" i="18" s="1"/>
  <c r="T204" i="28"/>
  <c r="U204" i="28"/>
  <c r="F217" i="18"/>
  <c r="X216" i="18"/>
  <c r="AC203" i="28"/>
  <c r="AD203" i="28"/>
  <c r="AC205" i="28"/>
  <c r="X218" i="18"/>
  <c r="AD205" i="28"/>
  <c r="AL203" i="28"/>
  <c r="AM203" i="28"/>
  <c r="AG216" i="18"/>
  <c r="AN216" i="18" s="1"/>
  <c r="AO216" i="18" s="1"/>
  <c r="T211" i="28"/>
  <c r="U211" i="28"/>
  <c r="F224" i="18"/>
  <c r="AL211" i="28"/>
  <c r="AG224" i="18"/>
  <c r="AN224" i="18" s="1"/>
  <c r="AM211" i="28"/>
  <c r="AC211" i="28"/>
  <c r="X224" i="18"/>
  <c r="AD211" i="28"/>
  <c r="AM230" i="28"/>
  <c r="AG243" i="18"/>
  <c r="AN243" i="18" s="1"/>
  <c r="AE225" i="18"/>
  <c r="AC227" i="28" s="1"/>
  <c r="AL228" i="28"/>
  <c r="AL225" i="28"/>
  <c r="AD223" i="28"/>
  <c r="AL222" i="28"/>
  <c r="AL229" i="28"/>
  <c r="AL227" i="28"/>
  <c r="AG215" i="18"/>
  <c r="X215" i="18"/>
  <c r="Y13" i="19" s="1"/>
  <c r="F215" i="18"/>
  <c r="AV29" i="26" l="1"/>
  <c r="AJ30" i="26"/>
  <c r="AT30" i="26" s="1"/>
  <c r="F17" i="19"/>
  <c r="F19" i="26"/>
  <c r="AI17" i="19"/>
  <c r="AE226" i="18"/>
  <c r="AC228" i="28" s="1"/>
  <c r="AE223" i="18"/>
  <c r="AC225" i="28" s="1"/>
  <c r="AE228" i="18"/>
  <c r="AC230" i="28" s="1"/>
  <c r="AE21" i="26"/>
  <c r="T22" i="26"/>
  <c r="AD22" i="26" s="1"/>
  <c r="AF21" i="26"/>
  <c r="V228" i="18"/>
  <c r="T230" i="28" s="1"/>
  <c r="AE222" i="18"/>
  <c r="AC224" i="28" s="1"/>
  <c r="AE229" i="18"/>
  <c r="AC231" i="28" s="1"/>
  <c r="V225" i="18"/>
  <c r="T227" i="28" s="1"/>
  <c r="W16" i="5"/>
  <c r="AN215" i="18"/>
  <c r="AF16" i="5"/>
  <c r="D217" i="28"/>
  <c r="E16" i="5"/>
  <c r="AE227" i="18"/>
  <c r="AC229" i="28" s="1"/>
  <c r="X236" i="18"/>
  <c r="V238" i="28" s="1"/>
  <c r="AE219" i="18"/>
  <c r="AC221" i="28" s="1"/>
  <c r="V222" i="18"/>
  <c r="T224" i="28" s="1"/>
  <c r="V220" i="18"/>
  <c r="V229" i="18"/>
  <c r="T231" i="28" s="1"/>
  <c r="U231" i="28"/>
  <c r="U230" i="28"/>
  <c r="AE220" i="18"/>
  <c r="AC222" i="28" s="1"/>
  <c r="V219" i="18"/>
  <c r="V226" i="18"/>
  <c r="T228" i="28" s="1"/>
  <c r="V227" i="18"/>
  <c r="T229" i="28" s="1"/>
  <c r="AD230" i="28"/>
  <c r="AE245" i="28"/>
  <c r="AE221" i="28"/>
  <c r="AL221" i="28"/>
  <c r="V217" i="28"/>
  <c r="AE217" i="28"/>
  <c r="U225" i="28"/>
  <c r="F238" i="18"/>
  <c r="D240" i="28" s="1"/>
  <c r="AD225" i="28"/>
  <c r="D223" i="28"/>
  <c r="V221" i="18"/>
  <c r="AE231" i="28"/>
  <c r="AE223" i="28"/>
  <c r="V220" i="28"/>
  <c r="AE218" i="18"/>
  <c r="AF218" i="18" s="1"/>
  <c r="AE220" i="28"/>
  <c r="AE219" i="28"/>
  <c r="D218" i="28"/>
  <c r="V216" i="18"/>
  <c r="AE218" i="28"/>
  <c r="V218" i="28"/>
  <c r="AE216" i="18"/>
  <c r="AF216" i="18" s="1"/>
  <c r="V219" i="28"/>
  <c r="AE217" i="18"/>
  <c r="AF217" i="18" s="1"/>
  <c r="D219" i="28"/>
  <c r="V217" i="18"/>
  <c r="D220" i="28"/>
  <c r="V218" i="18"/>
  <c r="D226" i="28"/>
  <c r="V224" i="18"/>
  <c r="AE226" i="28"/>
  <c r="V226" i="28"/>
  <c r="AE224" i="18"/>
  <c r="AD224" i="28"/>
  <c r="AD231" i="28"/>
  <c r="AG235" i="18"/>
  <c r="AN235" i="18" s="1"/>
  <c r="AM222" i="28"/>
  <c r="AD229" i="28"/>
  <c r="AD221" i="28"/>
  <c r="AM227" i="28"/>
  <c r="AG240" i="18"/>
  <c r="AN240" i="18" s="1"/>
  <c r="AG241" i="18"/>
  <c r="AN241" i="18" s="1"/>
  <c r="AM228" i="28"/>
  <c r="AD228" i="28"/>
  <c r="AG238" i="18"/>
  <c r="AN238" i="18" s="1"/>
  <c r="AM225" i="28"/>
  <c r="AG237" i="18"/>
  <c r="AN237" i="18" s="1"/>
  <c r="AM224" i="28"/>
  <c r="AG242" i="18"/>
  <c r="AN242" i="18" s="1"/>
  <c r="AM229" i="28"/>
  <c r="U227" i="28"/>
  <c r="AL245" i="28"/>
  <c r="U222" i="28"/>
  <c r="U224" i="28"/>
  <c r="X240" i="18"/>
  <c r="V242" i="28" s="1"/>
  <c r="AD227" i="28"/>
  <c r="V215" i="18"/>
  <c r="AE215" i="18"/>
  <c r="AV30" i="26" l="1"/>
  <c r="AJ31" i="26"/>
  <c r="AT31" i="26" s="1"/>
  <c r="AV31" i="26" s="1"/>
  <c r="W218" i="18"/>
  <c r="AA15" i="20"/>
  <c r="AB15" i="20" s="1"/>
  <c r="AE15" i="20" s="1"/>
  <c r="W216" i="18"/>
  <c r="U218" i="28" s="1"/>
  <c r="AA13" i="20"/>
  <c r="AB13" i="20" s="1"/>
  <c r="AE13" i="20" s="1"/>
  <c r="W217" i="18"/>
  <c r="AA14" i="20"/>
  <c r="AB14" i="20" s="1"/>
  <c r="AE14" i="20" s="1"/>
  <c r="W215" i="18"/>
  <c r="U217" i="28" s="1"/>
  <c r="AA12" i="20"/>
  <c r="S17" i="19"/>
  <c r="W17" i="19" s="1"/>
  <c r="Q19" i="26"/>
  <c r="R19" i="26" s="1"/>
  <c r="T222" i="28"/>
  <c r="AA20" i="20"/>
  <c r="AB20" i="20" s="1"/>
  <c r="AE20" i="20" s="1"/>
  <c r="AA21" i="20"/>
  <c r="AB21" i="20" s="1"/>
  <c r="AE21" i="20" s="1"/>
  <c r="AA17" i="20"/>
  <c r="AB17" i="20" s="1"/>
  <c r="AE17" i="20" s="1"/>
  <c r="AA22" i="20"/>
  <c r="AB22" i="20" s="1"/>
  <c r="AE22" i="20" s="1"/>
  <c r="AA23" i="20"/>
  <c r="AB23" i="20" s="1"/>
  <c r="AE23" i="20" s="1"/>
  <c r="AA24" i="20"/>
  <c r="AB24" i="20" s="1"/>
  <c r="AE24" i="20" s="1"/>
  <c r="AA18" i="20"/>
  <c r="AB18" i="20" s="1"/>
  <c r="AE18" i="20" s="1"/>
  <c r="AA26" i="20"/>
  <c r="AB26" i="20" s="1"/>
  <c r="AE26" i="20" s="1"/>
  <c r="AA19" i="20"/>
  <c r="AB19" i="20" s="1"/>
  <c r="AE19" i="20" s="1"/>
  <c r="AA25" i="20"/>
  <c r="AB25" i="20" s="1"/>
  <c r="AE25" i="20" s="1"/>
  <c r="AO215" i="18"/>
  <c r="AM217" i="28" s="1"/>
  <c r="AN17" i="19"/>
  <c r="T221" i="28"/>
  <c r="AA16" i="20"/>
  <c r="AB16" i="20" s="1"/>
  <c r="AE16" i="20" s="1"/>
  <c r="AD13" i="19"/>
  <c r="AF215" i="18"/>
  <c r="AD217" i="28" s="1"/>
  <c r="X241" i="18"/>
  <c r="V243" i="28" s="1"/>
  <c r="X238" i="18"/>
  <c r="V240" i="28" s="1"/>
  <c r="X243" i="18"/>
  <c r="V245" i="28" s="1"/>
  <c r="AM16" i="5"/>
  <c r="AN16" i="5" s="1"/>
  <c r="AE22" i="26"/>
  <c r="T23" i="26"/>
  <c r="AD23" i="26" s="1"/>
  <c r="AF22" i="26"/>
  <c r="F243" i="18"/>
  <c r="D245" i="28" s="1"/>
  <c r="X237" i="18"/>
  <c r="V239" i="28" s="1"/>
  <c r="X234" i="18"/>
  <c r="V236" i="28" s="1"/>
  <c r="F240" i="18"/>
  <c r="D242" i="28" s="1"/>
  <c r="X244" i="18"/>
  <c r="V246" i="28" s="1"/>
  <c r="AD16" i="5"/>
  <c r="AE16" i="5" s="1"/>
  <c r="T217" i="28"/>
  <c r="U16" i="5"/>
  <c r="V16" i="5" s="1"/>
  <c r="X242" i="18"/>
  <c r="V244" i="28" s="1"/>
  <c r="F235" i="18"/>
  <c r="D237" i="28" s="1"/>
  <c r="AE236" i="18"/>
  <c r="AC238" i="28" s="1"/>
  <c r="F237" i="18"/>
  <c r="D239" i="28" s="1"/>
  <c r="F244" i="18"/>
  <c r="F241" i="18"/>
  <c r="D243" i="28" s="1"/>
  <c r="AD222" i="28"/>
  <c r="X235" i="18"/>
  <c r="V237" i="28" s="1"/>
  <c r="U221" i="28"/>
  <c r="F234" i="18"/>
  <c r="D236" i="28" s="1"/>
  <c r="U228" i="28"/>
  <c r="F242" i="18"/>
  <c r="D244" i="28" s="1"/>
  <c r="U229" i="28"/>
  <c r="V238" i="18"/>
  <c r="T240" i="28" s="1"/>
  <c r="AE244" i="28"/>
  <c r="AE243" i="28"/>
  <c r="AE239" i="28"/>
  <c r="AE242" i="28"/>
  <c r="AL242" i="28"/>
  <c r="AE237" i="28"/>
  <c r="AE240" i="28"/>
  <c r="AC217" i="28"/>
  <c r="AL217" i="28"/>
  <c r="AG234" i="18"/>
  <c r="AN234" i="18" s="1"/>
  <c r="AM221" i="28"/>
  <c r="T223" i="28"/>
  <c r="F236" i="18"/>
  <c r="U223" i="28"/>
  <c r="AL231" i="28"/>
  <c r="AM231" i="28"/>
  <c r="AG244" i="18"/>
  <c r="AN244" i="18" s="1"/>
  <c r="AL223" i="28"/>
  <c r="AG236" i="18"/>
  <c r="AN236" i="18" s="1"/>
  <c r="AM223" i="28"/>
  <c r="U219" i="28"/>
  <c r="T219" i="28"/>
  <c r="F232" i="18"/>
  <c r="F231" i="18"/>
  <c r="T218" i="28"/>
  <c r="AD219" i="28"/>
  <c r="AC219" i="28"/>
  <c r="X232" i="18"/>
  <c r="AL219" i="28"/>
  <c r="AG232" i="18"/>
  <c r="AN232" i="18" s="1"/>
  <c r="AM219" i="28"/>
  <c r="AC218" i="28"/>
  <c r="AD218" i="28"/>
  <c r="X231" i="18"/>
  <c r="AL220" i="28"/>
  <c r="AG233" i="18"/>
  <c r="AN233" i="18" s="1"/>
  <c r="AM220" i="28"/>
  <c r="T220" i="28"/>
  <c r="U220" i="28"/>
  <c r="F233" i="18"/>
  <c r="AL218" i="28"/>
  <c r="AM218" i="28"/>
  <c r="AG231" i="18"/>
  <c r="AN231" i="18" s="1"/>
  <c r="AC220" i="28"/>
  <c r="AD220" i="28"/>
  <c r="X233" i="18"/>
  <c r="T226" i="28"/>
  <c r="U226" i="28"/>
  <c r="F239" i="18"/>
  <c r="AL226" i="28"/>
  <c r="AG239" i="18"/>
  <c r="AN239" i="18" s="1"/>
  <c r="AM226" i="28"/>
  <c r="AC226" i="28"/>
  <c r="AD226" i="28"/>
  <c r="X239" i="18"/>
  <c r="AL240" i="28"/>
  <c r="AL237" i="28"/>
  <c r="AE240" i="18"/>
  <c r="AC242" i="28" s="1"/>
  <c r="AL244" i="28"/>
  <c r="AL243" i="28"/>
  <c r="AG258" i="18"/>
  <c r="AN258" i="18" s="1"/>
  <c r="AM245" i="28"/>
  <c r="AL239" i="28"/>
  <c r="AD238" i="28"/>
  <c r="X230" i="18"/>
  <c r="AG230" i="18"/>
  <c r="F230" i="18"/>
  <c r="AI18" i="19" l="1"/>
  <c r="F18" i="19"/>
  <c r="F20" i="26"/>
  <c r="AA27" i="20"/>
  <c r="AB27" i="20" s="1"/>
  <c r="AE27" i="20" s="1"/>
  <c r="AB12" i="20"/>
  <c r="AE12" i="20" s="1"/>
  <c r="AE241" i="18"/>
  <c r="AC243" i="28" s="1"/>
  <c r="AE238" i="18"/>
  <c r="AC240" i="28" s="1"/>
  <c r="AE243" i="18"/>
  <c r="AC245" i="28" s="1"/>
  <c r="AF23" i="26"/>
  <c r="AE23" i="26"/>
  <c r="T24" i="26"/>
  <c r="AD24" i="26" s="1"/>
  <c r="AE237" i="18"/>
  <c r="AC239" i="28" s="1"/>
  <c r="V243" i="18"/>
  <c r="T245" i="28" s="1"/>
  <c r="AE234" i="18"/>
  <c r="AC236" i="28" s="1"/>
  <c r="V240" i="18"/>
  <c r="T242" i="28" s="1"/>
  <c r="AE244" i="18"/>
  <c r="AC246" i="28" s="1"/>
  <c r="AE242" i="18"/>
  <c r="AC244" i="28" s="1"/>
  <c r="W17" i="5"/>
  <c r="D232" i="28"/>
  <c r="E17" i="5"/>
  <c r="AN230" i="18"/>
  <c r="AF17" i="5"/>
  <c r="X251" i="18"/>
  <c r="V253" i="28" s="1"/>
  <c r="V235" i="18"/>
  <c r="T237" i="28" s="1"/>
  <c r="V237" i="18"/>
  <c r="T239" i="28" s="1"/>
  <c r="AE235" i="18"/>
  <c r="AC237" i="28" s="1"/>
  <c r="V241" i="18"/>
  <c r="T243" i="28" s="1"/>
  <c r="D246" i="28"/>
  <c r="V244" i="18"/>
  <c r="V234" i="18"/>
  <c r="T236" i="28" s="1"/>
  <c r="U245" i="28"/>
  <c r="U240" i="28"/>
  <c r="F253" i="18"/>
  <c r="D255" i="28" s="1"/>
  <c r="AD240" i="28"/>
  <c r="V242" i="18"/>
  <c r="T244" i="28" s="1"/>
  <c r="AD245" i="28"/>
  <c r="AE260" i="28"/>
  <c r="AE236" i="28"/>
  <c r="AL236" i="28"/>
  <c r="AE232" i="28"/>
  <c r="V232" i="28"/>
  <c r="D238" i="28"/>
  <c r="V236" i="18"/>
  <c r="AE246" i="28"/>
  <c r="AE238" i="28"/>
  <c r="AE233" i="28"/>
  <c r="V233" i="28"/>
  <c r="AE231" i="18"/>
  <c r="D235" i="28"/>
  <c r="V233" i="18"/>
  <c r="D233" i="28"/>
  <c r="V231" i="18"/>
  <c r="V235" i="28"/>
  <c r="AE233" i="18"/>
  <c r="AE234" i="28"/>
  <c r="V232" i="18"/>
  <c r="D234" i="28"/>
  <c r="AE235" i="28"/>
  <c r="V234" i="28"/>
  <c r="AE232" i="18"/>
  <c r="AF232" i="18" s="1"/>
  <c r="D241" i="28"/>
  <c r="V239" i="18"/>
  <c r="AE241" i="28"/>
  <c r="V241" i="28"/>
  <c r="AE239" i="18"/>
  <c r="AL260" i="28"/>
  <c r="U236" i="28"/>
  <c r="AG255" i="18"/>
  <c r="AN255" i="18" s="1"/>
  <c r="AM242" i="28"/>
  <c r="U242" i="28"/>
  <c r="AG256" i="18"/>
  <c r="AN256" i="18" s="1"/>
  <c r="AM243" i="28"/>
  <c r="U237" i="28"/>
  <c r="AM239" i="28"/>
  <c r="AG252" i="18"/>
  <c r="AN252" i="18" s="1"/>
  <c r="U239" i="28"/>
  <c r="AD239" i="28"/>
  <c r="AD237" i="28"/>
  <c r="AG257" i="18"/>
  <c r="AN257" i="18" s="1"/>
  <c r="AM244" i="28"/>
  <c r="AM236" i="28"/>
  <c r="AG249" i="18"/>
  <c r="AN249" i="18" s="1"/>
  <c r="AG250" i="18"/>
  <c r="AN250" i="18" s="1"/>
  <c r="AM237" i="28"/>
  <c r="AM240" i="28"/>
  <c r="AG253" i="18"/>
  <c r="AN253" i="18" s="1"/>
  <c r="AD236" i="28"/>
  <c r="U243" i="28"/>
  <c r="AD243" i="28"/>
  <c r="AD242" i="28"/>
  <c r="X255" i="18"/>
  <c r="V257" i="28" s="1"/>
  <c r="AD246" i="28"/>
  <c r="AD244" i="28"/>
  <c r="V230" i="18"/>
  <c r="AE230" i="18"/>
  <c r="Q20" i="26" l="1"/>
  <c r="R20" i="26" s="1"/>
  <c r="S18" i="19"/>
  <c r="W18" i="19" s="1"/>
  <c r="X256" i="18"/>
  <c r="V258" i="28" s="1"/>
  <c r="X258" i="18"/>
  <c r="V260" i="28" s="1"/>
  <c r="X253" i="18"/>
  <c r="V255" i="28" s="1"/>
  <c r="X249" i="18"/>
  <c r="V251" i="28" s="1"/>
  <c r="X252" i="18"/>
  <c r="V254" i="28" s="1"/>
  <c r="AM17" i="5"/>
  <c r="AN17" i="5" s="1"/>
  <c r="AE24" i="26"/>
  <c r="T25" i="26"/>
  <c r="AD25" i="26" s="1"/>
  <c r="AF24" i="26"/>
  <c r="AE251" i="18"/>
  <c r="AC253" i="28" s="1"/>
  <c r="X259" i="18"/>
  <c r="V261" i="28" s="1"/>
  <c r="F258" i="18"/>
  <c r="D260" i="28" s="1"/>
  <c r="F255" i="18"/>
  <c r="D257" i="28" s="1"/>
  <c r="X257" i="18"/>
  <c r="V259" i="28" s="1"/>
  <c r="T232" i="28"/>
  <c r="U17" i="5"/>
  <c r="V17" i="5" s="1"/>
  <c r="AD17" i="5"/>
  <c r="AE17" i="5" s="1"/>
  <c r="F250" i="18"/>
  <c r="D252" i="28" s="1"/>
  <c r="F256" i="18"/>
  <c r="D258" i="28" s="1"/>
  <c r="F252" i="18"/>
  <c r="D254" i="28" s="1"/>
  <c r="X250" i="18"/>
  <c r="V252" i="28" s="1"/>
  <c r="F249" i="18"/>
  <c r="D251" i="28" s="1"/>
  <c r="T246" i="28"/>
  <c r="F259" i="18"/>
  <c r="U246" i="28"/>
  <c r="V253" i="18"/>
  <c r="T255" i="28" s="1"/>
  <c r="U244" i="28"/>
  <c r="F257" i="18"/>
  <c r="D259" i="28" s="1"/>
  <c r="AE257" i="28"/>
  <c r="AE252" i="28"/>
  <c r="AE251" i="28"/>
  <c r="AE258" i="28"/>
  <c r="AE259" i="28"/>
  <c r="AE254" i="28"/>
  <c r="AE255" i="28"/>
  <c r="AC232" i="28"/>
  <c r="AL232" i="28"/>
  <c r="T238" i="28"/>
  <c r="U238" i="28"/>
  <c r="F251" i="18"/>
  <c r="AL246" i="28"/>
  <c r="AG259" i="18"/>
  <c r="AN259" i="18" s="1"/>
  <c r="AM246" i="28"/>
  <c r="AL238" i="28"/>
  <c r="AG251" i="18"/>
  <c r="AN251" i="18" s="1"/>
  <c r="AM238" i="28"/>
  <c r="AL235" i="28"/>
  <c r="AM235" i="28"/>
  <c r="AG248" i="18"/>
  <c r="AN248" i="18" s="1"/>
  <c r="T233" i="28"/>
  <c r="U233" i="28"/>
  <c r="F246" i="18"/>
  <c r="T235" i="28"/>
  <c r="F248" i="18"/>
  <c r="U235" i="28"/>
  <c r="U234" i="28"/>
  <c r="T234" i="28"/>
  <c r="F247" i="18"/>
  <c r="AL234" i="28"/>
  <c r="AM234" i="28"/>
  <c r="AG247" i="18"/>
  <c r="AN247" i="18" s="1"/>
  <c r="AC233" i="28"/>
  <c r="AD233" i="28"/>
  <c r="X246" i="18"/>
  <c r="AC234" i="28"/>
  <c r="X247" i="18"/>
  <c r="AD234" i="28"/>
  <c r="AC235" i="28"/>
  <c r="X248" i="18"/>
  <c r="AD235" i="28"/>
  <c r="AL233" i="28"/>
  <c r="AG246" i="18"/>
  <c r="AN246" i="18" s="1"/>
  <c r="AM233" i="28"/>
  <c r="T241" i="28"/>
  <c r="U241" i="28"/>
  <c r="F254" i="18"/>
  <c r="AL241" i="28"/>
  <c r="AG254" i="18"/>
  <c r="AN254" i="18" s="1"/>
  <c r="AM241" i="28"/>
  <c r="AC241" i="28"/>
  <c r="AD241" i="28"/>
  <c r="X254" i="18"/>
  <c r="AL255" i="28"/>
  <c r="AL259" i="28"/>
  <c r="AL254" i="28"/>
  <c r="AD253" i="28"/>
  <c r="AL251" i="28"/>
  <c r="AG273" i="18"/>
  <c r="AN273" i="18" s="1"/>
  <c r="AM260" i="28"/>
  <c r="AE255" i="18"/>
  <c r="AC257" i="28" s="1"/>
  <c r="AL252" i="28"/>
  <c r="AL258" i="28"/>
  <c r="AD255" i="28"/>
  <c r="AL257" i="28"/>
  <c r="AM232" i="28"/>
  <c r="AG245" i="18"/>
  <c r="AI19" i="19" s="1"/>
  <c r="X245" i="18"/>
  <c r="AD232" i="28"/>
  <c r="F245" i="18"/>
  <c r="U232" i="28"/>
  <c r="F21" i="26" l="1"/>
  <c r="F19" i="19"/>
  <c r="AE256" i="18"/>
  <c r="AC258" i="28" s="1"/>
  <c r="AE258" i="18"/>
  <c r="AC260" i="28" s="1"/>
  <c r="AE249" i="18"/>
  <c r="AC251" i="28" s="1"/>
  <c r="AE253" i="18"/>
  <c r="AC255" i="28" s="1"/>
  <c r="AE252" i="18"/>
  <c r="AC254" i="28" s="1"/>
  <c r="AF25" i="26"/>
  <c r="T26" i="26"/>
  <c r="AD26" i="26" s="1"/>
  <c r="AE25" i="26"/>
  <c r="AE259" i="18"/>
  <c r="AC261" i="28" s="1"/>
  <c r="V255" i="18"/>
  <c r="T257" i="28" s="1"/>
  <c r="X266" i="18"/>
  <c r="V268" i="28" s="1"/>
  <c r="V258" i="18"/>
  <c r="T260" i="28" s="1"/>
  <c r="AE257" i="18"/>
  <c r="AC259" i="28" s="1"/>
  <c r="D247" i="28"/>
  <c r="E18" i="5"/>
  <c r="AN245" i="18"/>
  <c r="AN19" i="19" s="1"/>
  <c r="AF18" i="5"/>
  <c r="W18" i="5"/>
  <c r="V249" i="18"/>
  <c r="T251" i="28" s="1"/>
  <c r="V250" i="18"/>
  <c r="T252" i="28" s="1"/>
  <c r="V256" i="18"/>
  <c r="T258" i="28" s="1"/>
  <c r="V252" i="18"/>
  <c r="T254" i="28" s="1"/>
  <c r="F268" i="18"/>
  <c r="D270" i="28" s="1"/>
  <c r="AE250" i="18"/>
  <c r="AC252" i="28" s="1"/>
  <c r="D261" i="28"/>
  <c r="V259" i="18"/>
  <c r="U260" i="28"/>
  <c r="U255" i="28"/>
  <c r="V257" i="18"/>
  <c r="T259" i="28" s="1"/>
  <c r="AD260" i="28"/>
  <c r="AE275" i="28"/>
  <c r="V247" i="28"/>
  <c r="AE247" i="28"/>
  <c r="D253" i="28"/>
  <c r="V251" i="18"/>
  <c r="AE261" i="28"/>
  <c r="AE253" i="28"/>
  <c r="D250" i="28"/>
  <c r="V248" i="18"/>
  <c r="V250" i="28"/>
  <c r="AE248" i="18"/>
  <c r="AF248" i="18" s="1"/>
  <c r="AE249" i="28"/>
  <c r="D248" i="28"/>
  <c r="V246" i="18"/>
  <c r="V249" i="28"/>
  <c r="AE247" i="18"/>
  <c r="AF247" i="18" s="1"/>
  <c r="D249" i="28"/>
  <c r="V247" i="18"/>
  <c r="AE250" i="28"/>
  <c r="AE248" i="28"/>
  <c r="V248" i="28"/>
  <c r="AE246" i="18"/>
  <c r="AF246" i="18" s="1"/>
  <c r="D256" i="28"/>
  <c r="V254" i="18"/>
  <c r="AE256" i="28"/>
  <c r="V256" i="28"/>
  <c r="AE254" i="18"/>
  <c r="AD257" i="28"/>
  <c r="X270" i="18"/>
  <c r="V272" i="28" s="1"/>
  <c r="AG268" i="18"/>
  <c r="AN268" i="18" s="1"/>
  <c r="AM255" i="28"/>
  <c r="U252" i="28"/>
  <c r="AD261" i="28"/>
  <c r="U258" i="28"/>
  <c r="U257" i="28"/>
  <c r="AG271" i="18"/>
  <c r="AN271" i="18" s="1"/>
  <c r="AM258" i="28"/>
  <c r="AL275" i="28"/>
  <c r="AD254" i="28"/>
  <c r="AD258" i="28"/>
  <c r="AG264" i="18"/>
  <c r="AN264" i="18" s="1"/>
  <c r="AM251" i="28"/>
  <c r="AD252" i="28"/>
  <c r="AM252" i="28"/>
  <c r="AG265" i="18"/>
  <c r="AN265" i="18" s="1"/>
  <c r="AM259" i="28"/>
  <c r="AG272" i="18"/>
  <c r="AN272" i="18" s="1"/>
  <c r="AD259" i="28"/>
  <c r="AG270" i="18"/>
  <c r="AN270" i="18" s="1"/>
  <c r="AM257" i="28"/>
  <c r="AG267" i="18"/>
  <c r="AN267" i="18" s="1"/>
  <c r="AM254" i="28"/>
  <c r="U254" i="28"/>
  <c r="U251" i="28"/>
  <c r="V245" i="18"/>
  <c r="AE245" i="18"/>
  <c r="AF245" i="18" s="1"/>
  <c r="Q21" i="26" l="1"/>
  <c r="R21" i="26" s="1"/>
  <c r="S19" i="19"/>
  <c r="W19" i="19" s="1"/>
  <c r="X271" i="18"/>
  <c r="V273" i="28" s="1"/>
  <c r="X264" i="18"/>
  <c r="V266" i="28" s="1"/>
  <c r="X273" i="18"/>
  <c r="V275" i="28" s="1"/>
  <c r="X268" i="18"/>
  <c r="V270" i="28" s="1"/>
  <c r="X267" i="18"/>
  <c r="V269" i="28" s="1"/>
  <c r="AF249" i="18"/>
  <c r="AD251" i="28" s="1"/>
  <c r="X274" i="18"/>
  <c r="V276" i="28" s="1"/>
  <c r="AM18" i="5"/>
  <c r="AN18" i="5" s="1"/>
  <c r="AE26" i="26"/>
  <c r="T27" i="26"/>
  <c r="AD27" i="26" s="1"/>
  <c r="AF26" i="26"/>
  <c r="F270" i="18"/>
  <c r="D272" i="28" s="1"/>
  <c r="F273" i="18"/>
  <c r="D275" i="28" s="1"/>
  <c r="AE266" i="18"/>
  <c r="AC268" i="28" s="1"/>
  <c r="X272" i="18"/>
  <c r="V274" i="28" s="1"/>
  <c r="AD18" i="5"/>
  <c r="AE18" i="5" s="1"/>
  <c r="T247" i="28"/>
  <c r="U18" i="5"/>
  <c r="V18" i="5" s="1"/>
  <c r="F264" i="18"/>
  <c r="D266" i="28" s="1"/>
  <c r="F265" i="18"/>
  <c r="D267" i="28" s="1"/>
  <c r="X265" i="18"/>
  <c r="V267" i="28" s="1"/>
  <c r="F271" i="18"/>
  <c r="D273" i="28" s="1"/>
  <c r="F267" i="18"/>
  <c r="D269" i="28" s="1"/>
  <c r="V268" i="18"/>
  <c r="T270" i="28" s="1"/>
  <c r="T261" i="28"/>
  <c r="F274" i="18"/>
  <c r="U261" i="28"/>
  <c r="F272" i="18"/>
  <c r="D274" i="28" s="1"/>
  <c r="U259" i="28"/>
  <c r="AE269" i="28"/>
  <c r="AE273" i="28"/>
  <c r="AE266" i="28"/>
  <c r="AE267" i="28"/>
  <c r="AL267" i="28"/>
  <c r="AE272" i="28"/>
  <c r="AE274" i="28"/>
  <c r="AE270" i="28"/>
  <c r="AC247" i="28"/>
  <c r="AL247" i="28"/>
  <c r="T253" i="28"/>
  <c r="U253" i="28"/>
  <c r="F266" i="18"/>
  <c r="AL261" i="28"/>
  <c r="AG274" i="18"/>
  <c r="AN274" i="18" s="1"/>
  <c r="AM261" i="28"/>
  <c r="AL253" i="28"/>
  <c r="AM253" i="28"/>
  <c r="AG266" i="18"/>
  <c r="AN266" i="18" s="1"/>
  <c r="AG261" i="18"/>
  <c r="AN261" i="18" s="1"/>
  <c r="AM248" i="28"/>
  <c r="AL248" i="28"/>
  <c r="F261" i="18"/>
  <c r="T248" i="28"/>
  <c r="U248" i="28"/>
  <c r="AL250" i="28"/>
  <c r="AG263" i="18"/>
  <c r="AN263" i="18" s="1"/>
  <c r="AM250" i="28"/>
  <c r="AM249" i="28"/>
  <c r="AG262" i="18"/>
  <c r="AN262" i="18" s="1"/>
  <c r="AL249" i="28"/>
  <c r="T249" i="28"/>
  <c r="F262" i="18"/>
  <c r="U249" i="28"/>
  <c r="AC250" i="28"/>
  <c r="X263" i="18"/>
  <c r="AD250" i="28"/>
  <c r="X261" i="18"/>
  <c r="AC248" i="28"/>
  <c r="AD248" i="28"/>
  <c r="AC249" i="28"/>
  <c r="X262" i="18"/>
  <c r="AD249" i="28"/>
  <c r="T250" i="28"/>
  <c r="F263" i="18"/>
  <c r="U250" i="28"/>
  <c r="T256" i="28"/>
  <c r="F269" i="18"/>
  <c r="U256" i="28"/>
  <c r="AL256" i="28"/>
  <c r="AM256" i="28"/>
  <c r="AG269" i="18"/>
  <c r="AN269" i="18" s="1"/>
  <c r="AC256" i="28"/>
  <c r="AD256" i="28"/>
  <c r="X269" i="18"/>
  <c r="AL269" i="28"/>
  <c r="AL266" i="28"/>
  <c r="AD268" i="28"/>
  <c r="AD270" i="28"/>
  <c r="AE270" i="18"/>
  <c r="AC272" i="28" s="1"/>
  <c r="AL274" i="28"/>
  <c r="AM275" i="28"/>
  <c r="AG288" i="18"/>
  <c r="AN288" i="18" s="1"/>
  <c r="AL270" i="28"/>
  <c r="AD275" i="28"/>
  <c r="U270" i="28"/>
  <c r="U275" i="28"/>
  <c r="AL273" i="28"/>
  <c r="AL272" i="28"/>
  <c r="X260" i="18"/>
  <c r="Y16" i="19" s="1"/>
  <c r="AD247" i="28"/>
  <c r="F260" i="18"/>
  <c r="U247" i="28"/>
  <c r="AG260" i="18"/>
  <c r="AM247" i="28"/>
  <c r="AI20" i="19" l="1"/>
  <c r="F20" i="19"/>
  <c r="F22" i="26"/>
  <c r="AE271" i="18"/>
  <c r="AC273" i="28" s="1"/>
  <c r="AE264" i="18"/>
  <c r="AC266" i="28" s="1"/>
  <c r="AE273" i="18"/>
  <c r="AC275" i="28" s="1"/>
  <c r="AE268" i="18"/>
  <c r="AC270" i="28" s="1"/>
  <c r="AE267" i="18"/>
  <c r="AC269" i="28" s="1"/>
  <c r="AE274" i="18"/>
  <c r="AC276" i="28" s="1"/>
  <c r="AE27" i="26"/>
  <c r="AF27" i="26"/>
  <c r="T28" i="26"/>
  <c r="AD28" i="26" s="1"/>
  <c r="V267" i="18"/>
  <c r="T269" i="28" s="1"/>
  <c r="V270" i="18"/>
  <c r="T272" i="28" s="1"/>
  <c r="V273" i="18"/>
  <c r="T275" i="28" s="1"/>
  <c r="V264" i="18"/>
  <c r="T266" i="28" s="1"/>
  <c r="X281" i="18"/>
  <c r="V283" i="28" s="1"/>
  <c r="V271" i="18"/>
  <c r="T273" i="28" s="1"/>
  <c r="AE272" i="18"/>
  <c r="AC274" i="28" s="1"/>
  <c r="V265" i="18"/>
  <c r="T267" i="28" s="1"/>
  <c r="W19" i="5"/>
  <c r="AN260" i="18"/>
  <c r="AN20" i="19" s="1"/>
  <c r="AF19" i="5"/>
  <c r="D262" i="28"/>
  <c r="E19" i="5"/>
  <c r="AE265" i="18"/>
  <c r="AC267" i="28" s="1"/>
  <c r="F283" i="18"/>
  <c r="D285" i="28" s="1"/>
  <c r="D276" i="28"/>
  <c r="V274" i="18"/>
  <c r="V272" i="18"/>
  <c r="T274" i="28" s="1"/>
  <c r="AE290" i="28"/>
  <c r="AE262" i="28"/>
  <c r="V262" i="28"/>
  <c r="D268" i="28"/>
  <c r="V266" i="18"/>
  <c r="AE276" i="28"/>
  <c r="AE268" i="28"/>
  <c r="AE265" i="28"/>
  <c r="AE262" i="18"/>
  <c r="AF262" i="18" s="1"/>
  <c r="V264" i="28"/>
  <c r="D264" i="28"/>
  <c r="V262" i="18"/>
  <c r="D263" i="28"/>
  <c r="V261" i="18"/>
  <c r="V263" i="28"/>
  <c r="AE261" i="18"/>
  <c r="AF261" i="18" s="1"/>
  <c r="AE264" i="28"/>
  <c r="D265" i="28"/>
  <c r="V263" i="18"/>
  <c r="V265" i="28"/>
  <c r="AE263" i="18"/>
  <c r="AF263" i="18" s="1"/>
  <c r="AE263" i="28"/>
  <c r="D271" i="28"/>
  <c r="V269" i="18"/>
  <c r="AE271" i="28"/>
  <c r="V271" i="28"/>
  <c r="AE269" i="18"/>
  <c r="V260" i="18"/>
  <c r="U273" i="28"/>
  <c r="AG283" i="18"/>
  <c r="AN283" i="18" s="1"/>
  <c r="AM270" i="28"/>
  <c r="AG287" i="18"/>
  <c r="AN287" i="18" s="1"/>
  <c r="AM274" i="28"/>
  <c r="AE260" i="18"/>
  <c r="AF260" i="18" s="1"/>
  <c r="U266" i="28"/>
  <c r="AL290" i="28"/>
  <c r="AG279" i="18"/>
  <c r="AN279" i="18" s="1"/>
  <c r="AM266" i="28"/>
  <c r="AM272" i="28"/>
  <c r="AG285" i="18"/>
  <c r="AN285" i="18" s="1"/>
  <c r="U272" i="28"/>
  <c r="AG286" i="18"/>
  <c r="AN286" i="18" s="1"/>
  <c r="AM273" i="28"/>
  <c r="X285" i="18"/>
  <c r="V287" i="28" s="1"/>
  <c r="AD272" i="28"/>
  <c r="AD267" i="28"/>
  <c r="AD273" i="28"/>
  <c r="U267" i="28"/>
  <c r="U269" i="28"/>
  <c r="AD269" i="28"/>
  <c r="AD274" i="28"/>
  <c r="AG280" i="18"/>
  <c r="AN280" i="18" s="1"/>
  <c r="AM267" i="28"/>
  <c r="AD276" i="28"/>
  <c r="AG282" i="18"/>
  <c r="AN282" i="18" s="1"/>
  <c r="AM269" i="28"/>
  <c r="X286" i="18" l="1"/>
  <c r="V288" i="28" s="1"/>
  <c r="Q22" i="26"/>
  <c r="R22" i="26" s="1"/>
  <c r="S20" i="19"/>
  <c r="W20" i="19" s="1"/>
  <c r="X288" i="18"/>
  <c r="V290" i="28" s="1"/>
  <c r="X279" i="18"/>
  <c r="V281" i="28" s="1"/>
  <c r="AF264" i="18"/>
  <c r="AD266" i="28" s="1"/>
  <c r="X283" i="18"/>
  <c r="V285" i="28" s="1"/>
  <c r="X282" i="18"/>
  <c r="V284" i="28" s="1"/>
  <c r="X289" i="18"/>
  <c r="V291" i="28" s="1"/>
  <c r="F282" i="18"/>
  <c r="D284" i="28" s="1"/>
  <c r="AM19" i="5"/>
  <c r="AN19" i="5" s="1"/>
  <c r="AF28" i="26"/>
  <c r="AE28" i="26"/>
  <c r="T29" i="26"/>
  <c r="AD29" i="26" s="1"/>
  <c r="F285" i="18"/>
  <c r="D287" i="28" s="1"/>
  <c r="AE281" i="18"/>
  <c r="AC283" i="28" s="1"/>
  <c r="X287" i="18"/>
  <c r="V289" i="28" s="1"/>
  <c r="F279" i="18"/>
  <c r="D281" i="28" s="1"/>
  <c r="F280" i="18"/>
  <c r="D282" i="28" s="1"/>
  <c r="F286" i="18"/>
  <c r="D288" i="28" s="1"/>
  <c r="F288" i="18"/>
  <c r="D290" i="28" s="1"/>
  <c r="V283" i="18"/>
  <c r="T285" i="28" s="1"/>
  <c r="AD19" i="5"/>
  <c r="AE19" i="5" s="1"/>
  <c r="U19" i="5"/>
  <c r="V19" i="5" s="1"/>
  <c r="X280" i="18"/>
  <c r="V282" i="28" s="1"/>
  <c r="T276" i="28"/>
  <c r="U276" i="28"/>
  <c r="F289" i="18"/>
  <c r="F287" i="18"/>
  <c r="D289" i="28" s="1"/>
  <c r="U274" i="28"/>
  <c r="AE288" i="28"/>
  <c r="AE289" i="28"/>
  <c r="AE285" i="28"/>
  <c r="AE284" i="28"/>
  <c r="AL284" i="28"/>
  <c r="AE287" i="28"/>
  <c r="AE282" i="28"/>
  <c r="AE281" i="28"/>
  <c r="X275" i="18"/>
  <c r="Y17" i="19" s="1"/>
  <c r="T268" i="28"/>
  <c r="F281" i="18"/>
  <c r="U268" i="28"/>
  <c r="AL276" i="28"/>
  <c r="AM276" i="28"/>
  <c r="AG289" i="18"/>
  <c r="AN289" i="18" s="1"/>
  <c r="AL268" i="28"/>
  <c r="AG281" i="18"/>
  <c r="AN281" i="18" s="1"/>
  <c r="AM268" i="28"/>
  <c r="AC265" i="28"/>
  <c r="AD265" i="28"/>
  <c r="X278" i="18"/>
  <c r="T263" i="28"/>
  <c r="F276" i="18"/>
  <c r="U263" i="28"/>
  <c r="T265" i="28"/>
  <c r="F278" i="18"/>
  <c r="U265" i="28"/>
  <c r="T264" i="28"/>
  <c r="U264" i="28"/>
  <c r="F277" i="18"/>
  <c r="AL264" i="28"/>
  <c r="AM264" i="28"/>
  <c r="AG277" i="18"/>
  <c r="AN277" i="18" s="1"/>
  <c r="X277" i="18"/>
  <c r="AD264" i="28"/>
  <c r="AC264" i="28"/>
  <c r="AL263" i="28"/>
  <c r="AM263" i="28"/>
  <c r="AG276" i="18"/>
  <c r="AN276" i="18" s="1"/>
  <c r="AC263" i="28"/>
  <c r="X276" i="18"/>
  <c r="AD263" i="28"/>
  <c r="AL265" i="28"/>
  <c r="AG278" i="18"/>
  <c r="AN278" i="18" s="1"/>
  <c r="AM265" i="28"/>
  <c r="T271" i="28"/>
  <c r="U271" i="28"/>
  <c r="F284" i="18"/>
  <c r="AL271" i="28"/>
  <c r="AM271" i="28"/>
  <c r="AG284" i="18"/>
  <c r="AN284" i="18" s="1"/>
  <c r="AC271" i="28"/>
  <c r="X284" i="18"/>
  <c r="AD271" i="28"/>
  <c r="AD262" i="28"/>
  <c r="AC262" i="28"/>
  <c r="AM262" i="28"/>
  <c r="AL262" i="28"/>
  <c r="F275" i="18"/>
  <c r="T262" i="28"/>
  <c r="U262" i="28"/>
  <c r="AG275" i="18"/>
  <c r="U285" i="28"/>
  <c r="AD290" i="28"/>
  <c r="AG303" i="18"/>
  <c r="AN303" i="18" s="1"/>
  <c r="AM290" i="28"/>
  <c r="AD283" i="28"/>
  <c r="AE285" i="18"/>
  <c r="AC287" i="28" s="1"/>
  <c r="AL281" i="28"/>
  <c r="AL289" i="28"/>
  <c r="AL282" i="28"/>
  <c r="AL287" i="28"/>
  <c r="AE279" i="18"/>
  <c r="U290" i="28"/>
  <c r="AL288" i="28"/>
  <c r="AL285" i="28"/>
  <c r="AD285" i="28"/>
  <c r="AE288" i="18" l="1"/>
  <c r="AC290" i="28" s="1"/>
  <c r="AE286" i="18"/>
  <c r="AC288" i="28" s="1"/>
  <c r="AI21" i="19"/>
  <c r="F23" i="26"/>
  <c r="F21" i="19"/>
  <c r="V285" i="18"/>
  <c r="T287" i="28" s="1"/>
  <c r="V282" i="18"/>
  <c r="T284" i="28" s="1"/>
  <c r="AE289" i="18"/>
  <c r="AC291" i="28" s="1"/>
  <c r="AE283" i="18"/>
  <c r="AC285" i="28" s="1"/>
  <c r="AE282" i="18"/>
  <c r="AC284" i="28" s="1"/>
  <c r="AC281" i="28"/>
  <c r="AF279" i="18"/>
  <c r="AD281" i="28" s="1"/>
  <c r="AF29" i="26"/>
  <c r="AE29" i="26"/>
  <c r="T30" i="26"/>
  <c r="AD30" i="26" s="1"/>
  <c r="V279" i="18"/>
  <c r="T281" i="28" s="1"/>
  <c r="X296" i="18"/>
  <c r="V298" i="28" s="1"/>
  <c r="V286" i="18"/>
  <c r="T288" i="28" s="1"/>
  <c r="AE287" i="18"/>
  <c r="AC289" i="28" s="1"/>
  <c r="V280" i="18"/>
  <c r="T282" i="28" s="1"/>
  <c r="F298" i="18"/>
  <c r="D300" i="28" s="1"/>
  <c r="V288" i="18"/>
  <c r="T290" i="28" s="1"/>
  <c r="AE280" i="18"/>
  <c r="AC282" i="28" s="1"/>
  <c r="D277" i="28"/>
  <c r="E20" i="5"/>
  <c r="AN275" i="18"/>
  <c r="AN21" i="19" s="1"/>
  <c r="AF20" i="5"/>
  <c r="W20" i="5"/>
  <c r="AE275" i="18"/>
  <c r="AF275" i="18" s="1"/>
  <c r="AD277" i="28" s="1"/>
  <c r="V287" i="18"/>
  <c r="T289" i="28" s="1"/>
  <c r="D291" i="28"/>
  <c r="V289" i="18"/>
  <c r="AE305" i="28"/>
  <c r="AE277" i="28"/>
  <c r="V277" i="28"/>
  <c r="D283" i="28"/>
  <c r="V281" i="18"/>
  <c r="AE291" i="28"/>
  <c r="AE283" i="28"/>
  <c r="V279" i="28"/>
  <c r="AE277" i="18"/>
  <c r="AF277" i="18" s="1"/>
  <c r="D280" i="28"/>
  <c r="V278" i="18"/>
  <c r="V278" i="28"/>
  <c r="AE276" i="18"/>
  <c r="AF276" i="18" s="1"/>
  <c r="AE279" i="28"/>
  <c r="AE278" i="28"/>
  <c r="D278" i="28"/>
  <c r="V276" i="18"/>
  <c r="D279" i="28"/>
  <c r="V277" i="18"/>
  <c r="V280" i="28"/>
  <c r="AE278" i="18"/>
  <c r="AF278" i="18" s="1"/>
  <c r="AE280" i="28"/>
  <c r="D286" i="28"/>
  <c r="V284" i="18"/>
  <c r="V275" i="18"/>
  <c r="AE286" i="28"/>
  <c r="V286" i="28"/>
  <c r="AE284" i="18"/>
  <c r="U289" i="28"/>
  <c r="AD284" i="28"/>
  <c r="AD282" i="28"/>
  <c r="AG294" i="18"/>
  <c r="AN294" i="18" s="1"/>
  <c r="AM281" i="28"/>
  <c r="AL305" i="28"/>
  <c r="X294" i="18"/>
  <c r="V296" i="28" s="1"/>
  <c r="AG301" i="18"/>
  <c r="AN301" i="18" s="1"/>
  <c r="AM288" i="28"/>
  <c r="AG295" i="18"/>
  <c r="AN295" i="18" s="1"/>
  <c r="AM282" i="28"/>
  <c r="U288" i="28"/>
  <c r="U287" i="28"/>
  <c r="AG297" i="18"/>
  <c r="AN297" i="18" s="1"/>
  <c r="AM284" i="28"/>
  <c r="U284" i="28"/>
  <c r="AM287" i="28"/>
  <c r="AG300" i="18"/>
  <c r="AN300" i="18" s="1"/>
  <c r="U281" i="28"/>
  <c r="U282" i="28"/>
  <c r="AD291" i="28"/>
  <c r="AM289" i="28"/>
  <c r="AG302" i="18"/>
  <c r="AN302" i="18" s="1"/>
  <c r="X300" i="18"/>
  <c r="V302" i="28" s="1"/>
  <c r="AD287" i="28"/>
  <c r="AG298" i="18"/>
  <c r="AN298" i="18" s="1"/>
  <c r="AM285" i="28"/>
  <c r="AD288" i="28"/>
  <c r="AD289" i="28"/>
  <c r="X303" i="18" l="1"/>
  <c r="V305" i="28" s="1"/>
  <c r="X301" i="18"/>
  <c r="V303" i="28" s="1"/>
  <c r="S21" i="19"/>
  <c r="Q23" i="26"/>
  <c r="F297" i="18"/>
  <c r="D299" i="28" s="1"/>
  <c r="F300" i="18"/>
  <c r="D302" i="28" s="1"/>
  <c r="X304" i="18"/>
  <c r="V306" i="28" s="1"/>
  <c r="X297" i="18"/>
  <c r="V299" i="28" s="1"/>
  <c r="X298" i="18"/>
  <c r="V300" i="28" s="1"/>
  <c r="AM20" i="5"/>
  <c r="AN20" i="5" s="1"/>
  <c r="X290" i="18"/>
  <c r="Y18" i="19" s="1"/>
  <c r="AD17" i="19"/>
  <c r="AF30" i="26"/>
  <c r="T31" i="26"/>
  <c r="AD31" i="26" s="1"/>
  <c r="AE30" i="26"/>
  <c r="F294" i="18"/>
  <c r="V294" i="18" s="1"/>
  <c r="T296" i="28" s="1"/>
  <c r="V298" i="18"/>
  <c r="T300" i="28" s="1"/>
  <c r="F295" i="18"/>
  <c r="D297" i="28" s="1"/>
  <c r="AE296" i="18"/>
  <c r="AC298" i="28" s="1"/>
  <c r="AE303" i="18"/>
  <c r="AC305" i="28" s="1"/>
  <c r="F301" i="18"/>
  <c r="D303" i="28" s="1"/>
  <c r="F303" i="18"/>
  <c r="D305" i="28" s="1"/>
  <c r="X302" i="18"/>
  <c r="V304" i="28" s="1"/>
  <c r="X295" i="18"/>
  <c r="V297" i="28" s="1"/>
  <c r="AC277" i="28"/>
  <c r="AD20" i="5"/>
  <c r="AE20" i="5" s="1"/>
  <c r="U277" i="28"/>
  <c r="U20" i="5"/>
  <c r="V20" i="5" s="1"/>
  <c r="F302" i="18"/>
  <c r="D304" i="28" s="1"/>
  <c r="T291" i="28"/>
  <c r="F304" i="18"/>
  <c r="U291" i="28"/>
  <c r="AE299" i="28"/>
  <c r="AE304" i="28"/>
  <c r="AE303" i="28"/>
  <c r="AE302" i="28"/>
  <c r="AE300" i="28"/>
  <c r="AE297" i="28"/>
  <c r="AE296" i="28"/>
  <c r="AL296" i="28"/>
  <c r="AL277" i="28"/>
  <c r="T283" i="28"/>
  <c r="U283" i="28"/>
  <c r="F296" i="18"/>
  <c r="AL291" i="28"/>
  <c r="AG304" i="18"/>
  <c r="AN304" i="18" s="1"/>
  <c r="AM291" i="28"/>
  <c r="AL283" i="28"/>
  <c r="AG296" i="18"/>
  <c r="AN296" i="18" s="1"/>
  <c r="AM283" i="28"/>
  <c r="AC280" i="28"/>
  <c r="X293" i="18"/>
  <c r="AD280" i="28"/>
  <c r="AM279" i="28"/>
  <c r="AL279" i="28"/>
  <c r="AG292" i="18"/>
  <c r="AN292" i="18" s="1"/>
  <c r="F292" i="18"/>
  <c r="U279" i="28"/>
  <c r="T279" i="28"/>
  <c r="AC278" i="28"/>
  <c r="AD278" i="28"/>
  <c r="X291" i="18"/>
  <c r="T278" i="28"/>
  <c r="U278" i="28"/>
  <c r="F291" i="18"/>
  <c r="T280" i="28"/>
  <c r="U280" i="28"/>
  <c r="F293" i="18"/>
  <c r="AL280" i="28"/>
  <c r="AG293" i="18"/>
  <c r="AN293" i="18" s="1"/>
  <c r="AM280" i="28"/>
  <c r="AL278" i="28"/>
  <c r="AG291" i="18"/>
  <c r="AN291" i="18" s="1"/>
  <c r="AM278" i="28"/>
  <c r="AC279" i="28"/>
  <c r="AD279" i="28"/>
  <c r="X292" i="18"/>
  <c r="T286" i="28"/>
  <c r="F299" i="18"/>
  <c r="U286" i="28"/>
  <c r="AM277" i="28"/>
  <c r="T277" i="28"/>
  <c r="F290" i="18"/>
  <c r="AG290" i="18"/>
  <c r="AI22" i="19" s="1"/>
  <c r="AL286" i="28"/>
  <c r="AG299" i="18"/>
  <c r="AN299" i="18" s="1"/>
  <c r="AM286" i="28"/>
  <c r="AC286" i="28"/>
  <c r="X299" i="18"/>
  <c r="AD286" i="28"/>
  <c r="AE301" i="18"/>
  <c r="AC303" i="28" s="1"/>
  <c r="AE300" i="18"/>
  <c r="AC302" i="28" s="1"/>
  <c r="AM305" i="28"/>
  <c r="AG318" i="18"/>
  <c r="AN318" i="18" s="1"/>
  <c r="AE294" i="18"/>
  <c r="AL304" i="28"/>
  <c r="AL303" i="28"/>
  <c r="AL300" i="28"/>
  <c r="AL299" i="28"/>
  <c r="AD298" i="28"/>
  <c r="AL302" i="28"/>
  <c r="AD300" i="28"/>
  <c r="AD305" i="28"/>
  <c r="U305" i="28"/>
  <c r="AL297" i="28"/>
  <c r="U300" i="28"/>
  <c r="F22" i="19" l="1"/>
  <c r="F24" i="26"/>
  <c r="AE298" i="18"/>
  <c r="AC300" i="28" s="1"/>
  <c r="V297" i="18"/>
  <c r="T299" i="28" s="1"/>
  <c r="V300" i="18"/>
  <c r="T302" i="28" s="1"/>
  <c r="AE304" i="18"/>
  <c r="AC306" i="28" s="1"/>
  <c r="AE297" i="18"/>
  <c r="AC299" i="28" s="1"/>
  <c r="D296" i="28"/>
  <c r="V292" i="28"/>
  <c r="AE290" i="18"/>
  <c r="AF290" i="18" s="1"/>
  <c r="AD292" i="28" s="1"/>
  <c r="X318" i="18"/>
  <c r="V320" i="28" s="1"/>
  <c r="X311" i="18"/>
  <c r="V313" i="28" s="1"/>
  <c r="AC296" i="28"/>
  <c r="AF294" i="18"/>
  <c r="AD296" i="28" s="1"/>
  <c r="AD18" i="19"/>
  <c r="AE31" i="26"/>
  <c r="AF31" i="26"/>
  <c r="F313" i="18"/>
  <c r="D315" i="28" s="1"/>
  <c r="V295" i="18"/>
  <c r="T297" i="28" s="1"/>
  <c r="V301" i="18"/>
  <c r="T303" i="28" s="1"/>
  <c r="V303" i="18"/>
  <c r="T305" i="28" s="1"/>
  <c r="AE302" i="18"/>
  <c r="AC304" i="28" s="1"/>
  <c r="AE295" i="18"/>
  <c r="AC297" i="28" s="1"/>
  <c r="W21" i="5"/>
  <c r="AN290" i="18"/>
  <c r="AN22" i="19" s="1"/>
  <c r="AF21" i="5"/>
  <c r="E21" i="5"/>
  <c r="V302" i="18"/>
  <c r="T304" i="28" s="1"/>
  <c r="D306" i="28"/>
  <c r="V304" i="18"/>
  <c r="AE320" i="28"/>
  <c r="D298" i="28"/>
  <c r="V296" i="18"/>
  <c r="AE306" i="28"/>
  <c r="AE298" i="28"/>
  <c r="AE293" i="28"/>
  <c r="D293" i="28"/>
  <c r="V291" i="18"/>
  <c r="D294" i="28"/>
  <c r="V292" i="18"/>
  <c r="AE294" i="28"/>
  <c r="AE295" i="28"/>
  <c r="V293" i="28"/>
  <c r="AE291" i="18"/>
  <c r="AF291" i="18" s="1"/>
  <c r="V294" i="28"/>
  <c r="AE292" i="18"/>
  <c r="AF292" i="18" s="1"/>
  <c r="D295" i="28"/>
  <c r="V293" i="18"/>
  <c r="V295" i="28"/>
  <c r="AE293" i="18"/>
  <c r="AF293" i="18" s="1"/>
  <c r="D301" i="28"/>
  <c r="V299" i="18"/>
  <c r="D292" i="28"/>
  <c r="V290" i="18"/>
  <c r="AE301" i="28"/>
  <c r="AE292" i="28"/>
  <c r="AM292" i="28"/>
  <c r="V301" i="28"/>
  <c r="AE299" i="18"/>
  <c r="AM303" i="28"/>
  <c r="AG316" i="18"/>
  <c r="AN316" i="18" s="1"/>
  <c r="U297" i="28"/>
  <c r="AM300" i="28"/>
  <c r="AG313" i="18"/>
  <c r="AN313" i="18" s="1"/>
  <c r="AG312" i="18"/>
  <c r="AN312" i="18" s="1"/>
  <c r="AM299" i="28"/>
  <c r="U303" i="28"/>
  <c r="AD297" i="28"/>
  <c r="AM297" i="28"/>
  <c r="AG310" i="18"/>
  <c r="AN310" i="18" s="1"/>
  <c r="X309" i="18"/>
  <c r="V311" i="28" s="1"/>
  <c r="U302" i="28"/>
  <c r="AM302" i="28"/>
  <c r="AG315" i="18"/>
  <c r="AN315" i="18" s="1"/>
  <c r="AD299" i="28"/>
  <c r="X315" i="18"/>
  <c r="V317" i="28" s="1"/>
  <c r="AD302" i="28"/>
  <c r="U304" i="28"/>
  <c r="AG309" i="18"/>
  <c r="AN309" i="18" s="1"/>
  <c r="AM296" i="28"/>
  <c r="U299" i="28"/>
  <c r="AL320" i="28"/>
  <c r="AD306" i="28"/>
  <c r="AD304" i="28"/>
  <c r="F309" i="18"/>
  <c r="D311" i="28" s="1"/>
  <c r="U296" i="28"/>
  <c r="AG317" i="18"/>
  <c r="AN317" i="18" s="1"/>
  <c r="AM304" i="28"/>
  <c r="X316" i="18"/>
  <c r="V318" i="28" s="1"/>
  <c r="AD303" i="28"/>
  <c r="S22" i="19" l="1"/>
  <c r="Q24" i="26"/>
  <c r="X313" i="18"/>
  <c r="V315" i="28" s="1"/>
  <c r="X319" i="18"/>
  <c r="V321" i="28" s="1"/>
  <c r="X312" i="18"/>
  <c r="V314" i="28" s="1"/>
  <c r="F315" i="18"/>
  <c r="D317" i="28" s="1"/>
  <c r="F312" i="18"/>
  <c r="D314" i="28" s="1"/>
  <c r="AC292" i="28"/>
  <c r="X305" i="18"/>
  <c r="V307" i="28" s="1"/>
  <c r="AE311" i="18"/>
  <c r="AC313" i="28" s="1"/>
  <c r="AE318" i="18"/>
  <c r="AC320" i="28" s="1"/>
  <c r="F310" i="18"/>
  <c r="D312" i="28" s="1"/>
  <c r="AM21" i="5"/>
  <c r="AN21" i="5" s="1"/>
  <c r="Y19" i="19"/>
  <c r="V313" i="18"/>
  <c r="T315" i="28" s="1"/>
  <c r="F316" i="18"/>
  <c r="D318" i="28" s="1"/>
  <c r="X310" i="18"/>
  <c r="V312" i="28" s="1"/>
  <c r="F318" i="18"/>
  <c r="D320" i="28" s="1"/>
  <c r="X317" i="18"/>
  <c r="V319" i="28" s="1"/>
  <c r="AG305" i="18"/>
  <c r="AD21" i="5"/>
  <c r="AE21" i="5" s="1"/>
  <c r="U21" i="5"/>
  <c r="V21" i="5" s="1"/>
  <c r="F317" i="18"/>
  <c r="D319" i="28" s="1"/>
  <c r="T306" i="28"/>
  <c r="U306" i="28"/>
  <c r="F319" i="18"/>
  <c r="AE314" i="28"/>
  <c r="AE311" i="28"/>
  <c r="AE318" i="28"/>
  <c r="AE317" i="28"/>
  <c r="AL317" i="28"/>
  <c r="AE315" i="28"/>
  <c r="AE319" i="28"/>
  <c r="AE312" i="28"/>
  <c r="AL292" i="28"/>
  <c r="T298" i="28"/>
  <c r="F311" i="18"/>
  <c r="U298" i="28"/>
  <c r="AL306" i="28"/>
  <c r="AG319" i="18"/>
  <c r="AN319" i="18" s="1"/>
  <c r="AM306" i="28"/>
  <c r="AL298" i="28"/>
  <c r="AM298" i="28"/>
  <c r="AG311" i="18"/>
  <c r="AN311" i="18" s="1"/>
  <c r="T295" i="28"/>
  <c r="F308" i="18"/>
  <c r="U295" i="28"/>
  <c r="AL294" i="28"/>
  <c r="AM294" i="28"/>
  <c r="AG307" i="18"/>
  <c r="AN307" i="18" s="1"/>
  <c r="X307" i="18"/>
  <c r="AD294" i="28"/>
  <c r="AC294" i="28"/>
  <c r="F307" i="18"/>
  <c r="U294" i="28"/>
  <c r="T294" i="28"/>
  <c r="AD293" i="28"/>
  <c r="X306" i="18"/>
  <c r="AC293" i="28"/>
  <c r="T293" i="28"/>
  <c r="F306" i="18"/>
  <c r="U293" i="28"/>
  <c r="AC295" i="28"/>
  <c r="X308" i="18"/>
  <c r="AD295" i="28"/>
  <c r="AL295" i="28"/>
  <c r="AM295" i="28"/>
  <c r="AG308" i="18"/>
  <c r="AN308" i="18" s="1"/>
  <c r="AG306" i="18"/>
  <c r="AN306" i="18" s="1"/>
  <c r="AL293" i="28"/>
  <c r="AM293" i="28"/>
  <c r="T301" i="28"/>
  <c r="F314" i="18"/>
  <c r="U301" i="28"/>
  <c r="T292" i="28"/>
  <c r="F305" i="18"/>
  <c r="U292" i="28"/>
  <c r="AL301" i="28"/>
  <c r="AG314" i="18"/>
  <c r="AN314" i="18" s="1"/>
  <c r="AM301" i="28"/>
  <c r="AC301" i="28"/>
  <c r="AD301" i="28"/>
  <c r="X314" i="18"/>
  <c r="AM320" i="28"/>
  <c r="AG333" i="18"/>
  <c r="AN333" i="18" s="1"/>
  <c r="AD320" i="28"/>
  <c r="AL312" i="28"/>
  <c r="AL319" i="28"/>
  <c r="U320" i="28"/>
  <c r="AL318" i="28"/>
  <c r="AD315" i="28"/>
  <c r="AL314" i="28"/>
  <c r="AE309" i="18"/>
  <c r="AD313" i="28"/>
  <c r="V309" i="18"/>
  <c r="T311" i="28" s="1"/>
  <c r="AL311" i="28"/>
  <c r="AE315" i="18"/>
  <c r="AC317" i="28" s="1"/>
  <c r="U315" i="28"/>
  <c r="AL315" i="28"/>
  <c r="AE316" i="18"/>
  <c r="AC318" i="28" s="1"/>
  <c r="AI23" i="19" l="1"/>
  <c r="AE313" i="18"/>
  <c r="AC315" i="28" s="1"/>
  <c r="AE319" i="18"/>
  <c r="AC321" i="28" s="1"/>
  <c r="AE312" i="18"/>
  <c r="AC314" i="28" s="1"/>
  <c r="V312" i="18"/>
  <c r="T314" i="28" s="1"/>
  <c r="V315" i="18"/>
  <c r="T317" i="28" s="1"/>
  <c r="V310" i="18"/>
  <c r="T312" i="28" s="1"/>
  <c r="X333" i="18"/>
  <c r="V335" i="28" s="1"/>
  <c r="X326" i="18"/>
  <c r="V328" i="28" s="1"/>
  <c r="AE305" i="18"/>
  <c r="AF305" i="18" s="1"/>
  <c r="AD307" i="28" s="1"/>
  <c r="AE317" i="18"/>
  <c r="AC319" i="28" s="1"/>
  <c r="V318" i="18"/>
  <c r="AN305" i="18"/>
  <c r="AC311" i="28"/>
  <c r="AF309" i="18"/>
  <c r="AD311" i="28" s="1"/>
  <c r="AD19" i="19"/>
  <c r="F328" i="18"/>
  <c r="D330" i="28" s="1"/>
  <c r="V316" i="18"/>
  <c r="T318" i="28" s="1"/>
  <c r="AE310" i="18"/>
  <c r="AC312" i="28" s="1"/>
  <c r="AE307" i="28"/>
  <c r="W22" i="5"/>
  <c r="E22" i="5"/>
  <c r="AF22" i="5"/>
  <c r="V317" i="18"/>
  <c r="T319" i="28" s="1"/>
  <c r="D321" i="28"/>
  <c r="V319" i="18"/>
  <c r="AE335" i="28"/>
  <c r="D313" i="28"/>
  <c r="V311" i="18"/>
  <c r="AE321" i="28"/>
  <c r="AE313" i="28"/>
  <c r="AE310" i="28"/>
  <c r="V309" i="28"/>
  <c r="AE307" i="18"/>
  <c r="AF307" i="18" s="1"/>
  <c r="V308" i="28"/>
  <c r="AE306" i="18"/>
  <c r="AF306" i="18" s="1"/>
  <c r="AE309" i="28"/>
  <c r="V310" i="28"/>
  <c r="AE308" i="18"/>
  <c r="AF308" i="18" s="1"/>
  <c r="D309" i="28"/>
  <c r="V307" i="18"/>
  <c r="D310" i="28"/>
  <c r="V308" i="18"/>
  <c r="AE308" i="28"/>
  <c r="D308" i="28"/>
  <c r="V306" i="18"/>
  <c r="D316" i="28"/>
  <c r="V314" i="18"/>
  <c r="AM307" i="28"/>
  <c r="D307" i="28"/>
  <c r="V305" i="18"/>
  <c r="AE316" i="28"/>
  <c r="V316" i="28"/>
  <c r="AE314" i="18"/>
  <c r="X331" i="18"/>
  <c r="V333" i="28" s="1"/>
  <c r="AD318" i="28"/>
  <c r="AD312" i="28"/>
  <c r="AG327" i="18"/>
  <c r="AN327" i="18" s="1"/>
  <c r="AM314" i="28"/>
  <c r="AD321" i="28"/>
  <c r="AG332" i="18"/>
  <c r="AN332" i="18" s="1"/>
  <c r="AM319" i="28"/>
  <c r="AG328" i="18"/>
  <c r="AN328" i="18" s="1"/>
  <c r="AM315" i="28"/>
  <c r="F324" i="18"/>
  <c r="D326" i="28" s="1"/>
  <c r="U311" i="28"/>
  <c r="U314" i="28"/>
  <c r="AL335" i="28"/>
  <c r="AG325" i="18"/>
  <c r="AN325" i="18" s="1"/>
  <c r="AM312" i="28"/>
  <c r="U318" i="28"/>
  <c r="AD317" i="28"/>
  <c r="X330" i="18"/>
  <c r="V332" i="28" s="1"/>
  <c r="AG331" i="18"/>
  <c r="AN331" i="18" s="1"/>
  <c r="AM318" i="28"/>
  <c r="U319" i="28"/>
  <c r="U312" i="28"/>
  <c r="X324" i="18"/>
  <c r="V326" i="28" s="1"/>
  <c r="AD314" i="28"/>
  <c r="AM311" i="28"/>
  <c r="AG324" i="18"/>
  <c r="AN324" i="18" s="1"/>
  <c r="AD319" i="28"/>
  <c r="U317" i="28"/>
  <c r="AG330" i="18"/>
  <c r="AN330" i="18" s="1"/>
  <c r="AM317" i="28"/>
  <c r="X328" i="18" l="1"/>
  <c r="V330" i="28" s="1"/>
  <c r="X327" i="18"/>
  <c r="V329" i="28" s="1"/>
  <c r="F327" i="18"/>
  <c r="D329" i="28" s="1"/>
  <c r="AN23" i="19"/>
  <c r="X334" i="18"/>
  <c r="V336" i="28" s="1"/>
  <c r="F330" i="18"/>
  <c r="D332" i="28" s="1"/>
  <c r="F325" i="18"/>
  <c r="D327" i="28" s="1"/>
  <c r="AE326" i="18"/>
  <c r="AC328" i="28" s="1"/>
  <c r="AE333" i="18"/>
  <c r="AC335" i="28" s="1"/>
  <c r="X320" i="18"/>
  <c r="AE320" i="18" s="1"/>
  <c r="AF320" i="18" s="1"/>
  <c r="AC307" i="28"/>
  <c r="V328" i="18"/>
  <c r="T330" i="28" s="1"/>
  <c r="AG320" i="18"/>
  <c r="X332" i="18"/>
  <c r="V334" i="28" s="1"/>
  <c r="AM22" i="5"/>
  <c r="AN22" i="5" s="1"/>
  <c r="AL307" i="28"/>
  <c r="F332" i="18"/>
  <c r="D334" i="28" s="1"/>
  <c r="X325" i="18"/>
  <c r="V327" i="28" s="1"/>
  <c r="T320" i="28"/>
  <c r="F333" i="18"/>
  <c r="Y20" i="19"/>
  <c r="F331" i="18"/>
  <c r="D333" i="28" s="1"/>
  <c r="AD22" i="5"/>
  <c r="AE22" i="5" s="1"/>
  <c r="U22" i="5"/>
  <c r="V22" i="5" s="1"/>
  <c r="T321" i="28"/>
  <c r="F334" i="18"/>
  <c r="U321" i="28"/>
  <c r="AE326" i="28"/>
  <c r="AE332" i="28"/>
  <c r="AE329" i="28"/>
  <c r="AE333" i="28"/>
  <c r="AL333" i="28"/>
  <c r="AE330" i="28"/>
  <c r="AE334" i="28"/>
  <c r="T313" i="28"/>
  <c r="F326" i="18"/>
  <c r="U313" i="28"/>
  <c r="AL321" i="28"/>
  <c r="AG334" i="18"/>
  <c r="AN334" i="18" s="1"/>
  <c r="AM321" i="28"/>
  <c r="AL313" i="28"/>
  <c r="AG326" i="18"/>
  <c r="AN326" i="18" s="1"/>
  <c r="AM313" i="28"/>
  <c r="AM322" i="28"/>
  <c r="AL308" i="28"/>
  <c r="AM308" i="28"/>
  <c r="AG321" i="18"/>
  <c r="AN321" i="18" s="1"/>
  <c r="AG322" i="18"/>
  <c r="AN322" i="18" s="1"/>
  <c r="AM309" i="28"/>
  <c r="AL309" i="28"/>
  <c r="T310" i="28"/>
  <c r="F323" i="18"/>
  <c r="U310" i="28"/>
  <c r="AD308" i="28"/>
  <c r="AC308" i="28"/>
  <c r="X321" i="18"/>
  <c r="T309" i="28"/>
  <c r="F322" i="18"/>
  <c r="U309" i="28"/>
  <c r="AD309" i="28"/>
  <c r="AC309" i="28"/>
  <c r="X322" i="18"/>
  <c r="T308" i="28"/>
  <c r="U308" i="28"/>
  <c r="F321" i="18"/>
  <c r="AC310" i="28"/>
  <c r="X323" i="18"/>
  <c r="AD310" i="28"/>
  <c r="AL310" i="28"/>
  <c r="AM310" i="28"/>
  <c r="AG323" i="18"/>
  <c r="AN323" i="18" s="1"/>
  <c r="T316" i="28"/>
  <c r="F329" i="18"/>
  <c r="U316" i="28"/>
  <c r="T307" i="28"/>
  <c r="U307" i="28"/>
  <c r="F320" i="18"/>
  <c r="AL316" i="28"/>
  <c r="AG329" i="18"/>
  <c r="AN329" i="18" s="1"/>
  <c r="AM316" i="28"/>
  <c r="AC316" i="28"/>
  <c r="AD316" i="28"/>
  <c r="X329" i="18"/>
  <c r="AE327" i="28"/>
  <c r="U330" i="28"/>
  <c r="AE324" i="18"/>
  <c r="AL332" i="28"/>
  <c r="AM335" i="28"/>
  <c r="AG348" i="18"/>
  <c r="AN348" i="18" s="1"/>
  <c r="AD330" i="28"/>
  <c r="V324" i="18"/>
  <c r="T326" i="28" s="1"/>
  <c r="U335" i="28"/>
  <c r="AL326" i="28"/>
  <c r="V327" i="18"/>
  <c r="T329" i="28" s="1"/>
  <c r="AL334" i="28"/>
  <c r="AD328" i="28"/>
  <c r="AD335" i="28"/>
  <c r="AE330" i="18"/>
  <c r="AC332" i="28" s="1"/>
  <c r="AL330" i="28"/>
  <c r="AL329" i="28"/>
  <c r="AE331" i="18"/>
  <c r="AC333" i="28" s="1"/>
  <c r="AL327" i="28"/>
  <c r="V325" i="18" l="1"/>
  <c r="T327" i="28" s="1"/>
  <c r="V330" i="18"/>
  <c r="T332" i="28" s="1"/>
  <c r="AE328" i="18"/>
  <c r="AC330" i="28" s="1"/>
  <c r="AE327" i="18"/>
  <c r="AC329" i="28" s="1"/>
  <c r="AE334" i="18"/>
  <c r="AC336" i="28" s="1"/>
  <c r="AN320" i="18"/>
  <c r="AN24" i="19" s="1"/>
  <c r="AI24" i="19"/>
  <c r="X348" i="18"/>
  <c r="V350" i="28" s="1"/>
  <c r="X341" i="18"/>
  <c r="V343" i="28" s="1"/>
  <c r="AE322" i="28"/>
  <c r="F343" i="18"/>
  <c r="D345" i="28" s="1"/>
  <c r="V322" i="28"/>
  <c r="AE332" i="18"/>
  <c r="AC334" i="28" s="1"/>
  <c r="AE325" i="18"/>
  <c r="AC327" i="28" s="1"/>
  <c r="X343" i="18"/>
  <c r="V345" i="28" s="1"/>
  <c r="V332" i="18"/>
  <c r="T334" i="28" s="1"/>
  <c r="D335" i="28"/>
  <c r="V333" i="18"/>
  <c r="AC326" i="28"/>
  <c r="AF324" i="18"/>
  <c r="AD326" i="28" s="1"/>
  <c r="AD20" i="19"/>
  <c r="V331" i="18"/>
  <c r="T333" i="28" s="1"/>
  <c r="E23" i="5"/>
  <c r="W23" i="5"/>
  <c r="AF23" i="5"/>
  <c r="AD322" i="28"/>
  <c r="D336" i="28"/>
  <c r="V334" i="18"/>
  <c r="AE350" i="28"/>
  <c r="X335" i="18"/>
  <c r="AC322" i="28"/>
  <c r="D328" i="28"/>
  <c r="V326" i="18"/>
  <c r="AE336" i="28"/>
  <c r="AE328" i="28"/>
  <c r="D325" i="28"/>
  <c r="V323" i="18"/>
  <c r="V325" i="28"/>
  <c r="AE323" i="18"/>
  <c r="AF323" i="18" s="1"/>
  <c r="D324" i="28"/>
  <c r="V322" i="18"/>
  <c r="D323" i="28"/>
  <c r="V321" i="18"/>
  <c r="V323" i="28"/>
  <c r="AE321" i="18"/>
  <c r="AF321" i="18" s="1"/>
  <c r="AE324" i="28"/>
  <c r="AE325" i="28"/>
  <c r="AE323" i="28"/>
  <c r="V324" i="28"/>
  <c r="AE322" i="18"/>
  <c r="AF322" i="18" s="1"/>
  <c r="D331" i="28"/>
  <c r="V329" i="18"/>
  <c r="D322" i="28"/>
  <c r="V320" i="18"/>
  <c r="AE331" i="28"/>
  <c r="V331" i="28"/>
  <c r="AE329" i="18"/>
  <c r="F339" i="18"/>
  <c r="D341" i="28" s="1"/>
  <c r="U326" i="28"/>
  <c r="AL350" i="28"/>
  <c r="X349" i="18"/>
  <c r="V351" i="28" s="1"/>
  <c r="AD336" i="28"/>
  <c r="X345" i="18"/>
  <c r="V347" i="28" s="1"/>
  <c r="AD332" i="28"/>
  <c r="F342" i="18"/>
  <c r="D344" i="28" s="1"/>
  <c r="U329" i="28"/>
  <c r="X339" i="18"/>
  <c r="V341" i="28" s="1"/>
  <c r="U334" i="28"/>
  <c r="X346" i="18"/>
  <c r="V348" i="28" s="1"/>
  <c r="AD333" i="28"/>
  <c r="AD334" i="28"/>
  <c r="AD329" i="28"/>
  <c r="AD327" i="28"/>
  <c r="U333" i="28"/>
  <c r="V343" i="18"/>
  <c r="T345" i="28" s="1"/>
  <c r="AM329" i="28"/>
  <c r="AG342" i="18"/>
  <c r="AN342" i="18" s="1"/>
  <c r="AG339" i="18"/>
  <c r="AN339" i="18" s="1"/>
  <c r="AM326" i="28"/>
  <c r="F340" i="18"/>
  <c r="D342" i="28" s="1"/>
  <c r="U327" i="28"/>
  <c r="AG340" i="18"/>
  <c r="AN340" i="18" s="1"/>
  <c r="AM327" i="28"/>
  <c r="AM333" i="28"/>
  <c r="AG346" i="18"/>
  <c r="AN346" i="18" s="1"/>
  <c r="AG345" i="18"/>
  <c r="AN345" i="18" s="1"/>
  <c r="AM332" i="28"/>
  <c r="AM330" i="28"/>
  <c r="AG343" i="18"/>
  <c r="AN343" i="18" s="1"/>
  <c r="AG347" i="18"/>
  <c r="AN347" i="18" s="1"/>
  <c r="AM334" i="28"/>
  <c r="F345" i="18"/>
  <c r="D347" i="28" s="1"/>
  <c r="U332" i="28"/>
  <c r="AL322" i="28" l="1"/>
  <c r="AG335" i="18"/>
  <c r="AN335" i="18" s="1"/>
  <c r="X342" i="18"/>
  <c r="V344" i="28" s="1"/>
  <c r="AE348" i="18"/>
  <c r="AC350" i="28" s="1"/>
  <c r="AM23" i="5"/>
  <c r="AN23" i="5" s="1"/>
  <c r="AE341" i="18"/>
  <c r="AC343" i="28" s="1"/>
  <c r="AE343" i="18"/>
  <c r="AC345" i="28" s="1"/>
  <c r="X347" i="18"/>
  <c r="V349" i="28" s="1"/>
  <c r="X340" i="18"/>
  <c r="V342" i="28" s="1"/>
  <c r="F347" i="18"/>
  <c r="D349" i="28" s="1"/>
  <c r="T335" i="28"/>
  <c r="F348" i="18"/>
  <c r="Y21" i="19"/>
  <c r="F346" i="18"/>
  <c r="D348" i="28" s="1"/>
  <c r="AD23" i="5"/>
  <c r="AE23" i="5" s="1"/>
  <c r="U23" i="5"/>
  <c r="V23" i="5" s="1"/>
  <c r="V337" i="28"/>
  <c r="T336" i="28"/>
  <c r="F349" i="18"/>
  <c r="U336" i="28"/>
  <c r="AE335" i="18"/>
  <c r="AF335" i="18" s="1"/>
  <c r="AE347" i="28"/>
  <c r="AE348" i="28"/>
  <c r="AE349" i="28"/>
  <c r="AE341" i="28"/>
  <c r="AL341" i="28"/>
  <c r="AE344" i="28"/>
  <c r="AE345" i="28"/>
  <c r="AE342" i="28"/>
  <c r="AL342" i="28"/>
  <c r="T328" i="28"/>
  <c r="F341" i="18"/>
  <c r="U328" i="28"/>
  <c r="AL336" i="28"/>
  <c r="AG349" i="18"/>
  <c r="AN349" i="18" s="1"/>
  <c r="AM336" i="28"/>
  <c r="AL328" i="28"/>
  <c r="AM328" i="28"/>
  <c r="AG341" i="18"/>
  <c r="AN341" i="18" s="1"/>
  <c r="T323" i="28"/>
  <c r="F336" i="18"/>
  <c r="U323" i="28"/>
  <c r="AL323" i="28"/>
  <c r="AM323" i="28"/>
  <c r="AG336" i="18"/>
  <c r="AL325" i="28"/>
  <c r="AG338" i="18"/>
  <c r="AN338" i="18" s="1"/>
  <c r="AM325" i="28"/>
  <c r="T324" i="28"/>
  <c r="U324" i="28"/>
  <c r="F337" i="18"/>
  <c r="AL324" i="28"/>
  <c r="AG337" i="18"/>
  <c r="AN337" i="18" s="1"/>
  <c r="AM324" i="28"/>
  <c r="AC325" i="28"/>
  <c r="AD325" i="28"/>
  <c r="X338" i="18"/>
  <c r="X337" i="18"/>
  <c r="AC324" i="28"/>
  <c r="AD324" i="28"/>
  <c r="X336" i="18"/>
  <c r="AC323" i="28"/>
  <c r="AD323" i="28"/>
  <c r="T325" i="28"/>
  <c r="F338" i="18"/>
  <c r="U325" i="28"/>
  <c r="T331" i="28"/>
  <c r="F344" i="18"/>
  <c r="U331" i="28"/>
  <c r="T322" i="28"/>
  <c r="F335" i="18"/>
  <c r="U322" i="28"/>
  <c r="AL331" i="28"/>
  <c r="AG344" i="18"/>
  <c r="AN344" i="18" s="1"/>
  <c r="AM331" i="28"/>
  <c r="AC331" i="28"/>
  <c r="X344" i="18"/>
  <c r="AD331" i="28"/>
  <c r="V339" i="18"/>
  <c r="T341" i="28" s="1"/>
  <c r="AL344" i="28"/>
  <c r="AE346" i="18"/>
  <c r="AC348" i="28" s="1"/>
  <c r="AE339" i="18"/>
  <c r="AE345" i="18"/>
  <c r="AC347" i="28" s="1"/>
  <c r="V340" i="18"/>
  <c r="T342" i="28" s="1"/>
  <c r="AL347" i="28"/>
  <c r="AD350" i="28"/>
  <c r="V342" i="18"/>
  <c r="T344" i="28" s="1"/>
  <c r="AE349" i="18"/>
  <c r="AC351" i="28" s="1"/>
  <c r="AG363" i="18"/>
  <c r="AN363" i="18" s="1"/>
  <c r="AM350" i="28"/>
  <c r="AL349" i="28"/>
  <c r="AL348" i="28"/>
  <c r="AD343" i="28"/>
  <c r="U350" i="28"/>
  <c r="F358" i="18"/>
  <c r="D360" i="28" s="1"/>
  <c r="U345" i="28"/>
  <c r="AD345" i="28"/>
  <c r="V345" i="18"/>
  <c r="T347" i="28" s="1"/>
  <c r="AL345" i="28"/>
  <c r="AM337" i="28"/>
  <c r="AE340" i="18" l="1"/>
  <c r="AC342" i="28" s="1"/>
  <c r="AE337" i="28"/>
  <c r="X363" i="18"/>
  <c r="V365" i="28" s="1"/>
  <c r="AE342" i="18"/>
  <c r="AC344" i="28" s="1"/>
  <c r="F25" i="19"/>
  <c r="F27" i="26"/>
  <c r="AI25" i="19"/>
  <c r="X356" i="18"/>
  <c r="V358" i="28" s="1"/>
  <c r="X358" i="18"/>
  <c r="V360" i="28" s="1"/>
  <c r="AE347" i="18"/>
  <c r="AC349" i="28" s="1"/>
  <c r="V347" i="18"/>
  <c r="T349" i="28" s="1"/>
  <c r="D350" i="28"/>
  <c r="V348" i="18"/>
  <c r="AN336" i="18"/>
  <c r="AM24" i="5" s="1"/>
  <c r="AN24" i="5" s="1"/>
  <c r="AL337" i="28"/>
  <c r="AC341" i="28"/>
  <c r="AF339" i="18"/>
  <c r="AD341" i="28" s="1"/>
  <c r="V346" i="18"/>
  <c r="T348" i="28" s="1"/>
  <c r="AG350" i="18"/>
  <c r="E24" i="5"/>
  <c r="W24" i="5"/>
  <c r="AF24" i="5"/>
  <c r="AD337" i="28"/>
  <c r="D351" i="28"/>
  <c r="V349" i="18"/>
  <c r="X350" i="18"/>
  <c r="AC337" i="28"/>
  <c r="AE365" i="28"/>
  <c r="D343" i="28"/>
  <c r="V341" i="18"/>
  <c r="AE351" i="28"/>
  <c r="AE343" i="28"/>
  <c r="AE340" i="28"/>
  <c r="V338" i="28"/>
  <c r="AE336" i="18"/>
  <c r="AE339" i="28"/>
  <c r="AE338" i="28"/>
  <c r="D339" i="28"/>
  <c r="V337" i="18"/>
  <c r="V339" i="28"/>
  <c r="AE337" i="18"/>
  <c r="AF337" i="18" s="1"/>
  <c r="D340" i="28"/>
  <c r="V338" i="18"/>
  <c r="V340" i="28"/>
  <c r="AE338" i="18"/>
  <c r="AF338" i="18" s="1"/>
  <c r="D338" i="28"/>
  <c r="V336" i="18"/>
  <c r="D346" i="28"/>
  <c r="V344" i="18"/>
  <c r="D337" i="28"/>
  <c r="V335" i="18"/>
  <c r="AE346" i="28"/>
  <c r="V346" i="28"/>
  <c r="AE344" i="18"/>
  <c r="AM348" i="28"/>
  <c r="AG361" i="18"/>
  <c r="AN361" i="18" s="1"/>
  <c r="AM347" i="28"/>
  <c r="AG360" i="18"/>
  <c r="AN360" i="18" s="1"/>
  <c r="AD342" i="28"/>
  <c r="X354" i="18"/>
  <c r="V356" i="28" s="1"/>
  <c r="AG355" i="18"/>
  <c r="AN355" i="18" s="1"/>
  <c r="AM342" i="28"/>
  <c r="F357" i="18"/>
  <c r="D359" i="28" s="1"/>
  <c r="U344" i="28"/>
  <c r="U349" i="28"/>
  <c r="AD349" i="28"/>
  <c r="AM349" i="28"/>
  <c r="AG362" i="18"/>
  <c r="AN362" i="18" s="1"/>
  <c r="F355" i="18"/>
  <c r="D357" i="28" s="1"/>
  <c r="U342" i="28"/>
  <c r="X361" i="18"/>
  <c r="V363" i="28" s="1"/>
  <c r="AD348" i="28"/>
  <c r="AG358" i="18"/>
  <c r="AN358" i="18" s="1"/>
  <c r="AM345" i="28"/>
  <c r="AD344" i="28"/>
  <c r="AL365" i="28"/>
  <c r="F354" i="18"/>
  <c r="D356" i="28" s="1"/>
  <c r="U341" i="28"/>
  <c r="U347" i="28"/>
  <c r="F360" i="18"/>
  <c r="D362" i="28" s="1"/>
  <c r="U348" i="28"/>
  <c r="AD347" i="28"/>
  <c r="X360" i="18"/>
  <c r="V362" i="28" s="1"/>
  <c r="AG354" i="18"/>
  <c r="AN354" i="18" s="1"/>
  <c r="AM341" i="28"/>
  <c r="V358" i="18"/>
  <c r="T360" i="28" s="1"/>
  <c r="X364" i="18"/>
  <c r="V366" i="28" s="1"/>
  <c r="AD351" i="28"/>
  <c r="AG357" i="18"/>
  <c r="AN357" i="18" s="1"/>
  <c r="AM344" i="28"/>
  <c r="X357" i="18" l="1"/>
  <c r="V359" i="28" s="1"/>
  <c r="AE363" i="18"/>
  <c r="AC365" i="28" s="1"/>
  <c r="X355" i="18"/>
  <c r="V357" i="28" s="1"/>
  <c r="AN25" i="19"/>
  <c r="Q27" i="26"/>
  <c r="S25" i="19"/>
  <c r="AN350" i="18"/>
  <c r="AL352" i="28" s="1"/>
  <c r="AE358" i="18"/>
  <c r="AC360" i="28" s="1"/>
  <c r="AE356" i="18"/>
  <c r="AC358" i="28" s="1"/>
  <c r="X362" i="18"/>
  <c r="V364" i="28" s="1"/>
  <c r="F362" i="18"/>
  <c r="D364" i="28" s="1"/>
  <c r="T350" i="28"/>
  <c r="F363" i="18"/>
  <c r="AD21" i="19"/>
  <c r="AF336" i="18"/>
  <c r="AD338" i="28" s="1"/>
  <c r="Y22" i="19"/>
  <c r="F361" i="18"/>
  <c r="D363" i="28" s="1"/>
  <c r="AE352" i="28"/>
  <c r="U24" i="5"/>
  <c r="V24" i="5" s="1"/>
  <c r="AD24" i="5"/>
  <c r="AE24" i="5" s="1"/>
  <c r="AE350" i="18"/>
  <c r="T351" i="28"/>
  <c r="F364" i="18"/>
  <c r="U351" i="28"/>
  <c r="V352" i="28"/>
  <c r="AE359" i="28"/>
  <c r="AE364" i="28"/>
  <c r="AE362" i="28"/>
  <c r="AE363" i="28"/>
  <c r="AE356" i="28"/>
  <c r="AE360" i="28"/>
  <c r="AE357" i="28"/>
  <c r="T343" i="28"/>
  <c r="F356" i="18"/>
  <c r="U343" i="28"/>
  <c r="AL351" i="28"/>
  <c r="AG364" i="18"/>
  <c r="AN364" i="18" s="1"/>
  <c r="AM351" i="28"/>
  <c r="AL343" i="28"/>
  <c r="AG356" i="18"/>
  <c r="AN356" i="18" s="1"/>
  <c r="AM343" i="28"/>
  <c r="AC340" i="28"/>
  <c r="X353" i="18"/>
  <c r="AD340" i="28"/>
  <c r="AM338" i="28"/>
  <c r="AL338" i="28"/>
  <c r="AG351" i="18"/>
  <c r="T340" i="28"/>
  <c r="F353" i="18"/>
  <c r="U340" i="28"/>
  <c r="AL339" i="28"/>
  <c r="AG352" i="18"/>
  <c r="AN352" i="18" s="1"/>
  <c r="AM339" i="28"/>
  <c r="AC339" i="28"/>
  <c r="X352" i="18"/>
  <c r="AD339" i="28"/>
  <c r="AC338" i="28"/>
  <c r="X351" i="18"/>
  <c r="T338" i="28"/>
  <c r="F351" i="18"/>
  <c r="U338" i="28"/>
  <c r="T339" i="28"/>
  <c r="F352" i="18"/>
  <c r="U339" i="28"/>
  <c r="AL340" i="28"/>
  <c r="AM340" i="28"/>
  <c r="AG353" i="18"/>
  <c r="AN353" i="18" s="1"/>
  <c r="T346" i="28"/>
  <c r="F359" i="18"/>
  <c r="U346" i="28"/>
  <c r="T337" i="28"/>
  <c r="F350" i="18"/>
  <c r="U337" i="28"/>
  <c r="AL346" i="28"/>
  <c r="AG359" i="18"/>
  <c r="AN359" i="18" s="1"/>
  <c r="AM346" i="28"/>
  <c r="AC346" i="28"/>
  <c r="X359" i="18"/>
  <c r="AD346" i="28"/>
  <c r="AD360" i="28"/>
  <c r="AD358" i="28"/>
  <c r="V354" i="18"/>
  <c r="T356" i="28" s="1"/>
  <c r="AE364" i="18"/>
  <c r="AC366" i="28" s="1"/>
  <c r="AE361" i="18"/>
  <c r="AC363" i="28" s="1"/>
  <c r="U365" i="28"/>
  <c r="AL362" i="28"/>
  <c r="AE360" i="18"/>
  <c r="AC362" i="28" s="1"/>
  <c r="AM365" i="28"/>
  <c r="AG378" i="18"/>
  <c r="AN378" i="18" s="1"/>
  <c r="AL364" i="28"/>
  <c r="F373" i="18"/>
  <c r="D375" i="28" s="1"/>
  <c r="U360" i="28"/>
  <c r="V360" i="18"/>
  <c r="T362" i="28" s="1"/>
  <c r="AL360" i="28"/>
  <c r="V355" i="18"/>
  <c r="T357" i="28" s="1"/>
  <c r="AE354" i="18"/>
  <c r="AC356" i="28" s="1"/>
  <c r="AL363" i="28"/>
  <c r="AL357" i="28"/>
  <c r="AL359" i="28"/>
  <c r="AL356" i="28"/>
  <c r="X378" i="18"/>
  <c r="V380" i="28" s="1"/>
  <c r="AD365" i="28"/>
  <c r="V357" i="18"/>
  <c r="T359" i="28" s="1"/>
  <c r="AM352" i="28"/>
  <c r="AD352" i="28"/>
  <c r="AE357" i="18" l="1"/>
  <c r="AC359" i="28" s="1"/>
  <c r="AE355" i="18"/>
  <c r="AC357" i="28" s="1"/>
  <c r="AG365" i="18"/>
  <c r="AE367" i="28" s="1"/>
  <c r="AI26" i="19"/>
  <c r="F26" i="19"/>
  <c r="F28" i="26"/>
  <c r="X373" i="18"/>
  <c r="V375" i="28" s="1"/>
  <c r="X371" i="18"/>
  <c r="V373" i="28" s="1"/>
  <c r="AE362" i="18"/>
  <c r="AC364" i="28" s="1"/>
  <c r="V362" i="18"/>
  <c r="T364" i="28" s="1"/>
  <c r="V361" i="18"/>
  <c r="T363" i="28" s="1"/>
  <c r="D365" i="28"/>
  <c r="V363" i="18"/>
  <c r="X365" i="18"/>
  <c r="AE365" i="18" s="1"/>
  <c r="AD22" i="19"/>
  <c r="AC352" i="28"/>
  <c r="W25" i="5"/>
  <c r="AN351" i="18"/>
  <c r="AN26" i="19" s="1"/>
  <c r="AF25" i="5"/>
  <c r="E25" i="5"/>
  <c r="AN365" i="18"/>
  <c r="D366" i="28"/>
  <c r="V364" i="18"/>
  <c r="AE380" i="28"/>
  <c r="D358" i="28"/>
  <c r="V356" i="18"/>
  <c r="AE366" i="28"/>
  <c r="AE358" i="28"/>
  <c r="D355" i="28"/>
  <c r="V353" i="18"/>
  <c r="D354" i="28"/>
  <c r="V352" i="18"/>
  <c r="V354" i="28"/>
  <c r="AE352" i="18"/>
  <c r="AE353" i="28"/>
  <c r="D353" i="28"/>
  <c r="V351" i="18"/>
  <c r="AE355" i="28"/>
  <c r="AE354" i="28"/>
  <c r="V355" i="28"/>
  <c r="AE353" i="18"/>
  <c r="V353" i="28"/>
  <c r="AE351" i="18"/>
  <c r="D361" i="28"/>
  <c r="V359" i="18"/>
  <c r="D352" i="28"/>
  <c r="V350" i="18"/>
  <c r="AE361" i="28"/>
  <c r="V361" i="28"/>
  <c r="AE359" i="18"/>
  <c r="AD356" i="28"/>
  <c r="X369" i="18"/>
  <c r="V371" i="28" s="1"/>
  <c r="AM362" i="28"/>
  <c r="AG375" i="18"/>
  <c r="AN375" i="18" s="1"/>
  <c r="U362" i="28"/>
  <c r="F375" i="18"/>
  <c r="D377" i="28" s="1"/>
  <c r="U363" i="28"/>
  <c r="U359" i="28"/>
  <c r="F372" i="18"/>
  <c r="D374" i="28" s="1"/>
  <c r="AD364" i="28"/>
  <c r="F370" i="18"/>
  <c r="D372" i="28" s="1"/>
  <c r="U357" i="28"/>
  <c r="X379" i="18"/>
  <c r="V381" i="28" s="1"/>
  <c r="AD366" i="28"/>
  <c r="U356" i="28"/>
  <c r="F369" i="18"/>
  <c r="D371" i="28" s="1"/>
  <c r="X376" i="18"/>
  <c r="V378" i="28" s="1"/>
  <c r="AD363" i="28"/>
  <c r="AG370" i="18"/>
  <c r="AN370" i="18" s="1"/>
  <c r="AM357" i="28"/>
  <c r="AM356" i="28"/>
  <c r="AG369" i="18"/>
  <c r="AN369" i="18" s="1"/>
  <c r="AG373" i="18"/>
  <c r="AN373" i="18" s="1"/>
  <c r="AM360" i="28"/>
  <c r="U364" i="28"/>
  <c r="AM364" i="28"/>
  <c r="AG377" i="18"/>
  <c r="AN377" i="18" s="1"/>
  <c r="AL380" i="28"/>
  <c r="X372" i="18"/>
  <c r="V374" i="28" s="1"/>
  <c r="AD359" i="28"/>
  <c r="AD357" i="28"/>
  <c r="X370" i="18"/>
  <c r="V372" i="28" s="1"/>
  <c r="AE378" i="18"/>
  <c r="AC380" i="28" s="1"/>
  <c r="AG372" i="18"/>
  <c r="AN372" i="18" s="1"/>
  <c r="AM359" i="28"/>
  <c r="AG376" i="18"/>
  <c r="AN376" i="18" s="1"/>
  <c r="AM363" i="28"/>
  <c r="V373" i="18"/>
  <c r="T375" i="28" s="1"/>
  <c r="AD362" i="28"/>
  <c r="X375" i="18"/>
  <c r="V377" i="28" s="1"/>
  <c r="AE373" i="18" l="1"/>
  <c r="AC375" i="28" s="1"/>
  <c r="AE371" i="18"/>
  <c r="AC373" i="28" s="1"/>
  <c r="S26" i="19"/>
  <c r="Q28" i="26"/>
  <c r="AL367" i="28"/>
  <c r="X377" i="18"/>
  <c r="V379" i="28" s="1"/>
  <c r="F377" i="18"/>
  <c r="D379" i="28" s="1"/>
  <c r="V367" i="28"/>
  <c r="F376" i="18"/>
  <c r="D378" i="28" s="1"/>
  <c r="T365" i="28"/>
  <c r="F378" i="18"/>
  <c r="AM25" i="5"/>
  <c r="AN25" i="5" s="1"/>
  <c r="Y23" i="19"/>
  <c r="AD25" i="5"/>
  <c r="AE25" i="5" s="1"/>
  <c r="U25" i="5"/>
  <c r="V25" i="5" s="1"/>
  <c r="T366" i="28"/>
  <c r="U366" i="28"/>
  <c r="F379" i="18"/>
  <c r="AE377" i="28"/>
  <c r="AE375" i="28"/>
  <c r="AE378" i="28"/>
  <c r="AE374" i="28"/>
  <c r="AL374" i="28"/>
  <c r="AE371" i="28"/>
  <c r="AE379" i="28"/>
  <c r="AL379" i="28"/>
  <c r="AE372" i="28"/>
  <c r="T358" i="28"/>
  <c r="F371" i="18"/>
  <c r="U358" i="28"/>
  <c r="AL366" i="28"/>
  <c r="AM366" i="28"/>
  <c r="AG379" i="18"/>
  <c r="AN379" i="18" s="1"/>
  <c r="AL358" i="28"/>
  <c r="AM358" i="28"/>
  <c r="AG371" i="18"/>
  <c r="AN371" i="18" s="1"/>
  <c r="AC355" i="28"/>
  <c r="AD355" i="28"/>
  <c r="X368" i="18"/>
  <c r="AL353" i="28"/>
  <c r="AG366" i="18"/>
  <c r="AM353" i="28"/>
  <c r="AL354" i="28"/>
  <c r="AM354" i="28"/>
  <c r="AG367" i="18"/>
  <c r="AN367" i="18" s="1"/>
  <c r="AC354" i="28"/>
  <c r="X367" i="18"/>
  <c r="AD354" i="28"/>
  <c r="AL355" i="28"/>
  <c r="AM355" i="28"/>
  <c r="AG368" i="18"/>
  <c r="AN368" i="18" s="1"/>
  <c r="U354" i="28"/>
  <c r="F367" i="18"/>
  <c r="T354" i="28"/>
  <c r="X366" i="18"/>
  <c r="AD353" i="28"/>
  <c r="AC353" i="28"/>
  <c r="T353" i="28"/>
  <c r="F366" i="18"/>
  <c r="U353" i="28"/>
  <c r="T355" i="28"/>
  <c r="F368" i="18"/>
  <c r="U355" i="28"/>
  <c r="T361" i="28"/>
  <c r="F374" i="18"/>
  <c r="U361" i="28"/>
  <c r="T352" i="28"/>
  <c r="F365" i="18"/>
  <c r="U352" i="28"/>
  <c r="AL361" i="28"/>
  <c r="AM361" i="28"/>
  <c r="AG374" i="18"/>
  <c r="AN374" i="18" s="1"/>
  <c r="AC361" i="28"/>
  <c r="X374" i="18"/>
  <c r="AD361" i="28"/>
  <c r="AD367" i="28"/>
  <c r="AC367" i="28"/>
  <c r="X380" i="18"/>
  <c r="F388" i="18"/>
  <c r="D390" i="28" s="1"/>
  <c r="U375" i="28"/>
  <c r="AD373" i="28"/>
  <c r="AL372" i="28"/>
  <c r="AE375" i="18"/>
  <c r="AC377" i="28" s="1"/>
  <c r="X393" i="18"/>
  <c r="V395" i="28" s="1"/>
  <c r="AD380" i="28"/>
  <c r="AL375" i="28"/>
  <c r="U380" i="28"/>
  <c r="AE370" i="18"/>
  <c r="AC372" i="28" s="1"/>
  <c r="V369" i="18"/>
  <c r="T371" i="28" s="1"/>
  <c r="V372" i="18"/>
  <c r="T374" i="28" s="1"/>
  <c r="X388" i="18"/>
  <c r="V390" i="28" s="1"/>
  <c r="AD375" i="28"/>
  <c r="AG393" i="18"/>
  <c r="AN393" i="18" s="1"/>
  <c r="AM380" i="28"/>
  <c r="AL377" i="28"/>
  <c r="AE372" i="18"/>
  <c r="AC374" i="28" s="1"/>
  <c r="AG380" i="18"/>
  <c r="AE376" i="18"/>
  <c r="AC378" i="28" s="1"/>
  <c r="AM367" i="28"/>
  <c r="AL378" i="28"/>
  <c r="V370" i="18"/>
  <c r="T372" i="28" s="1"/>
  <c r="AL371" i="28"/>
  <c r="AE379" i="18"/>
  <c r="AC381" i="28" s="1"/>
  <c r="V375" i="18"/>
  <c r="T377" i="28" s="1"/>
  <c r="AE369" i="18"/>
  <c r="AC371" i="28" s="1"/>
  <c r="X386" i="18" l="1"/>
  <c r="V388" i="28" s="1"/>
  <c r="F27" i="19"/>
  <c r="F29" i="26"/>
  <c r="AI27" i="19"/>
  <c r="AE377" i="18"/>
  <c r="AC379" i="28" s="1"/>
  <c r="V377" i="18"/>
  <c r="T379" i="28" s="1"/>
  <c r="V376" i="18"/>
  <c r="T378" i="28" s="1"/>
  <c r="D380" i="28"/>
  <c r="V378" i="18"/>
  <c r="AN366" i="18"/>
  <c r="AN27" i="19" s="1"/>
  <c r="AF26" i="5"/>
  <c r="W26" i="5"/>
  <c r="AN380" i="18"/>
  <c r="E26" i="5"/>
  <c r="D381" i="28"/>
  <c r="V379" i="18"/>
  <c r="AE382" i="28"/>
  <c r="AE395" i="28"/>
  <c r="D373" i="28"/>
  <c r="V371" i="18"/>
  <c r="AE381" i="28"/>
  <c r="AE373" i="28"/>
  <c r="V366" i="18"/>
  <c r="D368" i="28"/>
  <c r="AE370" i="28"/>
  <c r="AE368" i="28"/>
  <c r="V368" i="28"/>
  <c r="AE366" i="18"/>
  <c r="AD23" i="19" s="1"/>
  <c r="V369" i="28"/>
  <c r="AE367" i="18"/>
  <c r="V370" i="28"/>
  <c r="AE368" i="18"/>
  <c r="D370" i="28"/>
  <c r="V368" i="18"/>
  <c r="D369" i="28"/>
  <c r="V367" i="18"/>
  <c r="AE369" i="28"/>
  <c r="D376" i="28"/>
  <c r="V374" i="18"/>
  <c r="D367" i="28"/>
  <c r="V365" i="18"/>
  <c r="AE376" i="28"/>
  <c r="V376" i="28"/>
  <c r="AE374" i="18"/>
  <c r="AE380" i="18"/>
  <c r="V382" i="28"/>
  <c r="F390" i="18"/>
  <c r="D392" i="28" s="1"/>
  <c r="U377" i="28"/>
  <c r="AG387" i="18"/>
  <c r="AN387" i="18" s="1"/>
  <c r="AM374" i="28"/>
  <c r="AM378" i="28"/>
  <c r="AG391" i="18"/>
  <c r="AN391" i="18" s="1"/>
  <c r="X391" i="18"/>
  <c r="V393" i="28" s="1"/>
  <c r="AD378" i="28"/>
  <c r="AG392" i="18"/>
  <c r="AN392" i="18" s="1"/>
  <c r="AM379" i="28"/>
  <c r="AE388" i="18"/>
  <c r="AC390" i="28" s="1"/>
  <c r="F384" i="18"/>
  <c r="D386" i="28" s="1"/>
  <c r="U371" i="28"/>
  <c r="U378" i="28"/>
  <c r="AG388" i="18"/>
  <c r="AN388" i="18" s="1"/>
  <c r="AM375" i="28"/>
  <c r="AM372" i="28"/>
  <c r="AG385" i="18"/>
  <c r="AN385" i="18" s="1"/>
  <c r="X394" i="18"/>
  <c r="V396" i="28" s="1"/>
  <c r="AD381" i="28"/>
  <c r="AD372" i="28"/>
  <c r="X385" i="18"/>
  <c r="V387" i="28" s="1"/>
  <c r="AG384" i="18"/>
  <c r="AN384" i="18" s="1"/>
  <c r="AM371" i="28"/>
  <c r="AL395" i="28"/>
  <c r="AD377" i="28"/>
  <c r="X390" i="18"/>
  <c r="V392" i="28" s="1"/>
  <c r="F385" i="18"/>
  <c r="D387" i="28" s="1"/>
  <c r="U372" i="28"/>
  <c r="X387" i="18"/>
  <c r="V389" i="28" s="1"/>
  <c r="AD374" i="28"/>
  <c r="AD371" i="28"/>
  <c r="X384" i="18"/>
  <c r="V386" i="28" s="1"/>
  <c r="U379" i="28"/>
  <c r="AE393" i="18"/>
  <c r="AC395" i="28" s="1"/>
  <c r="V388" i="18"/>
  <c r="T390" i="28" s="1"/>
  <c r="AG390" i="18"/>
  <c r="AN390" i="18" s="1"/>
  <c r="AM377" i="28"/>
  <c r="AD379" i="28"/>
  <c r="U374" i="28"/>
  <c r="F387" i="18"/>
  <c r="D389" i="28" s="1"/>
  <c r="AE386" i="18" l="1"/>
  <c r="AC388" i="28" s="1"/>
  <c r="AL382" i="28"/>
  <c r="S27" i="19"/>
  <c r="Q29" i="26"/>
  <c r="X392" i="18"/>
  <c r="V394" i="28" s="1"/>
  <c r="F392" i="18"/>
  <c r="D394" i="28" s="1"/>
  <c r="F391" i="18"/>
  <c r="D393" i="28" s="1"/>
  <c r="T380" i="28"/>
  <c r="F393" i="18"/>
  <c r="AM26" i="5"/>
  <c r="AN26" i="5" s="1"/>
  <c r="AD26" i="5"/>
  <c r="AE26" i="5" s="1"/>
  <c r="U26" i="5"/>
  <c r="V26" i="5" s="1"/>
  <c r="T381" i="28"/>
  <c r="F394" i="18"/>
  <c r="U381" i="28"/>
  <c r="AE394" i="28"/>
  <c r="AE390" i="28"/>
  <c r="AE393" i="28"/>
  <c r="AE386" i="28"/>
  <c r="AL386" i="28"/>
  <c r="AE392" i="28"/>
  <c r="AE387" i="28"/>
  <c r="AE389" i="28"/>
  <c r="T373" i="28"/>
  <c r="U373" i="28"/>
  <c r="F386" i="18"/>
  <c r="AL381" i="28"/>
  <c r="AG394" i="18"/>
  <c r="AN394" i="18" s="1"/>
  <c r="AM381" i="28"/>
  <c r="AL373" i="28"/>
  <c r="AM373" i="28"/>
  <c r="AG386" i="18"/>
  <c r="AN386" i="18" s="1"/>
  <c r="T369" i="28"/>
  <c r="F382" i="18"/>
  <c r="U369" i="28"/>
  <c r="AD368" i="28"/>
  <c r="X381" i="18"/>
  <c r="Y24" i="19" s="1"/>
  <c r="AC368" i="28"/>
  <c r="T370" i="28"/>
  <c r="F383" i="18"/>
  <c r="U370" i="28"/>
  <c r="AL368" i="28"/>
  <c r="AM368" i="28"/>
  <c r="AG381" i="18"/>
  <c r="AC370" i="28"/>
  <c r="AD370" i="28"/>
  <c r="X383" i="18"/>
  <c r="AL370" i="28"/>
  <c r="AG383" i="18"/>
  <c r="AN383" i="18" s="1"/>
  <c r="AM370" i="28"/>
  <c r="AL369" i="28"/>
  <c r="AM369" i="28"/>
  <c r="AG382" i="18"/>
  <c r="AN382" i="18" s="1"/>
  <c r="AC369" i="28"/>
  <c r="X382" i="18"/>
  <c r="AD369" i="28"/>
  <c r="T368" i="28"/>
  <c r="F381" i="18"/>
  <c r="U368" i="28"/>
  <c r="T376" i="28"/>
  <c r="U376" i="28"/>
  <c r="F389" i="18"/>
  <c r="T367" i="28"/>
  <c r="U367" i="28"/>
  <c r="F380" i="18"/>
  <c r="AL376" i="28"/>
  <c r="AG389" i="18"/>
  <c r="AN389" i="18" s="1"/>
  <c r="AM376" i="28"/>
  <c r="AC376" i="28"/>
  <c r="AD376" i="28"/>
  <c r="X389" i="18"/>
  <c r="X395" i="18"/>
  <c r="AC382" i="28"/>
  <c r="AD382" i="28"/>
  <c r="V387" i="18"/>
  <c r="T389" i="28" s="1"/>
  <c r="X408" i="18"/>
  <c r="V410" i="28" s="1"/>
  <c r="AD395" i="28"/>
  <c r="V385" i="18"/>
  <c r="T387" i="28" s="1"/>
  <c r="AG408" i="18"/>
  <c r="AN408" i="18" s="1"/>
  <c r="AM395" i="28"/>
  <c r="AE385" i="18"/>
  <c r="AC387" i="28" s="1"/>
  <c r="AE390" i="18"/>
  <c r="AC392" i="28" s="1"/>
  <c r="AL394" i="28"/>
  <c r="AE384" i="18"/>
  <c r="AC386" i="28" s="1"/>
  <c r="U395" i="28"/>
  <c r="AL390" i="28"/>
  <c r="AL389" i="28"/>
  <c r="X403" i="18"/>
  <c r="V405" i="28" s="1"/>
  <c r="AD390" i="28"/>
  <c r="AG395" i="18"/>
  <c r="AM382" i="28"/>
  <c r="AE394" i="18"/>
  <c r="AC396" i="28" s="1"/>
  <c r="AE391" i="18"/>
  <c r="AC393" i="28" s="1"/>
  <c r="V390" i="18"/>
  <c r="T392" i="28" s="1"/>
  <c r="AE387" i="18"/>
  <c r="AC389" i="28" s="1"/>
  <c r="V384" i="18"/>
  <c r="T386" i="28" s="1"/>
  <c r="F403" i="18"/>
  <c r="D405" i="28" s="1"/>
  <c r="U390" i="28"/>
  <c r="AL392" i="28"/>
  <c r="AD388" i="28"/>
  <c r="X401" i="18"/>
  <c r="V403" i="28" s="1"/>
  <c r="AL387" i="28"/>
  <c r="AL393" i="28"/>
  <c r="AI28" i="19" l="1"/>
  <c r="F30" i="26"/>
  <c r="F28" i="19"/>
  <c r="AE392" i="18"/>
  <c r="AC394" i="28" s="1"/>
  <c r="V391" i="18"/>
  <c r="T393" i="28" s="1"/>
  <c r="V392" i="18"/>
  <c r="T394" i="28" s="1"/>
  <c r="D395" i="28"/>
  <c r="V393" i="18"/>
  <c r="W27" i="5"/>
  <c r="AN395" i="18"/>
  <c r="AN381" i="18"/>
  <c r="AF27" i="5"/>
  <c r="E27" i="5"/>
  <c r="D396" i="28"/>
  <c r="V394" i="18"/>
  <c r="AE410" i="28"/>
  <c r="AE397" i="28"/>
  <c r="D388" i="28"/>
  <c r="V386" i="18"/>
  <c r="AE396" i="28"/>
  <c r="AE388" i="28"/>
  <c r="D385" i="28"/>
  <c r="V383" i="18"/>
  <c r="V384" i="28"/>
  <c r="AE382" i="18"/>
  <c r="V385" i="28"/>
  <c r="AE383" i="18"/>
  <c r="AE384" i="28"/>
  <c r="V383" i="28"/>
  <c r="AE381" i="18"/>
  <c r="AD24" i="19" s="1"/>
  <c r="AE383" i="28"/>
  <c r="D383" i="28"/>
  <c r="V381" i="18"/>
  <c r="D384" i="28"/>
  <c r="V382" i="18"/>
  <c r="AE385" i="28"/>
  <c r="D391" i="28"/>
  <c r="V389" i="18"/>
  <c r="D382" i="28"/>
  <c r="V380" i="18"/>
  <c r="AE391" i="28"/>
  <c r="V391" i="28"/>
  <c r="AE389" i="18"/>
  <c r="V397" i="28"/>
  <c r="AE395" i="18"/>
  <c r="F399" i="18"/>
  <c r="D401" i="28" s="1"/>
  <c r="U386" i="28"/>
  <c r="F400" i="18"/>
  <c r="D402" i="28" s="1"/>
  <c r="U387" i="28"/>
  <c r="AE401" i="18"/>
  <c r="AC403" i="28" s="1"/>
  <c r="AD393" i="28"/>
  <c r="X406" i="18"/>
  <c r="V408" i="28" s="1"/>
  <c r="AG402" i="18"/>
  <c r="AN402" i="18" s="1"/>
  <c r="AM389" i="28"/>
  <c r="AM386" i="28"/>
  <c r="AG399" i="18"/>
  <c r="AN399" i="18" s="1"/>
  <c r="X402" i="18"/>
  <c r="V404" i="28" s="1"/>
  <c r="AD389" i="28"/>
  <c r="U394" i="28"/>
  <c r="AM393" i="28"/>
  <c r="AG406" i="18"/>
  <c r="AN406" i="18" s="1"/>
  <c r="AG405" i="18"/>
  <c r="AN405" i="18" s="1"/>
  <c r="AM392" i="28"/>
  <c r="U393" i="28"/>
  <c r="AD394" i="28"/>
  <c r="X407" i="18"/>
  <c r="V409" i="28" s="1"/>
  <c r="AG403" i="18"/>
  <c r="AN403" i="18" s="1"/>
  <c r="AM390" i="28"/>
  <c r="X399" i="18"/>
  <c r="V401" i="28" s="1"/>
  <c r="AD386" i="28"/>
  <c r="X405" i="18"/>
  <c r="V407" i="28" s="1"/>
  <c r="AD392" i="28"/>
  <c r="X400" i="18"/>
  <c r="V402" i="28" s="1"/>
  <c r="AD387" i="28"/>
  <c r="F405" i="18"/>
  <c r="D407" i="28" s="1"/>
  <c r="U392" i="28"/>
  <c r="AE408" i="18"/>
  <c r="AC410" i="28" s="1"/>
  <c r="V403" i="18"/>
  <c r="T405" i="28" s="1"/>
  <c r="AD396" i="28"/>
  <c r="X409" i="18"/>
  <c r="V411" i="28" s="1"/>
  <c r="AE403" i="18"/>
  <c r="AC405" i="28" s="1"/>
  <c r="AL410" i="28"/>
  <c r="AM387" i="28"/>
  <c r="AG400" i="18"/>
  <c r="AN400" i="18" s="1"/>
  <c r="AG407" i="18"/>
  <c r="AN407" i="18" s="1"/>
  <c r="AM394" i="28"/>
  <c r="F402" i="18"/>
  <c r="D404" i="28" s="1"/>
  <c r="U389" i="28"/>
  <c r="AM27" i="5" l="1"/>
  <c r="AN27" i="5" s="1"/>
  <c r="AN28" i="19"/>
  <c r="AL397" i="28"/>
  <c r="S28" i="19"/>
  <c r="Q30" i="26"/>
  <c r="F406" i="18"/>
  <c r="D408" i="28" s="1"/>
  <c r="F407" i="18"/>
  <c r="D409" i="28" s="1"/>
  <c r="T395" i="28"/>
  <c r="F408" i="18"/>
  <c r="AD27" i="5"/>
  <c r="AE27" i="5" s="1"/>
  <c r="U27" i="5"/>
  <c r="V27" i="5" s="1"/>
  <c r="T396" i="28"/>
  <c r="F409" i="18"/>
  <c r="U396" i="28"/>
  <c r="AE402" i="28"/>
  <c r="AE409" i="28"/>
  <c r="AL409" i="28"/>
  <c r="AE401" i="28"/>
  <c r="AE407" i="28"/>
  <c r="AE408" i="28"/>
  <c r="AE405" i="28"/>
  <c r="AE404" i="28"/>
  <c r="T388" i="28"/>
  <c r="F401" i="18"/>
  <c r="U388" i="28"/>
  <c r="AL396" i="28"/>
  <c r="AM396" i="28"/>
  <c r="AG409" i="18"/>
  <c r="AN409" i="18" s="1"/>
  <c r="AL388" i="28"/>
  <c r="AG401" i="18"/>
  <c r="AN401" i="18" s="1"/>
  <c r="AM388" i="28"/>
  <c r="T384" i="28"/>
  <c r="F397" i="18"/>
  <c r="U384" i="28"/>
  <c r="AL384" i="28"/>
  <c r="AG397" i="18"/>
  <c r="AN397" i="18" s="1"/>
  <c r="AM384" i="28"/>
  <c r="T383" i="28"/>
  <c r="F396" i="18"/>
  <c r="U383" i="28"/>
  <c r="AC385" i="28"/>
  <c r="AD385" i="28"/>
  <c r="X398" i="18"/>
  <c r="AL383" i="28"/>
  <c r="AG396" i="18"/>
  <c r="AM383" i="28"/>
  <c r="AC384" i="28"/>
  <c r="X397" i="18"/>
  <c r="AD384" i="28"/>
  <c r="AL385" i="28"/>
  <c r="AG398" i="18"/>
  <c r="AN398" i="18" s="1"/>
  <c r="AM385" i="28"/>
  <c r="AD383" i="28"/>
  <c r="X396" i="18"/>
  <c r="Y25" i="19" s="1"/>
  <c r="AC383" i="28"/>
  <c r="T385" i="28"/>
  <c r="U385" i="28"/>
  <c r="F398" i="18"/>
  <c r="T391" i="28"/>
  <c r="U391" i="28"/>
  <c r="F404" i="18"/>
  <c r="F395" i="18"/>
  <c r="U382" i="28"/>
  <c r="T382" i="28"/>
  <c r="AL391" i="28"/>
  <c r="AG404" i="18"/>
  <c r="AN404" i="18" s="1"/>
  <c r="AM391" i="28"/>
  <c r="AC391" i="28"/>
  <c r="AD391" i="28"/>
  <c r="X404" i="18"/>
  <c r="AC397" i="28"/>
  <c r="AD397" i="28"/>
  <c r="X410" i="18"/>
  <c r="AE405" i="18"/>
  <c r="AC407" i="28" s="1"/>
  <c r="V402" i="18"/>
  <c r="T404" i="28" s="1"/>
  <c r="V405" i="18"/>
  <c r="T407" i="28" s="1"/>
  <c r="AE407" i="18"/>
  <c r="AC409" i="28" s="1"/>
  <c r="AL404" i="28"/>
  <c r="U410" i="28"/>
  <c r="AL402" i="28"/>
  <c r="AG410" i="18"/>
  <c r="AM397" i="28"/>
  <c r="AD405" i="28"/>
  <c r="X418" i="18"/>
  <c r="V420" i="28" s="1"/>
  <c r="AE399" i="18"/>
  <c r="AC401" i="28" s="1"/>
  <c r="AL407" i="28"/>
  <c r="AG423" i="18"/>
  <c r="AN423" i="18" s="1"/>
  <c r="AM410" i="28"/>
  <c r="AE409" i="18"/>
  <c r="AC411" i="28" s="1"/>
  <c r="AE402" i="18"/>
  <c r="AC404" i="28" s="1"/>
  <c r="AE400" i="18"/>
  <c r="AC402" i="28" s="1"/>
  <c r="AL408" i="28"/>
  <c r="AD403" i="28"/>
  <c r="X416" i="18"/>
  <c r="V418" i="28" s="1"/>
  <c r="X423" i="18"/>
  <c r="V425" i="28" s="1"/>
  <c r="AD410" i="28"/>
  <c r="AL405" i="28"/>
  <c r="AL401" i="28"/>
  <c r="AE406" i="18"/>
  <c r="AC408" i="28" s="1"/>
  <c r="V399" i="18"/>
  <c r="T401" i="28" s="1"/>
  <c r="F418" i="18"/>
  <c r="D420" i="28" s="1"/>
  <c r="U405" i="28"/>
  <c r="V400" i="18"/>
  <c r="T402" i="28" s="1"/>
  <c r="AI29" i="19" l="1"/>
  <c r="F31" i="26"/>
  <c r="F29" i="19"/>
  <c r="V406" i="18"/>
  <c r="T408" i="28" s="1"/>
  <c r="V407" i="18"/>
  <c r="T409" i="28" s="1"/>
  <c r="D410" i="28"/>
  <c r="V408" i="18"/>
  <c r="E28" i="5"/>
  <c r="W28" i="5"/>
  <c r="AN396" i="18"/>
  <c r="AF28" i="5"/>
  <c r="AN410" i="18"/>
  <c r="AL412" i="28" s="1"/>
  <c r="D411" i="28"/>
  <c r="V409" i="18"/>
  <c r="AE412" i="28"/>
  <c r="AE425" i="28"/>
  <c r="D403" i="28"/>
  <c r="V401" i="18"/>
  <c r="AE411" i="28"/>
  <c r="AE403" i="28"/>
  <c r="D398" i="28"/>
  <c r="V396" i="18"/>
  <c r="V398" i="28"/>
  <c r="AE396" i="18"/>
  <c r="AD25" i="19" s="1"/>
  <c r="AE398" i="28"/>
  <c r="AE399" i="28"/>
  <c r="AE400" i="28"/>
  <c r="V400" i="28"/>
  <c r="AE398" i="18"/>
  <c r="D400" i="28"/>
  <c r="V398" i="18"/>
  <c r="D399" i="28"/>
  <c r="V397" i="18"/>
  <c r="V399" i="28"/>
  <c r="AE397" i="18"/>
  <c r="D406" i="28"/>
  <c r="V404" i="18"/>
  <c r="D397" i="28"/>
  <c r="V395" i="18"/>
  <c r="AE406" i="28"/>
  <c r="V406" i="28"/>
  <c r="AE404" i="18"/>
  <c r="V412" i="28"/>
  <c r="AE410" i="18"/>
  <c r="AG414" i="18"/>
  <c r="AN414" i="18" s="1"/>
  <c r="AM401" i="28"/>
  <c r="AD404" i="28"/>
  <c r="X417" i="18"/>
  <c r="V419" i="28" s="1"/>
  <c r="AD409" i="28"/>
  <c r="X422" i="18"/>
  <c r="V424" i="28" s="1"/>
  <c r="F415" i="18"/>
  <c r="D417" i="28" s="1"/>
  <c r="U402" i="28"/>
  <c r="V418" i="18"/>
  <c r="T420" i="28" s="1"/>
  <c r="AM402" i="28"/>
  <c r="AG415" i="18"/>
  <c r="AN415" i="18" s="1"/>
  <c r="U409" i="28"/>
  <c r="U408" i="28"/>
  <c r="AD411" i="28"/>
  <c r="X424" i="18"/>
  <c r="V426" i="28" s="1"/>
  <c r="AG420" i="18"/>
  <c r="AN420" i="18" s="1"/>
  <c r="AM407" i="28"/>
  <c r="F420" i="18"/>
  <c r="D422" i="28" s="1"/>
  <c r="U407" i="28"/>
  <c r="F417" i="18"/>
  <c r="D419" i="28" s="1"/>
  <c r="U404" i="28"/>
  <c r="AG422" i="18"/>
  <c r="AN422" i="18" s="1"/>
  <c r="AM409" i="28"/>
  <c r="AM408" i="28"/>
  <c r="AG421" i="18"/>
  <c r="AN421" i="18" s="1"/>
  <c r="U401" i="28"/>
  <c r="F414" i="18"/>
  <c r="D416" i="28" s="1"/>
  <c r="AM405" i="28"/>
  <c r="AG418" i="18"/>
  <c r="AN418" i="18" s="1"/>
  <c r="AE416" i="18"/>
  <c r="AC418" i="28" s="1"/>
  <c r="AL425" i="28"/>
  <c r="X414" i="18"/>
  <c r="V416" i="28" s="1"/>
  <c r="AD401" i="28"/>
  <c r="X420" i="18"/>
  <c r="V422" i="28" s="1"/>
  <c r="AD407" i="28"/>
  <c r="AD402" i="28"/>
  <c r="X415" i="18"/>
  <c r="V417" i="28" s="1"/>
  <c r="AE418" i="18"/>
  <c r="AC420" i="28" s="1"/>
  <c r="X421" i="18"/>
  <c r="V423" i="28" s="1"/>
  <c r="AD408" i="28"/>
  <c r="AE423" i="18"/>
  <c r="AC425" i="28" s="1"/>
  <c r="AM404" i="28"/>
  <c r="AG417" i="18"/>
  <c r="AN417" i="18" s="1"/>
  <c r="Q31" i="26" l="1"/>
  <c r="S29" i="19"/>
  <c r="AM28" i="5"/>
  <c r="AN28" i="5" s="1"/>
  <c r="AN29" i="19"/>
  <c r="F422" i="18"/>
  <c r="D424" i="28" s="1"/>
  <c r="F421" i="18"/>
  <c r="D423" i="28" s="1"/>
  <c r="T410" i="28"/>
  <c r="F423" i="18"/>
  <c r="AD28" i="5"/>
  <c r="AE28" i="5" s="1"/>
  <c r="U28" i="5"/>
  <c r="V28" i="5" s="1"/>
  <c r="T411" i="28"/>
  <c r="U411" i="28"/>
  <c r="F424" i="18"/>
  <c r="AE420" i="28"/>
  <c r="AE423" i="28"/>
  <c r="AE424" i="28"/>
  <c r="AE419" i="28"/>
  <c r="AL419" i="28"/>
  <c r="AE417" i="28"/>
  <c r="AE422" i="28"/>
  <c r="AE416" i="28"/>
  <c r="T403" i="28"/>
  <c r="F416" i="18"/>
  <c r="U403" i="28"/>
  <c r="AL411" i="28"/>
  <c r="AM411" i="28"/>
  <c r="AG424" i="18"/>
  <c r="AN424" i="18" s="1"/>
  <c r="AL403" i="28"/>
  <c r="AM403" i="28"/>
  <c r="AG416" i="18"/>
  <c r="AN416" i="18" s="1"/>
  <c r="T399" i="28"/>
  <c r="U399" i="28"/>
  <c r="F412" i="18"/>
  <c r="AL399" i="28"/>
  <c r="AM399" i="28"/>
  <c r="AG412" i="18"/>
  <c r="AN412" i="18" s="1"/>
  <c r="T400" i="28"/>
  <c r="F413" i="18"/>
  <c r="U400" i="28"/>
  <c r="AL398" i="28"/>
  <c r="AG411" i="18"/>
  <c r="AM398" i="28"/>
  <c r="AC400" i="28"/>
  <c r="X413" i="18"/>
  <c r="AD400" i="28"/>
  <c r="AD398" i="28"/>
  <c r="AC398" i="28"/>
  <c r="X411" i="18"/>
  <c r="Y26" i="19" s="1"/>
  <c r="AD399" i="28"/>
  <c r="X412" i="18"/>
  <c r="AC399" i="28"/>
  <c r="AL400" i="28"/>
  <c r="AM400" i="28"/>
  <c r="AG413" i="18"/>
  <c r="AN413" i="18" s="1"/>
  <c r="T398" i="28"/>
  <c r="U398" i="28"/>
  <c r="F411" i="18"/>
  <c r="T406" i="28"/>
  <c r="U406" i="28"/>
  <c r="F419" i="18"/>
  <c r="T397" i="28"/>
  <c r="F410" i="18"/>
  <c r="U397" i="28"/>
  <c r="AL406" i="28"/>
  <c r="AM406" i="28"/>
  <c r="AG419" i="18"/>
  <c r="AN419" i="18" s="1"/>
  <c r="AC406" i="28"/>
  <c r="AD406" i="28"/>
  <c r="X419" i="18"/>
  <c r="AC412" i="28"/>
  <c r="AD412" i="28"/>
  <c r="X425" i="18"/>
  <c r="AE414" i="18"/>
  <c r="AC416" i="28" s="1"/>
  <c r="AL417" i="28"/>
  <c r="AE417" i="18"/>
  <c r="AC419" i="28" s="1"/>
  <c r="X438" i="18"/>
  <c r="V440" i="28" s="1"/>
  <c r="AD425" i="28"/>
  <c r="AE420" i="18"/>
  <c r="AC422" i="28" s="1"/>
  <c r="V414" i="18"/>
  <c r="T416" i="28" s="1"/>
  <c r="U425" i="28"/>
  <c r="AL422" i="28"/>
  <c r="V415" i="18"/>
  <c r="T417" i="28" s="1"/>
  <c r="AD420" i="28"/>
  <c r="X433" i="18"/>
  <c r="V435" i="28" s="1"/>
  <c r="AL423" i="28"/>
  <c r="AE421" i="18"/>
  <c r="AC423" i="28" s="1"/>
  <c r="AG438" i="18"/>
  <c r="AN438" i="18" s="1"/>
  <c r="AM425" i="28"/>
  <c r="V417" i="18"/>
  <c r="T419" i="28" s="1"/>
  <c r="AE424" i="18"/>
  <c r="AC426" i="28" s="1"/>
  <c r="AE422" i="18"/>
  <c r="AC424" i="28" s="1"/>
  <c r="AE415" i="18"/>
  <c r="AC417" i="28" s="1"/>
  <c r="AD418" i="28"/>
  <c r="X431" i="18"/>
  <c r="V433" i="28" s="1"/>
  <c r="AM412" i="28"/>
  <c r="AG425" i="18"/>
  <c r="AL420" i="28"/>
  <c r="AL424" i="28"/>
  <c r="V420" i="18"/>
  <c r="T422" i="28" s="1"/>
  <c r="AL416" i="28"/>
  <c r="F433" i="18"/>
  <c r="D435" i="28" s="1"/>
  <c r="U420" i="28"/>
  <c r="V422" i="18" l="1"/>
  <c r="T424" i="28" s="1"/>
  <c r="V421" i="18"/>
  <c r="T423" i="28" s="1"/>
  <c r="D425" i="28"/>
  <c r="V423" i="18"/>
  <c r="E29" i="5"/>
  <c r="AN425" i="18"/>
  <c r="AL427" i="28" s="1"/>
  <c r="AN411" i="18"/>
  <c r="AM29" i="5" s="1"/>
  <c r="AN29" i="5" s="1"/>
  <c r="AF29" i="5"/>
  <c r="W29" i="5"/>
  <c r="D426" i="28"/>
  <c r="V424" i="18"/>
  <c r="AE427" i="28"/>
  <c r="AE440" i="28"/>
  <c r="D418" i="28"/>
  <c r="V416" i="18"/>
  <c r="AE426" i="28"/>
  <c r="AE418" i="28"/>
  <c r="AE415" i="28"/>
  <c r="D415" i="28"/>
  <c r="V413" i="18"/>
  <c r="V415" i="28"/>
  <c r="AE413" i="18"/>
  <c r="AE414" i="28"/>
  <c r="V414" i="28"/>
  <c r="AE412" i="18"/>
  <c r="D413" i="28"/>
  <c r="V411" i="18"/>
  <c r="AE413" i="28"/>
  <c r="D414" i="28"/>
  <c r="V412" i="18"/>
  <c r="V413" i="28"/>
  <c r="AE411" i="18"/>
  <c r="AD26" i="19" s="1"/>
  <c r="D421" i="28"/>
  <c r="V419" i="18"/>
  <c r="D412" i="28"/>
  <c r="V410" i="18"/>
  <c r="AE421" i="28"/>
  <c r="V421" i="28"/>
  <c r="AE419" i="18"/>
  <c r="V427" i="28"/>
  <c r="AE425" i="18"/>
  <c r="AE438" i="18"/>
  <c r="AC440" i="28" s="1"/>
  <c r="AG430" i="18"/>
  <c r="AN430" i="18" s="1"/>
  <c r="AM417" i="28"/>
  <c r="AG429" i="18"/>
  <c r="AN429" i="18" s="1"/>
  <c r="AM416" i="28"/>
  <c r="AG433" i="18"/>
  <c r="AN433" i="18" s="1"/>
  <c r="AM420" i="28"/>
  <c r="AL440" i="28"/>
  <c r="AG436" i="18"/>
  <c r="AN436" i="18" s="1"/>
  <c r="AM423" i="28"/>
  <c r="F430" i="18"/>
  <c r="D432" i="28" s="1"/>
  <c r="U417" i="28"/>
  <c r="U423" i="28"/>
  <c r="U424" i="28"/>
  <c r="X430" i="18"/>
  <c r="V432" i="28" s="1"/>
  <c r="AD417" i="28"/>
  <c r="AD424" i="28"/>
  <c r="X437" i="18"/>
  <c r="V439" i="28" s="1"/>
  <c r="AE433" i="18"/>
  <c r="AC435" i="28" s="1"/>
  <c r="AD423" i="28"/>
  <c r="X436" i="18"/>
  <c r="V438" i="28" s="1"/>
  <c r="AM422" i="28"/>
  <c r="AG435" i="18"/>
  <c r="AN435" i="18" s="1"/>
  <c r="F429" i="18"/>
  <c r="D431" i="28" s="1"/>
  <c r="U416" i="28"/>
  <c r="AD416" i="28"/>
  <c r="X429" i="18"/>
  <c r="V431" i="28" s="1"/>
  <c r="F435" i="18"/>
  <c r="D437" i="28" s="1"/>
  <c r="U422" i="28"/>
  <c r="X439" i="18"/>
  <c r="V441" i="28" s="1"/>
  <c r="AD426" i="28"/>
  <c r="V433" i="18"/>
  <c r="T435" i="28" s="1"/>
  <c r="AG432" i="18"/>
  <c r="AN432" i="18" s="1"/>
  <c r="AM419" i="28"/>
  <c r="X435" i="18"/>
  <c r="V437" i="28" s="1"/>
  <c r="AD422" i="28"/>
  <c r="AD419" i="28"/>
  <c r="X432" i="18"/>
  <c r="V434" i="28" s="1"/>
  <c r="AM424" i="28"/>
  <c r="AG437" i="18"/>
  <c r="AN437" i="18" s="1"/>
  <c r="AE431" i="18"/>
  <c r="AC433" i="28" s="1"/>
  <c r="U419" i="28"/>
  <c r="F432" i="18"/>
  <c r="D434" i="28" s="1"/>
  <c r="F436" i="18" l="1"/>
  <c r="D438" i="28" s="1"/>
  <c r="F437" i="18"/>
  <c r="D439" i="28" s="1"/>
  <c r="T425" i="28"/>
  <c r="F438" i="18"/>
  <c r="AD29" i="5"/>
  <c r="AE29" i="5" s="1"/>
  <c r="U29" i="5"/>
  <c r="V29" i="5" s="1"/>
  <c r="T426" i="28"/>
  <c r="U426" i="28"/>
  <c r="F439" i="18"/>
  <c r="AE434" i="28"/>
  <c r="AE435" i="28"/>
  <c r="AE431" i="28"/>
  <c r="AE432" i="28"/>
  <c r="AE439" i="28"/>
  <c r="AE437" i="28"/>
  <c r="AE438" i="28"/>
  <c r="T418" i="28"/>
  <c r="U418" i="28"/>
  <c r="F431" i="18"/>
  <c r="AL426" i="28"/>
  <c r="AM426" i="28"/>
  <c r="AG439" i="18"/>
  <c r="AN439" i="18" s="1"/>
  <c r="AL418" i="28"/>
  <c r="AG431" i="18"/>
  <c r="AN431" i="18" s="1"/>
  <c r="AM418" i="28"/>
  <c r="T414" i="28"/>
  <c r="F427" i="18"/>
  <c r="U414" i="28"/>
  <c r="AG427" i="18"/>
  <c r="AN427" i="18" s="1"/>
  <c r="AL414" i="28"/>
  <c r="AM414" i="28"/>
  <c r="AL413" i="28"/>
  <c r="AM413" i="28"/>
  <c r="AG426" i="18"/>
  <c r="AC415" i="28"/>
  <c r="X428" i="18"/>
  <c r="AD415" i="28"/>
  <c r="T413" i="28"/>
  <c r="F426" i="18"/>
  <c r="U413" i="28"/>
  <c r="T415" i="28"/>
  <c r="F428" i="18"/>
  <c r="U415" i="28"/>
  <c r="AC413" i="28"/>
  <c r="X426" i="18"/>
  <c r="Y27" i="19" s="1"/>
  <c r="AD413" i="28"/>
  <c r="AC414" i="28"/>
  <c r="AD414" i="28"/>
  <c r="X427" i="18"/>
  <c r="AL415" i="28"/>
  <c r="AG428" i="18"/>
  <c r="AN428" i="18" s="1"/>
  <c r="AM415" i="28"/>
  <c r="T421" i="28"/>
  <c r="U421" i="28"/>
  <c r="F434" i="18"/>
  <c r="T412" i="28"/>
  <c r="U412" i="28"/>
  <c r="F425" i="18"/>
  <c r="AL421" i="28"/>
  <c r="AM421" i="28"/>
  <c r="AG434" i="18"/>
  <c r="AN434" i="18" s="1"/>
  <c r="AC421" i="28"/>
  <c r="AD421" i="28"/>
  <c r="X434" i="18"/>
  <c r="X440" i="18"/>
  <c r="AC427" i="28"/>
  <c r="AD427" i="28"/>
  <c r="AL439" i="28"/>
  <c r="AE429" i="18"/>
  <c r="AC431" i="28" s="1"/>
  <c r="AE430" i="18"/>
  <c r="AC432" i="28" s="1"/>
  <c r="X453" i="18"/>
  <c r="V455" i="28" s="1"/>
  <c r="AD440" i="28"/>
  <c r="AD433" i="28"/>
  <c r="X446" i="18"/>
  <c r="V448" i="28" s="1"/>
  <c r="V432" i="18"/>
  <c r="T434" i="28" s="1"/>
  <c r="AE436" i="18"/>
  <c r="AC438" i="28" s="1"/>
  <c r="AM440" i="28"/>
  <c r="AG453" i="18"/>
  <c r="AN453" i="18" s="1"/>
  <c r="AE435" i="18"/>
  <c r="AC437" i="28" s="1"/>
  <c r="F448" i="18"/>
  <c r="D450" i="28" s="1"/>
  <c r="U435" i="28"/>
  <c r="AD435" i="28"/>
  <c r="X448" i="18"/>
  <c r="V450" i="28" s="1"/>
  <c r="V430" i="18"/>
  <c r="T432" i="28" s="1"/>
  <c r="AG440" i="18"/>
  <c r="AM427" i="28"/>
  <c r="AL435" i="28"/>
  <c r="V429" i="18"/>
  <c r="T431" i="28" s="1"/>
  <c r="AE437" i="18"/>
  <c r="AC439" i="28" s="1"/>
  <c r="AE432" i="18"/>
  <c r="AC434" i="28" s="1"/>
  <c r="U440" i="28"/>
  <c r="AL432" i="28"/>
  <c r="AE439" i="18"/>
  <c r="AC441" i="28" s="1"/>
  <c r="AL434" i="28"/>
  <c r="V435" i="18"/>
  <c r="T437" i="28" s="1"/>
  <c r="AL437" i="28"/>
  <c r="AL438" i="28"/>
  <c r="AL431" i="28"/>
  <c r="V436" i="18" l="1"/>
  <c r="T438" i="28" s="1"/>
  <c r="V437" i="18"/>
  <c r="T439" i="28" s="1"/>
  <c r="D440" i="28"/>
  <c r="V438" i="18"/>
  <c r="E30" i="5"/>
  <c r="AN426" i="18"/>
  <c r="AM30" i="5" s="1"/>
  <c r="AN30" i="5" s="1"/>
  <c r="AF30" i="5"/>
  <c r="AN440" i="18"/>
  <c r="AL442" i="28" s="1"/>
  <c r="W30" i="5"/>
  <c r="D441" i="28"/>
  <c r="V439" i="18"/>
  <c r="AE442" i="28"/>
  <c r="AE455" i="28"/>
  <c r="D433" i="28"/>
  <c r="V431" i="18"/>
  <c r="AE441" i="28"/>
  <c r="AE433" i="28"/>
  <c r="V429" i="28"/>
  <c r="AE427" i="18"/>
  <c r="D428" i="28"/>
  <c r="V426" i="18"/>
  <c r="V428" i="28"/>
  <c r="AE426" i="18"/>
  <c r="AD27" i="19" s="1"/>
  <c r="AE429" i="28"/>
  <c r="V430" i="28"/>
  <c r="AE428" i="18"/>
  <c r="AE430" i="28"/>
  <c r="D429" i="28"/>
  <c r="V427" i="18"/>
  <c r="D430" i="28"/>
  <c r="V428" i="18"/>
  <c r="AE428" i="28"/>
  <c r="D436" i="28"/>
  <c r="V434" i="18"/>
  <c r="D427" i="28"/>
  <c r="V425" i="18"/>
  <c r="AE436" i="28"/>
  <c r="V436" i="28"/>
  <c r="AE434" i="18"/>
  <c r="V442" i="28"/>
  <c r="AE440" i="18"/>
  <c r="AG447" i="18"/>
  <c r="AN447" i="18" s="1"/>
  <c r="AM434" i="28"/>
  <c r="AE448" i="18"/>
  <c r="AC450" i="28" s="1"/>
  <c r="AL455" i="28"/>
  <c r="AE446" i="18"/>
  <c r="AC448" i="28" s="1"/>
  <c r="AG444" i="18"/>
  <c r="AN444" i="18" s="1"/>
  <c r="AM431" i="28"/>
  <c r="AD437" i="28"/>
  <c r="X450" i="18"/>
  <c r="V452" i="28" s="1"/>
  <c r="U438" i="28"/>
  <c r="X444" i="18"/>
  <c r="V446" i="28" s="1"/>
  <c r="AD431" i="28"/>
  <c r="AG451" i="18"/>
  <c r="AN451" i="18" s="1"/>
  <c r="AM438" i="28"/>
  <c r="X452" i="18"/>
  <c r="V454" i="28" s="1"/>
  <c r="AD439" i="28"/>
  <c r="AG450" i="18"/>
  <c r="AN450" i="18" s="1"/>
  <c r="AM437" i="28"/>
  <c r="U439" i="28"/>
  <c r="AG452" i="18"/>
  <c r="AN452" i="18" s="1"/>
  <c r="AM439" i="28"/>
  <c r="AM435" i="28"/>
  <c r="AG448" i="18"/>
  <c r="AN448" i="18" s="1"/>
  <c r="X454" i="18"/>
  <c r="V456" i="28" s="1"/>
  <c r="AD441" i="28"/>
  <c r="U431" i="28"/>
  <c r="F444" i="18"/>
  <c r="D446" i="28" s="1"/>
  <c r="U432" i="28"/>
  <c r="F445" i="18"/>
  <c r="D447" i="28" s="1"/>
  <c r="V448" i="18"/>
  <c r="T450" i="28" s="1"/>
  <c r="U434" i="28"/>
  <c r="F447" i="18"/>
  <c r="D449" i="28" s="1"/>
  <c r="AE453" i="18"/>
  <c r="AC455" i="28" s="1"/>
  <c r="AD432" i="28"/>
  <c r="X445" i="18"/>
  <c r="V447" i="28" s="1"/>
  <c r="AD438" i="28"/>
  <c r="X451" i="18"/>
  <c r="V453" i="28" s="1"/>
  <c r="F450" i="18"/>
  <c r="D452" i="28" s="1"/>
  <c r="U437" i="28"/>
  <c r="AG445" i="18"/>
  <c r="AN445" i="18" s="1"/>
  <c r="AM432" i="28"/>
  <c r="X447" i="18"/>
  <c r="V449" i="28" s="1"/>
  <c r="AD434" i="28"/>
  <c r="F451" i="18" l="1"/>
  <c r="D453" i="28" s="1"/>
  <c r="F452" i="18"/>
  <c r="D454" i="28" s="1"/>
  <c r="T440" i="28"/>
  <c r="F453" i="18"/>
  <c r="AD30" i="5"/>
  <c r="AE30" i="5" s="1"/>
  <c r="U30" i="5"/>
  <c r="V30" i="5" s="1"/>
  <c r="T441" i="28"/>
  <c r="F454" i="18"/>
  <c r="U441" i="28"/>
  <c r="AE452" i="28"/>
  <c r="AE447" i="28"/>
  <c r="AE450" i="28"/>
  <c r="AE446" i="28"/>
  <c r="AL446" i="28"/>
  <c r="AE453" i="28"/>
  <c r="AE454" i="28"/>
  <c r="AE449" i="28"/>
  <c r="T433" i="28"/>
  <c r="U433" i="28"/>
  <c r="F446" i="18"/>
  <c r="AL441" i="28"/>
  <c r="AG454" i="18"/>
  <c r="AN454" i="18" s="1"/>
  <c r="AM441" i="28"/>
  <c r="AL433" i="28"/>
  <c r="AG446" i="18"/>
  <c r="AN446" i="18" s="1"/>
  <c r="AM433" i="28"/>
  <c r="T430" i="28"/>
  <c r="F443" i="18"/>
  <c r="U430" i="28"/>
  <c r="AM429" i="28"/>
  <c r="AG442" i="18"/>
  <c r="AN442" i="18" s="1"/>
  <c r="AL429" i="28"/>
  <c r="T429" i="28"/>
  <c r="F442" i="18"/>
  <c r="U429" i="28"/>
  <c r="AC428" i="28"/>
  <c r="X441" i="18"/>
  <c r="Y28" i="19" s="1"/>
  <c r="AD428" i="28"/>
  <c r="AL430" i="28"/>
  <c r="AM430" i="28"/>
  <c r="AG443" i="18"/>
  <c r="AN443" i="18" s="1"/>
  <c r="T428" i="28"/>
  <c r="U428" i="28"/>
  <c r="F441" i="18"/>
  <c r="AC430" i="28"/>
  <c r="AD430" i="28"/>
  <c r="X443" i="18"/>
  <c r="AC429" i="28"/>
  <c r="AD429" i="28"/>
  <c r="X442" i="18"/>
  <c r="AL428" i="28"/>
  <c r="AM428" i="28"/>
  <c r="AG441" i="18"/>
  <c r="T436" i="28"/>
  <c r="U436" i="28"/>
  <c r="F449" i="18"/>
  <c r="T427" i="28"/>
  <c r="F440" i="18"/>
  <c r="U427" i="28"/>
  <c r="AL436" i="28"/>
  <c r="AG449" i="18"/>
  <c r="AN449" i="18" s="1"/>
  <c r="AM436" i="28"/>
  <c r="AC436" i="28"/>
  <c r="AD436" i="28"/>
  <c r="X449" i="18"/>
  <c r="X455" i="18"/>
  <c r="AC442" i="28"/>
  <c r="AD442" i="28"/>
  <c r="V450" i="18"/>
  <c r="T452" i="28" s="1"/>
  <c r="V444" i="18"/>
  <c r="T446" i="28" s="1"/>
  <c r="AL450" i="28"/>
  <c r="AL452" i="28"/>
  <c r="AE454" i="18"/>
  <c r="AC456" i="28" s="1"/>
  <c r="AM455" i="28"/>
  <c r="AG468" i="18"/>
  <c r="AN468" i="18" s="1"/>
  <c r="AE450" i="18"/>
  <c r="AC452" i="28" s="1"/>
  <c r="AE447" i="18"/>
  <c r="AC449" i="28" s="1"/>
  <c r="X468" i="18"/>
  <c r="V470" i="28" s="1"/>
  <c r="AD455" i="28"/>
  <c r="AL453" i="28"/>
  <c r="V451" i="18"/>
  <c r="T453" i="28" s="1"/>
  <c r="U455" i="28"/>
  <c r="AG455" i="18"/>
  <c r="AM442" i="28"/>
  <c r="V447" i="18"/>
  <c r="T449" i="28" s="1"/>
  <c r="AE452" i="18"/>
  <c r="AC454" i="28" s="1"/>
  <c r="AD450" i="28"/>
  <c r="X463" i="18"/>
  <c r="V465" i="28" s="1"/>
  <c r="AE451" i="18"/>
  <c r="AC453" i="28" s="1"/>
  <c r="AL447" i="28"/>
  <c r="U450" i="28"/>
  <c r="F463" i="18"/>
  <c r="D465" i="28" s="1"/>
  <c r="AL454" i="28"/>
  <c r="AL449" i="28"/>
  <c r="AE445" i="18"/>
  <c r="AC447" i="28" s="1"/>
  <c r="V445" i="18"/>
  <c r="T447" i="28" s="1"/>
  <c r="AE444" i="18"/>
  <c r="AC446" i="28" s="1"/>
  <c r="X461" i="18"/>
  <c r="V463" i="28" s="1"/>
  <c r="AD448" i="28"/>
  <c r="V452" i="18" l="1"/>
  <c r="T454" i="28" s="1"/>
  <c r="D455" i="28"/>
  <c r="V453" i="18"/>
  <c r="E31" i="5"/>
  <c r="AN441" i="18"/>
  <c r="AM31" i="5" s="1"/>
  <c r="AN31" i="5" s="1"/>
  <c r="AF31" i="5"/>
  <c r="W31" i="5"/>
  <c r="AN455" i="18"/>
  <c r="D456" i="28"/>
  <c r="V454" i="18"/>
  <c r="AE457" i="28"/>
  <c r="AE470" i="28"/>
  <c r="D448" i="28"/>
  <c r="V446" i="18"/>
  <c r="AE456" i="28"/>
  <c r="AE448" i="28"/>
  <c r="V444" i="28"/>
  <c r="AE442" i="18"/>
  <c r="D444" i="28"/>
  <c r="V442" i="18"/>
  <c r="AE445" i="28"/>
  <c r="V445" i="28"/>
  <c r="AE443" i="18"/>
  <c r="AE444" i="28"/>
  <c r="AE443" i="28"/>
  <c r="V443" i="28"/>
  <c r="AE441" i="18"/>
  <c r="AD28" i="19" s="1"/>
  <c r="D443" i="28"/>
  <c r="V441" i="18"/>
  <c r="D445" i="28"/>
  <c r="V443" i="18"/>
  <c r="D451" i="28"/>
  <c r="V449" i="18"/>
  <c r="D442" i="28"/>
  <c r="V440" i="18"/>
  <c r="AE451" i="28"/>
  <c r="V451" i="28"/>
  <c r="AE449" i="18"/>
  <c r="V457" i="28"/>
  <c r="AE455" i="18"/>
  <c r="AE461" i="18"/>
  <c r="AC463" i="28" s="1"/>
  <c r="AE468" i="18"/>
  <c r="AC470" i="28" s="1"/>
  <c r="U454" i="28"/>
  <c r="X467" i="18"/>
  <c r="V469" i="28" s="1"/>
  <c r="AD454" i="28"/>
  <c r="AG459" i="18"/>
  <c r="AN459" i="18" s="1"/>
  <c r="AM446" i="28"/>
  <c r="AM450" i="28"/>
  <c r="AG463" i="18"/>
  <c r="AN463" i="18" s="1"/>
  <c r="AG465" i="18"/>
  <c r="AN465" i="18" s="1"/>
  <c r="AM452" i="28"/>
  <c r="AM454" i="28"/>
  <c r="AG467" i="18"/>
  <c r="AN467" i="18" s="1"/>
  <c r="AM447" i="28"/>
  <c r="AG460" i="18"/>
  <c r="AN460" i="18" s="1"/>
  <c r="AD449" i="28"/>
  <c r="X462" i="18"/>
  <c r="V464" i="28" s="1"/>
  <c r="F466" i="18"/>
  <c r="D468" i="28" s="1"/>
  <c r="U453" i="28"/>
  <c r="F459" i="18"/>
  <c r="D461" i="28" s="1"/>
  <c r="U446" i="28"/>
  <c r="F465" i="18"/>
  <c r="D467" i="28" s="1"/>
  <c r="U452" i="28"/>
  <c r="X460" i="18"/>
  <c r="V462" i="28" s="1"/>
  <c r="AD447" i="28"/>
  <c r="X465" i="18"/>
  <c r="V467" i="28" s="1"/>
  <c r="AD452" i="28"/>
  <c r="AD456" i="28"/>
  <c r="X469" i="18"/>
  <c r="V471" i="28" s="1"/>
  <c r="F460" i="18"/>
  <c r="D462" i="28" s="1"/>
  <c r="U447" i="28"/>
  <c r="AD453" i="28"/>
  <c r="X466" i="18"/>
  <c r="V468" i="28" s="1"/>
  <c r="X459" i="18"/>
  <c r="V461" i="28" s="1"/>
  <c r="AD446" i="28"/>
  <c r="AE463" i="18"/>
  <c r="AC465" i="28" s="1"/>
  <c r="AM453" i="28"/>
  <c r="AG466" i="18"/>
  <c r="AN466" i="18" s="1"/>
  <c r="AL470" i="28"/>
  <c r="AG462" i="18"/>
  <c r="AN462" i="18" s="1"/>
  <c r="AM449" i="28"/>
  <c r="V463" i="18"/>
  <c r="T465" i="28" s="1"/>
  <c r="F462" i="18"/>
  <c r="D464" i="28" s="1"/>
  <c r="U449" i="28"/>
  <c r="F23" i="19"/>
  <c r="F26" i="26"/>
  <c r="F25" i="26"/>
  <c r="F24" i="19"/>
  <c r="F467" i="18" l="1"/>
  <c r="D469" i="28" s="1"/>
  <c r="T455" i="28"/>
  <c r="F468" i="18"/>
  <c r="U31" i="5"/>
  <c r="V31" i="5" s="1"/>
  <c r="AD31" i="5"/>
  <c r="AE31" i="5" s="1"/>
  <c r="AL457" i="28"/>
  <c r="T456" i="28"/>
  <c r="F469" i="18"/>
  <c r="U456" i="28"/>
  <c r="AE469" i="28"/>
  <c r="AE461" i="28"/>
  <c r="AE465" i="28"/>
  <c r="AL465" i="28"/>
  <c r="AE468" i="28"/>
  <c r="AL468" i="28"/>
  <c r="AE464" i="28"/>
  <c r="AE467" i="28"/>
  <c r="AE462" i="28"/>
  <c r="T448" i="28"/>
  <c r="F461" i="18"/>
  <c r="U448" i="28"/>
  <c r="AL456" i="28"/>
  <c r="AM456" i="28"/>
  <c r="AG469" i="18"/>
  <c r="AN469" i="18" s="1"/>
  <c r="AL448" i="28"/>
  <c r="AM448" i="28"/>
  <c r="AG461" i="18"/>
  <c r="AN461" i="18" s="1"/>
  <c r="T443" i="28"/>
  <c r="U443" i="28"/>
  <c r="F456" i="18"/>
  <c r="AC445" i="28"/>
  <c r="X458" i="18"/>
  <c r="AD445" i="28"/>
  <c r="X456" i="18"/>
  <c r="Y29" i="19" s="1"/>
  <c r="AD443" i="28"/>
  <c r="AC443" i="28"/>
  <c r="AL445" i="28"/>
  <c r="AM445" i="28"/>
  <c r="AG458" i="18"/>
  <c r="AN458" i="18" s="1"/>
  <c r="AL443" i="28"/>
  <c r="AM443" i="28"/>
  <c r="AG456" i="18"/>
  <c r="U444" i="28"/>
  <c r="F457" i="18"/>
  <c r="T444" i="28"/>
  <c r="T445" i="28"/>
  <c r="U445" i="28"/>
  <c r="F458" i="18"/>
  <c r="AL444" i="28"/>
  <c r="AG457" i="18"/>
  <c r="AN457" i="18" s="1"/>
  <c r="AM444" i="28"/>
  <c r="AC444" i="28"/>
  <c r="X457" i="18"/>
  <c r="AD444" i="28"/>
  <c r="T451" i="28"/>
  <c r="F464" i="18"/>
  <c r="U451" i="28"/>
  <c r="T442" i="28"/>
  <c r="F455" i="18"/>
  <c r="U442" i="28"/>
  <c r="AL451" i="28"/>
  <c r="AG464" i="18"/>
  <c r="AN464" i="18" s="1"/>
  <c r="AM451" i="28"/>
  <c r="AC451" i="28"/>
  <c r="X464" i="18"/>
  <c r="AD451" i="28"/>
  <c r="AC457" i="28"/>
  <c r="AD457" i="28"/>
  <c r="X470" i="18"/>
  <c r="V462" i="18"/>
  <c r="T464" i="28" s="1"/>
  <c r="X478" i="18"/>
  <c r="V480" i="28" s="1"/>
  <c r="AD465" i="28"/>
  <c r="AE469" i="18"/>
  <c r="AC471" i="28" s="1"/>
  <c r="AL469" i="28"/>
  <c r="AL461" i="28"/>
  <c r="V459" i="18"/>
  <c r="T461" i="28" s="1"/>
  <c r="AG483" i="18"/>
  <c r="AN483" i="18" s="1"/>
  <c r="AM470" i="28"/>
  <c r="AE460" i="18"/>
  <c r="AC462" i="28" s="1"/>
  <c r="V466" i="18"/>
  <c r="T468" i="28" s="1"/>
  <c r="AE462" i="18"/>
  <c r="AC464" i="28" s="1"/>
  <c r="V467" i="18"/>
  <c r="T469" i="28" s="1"/>
  <c r="F478" i="18"/>
  <c r="D480" i="28" s="1"/>
  <c r="U465" i="28"/>
  <c r="AE467" i="18"/>
  <c r="AC469" i="28" s="1"/>
  <c r="AE459" i="18"/>
  <c r="AC461" i="28" s="1"/>
  <c r="V460" i="18"/>
  <c r="T462" i="28" s="1"/>
  <c r="AE465" i="18"/>
  <c r="AC467" i="28" s="1"/>
  <c r="V465" i="18"/>
  <c r="T467" i="28" s="1"/>
  <c r="X483" i="18"/>
  <c r="V485" i="28" s="1"/>
  <c r="AD470" i="28"/>
  <c r="AL464" i="28"/>
  <c r="AG470" i="18"/>
  <c r="AM457" i="28"/>
  <c r="AL462" i="28"/>
  <c r="U470" i="28"/>
  <c r="AE466" i="18"/>
  <c r="AC468" i="28" s="1"/>
  <c r="AL467" i="28"/>
  <c r="X476" i="18"/>
  <c r="V478" i="28" s="1"/>
  <c r="AD463" i="28"/>
  <c r="Q26" i="26"/>
  <c r="S24" i="19"/>
  <c r="S23" i="19"/>
  <c r="Q25" i="26"/>
  <c r="D470" i="28" l="1"/>
  <c r="V468" i="18"/>
  <c r="E32" i="5"/>
  <c r="AN470" i="18"/>
  <c r="AL472" i="28" s="1"/>
  <c r="AN456" i="18"/>
  <c r="AM32" i="5" s="1"/>
  <c r="AN32" i="5" s="1"/>
  <c r="AF32" i="5"/>
  <c r="W32" i="5"/>
  <c r="D471" i="28"/>
  <c r="V469" i="18"/>
  <c r="AE472" i="28"/>
  <c r="AE485" i="28"/>
  <c r="D463" i="28"/>
  <c r="V461" i="18"/>
  <c r="AE471" i="28"/>
  <c r="AE463" i="28"/>
  <c r="AE459" i="28"/>
  <c r="AE458" i="28"/>
  <c r="V458" i="28"/>
  <c r="AE456" i="18"/>
  <c r="AD29" i="19" s="1"/>
  <c r="D460" i="28"/>
  <c r="V458" i="18"/>
  <c r="V460" i="28"/>
  <c r="AE458" i="18"/>
  <c r="AE460" i="28"/>
  <c r="V456" i="18"/>
  <c r="D458" i="28"/>
  <c r="V459" i="28"/>
  <c r="AE457" i="18"/>
  <c r="D459" i="28"/>
  <c r="V457" i="18"/>
  <c r="D466" i="28"/>
  <c r="V464" i="18"/>
  <c r="D457" i="28"/>
  <c r="V455" i="18"/>
  <c r="AE466" i="28"/>
  <c r="V466" i="28"/>
  <c r="AE464" i="18"/>
  <c r="V472" i="28"/>
  <c r="AE470" i="18"/>
  <c r="AE476" i="18"/>
  <c r="AC478" i="28" s="1"/>
  <c r="AG477" i="18"/>
  <c r="AN477" i="18" s="1"/>
  <c r="AM464" i="28"/>
  <c r="U467" i="28"/>
  <c r="F480" i="18"/>
  <c r="D482" i="28" s="1"/>
  <c r="AE478" i="18"/>
  <c r="AC480" i="28" s="1"/>
  <c r="AG480" i="18"/>
  <c r="AN480" i="18" s="1"/>
  <c r="AM467" i="28"/>
  <c r="AG478" i="18"/>
  <c r="AN478" i="18" s="1"/>
  <c r="AM465" i="28"/>
  <c r="AE483" i="18"/>
  <c r="AC485" i="28" s="1"/>
  <c r="X480" i="18"/>
  <c r="V482" i="28" s="1"/>
  <c r="AD467" i="28"/>
  <c r="X482" i="18"/>
  <c r="V484" i="28" s="1"/>
  <c r="AD469" i="28"/>
  <c r="X475" i="18"/>
  <c r="V477" i="28" s="1"/>
  <c r="AD462" i="28"/>
  <c r="AM461" i="28"/>
  <c r="AG474" i="18"/>
  <c r="AN474" i="18" s="1"/>
  <c r="X481" i="18"/>
  <c r="V483" i="28" s="1"/>
  <c r="AD468" i="28"/>
  <c r="X477" i="18"/>
  <c r="V479" i="28" s="1"/>
  <c r="AD464" i="28"/>
  <c r="F475" i="18"/>
  <c r="D477" i="28" s="1"/>
  <c r="U462" i="28"/>
  <c r="V478" i="18"/>
  <c r="T480" i="28" s="1"/>
  <c r="AL485" i="28"/>
  <c r="AM469" i="28"/>
  <c r="AG482" i="18"/>
  <c r="AN482" i="18" s="1"/>
  <c r="F481" i="18"/>
  <c r="D483" i="28" s="1"/>
  <c r="U468" i="28"/>
  <c r="AG481" i="18"/>
  <c r="AN481" i="18" s="1"/>
  <c r="AM468" i="28"/>
  <c r="AG475" i="18"/>
  <c r="AN475" i="18" s="1"/>
  <c r="AM462" i="28"/>
  <c r="AD461" i="28"/>
  <c r="X474" i="18"/>
  <c r="V476" i="28" s="1"/>
  <c r="AD471" i="28"/>
  <c r="X484" i="18"/>
  <c r="V486" i="28" s="1"/>
  <c r="F477" i="18"/>
  <c r="D479" i="28" s="1"/>
  <c r="U464" i="28"/>
  <c r="F482" i="18"/>
  <c r="D484" i="28" s="1"/>
  <c r="U469" i="28"/>
  <c r="F474" i="18"/>
  <c r="D476" i="28" s="1"/>
  <c r="U461" i="28"/>
  <c r="T470" i="28" l="1"/>
  <c r="F483" i="18"/>
  <c r="AD32" i="5"/>
  <c r="AE32" i="5" s="1"/>
  <c r="U32" i="5"/>
  <c r="V32" i="5" s="1"/>
  <c r="T471" i="28"/>
  <c r="F484" i="18"/>
  <c r="U471" i="28"/>
  <c r="AE482" i="28"/>
  <c r="AE484" i="28"/>
  <c r="AE483" i="28"/>
  <c r="AE476" i="28"/>
  <c r="AL476" i="28"/>
  <c r="AE477" i="28"/>
  <c r="AE479" i="28"/>
  <c r="AE480" i="28"/>
  <c r="T463" i="28"/>
  <c r="F476" i="18"/>
  <c r="U463" i="28"/>
  <c r="AL471" i="28"/>
  <c r="AG484" i="18"/>
  <c r="AN484" i="18" s="1"/>
  <c r="AM471" i="28"/>
  <c r="AL463" i="28"/>
  <c r="AM463" i="28"/>
  <c r="AG476" i="18"/>
  <c r="AN476" i="18" s="1"/>
  <c r="AC459" i="28"/>
  <c r="X472" i="18"/>
  <c r="AD459" i="28"/>
  <c r="T460" i="28"/>
  <c r="U460" i="28"/>
  <c r="F473" i="18"/>
  <c r="AC458" i="28"/>
  <c r="AD458" i="28"/>
  <c r="X471" i="18"/>
  <c r="F471" i="18"/>
  <c r="U458" i="28"/>
  <c r="T458" i="28"/>
  <c r="AL460" i="28"/>
  <c r="AM460" i="28"/>
  <c r="AG473" i="18"/>
  <c r="AN473" i="18" s="1"/>
  <c r="AL458" i="28"/>
  <c r="AM458" i="28"/>
  <c r="AG471" i="18"/>
  <c r="U459" i="28"/>
  <c r="T459" i="28"/>
  <c r="F472" i="18"/>
  <c r="AC460" i="28"/>
  <c r="AD460" i="28"/>
  <c r="X473" i="18"/>
  <c r="AL459" i="28"/>
  <c r="AM459" i="28"/>
  <c r="AG472" i="18"/>
  <c r="AN472" i="18" s="1"/>
  <c r="T466" i="28"/>
  <c r="U466" i="28"/>
  <c r="F479" i="18"/>
  <c r="T457" i="28"/>
  <c r="F470" i="18"/>
  <c r="U457" i="28"/>
  <c r="AL466" i="28"/>
  <c r="AM466" i="28"/>
  <c r="AG479" i="18"/>
  <c r="AN479" i="18" s="1"/>
  <c r="AC466" i="28"/>
  <c r="AD466" i="28"/>
  <c r="X479" i="18"/>
  <c r="AC472" i="28"/>
  <c r="X485" i="18"/>
  <c r="AD472" i="28"/>
  <c r="AE477" i="18"/>
  <c r="AC479" i="28" s="1"/>
  <c r="F493" i="18"/>
  <c r="D495" i="28" s="1"/>
  <c r="U480" i="28"/>
  <c r="X498" i="18"/>
  <c r="V500" i="28" s="1"/>
  <c r="AD485" i="28"/>
  <c r="AL480" i="28"/>
  <c r="AD480" i="28"/>
  <c r="X493" i="18"/>
  <c r="V495" i="28" s="1"/>
  <c r="AL479" i="28"/>
  <c r="AL477" i="28"/>
  <c r="AL484" i="28"/>
  <c r="V477" i="18"/>
  <c r="T479" i="28" s="1"/>
  <c r="AE474" i="18"/>
  <c r="AC476" i="28" s="1"/>
  <c r="V475" i="18"/>
  <c r="T477" i="28" s="1"/>
  <c r="AE481" i="18"/>
  <c r="AC483" i="28" s="1"/>
  <c r="AE482" i="18"/>
  <c r="AC484" i="28" s="1"/>
  <c r="AE484" i="18"/>
  <c r="AC486" i="28" s="1"/>
  <c r="AL483" i="28"/>
  <c r="U485" i="28"/>
  <c r="AL482" i="28"/>
  <c r="V481" i="18"/>
  <c r="T483" i="28" s="1"/>
  <c r="V474" i="18"/>
  <c r="T476" i="28" s="1"/>
  <c r="V482" i="18"/>
  <c r="T484" i="28" s="1"/>
  <c r="AG498" i="18"/>
  <c r="AN498" i="18" s="1"/>
  <c r="AM485" i="28"/>
  <c r="AE475" i="18"/>
  <c r="AC477" i="28" s="1"/>
  <c r="V480" i="18"/>
  <c r="T482" i="28" s="1"/>
  <c r="AG485" i="18"/>
  <c r="AM472" i="28"/>
  <c r="AE480" i="18"/>
  <c r="AC482" i="28" s="1"/>
  <c r="X491" i="18"/>
  <c r="V493" i="28" s="1"/>
  <c r="AD478" i="28"/>
  <c r="D485" i="28" l="1"/>
  <c r="V483" i="18"/>
  <c r="AN485" i="18"/>
  <c r="E33" i="5"/>
  <c r="AN471" i="18"/>
  <c r="AM33" i="5" s="1"/>
  <c r="AN33" i="5" s="1"/>
  <c r="AF33" i="5"/>
  <c r="W33" i="5"/>
  <c r="D486" i="28"/>
  <c r="V484" i="18"/>
  <c r="AE500" i="28"/>
  <c r="AE487" i="28"/>
  <c r="D478" i="28"/>
  <c r="V476" i="18"/>
  <c r="AE486" i="28"/>
  <c r="AE478" i="28"/>
  <c r="AE475" i="28"/>
  <c r="D475" i="28"/>
  <c r="V473" i="18"/>
  <c r="D474" i="28"/>
  <c r="V472" i="18"/>
  <c r="AE474" i="28"/>
  <c r="V475" i="28"/>
  <c r="AE473" i="18"/>
  <c r="AE473" i="28"/>
  <c r="V471" i="18"/>
  <c r="D473" i="28"/>
  <c r="V474" i="28"/>
  <c r="AE472" i="18"/>
  <c r="V473" i="28"/>
  <c r="AE471" i="18"/>
  <c r="D481" i="28"/>
  <c r="V479" i="18"/>
  <c r="D472" i="28"/>
  <c r="V470" i="18"/>
  <c r="AE481" i="28"/>
  <c r="V481" i="28"/>
  <c r="AE479" i="18"/>
  <c r="V487" i="28"/>
  <c r="AE485" i="18"/>
  <c r="AF485" i="18" s="1"/>
  <c r="X497" i="18"/>
  <c r="V499" i="28" s="1"/>
  <c r="AD484" i="28"/>
  <c r="AG490" i="18"/>
  <c r="AN490" i="18" s="1"/>
  <c r="AM477" i="28"/>
  <c r="F497" i="18"/>
  <c r="D499" i="28" s="1"/>
  <c r="U484" i="28"/>
  <c r="AD476" i="28"/>
  <c r="X489" i="18"/>
  <c r="V491" i="28" s="1"/>
  <c r="AE498" i="18"/>
  <c r="AC500" i="28" s="1"/>
  <c r="X496" i="18"/>
  <c r="V498" i="28" s="1"/>
  <c r="AD483" i="28"/>
  <c r="AM479" i="28"/>
  <c r="AG492" i="18"/>
  <c r="AN492" i="18" s="1"/>
  <c r="X495" i="18"/>
  <c r="V497" i="28" s="1"/>
  <c r="AD482" i="28"/>
  <c r="F489" i="18"/>
  <c r="D491" i="28" s="1"/>
  <c r="U476" i="28"/>
  <c r="AE493" i="18"/>
  <c r="AC495" i="28" s="1"/>
  <c r="AE491" i="18"/>
  <c r="AC493" i="28" s="1"/>
  <c r="U477" i="28"/>
  <c r="F490" i="18"/>
  <c r="D492" i="28" s="1"/>
  <c r="AG489" i="18"/>
  <c r="AN489" i="18" s="1"/>
  <c r="AM476" i="28"/>
  <c r="X492" i="18"/>
  <c r="V494" i="28" s="1"/>
  <c r="AD479" i="28"/>
  <c r="AD477" i="28"/>
  <c r="X490" i="18"/>
  <c r="V492" i="28" s="1"/>
  <c r="F496" i="18"/>
  <c r="D498" i="28" s="1"/>
  <c r="U483" i="28"/>
  <c r="AG496" i="18"/>
  <c r="AN496" i="18" s="1"/>
  <c r="AM483" i="28"/>
  <c r="AL500" i="28"/>
  <c r="X499" i="18"/>
  <c r="V501" i="28" s="1"/>
  <c r="AD486" i="28"/>
  <c r="F492" i="18"/>
  <c r="D494" i="28" s="1"/>
  <c r="U479" i="28"/>
  <c r="AM484" i="28"/>
  <c r="AG497" i="18"/>
  <c r="AN497" i="18" s="1"/>
  <c r="V493" i="18"/>
  <c r="T495" i="28" s="1"/>
  <c r="U482" i="28"/>
  <c r="F495" i="18"/>
  <c r="D497" i="28" s="1"/>
  <c r="AM482" i="28"/>
  <c r="AG495" i="18"/>
  <c r="AN495" i="18" s="1"/>
  <c r="AG493" i="18"/>
  <c r="AN493" i="18" s="1"/>
  <c r="AM480" i="28"/>
  <c r="T485" i="28" l="1"/>
  <c r="F498" i="18"/>
  <c r="AL487" i="28"/>
  <c r="AO485" i="18"/>
  <c r="AM487" i="28" s="1"/>
  <c r="AD33" i="5"/>
  <c r="AE33" i="5" s="1"/>
  <c r="U33" i="5"/>
  <c r="V33" i="5" s="1"/>
  <c r="T486" i="28"/>
  <c r="U486" i="28"/>
  <c r="F499" i="18"/>
  <c r="AE498" i="28"/>
  <c r="AE495" i="28"/>
  <c r="AE497" i="28"/>
  <c r="AL497" i="28"/>
  <c r="AE499" i="28"/>
  <c r="AL499" i="28"/>
  <c r="AE491" i="28"/>
  <c r="AE494" i="28"/>
  <c r="AE492" i="28"/>
  <c r="T478" i="28"/>
  <c r="U478" i="28"/>
  <c r="F491" i="18"/>
  <c r="AL486" i="28"/>
  <c r="AM486" i="28"/>
  <c r="AG499" i="18"/>
  <c r="AN499" i="18" s="1"/>
  <c r="AL478" i="28"/>
  <c r="AM478" i="28"/>
  <c r="AG491" i="18"/>
  <c r="AN491" i="18" s="1"/>
  <c r="AL474" i="28"/>
  <c r="AG487" i="18"/>
  <c r="AN487" i="18" s="1"/>
  <c r="AM474" i="28"/>
  <c r="T474" i="28"/>
  <c r="U474" i="28"/>
  <c r="F487" i="18"/>
  <c r="T473" i="28"/>
  <c r="U473" i="28"/>
  <c r="F486" i="18"/>
  <c r="AL473" i="28"/>
  <c r="AG486" i="18"/>
  <c r="AM473" i="28"/>
  <c r="T475" i="28"/>
  <c r="F488" i="18"/>
  <c r="U475" i="28"/>
  <c r="X486" i="18"/>
  <c r="AD473" i="28"/>
  <c r="AC473" i="28"/>
  <c r="AC475" i="28"/>
  <c r="X488" i="18"/>
  <c r="AD475" i="28"/>
  <c r="AL475" i="28"/>
  <c r="AM475" i="28"/>
  <c r="AG488" i="18"/>
  <c r="AN488" i="18" s="1"/>
  <c r="X487" i="18"/>
  <c r="AD474" i="28"/>
  <c r="AC474" i="28"/>
  <c r="T481" i="28"/>
  <c r="U481" i="28"/>
  <c r="F494" i="18"/>
  <c r="T472" i="28"/>
  <c r="F485" i="18"/>
  <c r="U472" i="28"/>
  <c r="AL481" i="28"/>
  <c r="AG494" i="18"/>
  <c r="AN494" i="18" s="1"/>
  <c r="AM481" i="28"/>
  <c r="AC481" i="28"/>
  <c r="X494" i="18"/>
  <c r="AD481" i="28"/>
  <c r="AC487" i="28"/>
  <c r="AD487" i="28"/>
  <c r="X500" i="18"/>
  <c r="V495" i="18"/>
  <c r="T497" i="28" s="1"/>
  <c r="AL495" i="28"/>
  <c r="V492" i="18"/>
  <c r="T494" i="28" s="1"/>
  <c r="AL498" i="28"/>
  <c r="V490" i="18"/>
  <c r="T492" i="28" s="1"/>
  <c r="X508" i="18"/>
  <c r="V510" i="28" s="1"/>
  <c r="AD495" i="28"/>
  <c r="V497" i="18"/>
  <c r="T499" i="28" s="1"/>
  <c r="V489" i="18"/>
  <c r="T491" i="28" s="1"/>
  <c r="AG500" i="18"/>
  <c r="X513" i="18"/>
  <c r="V515" i="28" s="1"/>
  <c r="AD500" i="28"/>
  <c r="AG513" i="18"/>
  <c r="AN513" i="18" s="1"/>
  <c r="AM500" i="28"/>
  <c r="AL494" i="28"/>
  <c r="AE489" i="18"/>
  <c r="AC491" i="28" s="1"/>
  <c r="AE497" i="18"/>
  <c r="AC499" i="28" s="1"/>
  <c r="F508" i="18"/>
  <c r="D510" i="28" s="1"/>
  <c r="U495" i="28"/>
  <c r="AE499" i="18"/>
  <c r="AC501" i="28" s="1"/>
  <c r="V496" i="18"/>
  <c r="T498" i="28" s="1"/>
  <c r="AE492" i="18"/>
  <c r="AC494" i="28" s="1"/>
  <c r="AL491" i="28"/>
  <c r="AE490" i="18"/>
  <c r="AC492" i="28" s="1"/>
  <c r="AL492" i="28"/>
  <c r="X506" i="18"/>
  <c r="V508" i="28" s="1"/>
  <c r="AD493" i="28"/>
  <c r="AE495" i="18"/>
  <c r="AC497" i="28" s="1"/>
  <c r="AE496" i="18"/>
  <c r="AC498" i="28" s="1"/>
  <c r="U500" i="28"/>
  <c r="D500" i="28" l="1"/>
  <c r="V498" i="18"/>
  <c r="AN500" i="18"/>
  <c r="AL502" i="28" s="1"/>
  <c r="AN486" i="18"/>
  <c r="AM34" i="5" s="1"/>
  <c r="AN34" i="5" s="1"/>
  <c r="AF34" i="5"/>
  <c r="E34" i="5"/>
  <c r="W34" i="5"/>
  <c r="D501" i="28"/>
  <c r="V499" i="18"/>
  <c r="AE502" i="28"/>
  <c r="AE515" i="28"/>
  <c r="D493" i="28"/>
  <c r="V491" i="18"/>
  <c r="AE501" i="28"/>
  <c r="AE493" i="28"/>
  <c r="AE490" i="28"/>
  <c r="D490" i="28"/>
  <c r="V488" i="18"/>
  <c r="D489" i="28"/>
  <c r="V487" i="18"/>
  <c r="V490" i="28"/>
  <c r="AE488" i="18"/>
  <c r="AE486" i="18"/>
  <c r="V488" i="28"/>
  <c r="AE488" i="28"/>
  <c r="AE489" i="28"/>
  <c r="AE487" i="18"/>
  <c r="V489" i="28"/>
  <c r="D488" i="28"/>
  <c r="V486" i="18"/>
  <c r="D496" i="28"/>
  <c r="V494" i="18"/>
  <c r="D487" i="28"/>
  <c r="V485" i="18"/>
  <c r="W485" i="18" s="1"/>
  <c r="AE496" i="28"/>
  <c r="V496" i="28"/>
  <c r="AE494" i="18"/>
  <c r="V502" i="28"/>
  <c r="AE500" i="18"/>
  <c r="X505" i="18"/>
  <c r="V507" i="28" s="1"/>
  <c r="AD492" i="28"/>
  <c r="AM491" i="28"/>
  <c r="AG504" i="18"/>
  <c r="AN504" i="18" s="1"/>
  <c r="AE513" i="18"/>
  <c r="AC515" i="28" s="1"/>
  <c r="AG512" i="18"/>
  <c r="AN512" i="18" s="1"/>
  <c r="AM499" i="28"/>
  <c r="AD499" i="28"/>
  <c r="X512" i="18"/>
  <c r="V514" i="28" s="1"/>
  <c r="F512" i="18"/>
  <c r="D514" i="28" s="1"/>
  <c r="U499" i="28"/>
  <c r="X514" i="18"/>
  <c r="V516" i="28" s="1"/>
  <c r="AD501" i="28"/>
  <c r="AE506" i="18"/>
  <c r="AC508" i="28" s="1"/>
  <c r="X511" i="18"/>
  <c r="V513" i="28" s="1"/>
  <c r="AD498" i="28"/>
  <c r="AG510" i="18"/>
  <c r="AN510" i="18" s="1"/>
  <c r="AM497" i="28"/>
  <c r="V508" i="18"/>
  <c r="T510" i="28" s="1"/>
  <c r="AD491" i="28"/>
  <c r="X504" i="18"/>
  <c r="V506" i="28" s="1"/>
  <c r="AE508" i="18"/>
  <c r="AC510" i="28" s="1"/>
  <c r="AG511" i="18"/>
  <c r="AN511" i="18" s="1"/>
  <c r="AM498" i="28"/>
  <c r="U497" i="28"/>
  <c r="F510" i="18"/>
  <c r="D512" i="28" s="1"/>
  <c r="X510" i="18"/>
  <c r="V512" i="28" s="1"/>
  <c r="AD497" i="28"/>
  <c r="X507" i="18"/>
  <c r="V509" i="28" s="1"/>
  <c r="AD494" i="28"/>
  <c r="AG507" i="18"/>
  <c r="AN507" i="18" s="1"/>
  <c r="AM494" i="28"/>
  <c r="AL515" i="28"/>
  <c r="F507" i="18"/>
  <c r="D509" i="28" s="1"/>
  <c r="U494" i="28"/>
  <c r="AG505" i="18"/>
  <c r="AN505" i="18" s="1"/>
  <c r="AM492" i="28"/>
  <c r="F504" i="18"/>
  <c r="D506" i="28" s="1"/>
  <c r="U491" i="28"/>
  <c r="F505" i="18"/>
  <c r="D507" i="28" s="1"/>
  <c r="U492" i="28"/>
  <c r="F511" i="18"/>
  <c r="D513" i="28" s="1"/>
  <c r="U498" i="28"/>
  <c r="AG508" i="18"/>
  <c r="AN508" i="18" s="1"/>
  <c r="AM495" i="28"/>
  <c r="T500" i="28" l="1"/>
  <c r="F513" i="18"/>
  <c r="AD34" i="5"/>
  <c r="AE34" i="5" s="1"/>
  <c r="U34" i="5"/>
  <c r="V34" i="5" s="1"/>
  <c r="T501" i="28"/>
  <c r="U501" i="28"/>
  <c r="F514" i="18"/>
  <c r="AE510" i="28"/>
  <c r="AE514" i="28"/>
  <c r="AE507" i="28"/>
  <c r="AL507" i="28"/>
  <c r="AE506" i="28"/>
  <c r="AL506" i="28"/>
  <c r="AE512" i="28"/>
  <c r="AE509" i="28"/>
  <c r="AE513" i="28"/>
  <c r="T493" i="28"/>
  <c r="F506" i="18"/>
  <c r="U493" i="28"/>
  <c r="AL501" i="28"/>
  <c r="AM501" i="28"/>
  <c r="AG514" i="18"/>
  <c r="AN514" i="18" s="1"/>
  <c r="AL493" i="28"/>
  <c r="AM493" i="28"/>
  <c r="AG506" i="18"/>
  <c r="AN506" i="18" s="1"/>
  <c r="AC489" i="28"/>
  <c r="X502" i="18"/>
  <c r="AD489" i="28"/>
  <c r="AL489" i="28"/>
  <c r="AM489" i="28"/>
  <c r="AG502" i="18"/>
  <c r="AN502" i="18" s="1"/>
  <c r="F502" i="18"/>
  <c r="U489" i="28"/>
  <c r="T489" i="28"/>
  <c r="AG501" i="18"/>
  <c r="AM488" i="28"/>
  <c r="AL488" i="28"/>
  <c r="T490" i="28"/>
  <c r="U490" i="28"/>
  <c r="F503" i="18"/>
  <c r="AC490" i="28"/>
  <c r="X503" i="18"/>
  <c r="AD490" i="28"/>
  <c r="T488" i="28"/>
  <c r="F501" i="18"/>
  <c r="U488" i="28"/>
  <c r="AL490" i="28"/>
  <c r="AG503" i="18"/>
  <c r="AN503" i="18" s="1"/>
  <c r="AM490" i="28"/>
  <c r="AC488" i="28"/>
  <c r="X501" i="18"/>
  <c r="AD488" i="28"/>
  <c r="T496" i="28"/>
  <c r="F509" i="18"/>
  <c r="U496" i="28"/>
  <c r="T487" i="28"/>
  <c r="U487" i="28"/>
  <c r="F500" i="18"/>
  <c r="AL496" i="28"/>
  <c r="AG509" i="18"/>
  <c r="AN509" i="18" s="1"/>
  <c r="AM496" i="28"/>
  <c r="AC496" i="28"/>
  <c r="AD496" i="28"/>
  <c r="X509" i="18"/>
  <c r="AC502" i="28"/>
  <c r="AD502" i="28"/>
  <c r="X515" i="18"/>
  <c r="V504" i="18"/>
  <c r="T506" i="28" s="1"/>
  <c r="AE511" i="18"/>
  <c r="AC513" i="28" s="1"/>
  <c r="V512" i="18"/>
  <c r="T514" i="28" s="1"/>
  <c r="V510" i="18"/>
  <c r="T512" i="28" s="1"/>
  <c r="AL513" i="28"/>
  <c r="AL510" i="28"/>
  <c r="AE507" i="18"/>
  <c r="AC509" i="28" s="1"/>
  <c r="AE512" i="18"/>
  <c r="AC514" i="28" s="1"/>
  <c r="AM515" i="28"/>
  <c r="AG528" i="18"/>
  <c r="AN528" i="18" s="1"/>
  <c r="U510" i="28"/>
  <c r="F523" i="18"/>
  <c r="D525" i="28" s="1"/>
  <c r="AD508" i="28"/>
  <c r="X521" i="18"/>
  <c r="V523" i="28" s="1"/>
  <c r="X523" i="18"/>
  <c r="V525" i="28" s="1"/>
  <c r="AD510" i="28"/>
  <c r="AE505" i="18"/>
  <c r="AC507" i="28" s="1"/>
  <c r="V505" i="18"/>
  <c r="T507" i="28" s="1"/>
  <c r="AL512" i="28"/>
  <c r="AG515" i="18"/>
  <c r="AM502" i="28"/>
  <c r="AE514" i="18"/>
  <c r="AC516" i="28" s="1"/>
  <c r="X528" i="18"/>
  <c r="V530" i="28" s="1"/>
  <c r="AD515" i="28"/>
  <c r="AL509" i="28"/>
  <c r="V507" i="18"/>
  <c r="T509" i="28" s="1"/>
  <c r="AL514" i="28"/>
  <c r="V511" i="18"/>
  <c r="T513" i="28" s="1"/>
  <c r="AE510" i="18"/>
  <c r="AC512" i="28" s="1"/>
  <c r="AE504" i="18"/>
  <c r="AC506" i="28" s="1"/>
  <c r="U515" i="28"/>
  <c r="D515" i="28" l="1"/>
  <c r="V513" i="18"/>
  <c r="AN515" i="18"/>
  <c r="AL517" i="28" s="1"/>
  <c r="W35" i="5"/>
  <c r="AN501" i="18"/>
  <c r="AM35" i="5" s="1"/>
  <c r="AN35" i="5" s="1"/>
  <c r="AF35" i="5"/>
  <c r="E35" i="5"/>
  <c r="D516" i="28"/>
  <c r="V514" i="18"/>
  <c r="AE517" i="28"/>
  <c r="AE530" i="28"/>
  <c r="D508" i="28"/>
  <c r="V506" i="18"/>
  <c r="AE516" i="28"/>
  <c r="AE508" i="28"/>
  <c r="AE504" i="28"/>
  <c r="D505" i="28"/>
  <c r="V503" i="18"/>
  <c r="AE505" i="28"/>
  <c r="D503" i="28"/>
  <c r="V501" i="18"/>
  <c r="V503" i="28"/>
  <c r="AE501" i="18"/>
  <c r="AE503" i="28"/>
  <c r="V504" i="28"/>
  <c r="AE502" i="18"/>
  <c r="D504" i="28"/>
  <c r="V502" i="18"/>
  <c r="V505" i="28"/>
  <c r="AE503" i="18"/>
  <c r="D511" i="28"/>
  <c r="V509" i="18"/>
  <c r="D502" i="28"/>
  <c r="V500" i="18"/>
  <c r="AE511" i="28"/>
  <c r="V511" i="28"/>
  <c r="AE509" i="18"/>
  <c r="V517" i="28"/>
  <c r="AE515" i="18"/>
  <c r="AG522" i="18"/>
  <c r="AN522" i="18" s="1"/>
  <c r="AM509" i="28"/>
  <c r="AG523" i="18"/>
  <c r="AN523" i="18" s="1"/>
  <c r="AM510" i="28"/>
  <c r="F527" i="18"/>
  <c r="D529" i="28" s="1"/>
  <c r="U514" i="28"/>
  <c r="AL530" i="28"/>
  <c r="X527" i="18"/>
  <c r="V529" i="28" s="1"/>
  <c r="AD514" i="28"/>
  <c r="F525" i="18"/>
  <c r="D527" i="28" s="1"/>
  <c r="U512" i="28"/>
  <c r="AD507" i="28"/>
  <c r="X520" i="18"/>
  <c r="V522" i="28" s="1"/>
  <c r="AG527" i="18"/>
  <c r="AN527" i="18" s="1"/>
  <c r="AM514" i="28"/>
  <c r="X526" i="18"/>
  <c r="V528" i="28" s="1"/>
  <c r="AD513" i="28"/>
  <c r="AG520" i="18"/>
  <c r="AN520" i="18" s="1"/>
  <c r="AM507" i="28"/>
  <c r="AE528" i="18"/>
  <c r="AC530" i="28" s="1"/>
  <c r="AG525" i="18"/>
  <c r="AN525" i="18" s="1"/>
  <c r="AM512" i="28"/>
  <c r="AE521" i="18"/>
  <c r="AC523" i="28" s="1"/>
  <c r="AD509" i="28"/>
  <c r="X522" i="18"/>
  <c r="V524" i="28" s="1"/>
  <c r="AE523" i="18"/>
  <c r="AC525" i="28" s="1"/>
  <c r="X525" i="18"/>
  <c r="V527" i="28" s="1"/>
  <c r="AD512" i="28"/>
  <c r="F526" i="18"/>
  <c r="D528" i="28" s="1"/>
  <c r="U513" i="28"/>
  <c r="F520" i="18"/>
  <c r="D522" i="28" s="1"/>
  <c r="U507" i="28"/>
  <c r="AM513" i="28"/>
  <c r="AG526" i="18"/>
  <c r="AN526" i="18" s="1"/>
  <c r="U509" i="28"/>
  <c r="F522" i="18"/>
  <c r="D524" i="28" s="1"/>
  <c r="AD506" i="28"/>
  <c r="X519" i="18"/>
  <c r="V521" i="28" s="1"/>
  <c r="AM506" i="28"/>
  <c r="AG519" i="18"/>
  <c r="AN519" i="18" s="1"/>
  <c r="X529" i="18"/>
  <c r="V531" i="28" s="1"/>
  <c r="AD516" i="28"/>
  <c r="V523" i="18"/>
  <c r="T525" i="28" s="1"/>
  <c r="U506" i="28"/>
  <c r="F519" i="18"/>
  <c r="D521" i="28" s="1"/>
  <c r="T515" i="28" l="1"/>
  <c r="F528" i="18"/>
  <c r="AD35" i="5"/>
  <c r="AE35" i="5" s="1"/>
  <c r="U35" i="5"/>
  <c r="V35" i="5" s="1"/>
  <c r="T516" i="28"/>
  <c r="F529" i="18"/>
  <c r="U516" i="28"/>
  <c r="AE529" i="28"/>
  <c r="AE527" i="28"/>
  <c r="AE528" i="28"/>
  <c r="AE521" i="28"/>
  <c r="AL521" i="28"/>
  <c r="AE522" i="28"/>
  <c r="AE525" i="28"/>
  <c r="AE524" i="28"/>
  <c r="T508" i="28"/>
  <c r="F521" i="18"/>
  <c r="U508" i="28"/>
  <c r="AL516" i="28"/>
  <c r="AM516" i="28"/>
  <c r="AG529" i="18"/>
  <c r="AN529" i="18" s="1"/>
  <c r="AL508" i="28"/>
  <c r="AM508" i="28"/>
  <c r="AG521" i="18"/>
  <c r="AN521" i="18" s="1"/>
  <c r="T504" i="28"/>
  <c r="U504" i="28"/>
  <c r="F517" i="18"/>
  <c r="U503" i="28"/>
  <c r="T503" i="28"/>
  <c r="F516" i="18"/>
  <c r="AL505" i="28"/>
  <c r="AM505" i="28"/>
  <c r="AG518" i="18"/>
  <c r="AN518" i="18" s="1"/>
  <c r="AC504" i="28"/>
  <c r="AD504" i="28"/>
  <c r="X517" i="18"/>
  <c r="AL503" i="28"/>
  <c r="AM503" i="28"/>
  <c r="AG516" i="18"/>
  <c r="T505" i="28"/>
  <c r="U505" i="28"/>
  <c r="F518" i="18"/>
  <c r="AC505" i="28"/>
  <c r="AD505" i="28"/>
  <c r="X518" i="18"/>
  <c r="AC503" i="28"/>
  <c r="AD503" i="28"/>
  <c r="X516" i="18"/>
  <c r="AG517" i="18"/>
  <c r="AN517" i="18" s="1"/>
  <c r="AM504" i="28"/>
  <c r="AL504" i="28"/>
  <c r="T511" i="28"/>
  <c r="F524" i="18"/>
  <c r="U511" i="28"/>
  <c r="T502" i="28"/>
  <c r="F515" i="18"/>
  <c r="U502" i="28"/>
  <c r="AL511" i="28"/>
  <c r="AM511" i="28"/>
  <c r="AG524" i="18"/>
  <c r="AN524" i="18" s="1"/>
  <c r="AC511" i="28"/>
  <c r="X524" i="18"/>
  <c r="AD511" i="28"/>
  <c r="AC517" i="28"/>
  <c r="X530" i="18"/>
  <c r="AD517" i="28"/>
  <c r="AD530" i="28"/>
  <c r="X543" i="18"/>
  <c r="V545" i="28" s="1"/>
  <c r="AL529" i="28"/>
  <c r="X536" i="18"/>
  <c r="V538" i="28" s="1"/>
  <c r="AD523" i="28"/>
  <c r="U530" i="28"/>
  <c r="AE527" i="18"/>
  <c r="AC529" i="28" s="1"/>
  <c r="AL525" i="28"/>
  <c r="V519" i="18"/>
  <c r="T521" i="28" s="1"/>
  <c r="AE529" i="18"/>
  <c r="AC531" i="28" s="1"/>
  <c r="V522" i="18"/>
  <c r="T524" i="28" s="1"/>
  <c r="AD525" i="28"/>
  <c r="X538" i="18"/>
  <c r="V540" i="28" s="1"/>
  <c r="AE520" i="18"/>
  <c r="AC522" i="28" s="1"/>
  <c r="V520" i="18"/>
  <c r="T522" i="28" s="1"/>
  <c r="AM517" i="28"/>
  <c r="AG530" i="18"/>
  <c r="AE526" i="18"/>
  <c r="AC528" i="28" s="1"/>
  <c r="AG543" i="18"/>
  <c r="AN543" i="18" s="1"/>
  <c r="AM530" i="28"/>
  <c r="AL528" i="28"/>
  <c r="AE525" i="18"/>
  <c r="AC527" i="28" s="1"/>
  <c r="AE522" i="18"/>
  <c r="AC524" i="28" s="1"/>
  <c r="AL527" i="28"/>
  <c r="V526" i="18"/>
  <c r="T528" i="28" s="1"/>
  <c r="AL522" i="28"/>
  <c r="V525" i="18"/>
  <c r="T527" i="28" s="1"/>
  <c r="V527" i="18"/>
  <c r="T529" i="28" s="1"/>
  <c r="AL524" i="28"/>
  <c r="U525" i="28"/>
  <c r="F538" i="18"/>
  <c r="D540" i="28" s="1"/>
  <c r="AE519" i="18"/>
  <c r="AC521" i="28" s="1"/>
  <c r="D530" i="28" l="1"/>
  <c r="V528" i="18"/>
  <c r="E36" i="5"/>
  <c r="W36" i="5"/>
  <c r="AN516" i="18"/>
  <c r="AM36" i="5" s="1"/>
  <c r="AN36" i="5" s="1"/>
  <c r="AF36" i="5"/>
  <c r="AN530" i="18"/>
  <c r="AL532" i="28" s="1"/>
  <c r="D531" i="28"/>
  <c r="V529" i="18"/>
  <c r="AE532" i="28"/>
  <c r="AE545" i="28"/>
  <c r="AL545" i="28"/>
  <c r="D523" i="28"/>
  <c r="V521" i="18"/>
  <c r="AE531" i="28"/>
  <c r="AE523" i="28"/>
  <c r="AE518" i="28"/>
  <c r="D518" i="28"/>
  <c r="V516" i="18"/>
  <c r="V520" i="28"/>
  <c r="AE518" i="18"/>
  <c r="V519" i="28"/>
  <c r="AE517" i="18"/>
  <c r="V517" i="18"/>
  <c r="D519" i="28"/>
  <c r="V518" i="28"/>
  <c r="AE516" i="18"/>
  <c r="D520" i="28"/>
  <c r="V518" i="18"/>
  <c r="AE519" i="28"/>
  <c r="AE520" i="28"/>
  <c r="D526" i="28"/>
  <c r="V524" i="18"/>
  <c r="D517" i="28"/>
  <c r="V515" i="18"/>
  <c r="AE526" i="28"/>
  <c r="V526" i="28"/>
  <c r="AE524" i="18"/>
  <c r="V532" i="28"/>
  <c r="AE530" i="18"/>
  <c r="AG540" i="18"/>
  <c r="AN540" i="18" s="1"/>
  <c r="AM527" i="28"/>
  <c r="X535" i="18"/>
  <c r="V537" i="28" s="1"/>
  <c r="AD522" i="28"/>
  <c r="F537" i="18"/>
  <c r="D539" i="28" s="1"/>
  <c r="U524" i="28"/>
  <c r="AD529" i="28"/>
  <c r="X542" i="18"/>
  <c r="V544" i="28" s="1"/>
  <c r="U527" i="28"/>
  <c r="F540" i="18"/>
  <c r="D542" i="28" s="1"/>
  <c r="AD524" i="28"/>
  <c r="X537" i="18"/>
  <c r="V539" i="28" s="1"/>
  <c r="V538" i="18"/>
  <c r="T540" i="28" s="1"/>
  <c r="X544" i="18"/>
  <c r="V546" i="28" s="1"/>
  <c r="AD531" i="28"/>
  <c r="X534" i="18"/>
  <c r="V536" i="28" s="1"/>
  <c r="AD521" i="28"/>
  <c r="AG542" i="18"/>
  <c r="AN542" i="18" s="1"/>
  <c r="AM529" i="28"/>
  <c r="AE538" i="18"/>
  <c r="AC540" i="28" s="1"/>
  <c r="F534" i="18"/>
  <c r="D536" i="28" s="1"/>
  <c r="U521" i="28"/>
  <c r="AE543" i="18"/>
  <c r="AC545" i="28" s="1"/>
  <c r="F542" i="18"/>
  <c r="D544" i="28" s="1"/>
  <c r="U529" i="28"/>
  <c r="AG534" i="18"/>
  <c r="AN534" i="18" s="1"/>
  <c r="AM521" i="28"/>
  <c r="F541" i="18"/>
  <c r="D543" i="28" s="1"/>
  <c r="U528" i="28"/>
  <c r="AM528" i="28"/>
  <c r="AG541" i="18"/>
  <c r="AN541" i="18" s="1"/>
  <c r="AE536" i="18"/>
  <c r="AC538" i="28" s="1"/>
  <c r="X540" i="18"/>
  <c r="V542" i="28" s="1"/>
  <c r="AD527" i="28"/>
  <c r="AG537" i="18"/>
  <c r="AN537" i="18" s="1"/>
  <c r="AM524" i="28"/>
  <c r="AM522" i="28"/>
  <c r="AG535" i="18"/>
  <c r="AN535" i="18" s="1"/>
  <c r="AD528" i="28"/>
  <c r="X541" i="18"/>
  <c r="V543" i="28" s="1"/>
  <c r="F535" i="18"/>
  <c r="D537" i="28" s="1"/>
  <c r="U522" i="28"/>
  <c r="AM525" i="28"/>
  <c r="AG538" i="18"/>
  <c r="AN538" i="18" s="1"/>
  <c r="T530" i="28" l="1"/>
  <c r="F543" i="18"/>
  <c r="U36" i="5"/>
  <c r="V36" i="5" s="1"/>
  <c r="AD36" i="5"/>
  <c r="AE36" i="5" s="1"/>
  <c r="T531" i="28"/>
  <c r="F544" i="18"/>
  <c r="U531" i="28"/>
  <c r="AE540" i="28"/>
  <c r="AL540" i="28"/>
  <c r="AE536" i="28"/>
  <c r="AE544" i="28"/>
  <c r="AE539" i="28"/>
  <c r="AE537" i="28"/>
  <c r="AL537" i="28"/>
  <c r="AE543" i="28"/>
  <c r="AE542" i="28"/>
  <c r="T523" i="28"/>
  <c r="F536" i="18"/>
  <c r="U523" i="28"/>
  <c r="AL531" i="28"/>
  <c r="AG544" i="18"/>
  <c r="AN544" i="18" s="1"/>
  <c r="AM531" i="28"/>
  <c r="AL523" i="28"/>
  <c r="AM523" i="28"/>
  <c r="AG536" i="18"/>
  <c r="AN536" i="18" s="1"/>
  <c r="AL519" i="28"/>
  <c r="AG532" i="18"/>
  <c r="AN532" i="18" s="1"/>
  <c r="AM519" i="28"/>
  <c r="AC519" i="28"/>
  <c r="X532" i="18"/>
  <c r="AD519" i="28"/>
  <c r="T520" i="28"/>
  <c r="F533" i="18"/>
  <c r="U520" i="28"/>
  <c r="AC520" i="28"/>
  <c r="X533" i="18"/>
  <c r="AD520" i="28"/>
  <c r="AC518" i="28"/>
  <c r="X531" i="18"/>
  <c r="AD518" i="28"/>
  <c r="T518" i="28"/>
  <c r="F531" i="18"/>
  <c r="U518" i="28"/>
  <c r="AL520" i="28"/>
  <c r="AM520" i="28"/>
  <c r="AG533" i="18"/>
  <c r="AN533" i="18" s="1"/>
  <c r="AL518" i="28"/>
  <c r="AG531" i="18"/>
  <c r="AM518" i="28"/>
  <c r="U519" i="28"/>
  <c r="T519" i="28"/>
  <c r="F532" i="18"/>
  <c r="T526" i="28"/>
  <c r="U526" i="28"/>
  <c r="F539" i="18"/>
  <c r="T517" i="28"/>
  <c r="F530" i="18"/>
  <c r="U517" i="28"/>
  <c r="AL526" i="28"/>
  <c r="AG539" i="18"/>
  <c r="AN539" i="18" s="1"/>
  <c r="AM526" i="28"/>
  <c r="AC526" i="28"/>
  <c r="X539" i="18"/>
  <c r="AD526" i="28"/>
  <c r="AC532" i="28"/>
  <c r="AD532" i="28"/>
  <c r="X545" i="18"/>
  <c r="V535" i="18"/>
  <c r="T537" i="28" s="1"/>
  <c r="AG558" i="18"/>
  <c r="AN558" i="18" s="1"/>
  <c r="AM545" i="28"/>
  <c r="AE535" i="18"/>
  <c r="AC537" i="28" s="1"/>
  <c r="AL539" i="28"/>
  <c r="AL536" i="28"/>
  <c r="V534" i="18"/>
  <c r="T536" i="28" s="1"/>
  <c r="AE534" i="18"/>
  <c r="AC536" i="28" s="1"/>
  <c r="AE541" i="18"/>
  <c r="AC543" i="28" s="1"/>
  <c r="AL543" i="28"/>
  <c r="AE542" i="18"/>
  <c r="AC544" i="28" s="1"/>
  <c r="U540" i="28"/>
  <c r="F553" i="18"/>
  <c r="D555" i="28" s="1"/>
  <c r="AM532" i="28"/>
  <c r="AG545" i="18"/>
  <c r="AE540" i="18"/>
  <c r="AC542" i="28" s="1"/>
  <c r="V542" i="18"/>
  <c r="T544" i="28" s="1"/>
  <c r="AD540" i="28"/>
  <c r="X553" i="18"/>
  <c r="V555" i="28" s="1"/>
  <c r="U545" i="28"/>
  <c r="AE537" i="18"/>
  <c r="AC539" i="28" s="1"/>
  <c r="V541" i="18"/>
  <c r="T543" i="28" s="1"/>
  <c r="AL544" i="28"/>
  <c r="AE544" i="18"/>
  <c r="AC546" i="28" s="1"/>
  <c r="V537" i="18"/>
  <c r="T539" i="28" s="1"/>
  <c r="AL542" i="28"/>
  <c r="AD538" i="28"/>
  <c r="X551" i="18"/>
  <c r="V553" i="28" s="1"/>
  <c r="X558" i="18"/>
  <c r="V560" i="28" s="1"/>
  <c r="AD545" i="28"/>
  <c r="V540" i="18"/>
  <c r="T542" i="28" s="1"/>
  <c r="D545" i="28" l="1"/>
  <c r="V543" i="18"/>
  <c r="E37" i="5"/>
  <c r="AN531" i="18"/>
  <c r="AM37" i="5" s="1"/>
  <c r="AN37" i="5" s="1"/>
  <c r="AF37" i="5"/>
  <c r="W37" i="5"/>
  <c r="AN545" i="18"/>
  <c r="AL547" i="28" s="1"/>
  <c r="D546" i="28"/>
  <c r="V544" i="18"/>
  <c r="AE547" i="28"/>
  <c r="AE560" i="28"/>
  <c r="D538" i="28"/>
  <c r="V536" i="18"/>
  <c r="AE546" i="28"/>
  <c r="AE538" i="28"/>
  <c r="V533" i="28"/>
  <c r="AE531" i="18"/>
  <c r="AE533" i="28"/>
  <c r="AE535" i="28"/>
  <c r="V534" i="28"/>
  <c r="AE532" i="18"/>
  <c r="D535" i="28"/>
  <c r="V533" i="18"/>
  <c r="D534" i="28"/>
  <c r="V532" i="18"/>
  <c r="V535" i="28"/>
  <c r="AE533" i="18"/>
  <c r="AE534" i="28"/>
  <c r="V531" i="18"/>
  <c r="D533" i="28"/>
  <c r="D541" i="28"/>
  <c r="V539" i="18"/>
  <c r="D532" i="28"/>
  <c r="V530" i="18"/>
  <c r="AE541" i="28"/>
  <c r="V541" i="28"/>
  <c r="AE539" i="18"/>
  <c r="V547" i="28"/>
  <c r="AE545" i="18"/>
  <c r="AE553" i="18"/>
  <c r="AC555" i="28" s="1"/>
  <c r="AM540" i="28"/>
  <c r="AG553" i="18"/>
  <c r="AN553" i="18" s="1"/>
  <c r="AM537" i="28"/>
  <c r="AG550" i="18"/>
  <c r="AN550" i="18" s="1"/>
  <c r="X549" i="18"/>
  <c r="V551" i="28" s="1"/>
  <c r="AD536" i="28"/>
  <c r="AD537" i="28"/>
  <c r="X550" i="18"/>
  <c r="V552" i="28" s="1"/>
  <c r="AL560" i="28"/>
  <c r="U542" i="28"/>
  <c r="F555" i="18"/>
  <c r="D557" i="28" s="1"/>
  <c r="F552" i="18"/>
  <c r="D554" i="28" s="1"/>
  <c r="U539" i="28"/>
  <c r="X557" i="18"/>
  <c r="V559" i="28" s="1"/>
  <c r="AD544" i="28"/>
  <c r="U536" i="28"/>
  <c r="F549" i="18"/>
  <c r="D551" i="28" s="1"/>
  <c r="AE551" i="18"/>
  <c r="AC553" i="28" s="1"/>
  <c r="X559" i="18"/>
  <c r="V561" i="28" s="1"/>
  <c r="AD546" i="28"/>
  <c r="AG555" i="18"/>
  <c r="AN555" i="18" s="1"/>
  <c r="AM542" i="28"/>
  <c r="X552" i="18"/>
  <c r="V554" i="28" s="1"/>
  <c r="AD539" i="28"/>
  <c r="F557" i="18"/>
  <c r="D559" i="28" s="1"/>
  <c r="U544" i="28"/>
  <c r="V553" i="18"/>
  <c r="T555" i="28" s="1"/>
  <c r="F550" i="18"/>
  <c r="D552" i="28" s="1"/>
  <c r="U537" i="28"/>
  <c r="AG557" i="18"/>
  <c r="AN557" i="18" s="1"/>
  <c r="AM544" i="28"/>
  <c r="AG556" i="18"/>
  <c r="AN556" i="18" s="1"/>
  <c r="AM543" i="28"/>
  <c r="AG549" i="18"/>
  <c r="AN549" i="18" s="1"/>
  <c r="AM536" i="28"/>
  <c r="AE558" i="18"/>
  <c r="AC560" i="28" s="1"/>
  <c r="X555" i="18"/>
  <c r="V557" i="28" s="1"/>
  <c r="AD542" i="28"/>
  <c r="F556" i="18"/>
  <c r="D558" i="28" s="1"/>
  <c r="U543" i="28"/>
  <c r="X556" i="18"/>
  <c r="V558" i="28" s="1"/>
  <c r="AD543" i="28"/>
  <c r="AG552" i="18"/>
  <c r="AN552" i="18" s="1"/>
  <c r="AM539" i="28"/>
  <c r="T545" i="28" l="1"/>
  <c r="F558" i="18"/>
  <c r="AD37" i="5"/>
  <c r="AE37" i="5" s="1"/>
  <c r="U37" i="5"/>
  <c r="V37" i="5" s="1"/>
  <c r="T546" i="28"/>
  <c r="U546" i="28"/>
  <c r="F559" i="18"/>
  <c r="AE552" i="28"/>
  <c r="AE557" i="28"/>
  <c r="AE551" i="28"/>
  <c r="AE554" i="28"/>
  <c r="AE555" i="28"/>
  <c r="AE559" i="28"/>
  <c r="AE558" i="28"/>
  <c r="T538" i="28"/>
  <c r="U538" i="28"/>
  <c r="F551" i="18"/>
  <c r="AL546" i="28"/>
  <c r="AM546" i="28"/>
  <c r="AG559" i="18"/>
  <c r="AN559" i="18" s="1"/>
  <c r="AL538" i="28"/>
  <c r="AG551" i="18"/>
  <c r="AN551" i="18" s="1"/>
  <c r="AM538" i="28"/>
  <c r="AC535" i="28"/>
  <c r="X548" i="18"/>
  <c r="AD535" i="28"/>
  <c r="AL535" i="28"/>
  <c r="AG548" i="18"/>
  <c r="AN548" i="18" s="1"/>
  <c r="AM535" i="28"/>
  <c r="U534" i="28"/>
  <c r="T534" i="28"/>
  <c r="F547" i="18"/>
  <c r="AL533" i="28"/>
  <c r="AM533" i="28"/>
  <c r="AG546" i="18"/>
  <c r="AC534" i="28"/>
  <c r="X547" i="18"/>
  <c r="AD534" i="28"/>
  <c r="AL534" i="28"/>
  <c r="AG547" i="18"/>
  <c r="AN547" i="18" s="1"/>
  <c r="AM534" i="28"/>
  <c r="T535" i="28"/>
  <c r="U535" i="28"/>
  <c r="F548" i="18"/>
  <c r="AC533" i="28"/>
  <c r="X546" i="18"/>
  <c r="AD533" i="28"/>
  <c r="F546" i="18"/>
  <c r="U533" i="28"/>
  <c r="T533" i="28"/>
  <c r="T541" i="28"/>
  <c r="U541" i="28"/>
  <c r="F554" i="18"/>
  <c r="T532" i="28"/>
  <c r="U532" i="28"/>
  <c r="F545" i="18"/>
  <c r="AL541" i="28"/>
  <c r="AM541" i="28"/>
  <c r="AG554" i="18"/>
  <c r="AN554" i="18" s="1"/>
  <c r="AC541" i="28"/>
  <c r="AD541" i="28"/>
  <c r="X554" i="18"/>
  <c r="AC547" i="28"/>
  <c r="X560" i="18"/>
  <c r="AD547" i="28"/>
  <c r="AL557" i="28"/>
  <c r="AE556" i="18"/>
  <c r="AC558" i="28" s="1"/>
  <c r="V549" i="18"/>
  <c r="T551" i="28" s="1"/>
  <c r="U560" i="28"/>
  <c r="AE549" i="18"/>
  <c r="AC551" i="28" s="1"/>
  <c r="X573" i="18"/>
  <c r="V575" i="28" s="1"/>
  <c r="AD560" i="28"/>
  <c r="AL559" i="28"/>
  <c r="AL555" i="28"/>
  <c r="V555" i="18"/>
  <c r="T557" i="28" s="1"/>
  <c r="V556" i="18"/>
  <c r="T558" i="28" s="1"/>
  <c r="AE559" i="18"/>
  <c r="AC561" i="28" s="1"/>
  <c r="AE557" i="18"/>
  <c r="AC559" i="28" s="1"/>
  <c r="F568" i="18"/>
  <c r="D570" i="28" s="1"/>
  <c r="U555" i="28"/>
  <c r="AL551" i="28"/>
  <c r="V557" i="18"/>
  <c r="T559" i="28" s="1"/>
  <c r="AG573" i="18"/>
  <c r="AN573" i="18" s="1"/>
  <c r="AM560" i="28"/>
  <c r="AG560" i="18"/>
  <c r="AM547" i="28"/>
  <c r="AL554" i="28"/>
  <c r="AE555" i="18"/>
  <c r="AC557" i="28" s="1"/>
  <c r="AL558" i="28"/>
  <c r="V550" i="18"/>
  <c r="T552" i="28" s="1"/>
  <c r="AE552" i="18"/>
  <c r="AC554" i="28" s="1"/>
  <c r="AE550" i="18"/>
  <c r="AC552" i="28" s="1"/>
  <c r="AL552" i="28"/>
  <c r="X566" i="18"/>
  <c r="V568" i="28" s="1"/>
  <c r="AD553" i="28"/>
  <c r="V552" i="18"/>
  <c r="T554" i="28" s="1"/>
  <c r="X568" i="18"/>
  <c r="V570" i="28" s="1"/>
  <c r="AD555" i="28"/>
  <c r="D560" i="28" l="1"/>
  <c r="V558" i="18"/>
  <c r="E38" i="5"/>
  <c r="W38" i="5"/>
  <c r="AN560" i="18"/>
  <c r="AN546" i="18"/>
  <c r="AM38" i="5" s="1"/>
  <c r="AN38" i="5" s="1"/>
  <c r="AF38" i="5"/>
  <c r="D561" i="28"/>
  <c r="V559" i="18"/>
  <c r="AE562" i="28"/>
  <c r="AE575" i="28"/>
  <c r="D553" i="28"/>
  <c r="V551" i="18"/>
  <c r="AE561" i="28"/>
  <c r="AE553" i="28"/>
  <c r="V549" i="28"/>
  <c r="AE547" i="18"/>
  <c r="D550" i="28"/>
  <c r="V548" i="18"/>
  <c r="AE550" i="28"/>
  <c r="AE548" i="28"/>
  <c r="V548" i="28"/>
  <c r="AE546" i="18"/>
  <c r="V550" i="28"/>
  <c r="AE548" i="18"/>
  <c r="V546" i="18"/>
  <c r="D548" i="28"/>
  <c r="AE549" i="28"/>
  <c r="D549" i="28"/>
  <c r="V547" i="18"/>
  <c r="D556" i="28"/>
  <c r="V554" i="18"/>
  <c r="D547" i="28"/>
  <c r="V545" i="18"/>
  <c r="AE556" i="28"/>
  <c r="V556" i="28"/>
  <c r="AE554" i="18"/>
  <c r="V562" i="28"/>
  <c r="AE560" i="18"/>
  <c r="V568" i="18"/>
  <c r="T570" i="28" s="1"/>
  <c r="F564" i="18"/>
  <c r="D566" i="28" s="1"/>
  <c r="U551" i="28"/>
  <c r="AE568" i="18"/>
  <c r="AC570" i="28" s="1"/>
  <c r="AE566" i="18"/>
  <c r="AC568" i="28" s="1"/>
  <c r="X565" i="18"/>
  <c r="V567" i="28" s="1"/>
  <c r="AD552" i="28"/>
  <c r="X570" i="18"/>
  <c r="V572" i="28" s="1"/>
  <c r="AD557" i="28"/>
  <c r="U557" i="28"/>
  <c r="F570" i="18"/>
  <c r="D572" i="28" s="1"/>
  <c r="X571" i="18"/>
  <c r="V573" i="28" s="1"/>
  <c r="AD558" i="28"/>
  <c r="AD554" i="28"/>
  <c r="X567" i="18"/>
  <c r="V569" i="28" s="1"/>
  <c r="X572" i="18"/>
  <c r="V574" i="28" s="1"/>
  <c r="AD559" i="28"/>
  <c r="AM559" i="28"/>
  <c r="AG572" i="18"/>
  <c r="AN572" i="18" s="1"/>
  <c r="AD551" i="28"/>
  <c r="X564" i="18"/>
  <c r="V566" i="28" s="1"/>
  <c r="F567" i="18"/>
  <c r="D569" i="28" s="1"/>
  <c r="U554" i="28"/>
  <c r="F572" i="18"/>
  <c r="D574" i="28" s="1"/>
  <c r="U559" i="28"/>
  <c r="AM557" i="28"/>
  <c r="AG570" i="18"/>
  <c r="AN570" i="18" s="1"/>
  <c r="U552" i="28"/>
  <c r="F565" i="18"/>
  <c r="D567" i="28" s="1"/>
  <c r="X574" i="18"/>
  <c r="V576" i="28" s="1"/>
  <c r="AD561" i="28"/>
  <c r="AE573" i="18"/>
  <c r="AC575" i="28" s="1"/>
  <c r="AG567" i="18"/>
  <c r="AN567" i="18" s="1"/>
  <c r="AM554" i="28"/>
  <c r="AL575" i="28"/>
  <c r="AG564" i="18"/>
  <c r="AN564" i="18" s="1"/>
  <c r="AM551" i="28"/>
  <c r="AG568" i="18"/>
  <c r="AN568" i="18" s="1"/>
  <c r="AM555" i="28"/>
  <c r="AG565" i="18"/>
  <c r="AN565" i="18" s="1"/>
  <c r="AM552" i="28"/>
  <c r="AG571" i="18"/>
  <c r="AN571" i="18" s="1"/>
  <c r="AM558" i="28"/>
  <c r="U558" i="28"/>
  <c r="F571" i="18"/>
  <c r="D573" i="28" s="1"/>
  <c r="T560" i="28" l="1"/>
  <c r="F573" i="18"/>
  <c r="AD38" i="5"/>
  <c r="AE38" i="5" s="1"/>
  <c r="U38" i="5"/>
  <c r="V38" i="5" s="1"/>
  <c r="AL562" i="28"/>
  <c r="T561" i="28"/>
  <c r="U561" i="28"/>
  <c r="F574" i="18"/>
  <c r="AE573" i="28"/>
  <c r="AE569" i="28"/>
  <c r="AE574" i="28"/>
  <c r="AE567" i="28"/>
  <c r="AL567" i="28"/>
  <c r="AE566" i="28"/>
  <c r="AE572" i="28"/>
  <c r="AE570" i="28"/>
  <c r="T553" i="28"/>
  <c r="F566" i="18"/>
  <c r="U553" i="28"/>
  <c r="AL561" i="28"/>
  <c r="AM561" i="28"/>
  <c r="AG574" i="18"/>
  <c r="AN574" i="18" s="1"/>
  <c r="AL553" i="28"/>
  <c r="AM553" i="28"/>
  <c r="AG566" i="18"/>
  <c r="AN566" i="18" s="1"/>
  <c r="AG562" i="18"/>
  <c r="AN562" i="18" s="1"/>
  <c r="AL549" i="28"/>
  <c r="AM549" i="28"/>
  <c r="AL548" i="28"/>
  <c r="AM548" i="28"/>
  <c r="AG561" i="18"/>
  <c r="AL550" i="28"/>
  <c r="AM550" i="28"/>
  <c r="AG563" i="18"/>
  <c r="AN563" i="18" s="1"/>
  <c r="T548" i="28"/>
  <c r="U548" i="28"/>
  <c r="F561" i="18"/>
  <c r="AC550" i="28"/>
  <c r="AD550" i="28"/>
  <c r="X563" i="18"/>
  <c r="T550" i="28"/>
  <c r="U550" i="28"/>
  <c r="F563" i="18"/>
  <c r="T549" i="28"/>
  <c r="F562" i="18"/>
  <c r="U549" i="28"/>
  <c r="X561" i="18"/>
  <c r="AD548" i="28"/>
  <c r="AC548" i="28"/>
  <c r="AC549" i="28"/>
  <c r="AD549" i="28"/>
  <c r="X562" i="18"/>
  <c r="T556" i="28"/>
  <c r="F569" i="18"/>
  <c r="U556" i="28"/>
  <c r="T547" i="28"/>
  <c r="F560" i="18"/>
  <c r="U547" i="28"/>
  <c r="AL556" i="28"/>
  <c r="AM556" i="28"/>
  <c r="AG569" i="18"/>
  <c r="AN569" i="18" s="1"/>
  <c r="AC556" i="28"/>
  <c r="AD556" i="28"/>
  <c r="X569" i="18"/>
  <c r="AC562" i="28"/>
  <c r="X575" i="18"/>
  <c r="AD562" i="28"/>
  <c r="AE567" i="18"/>
  <c r="AC569" i="28" s="1"/>
  <c r="AE564" i="18"/>
  <c r="AC566" i="28" s="1"/>
  <c r="V572" i="18"/>
  <c r="T574" i="28" s="1"/>
  <c r="AE572" i="18"/>
  <c r="AC574" i="28" s="1"/>
  <c r="X581" i="18"/>
  <c r="V583" i="28" s="1"/>
  <c r="AD568" i="28"/>
  <c r="AE574" i="18"/>
  <c r="AC576" i="28" s="1"/>
  <c r="V565" i="18"/>
  <c r="T567" i="28" s="1"/>
  <c r="AL566" i="28"/>
  <c r="V571" i="18"/>
  <c r="T573" i="28" s="1"/>
  <c r="AG588" i="18"/>
  <c r="AN588" i="18" s="1"/>
  <c r="AM575" i="28"/>
  <c r="AL574" i="28"/>
  <c r="AE571" i="18"/>
  <c r="AC573" i="28" s="1"/>
  <c r="AE570" i="18"/>
  <c r="AC572" i="28" s="1"/>
  <c r="X583" i="18"/>
  <c r="V585" i="28" s="1"/>
  <c r="AD570" i="28"/>
  <c r="AL573" i="28"/>
  <c r="U575" i="28"/>
  <c r="AG575" i="18"/>
  <c r="AM562" i="28"/>
  <c r="F583" i="18"/>
  <c r="D585" i="28" s="1"/>
  <c r="U570" i="28"/>
  <c r="AL570" i="28"/>
  <c r="AL569" i="28"/>
  <c r="AL572" i="28"/>
  <c r="V570" i="18"/>
  <c r="T572" i="28" s="1"/>
  <c r="V564" i="18"/>
  <c r="T566" i="28" s="1"/>
  <c r="AD575" i="28"/>
  <c r="X588" i="18"/>
  <c r="V590" i="28" s="1"/>
  <c r="V567" i="18"/>
  <c r="T569" i="28" s="1"/>
  <c r="AE565" i="18"/>
  <c r="AC567" i="28" s="1"/>
  <c r="D575" i="28" l="1"/>
  <c r="V573" i="18"/>
  <c r="E39" i="5"/>
  <c r="W39" i="5"/>
  <c r="AN575" i="18"/>
  <c r="AL577" i="28" s="1"/>
  <c r="AN561" i="18"/>
  <c r="AM39" i="5" s="1"/>
  <c r="AN39" i="5" s="1"/>
  <c r="AF39" i="5"/>
  <c r="D576" i="28"/>
  <c r="V574" i="18"/>
  <c r="AE577" i="28"/>
  <c r="AE590" i="28"/>
  <c r="D568" i="28"/>
  <c r="V566" i="18"/>
  <c r="AE576" i="28"/>
  <c r="AE568" i="28"/>
  <c r="V565" i="28"/>
  <c r="AE563" i="18"/>
  <c r="V563" i="28"/>
  <c r="AE561" i="18"/>
  <c r="AE563" i="28"/>
  <c r="D564" i="28"/>
  <c r="V562" i="18"/>
  <c r="D563" i="28"/>
  <c r="V561" i="18"/>
  <c r="V564" i="28"/>
  <c r="AE562" i="18"/>
  <c r="D565" i="28"/>
  <c r="V563" i="18"/>
  <c r="AE565" i="28"/>
  <c r="AE564" i="28"/>
  <c r="D571" i="28"/>
  <c r="V569" i="18"/>
  <c r="D562" i="28"/>
  <c r="V560" i="18"/>
  <c r="AE571" i="28"/>
  <c r="V571" i="28"/>
  <c r="AE569" i="18"/>
  <c r="V577" i="28"/>
  <c r="AE575" i="18"/>
  <c r="X589" i="18"/>
  <c r="V591" i="28" s="1"/>
  <c r="AD576" i="28"/>
  <c r="X587" i="18"/>
  <c r="V589" i="28" s="1"/>
  <c r="AD574" i="28"/>
  <c r="F582" i="18"/>
  <c r="D584" i="28" s="1"/>
  <c r="U569" i="28"/>
  <c r="AG585" i="18"/>
  <c r="AN585" i="18" s="1"/>
  <c r="AM572" i="28"/>
  <c r="F586" i="18"/>
  <c r="D588" i="28" s="1"/>
  <c r="U573" i="28"/>
  <c r="AE581" i="18"/>
  <c r="AC583" i="28" s="1"/>
  <c r="F587" i="18"/>
  <c r="D589" i="28" s="1"/>
  <c r="U574" i="28"/>
  <c r="F585" i="18"/>
  <c r="D587" i="28" s="1"/>
  <c r="U572" i="28"/>
  <c r="V583" i="18"/>
  <c r="T585" i="28" s="1"/>
  <c r="X586" i="18"/>
  <c r="V588" i="28" s="1"/>
  <c r="AD573" i="28"/>
  <c r="AD567" i="28"/>
  <c r="X580" i="18"/>
  <c r="V582" i="28" s="1"/>
  <c r="AM569" i="28"/>
  <c r="AG582" i="18"/>
  <c r="AN582" i="18" s="1"/>
  <c r="AG586" i="18"/>
  <c r="AN586" i="18" s="1"/>
  <c r="AM573" i="28"/>
  <c r="F580" i="18"/>
  <c r="D582" i="28" s="1"/>
  <c r="U567" i="28"/>
  <c r="X582" i="18"/>
  <c r="V584" i="28" s="1"/>
  <c r="AD569" i="28"/>
  <c r="AE588" i="18"/>
  <c r="AC590" i="28" s="1"/>
  <c r="AM574" i="28"/>
  <c r="AG587" i="18"/>
  <c r="AN587" i="18" s="1"/>
  <c r="F579" i="18"/>
  <c r="D581" i="28" s="1"/>
  <c r="U566" i="28"/>
  <c r="AE583" i="18"/>
  <c r="AC585" i="28" s="1"/>
  <c r="AG580" i="18"/>
  <c r="AN580" i="18" s="1"/>
  <c r="AM567" i="28"/>
  <c r="X585" i="18"/>
  <c r="V587" i="28" s="1"/>
  <c r="AD572" i="28"/>
  <c r="AG583" i="18"/>
  <c r="AN583" i="18" s="1"/>
  <c r="AM570" i="28"/>
  <c r="AL590" i="28"/>
  <c r="AG579" i="18"/>
  <c r="AN579" i="18" s="1"/>
  <c r="AM566" i="28"/>
  <c r="AD566" i="28"/>
  <c r="X579" i="18"/>
  <c r="V581" i="28" s="1"/>
  <c r="T575" i="28" l="1"/>
  <c r="F588" i="18"/>
  <c r="U39" i="5"/>
  <c r="V39" i="5" s="1"/>
  <c r="AD39" i="5"/>
  <c r="AE39" i="5" s="1"/>
  <c r="T576" i="28"/>
  <c r="F589" i="18"/>
  <c r="U576" i="28"/>
  <c r="AE589" i="28"/>
  <c r="AE587" i="28"/>
  <c r="AE581" i="28"/>
  <c r="AL581" i="28"/>
  <c r="AE588" i="28"/>
  <c r="AL588" i="28"/>
  <c r="AE584" i="28"/>
  <c r="AE582" i="28"/>
  <c r="AE585" i="28"/>
  <c r="AL585" i="28"/>
  <c r="T568" i="28"/>
  <c r="F581" i="18"/>
  <c r="U568" i="28"/>
  <c r="AL576" i="28"/>
  <c r="AM576" i="28"/>
  <c r="AG589" i="18"/>
  <c r="AN589" i="18" s="1"/>
  <c r="AL568" i="28"/>
  <c r="AM568" i="28"/>
  <c r="AG581" i="18"/>
  <c r="AN581" i="18" s="1"/>
  <c r="AL565" i="28"/>
  <c r="AM565" i="28"/>
  <c r="AG578" i="18"/>
  <c r="AN578" i="18" s="1"/>
  <c r="F577" i="18"/>
  <c r="T564" i="28"/>
  <c r="U564" i="28"/>
  <c r="T565" i="28"/>
  <c r="F578" i="18"/>
  <c r="U565" i="28"/>
  <c r="AL563" i="28"/>
  <c r="AM563" i="28"/>
  <c r="AG576" i="18"/>
  <c r="AC564" i="28"/>
  <c r="AD564" i="28"/>
  <c r="X577" i="18"/>
  <c r="AC563" i="28"/>
  <c r="AD563" i="28"/>
  <c r="X576" i="18"/>
  <c r="AL564" i="28"/>
  <c r="AG577" i="18"/>
  <c r="AN577" i="18" s="1"/>
  <c r="AM564" i="28"/>
  <c r="T563" i="28"/>
  <c r="U563" i="28"/>
  <c r="F576" i="18"/>
  <c r="AC565" i="28"/>
  <c r="X578" i="18"/>
  <c r="AD565" i="28"/>
  <c r="T571" i="28"/>
  <c r="U571" i="28"/>
  <c r="F584" i="18"/>
  <c r="T562" i="28"/>
  <c r="F575" i="18"/>
  <c r="U562" i="28"/>
  <c r="AL571" i="28"/>
  <c r="AG584" i="18"/>
  <c r="AN584" i="18" s="1"/>
  <c r="AM571" i="28"/>
  <c r="AC571" i="28"/>
  <c r="AD571" i="28"/>
  <c r="X584" i="18"/>
  <c r="AC577" i="28"/>
  <c r="AD577" i="28"/>
  <c r="X590" i="18"/>
  <c r="V579" i="18"/>
  <c r="T581" i="28" s="1"/>
  <c r="AL582" i="28"/>
  <c r="AE586" i="18"/>
  <c r="AC588" i="28" s="1"/>
  <c r="V587" i="18"/>
  <c r="T589" i="28" s="1"/>
  <c r="AL587" i="28"/>
  <c r="AE587" i="18"/>
  <c r="AC589" i="28" s="1"/>
  <c r="AD590" i="28"/>
  <c r="X603" i="18"/>
  <c r="V605" i="28" s="1"/>
  <c r="U590" i="28"/>
  <c r="AL584" i="28"/>
  <c r="V580" i="18"/>
  <c r="T582" i="28" s="1"/>
  <c r="AM590" i="28"/>
  <c r="AG603" i="18"/>
  <c r="AN603" i="18" s="1"/>
  <c r="AE579" i="18"/>
  <c r="AC581" i="28" s="1"/>
  <c r="AE585" i="18"/>
  <c r="AC587" i="28" s="1"/>
  <c r="X598" i="18"/>
  <c r="V600" i="28" s="1"/>
  <c r="AD585" i="28"/>
  <c r="AL589" i="28"/>
  <c r="AE582" i="18"/>
  <c r="AC584" i="28" s="1"/>
  <c r="F598" i="18"/>
  <c r="D600" i="28" s="1"/>
  <c r="U585" i="28"/>
  <c r="X596" i="18"/>
  <c r="V598" i="28" s="1"/>
  <c r="AD583" i="28"/>
  <c r="V582" i="18"/>
  <c r="T584" i="28" s="1"/>
  <c r="AE589" i="18"/>
  <c r="AC591" i="28" s="1"/>
  <c r="AE580" i="18"/>
  <c r="AC582" i="28" s="1"/>
  <c r="AM577" i="28"/>
  <c r="AG590" i="18"/>
  <c r="V585" i="18"/>
  <c r="T587" i="28" s="1"/>
  <c r="V586" i="18"/>
  <c r="T588" i="28" s="1"/>
  <c r="D590" i="28" l="1"/>
  <c r="V588" i="18"/>
  <c r="AN576" i="18"/>
  <c r="AM40" i="5" s="1"/>
  <c r="AN40" i="5" s="1"/>
  <c r="AF40" i="5"/>
  <c r="AN590" i="18"/>
  <c r="AL592" i="28" s="1"/>
  <c r="W40" i="5"/>
  <c r="E40" i="5"/>
  <c r="D591" i="28"/>
  <c r="V589" i="18"/>
  <c r="AE605" i="28"/>
  <c r="AE592" i="28"/>
  <c r="D583" i="28"/>
  <c r="V581" i="18"/>
  <c r="AE591" i="28"/>
  <c r="AE583" i="28"/>
  <c r="D578" i="28"/>
  <c r="V576" i="18"/>
  <c r="D580" i="28"/>
  <c r="V578" i="18"/>
  <c r="V579" i="28"/>
  <c r="AE577" i="18"/>
  <c r="AE579" i="28"/>
  <c r="AE578" i="28"/>
  <c r="D579" i="28"/>
  <c r="V577" i="18"/>
  <c r="AE580" i="28"/>
  <c r="V580" i="28"/>
  <c r="AE578" i="18"/>
  <c r="V578" i="28"/>
  <c r="AE576" i="18"/>
  <c r="D586" i="28"/>
  <c r="V584" i="18"/>
  <c r="D577" i="28"/>
  <c r="V575" i="18"/>
  <c r="AE586" i="28"/>
  <c r="V586" i="28"/>
  <c r="AE584" i="18"/>
  <c r="V592" i="28"/>
  <c r="AE590" i="18"/>
  <c r="AD582" i="28"/>
  <c r="X595" i="18"/>
  <c r="V597" i="28" s="1"/>
  <c r="AG594" i="18"/>
  <c r="AN594" i="18" s="1"/>
  <c r="AM581" i="28"/>
  <c r="AG602" i="18"/>
  <c r="AN602" i="18" s="1"/>
  <c r="AM589" i="28"/>
  <c r="AD589" i="28"/>
  <c r="X602" i="18"/>
  <c r="V604" i="28" s="1"/>
  <c r="AD588" i="28"/>
  <c r="X601" i="18"/>
  <c r="V603" i="28" s="1"/>
  <c r="F595" i="18"/>
  <c r="D597" i="28" s="1"/>
  <c r="U582" i="28"/>
  <c r="F597" i="18"/>
  <c r="D599" i="28" s="1"/>
  <c r="U584" i="28"/>
  <c r="AE596" i="18"/>
  <c r="AC598" i="28" s="1"/>
  <c r="AE598" i="18"/>
  <c r="AC600" i="28" s="1"/>
  <c r="AG600" i="18"/>
  <c r="AN600" i="18" s="1"/>
  <c r="AM587" i="28"/>
  <c r="AG598" i="18"/>
  <c r="AN598" i="18" s="1"/>
  <c r="AM585" i="28"/>
  <c r="V598" i="18"/>
  <c r="T600" i="28" s="1"/>
  <c r="AL605" i="28"/>
  <c r="AG597" i="18"/>
  <c r="AN597" i="18" s="1"/>
  <c r="AM584" i="28"/>
  <c r="AG601" i="18"/>
  <c r="AN601" i="18" s="1"/>
  <c r="AM588" i="28"/>
  <c r="AM582" i="28"/>
  <c r="AG595" i="18"/>
  <c r="AN595" i="18" s="1"/>
  <c r="F600" i="18"/>
  <c r="D602" i="28" s="1"/>
  <c r="U587" i="28"/>
  <c r="X604" i="18"/>
  <c r="V606" i="28" s="1"/>
  <c r="AD591" i="28"/>
  <c r="AE603" i="18"/>
  <c r="AC605" i="28" s="1"/>
  <c r="F602" i="18"/>
  <c r="D604" i="28" s="1"/>
  <c r="U589" i="28"/>
  <c r="AD584" i="28"/>
  <c r="X597" i="18"/>
  <c r="V599" i="28" s="1"/>
  <c r="X594" i="18"/>
  <c r="V596" i="28" s="1"/>
  <c r="AD581" i="28"/>
  <c r="F601" i="18"/>
  <c r="D603" i="28" s="1"/>
  <c r="U588" i="28"/>
  <c r="AD587" i="28"/>
  <c r="X600" i="18"/>
  <c r="V602" i="28" s="1"/>
  <c r="F594" i="18"/>
  <c r="D596" i="28" s="1"/>
  <c r="U581" i="28"/>
  <c r="T590" i="28" l="1"/>
  <c r="F603" i="18"/>
  <c r="AD40" i="5"/>
  <c r="AE40" i="5" s="1"/>
  <c r="U40" i="5"/>
  <c r="V40" i="5" s="1"/>
  <c r="T591" i="28"/>
  <c r="F604" i="18"/>
  <c r="U591" i="28"/>
  <c r="AE604" i="28"/>
  <c r="AE597" i="28"/>
  <c r="AE600" i="28"/>
  <c r="AE596" i="28"/>
  <c r="AE603" i="28"/>
  <c r="AE602" i="28"/>
  <c r="AE599" i="28"/>
  <c r="AL599" i="28"/>
  <c r="T583" i="28"/>
  <c r="U583" i="28"/>
  <c r="F596" i="18"/>
  <c r="AL591" i="28"/>
  <c r="AG604" i="18"/>
  <c r="AN604" i="18" s="1"/>
  <c r="AM591" i="28"/>
  <c r="AL583" i="28"/>
  <c r="AG596" i="18"/>
  <c r="AN596" i="18" s="1"/>
  <c r="AM583" i="28"/>
  <c r="AC580" i="28"/>
  <c r="X593" i="18"/>
  <c r="AD580" i="28"/>
  <c r="AL579" i="28"/>
  <c r="AM579" i="28"/>
  <c r="AG592" i="18"/>
  <c r="AN592" i="18" s="1"/>
  <c r="AL580" i="28"/>
  <c r="AM580" i="28"/>
  <c r="AG593" i="18"/>
  <c r="AN593" i="18" s="1"/>
  <c r="X592" i="18"/>
  <c r="AC579" i="28"/>
  <c r="AD579" i="28"/>
  <c r="T579" i="28"/>
  <c r="U579" i="28"/>
  <c r="F592" i="18"/>
  <c r="T580" i="28"/>
  <c r="U580" i="28"/>
  <c r="F593" i="18"/>
  <c r="AC578" i="28"/>
  <c r="X591" i="18"/>
  <c r="AD578" i="28"/>
  <c r="AL578" i="28"/>
  <c r="AM578" i="28"/>
  <c r="AG591" i="18"/>
  <c r="T578" i="28"/>
  <c r="F591" i="18"/>
  <c r="U578" i="28"/>
  <c r="T586" i="28"/>
  <c r="F599" i="18"/>
  <c r="U586" i="28"/>
  <c r="T577" i="28"/>
  <c r="F590" i="18"/>
  <c r="U577" i="28"/>
  <c r="AL586" i="28"/>
  <c r="AM586" i="28"/>
  <c r="AG599" i="18"/>
  <c r="AN599" i="18" s="1"/>
  <c r="AC586" i="28"/>
  <c r="X599" i="18"/>
  <c r="AD586" i="28"/>
  <c r="AC592" i="28"/>
  <c r="X605" i="18"/>
  <c r="AD592" i="28"/>
  <c r="U605" i="28"/>
  <c r="AL603" i="28"/>
  <c r="F613" i="18"/>
  <c r="D615" i="28" s="1"/>
  <c r="U600" i="28"/>
  <c r="AL604" i="28"/>
  <c r="V602" i="18"/>
  <c r="T604" i="28" s="1"/>
  <c r="V595" i="18"/>
  <c r="T597" i="28" s="1"/>
  <c r="AG605" i="18"/>
  <c r="AM592" i="28"/>
  <c r="AD600" i="28"/>
  <c r="X613" i="18"/>
  <c r="V615" i="28" s="1"/>
  <c r="AE602" i="18"/>
  <c r="AC604" i="28" s="1"/>
  <c r="V600" i="18"/>
  <c r="T602" i="28" s="1"/>
  <c r="X618" i="18"/>
  <c r="V620" i="28" s="1"/>
  <c r="AD605" i="28"/>
  <c r="AL596" i="28"/>
  <c r="AE597" i="18"/>
  <c r="AC599" i="28" s="1"/>
  <c r="AL597" i="28"/>
  <c r="AL600" i="28"/>
  <c r="AD598" i="28"/>
  <c r="X611" i="18"/>
  <c r="V613" i="28" s="1"/>
  <c r="V594" i="18"/>
  <c r="T596" i="28" s="1"/>
  <c r="V601" i="18"/>
  <c r="T603" i="28" s="1"/>
  <c r="AE604" i="18"/>
  <c r="AC606" i="28" s="1"/>
  <c r="AE601" i="18"/>
  <c r="AC603" i="28" s="1"/>
  <c r="AE595" i="18"/>
  <c r="AC597" i="28" s="1"/>
  <c r="AE600" i="18"/>
  <c r="AC602" i="28" s="1"/>
  <c r="AE594" i="18"/>
  <c r="AC596" i="28" s="1"/>
  <c r="AM605" i="28"/>
  <c r="AG618" i="18"/>
  <c r="AN618" i="18" s="1"/>
  <c r="V597" i="18"/>
  <c r="T599" i="28" s="1"/>
  <c r="AL602" i="28"/>
  <c r="D605" i="28" l="1"/>
  <c r="V603" i="18"/>
  <c r="E41" i="5"/>
  <c r="W41" i="5"/>
  <c r="AN591" i="18"/>
  <c r="AM41" i="5" s="1"/>
  <c r="AN41" i="5" s="1"/>
  <c r="AF41" i="5"/>
  <c r="AN605" i="18"/>
  <c r="AL607" i="28" s="1"/>
  <c r="D606" i="28"/>
  <c r="V604" i="18"/>
  <c r="AE607" i="28"/>
  <c r="AE620" i="28"/>
  <c r="AL620" i="28"/>
  <c r="D598" i="28"/>
  <c r="V596" i="18"/>
  <c r="AE606" i="28"/>
  <c r="AE598" i="28"/>
  <c r="AE593" i="28"/>
  <c r="D594" i="28"/>
  <c r="V592" i="18"/>
  <c r="AE594" i="28"/>
  <c r="V593" i="28"/>
  <c r="AE591" i="18"/>
  <c r="D593" i="28"/>
  <c r="V591" i="18"/>
  <c r="D595" i="28"/>
  <c r="V593" i="18"/>
  <c r="V594" i="28"/>
  <c r="AE592" i="18"/>
  <c r="V595" i="28"/>
  <c r="AE593" i="18"/>
  <c r="AE595" i="28"/>
  <c r="D601" i="28"/>
  <c r="V599" i="18"/>
  <c r="D592" i="28"/>
  <c r="V590" i="18"/>
  <c r="AE601" i="28"/>
  <c r="V601" i="28"/>
  <c r="AE599" i="18"/>
  <c r="V607" i="28"/>
  <c r="AE605" i="18"/>
  <c r="AM599" i="28"/>
  <c r="AG612" i="18"/>
  <c r="AN612" i="18" s="1"/>
  <c r="F610" i="18"/>
  <c r="D612" i="28" s="1"/>
  <c r="U597" i="28"/>
  <c r="AM602" i="28"/>
  <c r="AG615" i="18"/>
  <c r="AN615" i="18" s="1"/>
  <c r="V613" i="18"/>
  <c r="T615" i="28" s="1"/>
  <c r="AD597" i="28"/>
  <c r="X610" i="18"/>
  <c r="V612" i="28" s="1"/>
  <c r="F609" i="18"/>
  <c r="D611" i="28" s="1"/>
  <c r="U596" i="28"/>
  <c r="AG610" i="18"/>
  <c r="AN610" i="18" s="1"/>
  <c r="AM597" i="28"/>
  <c r="AE618" i="18"/>
  <c r="AC620" i="28" s="1"/>
  <c r="X617" i="18"/>
  <c r="V619" i="28" s="1"/>
  <c r="AD604" i="28"/>
  <c r="U604" i="28"/>
  <c r="F617" i="18"/>
  <c r="D619" i="28" s="1"/>
  <c r="F612" i="18"/>
  <c r="D614" i="28" s="1"/>
  <c r="U599" i="28"/>
  <c r="X615" i="18"/>
  <c r="V617" i="28" s="1"/>
  <c r="AD602" i="28"/>
  <c r="X616" i="18"/>
  <c r="V618" i="28" s="1"/>
  <c r="AD603" i="28"/>
  <c r="AG617" i="18"/>
  <c r="AN617" i="18" s="1"/>
  <c r="AM604" i="28"/>
  <c r="AG616" i="18"/>
  <c r="AN616" i="18" s="1"/>
  <c r="AM603" i="28"/>
  <c r="F616" i="18"/>
  <c r="D618" i="28" s="1"/>
  <c r="U603" i="28"/>
  <c r="AD599" i="28"/>
  <c r="X612" i="18"/>
  <c r="V614" i="28" s="1"/>
  <c r="F615" i="18"/>
  <c r="D617" i="28" s="1"/>
  <c r="U602" i="28"/>
  <c r="X609" i="18"/>
  <c r="V611" i="28" s="1"/>
  <c r="AD596" i="28"/>
  <c r="X619" i="18"/>
  <c r="V621" i="28" s="1"/>
  <c r="AD606" i="28"/>
  <c r="AG609" i="18"/>
  <c r="AN609" i="18" s="1"/>
  <c r="AM596" i="28"/>
  <c r="AE613" i="18"/>
  <c r="AC615" i="28" s="1"/>
  <c r="AG613" i="18"/>
  <c r="AN613" i="18" s="1"/>
  <c r="AM600" i="28"/>
  <c r="AE611" i="18"/>
  <c r="AC613" i="28" s="1"/>
  <c r="T605" i="28" l="1"/>
  <c r="F618" i="18"/>
  <c r="AD41" i="5"/>
  <c r="AE41" i="5" s="1"/>
  <c r="U41" i="5"/>
  <c r="V41" i="5" s="1"/>
  <c r="T606" i="28"/>
  <c r="F619" i="18"/>
  <c r="U606" i="28"/>
  <c r="AE615" i="28"/>
  <c r="AE618" i="28"/>
  <c r="AE617" i="28"/>
  <c r="AL617" i="28"/>
  <c r="AE612" i="28"/>
  <c r="AE619" i="28"/>
  <c r="AE611" i="28"/>
  <c r="AE614" i="28"/>
  <c r="AL614" i="28"/>
  <c r="T598" i="28"/>
  <c r="F611" i="18"/>
  <c r="U598" i="28"/>
  <c r="AL606" i="28"/>
  <c r="AM606" i="28"/>
  <c r="AG619" i="18"/>
  <c r="AN619" i="18" s="1"/>
  <c r="AL598" i="28"/>
  <c r="AG611" i="18"/>
  <c r="AN611" i="18" s="1"/>
  <c r="AM598" i="28"/>
  <c r="AC595" i="28"/>
  <c r="AD595" i="28"/>
  <c r="X608" i="18"/>
  <c r="AC593" i="28"/>
  <c r="AD593" i="28"/>
  <c r="X606" i="18"/>
  <c r="AC594" i="28"/>
  <c r="X607" i="18"/>
  <c r="AD594" i="28"/>
  <c r="AG607" i="18"/>
  <c r="AN607" i="18" s="1"/>
  <c r="AL594" i="28"/>
  <c r="AM594" i="28"/>
  <c r="T595" i="28"/>
  <c r="U595" i="28"/>
  <c r="F608" i="18"/>
  <c r="T594" i="28"/>
  <c r="U594" i="28"/>
  <c r="F607" i="18"/>
  <c r="AL595" i="28"/>
  <c r="AM595" i="28"/>
  <c r="AG608" i="18"/>
  <c r="AN608" i="18" s="1"/>
  <c r="T593" i="28"/>
  <c r="U593" i="28"/>
  <c r="F606" i="18"/>
  <c r="AL593" i="28"/>
  <c r="AG606" i="18"/>
  <c r="AM593" i="28"/>
  <c r="T601" i="28"/>
  <c r="F614" i="18"/>
  <c r="U601" i="28"/>
  <c r="T592" i="28"/>
  <c r="U592" i="28"/>
  <c r="F605" i="18"/>
  <c r="AL601" i="28"/>
  <c r="AM601" i="28"/>
  <c r="AG614" i="18"/>
  <c r="AN614" i="18" s="1"/>
  <c r="AC601" i="28"/>
  <c r="AD601" i="28"/>
  <c r="X614" i="18"/>
  <c r="AC607" i="28"/>
  <c r="AD607" i="28"/>
  <c r="X620" i="18"/>
  <c r="AE612" i="18"/>
  <c r="AC614" i="28" s="1"/>
  <c r="AD620" i="28"/>
  <c r="X633" i="18"/>
  <c r="V635" i="28" s="1"/>
  <c r="AL611" i="28"/>
  <c r="AE610" i="18"/>
  <c r="AC612" i="28" s="1"/>
  <c r="AE616" i="18"/>
  <c r="AC618" i="28" s="1"/>
  <c r="X626" i="18"/>
  <c r="V628" i="28" s="1"/>
  <c r="AD613" i="28"/>
  <c r="AL615" i="28"/>
  <c r="V615" i="18"/>
  <c r="T617" i="28" s="1"/>
  <c r="AL619" i="28"/>
  <c r="AE615" i="18"/>
  <c r="AC617" i="28" s="1"/>
  <c r="AL612" i="28"/>
  <c r="V610" i="18"/>
  <c r="T612" i="28" s="1"/>
  <c r="AE609" i="18"/>
  <c r="AC611" i="28" s="1"/>
  <c r="V609" i="18"/>
  <c r="T611" i="28" s="1"/>
  <c r="AG633" i="18"/>
  <c r="AN633" i="18" s="1"/>
  <c r="AM620" i="28"/>
  <c r="AG620" i="18"/>
  <c r="AM607" i="28"/>
  <c r="AE619" i="18"/>
  <c r="AC621" i="28" s="1"/>
  <c r="V616" i="18"/>
  <c r="T618" i="28" s="1"/>
  <c r="U620" i="28"/>
  <c r="V612" i="18"/>
  <c r="T614" i="28" s="1"/>
  <c r="AE617" i="18"/>
  <c r="AC619" i="28" s="1"/>
  <c r="U615" i="28"/>
  <c r="F628" i="18"/>
  <c r="D630" i="28" s="1"/>
  <c r="X628" i="18"/>
  <c r="V630" i="28" s="1"/>
  <c r="AD615" i="28"/>
  <c r="AL618" i="28"/>
  <c r="V617" i="18"/>
  <c r="T619" i="28" s="1"/>
  <c r="D620" i="28" l="1"/>
  <c r="V618" i="18"/>
  <c r="W42" i="5"/>
  <c r="AN620" i="18"/>
  <c r="AL622" i="28" s="1"/>
  <c r="AN606" i="18"/>
  <c r="AM42" i="5" s="1"/>
  <c r="AN42" i="5" s="1"/>
  <c r="AF42" i="5"/>
  <c r="E42" i="5"/>
  <c r="D621" i="28"/>
  <c r="V619" i="18"/>
  <c r="AE635" i="28"/>
  <c r="AE622" i="28"/>
  <c r="D613" i="28"/>
  <c r="V611" i="18"/>
  <c r="AE621" i="28"/>
  <c r="AE613" i="28"/>
  <c r="D608" i="28"/>
  <c r="V606" i="18"/>
  <c r="V609" i="28"/>
  <c r="AE607" i="18"/>
  <c r="D610" i="28"/>
  <c r="V608" i="18"/>
  <c r="V608" i="28"/>
  <c r="AE606" i="18"/>
  <c r="AE610" i="28"/>
  <c r="V610" i="28"/>
  <c r="AE608" i="18"/>
  <c r="AE608" i="28"/>
  <c r="D609" i="28"/>
  <c r="V607" i="18"/>
  <c r="AE609" i="28"/>
  <c r="D616" i="28"/>
  <c r="V614" i="18"/>
  <c r="D607" i="28"/>
  <c r="V605" i="18"/>
  <c r="AE616" i="28"/>
  <c r="V616" i="28"/>
  <c r="AE614" i="18"/>
  <c r="V622" i="28"/>
  <c r="AE620" i="18"/>
  <c r="F625" i="18"/>
  <c r="D627" i="28" s="1"/>
  <c r="U612" i="28"/>
  <c r="F630" i="18"/>
  <c r="D632" i="28" s="1"/>
  <c r="U617" i="28"/>
  <c r="F631" i="18"/>
  <c r="D633" i="28" s="1"/>
  <c r="U618" i="28"/>
  <c r="AE628" i="18"/>
  <c r="AC630" i="28" s="1"/>
  <c r="X634" i="18"/>
  <c r="V636" i="28" s="1"/>
  <c r="AD621" i="28"/>
  <c r="AL635" i="28"/>
  <c r="AD612" i="28"/>
  <c r="X625" i="18"/>
  <c r="V627" i="28" s="1"/>
  <c r="AG631" i="18"/>
  <c r="AN631" i="18" s="1"/>
  <c r="AM618" i="28"/>
  <c r="AG630" i="18"/>
  <c r="AN630" i="18" s="1"/>
  <c r="AM617" i="28"/>
  <c r="AG625" i="18"/>
  <c r="AN625" i="18" s="1"/>
  <c r="AM612" i="28"/>
  <c r="AM615" i="28"/>
  <c r="AG628" i="18"/>
  <c r="AN628" i="18" s="1"/>
  <c r="V628" i="18"/>
  <c r="T630" i="28" s="1"/>
  <c r="X627" i="18"/>
  <c r="V629" i="28" s="1"/>
  <c r="AD614" i="28"/>
  <c r="AE633" i="18"/>
  <c r="AC635" i="28" s="1"/>
  <c r="U614" i="28"/>
  <c r="F627" i="18"/>
  <c r="D629" i="28" s="1"/>
  <c r="U611" i="28"/>
  <c r="F624" i="18"/>
  <c r="D626" i="28" s="1"/>
  <c r="AD617" i="28"/>
  <c r="X630" i="18"/>
  <c r="V632" i="28" s="1"/>
  <c r="AE626" i="18"/>
  <c r="AC628" i="28" s="1"/>
  <c r="X631" i="18"/>
  <c r="V633" i="28" s="1"/>
  <c r="AD618" i="28"/>
  <c r="F632" i="18"/>
  <c r="D634" i="28" s="1"/>
  <c r="U619" i="28"/>
  <c r="AG627" i="18"/>
  <c r="AN627" i="18" s="1"/>
  <c r="AM614" i="28"/>
  <c r="AD619" i="28"/>
  <c r="X632" i="18"/>
  <c r="V634" i="28" s="1"/>
  <c r="AD611" i="28"/>
  <c r="X624" i="18"/>
  <c r="V626" i="28" s="1"/>
  <c r="AM619" i="28"/>
  <c r="AG632" i="18"/>
  <c r="AN632" i="18" s="1"/>
  <c r="AG624" i="18"/>
  <c r="AN624" i="18" s="1"/>
  <c r="AM611" i="28"/>
  <c r="T620" i="28" l="1"/>
  <c r="F633" i="18"/>
  <c r="AD42" i="5"/>
  <c r="AE42" i="5" s="1"/>
  <c r="U42" i="5"/>
  <c r="V42" i="5" s="1"/>
  <c r="T621" i="28"/>
  <c r="U621" i="28"/>
  <c r="F634" i="18"/>
  <c r="AE626" i="28"/>
  <c r="AE634" i="28"/>
  <c r="AE633" i="28"/>
  <c r="AE632" i="28"/>
  <c r="AL632" i="28"/>
  <c r="AE630" i="28"/>
  <c r="AE627" i="28"/>
  <c r="AL627" i="28"/>
  <c r="AE629" i="28"/>
  <c r="T613" i="28"/>
  <c r="F626" i="18"/>
  <c r="U613" i="28"/>
  <c r="AL621" i="28"/>
  <c r="AM621" i="28"/>
  <c r="AG634" i="18"/>
  <c r="AN634" i="18" s="1"/>
  <c r="AL613" i="28"/>
  <c r="AG626" i="18"/>
  <c r="AN626" i="18" s="1"/>
  <c r="AM613" i="28"/>
  <c r="U609" i="28"/>
  <c r="T609" i="28"/>
  <c r="F622" i="18"/>
  <c r="AC608" i="28"/>
  <c r="X621" i="18"/>
  <c r="AD608" i="28"/>
  <c r="AL608" i="28"/>
  <c r="AG621" i="18"/>
  <c r="AM608" i="28"/>
  <c r="T610" i="28"/>
  <c r="U610" i="28"/>
  <c r="F623" i="18"/>
  <c r="AC610" i="28"/>
  <c r="X623" i="18"/>
  <c r="AD610" i="28"/>
  <c r="AC609" i="28"/>
  <c r="X622" i="18"/>
  <c r="AD609" i="28"/>
  <c r="AL609" i="28"/>
  <c r="AG622" i="18"/>
  <c r="AN622" i="18" s="1"/>
  <c r="AM609" i="28"/>
  <c r="AL610" i="28"/>
  <c r="AG623" i="18"/>
  <c r="AN623" i="18" s="1"/>
  <c r="AM610" i="28"/>
  <c r="T608" i="28"/>
  <c r="U608" i="28"/>
  <c r="F621" i="18"/>
  <c r="T616" i="28"/>
  <c r="U616" i="28"/>
  <c r="F629" i="18"/>
  <c r="T607" i="28"/>
  <c r="U607" i="28"/>
  <c r="F620" i="18"/>
  <c r="AL616" i="28"/>
  <c r="AG629" i="18"/>
  <c r="AN629" i="18" s="1"/>
  <c r="AM616" i="28"/>
  <c r="AC616" i="28"/>
  <c r="AD616" i="28"/>
  <c r="X629" i="18"/>
  <c r="AC622" i="28"/>
  <c r="AD622" i="28"/>
  <c r="X635" i="18"/>
  <c r="AD628" i="28"/>
  <c r="X641" i="18"/>
  <c r="V643" i="28" s="1"/>
  <c r="AE630" i="18"/>
  <c r="AC632" i="28" s="1"/>
  <c r="V627" i="18"/>
  <c r="T629" i="28" s="1"/>
  <c r="AL630" i="28"/>
  <c r="AM635" i="28"/>
  <c r="AG648" i="18"/>
  <c r="AN648" i="18" s="1"/>
  <c r="X643" i="18"/>
  <c r="V645" i="28" s="1"/>
  <c r="AD630" i="28"/>
  <c r="V625" i="18"/>
  <c r="T627" i="28" s="1"/>
  <c r="AL633" i="28"/>
  <c r="AE634" i="18"/>
  <c r="AC636" i="28" s="1"/>
  <c r="V624" i="18"/>
  <c r="T626" i="28" s="1"/>
  <c r="F643" i="18"/>
  <c r="D645" i="28" s="1"/>
  <c r="U630" i="28"/>
  <c r="V631" i="18"/>
  <c r="T633" i="28" s="1"/>
  <c r="AE632" i="18"/>
  <c r="AC634" i="28" s="1"/>
  <c r="AE624" i="18"/>
  <c r="AC626" i="28" s="1"/>
  <c r="AE631" i="18"/>
  <c r="AC633" i="28" s="1"/>
  <c r="AD635" i="28"/>
  <c r="X648" i="18"/>
  <c r="V650" i="28" s="1"/>
  <c r="AE625" i="18"/>
  <c r="AC627" i="28" s="1"/>
  <c r="U635" i="28"/>
  <c r="V632" i="18"/>
  <c r="T634" i="28" s="1"/>
  <c r="AL626" i="28"/>
  <c r="AG635" i="18"/>
  <c r="AM622" i="28"/>
  <c r="AL634" i="28"/>
  <c r="AL629" i="28"/>
  <c r="AE627" i="18"/>
  <c r="AC629" i="28" s="1"/>
  <c r="V630" i="18"/>
  <c r="T632" i="28" s="1"/>
  <c r="D635" i="28" l="1"/>
  <c r="V633" i="18"/>
  <c r="E43" i="5"/>
  <c r="AN635" i="18"/>
  <c r="AL637" i="28" s="1"/>
  <c r="W43" i="5"/>
  <c r="AN621" i="18"/>
  <c r="AM43" i="5" s="1"/>
  <c r="AN43" i="5" s="1"/>
  <c r="AF43" i="5"/>
  <c r="D636" i="28"/>
  <c r="V634" i="18"/>
  <c r="AE637" i="28"/>
  <c r="AE650" i="28"/>
  <c r="D628" i="28"/>
  <c r="V626" i="18"/>
  <c r="AE636" i="28"/>
  <c r="AE628" i="28"/>
  <c r="AE623" i="28"/>
  <c r="AE625" i="28"/>
  <c r="V625" i="28"/>
  <c r="AE623" i="18"/>
  <c r="V623" i="28"/>
  <c r="AE621" i="18"/>
  <c r="AE624" i="28"/>
  <c r="D625" i="28"/>
  <c r="V623" i="18"/>
  <c r="D623" i="28"/>
  <c r="V621" i="18"/>
  <c r="D624" i="28"/>
  <c r="V622" i="18"/>
  <c r="V624" i="28"/>
  <c r="AE622" i="18"/>
  <c r="D631" i="28"/>
  <c r="V629" i="18"/>
  <c r="D622" i="28"/>
  <c r="V620" i="18"/>
  <c r="AE631" i="28"/>
  <c r="V631" i="28"/>
  <c r="AE629" i="18"/>
  <c r="V637" i="28"/>
  <c r="AE635" i="18"/>
  <c r="X646" i="18"/>
  <c r="V648" i="28" s="1"/>
  <c r="AD633" i="28"/>
  <c r="F640" i="18"/>
  <c r="D642" i="28" s="1"/>
  <c r="U627" i="28"/>
  <c r="AM630" i="28"/>
  <c r="AG643" i="18"/>
  <c r="AN643" i="18" s="1"/>
  <c r="X640" i="18"/>
  <c r="V642" i="28" s="1"/>
  <c r="AD627" i="28"/>
  <c r="F639" i="18"/>
  <c r="D641" i="28" s="1"/>
  <c r="U626" i="28"/>
  <c r="X649" i="18"/>
  <c r="V651" i="28" s="1"/>
  <c r="AD636" i="28"/>
  <c r="AG647" i="18"/>
  <c r="AN647" i="18" s="1"/>
  <c r="AM634" i="28"/>
  <c r="F647" i="18"/>
  <c r="D649" i="28" s="1"/>
  <c r="U634" i="28"/>
  <c r="AE643" i="18"/>
  <c r="AC645" i="28" s="1"/>
  <c r="F642" i="18"/>
  <c r="D644" i="28" s="1"/>
  <c r="U629" i="28"/>
  <c r="AG640" i="18"/>
  <c r="AN640" i="18" s="1"/>
  <c r="AM627" i="28"/>
  <c r="AM633" i="28"/>
  <c r="AG646" i="18"/>
  <c r="AN646" i="18" s="1"/>
  <c r="AE648" i="18"/>
  <c r="AC650" i="28" s="1"/>
  <c r="F646" i="18"/>
  <c r="D648" i="28" s="1"/>
  <c r="U633" i="28"/>
  <c r="AL650" i="28"/>
  <c r="AD632" i="28"/>
  <c r="X645" i="18"/>
  <c r="V647" i="28" s="1"/>
  <c r="AM632" i="28"/>
  <c r="AG645" i="18"/>
  <c r="AN645" i="18" s="1"/>
  <c r="AD626" i="28"/>
  <c r="X639" i="18"/>
  <c r="V641" i="28" s="1"/>
  <c r="AE641" i="18"/>
  <c r="AC643" i="28" s="1"/>
  <c r="AG642" i="18"/>
  <c r="AN642" i="18" s="1"/>
  <c r="AM629" i="28"/>
  <c r="X642" i="18"/>
  <c r="V644" i="28" s="1"/>
  <c r="AD629" i="28"/>
  <c r="AG639" i="18"/>
  <c r="AN639" i="18" s="1"/>
  <c r="AM626" i="28"/>
  <c r="F645" i="18"/>
  <c r="D647" i="28" s="1"/>
  <c r="U632" i="28"/>
  <c r="V643" i="18"/>
  <c r="T645" i="28" s="1"/>
  <c r="AD634" i="28"/>
  <c r="X647" i="18"/>
  <c r="V649" i="28" s="1"/>
  <c r="T635" i="28" l="1"/>
  <c r="F648" i="18"/>
  <c r="AD43" i="5"/>
  <c r="AE43" i="5" s="1"/>
  <c r="U43" i="5"/>
  <c r="V43" i="5" s="1"/>
  <c r="T636" i="28"/>
  <c r="U636" i="28"/>
  <c r="F649" i="18"/>
  <c r="AE648" i="28"/>
  <c r="AE647" i="28"/>
  <c r="AE649" i="28"/>
  <c r="AE645" i="28"/>
  <c r="AL645" i="28"/>
  <c r="AE644" i="28"/>
  <c r="AE642" i="28"/>
  <c r="AE641" i="28"/>
  <c r="T628" i="28"/>
  <c r="F641" i="18"/>
  <c r="U628" i="28"/>
  <c r="AL636" i="28"/>
  <c r="AM636" i="28"/>
  <c r="AG649" i="18"/>
  <c r="AN649" i="18" s="1"/>
  <c r="AL628" i="28"/>
  <c r="AM628" i="28"/>
  <c r="AG641" i="18"/>
  <c r="AN641" i="18" s="1"/>
  <c r="U624" i="28"/>
  <c r="T624" i="28"/>
  <c r="F637" i="18"/>
  <c r="AC623" i="28"/>
  <c r="X636" i="18"/>
  <c r="AD623" i="28"/>
  <c r="T623" i="28"/>
  <c r="F636" i="18"/>
  <c r="U623" i="28"/>
  <c r="AC625" i="28"/>
  <c r="AD625" i="28"/>
  <c r="X638" i="18"/>
  <c r="T625" i="28"/>
  <c r="F638" i="18"/>
  <c r="U625" i="28"/>
  <c r="AL625" i="28"/>
  <c r="AG638" i="18"/>
  <c r="AN638" i="18" s="1"/>
  <c r="AM625" i="28"/>
  <c r="AC624" i="28"/>
  <c r="X637" i="18"/>
  <c r="AD624" i="28"/>
  <c r="AL624" i="28"/>
  <c r="AG637" i="18"/>
  <c r="AN637" i="18" s="1"/>
  <c r="AM624" i="28"/>
  <c r="AL623" i="28"/>
  <c r="AG636" i="18"/>
  <c r="AM623" i="28"/>
  <c r="T631" i="28"/>
  <c r="F644" i="18"/>
  <c r="U631" i="28"/>
  <c r="T622" i="28"/>
  <c r="F635" i="18"/>
  <c r="U622" i="28"/>
  <c r="AL631" i="28"/>
  <c r="AG644" i="18"/>
  <c r="AN644" i="18" s="1"/>
  <c r="AM631" i="28"/>
  <c r="AC631" i="28"/>
  <c r="X644" i="18"/>
  <c r="AD631" i="28"/>
  <c r="AC637" i="28"/>
  <c r="AD637" i="28"/>
  <c r="X650" i="18"/>
  <c r="AL649" i="28"/>
  <c r="AL644" i="28"/>
  <c r="AL642" i="28"/>
  <c r="AE645" i="18"/>
  <c r="AC647" i="28" s="1"/>
  <c r="V647" i="18"/>
  <c r="T649" i="28" s="1"/>
  <c r="AE649" i="18"/>
  <c r="AC651" i="28" s="1"/>
  <c r="V640" i="18"/>
  <c r="T642" i="28" s="1"/>
  <c r="AD643" i="28"/>
  <c r="X656" i="18"/>
  <c r="V658" i="28" s="1"/>
  <c r="AD650" i="28"/>
  <c r="X663" i="18"/>
  <c r="V665" i="28" s="1"/>
  <c r="V642" i="18"/>
  <c r="T644" i="28" s="1"/>
  <c r="AL641" i="28"/>
  <c r="AE639" i="18"/>
  <c r="AC641" i="28" s="1"/>
  <c r="F658" i="18"/>
  <c r="D660" i="28" s="1"/>
  <c r="U645" i="28"/>
  <c r="AE642" i="18"/>
  <c r="AC644" i="28" s="1"/>
  <c r="AL648" i="28"/>
  <c r="AE640" i="18"/>
  <c r="AC642" i="28" s="1"/>
  <c r="V646" i="18"/>
  <c r="T648" i="28" s="1"/>
  <c r="U650" i="28"/>
  <c r="V645" i="18"/>
  <c r="T647" i="28" s="1"/>
  <c r="AL647" i="28"/>
  <c r="V639" i="18"/>
  <c r="T641" i="28" s="1"/>
  <c r="AE646" i="18"/>
  <c r="AC648" i="28" s="1"/>
  <c r="AE647" i="18"/>
  <c r="AC649" i="28" s="1"/>
  <c r="AG650" i="18"/>
  <c r="AM637" i="28"/>
  <c r="AG663" i="18"/>
  <c r="AN663" i="18" s="1"/>
  <c r="AM650" i="28"/>
  <c r="X658" i="18"/>
  <c r="V660" i="28" s="1"/>
  <c r="AD645" i="28"/>
  <c r="D650" i="28" l="1"/>
  <c r="V648" i="18"/>
  <c r="E44" i="5"/>
  <c r="W44" i="5"/>
  <c r="AN650" i="18"/>
  <c r="AL652" i="28" s="1"/>
  <c r="AN636" i="18"/>
  <c r="AM44" i="5" s="1"/>
  <c r="AN44" i="5" s="1"/>
  <c r="AF44" i="5"/>
  <c r="D651" i="28"/>
  <c r="V649" i="18"/>
  <c r="AE652" i="28"/>
  <c r="AE665" i="28"/>
  <c r="D643" i="28"/>
  <c r="V641" i="18"/>
  <c r="AE651" i="28"/>
  <c r="AE643" i="28"/>
  <c r="D638" i="28"/>
  <c r="V636" i="18"/>
  <c r="D640" i="28"/>
  <c r="V638" i="18"/>
  <c r="AE639" i="28"/>
  <c r="V638" i="28"/>
  <c r="AE636" i="18"/>
  <c r="V639" i="28"/>
  <c r="AE637" i="18"/>
  <c r="V640" i="28"/>
  <c r="AE638" i="18"/>
  <c r="D639" i="28"/>
  <c r="V637" i="18"/>
  <c r="AE638" i="28"/>
  <c r="AE640" i="28"/>
  <c r="D646" i="28"/>
  <c r="V644" i="18"/>
  <c r="D637" i="28"/>
  <c r="V635" i="18"/>
  <c r="AE646" i="28"/>
  <c r="V646" i="28"/>
  <c r="AE644" i="18"/>
  <c r="V652" i="28"/>
  <c r="AE650" i="18"/>
  <c r="AG660" i="18"/>
  <c r="AN660" i="18" s="1"/>
  <c r="AM647" i="28"/>
  <c r="AD641" i="28"/>
  <c r="X654" i="18"/>
  <c r="V656" i="28" s="1"/>
  <c r="AE656" i="18"/>
  <c r="AC658" i="28" s="1"/>
  <c r="X660" i="18"/>
  <c r="V662" i="28" s="1"/>
  <c r="AD647" i="28"/>
  <c r="AG658" i="18"/>
  <c r="AN658" i="18" s="1"/>
  <c r="AM645" i="28"/>
  <c r="F661" i="18"/>
  <c r="D663" i="28" s="1"/>
  <c r="U648" i="28"/>
  <c r="AG654" i="18"/>
  <c r="AN654" i="18" s="1"/>
  <c r="AM641" i="28"/>
  <c r="AG655" i="18"/>
  <c r="AN655" i="18" s="1"/>
  <c r="AM642" i="28"/>
  <c r="AE658" i="18"/>
  <c r="AC660" i="28" s="1"/>
  <c r="F654" i="18"/>
  <c r="D656" i="28" s="1"/>
  <c r="U641" i="28"/>
  <c r="AD644" i="28"/>
  <c r="X657" i="18"/>
  <c r="V659" i="28" s="1"/>
  <c r="AD642" i="28"/>
  <c r="X655" i="18"/>
  <c r="V657" i="28" s="1"/>
  <c r="X664" i="18"/>
  <c r="V666" i="28" s="1"/>
  <c r="AD651" i="28"/>
  <c r="AG657" i="18"/>
  <c r="AN657" i="18" s="1"/>
  <c r="AM644" i="28"/>
  <c r="AG662" i="18"/>
  <c r="AN662" i="18" s="1"/>
  <c r="AM649" i="28"/>
  <c r="F660" i="18"/>
  <c r="D662" i="28" s="1"/>
  <c r="U647" i="28"/>
  <c r="V658" i="18"/>
  <c r="T660" i="28" s="1"/>
  <c r="AE663" i="18"/>
  <c r="AC665" i="28" s="1"/>
  <c r="AL665" i="28"/>
  <c r="F662" i="18"/>
  <c r="D664" i="28" s="1"/>
  <c r="U649" i="28"/>
  <c r="X661" i="18"/>
  <c r="V663" i="28" s="1"/>
  <c r="AD648" i="28"/>
  <c r="AD649" i="28"/>
  <c r="X662" i="18"/>
  <c r="V664" i="28" s="1"/>
  <c r="U644" i="28"/>
  <c r="F657" i="18"/>
  <c r="D659" i="28" s="1"/>
  <c r="AM648" i="28"/>
  <c r="AG661" i="18"/>
  <c r="AN661" i="18" s="1"/>
  <c r="F655" i="18"/>
  <c r="D657" i="28" s="1"/>
  <c r="U642" i="28"/>
  <c r="T650" i="28" l="1"/>
  <c r="F663" i="18"/>
  <c r="AD44" i="5"/>
  <c r="AE44" i="5" s="1"/>
  <c r="U44" i="5"/>
  <c r="V44" i="5" s="1"/>
  <c r="T651" i="28"/>
  <c r="U651" i="28"/>
  <c r="F664" i="18"/>
  <c r="AE657" i="28"/>
  <c r="AE664" i="28"/>
  <c r="AE656" i="28"/>
  <c r="AE660" i="28"/>
  <c r="AE663" i="28"/>
  <c r="AE659" i="28"/>
  <c r="AE662" i="28"/>
  <c r="T643" i="28"/>
  <c r="F656" i="18"/>
  <c r="U643" i="28"/>
  <c r="AL651" i="28"/>
  <c r="AM651" i="28"/>
  <c r="AG664" i="18"/>
  <c r="AN664" i="18" s="1"/>
  <c r="AL643" i="28"/>
  <c r="AG656" i="18"/>
  <c r="AN656" i="18" s="1"/>
  <c r="AM643" i="28"/>
  <c r="U639" i="28"/>
  <c r="T639" i="28"/>
  <c r="F652" i="18"/>
  <c r="AL639" i="28"/>
  <c r="AG652" i="18"/>
  <c r="AN652" i="18" s="1"/>
  <c r="AM639" i="28"/>
  <c r="AC638" i="28"/>
  <c r="AD638" i="28"/>
  <c r="X651" i="18"/>
  <c r="AC640" i="28"/>
  <c r="X653" i="18"/>
  <c r="AD640" i="28"/>
  <c r="T640" i="28"/>
  <c r="F653" i="18"/>
  <c r="U640" i="28"/>
  <c r="AL638" i="28"/>
  <c r="AM638" i="28"/>
  <c r="AG651" i="18"/>
  <c r="AL640" i="28"/>
  <c r="AM640" i="28"/>
  <c r="AG653" i="18"/>
  <c r="AN653" i="18" s="1"/>
  <c r="AC639" i="28"/>
  <c r="AD639" i="28"/>
  <c r="X652" i="18"/>
  <c r="T638" i="28"/>
  <c r="F651" i="18"/>
  <c r="U638" i="28"/>
  <c r="T646" i="28"/>
  <c r="F659" i="18"/>
  <c r="U646" i="28"/>
  <c r="T637" i="28"/>
  <c r="U637" i="28"/>
  <c r="F650" i="18"/>
  <c r="AL646" i="28"/>
  <c r="AG659" i="18"/>
  <c r="AN659" i="18" s="1"/>
  <c r="AM646" i="28"/>
  <c r="AC646" i="28"/>
  <c r="AD646" i="28"/>
  <c r="X659" i="18"/>
  <c r="AC652" i="28"/>
  <c r="X665" i="18"/>
  <c r="AD652" i="28"/>
  <c r="AL657" i="28"/>
  <c r="AG665" i="18"/>
  <c r="AM652" i="28"/>
  <c r="AD660" i="28"/>
  <c r="X673" i="18"/>
  <c r="V675" i="28" s="1"/>
  <c r="AE654" i="18"/>
  <c r="AC656" i="28" s="1"/>
  <c r="U660" i="28"/>
  <c r="F673" i="18"/>
  <c r="D675" i="28" s="1"/>
  <c r="AE657" i="18"/>
  <c r="AC659" i="28" s="1"/>
  <c r="AL656" i="28"/>
  <c r="AL660" i="28"/>
  <c r="X678" i="18"/>
  <c r="V680" i="28" s="1"/>
  <c r="AD665" i="28"/>
  <c r="AE664" i="18"/>
  <c r="AC666" i="28" s="1"/>
  <c r="U665" i="28"/>
  <c r="AL659" i="28"/>
  <c r="AE661" i="18"/>
  <c r="AC663" i="28" s="1"/>
  <c r="AG678" i="18"/>
  <c r="AN678" i="18" s="1"/>
  <c r="AM665" i="28"/>
  <c r="V657" i="18"/>
  <c r="T659" i="28" s="1"/>
  <c r="V655" i="18"/>
  <c r="T657" i="28" s="1"/>
  <c r="V660" i="18"/>
  <c r="T662" i="28" s="1"/>
  <c r="V662" i="18"/>
  <c r="T664" i="28" s="1"/>
  <c r="AL664" i="28"/>
  <c r="AE655" i="18"/>
  <c r="AC657" i="28" s="1"/>
  <c r="V661" i="18"/>
  <c r="T663" i="28" s="1"/>
  <c r="AE660" i="18"/>
  <c r="AC662" i="28" s="1"/>
  <c r="AL662" i="28"/>
  <c r="X671" i="18"/>
  <c r="V673" i="28" s="1"/>
  <c r="AD658" i="28"/>
  <c r="AL663" i="28"/>
  <c r="AE662" i="18"/>
  <c r="AC664" i="28" s="1"/>
  <c r="V654" i="18"/>
  <c r="T656" i="28" s="1"/>
  <c r="D665" i="28" l="1"/>
  <c r="V663" i="18"/>
  <c r="E45" i="5"/>
  <c r="W45" i="5"/>
  <c r="AN651" i="18"/>
  <c r="AM45" i="5" s="1"/>
  <c r="AN45" i="5" s="1"/>
  <c r="AF45" i="5"/>
  <c r="AN665" i="18"/>
  <c r="AL667" i="28" s="1"/>
  <c r="D666" i="28"/>
  <c r="V664" i="18"/>
  <c r="AE680" i="28"/>
  <c r="AE667" i="28"/>
  <c r="D658" i="28"/>
  <c r="V656" i="18"/>
  <c r="AE666" i="28"/>
  <c r="AE658" i="28"/>
  <c r="D655" i="28"/>
  <c r="V653" i="18"/>
  <c r="V654" i="28"/>
  <c r="AE652" i="18"/>
  <c r="AE655" i="28"/>
  <c r="AE654" i="28"/>
  <c r="V655" i="28"/>
  <c r="AE653" i="18"/>
  <c r="D654" i="28"/>
  <c r="V652" i="18"/>
  <c r="D653" i="28"/>
  <c r="V651" i="18"/>
  <c r="AE653" i="28"/>
  <c r="V653" i="28"/>
  <c r="AE651" i="18"/>
  <c r="D661" i="28"/>
  <c r="V659" i="18"/>
  <c r="D652" i="28"/>
  <c r="V650" i="18"/>
  <c r="AE661" i="28"/>
  <c r="V661" i="28"/>
  <c r="AE659" i="18"/>
  <c r="V667" i="28"/>
  <c r="AE665" i="18"/>
  <c r="AM664" i="28"/>
  <c r="AG677" i="18"/>
  <c r="AN677" i="18" s="1"/>
  <c r="AG673" i="18"/>
  <c r="AN673" i="18" s="1"/>
  <c r="AM660" i="28"/>
  <c r="X669" i="18"/>
  <c r="V671" i="28" s="1"/>
  <c r="AD656" i="28"/>
  <c r="F676" i="18"/>
  <c r="D678" i="28" s="1"/>
  <c r="U663" i="28"/>
  <c r="AE671" i="18"/>
  <c r="AC673" i="28" s="1"/>
  <c r="F677" i="18"/>
  <c r="D679" i="28" s="1"/>
  <c r="U664" i="28"/>
  <c r="AM656" i="28"/>
  <c r="AG669" i="18"/>
  <c r="AN669" i="18" s="1"/>
  <c r="AE673" i="18"/>
  <c r="AC675" i="28" s="1"/>
  <c r="AG676" i="18"/>
  <c r="AN676" i="18" s="1"/>
  <c r="AM663" i="28"/>
  <c r="F672" i="18"/>
  <c r="D674" i="28" s="1"/>
  <c r="U659" i="28"/>
  <c r="X676" i="18"/>
  <c r="V678" i="28" s="1"/>
  <c r="AD663" i="28"/>
  <c r="F670" i="18"/>
  <c r="D672" i="28" s="1"/>
  <c r="U657" i="28"/>
  <c r="F675" i="18"/>
  <c r="D677" i="28" s="1"/>
  <c r="U662" i="28"/>
  <c r="AD659" i="28"/>
  <c r="X672" i="18"/>
  <c r="V674" i="28" s="1"/>
  <c r="AG670" i="18"/>
  <c r="AN670" i="18" s="1"/>
  <c r="AM657" i="28"/>
  <c r="AM662" i="28"/>
  <c r="AG675" i="18"/>
  <c r="AN675" i="18" s="1"/>
  <c r="AL680" i="28"/>
  <c r="AM659" i="28"/>
  <c r="AG672" i="18"/>
  <c r="AN672" i="18" s="1"/>
  <c r="X679" i="18"/>
  <c r="V681" i="28" s="1"/>
  <c r="AD666" i="28"/>
  <c r="AE678" i="18"/>
  <c r="AC680" i="28" s="1"/>
  <c r="V673" i="18"/>
  <c r="T675" i="28" s="1"/>
  <c r="X677" i="18"/>
  <c r="V679" i="28" s="1"/>
  <c r="AD664" i="28"/>
  <c r="X670" i="18"/>
  <c r="V672" i="28" s="1"/>
  <c r="AD657" i="28"/>
  <c r="F669" i="18"/>
  <c r="D671" i="28" s="1"/>
  <c r="U656" i="28"/>
  <c r="AD662" i="28"/>
  <c r="X675" i="18"/>
  <c r="V677" i="28" s="1"/>
  <c r="T665" i="28" l="1"/>
  <c r="F678" i="18"/>
  <c r="AD45" i="5"/>
  <c r="AE45" i="5" s="1"/>
  <c r="U45" i="5"/>
  <c r="V45" i="5" s="1"/>
  <c r="T666" i="28"/>
  <c r="F679" i="18"/>
  <c r="U666" i="28"/>
  <c r="AE678" i="28"/>
  <c r="AE671" i="28"/>
  <c r="AE672" i="28"/>
  <c r="AE675" i="28"/>
  <c r="AE677" i="28"/>
  <c r="AE674" i="28"/>
  <c r="AE679" i="28"/>
  <c r="T658" i="28"/>
  <c r="F671" i="18"/>
  <c r="U658" i="28"/>
  <c r="AL666" i="28"/>
  <c r="AM666" i="28"/>
  <c r="AG679" i="18"/>
  <c r="AN679" i="18" s="1"/>
  <c r="AL658" i="28"/>
  <c r="AM658" i="28"/>
  <c r="AG671" i="18"/>
  <c r="AN671" i="18" s="1"/>
  <c r="AL653" i="28"/>
  <c r="AG666" i="18"/>
  <c r="AM653" i="28"/>
  <c r="AL654" i="28"/>
  <c r="AG667" i="18"/>
  <c r="AN667" i="18" s="1"/>
  <c r="AM654" i="28"/>
  <c r="T653" i="28"/>
  <c r="U653" i="28"/>
  <c r="F666" i="18"/>
  <c r="AL655" i="28"/>
  <c r="AG668" i="18"/>
  <c r="AN668" i="18" s="1"/>
  <c r="AM655" i="28"/>
  <c r="T654" i="28"/>
  <c r="F667" i="18"/>
  <c r="U654" i="28"/>
  <c r="AC654" i="28"/>
  <c r="AD654" i="28"/>
  <c r="X667" i="18"/>
  <c r="AC653" i="28"/>
  <c r="AD653" i="28"/>
  <c r="X666" i="18"/>
  <c r="AC655" i="28"/>
  <c r="X668" i="18"/>
  <c r="AD655" i="28"/>
  <c r="T655" i="28"/>
  <c r="F668" i="18"/>
  <c r="U655" i="28"/>
  <c r="T661" i="28"/>
  <c r="F674" i="18"/>
  <c r="U661" i="28"/>
  <c r="T652" i="28"/>
  <c r="U652" i="28"/>
  <c r="F665" i="18"/>
  <c r="AL661" i="28"/>
  <c r="AG674" i="18"/>
  <c r="AN674" i="18" s="1"/>
  <c r="AM661" i="28"/>
  <c r="AC661" i="28"/>
  <c r="X674" i="18"/>
  <c r="AD661" i="28"/>
  <c r="AC667" i="28"/>
  <c r="AD667" i="28"/>
  <c r="X680" i="18"/>
  <c r="AL677" i="28"/>
  <c r="AL678" i="28"/>
  <c r="AL674" i="28"/>
  <c r="V676" i="18"/>
  <c r="T678" i="28" s="1"/>
  <c r="AL675" i="28"/>
  <c r="V669" i="18"/>
  <c r="T671" i="28" s="1"/>
  <c r="V675" i="18"/>
  <c r="T677" i="28" s="1"/>
  <c r="AE676" i="18"/>
  <c r="AC678" i="28" s="1"/>
  <c r="U680" i="28"/>
  <c r="F688" i="18"/>
  <c r="D690" i="28" s="1"/>
  <c r="U675" i="28"/>
  <c r="X688" i="18"/>
  <c r="V690" i="28" s="1"/>
  <c r="AD675" i="28"/>
  <c r="AE677" i="18"/>
  <c r="AC679" i="28" s="1"/>
  <c r="AL672" i="28"/>
  <c r="AL671" i="28"/>
  <c r="V677" i="18"/>
  <c r="T679" i="28" s="1"/>
  <c r="AM667" i="28"/>
  <c r="AG680" i="18"/>
  <c r="AE675" i="18"/>
  <c r="AC677" i="28" s="1"/>
  <c r="AE670" i="18"/>
  <c r="AC672" i="28" s="1"/>
  <c r="X693" i="18"/>
  <c r="V695" i="28" s="1"/>
  <c r="AD680" i="28"/>
  <c r="AM680" i="28"/>
  <c r="AG693" i="18"/>
  <c r="AN693" i="18" s="1"/>
  <c r="V672" i="18"/>
  <c r="T674" i="28" s="1"/>
  <c r="AL679" i="28"/>
  <c r="AE672" i="18"/>
  <c r="AC674" i="28" s="1"/>
  <c r="AE669" i="18"/>
  <c r="AC671" i="28" s="1"/>
  <c r="AE679" i="18"/>
  <c r="AC681" i="28" s="1"/>
  <c r="V670" i="18"/>
  <c r="T672" i="28" s="1"/>
  <c r="X686" i="18"/>
  <c r="V688" i="28" s="1"/>
  <c r="AD673" i="28"/>
  <c r="D680" i="28" l="1"/>
  <c r="V678" i="18"/>
  <c r="E46" i="5"/>
  <c r="AN666" i="18"/>
  <c r="AM46" i="5" s="1"/>
  <c r="AN46" i="5" s="1"/>
  <c r="AF46" i="5"/>
  <c r="AN680" i="18"/>
  <c r="AL682" i="28" s="1"/>
  <c r="W46" i="5"/>
  <c r="D681" i="28"/>
  <c r="V679" i="18"/>
  <c r="AE682" i="28"/>
  <c r="AE695" i="28"/>
  <c r="AL695" i="28"/>
  <c r="D673" i="28"/>
  <c r="V671" i="18"/>
  <c r="AE681" i="28"/>
  <c r="AE673" i="28"/>
  <c r="V670" i="28"/>
  <c r="AE668" i="18"/>
  <c r="D669" i="28"/>
  <c r="V667" i="18"/>
  <c r="V668" i="28"/>
  <c r="AE666" i="18"/>
  <c r="AE669" i="28"/>
  <c r="AE670" i="28"/>
  <c r="D670" i="28"/>
  <c r="V668" i="18"/>
  <c r="V669" i="28"/>
  <c r="AE667" i="18"/>
  <c r="AE668" i="28"/>
  <c r="D668" i="28"/>
  <c r="V666" i="18"/>
  <c r="D676" i="28"/>
  <c r="V674" i="18"/>
  <c r="D667" i="28"/>
  <c r="V665" i="18"/>
  <c r="AE676" i="28"/>
  <c r="V676" i="28"/>
  <c r="AE674" i="18"/>
  <c r="V682" i="28"/>
  <c r="AE680" i="18"/>
  <c r="AG685" i="18"/>
  <c r="AN685" i="18" s="1"/>
  <c r="AM672" i="28"/>
  <c r="X691" i="18"/>
  <c r="V693" i="28" s="1"/>
  <c r="AD678" i="28"/>
  <c r="F691" i="18"/>
  <c r="D693" i="28" s="1"/>
  <c r="U678" i="28"/>
  <c r="X687" i="18"/>
  <c r="V689" i="28" s="1"/>
  <c r="AD674" i="28"/>
  <c r="X692" i="18"/>
  <c r="V694" i="28" s="1"/>
  <c r="AD679" i="28"/>
  <c r="U677" i="28"/>
  <c r="F690" i="18"/>
  <c r="D692" i="28" s="1"/>
  <c r="AM674" i="28"/>
  <c r="AG687" i="18"/>
  <c r="AN687" i="18" s="1"/>
  <c r="AG691" i="18"/>
  <c r="AN691" i="18" s="1"/>
  <c r="AM678" i="28"/>
  <c r="F685" i="18"/>
  <c r="D687" i="28" s="1"/>
  <c r="U672" i="28"/>
  <c r="AD677" i="28"/>
  <c r="X690" i="18"/>
  <c r="V692" i="28" s="1"/>
  <c r="F692" i="18"/>
  <c r="D694" i="28" s="1"/>
  <c r="U679" i="28"/>
  <c r="AE688" i="18"/>
  <c r="AC690" i="28" s="1"/>
  <c r="F684" i="18"/>
  <c r="D686" i="28" s="1"/>
  <c r="U671" i="28"/>
  <c r="AG690" i="18"/>
  <c r="AN690" i="18" s="1"/>
  <c r="AM677" i="28"/>
  <c r="AM679" i="28"/>
  <c r="AG692" i="18"/>
  <c r="AN692" i="18" s="1"/>
  <c r="U674" i="28"/>
  <c r="F687" i="18"/>
  <c r="D689" i="28" s="1"/>
  <c r="X694" i="18"/>
  <c r="V696" i="28" s="1"/>
  <c r="AD681" i="28"/>
  <c r="AE686" i="18"/>
  <c r="AC688" i="28" s="1"/>
  <c r="AE693" i="18"/>
  <c r="AC695" i="28" s="1"/>
  <c r="AD671" i="28"/>
  <c r="X684" i="18"/>
  <c r="V686" i="28" s="1"/>
  <c r="AM671" i="28"/>
  <c r="AG684" i="18"/>
  <c r="AN684" i="18" s="1"/>
  <c r="AG688" i="18"/>
  <c r="AN688" i="18" s="1"/>
  <c r="AM675" i="28"/>
  <c r="X685" i="18"/>
  <c r="V687" i="28" s="1"/>
  <c r="AD672" i="28"/>
  <c r="V688" i="18"/>
  <c r="T690" i="28" s="1"/>
  <c r="T680" i="28" l="1"/>
  <c r="F693" i="18"/>
  <c r="AD46" i="5"/>
  <c r="AE46" i="5" s="1"/>
  <c r="U46" i="5"/>
  <c r="V46" i="5" s="1"/>
  <c r="T681" i="28"/>
  <c r="F694" i="18"/>
  <c r="U681" i="28"/>
  <c r="AE694" i="28"/>
  <c r="AE687" i="28"/>
  <c r="AE692" i="28"/>
  <c r="AE693" i="28"/>
  <c r="AL693" i="28"/>
  <c r="AE690" i="28"/>
  <c r="AE686" i="28"/>
  <c r="AE689" i="28"/>
  <c r="AL689" i="28"/>
  <c r="T673" i="28"/>
  <c r="F686" i="18"/>
  <c r="U673" i="28"/>
  <c r="AL681" i="28"/>
  <c r="AG694" i="18"/>
  <c r="AN694" i="18" s="1"/>
  <c r="AM681" i="28"/>
  <c r="AL673" i="28"/>
  <c r="AM673" i="28"/>
  <c r="AG686" i="18"/>
  <c r="AN686" i="18" s="1"/>
  <c r="AG681" i="18"/>
  <c r="AM668" i="28"/>
  <c r="AL668" i="28"/>
  <c r="AG682" i="18"/>
  <c r="AN682" i="18" s="1"/>
  <c r="AM669" i="28"/>
  <c r="AL669" i="28"/>
  <c r="AC669" i="28"/>
  <c r="AD669" i="28"/>
  <c r="X682" i="18"/>
  <c r="AC668" i="28"/>
  <c r="AD668" i="28"/>
  <c r="X681" i="18"/>
  <c r="T670" i="28"/>
  <c r="F683" i="18"/>
  <c r="U670" i="28"/>
  <c r="T669" i="28"/>
  <c r="F682" i="18"/>
  <c r="U669" i="28"/>
  <c r="U668" i="28"/>
  <c r="T668" i="28"/>
  <c r="F681" i="18"/>
  <c r="AL670" i="28"/>
  <c r="AM670" i="28"/>
  <c r="AG683" i="18"/>
  <c r="AN683" i="18" s="1"/>
  <c r="AC670" i="28"/>
  <c r="AD670" i="28"/>
  <c r="X683" i="18"/>
  <c r="T676" i="28"/>
  <c r="F689" i="18"/>
  <c r="U676" i="28"/>
  <c r="T667" i="28"/>
  <c r="F680" i="18"/>
  <c r="U667" i="28"/>
  <c r="AL676" i="28"/>
  <c r="AM676" i="28"/>
  <c r="AG689" i="18"/>
  <c r="AN689" i="18" s="1"/>
  <c r="AC676" i="28"/>
  <c r="AD676" i="28"/>
  <c r="X689" i="18"/>
  <c r="AC682" i="28"/>
  <c r="AD682" i="28"/>
  <c r="X695" i="18"/>
  <c r="AD695" i="28"/>
  <c r="X708" i="18"/>
  <c r="V710" i="28" s="1"/>
  <c r="V687" i="18"/>
  <c r="T689" i="28" s="1"/>
  <c r="V692" i="18"/>
  <c r="T694" i="28" s="1"/>
  <c r="U695" i="28"/>
  <c r="AL687" i="28"/>
  <c r="AE685" i="18"/>
  <c r="AC687" i="28" s="1"/>
  <c r="AE694" i="18"/>
  <c r="AC696" i="28" s="1"/>
  <c r="AM695" i="28"/>
  <c r="AG708" i="18"/>
  <c r="AN708" i="18" s="1"/>
  <c r="AL694" i="28"/>
  <c r="AE690" i="18"/>
  <c r="AC692" i="28" s="1"/>
  <c r="AE692" i="18"/>
  <c r="AC694" i="28" s="1"/>
  <c r="V691" i="18"/>
  <c r="T693" i="28" s="1"/>
  <c r="AE684" i="18"/>
  <c r="AC686" i="28" s="1"/>
  <c r="V684" i="18"/>
  <c r="T686" i="28" s="1"/>
  <c r="AG695" i="18"/>
  <c r="AM682" i="28"/>
  <c r="F703" i="18"/>
  <c r="D705" i="28" s="1"/>
  <c r="U690" i="28"/>
  <c r="AD688" i="28"/>
  <c r="X701" i="18"/>
  <c r="V703" i="28" s="1"/>
  <c r="AL690" i="28"/>
  <c r="AE687" i="18"/>
  <c r="AC689" i="28" s="1"/>
  <c r="AE691" i="18"/>
  <c r="AC693" i="28" s="1"/>
  <c r="AL686" i="28"/>
  <c r="AL692" i="28"/>
  <c r="X703" i="18"/>
  <c r="V705" i="28" s="1"/>
  <c r="AD690" i="28"/>
  <c r="V685" i="18"/>
  <c r="T687" i="28" s="1"/>
  <c r="V690" i="18"/>
  <c r="T692" i="28" s="1"/>
  <c r="D695" i="28" l="1"/>
  <c r="V693" i="18"/>
  <c r="E47" i="5"/>
  <c r="AN695" i="18"/>
  <c r="AL697" i="28" s="1"/>
  <c r="W47" i="5"/>
  <c r="AN681" i="18"/>
  <c r="AM47" i="5" s="1"/>
  <c r="AN47" i="5" s="1"/>
  <c r="AF47" i="5"/>
  <c r="D696" i="28"/>
  <c r="V694" i="18"/>
  <c r="AE697" i="28"/>
  <c r="AE710" i="28"/>
  <c r="D688" i="28"/>
  <c r="V686" i="18"/>
  <c r="AE696" i="28"/>
  <c r="AE688" i="28"/>
  <c r="AE685" i="28"/>
  <c r="D685" i="28"/>
  <c r="V683" i="18"/>
  <c r="D683" i="28"/>
  <c r="V681" i="18"/>
  <c r="V683" i="28"/>
  <c r="AE681" i="18"/>
  <c r="AE684" i="28"/>
  <c r="V685" i="28"/>
  <c r="AE683" i="18"/>
  <c r="V682" i="18"/>
  <c r="D684" i="28"/>
  <c r="AE682" i="18"/>
  <c r="V684" i="28"/>
  <c r="AE683" i="28"/>
  <c r="D691" i="28"/>
  <c r="V689" i="18"/>
  <c r="D682" i="28"/>
  <c r="V680" i="18"/>
  <c r="AE691" i="28"/>
  <c r="V691" i="28"/>
  <c r="AE689" i="18"/>
  <c r="V697" i="28"/>
  <c r="AE695" i="18"/>
  <c r="AM692" i="28"/>
  <c r="AG705" i="18"/>
  <c r="AN705" i="18" s="1"/>
  <c r="AG702" i="18"/>
  <c r="AN702" i="18" s="1"/>
  <c r="AM689" i="28"/>
  <c r="F705" i="18"/>
  <c r="D707" i="28" s="1"/>
  <c r="U692" i="28"/>
  <c r="X709" i="18"/>
  <c r="V711" i="28" s="1"/>
  <c r="AD696" i="28"/>
  <c r="AM690" i="28"/>
  <c r="AG703" i="18"/>
  <c r="AN703" i="18" s="1"/>
  <c r="V703" i="18"/>
  <c r="T705" i="28" s="1"/>
  <c r="F699" i="18"/>
  <c r="D701" i="28" s="1"/>
  <c r="U686" i="28"/>
  <c r="X705" i="18"/>
  <c r="V707" i="28" s="1"/>
  <c r="AD692" i="28"/>
  <c r="F707" i="18"/>
  <c r="D709" i="28" s="1"/>
  <c r="U694" i="28"/>
  <c r="AD686" i="28"/>
  <c r="X699" i="18"/>
  <c r="V701" i="28" s="1"/>
  <c r="AG707" i="18"/>
  <c r="AN707" i="18" s="1"/>
  <c r="AM694" i="28"/>
  <c r="AG706" i="18"/>
  <c r="AN706" i="18" s="1"/>
  <c r="AM693" i="28"/>
  <c r="F702" i="18"/>
  <c r="D704" i="28" s="1"/>
  <c r="U689" i="28"/>
  <c r="AL710" i="28"/>
  <c r="AD687" i="28"/>
  <c r="X700" i="18"/>
  <c r="V702" i="28" s="1"/>
  <c r="AE703" i="18"/>
  <c r="AC705" i="28" s="1"/>
  <c r="AG699" i="18"/>
  <c r="AN699" i="18" s="1"/>
  <c r="AM686" i="28"/>
  <c r="X706" i="18"/>
  <c r="V708" i="28" s="1"/>
  <c r="AD693" i="28"/>
  <c r="AG700" i="18"/>
  <c r="AN700" i="18" s="1"/>
  <c r="AM687" i="28"/>
  <c r="AE708" i="18"/>
  <c r="AC710" i="28" s="1"/>
  <c r="X707" i="18"/>
  <c r="V709" i="28" s="1"/>
  <c r="AD694" i="28"/>
  <c r="U687" i="28"/>
  <c r="F700" i="18"/>
  <c r="D702" i="28" s="1"/>
  <c r="AE701" i="18"/>
  <c r="AC703" i="28" s="1"/>
  <c r="F706" i="18"/>
  <c r="D708" i="28" s="1"/>
  <c r="U693" i="28"/>
  <c r="X702" i="18"/>
  <c r="V704" i="28" s="1"/>
  <c r="AD689" i="28"/>
  <c r="T695" i="28" l="1"/>
  <c r="F708" i="18"/>
  <c r="AD47" i="5"/>
  <c r="AE47" i="5" s="1"/>
  <c r="U47" i="5"/>
  <c r="V47" i="5" s="1"/>
  <c r="T696" i="28"/>
  <c r="F709" i="18"/>
  <c r="U696" i="28"/>
  <c r="AE708" i="28"/>
  <c r="AE701" i="28"/>
  <c r="AE709" i="28"/>
  <c r="AE702" i="28"/>
  <c r="AE704" i="28"/>
  <c r="AE705" i="28"/>
  <c r="AE707" i="28"/>
  <c r="T688" i="28"/>
  <c r="F701" i="18"/>
  <c r="U688" i="28"/>
  <c r="AL696" i="28"/>
  <c r="AM696" i="28"/>
  <c r="AG709" i="18"/>
  <c r="AN709" i="18" s="1"/>
  <c r="AL688" i="28"/>
  <c r="AM688" i="28"/>
  <c r="AG701" i="18"/>
  <c r="AN701" i="18" s="1"/>
  <c r="AC683" i="28"/>
  <c r="X696" i="18"/>
  <c r="AD683" i="28"/>
  <c r="AC684" i="28"/>
  <c r="X697" i="18"/>
  <c r="AD684" i="28"/>
  <c r="T683" i="28"/>
  <c r="F696" i="18"/>
  <c r="U683" i="28"/>
  <c r="F697" i="18"/>
  <c r="T684" i="28"/>
  <c r="U684" i="28"/>
  <c r="AC685" i="28"/>
  <c r="X698" i="18"/>
  <c r="AD685" i="28"/>
  <c r="T685" i="28"/>
  <c r="U685" i="28"/>
  <c r="F698" i="18"/>
  <c r="AL683" i="28"/>
  <c r="AG696" i="18"/>
  <c r="AM683" i="28"/>
  <c r="AG697" i="18"/>
  <c r="AN697" i="18" s="1"/>
  <c r="AL684" i="28"/>
  <c r="AM684" i="28"/>
  <c r="AL685" i="28"/>
  <c r="AG698" i="18"/>
  <c r="AN698" i="18" s="1"/>
  <c r="AM685" i="28"/>
  <c r="T691" i="28"/>
  <c r="U691" i="28"/>
  <c r="F704" i="18"/>
  <c r="T682" i="28"/>
  <c r="F695" i="18"/>
  <c r="U682" i="28"/>
  <c r="AL691" i="28"/>
  <c r="AM691" i="28"/>
  <c r="AG704" i="18"/>
  <c r="AN704" i="18" s="1"/>
  <c r="AC691" i="28"/>
  <c r="X704" i="18"/>
  <c r="AD691" i="28"/>
  <c r="AC697" i="28"/>
  <c r="AD697" i="28"/>
  <c r="X710" i="18"/>
  <c r="V700" i="18"/>
  <c r="T702" i="28" s="1"/>
  <c r="V705" i="18"/>
  <c r="T707" i="28" s="1"/>
  <c r="AL709" i="28"/>
  <c r="V707" i="18"/>
  <c r="T709" i="28" s="1"/>
  <c r="F718" i="18"/>
  <c r="D720" i="28" s="1"/>
  <c r="U705" i="28"/>
  <c r="AE702" i="18"/>
  <c r="AC704" i="28" s="1"/>
  <c r="V702" i="18"/>
  <c r="T704" i="28" s="1"/>
  <c r="AE699" i="18"/>
  <c r="AC701" i="28" s="1"/>
  <c r="AL705" i="28"/>
  <c r="AE709" i="18"/>
  <c r="AC711" i="28" s="1"/>
  <c r="AL704" i="28"/>
  <c r="AL702" i="28"/>
  <c r="V706" i="18"/>
  <c r="T708" i="28" s="1"/>
  <c r="AE707" i="18"/>
  <c r="AC709" i="28" s="1"/>
  <c r="AG710" i="18"/>
  <c r="AM697" i="28"/>
  <c r="X718" i="18"/>
  <c r="V720" i="28" s="1"/>
  <c r="AD705" i="28"/>
  <c r="AE705" i="18"/>
  <c r="AC707" i="28" s="1"/>
  <c r="AM710" i="28"/>
  <c r="AG723" i="18"/>
  <c r="AN723" i="18" s="1"/>
  <c r="U710" i="28"/>
  <c r="AE700" i="18"/>
  <c r="AC702" i="28" s="1"/>
  <c r="AL707" i="28"/>
  <c r="AL701" i="28"/>
  <c r="AE706" i="18"/>
  <c r="AC708" i="28" s="1"/>
  <c r="AL708" i="28"/>
  <c r="AD703" i="28"/>
  <c r="X716" i="18"/>
  <c r="V718" i="28" s="1"/>
  <c r="AD710" i="28"/>
  <c r="X723" i="18"/>
  <c r="V725" i="28" s="1"/>
  <c r="V699" i="18"/>
  <c r="T701" i="28" s="1"/>
  <c r="D710" i="28" l="1"/>
  <c r="V708" i="18"/>
  <c r="E48" i="5"/>
  <c r="AN696" i="18"/>
  <c r="AM48" i="5" s="1"/>
  <c r="AN48" i="5" s="1"/>
  <c r="AF48" i="5"/>
  <c r="AN710" i="18"/>
  <c r="AL712" i="28" s="1"/>
  <c r="W48" i="5"/>
  <c r="D711" i="28"/>
  <c r="V709" i="18"/>
  <c r="AE725" i="28"/>
  <c r="AE712" i="28"/>
  <c r="D703" i="28"/>
  <c r="V701" i="18"/>
  <c r="AE711" i="28"/>
  <c r="AE703" i="28"/>
  <c r="D698" i="28"/>
  <c r="V696" i="18"/>
  <c r="AE699" i="28"/>
  <c r="V700" i="28"/>
  <c r="AE698" i="18"/>
  <c r="V699" i="28"/>
  <c r="AE697" i="18"/>
  <c r="AE698" i="28"/>
  <c r="AE700" i="28"/>
  <c r="D700" i="28"/>
  <c r="V698" i="18"/>
  <c r="V697" i="18"/>
  <c r="D699" i="28"/>
  <c r="V698" i="28"/>
  <c r="AE696" i="18"/>
  <c r="D706" i="28"/>
  <c r="V704" i="18"/>
  <c r="D697" i="28"/>
  <c r="V695" i="18"/>
  <c r="AE706" i="28"/>
  <c r="V706" i="28"/>
  <c r="AE704" i="18"/>
  <c r="V712" i="28"/>
  <c r="AE710" i="18"/>
  <c r="X720" i="18"/>
  <c r="V722" i="28" s="1"/>
  <c r="AD707" i="28"/>
  <c r="AM704" i="28"/>
  <c r="AG717" i="18"/>
  <c r="AN717" i="18" s="1"/>
  <c r="F717" i="18"/>
  <c r="D719" i="28" s="1"/>
  <c r="U704" i="28"/>
  <c r="AE723" i="18"/>
  <c r="AC725" i="28" s="1"/>
  <c r="AE718" i="18"/>
  <c r="AC720" i="28" s="1"/>
  <c r="F721" i="18"/>
  <c r="D723" i="28" s="1"/>
  <c r="U708" i="28"/>
  <c r="F720" i="18"/>
  <c r="D722" i="28" s="1"/>
  <c r="U707" i="28"/>
  <c r="AD704" i="28"/>
  <c r="X717" i="18"/>
  <c r="V719" i="28" s="1"/>
  <c r="AG722" i="18"/>
  <c r="AN722" i="18" s="1"/>
  <c r="AM709" i="28"/>
  <c r="AG714" i="18"/>
  <c r="AN714" i="18" s="1"/>
  <c r="AM701" i="28"/>
  <c r="AL725" i="28"/>
  <c r="AG715" i="18"/>
  <c r="AN715" i="18" s="1"/>
  <c r="AM702" i="28"/>
  <c r="F715" i="18"/>
  <c r="D717" i="28" s="1"/>
  <c r="U702" i="28"/>
  <c r="AM708" i="28"/>
  <c r="AG721" i="18"/>
  <c r="AN721" i="18" s="1"/>
  <c r="AG718" i="18"/>
  <c r="AN718" i="18" s="1"/>
  <c r="AM705" i="28"/>
  <c r="X715" i="18"/>
  <c r="V717" i="28" s="1"/>
  <c r="AD702" i="28"/>
  <c r="V718" i="18"/>
  <c r="T720" i="28" s="1"/>
  <c r="AE716" i="18"/>
  <c r="AC718" i="28" s="1"/>
  <c r="F714" i="18"/>
  <c r="D716" i="28" s="1"/>
  <c r="U701" i="28"/>
  <c r="AG720" i="18"/>
  <c r="AN720" i="18" s="1"/>
  <c r="AM707" i="28"/>
  <c r="U709" i="28"/>
  <c r="F722" i="18"/>
  <c r="D724" i="28" s="1"/>
  <c r="X722" i="18"/>
  <c r="V724" i="28" s="1"/>
  <c r="AD709" i="28"/>
  <c r="X724" i="18"/>
  <c r="V726" i="28" s="1"/>
  <c r="AD711" i="28"/>
  <c r="X721" i="18"/>
  <c r="V723" i="28" s="1"/>
  <c r="AD708" i="28"/>
  <c r="X714" i="18"/>
  <c r="V716" i="28" s="1"/>
  <c r="AD701" i="28"/>
  <c r="T710" i="28" l="1"/>
  <c r="F723" i="18"/>
  <c r="AD48" i="5"/>
  <c r="AE48" i="5" s="1"/>
  <c r="U48" i="5"/>
  <c r="V48" i="5" s="1"/>
  <c r="T711" i="28"/>
  <c r="F724" i="18"/>
  <c r="U711" i="28"/>
  <c r="AE724" i="28"/>
  <c r="AE717" i="28"/>
  <c r="AE722" i="28"/>
  <c r="AE720" i="28"/>
  <c r="AE719" i="28"/>
  <c r="AL719" i="28"/>
  <c r="AE723" i="28"/>
  <c r="AE716" i="28"/>
  <c r="T703" i="28"/>
  <c r="F716" i="18"/>
  <c r="U703" i="28"/>
  <c r="AL711" i="28"/>
  <c r="AG724" i="18"/>
  <c r="AN724" i="18" s="1"/>
  <c r="AM711" i="28"/>
  <c r="AL703" i="28"/>
  <c r="AG716" i="18"/>
  <c r="AN716" i="18" s="1"/>
  <c r="AM703" i="28"/>
  <c r="T699" i="28"/>
  <c r="F712" i="18"/>
  <c r="U699" i="28"/>
  <c r="T700" i="28"/>
  <c r="U700" i="28"/>
  <c r="F713" i="18"/>
  <c r="AC700" i="28"/>
  <c r="AD700" i="28"/>
  <c r="X713" i="18"/>
  <c r="AC699" i="28"/>
  <c r="X712" i="18"/>
  <c r="AD699" i="28"/>
  <c r="AL700" i="28"/>
  <c r="AM700" i="28"/>
  <c r="AG713" i="18"/>
  <c r="AN713" i="18" s="1"/>
  <c r="AL699" i="28"/>
  <c r="AM699" i="28"/>
  <c r="AG712" i="18"/>
  <c r="AN712" i="18" s="1"/>
  <c r="AD698" i="28"/>
  <c r="AC698" i="28"/>
  <c r="X711" i="18"/>
  <c r="AL698" i="28"/>
  <c r="AG711" i="18"/>
  <c r="AM698" i="28"/>
  <c r="F711" i="18"/>
  <c r="U698" i="28"/>
  <c r="T698" i="28"/>
  <c r="T706" i="28"/>
  <c r="F719" i="18"/>
  <c r="U706" i="28"/>
  <c r="T697" i="28"/>
  <c r="F710" i="18"/>
  <c r="U697" i="28"/>
  <c r="AL706" i="28"/>
  <c r="AG719" i="18"/>
  <c r="AN719" i="18" s="1"/>
  <c r="AM706" i="28"/>
  <c r="AC706" i="28"/>
  <c r="AD706" i="28"/>
  <c r="X719" i="18"/>
  <c r="AC712" i="28"/>
  <c r="AD712" i="28"/>
  <c r="X725" i="18"/>
  <c r="AL720" i="28"/>
  <c r="AG738" i="18"/>
  <c r="AN738" i="18" s="1"/>
  <c r="AM725" i="28"/>
  <c r="AL722" i="28"/>
  <c r="AE717" i="18"/>
  <c r="AC719" i="28" s="1"/>
  <c r="U725" i="28"/>
  <c r="V721" i="18"/>
  <c r="T723" i="28" s="1"/>
  <c r="AE721" i="18"/>
  <c r="AC723" i="28" s="1"/>
  <c r="V715" i="18"/>
  <c r="T717" i="28" s="1"/>
  <c r="AE715" i="18"/>
  <c r="AC717" i="28" s="1"/>
  <c r="AD725" i="28"/>
  <c r="X738" i="18"/>
  <c r="V740" i="28" s="1"/>
  <c r="U720" i="28"/>
  <c r="F733" i="18"/>
  <c r="D735" i="28" s="1"/>
  <c r="AE714" i="18"/>
  <c r="AC716" i="28" s="1"/>
  <c r="AD718" i="28"/>
  <c r="X731" i="18"/>
  <c r="V733" i="28" s="1"/>
  <c r="AE722" i="18"/>
  <c r="AC724" i="28" s="1"/>
  <c r="V722" i="18"/>
  <c r="T724" i="28" s="1"/>
  <c r="AM712" i="28"/>
  <c r="AG725" i="18"/>
  <c r="AL717" i="28"/>
  <c r="AL724" i="28"/>
  <c r="V720" i="18"/>
  <c r="T722" i="28" s="1"/>
  <c r="AD720" i="28"/>
  <c r="X733" i="18"/>
  <c r="V735" i="28" s="1"/>
  <c r="V717" i="18"/>
  <c r="T719" i="28" s="1"/>
  <c r="AE720" i="18"/>
  <c r="AC722" i="28" s="1"/>
  <c r="AL716" i="28"/>
  <c r="V714" i="18"/>
  <c r="T716" i="28" s="1"/>
  <c r="AE724" i="18"/>
  <c r="AC726" i="28" s="1"/>
  <c r="AL723" i="28"/>
  <c r="D725" i="28" l="1"/>
  <c r="V723" i="18"/>
  <c r="E49" i="5"/>
  <c r="AN711" i="18"/>
  <c r="AM49" i="5" s="1"/>
  <c r="AN49" i="5" s="1"/>
  <c r="AF49" i="5"/>
  <c r="W49" i="5"/>
  <c r="AN725" i="18"/>
  <c r="AL727" i="28" s="1"/>
  <c r="D726" i="28"/>
  <c r="V724" i="18"/>
  <c r="AE727" i="28"/>
  <c r="AE740" i="28"/>
  <c r="D718" i="28"/>
  <c r="V716" i="18"/>
  <c r="AE726" i="28"/>
  <c r="AE718" i="28"/>
  <c r="AE713" i="28"/>
  <c r="AE715" i="28"/>
  <c r="D715" i="28"/>
  <c r="V713" i="18"/>
  <c r="AE711" i="18"/>
  <c r="V713" i="28"/>
  <c r="V714" i="28"/>
  <c r="AE712" i="18"/>
  <c r="AE714" i="28"/>
  <c r="D714" i="28"/>
  <c r="V712" i="18"/>
  <c r="D713" i="28"/>
  <c r="V711" i="18"/>
  <c r="V715" i="28"/>
  <c r="AE713" i="18"/>
  <c r="D721" i="28"/>
  <c r="V719" i="18"/>
  <c r="D712" i="28"/>
  <c r="V710" i="18"/>
  <c r="AE721" i="28"/>
  <c r="V721" i="28"/>
  <c r="AE719" i="18"/>
  <c r="V727" i="28"/>
  <c r="AE725" i="18"/>
  <c r="X729" i="18"/>
  <c r="V731" i="28" s="1"/>
  <c r="AD716" i="28"/>
  <c r="F730" i="18"/>
  <c r="D732" i="28" s="1"/>
  <c r="U717" i="28"/>
  <c r="AG736" i="18"/>
  <c r="AN736" i="18" s="1"/>
  <c r="AM723" i="28"/>
  <c r="AE733" i="18"/>
  <c r="AC735" i="28" s="1"/>
  <c r="AM717" i="28"/>
  <c r="AG730" i="18"/>
  <c r="AN730" i="18" s="1"/>
  <c r="V733" i="18"/>
  <c r="T735" i="28" s="1"/>
  <c r="F736" i="18"/>
  <c r="D738" i="28" s="1"/>
  <c r="U723" i="28"/>
  <c r="X732" i="18"/>
  <c r="V734" i="28" s="1"/>
  <c r="AD719" i="28"/>
  <c r="F729" i="18"/>
  <c r="D731" i="28" s="1"/>
  <c r="U716" i="28"/>
  <c r="AE738" i="18"/>
  <c r="AC740" i="28" s="1"/>
  <c r="F732" i="18"/>
  <c r="D734" i="28" s="1"/>
  <c r="U719" i="28"/>
  <c r="X737" i="18"/>
  <c r="V739" i="28" s="1"/>
  <c r="AD724" i="28"/>
  <c r="AG735" i="18"/>
  <c r="AN735" i="18" s="1"/>
  <c r="AM722" i="28"/>
  <c r="AL740" i="28"/>
  <c r="X736" i="18"/>
  <c r="V738" i="28" s="1"/>
  <c r="AD723" i="28"/>
  <c r="AG729" i="18"/>
  <c r="AN729" i="18" s="1"/>
  <c r="AM716" i="28"/>
  <c r="AE731" i="18"/>
  <c r="AC733" i="28" s="1"/>
  <c r="AM719" i="28"/>
  <c r="AG732" i="18"/>
  <c r="AN732" i="18" s="1"/>
  <c r="AG737" i="18"/>
  <c r="AN737" i="18" s="1"/>
  <c r="AM724" i="28"/>
  <c r="X739" i="18"/>
  <c r="V741" i="28" s="1"/>
  <c r="AD726" i="28"/>
  <c r="U722" i="28"/>
  <c r="F735" i="18"/>
  <c r="D737" i="28" s="1"/>
  <c r="X735" i="18"/>
  <c r="V737" i="28" s="1"/>
  <c r="AD722" i="28"/>
  <c r="U724" i="28"/>
  <c r="F737" i="18"/>
  <c r="D739" i="28" s="1"/>
  <c r="X730" i="18"/>
  <c r="V732" i="28" s="1"/>
  <c r="AD717" i="28"/>
  <c r="AM720" i="28"/>
  <c r="AG733" i="18"/>
  <c r="AN733" i="18" s="1"/>
  <c r="T725" i="28" l="1"/>
  <c r="F738" i="18"/>
  <c r="AD49" i="5"/>
  <c r="AE49" i="5" s="1"/>
  <c r="U49" i="5"/>
  <c r="V49" i="5" s="1"/>
  <c r="T726" i="28"/>
  <c r="U726" i="28"/>
  <c r="F739" i="18"/>
  <c r="AE737" i="28"/>
  <c r="AE738" i="28"/>
  <c r="AE735" i="28"/>
  <c r="AL735" i="28"/>
  <c r="AE739" i="28"/>
  <c r="AE731" i="28"/>
  <c r="AE734" i="28"/>
  <c r="AE732" i="28"/>
  <c r="T718" i="28"/>
  <c r="F731" i="18"/>
  <c r="U718" i="28"/>
  <c r="AL726" i="28"/>
  <c r="AM726" i="28"/>
  <c r="AG739" i="18"/>
  <c r="AN739" i="18" s="1"/>
  <c r="AL718" i="28"/>
  <c r="AM718" i="28"/>
  <c r="AG731" i="18"/>
  <c r="AN731" i="18" s="1"/>
  <c r="T713" i="28"/>
  <c r="F726" i="18"/>
  <c r="U713" i="28"/>
  <c r="AD713" i="28"/>
  <c r="AC713" i="28"/>
  <c r="X726" i="18"/>
  <c r="F727" i="18"/>
  <c r="U714" i="28"/>
  <c r="T714" i="28"/>
  <c r="T715" i="28"/>
  <c r="U715" i="28"/>
  <c r="F728" i="18"/>
  <c r="AL714" i="28"/>
  <c r="AM714" i="28"/>
  <c r="AG727" i="18"/>
  <c r="AN727" i="18" s="1"/>
  <c r="AL715" i="28"/>
  <c r="AG728" i="18"/>
  <c r="AN728" i="18" s="1"/>
  <c r="AM715" i="28"/>
  <c r="AC715" i="28"/>
  <c r="X728" i="18"/>
  <c r="AD715" i="28"/>
  <c r="AC714" i="28"/>
  <c r="X727" i="18"/>
  <c r="AD714" i="28"/>
  <c r="AG726" i="18"/>
  <c r="AL713" i="28"/>
  <c r="AM713" i="28"/>
  <c r="T721" i="28"/>
  <c r="F734" i="18"/>
  <c r="U721" i="28"/>
  <c r="T712" i="28"/>
  <c r="F725" i="18"/>
  <c r="U712" i="28"/>
  <c r="AL721" i="28"/>
  <c r="AG734" i="18"/>
  <c r="AN734" i="18" s="1"/>
  <c r="AM721" i="28"/>
  <c r="AC721" i="28"/>
  <c r="X734" i="18"/>
  <c r="AD721" i="28"/>
  <c r="AC727" i="28"/>
  <c r="X740" i="18"/>
  <c r="AD727" i="28"/>
  <c r="AL739" i="28"/>
  <c r="AL737" i="28"/>
  <c r="AG740" i="18"/>
  <c r="AM727" i="28"/>
  <c r="AE730" i="18"/>
  <c r="AC732" i="28" s="1"/>
  <c r="V735" i="18"/>
  <c r="T737" i="28" s="1"/>
  <c r="V729" i="18"/>
  <c r="T731" i="28" s="1"/>
  <c r="V736" i="18"/>
  <c r="T738" i="28" s="1"/>
  <c r="X748" i="18"/>
  <c r="V750" i="28" s="1"/>
  <c r="AD735" i="28"/>
  <c r="X753" i="18"/>
  <c r="V755" i="28" s="1"/>
  <c r="AD740" i="28"/>
  <c r="V730" i="18"/>
  <c r="T732" i="28" s="1"/>
  <c r="V737" i="18"/>
  <c r="T739" i="28" s="1"/>
  <c r="AE736" i="18"/>
  <c r="AC738" i="28" s="1"/>
  <c r="U740" i="28"/>
  <c r="AL738" i="28"/>
  <c r="X746" i="18"/>
  <c r="V748" i="28" s="1"/>
  <c r="AD733" i="28"/>
  <c r="V732" i="18"/>
  <c r="T734" i="28" s="1"/>
  <c r="F748" i="18"/>
  <c r="D750" i="28" s="1"/>
  <c r="U735" i="28"/>
  <c r="AL734" i="28"/>
  <c r="AE739" i="18"/>
  <c r="AC741" i="28" s="1"/>
  <c r="AE737" i="18"/>
  <c r="AC739" i="28" s="1"/>
  <c r="AL732" i="28"/>
  <c r="AE729" i="18"/>
  <c r="AC731" i="28" s="1"/>
  <c r="AE735" i="18"/>
  <c r="AC737" i="28" s="1"/>
  <c r="AL731" i="28"/>
  <c r="AG753" i="18"/>
  <c r="AN753" i="18" s="1"/>
  <c r="AM740" i="28"/>
  <c r="AE732" i="18"/>
  <c r="AC734" i="28" s="1"/>
  <c r="D740" i="28" l="1"/>
  <c r="V738" i="18"/>
  <c r="E50" i="5"/>
  <c r="W50" i="5"/>
  <c r="AN740" i="18"/>
  <c r="AL742" i="28" s="1"/>
  <c r="AN726" i="18"/>
  <c r="AM50" i="5" s="1"/>
  <c r="AN50" i="5" s="1"/>
  <c r="AF50" i="5"/>
  <c r="D741" i="28"/>
  <c r="V739" i="18"/>
  <c r="AE742" i="28"/>
  <c r="AE755" i="28"/>
  <c r="AL755" i="28"/>
  <c r="D733" i="28"/>
  <c r="V731" i="18"/>
  <c r="AE741" i="28"/>
  <c r="AE733" i="28"/>
  <c r="D729" i="28"/>
  <c r="V727" i="18"/>
  <c r="V728" i="28"/>
  <c r="AE726" i="18"/>
  <c r="V729" i="28"/>
  <c r="AE727" i="18"/>
  <c r="AE729" i="28"/>
  <c r="V730" i="28"/>
  <c r="AE728" i="18"/>
  <c r="D730" i="28"/>
  <c r="V728" i="18"/>
  <c r="V726" i="18"/>
  <c r="D728" i="28"/>
  <c r="AE728" i="28"/>
  <c r="AE730" i="28"/>
  <c r="D736" i="28"/>
  <c r="V734" i="18"/>
  <c r="D727" i="28"/>
  <c r="V725" i="18"/>
  <c r="AE736" i="28"/>
  <c r="V736" i="28"/>
  <c r="AE734" i="18"/>
  <c r="V742" i="28"/>
  <c r="AE740" i="18"/>
  <c r="F751" i="18"/>
  <c r="D753" i="28" s="1"/>
  <c r="U738" i="28"/>
  <c r="AM731" i="28"/>
  <c r="AG744" i="18"/>
  <c r="AN744" i="18" s="1"/>
  <c r="AD739" i="28"/>
  <c r="X752" i="18"/>
  <c r="V754" i="28" s="1"/>
  <c r="AG751" i="18"/>
  <c r="AN751" i="18" s="1"/>
  <c r="AM738" i="28"/>
  <c r="AD732" i="28"/>
  <c r="X745" i="18"/>
  <c r="V747" i="28" s="1"/>
  <c r="F744" i="18"/>
  <c r="D746" i="28" s="1"/>
  <c r="U731" i="28"/>
  <c r="AE753" i="18"/>
  <c r="AC755" i="28" s="1"/>
  <c r="AD734" i="28"/>
  <c r="X747" i="18"/>
  <c r="V749" i="28" s="1"/>
  <c r="F752" i="18"/>
  <c r="D754" i="28" s="1"/>
  <c r="U739" i="28"/>
  <c r="U737" i="28"/>
  <c r="F750" i="18"/>
  <c r="D752" i="28" s="1"/>
  <c r="F745" i="18"/>
  <c r="D747" i="28" s="1"/>
  <c r="U732" i="28"/>
  <c r="AG747" i="18"/>
  <c r="AN747" i="18" s="1"/>
  <c r="AM734" i="28"/>
  <c r="F747" i="18"/>
  <c r="D749" i="28" s="1"/>
  <c r="U734" i="28"/>
  <c r="AG750" i="18"/>
  <c r="AN750" i="18" s="1"/>
  <c r="AM737" i="28"/>
  <c r="AD737" i="28"/>
  <c r="X750" i="18"/>
  <c r="V752" i="28" s="1"/>
  <c r="AD731" i="28"/>
  <c r="X744" i="18"/>
  <c r="V746" i="28" s="1"/>
  <c r="AM735" i="28"/>
  <c r="AG748" i="18"/>
  <c r="AN748" i="18" s="1"/>
  <c r="AE748" i="18"/>
  <c r="AC750" i="28" s="1"/>
  <c r="X754" i="18"/>
  <c r="V756" i="28" s="1"/>
  <c r="AD741" i="28"/>
  <c r="AM732" i="28"/>
  <c r="AG745" i="18"/>
  <c r="AN745" i="18" s="1"/>
  <c r="V748" i="18"/>
  <c r="T750" i="28" s="1"/>
  <c r="AE746" i="18"/>
  <c r="AC748" i="28" s="1"/>
  <c r="X751" i="18"/>
  <c r="V753" i="28" s="1"/>
  <c r="AD738" i="28"/>
  <c r="AM739" i="28"/>
  <c r="AG752" i="18"/>
  <c r="AN752" i="18" s="1"/>
  <c r="T740" i="28" l="1"/>
  <c r="F753" i="18"/>
  <c r="AD50" i="5"/>
  <c r="AE50" i="5" s="1"/>
  <c r="U50" i="5"/>
  <c r="V50" i="5" s="1"/>
  <c r="T741" i="28"/>
  <c r="F754" i="18"/>
  <c r="U741" i="28"/>
  <c r="AE749" i="28"/>
  <c r="AE753" i="28"/>
  <c r="AE750" i="28"/>
  <c r="AE752" i="28"/>
  <c r="AE754" i="28"/>
  <c r="AE746" i="28"/>
  <c r="AE747" i="28"/>
  <c r="T733" i="28"/>
  <c r="F746" i="18"/>
  <c r="U733" i="28"/>
  <c r="AL741" i="28"/>
  <c r="AG754" i="18"/>
  <c r="AN754" i="18" s="1"/>
  <c r="AM741" i="28"/>
  <c r="AL733" i="28"/>
  <c r="AM733" i="28"/>
  <c r="AG746" i="18"/>
  <c r="AN746" i="18" s="1"/>
  <c r="AL729" i="28"/>
  <c r="AG742" i="18"/>
  <c r="AN742" i="18" s="1"/>
  <c r="AM729" i="28"/>
  <c r="AC729" i="28"/>
  <c r="AD729" i="28"/>
  <c r="X742" i="18"/>
  <c r="T728" i="28"/>
  <c r="F741" i="18"/>
  <c r="U728" i="28"/>
  <c r="T730" i="28"/>
  <c r="F743" i="18"/>
  <c r="U730" i="28"/>
  <c r="AC728" i="28"/>
  <c r="X741" i="18"/>
  <c r="AD728" i="28"/>
  <c r="AL728" i="28"/>
  <c r="AG741" i="18"/>
  <c r="AM728" i="28"/>
  <c r="AL730" i="28"/>
  <c r="AG743" i="18"/>
  <c r="AN743" i="18" s="1"/>
  <c r="AM730" i="28"/>
  <c r="AC730" i="28"/>
  <c r="X743" i="18"/>
  <c r="AD730" i="28"/>
  <c r="T729" i="28"/>
  <c r="U729" i="28"/>
  <c r="F742" i="18"/>
  <c r="T736" i="28"/>
  <c r="F749" i="18"/>
  <c r="U736" i="28"/>
  <c r="T727" i="28"/>
  <c r="U727" i="28"/>
  <c r="F740" i="18"/>
  <c r="AL736" i="28"/>
  <c r="AG749" i="18"/>
  <c r="AN749" i="18" s="1"/>
  <c r="AM736" i="28"/>
  <c r="AC736" i="28"/>
  <c r="X749" i="18"/>
  <c r="AD736" i="28"/>
  <c r="AC742" i="28"/>
  <c r="AD742" i="28"/>
  <c r="X755" i="18"/>
  <c r="AM755" i="28"/>
  <c r="AG768" i="18"/>
  <c r="AN768" i="18" s="1"/>
  <c r="F763" i="18"/>
  <c r="D765" i="28" s="1"/>
  <c r="U750" i="28"/>
  <c r="AE747" i="18"/>
  <c r="AC749" i="28" s="1"/>
  <c r="AE744" i="18"/>
  <c r="AC746" i="28" s="1"/>
  <c r="AL749" i="28"/>
  <c r="V751" i="18"/>
  <c r="T753" i="28" s="1"/>
  <c r="X763" i="18"/>
  <c r="V765" i="28" s="1"/>
  <c r="AD750" i="28"/>
  <c r="AG755" i="18"/>
  <c r="AM742" i="28"/>
  <c r="AE745" i="18"/>
  <c r="AC747" i="28" s="1"/>
  <c r="AE752" i="18"/>
  <c r="AC754" i="28" s="1"/>
  <c r="AL752" i="28"/>
  <c r="AL754" i="28"/>
  <c r="AE751" i="18"/>
  <c r="AC753" i="28" s="1"/>
  <c r="AL750" i="28"/>
  <c r="AE750" i="18"/>
  <c r="AC752" i="28" s="1"/>
  <c r="AL747" i="28"/>
  <c r="V745" i="18"/>
  <c r="T747" i="28" s="1"/>
  <c r="V752" i="18"/>
  <c r="T754" i="28" s="1"/>
  <c r="AD755" i="28"/>
  <c r="X768" i="18"/>
  <c r="V770" i="28" s="1"/>
  <c r="U755" i="28"/>
  <c r="AE754" i="18"/>
  <c r="AC756" i="28" s="1"/>
  <c r="AL746" i="28"/>
  <c r="X761" i="18"/>
  <c r="V763" i="28" s="1"/>
  <c r="AD748" i="28"/>
  <c r="V747" i="18"/>
  <c r="T749" i="28" s="1"/>
  <c r="V750" i="18"/>
  <c r="T752" i="28" s="1"/>
  <c r="V744" i="18"/>
  <c r="T746" i="28" s="1"/>
  <c r="AL753" i="28"/>
  <c r="D755" i="28" l="1"/>
  <c r="V753" i="18"/>
  <c r="E51" i="5"/>
  <c r="W51" i="5"/>
  <c r="AN755" i="18"/>
  <c r="AL757" i="28" s="1"/>
  <c r="AN741" i="18"/>
  <c r="AM51" i="5" s="1"/>
  <c r="AN51" i="5" s="1"/>
  <c r="AF51" i="5"/>
  <c r="D756" i="28"/>
  <c r="V754" i="18"/>
  <c r="AE757" i="28"/>
  <c r="AE770" i="28"/>
  <c r="D748" i="28"/>
  <c r="V746" i="18"/>
  <c r="AE756" i="28"/>
  <c r="AE748" i="28"/>
  <c r="D743" i="28"/>
  <c r="V741" i="18"/>
  <c r="V743" i="28"/>
  <c r="AE741" i="18"/>
  <c r="V744" i="28"/>
  <c r="AE742" i="18"/>
  <c r="V745" i="28"/>
  <c r="AE743" i="18"/>
  <c r="AE745" i="28"/>
  <c r="D744" i="28"/>
  <c r="V742" i="18"/>
  <c r="D745" i="28"/>
  <c r="V743" i="18"/>
  <c r="AE744" i="28"/>
  <c r="AE743" i="28"/>
  <c r="D751" i="28"/>
  <c r="V749" i="18"/>
  <c r="D742" i="28"/>
  <c r="V740" i="18"/>
  <c r="AE751" i="28"/>
  <c r="V751" i="28"/>
  <c r="AE749" i="18"/>
  <c r="V757" i="28"/>
  <c r="AE755" i="18"/>
  <c r="AD756" i="28"/>
  <c r="X769" i="18"/>
  <c r="V771" i="28" s="1"/>
  <c r="X762" i="18"/>
  <c r="V764" i="28" s="1"/>
  <c r="AD749" i="28"/>
  <c r="F765" i="18"/>
  <c r="D767" i="28" s="1"/>
  <c r="U752" i="28"/>
  <c r="AM754" i="28"/>
  <c r="AG767" i="18"/>
  <c r="AN767" i="18" s="1"/>
  <c r="F762" i="18"/>
  <c r="D764" i="28" s="1"/>
  <c r="U749" i="28"/>
  <c r="AD747" i="28"/>
  <c r="X760" i="18"/>
  <c r="V762" i="28" s="1"/>
  <c r="AE763" i="18"/>
  <c r="AC765" i="28" s="1"/>
  <c r="AD754" i="28"/>
  <c r="X767" i="18"/>
  <c r="V769" i="28" s="1"/>
  <c r="AM752" i="28"/>
  <c r="AG765" i="18"/>
  <c r="AN765" i="18" s="1"/>
  <c r="V763" i="18"/>
  <c r="T765" i="28" s="1"/>
  <c r="F760" i="18"/>
  <c r="D762" i="28" s="1"/>
  <c r="U747" i="28"/>
  <c r="X765" i="18"/>
  <c r="V767" i="28" s="1"/>
  <c r="AD752" i="28"/>
  <c r="AM753" i="28"/>
  <c r="AG766" i="18"/>
  <c r="AN766" i="18" s="1"/>
  <c r="AE761" i="18"/>
  <c r="AC763" i="28" s="1"/>
  <c r="AE768" i="18"/>
  <c r="AC770" i="28" s="1"/>
  <c r="AG763" i="18"/>
  <c r="AN763" i="18" s="1"/>
  <c r="AM750" i="28"/>
  <c r="F766" i="18"/>
  <c r="D768" i="28" s="1"/>
  <c r="U753" i="28"/>
  <c r="AG762" i="18"/>
  <c r="AN762" i="18" s="1"/>
  <c r="AM749" i="28"/>
  <c r="AL770" i="28"/>
  <c r="F759" i="18"/>
  <c r="D761" i="28" s="1"/>
  <c r="U746" i="28"/>
  <c r="AG760" i="18"/>
  <c r="AN760" i="18" s="1"/>
  <c r="AM747" i="28"/>
  <c r="AM746" i="28"/>
  <c r="AG759" i="18"/>
  <c r="AN759" i="18" s="1"/>
  <c r="F767" i="18"/>
  <c r="D769" i="28" s="1"/>
  <c r="U754" i="28"/>
  <c r="X766" i="18"/>
  <c r="V768" i="28" s="1"/>
  <c r="AD753" i="28"/>
  <c r="X759" i="18"/>
  <c r="V761" i="28" s="1"/>
  <c r="AD746" i="28"/>
  <c r="T755" i="28" l="1"/>
  <c r="F768" i="18"/>
  <c r="AD51" i="5"/>
  <c r="AE51" i="5" s="1"/>
  <c r="U51" i="5"/>
  <c r="V51" i="5" s="1"/>
  <c r="T756" i="28"/>
  <c r="U756" i="28"/>
  <c r="F769" i="18"/>
  <c r="AE764" i="28"/>
  <c r="AE768" i="28"/>
  <c r="AE769" i="28"/>
  <c r="AE762" i="28"/>
  <c r="AE765" i="28"/>
  <c r="AE761" i="28"/>
  <c r="AE767" i="28"/>
  <c r="T748" i="28"/>
  <c r="F761" i="18"/>
  <c r="U748" i="28"/>
  <c r="AL756" i="28"/>
  <c r="AG769" i="18"/>
  <c r="AN769" i="18" s="1"/>
  <c r="AM756" i="28"/>
  <c r="AL748" i="28"/>
  <c r="AG761" i="18"/>
  <c r="AN761" i="18" s="1"/>
  <c r="AM748" i="28"/>
  <c r="AL744" i="28"/>
  <c r="AG757" i="18"/>
  <c r="AN757" i="18" s="1"/>
  <c r="AM744" i="28"/>
  <c r="AC745" i="28"/>
  <c r="X758" i="18"/>
  <c r="AD745" i="28"/>
  <c r="T745" i="28"/>
  <c r="F758" i="18"/>
  <c r="U745" i="28"/>
  <c r="AC744" i="28"/>
  <c r="X757" i="18"/>
  <c r="AD744" i="28"/>
  <c r="T744" i="28"/>
  <c r="F757" i="18"/>
  <c r="U744" i="28"/>
  <c r="AC743" i="28"/>
  <c r="X756" i="18"/>
  <c r="AD743" i="28"/>
  <c r="AL743" i="28"/>
  <c r="AG756" i="18"/>
  <c r="AM743" i="28"/>
  <c r="AL745" i="28"/>
  <c r="AG758" i="18"/>
  <c r="AN758" i="18" s="1"/>
  <c r="AM745" i="28"/>
  <c r="T743" i="28"/>
  <c r="F756" i="18"/>
  <c r="U743" i="28"/>
  <c r="T751" i="28"/>
  <c r="F764" i="18"/>
  <c r="U751" i="28"/>
  <c r="T742" i="28"/>
  <c r="U742" i="28"/>
  <c r="F755" i="18"/>
  <c r="AL751" i="28"/>
  <c r="AG764" i="18"/>
  <c r="AN764" i="18" s="1"/>
  <c r="AM751" i="28"/>
  <c r="AC751" i="28"/>
  <c r="X764" i="18"/>
  <c r="AD751" i="28"/>
  <c r="AC757" i="28"/>
  <c r="X770" i="18"/>
  <c r="AD757" i="28"/>
  <c r="V762" i="18"/>
  <c r="T764" i="28" s="1"/>
  <c r="AL761" i="28"/>
  <c r="AG783" i="18"/>
  <c r="AN783" i="18" s="1"/>
  <c r="AM770" i="28"/>
  <c r="X778" i="18"/>
  <c r="V780" i="28" s="1"/>
  <c r="AD765" i="28"/>
  <c r="AD763" i="28"/>
  <c r="X776" i="18"/>
  <c r="V778" i="28" s="1"/>
  <c r="V760" i="18"/>
  <c r="T762" i="28" s="1"/>
  <c r="AE760" i="18"/>
  <c r="AC762" i="28" s="1"/>
  <c r="AL769" i="28"/>
  <c r="AL764" i="28"/>
  <c r="AL765" i="28"/>
  <c r="AL768" i="28"/>
  <c r="AE767" i="18"/>
  <c r="AC769" i="28" s="1"/>
  <c r="AE762" i="18"/>
  <c r="AC764" i="28" s="1"/>
  <c r="U770" i="28"/>
  <c r="AE766" i="18"/>
  <c r="AC768" i="28" s="1"/>
  <c r="V759" i="18"/>
  <c r="T761" i="28" s="1"/>
  <c r="AE759" i="18"/>
  <c r="AC761" i="28" s="1"/>
  <c r="F778" i="18"/>
  <c r="D780" i="28" s="1"/>
  <c r="U765" i="28"/>
  <c r="AE769" i="18"/>
  <c r="AC771" i="28" s="1"/>
  <c r="V766" i="18"/>
  <c r="T768" i="28" s="1"/>
  <c r="AD770" i="28"/>
  <c r="X783" i="18"/>
  <c r="V785" i="28" s="1"/>
  <c r="AL767" i="28"/>
  <c r="AM757" i="28"/>
  <c r="AG770" i="18"/>
  <c r="V765" i="18"/>
  <c r="T767" i="28" s="1"/>
  <c r="V767" i="18"/>
  <c r="T769" i="28" s="1"/>
  <c r="AL762" i="28"/>
  <c r="AE765" i="18"/>
  <c r="AC767" i="28" s="1"/>
  <c r="D770" i="28" l="1"/>
  <c r="V768" i="18"/>
  <c r="E52" i="5"/>
  <c r="W52" i="5"/>
  <c r="AN770" i="18"/>
  <c r="AL772" i="28" s="1"/>
  <c r="AN756" i="18"/>
  <c r="AM52" i="5" s="1"/>
  <c r="AN52" i="5" s="1"/>
  <c r="AF52" i="5"/>
  <c r="D771" i="28"/>
  <c r="V769" i="18"/>
  <c r="AE785" i="28"/>
  <c r="AE772" i="28"/>
  <c r="D763" i="28"/>
  <c r="V761" i="18"/>
  <c r="AE771" i="28"/>
  <c r="AE763" i="28"/>
  <c r="D760" i="28"/>
  <c r="V758" i="18"/>
  <c r="AE760" i="28"/>
  <c r="D759" i="28"/>
  <c r="V757" i="18"/>
  <c r="V760" i="28"/>
  <c r="AE758" i="18"/>
  <c r="AE758" i="28"/>
  <c r="AE757" i="18"/>
  <c r="V759" i="28"/>
  <c r="D758" i="28"/>
  <c r="V756" i="18"/>
  <c r="AE759" i="28"/>
  <c r="AE756" i="18"/>
  <c r="V758" i="28"/>
  <c r="D766" i="28"/>
  <c r="V764" i="18"/>
  <c r="D757" i="28"/>
  <c r="V755" i="18"/>
  <c r="AE766" i="28"/>
  <c r="V766" i="28"/>
  <c r="AE764" i="18"/>
  <c r="V772" i="28"/>
  <c r="AE770" i="18"/>
  <c r="AG778" i="18"/>
  <c r="AN778" i="18" s="1"/>
  <c r="AM765" i="28"/>
  <c r="AM767" i="28"/>
  <c r="AG780" i="18"/>
  <c r="AN780" i="18" s="1"/>
  <c r="AG775" i="18"/>
  <c r="AN775" i="18" s="1"/>
  <c r="AM762" i="28"/>
  <c r="AE783" i="18"/>
  <c r="AC785" i="28" s="1"/>
  <c r="X784" i="18"/>
  <c r="V786" i="28" s="1"/>
  <c r="AD771" i="28"/>
  <c r="X774" i="18"/>
  <c r="V776" i="28" s="1"/>
  <c r="AD761" i="28"/>
  <c r="AL785" i="28"/>
  <c r="X777" i="18"/>
  <c r="V779" i="28" s="1"/>
  <c r="AD764" i="28"/>
  <c r="AG777" i="18"/>
  <c r="AN777" i="18" s="1"/>
  <c r="AM764" i="28"/>
  <c r="AD767" i="28"/>
  <c r="X780" i="18"/>
  <c r="V782" i="28" s="1"/>
  <c r="V778" i="18"/>
  <c r="T780" i="28" s="1"/>
  <c r="F774" i="18"/>
  <c r="D776" i="28" s="1"/>
  <c r="U761" i="28"/>
  <c r="F775" i="18"/>
  <c r="D777" i="28" s="1"/>
  <c r="U762" i="28"/>
  <c r="AE778" i="18"/>
  <c r="AC780" i="28" s="1"/>
  <c r="F780" i="18"/>
  <c r="D782" i="28" s="1"/>
  <c r="U767" i="28"/>
  <c r="F781" i="18"/>
  <c r="D783" i="28" s="1"/>
  <c r="U768" i="28"/>
  <c r="X782" i="18"/>
  <c r="V784" i="28" s="1"/>
  <c r="AD769" i="28"/>
  <c r="AM769" i="28"/>
  <c r="AG782" i="18"/>
  <c r="AN782" i="18" s="1"/>
  <c r="AE776" i="18"/>
  <c r="AC778" i="28" s="1"/>
  <c r="AG774" i="18"/>
  <c r="AN774" i="18" s="1"/>
  <c r="AM761" i="28"/>
  <c r="X781" i="18"/>
  <c r="V783" i="28" s="1"/>
  <c r="AD768" i="28"/>
  <c r="F782" i="18"/>
  <c r="D784" i="28" s="1"/>
  <c r="U769" i="28"/>
  <c r="AM768" i="28"/>
  <c r="AG781" i="18"/>
  <c r="AN781" i="18" s="1"/>
  <c r="X775" i="18"/>
  <c r="V777" i="28" s="1"/>
  <c r="AD762" i="28"/>
  <c r="F777" i="18"/>
  <c r="D779" i="28" s="1"/>
  <c r="U764" i="28"/>
  <c r="T770" i="28" l="1"/>
  <c r="F783" i="18"/>
  <c r="AD52" i="5"/>
  <c r="AE52" i="5" s="1"/>
  <c r="U52" i="5"/>
  <c r="V52" i="5" s="1"/>
  <c r="T771" i="28"/>
  <c r="U771" i="28"/>
  <c r="F784" i="18"/>
  <c r="AE779" i="28"/>
  <c r="AE777" i="28"/>
  <c r="AE784" i="28"/>
  <c r="AE782" i="28"/>
  <c r="AE783" i="28"/>
  <c r="AE776" i="28"/>
  <c r="AE780" i="28"/>
  <c r="T763" i="28"/>
  <c r="F776" i="18"/>
  <c r="U763" i="28"/>
  <c r="AL771" i="28"/>
  <c r="AG784" i="18"/>
  <c r="AN784" i="18" s="1"/>
  <c r="AM771" i="28"/>
  <c r="AL763" i="28"/>
  <c r="AG776" i="18"/>
  <c r="AN776" i="18" s="1"/>
  <c r="AM763" i="28"/>
  <c r="AL759" i="28"/>
  <c r="AG772" i="18"/>
  <c r="AN772" i="18" s="1"/>
  <c r="AM759" i="28"/>
  <c r="AC760" i="28"/>
  <c r="AD760" i="28"/>
  <c r="X773" i="18"/>
  <c r="T758" i="28"/>
  <c r="U758" i="28"/>
  <c r="F771" i="18"/>
  <c r="T759" i="28"/>
  <c r="F772" i="18"/>
  <c r="U759" i="28"/>
  <c r="AL760" i="28"/>
  <c r="AG773" i="18"/>
  <c r="AN773" i="18" s="1"/>
  <c r="AM760" i="28"/>
  <c r="AC759" i="28"/>
  <c r="AD759" i="28"/>
  <c r="X772" i="18"/>
  <c r="AL758" i="28"/>
  <c r="AG771" i="18"/>
  <c r="AM758" i="28"/>
  <c r="T760" i="28"/>
  <c r="F773" i="18"/>
  <c r="U760" i="28"/>
  <c r="AC758" i="28"/>
  <c r="X771" i="18"/>
  <c r="AD758" i="28"/>
  <c r="T766" i="28"/>
  <c r="F779" i="18"/>
  <c r="U766" i="28"/>
  <c r="T757" i="28"/>
  <c r="U757" i="28"/>
  <c r="F770" i="18"/>
  <c r="AL766" i="28"/>
  <c r="AG779" i="18"/>
  <c r="AN779" i="18" s="1"/>
  <c r="AM766" i="28"/>
  <c r="AC766" i="28"/>
  <c r="X779" i="18"/>
  <c r="AD766" i="28"/>
  <c r="AC772" i="28"/>
  <c r="AD772" i="28"/>
  <c r="X785" i="18"/>
  <c r="V780" i="18"/>
  <c r="T782" i="28" s="1"/>
  <c r="AL779" i="28"/>
  <c r="AL777" i="28"/>
  <c r="AL776" i="28"/>
  <c r="AE775" i="18"/>
  <c r="AC777" i="28" s="1"/>
  <c r="X791" i="18"/>
  <c r="V793" i="28" s="1"/>
  <c r="AD778" i="28"/>
  <c r="V781" i="18"/>
  <c r="T783" i="28" s="1"/>
  <c r="AD780" i="28"/>
  <c r="X793" i="18"/>
  <c r="V795" i="28" s="1"/>
  <c r="F793" i="18"/>
  <c r="D795" i="28" s="1"/>
  <c r="U780" i="28"/>
  <c r="AE777" i="18"/>
  <c r="AC779" i="28" s="1"/>
  <c r="AE784" i="18"/>
  <c r="AC786" i="28" s="1"/>
  <c r="AE774" i="18"/>
  <c r="AC776" i="28" s="1"/>
  <c r="AL783" i="28"/>
  <c r="V782" i="18"/>
  <c r="T784" i="28" s="1"/>
  <c r="AG785" i="18"/>
  <c r="AM772" i="28"/>
  <c r="AL784" i="28"/>
  <c r="AE780" i="18"/>
  <c r="AC782" i="28" s="1"/>
  <c r="AE782" i="18"/>
  <c r="AC784" i="28" s="1"/>
  <c r="V774" i="18"/>
  <c r="T776" i="28" s="1"/>
  <c r="V777" i="18"/>
  <c r="T779" i="28" s="1"/>
  <c r="V775" i="18"/>
  <c r="T777" i="28" s="1"/>
  <c r="AD785" i="28"/>
  <c r="X798" i="18"/>
  <c r="V800" i="28" s="1"/>
  <c r="U785" i="28"/>
  <c r="AG798" i="18"/>
  <c r="AN798" i="18" s="1"/>
  <c r="AM785" i="28"/>
  <c r="AL782" i="28"/>
  <c r="AL780" i="28"/>
  <c r="AE781" i="18"/>
  <c r="AC783" i="28" s="1"/>
  <c r="D785" i="28" l="1"/>
  <c r="V783" i="18"/>
  <c r="E53" i="5"/>
  <c r="AN785" i="18"/>
  <c r="AL787" i="28" s="1"/>
  <c r="AN771" i="18"/>
  <c r="AM53" i="5" s="1"/>
  <c r="AN53" i="5" s="1"/>
  <c r="AF53" i="5"/>
  <c r="W53" i="5"/>
  <c r="D786" i="28"/>
  <c r="V784" i="18"/>
  <c r="AE787" i="28"/>
  <c r="AE800" i="28"/>
  <c r="D778" i="28"/>
  <c r="V776" i="18"/>
  <c r="AE786" i="28"/>
  <c r="AE778" i="28"/>
  <c r="D775" i="28"/>
  <c r="V773" i="18"/>
  <c r="AE775" i="28"/>
  <c r="V775" i="28"/>
  <c r="AE773" i="18"/>
  <c r="AE773" i="28"/>
  <c r="V772" i="18"/>
  <c r="D774" i="28"/>
  <c r="V773" i="28"/>
  <c r="AE771" i="18"/>
  <c r="V774" i="28"/>
  <c r="AE772" i="18"/>
  <c r="AE774" i="28"/>
  <c r="D773" i="28"/>
  <c r="V771" i="18"/>
  <c r="D781" i="28"/>
  <c r="V779" i="18"/>
  <c r="D772" i="28"/>
  <c r="V770" i="18"/>
  <c r="AE781" i="28"/>
  <c r="V781" i="28"/>
  <c r="AE779" i="18"/>
  <c r="V787" i="28"/>
  <c r="AE785" i="18"/>
  <c r="U777" i="28"/>
  <c r="F790" i="18"/>
  <c r="D792" i="28" s="1"/>
  <c r="AG797" i="18"/>
  <c r="AN797" i="18" s="1"/>
  <c r="AM784" i="28"/>
  <c r="AD779" i="28"/>
  <c r="X792" i="18"/>
  <c r="V794" i="28" s="1"/>
  <c r="F796" i="18"/>
  <c r="D798" i="28" s="1"/>
  <c r="U783" i="28"/>
  <c r="X797" i="18"/>
  <c r="V799" i="28" s="1"/>
  <c r="AD784" i="28"/>
  <c r="X789" i="18"/>
  <c r="V791" i="28" s="1"/>
  <c r="AD776" i="28"/>
  <c r="AM779" i="28"/>
  <c r="AG792" i="18"/>
  <c r="AN792" i="18" s="1"/>
  <c r="X796" i="18"/>
  <c r="V798" i="28" s="1"/>
  <c r="AD783" i="28"/>
  <c r="F792" i="18"/>
  <c r="D794" i="28" s="1"/>
  <c r="U779" i="28"/>
  <c r="V793" i="18"/>
  <c r="T795" i="28" s="1"/>
  <c r="AE791" i="18"/>
  <c r="AC793" i="28" s="1"/>
  <c r="F789" i="18"/>
  <c r="D791" i="28" s="1"/>
  <c r="U776" i="28"/>
  <c r="AE798" i="18"/>
  <c r="AC800" i="28" s="1"/>
  <c r="AE793" i="18"/>
  <c r="AC795" i="28" s="1"/>
  <c r="AM777" i="28"/>
  <c r="AG790" i="18"/>
  <c r="AN790" i="18" s="1"/>
  <c r="AM783" i="28"/>
  <c r="AG796" i="18"/>
  <c r="AN796" i="18" s="1"/>
  <c r="F797" i="18"/>
  <c r="D799" i="28" s="1"/>
  <c r="U784" i="28"/>
  <c r="AD777" i="28"/>
  <c r="X790" i="18"/>
  <c r="V792" i="28" s="1"/>
  <c r="AG789" i="18"/>
  <c r="AN789" i="18" s="1"/>
  <c r="AM776" i="28"/>
  <c r="AL800" i="28"/>
  <c r="AG793" i="18"/>
  <c r="AN793" i="18" s="1"/>
  <c r="AM780" i="28"/>
  <c r="AM782" i="28"/>
  <c r="AG795" i="18"/>
  <c r="AN795" i="18" s="1"/>
  <c r="AD782" i="28"/>
  <c r="X795" i="18"/>
  <c r="V797" i="28" s="1"/>
  <c r="X799" i="18"/>
  <c r="V801" i="28" s="1"/>
  <c r="AD786" i="28"/>
  <c r="F795" i="18"/>
  <c r="D797" i="28" s="1"/>
  <c r="U782" i="28"/>
  <c r="T785" i="28" l="1"/>
  <c r="F798" i="18"/>
  <c r="AD53" i="5"/>
  <c r="AE53" i="5" s="1"/>
  <c r="U53" i="5"/>
  <c r="V53" i="5" s="1"/>
  <c r="T786" i="28"/>
  <c r="U786" i="28"/>
  <c r="F799" i="18"/>
  <c r="AE794" i="28"/>
  <c r="AE795" i="28"/>
  <c r="AE792" i="28"/>
  <c r="AL792" i="28"/>
  <c r="AE799" i="28"/>
  <c r="AE798" i="28"/>
  <c r="AE791" i="28"/>
  <c r="AE797" i="28"/>
  <c r="T778" i="28"/>
  <c r="U778" i="28"/>
  <c r="F791" i="18"/>
  <c r="AL786" i="28"/>
  <c r="AM786" i="28"/>
  <c r="AG799" i="18"/>
  <c r="AN799" i="18" s="1"/>
  <c r="AL778" i="28"/>
  <c r="AM778" i="28"/>
  <c r="AG791" i="18"/>
  <c r="AN791" i="18" s="1"/>
  <c r="AL774" i="28"/>
  <c r="AG787" i="18"/>
  <c r="AN787" i="18" s="1"/>
  <c r="AM774" i="28"/>
  <c r="AL773" i="28"/>
  <c r="AM773" i="28"/>
  <c r="AG786" i="18"/>
  <c r="AC774" i="28"/>
  <c r="AD774" i="28"/>
  <c r="X787" i="18"/>
  <c r="AC775" i="28"/>
  <c r="AD775" i="28"/>
  <c r="X788" i="18"/>
  <c r="AC773" i="28"/>
  <c r="X786" i="18"/>
  <c r="AD773" i="28"/>
  <c r="AL775" i="28"/>
  <c r="AM775" i="28"/>
  <c r="AG788" i="18"/>
  <c r="AN788" i="18" s="1"/>
  <c r="T773" i="28"/>
  <c r="F786" i="18"/>
  <c r="U773" i="28"/>
  <c r="T775" i="28"/>
  <c r="F788" i="18"/>
  <c r="U775" i="28"/>
  <c r="T774" i="28"/>
  <c r="F787" i="18"/>
  <c r="U774" i="28"/>
  <c r="T781" i="28"/>
  <c r="U781" i="28"/>
  <c r="F794" i="18"/>
  <c r="T772" i="28"/>
  <c r="F785" i="18"/>
  <c r="U772" i="28"/>
  <c r="AL781" i="28"/>
  <c r="AG794" i="18"/>
  <c r="AN794" i="18" s="1"/>
  <c r="AM781" i="28"/>
  <c r="AC781" i="28"/>
  <c r="AD781" i="28"/>
  <c r="X794" i="18"/>
  <c r="AC787" i="28"/>
  <c r="AD787" i="28"/>
  <c r="X800" i="18"/>
  <c r="U800" i="28"/>
  <c r="X806" i="18"/>
  <c r="V808" i="28" s="1"/>
  <c r="AD793" i="28"/>
  <c r="AE797" i="18"/>
  <c r="AC799" i="28" s="1"/>
  <c r="X813" i="18"/>
  <c r="V815" i="28" s="1"/>
  <c r="AD800" i="28"/>
  <c r="V797" i="18"/>
  <c r="T799" i="28" s="1"/>
  <c r="F808" i="18"/>
  <c r="D810" i="28" s="1"/>
  <c r="U795" i="28"/>
  <c r="AL794" i="28"/>
  <c r="V789" i="18"/>
  <c r="T791" i="28" s="1"/>
  <c r="AL799" i="28"/>
  <c r="V792" i="18"/>
  <c r="T794" i="28" s="1"/>
  <c r="AE795" i="18"/>
  <c r="AC797" i="28" s="1"/>
  <c r="V795" i="18"/>
  <c r="T797" i="28" s="1"/>
  <c r="AD795" i="28"/>
  <c r="X808" i="18"/>
  <c r="V810" i="28" s="1"/>
  <c r="AE789" i="18"/>
  <c r="AC791" i="28" s="1"/>
  <c r="V796" i="18"/>
  <c r="T798" i="28" s="1"/>
  <c r="V790" i="18"/>
  <c r="T792" i="28" s="1"/>
  <c r="AE799" i="18"/>
  <c r="AC801" i="28" s="1"/>
  <c r="AL791" i="28"/>
  <c r="AE790" i="18"/>
  <c r="AC792" i="28" s="1"/>
  <c r="AL798" i="28"/>
  <c r="AG813" i="18"/>
  <c r="AN813" i="18" s="1"/>
  <c r="AM800" i="28"/>
  <c r="AL797" i="28"/>
  <c r="AL795" i="28"/>
  <c r="AG800" i="18"/>
  <c r="AM787" i="28"/>
  <c r="AE796" i="18"/>
  <c r="AC798" i="28" s="1"/>
  <c r="AE792" i="18"/>
  <c r="AC794" i="28" s="1"/>
  <c r="D800" i="28" l="1"/>
  <c r="V798" i="18"/>
  <c r="E54" i="5"/>
  <c r="W54" i="5"/>
  <c r="AN786" i="18"/>
  <c r="AM54" i="5" s="1"/>
  <c r="AN54" i="5" s="1"/>
  <c r="AF54" i="5"/>
  <c r="AN800" i="18"/>
  <c r="AL802" i="28" s="1"/>
  <c r="D801" i="28"/>
  <c r="V799" i="18"/>
  <c r="AE815" i="28"/>
  <c r="AE802" i="28"/>
  <c r="D793" i="28"/>
  <c r="V791" i="18"/>
  <c r="AE801" i="28"/>
  <c r="AE793" i="28"/>
  <c r="V788" i="28"/>
  <c r="AE786" i="18"/>
  <c r="AE788" i="28"/>
  <c r="D788" i="28"/>
  <c r="V786" i="18"/>
  <c r="V790" i="28"/>
  <c r="AE788" i="18"/>
  <c r="D790" i="28"/>
  <c r="V788" i="18"/>
  <c r="V787" i="18"/>
  <c r="D789" i="28"/>
  <c r="AE790" i="28"/>
  <c r="AE789" i="28"/>
  <c r="V789" i="28"/>
  <c r="AE787" i="18"/>
  <c r="D796" i="28"/>
  <c r="V794" i="18"/>
  <c r="D787" i="28"/>
  <c r="V785" i="18"/>
  <c r="AE796" i="28"/>
  <c r="V796" i="28"/>
  <c r="AE794" i="18"/>
  <c r="V802" i="28"/>
  <c r="AE800" i="18"/>
  <c r="AG807" i="18"/>
  <c r="AN807" i="18" s="1"/>
  <c r="AM794" i="28"/>
  <c r="AD797" i="28"/>
  <c r="X810" i="18"/>
  <c r="V812" i="28" s="1"/>
  <c r="AM791" i="28"/>
  <c r="AG804" i="18"/>
  <c r="AN804" i="18" s="1"/>
  <c r="X807" i="18"/>
  <c r="V809" i="28" s="1"/>
  <c r="AD794" i="28"/>
  <c r="AG808" i="18"/>
  <c r="AN808" i="18" s="1"/>
  <c r="AM795" i="28"/>
  <c r="X814" i="18"/>
  <c r="V816" i="28" s="1"/>
  <c r="AD801" i="28"/>
  <c r="X804" i="18"/>
  <c r="V806" i="28" s="1"/>
  <c r="AD791" i="28"/>
  <c r="V808" i="18"/>
  <c r="T810" i="28" s="1"/>
  <c r="AE813" i="18"/>
  <c r="AC815" i="28" s="1"/>
  <c r="F804" i="18"/>
  <c r="D806" i="28" s="1"/>
  <c r="U791" i="28"/>
  <c r="AG811" i="18"/>
  <c r="AN811" i="18" s="1"/>
  <c r="AM798" i="28"/>
  <c r="F807" i="18"/>
  <c r="D809" i="28" s="1"/>
  <c r="U794" i="28"/>
  <c r="U798" i="28"/>
  <c r="F811" i="18"/>
  <c r="D813" i="28" s="1"/>
  <c r="AG810" i="18"/>
  <c r="AN810" i="18" s="1"/>
  <c r="AM797" i="28"/>
  <c r="F810" i="18"/>
  <c r="D812" i="28" s="1"/>
  <c r="U797" i="28"/>
  <c r="U799" i="28"/>
  <c r="F812" i="18"/>
  <c r="D814" i="28" s="1"/>
  <c r="X812" i="18"/>
  <c r="V814" i="28" s="1"/>
  <c r="AD799" i="28"/>
  <c r="AE806" i="18"/>
  <c r="AC808" i="28" s="1"/>
  <c r="X811" i="18"/>
  <c r="V813" i="28" s="1"/>
  <c r="AD798" i="28"/>
  <c r="AM792" i="28"/>
  <c r="AG805" i="18"/>
  <c r="AN805" i="18" s="1"/>
  <c r="AL815" i="28"/>
  <c r="AD792" i="28"/>
  <c r="X805" i="18"/>
  <c r="V807" i="28" s="1"/>
  <c r="F805" i="18"/>
  <c r="D807" i="28" s="1"/>
  <c r="U792" i="28"/>
  <c r="AE808" i="18"/>
  <c r="AC810" i="28" s="1"/>
  <c r="AG812" i="18"/>
  <c r="AN812" i="18" s="1"/>
  <c r="AM799" i="28"/>
  <c r="T800" i="28" l="1"/>
  <c r="F813" i="18"/>
  <c r="AD54" i="5"/>
  <c r="AE54" i="5" s="1"/>
  <c r="U54" i="5"/>
  <c r="V54" i="5" s="1"/>
  <c r="T801" i="28"/>
  <c r="F814" i="18"/>
  <c r="U801" i="28"/>
  <c r="AE806" i="28"/>
  <c r="AE813" i="28"/>
  <c r="AE807" i="28"/>
  <c r="AE814" i="28"/>
  <c r="AL814" i="28"/>
  <c r="AE812" i="28"/>
  <c r="AE810" i="28"/>
  <c r="AE809" i="28"/>
  <c r="T793" i="28"/>
  <c r="U793" i="28"/>
  <c r="F806" i="18"/>
  <c r="AL801" i="28"/>
  <c r="AG814" i="18"/>
  <c r="AN814" i="18" s="1"/>
  <c r="AM801" i="28"/>
  <c r="AL793" i="28"/>
  <c r="AM793" i="28"/>
  <c r="AG806" i="18"/>
  <c r="AN806" i="18" s="1"/>
  <c r="AL789" i="28"/>
  <c r="AM789" i="28"/>
  <c r="AG802" i="18"/>
  <c r="AN802" i="18" s="1"/>
  <c r="AC790" i="28"/>
  <c r="AD790" i="28"/>
  <c r="X803" i="18"/>
  <c r="AL790" i="28"/>
  <c r="AM790" i="28"/>
  <c r="AG803" i="18"/>
  <c r="AN803" i="18" s="1"/>
  <c r="T788" i="28"/>
  <c r="F801" i="18"/>
  <c r="U788" i="28"/>
  <c r="AL788" i="28"/>
  <c r="AG801" i="18"/>
  <c r="AM788" i="28"/>
  <c r="T789" i="28"/>
  <c r="F802" i="18"/>
  <c r="U789" i="28"/>
  <c r="AC789" i="28"/>
  <c r="X802" i="18"/>
  <c r="AD789" i="28"/>
  <c r="T790" i="28"/>
  <c r="F803" i="18"/>
  <c r="U790" i="28"/>
  <c r="AC788" i="28"/>
  <c r="X801" i="18"/>
  <c r="AD788" i="28"/>
  <c r="T796" i="28"/>
  <c r="F809" i="18"/>
  <c r="U796" i="28"/>
  <c r="T787" i="28"/>
  <c r="F800" i="18"/>
  <c r="U787" i="28"/>
  <c r="AL796" i="28"/>
  <c r="AM796" i="28"/>
  <c r="AG809" i="18"/>
  <c r="AN809" i="18" s="1"/>
  <c r="AC796" i="28"/>
  <c r="X809" i="18"/>
  <c r="AD796" i="28"/>
  <c r="AC802" i="28"/>
  <c r="AD802" i="28"/>
  <c r="X815" i="18"/>
  <c r="AE811" i="18"/>
  <c r="AC813" i="28" s="1"/>
  <c r="AG828" i="18"/>
  <c r="AN828" i="18" s="1"/>
  <c r="AM815" i="28"/>
  <c r="V810" i="18"/>
  <c r="T812" i="28" s="1"/>
  <c r="V812" i="18"/>
  <c r="T814" i="28" s="1"/>
  <c r="U815" i="28"/>
  <c r="AE804" i="18"/>
  <c r="AC806" i="28" s="1"/>
  <c r="AE810" i="18"/>
  <c r="AC812" i="28" s="1"/>
  <c r="AE807" i="18"/>
  <c r="AC809" i="28" s="1"/>
  <c r="AL807" i="28"/>
  <c r="V807" i="18"/>
  <c r="T809" i="28" s="1"/>
  <c r="AE805" i="18"/>
  <c r="AC807" i="28" s="1"/>
  <c r="AD808" i="28"/>
  <c r="X821" i="18"/>
  <c r="V823" i="28" s="1"/>
  <c r="AD815" i="28"/>
  <c r="X828" i="18"/>
  <c r="V830" i="28" s="1"/>
  <c r="V805" i="18"/>
  <c r="T807" i="28" s="1"/>
  <c r="V811" i="18"/>
  <c r="T813" i="28" s="1"/>
  <c r="V804" i="18"/>
  <c r="T806" i="28" s="1"/>
  <c r="AE814" i="18"/>
  <c r="AC816" i="28" s="1"/>
  <c r="F823" i="18"/>
  <c r="D825" i="28" s="1"/>
  <c r="U810" i="28"/>
  <c r="AL809" i="28"/>
  <c r="X823" i="18"/>
  <c r="V825" i="28" s="1"/>
  <c r="AD810" i="28"/>
  <c r="AE812" i="18"/>
  <c r="AC814" i="28" s="1"/>
  <c r="AL813" i="28"/>
  <c r="AL810" i="28"/>
  <c r="AL812" i="28"/>
  <c r="AG815" i="18"/>
  <c r="AM802" i="28"/>
  <c r="AL806" i="28"/>
  <c r="D815" i="28" l="1"/>
  <c r="V813" i="18"/>
  <c r="E55" i="5"/>
  <c r="AN815" i="18"/>
  <c r="AL817" i="28" s="1"/>
  <c r="AN801" i="18"/>
  <c r="AM55" i="5" s="1"/>
  <c r="AN55" i="5" s="1"/>
  <c r="AF55" i="5"/>
  <c r="W55" i="5"/>
  <c r="D816" i="28"/>
  <c r="V814" i="18"/>
  <c r="AE817" i="28"/>
  <c r="AE830" i="28"/>
  <c r="D808" i="28"/>
  <c r="V806" i="18"/>
  <c r="AE816" i="28"/>
  <c r="AE808" i="28"/>
  <c r="D805" i="28"/>
  <c r="V803" i="18"/>
  <c r="AE803" i="28"/>
  <c r="V805" i="28"/>
  <c r="AE803" i="18"/>
  <c r="V804" i="28"/>
  <c r="AE802" i="18"/>
  <c r="D803" i="28"/>
  <c r="V801" i="18"/>
  <c r="AE804" i="28"/>
  <c r="V803" i="28"/>
  <c r="AE801" i="18"/>
  <c r="V802" i="18"/>
  <c r="D804" i="28"/>
  <c r="AE805" i="28"/>
  <c r="D811" i="28"/>
  <c r="V809" i="18"/>
  <c r="D802" i="28"/>
  <c r="V800" i="18"/>
  <c r="AE811" i="28"/>
  <c r="V811" i="28"/>
  <c r="AE809" i="18"/>
  <c r="V817" i="28"/>
  <c r="AE815" i="18"/>
  <c r="X820" i="18"/>
  <c r="V822" i="28" s="1"/>
  <c r="AD807" i="28"/>
  <c r="AG826" i="18"/>
  <c r="AN826" i="18" s="1"/>
  <c r="AM813" i="28"/>
  <c r="F822" i="18"/>
  <c r="D824" i="28" s="1"/>
  <c r="U809" i="28"/>
  <c r="F827" i="18"/>
  <c r="D829" i="28" s="1"/>
  <c r="U814" i="28"/>
  <c r="AG827" i="18"/>
  <c r="AN827" i="18" s="1"/>
  <c r="AM814" i="28"/>
  <c r="X825" i="18"/>
  <c r="V827" i="28" s="1"/>
  <c r="AD812" i="28"/>
  <c r="AG822" i="18"/>
  <c r="AN822" i="18" s="1"/>
  <c r="AM809" i="28"/>
  <c r="AE828" i="18"/>
  <c r="AC830" i="28" s="1"/>
  <c r="AD814" i="28"/>
  <c r="X827" i="18"/>
  <c r="V829" i="28" s="1"/>
  <c r="AE821" i="18"/>
  <c r="AC823" i="28" s="1"/>
  <c r="AM807" i="28"/>
  <c r="AG820" i="18"/>
  <c r="AN820" i="18" s="1"/>
  <c r="U813" i="28"/>
  <c r="F826" i="18"/>
  <c r="D828" i="28" s="1"/>
  <c r="AD816" i="28"/>
  <c r="X829" i="18"/>
  <c r="V831" i="28" s="1"/>
  <c r="F820" i="18"/>
  <c r="D822" i="28" s="1"/>
  <c r="U807" i="28"/>
  <c r="X819" i="18"/>
  <c r="V821" i="28" s="1"/>
  <c r="AD806" i="28"/>
  <c r="AM810" i="28"/>
  <c r="AG823" i="18"/>
  <c r="AN823" i="18" s="1"/>
  <c r="AL830" i="28"/>
  <c r="AG825" i="18"/>
  <c r="AN825" i="18" s="1"/>
  <c r="AM812" i="28"/>
  <c r="AE823" i="18"/>
  <c r="AC825" i="28" s="1"/>
  <c r="V823" i="18"/>
  <c r="T825" i="28" s="1"/>
  <c r="AD809" i="28"/>
  <c r="X822" i="18"/>
  <c r="V824" i="28" s="1"/>
  <c r="AG819" i="18"/>
  <c r="AN819" i="18" s="1"/>
  <c r="AM806" i="28"/>
  <c r="F819" i="18"/>
  <c r="D821" i="28" s="1"/>
  <c r="U806" i="28"/>
  <c r="U812" i="28"/>
  <c r="F825" i="18"/>
  <c r="D827" i="28" s="1"/>
  <c r="X826" i="18"/>
  <c r="V828" i="28" s="1"/>
  <c r="AD813" i="28"/>
  <c r="T815" i="28" l="1"/>
  <c r="F828" i="18"/>
  <c r="AD55" i="5"/>
  <c r="AE55" i="5" s="1"/>
  <c r="U55" i="5"/>
  <c r="V55" i="5" s="1"/>
  <c r="T816" i="28"/>
  <c r="F829" i="18"/>
  <c r="U816" i="28"/>
  <c r="AE824" i="28"/>
  <c r="AE822" i="28"/>
  <c r="AE821" i="28"/>
  <c r="AE828" i="28"/>
  <c r="AL828" i="28"/>
  <c r="AE825" i="28"/>
  <c r="AE829" i="28"/>
  <c r="AE827" i="28"/>
  <c r="AL827" i="28"/>
  <c r="T808" i="28"/>
  <c r="U808" i="28"/>
  <c r="F821" i="18"/>
  <c r="AL816" i="28"/>
  <c r="AM816" i="28"/>
  <c r="AG829" i="18"/>
  <c r="AN829" i="18" s="1"/>
  <c r="AL808" i="28"/>
  <c r="AG821" i="18"/>
  <c r="AN821" i="18" s="1"/>
  <c r="AM808" i="28"/>
  <c r="T804" i="28"/>
  <c r="F817" i="18"/>
  <c r="U804" i="28"/>
  <c r="AC803" i="28"/>
  <c r="X816" i="18"/>
  <c r="AD803" i="28"/>
  <c r="AC805" i="28"/>
  <c r="X818" i="18"/>
  <c r="AD805" i="28"/>
  <c r="AL804" i="28"/>
  <c r="AG817" i="18"/>
  <c r="AN817" i="18" s="1"/>
  <c r="AM804" i="28"/>
  <c r="AL803" i="28"/>
  <c r="AM803" i="28"/>
  <c r="AG816" i="18"/>
  <c r="AL805" i="28"/>
  <c r="AG818" i="18"/>
  <c r="AN818" i="18" s="1"/>
  <c r="AM805" i="28"/>
  <c r="T803" i="28"/>
  <c r="U803" i="28"/>
  <c r="F816" i="18"/>
  <c r="T805" i="28"/>
  <c r="U805" i="28"/>
  <c r="F818" i="18"/>
  <c r="AC804" i="28"/>
  <c r="X817" i="18"/>
  <c r="AD804" i="28"/>
  <c r="T811" i="28"/>
  <c r="U811" i="28"/>
  <c r="F824" i="18"/>
  <c r="T802" i="28"/>
  <c r="F815" i="18"/>
  <c r="U802" i="28"/>
  <c r="AL811" i="28"/>
  <c r="AG824" i="18"/>
  <c r="AN824" i="18" s="1"/>
  <c r="AM811" i="28"/>
  <c r="AC811" i="28"/>
  <c r="X824" i="18"/>
  <c r="AD811" i="28"/>
  <c r="AC817" i="28"/>
  <c r="AD817" i="28"/>
  <c r="X830" i="18"/>
  <c r="AE822" i="18"/>
  <c r="AC824" i="28" s="1"/>
  <c r="AL824" i="28"/>
  <c r="V819" i="18"/>
  <c r="T821" i="28" s="1"/>
  <c r="AG830" i="18"/>
  <c r="AM817" i="28"/>
  <c r="AE819" i="18"/>
  <c r="AC821" i="28" s="1"/>
  <c r="V826" i="18"/>
  <c r="T828" i="28" s="1"/>
  <c r="AE827" i="18"/>
  <c r="AC829" i="28" s="1"/>
  <c r="AL829" i="28"/>
  <c r="AD823" i="28"/>
  <c r="X836" i="18"/>
  <c r="V838" i="28" s="1"/>
  <c r="V827" i="18"/>
  <c r="T829" i="28" s="1"/>
  <c r="F838" i="18"/>
  <c r="D840" i="28" s="1"/>
  <c r="U825" i="28"/>
  <c r="AG843" i="18"/>
  <c r="AN843" i="18" s="1"/>
  <c r="AM830" i="28"/>
  <c r="V820" i="18"/>
  <c r="T822" i="28" s="1"/>
  <c r="AL822" i="28"/>
  <c r="U830" i="28"/>
  <c r="AE826" i="18"/>
  <c r="AC828" i="28" s="1"/>
  <c r="AL821" i="28"/>
  <c r="X838" i="18"/>
  <c r="V840" i="28" s="1"/>
  <c r="AD825" i="28"/>
  <c r="AL825" i="28"/>
  <c r="AD830" i="28"/>
  <c r="X843" i="18"/>
  <c r="V845" i="28" s="1"/>
  <c r="V822" i="18"/>
  <c r="T824" i="28" s="1"/>
  <c r="AE820" i="18"/>
  <c r="AC822" i="28" s="1"/>
  <c r="V825" i="18"/>
  <c r="T827" i="28" s="1"/>
  <c r="AE829" i="18"/>
  <c r="AC831" i="28" s="1"/>
  <c r="AE825" i="18"/>
  <c r="AC827" i="28" s="1"/>
  <c r="D830" i="28" l="1"/>
  <c r="V828" i="18"/>
  <c r="AN830" i="18"/>
  <c r="AL832" i="28" s="1"/>
  <c r="W56" i="5"/>
  <c r="AN816" i="18"/>
  <c r="AM56" i="5" s="1"/>
  <c r="AN56" i="5" s="1"/>
  <c r="AF56" i="5"/>
  <c r="E56" i="5"/>
  <c r="D831" i="28"/>
  <c r="V829" i="18"/>
  <c r="AE845" i="28"/>
  <c r="AE832" i="28"/>
  <c r="D823" i="28"/>
  <c r="V821" i="18"/>
  <c r="AE831" i="28"/>
  <c r="AE823" i="28"/>
  <c r="D820" i="28"/>
  <c r="V818" i="18"/>
  <c r="V820" i="28"/>
  <c r="AE818" i="18"/>
  <c r="AE818" i="28"/>
  <c r="D818" i="28"/>
  <c r="V816" i="18"/>
  <c r="V818" i="28"/>
  <c r="AE816" i="18"/>
  <c r="AE819" i="28"/>
  <c r="V819" i="28"/>
  <c r="AE817" i="18"/>
  <c r="D819" i="28"/>
  <c r="V817" i="18"/>
  <c r="AE820" i="28"/>
  <c r="D826" i="28"/>
  <c r="V824" i="18"/>
  <c r="D817" i="28"/>
  <c r="V815" i="18"/>
  <c r="AE826" i="28"/>
  <c r="V826" i="28"/>
  <c r="AE824" i="18"/>
  <c r="V832" i="28"/>
  <c r="AE830" i="18"/>
  <c r="AD822" i="28"/>
  <c r="X835" i="18"/>
  <c r="V837" i="28" s="1"/>
  <c r="AL845" i="28"/>
  <c r="AE836" i="18"/>
  <c r="AC838" i="28" s="1"/>
  <c r="F841" i="18"/>
  <c r="D843" i="28" s="1"/>
  <c r="U828" i="28"/>
  <c r="X834" i="18"/>
  <c r="V836" i="28" s="1"/>
  <c r="AD821" i="28"/>
  <c r="F840" i="18"/>
  <c r="D842" i="28" s="1"/>
  <c r="U827" i="28"/>
  <c r="AE843" i="18"/>
  <c r="AC845" i="28" s="1"/>
  <c r="AG837" i="18"/>
  <c r="AN837" i="18" s="1"/>
  <c r="AM824" i="28"/>
  <c r="X841" i="18"/>
  <c r="V843" i="28" s="1"/>
  <c r="AD828" i="28"/>
  <c r="AG834" i="18"/>
  <c r="AN834" i="18" s="1"/>
  <c r="AM821" i="28"/>
  <c r="AM822" i="28"/>
  <c r="AG835" i="18"/>
  <c r="AN835" i="18" s="1"/>
  <c r="U829" i="28"/>
  <c r="F842" i="18"/>
  <c r="D844" i="28" s="1"/>
  <c r="AG842" i="18"/>
  <c r="AN842" i="18" s="1"/>
  <c r="AM829" i="28"/>
  <c r="AM828" i="28"/>
  <c r="AG841" i="18"/>
  <c r="AN841" i="18" s="1"/>
  <c r="AE838" i="18"/>
  <c r="AC840" i="28" s="1"/>
  <c r="F834" i="18"/>
  <c r="D836" i="28" s="1"/>
  <c r="U821" i="28"/>
  <c r="AM827" i="28"/>
  <c r="AG840" i="18"/>
  <c r="AN840" i="18" s="1"/>
  <c r="U824" i="28"/>
  <c r="F837" i="18"/>
  <c r="D839" i="28" s="1"/>
  <c r="X840" i="18"/>
  <c r="V842" i="28" s="1"/>
  <c r="AD827" i="28"/>
  <c r="X844" i="18"/>
  <c r="V846" i="28" s="1"/>
  <c r="AD831" i="28"/>
  <c r="F835" i="18"/>
  <c r="D837" i="28" s="1"/>
  <c r="U822" i="28"/>
  <c r="V838" i="18"/>
  <c r="T840" i="28" s="1"/>
  <c r="X842" i="18"/>
  <c r="V844" i="28" s="1"/>
  <c r="AD829" i="28"/>
  <c r="AG838" i="18"/>
  <c r="AN838" i="18" s="1"/>
  <c r="AM825" i="28"/>
  <c r="X837" i="18"/>
  <c r="V839" i="28" s="1"/>
  <c r="AD824" i="28"/>
  <c r="T830" i="28" l="1"/>
  <c r="F843" i="18"/>
  <c r="AD56" i="5"/>
  <c r="AE56" i="5" s="1"/>
  <c r="U56" i="5"/>
  <c r="V56" i="5" s="1"/>
  <c r="T831" i="28"/>
  <c r="F844" i="18"/>
  <c r="U831" i="28"/>
  <c r="AE840" i="28"/>
  <c r="AE839" i="28"/>
  <c r="AE837" i="28"/>
  <c r="AE842" i="28"/>
  <c r="AE844" i="28"/>
  <c r="AE843" i="28"/>
  <c r="AE836" i="28"/>
  <c r="AL836" i="28"/>
  <c r="T823" i="28"/>
  <c r="F836" i="18"/>
  <c r="U823" i="28"/>
  <c r="AL831" i="28"/>
  <c r="AG844" i="18"/>
  <c r="AN844" i="18" s="1"/>
  <c r="AM831" i="28"/>
  <c r="AL823" i="28"/>
  <c r="AM823" i="28"/>
  <c r="AG836" i="18"/>
  <c r="AN836" i="18" s="1"/>
  <c r="AC819" i="28"/>
  <c r="X832" i="18"/>
  <c r="AD819" i="28"/>
  <c r="AC820" i="28"/>
  <c r="AD820" i="28"/>
  <c r="X833" i="18"/>
  <c r="AL818" i="28"/>
  <c r="AM818" i="28"/>
  <c r="AG831" i="18"/>
  <c r="AL819" i="28"/>
  <c r="AG832" i="18"/>
  <c r="AN832" i="18" s="1"/>
  <c r="AM819" i="28"/>
  <c r="T818" i="28"/>
  <c r="U818" i="28"/>
  <c r="F831" i="18"/>
  <c r="AL820" i="28"/>
  <c r="AM820" i="28"/>
  <c r="AG833" i="18"/>
  <c r="AN833" i="18" s="1"/>
  <c r="AC818" i="28"/>
  <c r="X831" i="18"/>
  <c r="AD818" i="28"/>
  <c r="T820" i="28"/>
  <c r="F833" i="18"/>
  <c r="U820" i="28"/>
  <c r="T819" i="28"/>
  <c r="F832" i="18"/>
  <c r="U819" i="28"/>
  <c r="T826" i="28"/>
  <c r="F839" i="18"/>
  <c r="U826" i="28"/>
  <c r="T817" i="28"/>
  <c r="F830" i="18"/>
  <c r="U817" i="28"/>
  <c r="AL826" i="28"/>
  <c r="AM826" i="28"/>
  <c r="AG839" i="18"/>
  <c r="AN839" i="18" s="1"/>
  <c r="AC826" i="28"/>
  <c r="AD826" i="28"/>
  <c r="X839" i="18"/>
  <c r="AC832" i="28"/>
  <c r="X845" i="18"/>
  <c r="AD832" i="28"/>
  <c r="AL840" i="28"/>
  <c r="V837" i="18"/>
  <c r="T839" i="28" s="1"/>
  <c r="AD840" i="28"/>
  <c r="X853" i="18"/>
  <c r="V855" i="28" s="1"/>
  <c r="X851" i="18"/>
  <c r="V853" i="28" s="1"/>
  <c r="AD838" i="28"/>
  <c r="AL843" i="28"/>
  <c r="AE841" i="18"/>
  <c r="AC843" i="28" s="1"/>
  <c r="F853" i="18"/>
  <c r="D855" i="28" s="1"/>
  <c r="U840" i="28"/>
  <c r="AL837" i="28"/>
  <c r="AE834" i="18"/>
  <c r="AC836" i="28" s="1"/>
  <c r="AM845" i="28"/>
  <c r="AG858" i="18"/>
  <c r="AN858" i="18" s="1"/>
  <c r="U845" i="28"/>
  <c r="AE844" i="18"/>
  <c r="AC846" i="28" s="1"/>
  <c r="V835" i="18"/>
  <c r="T837" i="28" s="1"/>
  <c r="AM832" i="28"/>
  <c r="AG845" i="18"/>
  <c r="AL842" i="28"/>
  <c r="V834" i="18"/>
  <c r="T836" i="28" s="1"/>
  <c r="AL844" i="28"/>
  <c r="X858" i="18"/>
  <c r="V860" i="28" s="1"/>
  <c r="AD845" i="28"/>
  <c r="V841" i="18"/>
  <c r="T843" i="28" s="1"/>
  <c r="AE835" i="18"/>
  <c r="AC837" i="28" s="1"/>
  <c r="AE837" i="18"/>
  <c r="AC839" i="28" s="1"/>
  <c r="AE840" i="18"/>
  <c r="AC842" i="28" s="1"/>
  <c r="AL839" i="28"/>
  <c r="AE842" i="18"/>
  <c r="AC844" i="28" s="1"/>
  <c r="V842" i="18"/>
  <c r="T844" i="28" s="1"/>
  <c r="V840" i="18"/>
  <c r="T842" i="28" s="1"/>
  <c r="D845" i="28" l="1"/>
  <c r="V843" i="18"/>
  <c r="E57" i="5"/>
  <c r="AN831" i="18"/>
  <c r="AM57" i="5" s="1"/>
  <c r="AN57" i="5" s="1"/>
  <c r="AF57" i="5"/>
  <c r="AN845" i="18"/>
  <c r="AL847" i="28" s="1"/>
  <c r="W57" i="5"/>
  <c r="D846" i="28"/>
  <c r="V844" i="18"/>
  <c r="AE847" i="28"/>
  <c r="AE860" i="28"/>
  <c r="D838" i="28"/>
  <c r="V836" i="18"/>
  <c r="AE846" i="28"/>
  <c r="AE838" i="28"/>
  <c r="D835" i="28"/>
  <c r="V833" i="18"/>
  <c r="V835" i="28"/>
  <c r="AE833" i="18"/>
  <c r="V833" i="28"/>
  <c r="AE831" i="18"/>
  <c r="AE834" i="28"/>
  <c r="D833" i="28"/>
  <c r="V831" i="18"/>
  <c r="D834" i="28"/>
  <c r="V832" i="18"/>
  <c r="AE835" i="28"/>
  <c r="V834" i="28"/>
  <c r="AE832" i="18"/>
  <c r="AE833" i="28"/>
  <c r="D841" i="28"/>
  <c r="V839" i="18"/>
  <c r="D832" i="28"/>
  <c r="V830" i="18"/>
  <c r="AE841" i="28"/>
  <c r="V841" i="28"/>
  <c r="AE839" i="18"/>
  <c r="V847" i="28"/>
  <c r="AE845" i="18"/>
  <c r="AG855" i="18"/>
  <c r="AN855" i="18" s="1"/>
  <c r="AM842" i="28"/>
  <c r="U842" i="28"/>
  <c r="F855" i="18"/>
  <c r="D857" i="28" s="1"/>
  <c r="AE858" i="18"/>
  <c r="AC860" i="28" s="1"/>
  <c r="F850" i="18"/>
  <c r="D852" i="28" s="1"/>
  <c r="U837" i="28"/>
  <c r="AE853" i="18"/>
  <c r="AC855" i="28" s="1"/>
  <c r="F857" i="18"/>
  <c r="D859" i="28" s="1"/>
  <c r="U844" i="28"/>
  <c r="X859" i="18"/>
  <c r="V861" i="28" s="1"/>
  <c r="AD846" i="28"/>
  <c r="AD843" i="28"/>
  <c r="X856" i="18"/>
  <c r="V858" i="28" s="1"/>
  <c r="AG849" i="18"/>
  <c r="AN849" i="18" s="1"/>
  <c r="AM836" i="28"/>
  <c r="AM844" i="28"/>
  <c r="AG857" i="18"/>
  <c r="AN857" i="18" s="1"/>
  <c r="X849" i="18"/>
  <c r="V851" i="28" s="1"/>
  <c r="AD836" i="28"/>
  <c r="X857" i="18"/>
  <c r="V859" i="28" s="1"/>
  <c r="AD844" i="28"/>
  <c r="V853" i="18"/>
  <c r="T855" i="28" s="1"/>
  <c r="X850" i="18"/>
  <c r="V852" i="28" s="1"/>
  <c r="AD837" i="28"/>
  <c r="AM843" i="28"/>
  <c r="AG856" i="18"/>
  <c r="AN856" i="18" s="1"/>
  <c r="F852" i="18"/>
  <c r="D854" i="28" s="1"/>
  <c r="U839" i="28"/>
  <c r="X852" i="18"/>
  <c r="V854" i="28" s="1"/>
  <c r="AD839" i="28"/>
  <c r="AM839" i="28"/>
  <c r="AG852" i="18"/>
  <c r="AN852" i="18" s="1"/>
  <c r="X855" i="18"/>
  <c r="V857" i="28" s="1"/>
  <c r="AD842" i="28"/>
  <c r="F849" i="18"/>
  <c r="D851" i="28" s="1"/>
  <c r="U836" i="28"/>
  <c r="AG850" i="18"/>
  <c r="AN850" i="18" s="1"/>
  <c r="AM837" i="28"/>
  <c r="AL860" i="28"/>
  <c r="U843" i="28"/>
  <c r="F856" i="18"/>
  <c r="D858" i="28" s="1"/>
  <c r="AE851" i="18"/>
  <c r="AC853" i="28" s="1"/>
  <c r="AM840" i="28"/>
  <c r="AG853" i="18"/>
  <c r="AN853" i="18" s="1"/>
  <c r="T845" i="28" l="1"/>
  <c r="F858" i="18"/>
  <c r="AD57" i="5"/>
  <c r="AE57" i="5" s="1"/>
  <c r="U57" i="5"/>
  <c r="V57" i="5" s="1"/>
  <c r="T846" i="28"/>
  <c r="F859" i="18"/>
  <c r="U846" i="28"/>
  <c r="AE855" i="28"/>
  <c r="AE858" i="28"/>
  <c r="AE859" i="28"/>
  <c r="AE854" i="28"/>
  <c r="AE852" i="28"/>
  <c r="AE851" i="28"/>
  <c r="AE857" i="28"/>
  <c r="T838" i="28"/>
  <c r="F851" i="18"/>
  <c r="U838" i="28"/>
  <c r="AL846" i="28"/>
  <c r="AG859" i="18"/>
  <c r="AN859" i="18" s="1"/>
  <c r="AM846" i="28"/>
  <c r="AL838" i="28"/>
  <c r="AG851" i="18"/>
  <c r="AN851" i="18" s="1"/>
  <c r="AM838" i="28"/>
  <c r="AC834" i="28"/>
  <c r="X847" i="18"/>
  <c r="AD834" i="28"/>
  <c r="AL834" i="28"/>
  <c r="AG847" i="18"/>
  <c r="AN847" i="18" s="1"/>
  <c r="AM834" i="28"/>
  <c r="AL835" i="28"/>
  <c r="AM835" i="28"/>
  <c r="AG848" i="18"/>
  <c r="AN848" i="18" s="1"/>
  <c r="AC833" i="28"/>
  <c r="X846" i="18"/>
  <c r="AD833" i="28"/>
  <c r="T834" i="28"/>
  <c r="U834" i="28"/>
  <c r="F847" i="18"/>
  <c r="AC835" i="28"/>
  <c r="AD835" i="28"/>
  <c r="X848" i="18"/>
  <c r="AL833" i="28"/>
  <c r="AM833" i="28"/>
  <c r="AG846" i="18"/>
  <c r="F846" i="18"/>
  <c r="U833" i="28"/>
  <c r="T833" i="28"/>
  <c r="T835" i="28"/>
  <c r="F848" i="18"/>
  <c r="U835" i="28"/>
  <c r="T841" i="28"/>
  <c r="U841" i="28"/>
  <c r="F854" i="18"/>
  <c r="T832" i="28"/>
  <c r="U832" i="28"/>
  <c r="F845" i="18"/>
  <c r="AL841" i="28"/>
  <c r="AG854" i="18"/>
  <c r="AN854" i="18" s="1"/>
  <c r="AM841" i="28"/>
  <c r="AC841" i="28"/>
  <c r="AD841" i="28"/>
  <c r="X854" i="18"/>
  <c r="AC847" i="28"/>
  <c r="AD847" i="28"/>
  <c r="X860" i="18"/>
  <c r="X866" i="18"/>
  <c r="V868" i="28" s="1"/>
  <c r="AD853" i="28"/>
  <c r="AL858" i="28"/>
  <c r="AE856" i="18"/>
  <c r="AC858" i="28" s="1"/>
  <c r="AD855" i="28"/>
  <c r="X868" i="18"/>
  <c r="V870" i="28" s="1"/>
  <c r="V849" i="18"/>
  <c r="T851" i="28" s="1"/>
  <c r="V850" i="18"/>
  <c r="T852" i="28" s="1"/>
  <c r="V855" i="18"/>
  <c r="T857" i="28" s="1"/>
  <c r="AL852" i="28"/>
  <c r="AE857" i="18"/>
  <c r="AC859" i="28" s="1"/>
  <c r="V857" i="18"/>
  <c r="T859" i="28" s="1"/>
  <c r="AM860" i="28"/>
  <c r="AG873" i="18"/>
  <c r="AN873" i="18" s="1"/>
  <c r="AL855" i="28"/>
  <c r="U860" i="28"/>
  <c r="AG860" i="18"/>
  <c r="AM847" i="28"/>
  <c r="U855" i="28"/>
  <c r="F868" i="18"/>
  <c r="D870" i="28" s="1"/>
  <c r="AE852" i="18"/>
  <c r="AC854" i="28" s="1"/>
  <c r="V852" i="18"/>
  <c r="T854" i="28" s="1"/>
  <c r="AE850" i="18"/>
  <c r="AC852" i="28" s="1"/>
  <c r="AE849" i="18"/>
  <c r="AC851" i="28" s="1"/>
  <c r="AL851" i="28"/>
  <c r="AE859" i="18"/>
  <c r="AC861" i="28" s="1"/>
  <c r="AL857" i="28"/>
  <c r="AL859" i="28"/>
  <c r="V856" i="18"/>
  <c r="T858" i="28" s="1"/>
  <c r="AE855" i="18"/>
  <c r="AC857" i="28" s="1"/>
  <c r="AL854" i="28"/>
  <c r="AD860" i="28"/>
  <c r="X873" i="18"/>
  <c r="V875" i="28" s="1"/>
  <c r="D860" i="28" l="1"/>
  <c r="V858" i="18"/>
  <c r="E58" i="5"/>
  <c r="AN846" i="18"/>
  <c r="AM58" i="5" s="1"/>
  <c r="AN58" i="5" s="1"/>
  <c r="AF58" i="5"/>
  <c r="AN860" i="18"/>
  <c r="AL862" i="28" s="1"/>
  <c r="W58" i="5"/>
  <c r="D861" i="28"/>
  <c r="V859" i="18"/>
  <c r="AE862" i="28"/>
  <c r="AE875" i="28"/>
  <c r="D853" i="28"/>
  <c r="V851" i="18"/>
  <c r="AE861" i="28"/>
  <c r="AE853" i="28"/>
  <c r="V847" i="18"/>
  <c r="D849" i="28"/>
  <c r="D848" i="28"/>
  <c r="V846" i="18"/>
  <c r="AE848" i="28"/>
  <c r="AE849" i="28"/>
  <c r="V848" i="28"/>
  <c r="AE846" i="18"/>
  <c r="D850" i="28"/>
  <c r="V848" i="18"/>
  <c r="V850" i="28"/>
  <c r="AE848" i="18"/>
  <c r="V849" i="28"/>
  <c r="AE847" i="18"/>
  <c r="AE850" i="28"/>
  <c r="D856" i="28"/>
  <c r="V854" i="18"/>
  <c r="D847" i="28"/>
  <c r="V845" i="18"/>
  <c r="AE856" i="28"/>
  <c r="V856" i="28"/>
  <c r="AE854" i="18"/>
  <c r="V862" i="28"/>
  <c r="AE860" i="18"/>
  <c r="AD857" i="28"/>
  <c r="X870" i="18"/>
  <c r="V872" i="28" s="1"/>
  <c r="AD859" i="28"/>
  <c r="X872" i="18"/>
  <c r="V874" i="28" s="1"/>
  <c r="F864" i="18"/>
  <c r="D866" i="28" s="1"/>
  <c r="U851" i="28"/>
  <c r="AM858" i="28"/>
  <c r="AG871" i="18"/>
  <c r="AN871" i="18" s="1"/>
  <c r="X874" i="18"/>
  <c r="V876" i="28" s="1"/>
  <c r="AD861" i="28"/>
  <c r="U854" i="28"/>
  <c r="F867" i="18"/>
  <c r="D869" i="28" s="1"/>
  <c r="AE868" i="18"/>
  <c r="AC870" i="28" s="1"/>
  <c r="F865" i="18"/>
  <c r="D867" i="28" s="1"/>
  <c r="U852" i="28"/>
  <c r="V868" i="18"/>
  <c r="T870" i="28" s="1"/>
  <c r="U858" i="28"/>
  <c r="F871" i="18"/>
  <c r="D873" i="28" s="1"/>
  <c r="AM852" i="28"/>
  <c r="AG865" i="18"/>
  <c r="AN865" i="18" s="1"/>
  <c r="X867" i="18"/>
  <c r="V869" i="28" s="1"/>
  <c r="AD854" i="28"/>
  <c r="AD852" i="28"/>
  <c r="X865" i="18"/>
  <c r="V867" i="28" s="1"/>
  <c r="AG868" i="18"/>
  <c r="AN868" i="18" s="1"/>
  <c r="AM855" i="28"/>
  <c r="AL875" i="28"/>
  <c r="AG864" i="18"/>
  <c r="AN864" i="18" s="1"/>
  <c r="AM851" i="28"/>
  <c r="AM859" i="28"/>
  <c r="AG872" i="18"/>
  <c r="AN872" i="18" s="1"/>
  <c r="AG870" i="18"/>
  <c r="AN870" i="18" s="1"/>
  <c r="AM857" i="28"/>
  <c r="F870" i="18"/>
  <c r="D872" i="28" s="1"/>
  <c r="U857" i="28"/>
  <c r="AE866" i="18"/>
  <c r="AC868" i="28" s="1"/>
  <c r="F872" i="18"/>
  <c r="D874" i="28" s="1"/>
  <c r="U859" i="28"/>
  <c r="AE873" i="18"/>
  <c r="AC875" i="28" s="1"/>
  <c r="AG867" i="18"/>
  <c r="AN867" i="18" s="1"/>
  <c r="AM854" i="28"/>
  <c r="AD851" i="28"/>
  <c r="X864" i="18"/>
  <c r="V866" i="28" s="1"/>
  <c r="X871" i="18"/>
  <c r="V873" i="28" s="1"/>
  <c r="AD858" i="28"/>
  <c r="T860" i="28" l="1"/>
  <c r="F873" i="18"/>
  <c r="AD58" i="5"/>
  <c r="AE58" i="5" s="1"/>
  <c r="U58" i="5"/>
  <c r="V58" i="5" s="1"/>
  <c r="T861" i="28"/>
  <c r="U861" i="28"/>
  <c r="F874" i="18"/>
  <c r="AE866" i="28"/>
  <c r="AE872" i="28"/>
  <c r="AE870" i="28"/>
  <c r="AE869" i="28"/>
  <c r="AE874" i="28"/>
  <c r="AL874" i="28"/>
  <c r="AE867" i="28"/>
  <c r="AE873" i="28"/>
  <c r="T853" i="28"/>
  <c r="F866" i="18"/>
  <c r="U853" i="28"/>
  <c r="AL861" i="28"/>
  <c r="AG874" i="18"/>
  <c r="AN874" i="18" s="1"/>
  <c r="AM861" i="28"/>
  <c r="AL853" i="28"/>
  <c r="AM853" i="28"/>
  <c r="AG866" i="18"/>
  <c r="AN866" i="18" s="1"/>
  <c r="AD849" i="28"/>
  <c r="AC849" i="28"/>
  <c r="X862" i="18"/>
  <c r="AC850" i="28"/>
  <c r="X863" i="18"/>
  <c r="AD850" i="28"/>
  <c r="AM848" i="28"/>
  <c r="AL848" i="28"/>
  <c r="AG861" i="18"/>
  <c r="T850" i="28"/>
  <c r="F863" i="18"/>
  <c r="U850" i="28"/>
  <c r="T848" i="28"/>
  <c r="U848" i="28"/>
  <c r="F861" i="18"/>
  <c r="AL849" i="28"/>
  <c r="AG862" i="18"/>
  <c r="AN862" i="18" s="1"/>
  <c r="AM849" i="28"/>
  <c r="AL850" i="28"/>
  <c r="AG863" i="18"/>
  <c r="AN863" i="18" s="1"/>
  <c r="AM850" i="28"/>
  <c r="AC848" i="28"/>
  <c r="X861" i="18"/>
  <c r="AD848" i="28"/>
  <c r="T849" i="28"/>
  <c r="F862" i="18"/>
  <c r="U849" i="28"/>
  <c r="T856" i="28"/>
  <c r="U856" i="28"/>
  <c r="F869" i="18"/>
  <c r="T847" i="28"/>
  <c r="F860" i="18"/>
  <c r="U847" i="28"/>
  <c r="AL856" i="28"/>
  <c r="AM856" i="28"/>
  <c r="AG869" i="18"/>
  <c r="AN869" i="18" s="1"/>
  <c r="AC856" i="28"/>
  <c r="AD856" i="28"/>
  <c r="X869" i="18"/>
  <c r="AC862" i="28"/>
  <c r="X875" i="18"/>
  <c r="AD862" i="28"/>
  <c r="V871" i="18"/>
  <c r="T873" i="28" s="1"/>
  <c r="AE874" i="18"/>
  <c r="AC876" i="28" s="1"/>
  <c r="AE872" i="18"/>
  <c r="AC874" i="28" s="1"/>
  <c r="AG888" i="18"/>
  <c r="AN888" i="18" s="1"/>
  <c r="AM875" i="28"/>
  <c r="V870" i="18"/>
  <c r="T872" i="28" s="1"/>
  <c r="X888" i="18"/>
  <c r="V890" i="28" s="1"/>
  <c r="AD875" i="28"/>
  <c r="AM862" i="28"/>
  <c r="AG875" i="18"/>
  <c r="AL873" i="28"/>
  <c r="AE867" i="18"/>
  <c r="AC869" i="28" s="1"/>
  <c r="AD870" i="28"/>
  <c r="X883" i="18"/>
  <c r="V885" i="28" s="1"/>
  <c r="AE870" i="18"/>
  <c r="AC872" i="28" s="1"/>
  <c r="AE864" i="18"/>
  <c r="AC866" i="28" s="1"/>
  <c r="F883" i="18"/>
  <c r="D885" i="28" s="1"/>
  <c r="U870" i="28"/>
  <c r="V867" i="18"/>
  <c r="T869" i="28" s="1"/>
  <c r="V872" i="18"/>
  <c r="T874" i="28" s="1"/>
  <c r="AL869" i="28"/>
  <c r="AL867" i="28"/>
  <c r="AL870" i="28"/>
  <c r="AL866" i="28"/>
  <c r="V865" i="18"/>
  <c r="T867" i="28" s="1"/>
  <c r="V864" i="18"/>
  <c r="T866" i="28" s="1"/>
  <c r="AL872" i="28"/>
  <c r="AE871" i="18"/>
  <c r="AC873" i="28" s="1"/>
  <c r="AD868" i="28"/>
  <c r="X881" i="18"/>
  <c r="V883" i="28" s="1"/>
  <c r="AE865" i="18"/>
  <c r="AC867" i="28" s="1"/>
  <c r="U875" i="28"/>
  <c r="D875" i="28" l="1"/>
  <c r="V873" i="18"/>
  <c r="E59" i="5"/>
  <c r="W59" i="5"/>
  <c r="AN875" i="18"/>
  <c r="AL877" i="28" s="1"/>
  <c r="AN861" i="18"/>
  <c r="AM59" i="5" s="1"/>
  <c r="AN59" i="5" s="1"/>
  <c r="AF59" i="5"/>
  <c r="D876" i="28"/>
  <c r="V874" i="18"/>
  <c r="AE877" i="28"/>
  <c r="AE890" i="28"/>
  <c r="D868" i="28"/>
  <c r="V866" i="18"/>
  <c r="AE876" i="28"/>
  <c r="AE868" i="28"/>
  <c r="D863" i="28"/>
  <c r="V861" i="18"/>
  <c r="V865" i="28"/>
  <c r="AE863" i="18"/>
  <c r="AE865" i="28"/>
  <c r="V863" i="28"/>
  <c r="AE861" i="18"/>
  <c r="D865" i="28"/>
  <c r="V863" i="18"/>
  <c r="V864" i="28"/>
  <c r="AE862" i="18"/>
  <c r="D864" i="28"/>
  <c r="V862" i="18"/>
  <c r="AE864" i="28"/>
  <c r="AE863" i="28"/>
  <c r="D871" i="28"/>
  <c r="V869" i="18"/>
  <c r="D862" i="28"/>
  <c r="V860" i="18"/>
  <c r="AE871" i="28"/>
  <c r="V871" i="28"/>
  <c r="AE869" i="18"/>
  <c r="V877" i="28"/>
  <c r="AE875" i="18"/>
  <c r="AE881" i="18"/>
  <c r="AC883" i="28" s="1"/>
  <c r="V883" i="18"/>
  <c r="T885" i="28" s="1"/>
  <c r="AD874" i="28"/>
  <c r="X887" i="18"/>
  <c r="V889" i="28" s="1"/>
  <c r="AM869" i="28"/>
  <c r="AG882" i="18"/>
  <c r="AN882" i="18" s="1"/>
  <c r="X882" i="18"/>
  <c r="V884" i="28" s="1"/>
  <c r="AD869" i="28"/>
  <c r="AE888" i="18"/>
  <c r="AC890" i="28" s="1"/>
  <c r="AD876" i="28"/>
  <c r="X889" i="18"/>
  <c r="V891" i="28" s="1"/>
  <c r="AG885" i="18"/>
  <c r="AN885" i="18" s="1"/>
  <c r="AM872" i="28"/>
  <c r="U866" i="28"/>
  <c r="F879" i="18"/>
  <c r="D881" i="28" s="1"/>
  <c r="AG883" i="18"/>
  <c r="AN883" i="18" s="1"/>
  <c r="AM870" i="28"/>
  <c r="AD866" i="28"/>
  <c r="X879" i="18"/>
  <c r="V881" i="28" s="1"/>
  <c r="F887" i="18"/>
  <c r="D889" i="28" s="1"/>
  <c r="U874" i="28"/>
  <c r="F886" i="18"/>
  <c r="D888" i="28" s="1"/>
  <c r="U873" i="28"/>
  <c r="F880" i="18"/>
  <c r="D882" i="28" s="1"/>
  <c r="U867" i="28"/>
  <c r="AM873" i="28"/>
  <c r="AG886" i="18"/>
  <c r="AN886" i="18" s="1"/>
  <c r="AL890" i="28"/>
  <c r="AG880" i="18"/>
  <c r="AN880" i="18" s="1"/>
  <c r="AM867" i="28"/>
  <c r="AG887" i="18"/>
  <c r="AN887" i="18" s="1"/>
  <c r="AM874" i="28"/>
  <c r="X885" i="18"/>
  <c r="V887" i="28" s="1"/>
  <c r="AD872" i="28"/>
  <c r="U869" i="28"/>
  <c r="F882" i="18"/>
  <c r="D884" i="28" s="1"/>
  <c r="AE883" i="18"/>
  <c r="AC885" i="28" s="1"/>
  <c r="U872" i="28"/>
  <c r="F885" i="18"/>
  <c r="D887" i="28" s="1"/>
  <c r="AD867" i="28"/>
  <c r="X880" i="18"/>
  <c r="V882" i="28" s="1"/>
  <c r="AD873" i="28"/>
  <c r="X886" i="18"/>
  <c r="V888" i="28" s="1"/>
  <c r="AG879" i="18"/>
  <c r="AN879" i="18" s="1"/>
  <c r="AM866" i="28"/>
  <c r="T875" i="28" l="1"/>
  <c r="F888" i="18"/>
  <c r="AD59" i="5"/>
  <c r="AE59" i="5" s="1"/>
  <c r="U59" i="5"/>
  <c r="V59" i="5" s="1"/>
  <c r="T876" i="28"/>
  <c r="F889" i="18"/>
  <c r="U876" i="28"/>
  <c r="AE889" i="28"/>
  <c r="AE884" i="28"/>
  <c r="AE882" i="28"/>
  <c r="AE887" i="28"/>
  <c r="AL887" i="28"/>
  <c r="AE888" i="28"/>
  <c r="AE881" i="28"/>
  <c r="AE885" i="28"/>
  <c r="T868" i="28"/>
  <c r="F881" i="18"/>
  <c r="U868" i="28"/>
  <c r="AL876" i="28"/>
  <c r="AM876" i="28"/>
  <c r="AG889" i="18"/>
  <c r="AN889" i="18" s="1"/>
  <c r="AL868" i="28"/>
  <c r="AG881" i="18"/>
  <c r="AN881" i="18" s="1"/>
  <c r="AM868" i="28"/>
  <c r="AC863" i="28"/>
  <c r="X876" i="18"/>
  <c r="AD863" i="28"/>
  <c r="AL864" i="28"/>
  <c r="AG877" i="18"/>
  <c r="AN877" i="18" s="1"/>
  <c r="AM864" i="28"/>
  <c r="T864" i="28"/>
  <c r="U864" i="28"/>
  <c r="F877" i="18"/>
  <c r="AL865" i="28"/>
  <c r="AG878" i="18"/>
  <c r="AN878" i="18" s="1"/>
  <c r="AM865" i="28"/>
  <c r="AD864" i="28"/>
  <c r="AC864" i="28"/>
  <c r="X877" i="18"/>
  <c r="AC865" i="28"/>
  <c r="X878" i="18"/>
  <c r="AD865" i="28"/>
  <c r="AL863" i="28"/>
  <c r="AG876" i="18"/>
  <c r="AM863" i="28"/>
  <c r="T865" i="28"/>
  <c r="F878" i="18"/>
  <c r="U865" i="28"/>
  <c r="U863" i="28"/>
  <c r="T863" i="28"/>
  <c r="F876" i="18"/>
  <c r="T871" i="28"/>
  <c r="U871" i="28"/>
  <c r="F884" i="18"/>
  <c r="T862" i="28"/>
  <c r="U862" i="28"/>
  <c r="F875" i="18"/>
  <c r="AL871" i="28"/>
  <c r="AG884" i="18"/>
  <c r="AN884" i="18" s="1"/>
  <c r="AM871" i="28"/>
  <c r="AC871" i="28"/>
  <c r="X884" i="18"/>
  <c r="AD871" i="28"/>
  <c r="AC877" i="28"/>
  <c r="X890" i="18"/>
  <c r="AD877" i="28"/>
  <c r="AL881" i="28"/>
  <c r="AL882" i="28"/>
  <c r="AD890" i="28"/>
  <c r="X903" i="18"/>
  <c r="V905" i="28" s="1"/>
  <c r="AE886" i="18"/>
  <c r="AC888" i="28" s="1"/>
  <c r="AD885" i="28"/>
  <c r="X898" i="18"/>
  <c r="V900" i="28" s="1"/>
  <c r="AE887" i="18"/>
  <c r="AC889" i="28" s="1"/>
  <c r="V882" i="18"/>
  <c r="T884" i="28" s="1"/>
  <c r="AL885" i="28"/>
  <c r="AE889" i="18"/>
  <c r="AC891" i="28" s="1"/>
  <c r="AM890" i="28"/>
  <c r="AG903" i="18"/>
  <c r="AN903" i="18" s="1"/>
  <c r="U890" i="28"/>
  <c r="AE880" i="18"/>
  <c r="AC882" i="28" s="1"/>
  <c r="V880" i="18"/>
  <c r="T882" i="28" s="1"/>
  <c r="V887" i="18"/>
  <c r="T889" i="28" s="1"/>
  <c r="V879" i="18"/>
  <c r="T881" i="28" s="1"/>
  <c r="AE882" i="18"/>
  <c r="AC884" i="28" s="1"/>
  <c r="AL889" i="28"/>
  <c r="F898" i="18"/>
  <c r="D900" i="28" s="1"/>
  <c r="U885" i="28"/>
  <c r="AG890" i="18"/>
  <c r="AM877" i="28"/>
  <c r="AE885" i="18"/>
  <c r="AC887" i="28" s="1"/>
  <c r="AL888" i="28"/>
  <c r="AE879" i="18"/>
  <c r="AC881" i="28" s="1"/>
  <c r="AL884" i="28"/>
  <c r="V885" i="18"/>
  <c r="T887" i="28" s="1"/>
  <c r="V886" i="18"/>
  <c r="T888" i="28" s="1"/>
  <c r="X896" i="18"/>
  <c r="V898" i="28" s="1"/>
  <c r="AD883" i="28"/>
  <c r="D890" i="28" l="1"/>
  <c r="V888" i="18"/>
  <c r="E60" i="5"/>
  <c r="AN876" i="18"/>
  <c r="AM60" i="5" s="1"/>
  <c r="AN60" i="5" s="1"/>
  <c r="AF60" i="5"/>
  <c r="AN890" i="18"/>
  <c r="AL892" i="28" s="1"/>
  <c r="W60" i="5"/>
  <c r="D891" i="28"/>
  <c r="V889" i="18"/>
  <c r="AE905" i="28"/>
  <c r="AE892" i="28"/>
  <c r="D883" i="28"/>
  <c r="V881" i="18"/>
  <c r="AE891" i="28"/>
  <c r="AE883" i="28"/>
  <c r="D880" i="28"/>
  <c r="V878" i="18"/>
  <c r="AE879" i="28"/>
  <c r="AE878" i="28"/>
  <c r="V879" i="28"/>
  <c r="AE877" i="18"/>
  <c r="D878" i="28"/>
  <c r="V876" i="18"/>
  <c r="AE880" i="28"/>
  <c r="V878" i="28"/>
  <c r="AE876" i="18"/>
  <c r="V880" i="28"/>
  <c r="AE878" i="18"/>
  <c r="D879" i="28"/>
  <c r="V877" i="18"/>
  <c r="D886" i="28"/>
  <c r="V884" i="18"/>
  <c r="D877" i="28"/>
  <c r="V875" i="18"/>
  <c r="AE886" i="28"/>
  <c r="V886" i="28"/>
  <c r="AE884" i="18"/>
  <c r="V892" i="28"/>
  <c r="AE890" i="18"/>
  <c r="X900" i="18"/>
  <c r="V902" i="28" s="1"/>
  <c r="AD887" i="28"/>
  <c r="U889" i="28"/>
  <c r="F902" i="18"/>
  <c r="D904" i="28" s="1"/>
  <c r="AE898" i="18"/>
  <c r="AC900" i="28" s="1"/>
  <c r="AG902" i="18"/>
  <c r="AN902" i="18" s="1"/>
  <c r="AM889" i="28"/>
  <c r="F895" i="18"/>
  <c r="D897" i="28" s="1"/>
  <c r="U882" i="28"/>
  <c r="X904" i="18"/>
  <c r="AD891" i="28"/>
  <c r="AG900" i="18"/>
  <c r="AN900" i="18" s="1"/>
  <c r="AM887" i="28"/>
  <c r="AL905" i="28"/>
  <c r="F897" i="18"/>
  <c r="D899" i="28" s="1"/>
  <c r="U884" i="28"/>
  <c r="V898" i="18"/>
  <c r="T900" i="28" s="1"/>
  <c r="AE896" i="18"/>
  <c r="AC898" i="28" s="1"/>
  <c r="AD884" i="28"/>
  <c r="X897" i="18"/>
  <c r="V899" i="28" s="1"/>
  <c r="AM885" i="28"/>
  <c r="AG898" i="18"/>
  <c r="AN898" i="18" s="1"/>
  <c r="AM882" i="28"/>
  <c r="AG895" i="18"/>
  <c r="AN895" i="18" s="1"/>
  <c r="F901" i="18"/>
  <c r="D903" i="28" s="1"/>
  <c r="U888" i="28"/>
  <c r="X894" i="18"/>
  <c r="V896" i="28" s="1"/>
  <c r="AD881" i="28"/>
  <c r="F900" i="18"/>
  <c r="D902" i="28" s="1"/>
  <c r="U887" i="28"/>
  <c r="AD882" i="28"/>
  <c r="X895" i="18"/>
  <c r="V897" i="28" s="1"/>
  <c r="AG901" i="18"/>
  <c r="AN901" i="18" s="1"/>
  <c r="AM888" i="28"/>
  <c r="X902" i="18"/>
  <c r="V904" i="28" s="1"/>
  <c r="AD889" i="28"/>
  <c r="X901" i="18"/>
  <c r="V903" i="28" s="1"/>
  <c r="AD888" i="28"/>
  <c r="AM884" i="28"/>
  <c r="AG897" i="18"/>
  <c r="AN897" i="18" s="1"/>
  <c r="F894" i="18"/>
  <c r="D896" i="28" s="1"/>
  <c r="U881" i="28"/>
  <c r="AE903" i="18"/>
  <c r="AC905" i="28" s="1"/>
  <c r="AG894" i="18"/>
  <c r="AN894" i="18" s="1"/>
  <c r="AM881" i="28"/>
  <c r="T890" i="28" l="1"/>
  <c r="F903" i="18"/>
  <c r="U60" i="5"/>
  <c r="V60" i="5" s="1"/>
  <c r="AD60" i="5"/>
  <c r="AE60" i="5" s="1"/>
  <c r="T891" i="28"/>
  <c r="U891" i="28"/>
  <c r="F904" i="18"/>
  <c r="AE897" i="28"/>
  <c r="AE900" i="28"/>
  <c r="AE904" i="28"/>
  <c r="AE896" i="28"/>
  <c r="AE902" i="28"/>
  <c r="AE899" i="28"/>
  <c r="AE903" i="28"/>
  <c r="V906" i="28"/>
  <c r="Y9" i="19"/>
  <c r="Y14" i="19"/>
  <c r="Y15" i="19"/>
  <c r="T883" i="28"/>
  <c r="F896" i="18"/>
  <c r="U883" i="28"/>
  <c r="AL891" i="28"/>
  <c r="AG904" i="18"/>
  <c r="AN904" i="18" s="1"/>
  <c r="AM891" i="28"/>
  <c r="AL883" i="28"/>
  <c r="AG896" i="18"/>
  <c r="AN896" i="18" s="1"/>
  <c r="AM883" i="28"/>
  <c r="AC880" i="28"/>
  <c r="X893" i="18"/>
  <c r="AD880" i="28"/>
  <c r="AD879" i="28"/>
  <c r="AC879" i="28"/>
  <c r="X892" i="18"/>
  <c r="AC878" i="28"/>
  <c r="X891" i="18"/>
  <c r="AD878" i="28"/>
  <c r="AL878" i="28"/>
  <c r="AG891" i="18"/>
  <c r="AM878" i="28"/>
  <c r="AL880" i="28"/>
  <c r="AM880" i="28"/>
  <c r="AG893" i="18"/>
  <c r="AN893" i="18" s="1"/>
  <c r="AL879" i="28"/>
  <c r="AM879" i="28"/>
  <c r="AG892" i="18"/>
  <c r="AN892" i="18" s="1"/>
  <c r="T879" i="28"/>
  <c r="F892" i="18"/>
  <c r="U879" i="28"/>
  <c r="U878" i="28"/>
  <c r="F891" i="18"/>
  <c r="T878" i="28"/>
  <c r="T880" i="28"/>
  <c r="U880" i="28"/>
  <c r="F893" i="18"/>
  <c r="T886" i="28"/>
  <c r="U886" i="28"/>
  <c r="F899" i="18"/>
  <c r="T877" i="28"/>
  <c r="U877" i="28"/>
  <c r="F890" i="18"/>
  <c r="AL886" i="28"/>
  <c r="AG899" i="18"/>
  <c r="AN899" i="18" s="1"/>
  <c r="AM886" i="28"/>
  <c r="AC886" i="28"/>
  <c r="AD886" i="28"/>
  <c r="X899" i="18"/>
  <c r="AC892" i="28"/>
  <c r="AD892" i="28"/>
  <c r="AL899" i="28"/>
  <c r="AE901" i="18"/>
  <c r="AC903" i="28" s="1"/>
  <c r="AL903" i="28"/>
  <c r="V900" i="18"/>
  <c r="T902" i="28" s="1"/>
  <c r="V901" i="18"/>
  <c r="T903" i="28" s="1"/>
  <c r="AE897" i="18"/>
  <c r="AC899" i="28" s="1"/>
  <c r="V897" i="18"/>
  <c r="T899" i="28" s="1"/>
  <c r="AE904" i="18"/>
  <c r="V902" i="18"/>
  <c r="T904" i="28" s="1"/>
  <c r="AL896" i="28"/>
  <c r="AE895" i="18"/>
  <c r="AC897" i="28" s="1"/>
  <c r="AL897" i="28"/>
  <c r="AE902" i="18"/>
  <c r="AC904" i="28" s="1"/>
  <c r="AE894" i="18"/>
  <c r="AC896" i="28" s="1"/>
  <c r="AM905" i="28"/>
  <c r="V895" i="18"/>
  <c r="T897" i="28" s="1"/>
  <c r="AD900" i="28"/>
  <c r="AD905" i="28"/>
  <c r="AD898" i="28"/>
  <c r="AE900" i="18"/>
  <c r="AC902" i="28" s="1"/>
  <c r="AL900" i="28"/>
  <c r="AL902" i="28"/>
  <c r="V894" i="18"/>
  <c r="T896" i="28" s="1"/>
  <c r="U905" i="28"/>
  <c r="AM892" i="28"/>
  <c r="U900" i="28"/>
  <c r="AL904" i="28"/>
  <c r="D905" i="28" l="1"/>
  <c r="V903" i="18"/>
  <c r="T905" i="28" s="1"/>
  <c r="AN891" i="18"/>
  <c r="AM61" i="5" s="1"/>
  <c r="AN61" i="5" s="1"/>
  <c r="AF61" i="5"/>
  <c r="E61" i="5"/>
  <c r="W61" i="5"/>
  <c r="D906" i="28"/>
  <c r="V904" i="18"/>
  <c r="AC906" i="28"/>
  <c r="AD9" i="19"/>
  <c r="AD14" i="19"/>
  <c r="AD15" i="19"/>
  <c r="AD16" i="19"/>
  <c r="AI9" i="19"/>
  <c r="AI10" i="19"/>
  <c r="AI15" i="19"/>
  <c r="AI14" i="19"/>
  <c r="D898" i="28"/>
  <c r="V896" i="18"/>
  <c r="AE906" i="28"/>
  <c r="AE898" i="28"/>
  <c r="D893" i="28"/>
  <c r="V891" i="18"/>
  <c r="V893" i="28"/>
  <c r="AE891" i="18"/>
  <c r="AE895" i="28"/>
  <c r="D894" i="28"/>
  <c r="V892" i="18"/>
  <c r="AE892" i="18"/>
  <c r="V894" i="28"/>
  <c r="D895" i="28"/>
  <c r="V893" i="18"/>
  <c r="AE893" i="28"/>
  <c r="AE894" i="28"/>
  <c r="V895" i="28"/>
  <c r="AE893" i="18"/>
  <c r="D901" i="28"/>
  <c r="V899" i="18"/>
  <c r="D892" i="28"/>
  <c r="V890" i="18"/>
  <c r="AE901" i="28"/>
  <c r="V901" i="28"/>
  <c r="AE899" i="18"/>
  <c r="AM900" i="28"/>
  <c r="U902" i="28"/>
  <c r="AD904" i="28"/>
  <c r="U899" i="28"/>
  <c r="AM903" i="28"/>
  <c r="AD896" i="28"/>
  <c r="U896" i="28"/>
  <c r="U897" i="28"/>
  <c r="AD899" i="28"/>
  <c r="AD903" i="28"/>
  <c r="AD906" i="28"/>
  <c r="AD902" i="28"/>
  <c r="AM904" i="28"/>
  <c r="AD897" i="28"/>
  <c r="AM896" i="28"/>
  <c r="AM902" i="28"/>
  <c r="AM897" i="28"/>
  <c r="U904" i="28"/>
  <c r="U903" i="28"/>
  <c r="AM899" i="28"/>
  <c r="U61" i="5" l="1"/>
  <c r="V61" i="5" s="1"/>
  <c r="AD61" i="5"/>
  <c r="AE61" i="5" s="1"/>
  <c r="T906" i="28"/>
  <c r="U906" i="28"/>
  <c r="AN15" i="19"/>
  <c r="AN14" i="19"/>
  <c r="AN18" i="19"/>
  <c r="T898" i="28"/>
  <c r="U898" i="28"/>
  <c r="AL906" i="28"/>
  <c r="AM906" i="28"/>
  <c r="AL898" i="28"/>
  <c r="AM898" i="28"/>
  <c r="AL894" i="28"/>
  <c r="AM894" i="28"/>
  <c r="T894" i="28"/>
  <c r="U894" i="28"/>
  <c r="AL893" i="28"/>
  <c r="AM893" i="28"/>
  <c r="AL895" i="28"/>
  <c r="AM895" i="28"/>
  <c r="T895" i="28"/>
  <c r="U895" i="28"/>
  <c r="AC893" i="28"/>
  <c r="AD893" i="28"/>
  <c r="AC895" i="28"/>
  <c r="AD895" i="28"/>
  <c r="T893" i="28"/>
  <c r="U893" i="28"/>
  <c r="AD894" i="28"/>
  <c r="AC894" i="28"/>
  <c r="T901" i="28"/>
  <c r="U901" i="28"/>
  <c r="T892" i="28"/>
  <c r="U892" i="28"/>
  <c r="AL901" i="28"/>
  <c r="AM901" i="28"/>
  <c r="AC901" i="28"/>
  <c r="AD901" i="28"/>
  <c r="AT47" i="2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tc={084BE6C4-565F-43F3-B08E-539A76CAE50B}</author>
  </authors>
  <commentList>
    <comment ref="A7" authorId="0" shapeId="0" xr:uid="{00000000-0006-0000-05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Can change font color to same as fill and then lock cell.
Reply:
    All is written in the cell in blue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<sst xmlns="http://schemas.openxmlformats.org/spreadsheetml/2006/main" count="2301" uniqueCount="956">
  <si>
    <t xml:space="preserve">Last updated: </t>
  </si>
  <si>
    <r>
      <t>COVID19 VACCINES SUPPLY OUTLOOK |</t>
    </r>
    <r>
      <rPr>
        <sz val="18"/>
        <color theme="4"/>
        <rFont val="Roboto"/>
      </rPr>
      <t xml:space="preserve"> INSTRUCTIONS</t>
    </r>
  </si>
  <si>
    <t>Copy of the English instructions can be found here:</t>
  </si>
  <si>
    <t>English_ Tool Data Definitions &amp; Instructions.docx</t>
  </si>
  <si>
    <t xml:space="preserve">Copy of the French instructions can be found here: </t>
  </si>
  <si>
    <t>French_ Tool Data Definitions &amp; Instructions.docx</t>
  </si>
  <si>
    <t>Use password: 1111</t>
  </si>
  <si>
    <r>
      <t>COVID19 VACCINES SUPPLY OUTLOOK |</t>
    </r>
    <r>
      <rPr>
        <sz val="18"/>
        <color theme="4"/>
        <rFont val="Roboto"/>
      </rPr>
      <t xml:space="preserve"> START</t>
    </r>
  </si>
  <si>
    <t>1. Start</t>
  </si>
  <si>
    <t>UN population data</t>
  </si>
  <si>
    <r>
      <t>Country (</t>
    </r>
    <r>
      <rPr>
        <i/>
        <sz val="10"/>
        <color theme="1"/>
        <rFont val="Roboto"/>
      </rPr>
      <t>Select</t>
    </r>
    <r>
      <rPr>
        <sz val="10"/>
        <color theme="1"/>
        <rFont val="Roboto"/>
      </rPr>
      <t>):</t>
    </r>
  </si>
  <si>
    <t>Anyland</t>
  </si>
  <si>
    <t>Population</t>
  </si>
  <si>
    <t>Alternate population estimate</t>
  </si>
  <si>
    <t>Total population</t>
  </si>
  <si>
    <t>Ages 12 and up</t>
  </si>
  <si>
    <t>Ages 18 and up</t>
  </si>
  <si>
    <t>List of COVID19 Vaccines provided</t>
  </si>
  <si>
    <t>#</t>
  </si>
  <si>
    <t>Vaccine</t>
  </si>
  <si>
    <t>Yes/ No</t>
  </si>
  <si>
    <t>All</t>
  </si>
  <si>
    <t>AstraZeneca</t>
  </si>
  <si>
    <t>Yes</t>
  </si>
  <si>
    <t>Jansen</t>
  </si>
  <si>
    <t>Moderna</t>
  </si>
  <si>
    <t>No</t>
  </si>
  <si>
    <t>Pfizer</t>
  </si>
  <si>
    <t>Sinovac</t>
  </si>
  <si>
    <r>
      <t>COVID19 VACCINES SUPPLY OUTLOOK |</t>
    </r>
    <r>
      <rPr>
        <sz val="18"/>
        <color theme="4"/>
        <rFont val="Roboto"/>
      </rPr>
      <t xml:space="preserve"> SHIPMENTS DATA</t>
    </r>
  </si>
  <si>
    <t>Country</t>
  </si>
  <si>
    <t>ISO Code</t>
  </si>
  <si>
    <t>Vaccine Type</t>
  </si>
  <si>
    <t>Product</t>
  </si>
  <si>
    <t>Manufacturer</t>
  </si>
  <si>
    <t>Vaccine short name</t>
  </si>
  <si>
    <t>Doses per vial or syringe</t>
  </si>
  <si>
    <r>
      <t>Storage space per secondary packaging (cm</t>
    </r>
    <r>
      <rPr>
        <b/>
        <vertAlign val="superscript"/>
        <sz val="10"/>
        <color theme="0"/>
        <rFont val="Roboto"/>
      </rPr>
      <t>3</t>
    </r>
    <r>
      <rPr>
        <b/>
        <sz val="10"/>
        <color theme="0"/>
        <rFont val="Roboto"/>
      </rPr>
      <t>)</t>
    </r>
  </si>
  <si>
    <r>
      <t>Storage space per tertiary packaging (cm</t>
    </r>
    <r>
      <rPr>
        <b/>
        <vertAlign val="superscript"/>
        <sz val="10"/>
        <color theme="0"/>
        <rFont val="Roboto"/>
      </rPr>
      <t>3</t>
    </r>
    <r>
      <rPr>
        <b/>
        <sz val="10"/>
        <color theme="0"/>
        <rFont val="Roboto"/>
      </rPr>
      <t>)</t>
    </r>
  </si>
  <si>
    <t>Batch or lot number</t>
  </si>
  <si>
    <t>Expiry date</t>
  </si>
  <si>
    <t>Quantity (doses)</t>
  </si>
  <si>
    <t>Quantity  (vials or syringes)</t>
  </si>
  <si>
    <t>Sector</t>
  </si>
  <si>
    <t>Status</t>
  </si>
  <si>
    <t>Expected arrival date</t>
  </si>
  <si>
    <t>Actual Arrival date</t>
  </si>
  <si>
    <t>Supplier</t>
  </si>
  <si>
    <t>PO number</t>
  </si>
  <si>
    <t>Shipment reference</t>
  </si>
  <si>
    <t>Syringes included?</t>
  </si>
  <si>
    <r>
      <t>Primary vaccine storage temperature (</t>
    </r>
    <r>
      <rPr>
        <b/>
        <sz val="10"/>
        <color theme="0"/>
        <rFont val="Calibri"/>
        <family val="2"/>
      </rPr>
      <t>°</t>
    </r>
    <r>
      <rPr>
        <b/>
        <sz val="10"/>
        <color theme="0"/>
        <rFont val="Roboto"/>
      </rPr>
      <t xml:space="preserve"> C)</t>
    </r>
  </si>
  <si>
    <t>Secondary space requirement (L)</t>
  </si>
  <si>
    <t>Tertiary space requirement (L)</t>
  </si>
  <si>
    <t>Arrival Month</t>
  </si>
  <si>
    <t>Length of time from shipment to expiry (months)</t>
  </si>
  <si>
    <t>Expiry Month</t>
  </si>
  <si>
    <t>Expiry year</t>
  </si>
  <si>
    <t>Expiry date (Rounded)</t>
  </si>
  <si>
    <t>Length of time between expected and actual arrival dates (days)</t>
  </si>
  <si>
    <t>Sinopharm, Verocell, 5 dose vial, Box of 400 vials</t>
  </si>
  <si>
    <t>Public</t>
  </si>
  <si>
    <t>Received</t>
  </si>
  <si>
    <t>COVAX</t>
  </si>
  <si>
    <t>Bilateral donation</t>
  </si>
  <si>
    <t>AstraZeneca-SK Bioscience, chAdOx1-s, 10 dose vial, Box of 10 vials</t>
  </si>
  <si>
    <t>5121Z009</t>
  </si>
  <si>
    <t>5121Z015</t>
  </si>
  <si>
    <t>Janssen, AD26.COV2.S, 5 dose vial, Box of 10 vials</t>
  </si>
  <si>
    <t>209C21A</t>
  </si>
  <si>
    <t>NH0249</t>
  </si>
  <si>
    <t>PV46682</t>
  </si>
  <si>
    <t>209D21A</t>
  </si>
  <si>
    <t>ACB5599</t>
  </si>
  <si>
    <t>202190z3017</t>
  </si>
  <si>
    <t>219C21-2A</t>
  </si>
  <si>
    <t>CTMAV5109</t>
  </si>
  <si>
    <t>202110b3401</t>
  </si>
  <si>
    <t>Pfizer-BioNTech, Comirnaty, needs dilution (purple cap), 6 dose vial, Box of 195 vials</t>
  </si>
  <si>
    <t>FL3208</t>
  </si>
  <si>
    <t>ACC5104</t>
  </si>
  <si>
    <t>202109b3016</t>
  </si>
  <si>
    <t>Ordered</t>
  </si>
  <si>
    <t xml:space="preserve">Pfizer-BioNTech, Comirnaty, ready-to-use (grey cap), 6 dose vial, Box of 195 vials </t>
  </si>
  <si>
    <t>kjsfhyoiq2yuq3y</t>
  </si>
  <si>
    <t>AVAT</t>
  </si>
  <si>
    <t>/</t>
  </si>
  <si>
    <r>
      <t>COVID19 VACCINES SUPPLY OUTLOOK |</t>
    </r>
    <r>
      <rPr>
        <sz val="18"/>
        <color theme="4"/>
        <rFont val="Roboto"/>
      </rPr>
      <t xml:space="preserve"> SUPPLY PLANNING DATA BY PRODUCT</t>
    </r>
  </si>
  <si>
    <t>Hide</t>
  </si>
  <si>
    <t>Scenario 1</t>
  </si>
  <si>
    <t>Scenario 2</t>
  </si>
  <si>
    <t>Country ISO code</t>
  </si>
  <si>
    <t>Month-Year
(Filter)</t>
  </si>
  <si>
    <t>Filter</t>
  </si>
  <si>
    <t>Beginning balance</t>
  </si>
  <si>
    <t>Administered
(1st dose)</t>
  </si>
  <si>
    <t>Administered (2nd dose)</t>
  </si>
  <si>
    <t>Administered
(additional dose)</t>
  </si>
  <si>
    <t>Administered (total)</t>
  </si>
  <si>
    <t>Open vial wastage (doses)</t>
  </si>
  <si>
    <t>Open vial wastage (%)</t>
  </si>
  <si>
    <t>Total consumption</t>
  </si>
  <si>
    <t>Adjustments (1)</t>
  </si>
  <si>
    <t>Adjustment reason (1)</t>
  </si>
  <si>
    <t>Adjustments (2)</t>
  </si>
  <si>
    <t>Adjustment reason (2)</t>
  </si>
  <si>
    <t>Received shipments</t>
  </si>
  <si>
    <t>Ordered shipments</t>
  </si>
  <si>
    <t>Running
expiry</t>
  </si>
  <si>
    <t>Quantity at risk of expiry</t>
  </si>
  <si>
    <t>Ending
balance</t>
  </si>
  <si>
    <t>MOS</t>
  </si>
  <si>
    <t>S1_Forecasted beginning balance</t>
  </si>
  <si>
    <t>S1_Forecasted doses</t>
  </si>
  <si>
    <t>S1_Forecasted wastage (%)</t>
  </si>
  <si>
    <t>S1_Forecasted consumption</t>
  </si>
  <si>
    <t>S1_Forecasted shipments</t>
  </si>
  <si>
    <t>S1_Running Expiry</t>
  </si>
  <si>
    <t>S1_Potential expiry</t>
  </si>
  <si>
    <t>S1_Forecasted ending balance</t>
  </si>
  <si>
    <t>S1_MOS</t>
  </si>
  <si>
    <t>S2_Forecasted beginning balance</t>
  </si>
  <si>
    <t>S2_Forecasted doses</t>
  </si>
  <si>
    <t>S2_Forecasted wastage (%)</t>
  </si>
  <si>
    <t>S2_Forecasted consumption</t>
  </si>
  <si>
    <t>S2_Forecasted shipments</t>
  </si>
  <si>
    <t>S2_Running Expiry</t>
  </si>
  <si>
    <t>S2_Potential expiry</t>
  </si>
  <si>
    <t>S2_Forecasted ending balance</t>
  </si>
  <si>
    <t>S2_MOS</t>
  </si>
  <si>
    <t>Expiry</t>
  </si>
  <si>
    <r>
      <t>COVID19 VACCINES SUPPLY OUTLOOK |</t>
    </r>
    <r>
      <rPr>
        <sz val="18"/>
        <color theme="4"/>
        <rFont val="Roboto"/>
      </rPr>
      <t xml:space="preserve"> SCENARIO PLANNING IN AGGREGATE</t>
    </r>
  </si>
  <si>
    <t>Average doses administered over the last three months</t>
  </si>
  <si>
    <t>Default average wastage rate from dashboard</t>
  </si>
  <si>
    <t>Maximum number of doses administered in a month</t>
  </si>
  <si>
    <t>Min</t>
  </si>
  <si>
    <t>Max</t>
  </si>
  <si>
    <t>or hide column</t>
  </si>
  <si>
    <t>DO not delete these; just hide them</t>
  </si>
  <si>
    <t>Date</t>
  </si>
  <si>
    <t>Adult Population Estimate</t>
  </si>
  <si>
    <t>Cumulative Vaccinated</t>
  </si>
  <si>
    <t>Est. primary series coverage</t>
  </si>
  <si>
    <t>Administered
(2nd dose)</t>
  </si>
  <si>
    <t>Administered
(Additional dose)</t>
  </si>
  <si>
    <t>Administered
(Total)</t>
  </si>
  <si>
    <t>Wasted doses
(open vial)</t>
  </si>
  <si>
    <t>Wastage 
rate %</t>
  </si>
  <si>
    <t>adjustments</t>
  </si>
  <si>
    <t>Shipments (Received)</t>
  </si>
  <si>
    <t>Shipments (Ordered)</t>
  </si>
  <si>
    <t>Ending balance</t>
  </si>
  <si>
    <t>Forecasted beginning balance</t>
  </si>
  <si>
    <t>Total actual consumption</t>
  </si>
  <si>
    <t>Forecasted doses</t>
  </si>
  <si>
    <t>Forecasted wastage (%)</t>
  </si>
  <si>
    <t>Forecasted consumption</t>
  </si>
  <si>
    <t>Total consumption (actual + forecast)</t>
  </si>
  <si>
    <t>Adjustments (1+2)</t>
  </si>
  <si>
    <t>Shipments (received)</t>
  </si>
  <si>
    <t>Shipments (ordered)</t>
  </si>
  <si>
    <t>Shipments (forecasted)</t>
  </si>
  <si>
    <t>Forecasted ending balance</t>
  </si>
  <si>
    <t>Quantity needed to reach max</t>
  </si>
  <si>
    <t>Estimated % adults covered</t>
  </si>
  <si>
    <t>Cumulative doses administered</t>
  </si>
  <si>
    <t>Est. cumulative adults covered with primary series</t>
  </si>
  <si>
    <t>SCENARIO 1 CONSUMPTION - Aggregate</t>
  </si>
  <si>
    <t>SCENARIO 2 CONSUMPTION - Aggregate</t>
  </si>
  <si>
    <t xml:space="preserve">Total consumption and estimated number of adults vaccinated over time </t>
  </si>
  <si>
    <t>SCENARIO 1 Stock Status - Aggregate</t>
  </si>
  <si>
    <t>SCENARIO 2 Stock Status - Aggregate</t>
  </si>
  <si>
    <t>Stock status including MoS for Scenario 1</t>
  </si>
  <si>
    <t>Stock status including MoS for Scenario 2</t>
  </si>
  <si>
    <t>BEGINNING
BALANCE</t>
  </si>
  <si>
    <t>ADMNINSTERED
(1ST DOSE)</t>
  </si>
  <si>
    <t>ADMINISTERED (2ND DOSE)</t>
  </si>
  <si>
    <t>ADMINISTERED (ADDITIONAL DOSE)</t>
  </si>
  <si>
    <t>ADMNINSTERED
(TOTAL)</t>
  </si>
  <si>
    <t>WASTED DOSES
(OPEN VIALS)</t>
  </si>
  <si>
    <t>WASTAGE 
RATE %</t>
  </si>
  <si>
    <t>TOTAL CONSUMPTION</t>
  </si>
  <si>
    <t>ADJUSTMENTS</t>
  </si>
  <si>
    <t>SHIPMENTS
Received</t>
  </si>
  <si>
    <t>SHIPMENTS
PLANNED</t>
  </si>
  <si>
    <t>RUNNING
EXPIRY</t>
  </si>
  <si>
    <t>POTENTIAL
EXPIRY</t>
  </si>
  <si>
    <t>ENDING
BALANCE</t>
  </si>
  <si>
    <t>FULL 
VACCINATION FORECAST</t>
  </si>
  <si>
    <t>Second doses</t>
  </si>
  <si>
    <t>Month</t>
  </si>
  <si>
    <t>Cummulative Vaccinated</t>
  </si>
  <si>
    <t>Potential expiry</t>
  </si>
  <si>
    <t>Vaccinated (achived + forecast)</t>
  </si>
  <si>
    <t>Shipments (Forecasted)</t>
  </si>
  <si>
    <t>Forecasted Wastage (%)</t>
  </si>
  <si>
    <t>Forecasted Consumption</t>
  </si>
  <si>
    <t>Forecasted Ending balance</t>
  </si>
  <si>
    <t>Total Consumption (actual + forecast)</t>
  </si>
  <si>
    <t>Forecast Addtl Adults Covered</t>
  </si>
  <si>
    <t>Dose 1</t>
  </si>
  <si>
    <t>Dose 2</t>
  </si>
  <si>
    <t>Additional</t>
  </si>
  <si>
    <t>Wastage</t>
  </si>
  <si>
    <t>Consumption over time by vaccine</t>
  </si>
  <si>
    <t>Adjustment</t>
  </si>
  <si>
    <t>*graph</t>
  </si>
  <si>
    <t>Adjustment count by reason</t>
  </si>
  <si>
    <t>Adjustment quantity by reason</t>
  </si>
  <si>
    <t>1st dose</t>
  </si>
  <si>
    <t>2nd dose</t>
  </si>
  <si>
    <t>additional dose</t>
  </si>
  <si>
    <t>unavoidable wastage</t>
  </si>
  <si>
    <t>Transfer in</t>
  </si>
  <si>
    <t>Transfer out</t>
  </si>
  <si>
    <t>Cold chain breach</t>
  </si>
  <si>
    <t>Damage</t>
  </si>
  <si>
    <t>Discard of unopened vials at the end of an outreach session</t>
  </si>
  <si>
    <t>Counting or data entry error</t>
  </si>
  <si>
    <t>*no graph yet</t>
  </si>
  <si>
    <t>Adjustment count by vaccine</t>
  </si>
  <si>
    <t>*table</t>
  </si>
  <si>
    <t>Adjustments by Vaccine</t>
  </si>
  <si>
    <t>Consumption over time (all vaccines)</t>
  </si>
  <si>
    <t>Consumption</t>
  </si>
  <si>
    <t>% of Consumption</t>
  </si>
  <si>
    <t>Sum</t>
  </si>
  <si>
    <t>Coverage</t>
  </si>
  <si>
    <t>Syringe availability</t>
  </si>
  <si>
    <t>Total syringe gap</t>
  </si>
  <si>
    <t>Select start date:</t>
  </si>
  <si>
    <t>Select vaccine:</t>
  </si>
  <si>
    <t>Utilization rate:</t>
  </si>
  <si>
    <t>Population category selected to calculate coverage:</t>
  </si>
  <si>
    <t>Quantity required for second doses:</t>
  </si>
  <si>
    <t xml:space="preserve">Weighted average number of doses required to estimate full coverage for primary series: </t>
  </si>
  <si>
    <t>TOTAL COVID-19 VACCINE STOCK STATUS</t>
  </si>
  <si>
    <t>CONSUMPTION</t>
  </si>
  <si>
    <t>OUTLOOK</t>
  </si>
  <si>
    <t xml:space="preserve">Total consumption per month and estimated number of adults vaccinated over time </t>
  </si>
  <si>
    <t>Select Month:</t>
  </si>
  <si>
    <t>Average monthly  consumption</t>
  </si>
  <si>
    <t>Ending balance (Qty)</t>
  </si>
  <si>
    <t>Ending balance (MoS)</t>
  </si>
  <si>
    <t>Ordered shipments (Qty)</t>
  </si>
  <si>
    <t>Ordered shipments (MoS)</t>
  </si>
  <si>
    <t>Total</t>
  </si>
  <si>
    <t xml:space="preserve">“Total” assumes no preference for products. </t>
  </si>
  <si>
    <t>CURRENT INVENTORY WITH EXPIRY DATES</t>
  </si>
  <si>
    <t>Vaccine consumption proportions over time</t>
  </si>
  <si>
    <t>Current outlook before scenario forecasts</t>
  </si>
  <si>
    <t>SCENARIO 1 - Supply Planning Data</t>
  </si>
  <si>
    <t>SCENARIO 2 - Supply Planning Data</t>
  </si>
  <si>
    <t>CONSUMPTION SUMMARY TABLES</t>
  </si>
  <si>
    <t xml:space="preserve">for: </t>
  </si>
  <si>
    <t>Select end date:</t>
  </si>
  <si>
    <t>Doses administered</t>
  </si>
  <si>
    <t xml:space="preserve">Monthly administration, open-vial wastage, and consumption </t>
  </si>
  <si>
    <t>Utilization rate*</t>
  </si>
  <si>
    <t>Administered (additional dose)</t>
  </si>
  <si>
    <t>Second doses needed</t>
  </si>
  <si>
    <t>Additional doses needed</t>
  </si>
  <si>
    <t>Total needed for full series</t>
  </si>
  <si>
    <t>Average administration</t>
  </si>
  <si>
    <t>Maximum Administration</t>
  </si>
  <si>
    <t>Open-vial wastage (doses)</t>
  </si>
  <si>
    <t>Average percent</t>
  </si>
  <si>
    <t>Average consumption</t>
  </si>
  <si>
    <t>Maximum consumption</t>
  </si>
  <si>
    <t>Total received</t>
  </si>
  <si>
    <t>Utilization rate</t>
  </si>
  <si>
    <t>Aggregate</t>
  </si>
  <si>
    <t>*Total doses administered/Total shipments received</t>
  </si>
  <si>
    <t>SHIPMENT SUMMARY TABLES</t>
  </si>
  <si>
    <t>Chart: Adjustment quantities over time by reason for adjustment</t>
  </si>
  <si>
    <t>Table: Adjustment quantities over time by reason for adjustment</t>
  </si>
  <si>
    <t>Total doses by shipment status</t>
  </si>
  <si>
    <r>
      <t xml:space="preserve">Shelf-life remaining from time of shipment </t>
    </r>
    <r>
      <rPr>
        <i/>
        <sz val="11"/>
        <color theme="5"/>
        <rFont val="Roboto"/>
      </rPr>
      <t>(months)</t>
    </r>
  </si>
  <si>
    <r>
      <t xml:space="preserve">Difference between expected and actual shipment dates </t>
    </r>
    <r>
      <rPr>
        <i/>
        <sz val="11"/>
        <color theme="5"/>
        <rFont val="Roboto"/>
      </rPr>
      <t>(days)</t>
    </r>
  </si>
  <si>
    <t>Outreach session discard</t>
  </si>
  <si>
    <t>Doses received</t>
  </si>
  <si>
    <t>Doses ordered</t>
  </si>
  <si>
    <t>Average</t>
  </si>
  <si>
    <t>Country procurement</t>
  </si>
  <si>
    <t xml:space="preserve">Average </t>
  </si>
  <si>
    <t xml:space="preserve">Steps: </t>
  </si>
  <si>
    <t>Enter # of months to reach goal</t>
  </si>
  <si>
    <t xml:space="preserve">1. Enter the required information into the grey cells (F4-F7); Choose # of months that will allow for goals to be reached with available stock on hand and lead times. 
2. Determine and enter future vaccine proportions in column C based on historic proportions, distribution, or implementation plans. The total should be 100% in cell C28.
3. Compare monthly results to what has been the pattern of consumption; adapt and apply to scenario planning.
4. Change input variable to reach the most likely forecast. </t>
  </si>
  <si>
    <t>Enter coverage goal for primary series</t>
  </si>
  <si>
    <t>Enter coverage goal for boosters</t>
  </si>
  <si>
    <t>Policy will allow mix &amp; match of vaccines</t>
  </si>
  <si>
    <t>Target population*</t>
  </si>
  <si>
    <t>*based on selection in dashboard</t>
  </si>
  <si>
    <t>Proportions (enter proportions)</t>
  </si>
  <si>
    <t>Value without Jansen as second dose</t>
  </si>
  <si>
    <t>Current second doses needed</t>
  </si>
  <si>
    <r>
      <t xml:space="preserve">Current doses needed </t>
    </r>
    <r>
      <rPr>
        <b/>
        <sz val="9"/>
        <color theme="0"/>
        <rFont val="Roboto"/>
      </rPr>
      <t>per month</t>
    </r>
  </si>
  <si>
    <r>
      <t xml:space="preserve">Additional primary series doses needed </t>
    </r>
    <r>
      <rPr>
        <b/>
        <sz val="9"/>
        <color theme="0"/>
        <rFont val="Roboto"/>
      </rPr>
      <t>per month</t>
    </r>
    <r>
      <rPr>
        <sz val="9"/>
        <color theme="0"/>
        <rFont val="Roboto"/>
      </rPr>
      <t xml:space="preserve"> to reach  goal</t>
    </r>
  </si>
  <si>
    <r>
      <t xml:space="preserve">Current boosters needed </t>
    </r>
    <r>
      <rPr>
        <b/>
        <sz val="9"/>
        <color theme="0"/>
        <rFont val="Roboto"/>
      </rPr>
      <t>per month</t>
    </r>
    <r>
      <rPr>
        <sz val="9"/>
        <color theme="0"/>
        <rFont val="Roboto"/>
      </rPr>
      <t xml:space="preserve"> to reach goals</t>
    </r>
  </si>
  <si>
    <r>
      <t xml:space="preserve">Total doses to be administered </t>
    </r>
    <r>
      <rPr>
        <b/>
        <sz val="9"/>
        <color theme="0"/>
        <rFont val="Roboto"/>
      </rPr>
      <t>per month</t>
    </r>
    <r>
      <rPr>
        <sz val="9"/>
        <color theme="0"/>
        <rFont val="Roboto"/>
      </rPr>
      <t xml:space="preserve"> to reach goals</t>
    </r>
  </si>
  <si>
    <t>Doses needed per month</t>
  </si>
  <si>
    <t>COVID-19 Vaccine Supply Outlook | Report</t>
  </si>
  <si>
    <t>f</t>
  </si>
  <si>
    <t>Total adjustments</t>
  </si>
  <si>
    <t>Manufacturer/licence holder</t>
  </si>
  <si>
    <t>Vaccine name</t>
  </si>
  <si>
    <t>Short_name (hide)</t>
  </si>
  <si>
    <t>Doses per vial</t>
  </si>
  <si>
    <t>Secondary Packaging (cubic cm)</t>
  </si>
  <si>
    <t>Tertiary Packaging (cubic cm)</t>
  </si>
  <si>
    <t>Vaccine storage temperature</t>
  </si>
  <si>
    <t>AstraZeneca-COVISHIELD, chAdOx1-s, 2 dose vial, Box of 50 vials</t>
  </si>
  <si>
    <t>COVID-19</t>
  </si>
  <si>
    <t>AstraZeneca AB + University of Oxford - COVISHIELD</t>
  </si>
  <si>
    <t>AZD1222</t>
  </si>
  <si>
    <t>2° C to 8° C</t>
  </si>
  <si>
    <t>AstraZeneca-COVISHIELD, chAdOx1-s, 10 dose vial, Box of 50 vials</t>
  </si>
  <si>
    <t>AstraZeneca AB + University of Oxford - SK Bioscience</t>
  </si>
  <si>
    <t>AstraZeneca-unspecified, 1 dose</t>
  </si>
  <si>
    <t>AstraZeneca-unspecified</t>
  </si>
  <si>
    <t>AZD1223</t>
  </si>
  <si>
    <t>n/a</t>
  </si>
  <si>
    <t>Sinopharm, Verocell, single dose vial, Box of 400 vials</t>
  </si>
  <si>
    <t>BIBP., Ltd, Sinopharm</t>
  </si>
  <si>
    <t>SARS-CoV-2 Vaccine (Vero Cell),Inactivated (lnCoV)</t>
  </si>
  <si>
    <t>Sinopharm</t>
  </si>
  <si>
    <t>Sinopharm, Verocell, single dose vial, Box of 600 vials</t>
  </si>
  <si>
    <t>Sinopharm, Verocell, 2 dose vial, Box of 400 vials</t>
  </si>
  <si>
    <t>Sinopharm, Verocell, 2 dose vial, Box of 600 vials</t>
  </si>
  <si>
    <t>Sinopharm, Verocell, 2 dose vial, Box of 1,000 vials</t>
  </si>
  <si>
    <t>Sinopharm, Verocell, 5 dose vial, Box of 600 vials</t>
  </si>
  <si>
    <t>Sinopharm, Verocell, 5 dose vial, Box of 1,000 vials</t>
  </si>
  <si>
    <t>Sinopharm, Verocell, monodose pre-filled syringe, Box of 300 syringes</t>
  </si>
  <si>
    <t>Sinopharm, Verocell, monodose pre-filled syringe, Box of 240 syringes</t>
  </si>
  <si>
    <t>Sinopharm-unspecified, 1-dose</t>
  </si>
  <si>
    <t>Janssen</t>
  </si>
  <si>
    <t>AD26.COV2.S</t>
  </si>
  <si>
    <t>Moderna, mRNA-1273, 10 dose vial, Box of 10 vials</t>
  </si>
  <si>
    <t>mRNA-1273</t>
  </si>
  <si>
    <t>-25° C to -15° C</t>
  </si>
  <si>
    <t>Moderna, mRNA-1273, 15 dose vial, Box of 10 vials</t>
  </si>
  <si>
    <t>COVID-20</t>
  </si>
  <si>
    <t>mRNA-1274</t>
  </si>
  <si>
    <t>Novavax, COVAXIN, single dose vial, Box of 1,152 vials</t>
  </si>
  <si>
    <t>Novavax Inc</t>
  </si>
  <si>
    <t>NVX-CoV2373/Covovax</t>
  </si>
  <si>
    <t>Novavax</t>
  </si>
  <si>
    <t>Novavax, COVAXIN, 5 dose vial, Box of 1,152 vials</t>
  </si>
  <si>
    <t>Novavax, COVAXIN, 10 dose vial, Box of 512 vials</t>
  </si>
  <si>
    <t>Novavax, COVAXIN, 10 dose vial, Box of 288 vials</t>
  </si>
  <si>
    <t>Novavax, COVAXIN, 20 dose vial, Box of 384 vials</t>
  </si>
  <si>
    <t>Novavax-unspecified, 1 dose</t>
  </si>
  <si>
    <t>Pfizer-BioNTech</t>
  </si>
  <si>
    <t>BNT162b2/COMIRNATY</t>
  </si>
  <si>
    <t>-90° C to -60° C</t>
  </si>
  <si>
    <t xml:space="preserve">Pfizer-BioNTech, Comirnaty, ready-to-use (grey cap), 6 dose vial, Box of 10 vials </t>
  </si>
  <si>
    <t xml:space="preserve">Pfizer-BioNTech, Comirnaty, Pediatric needs dilution (orange cap), 10 dose vial, Box of 195 vials </t>
  </si>
  <si>
    <t xml:space="preserve">Pfizer-BioNTech, Comirnaty, Pediatric needs dilution (orange cap), 10 dose vial, Box of 10 vials </t>
  </si>
  <si>
    <t>Sinovac, CoronaVac, single dose vial, Box of 40 vials</t>
  </si>
  <si>
    <t>Sinovac Research and Development Co., Ltd</t>
  </si>
  <si>
    <t>SARS-CoV-2 Vaccine (Vero Cell), Inactivated</t>
  </si>
  <si>
    <t>Sinovac, CoronaVac, monodose pre-filled syringe, Box of 10 syringes</t>
  </si>
  <si>
    <t>Sinovac-unspecified, 1 dose</t>
  </si>
  <si>
    <t>CODE</t>
  </si>
  <si>
    <t>Years</t>
  </si>
  <si>
    <t>Months</t>
  </si>
  <si>
    <t>Vendor</t>
  </si>
  <si>
    <t>Short name</t>
  </si>
  <si>
    <t>DOSE</t>
  </si>
  <si>
    <t>Afghanistan</t>
  </si>
  <si>
    <t>AFG</t>
  </si>
  <si>
    <t>Jan</t>
  </si>
  <si>
    <t>Pfizer BioNTech</t>
  </si>
  <si>
    <t>Comirnaty</t>
  </si>
  <si>
    <t>1st</t>
  </si>
  <si>
    <t>Albania</t>
  </si>
  <si>
    <t>ALB</t>
  </si>
  <si>
    <t>Feb</t>
  </si>
  <si>
    <t>2nd</t>
  </si>
  <si>
    <t>Private</t>
  </si>
  <si>
    <t>Algeria</t>
  </si>
  <si>
    <t>DZA</t>
  </si>
  <si>
    <t>Mar</t>
  </si>
  <si>
    <t>Vaxevria</t>
  </si>
  <si>
    <t xml:space="preserve">Additional </t>
  </si>
  <si>
    <t>Other</t>
  </si>
  <si>
    <t>American Samoa</t>
  </si>
  <si>
    <t>ASM</t>
  </si>
  <si>
    <t>Apr</t>
  </si>
  <si>
    <t>Janssen Vaccines</t>
  </si>
  <si>
    <t>Ad26.COV 2.5</t>
  </si>
  <si>
    <t>Andorra</t>
  </si>
  <si>
    <t>AND</t>
  </si>
  <si>
    <t>May</t>
  </si>
  <si>
    <t>Beijing Institute of Biological</t>
  </si>
  <si>
    <t>BBIBP-CorV</t>
  </si>
  <si>
    <t>Angola</t>
  </si>
  <si>
    <t>AGO</t>
  </si>
  <si>
    <t>Jun</t>
  </si>
  <si>
    <t>CoronaVac</t>
  </si>
  <si>
    <t>Anguilla</t>
  </si>
  <si>
    <t>AIA</t>
  </si>
  <si>
    <t>Jul</t>
  </si>
  <si>
    <t>Serum Life Sciences Ltd</t>
  </si>
  <si>
    <t>Covishield</t>
  </si>
  <si>
    <t>Antarctica</t>
  </si>
  <si>
    <t>ATA</t>
  </si>
  <si>
    <t>Aug</t>
  </si>
  <si>
    <t>Gamaleya Research Institute</t>
  </si>
  <si>
    <t>Sputnik V</t>
  </si>
  <si>
    <t>Antigua and Barbuda</t>
  </si>
  <si>
    <t>ATG</t>
  </si>
  <si>
    <t>Sep</t>
  </si>
  <si>
    <t>Sputnik Light</t>
  </si>
  <si>
    <t>Argentina</t>
  </si>
  <si>
    <t>ARG</t>
  </si>
  <si>
    <t>Oct</t>
  </si>
  <si>
    <t>Armenia</t>
  </si>
  <si>
    <t>ARM</t>
  </si>
  <si>
    <t>Nov</t>
  </si>
  <si>
    <t>Aruba</t>
  </si>
  <si>
    <t>ABW</t>
  </si>
  <si>
    <t>Dec</t>
  </si>
  <si>
    <t>Australia</t>
  </si>
  <si>
    <t>AUS</t>
  </si>
  <si>
    <t>Austria</t>
  </si>
  <si>
    <t>AUT</t>
  </si>
  <si>
    <t>Azerbaijan</t>
  </si>
  <si>
    <t>AZE</t>
  </si>
  <si>
    <t>Bahamas (the)</t>
  </si>
  <si>
    <t>BHS</t>
  </si>
  <si>
    <t>Bahrain</t>
  </si>
  <si>
    <t>BHR</t>
  </si>
  <si>
    <t>Bangladesh</t>
  </si>
  <si>
    <t>BGD</t>
  </si>
  <si>
    <t>Barbados</t>
  </si>
  <si>
    <t>BRB</t>
  </si>
  <si>
    <t>Belarus</t>
  </si>
  <si>
    <t>BLR</t>
  </si>
  <si>
    <t>Belgium</t>
  </si>
  <si>
    <t>BEL</t>
  </si>
  <si>
    <t>Belize</t>
  </si>
  <si>
    <t>BLZ</t>
  </si>
  <si>
    <t>Benin</t>
  </si>
  <si>
    <t>BEN</t>
  </si>
  <si>
    <t>Bermuda</t>
  </si>
  <si>
    <t>BMU</t>
  </si>
  <si>
    <t>Bhutan</t>
  </si>
  <si>
    <t>BTN</t>
  </si>
  <si>
    <t>Bolivia (Plurinational State of)</t>
  </si>
  <si>
    <t>BOL</t>
  </si>
  <si>
    <t>Bonaire, Sint Eustatius and Saba</t>
  </si>
  <si>
    <t>BES</t>
  </si>
  <si>
    <t>Bosnia and Herzegovina</t>
  </si>
  <si>
    <t>BIH</t>
  </si>
  <si>
    <t>Botswana</t>
  </si>
  <si>
    <t>BWA</t>
  </si>
  <si>
    <t>Bouvet Island</t>
  </si>
  <si>
    <t>BVT</t>
  </si>
  <si>
    <t>Brazil</t>
  </si>
  <si>
    <t>BRA</t>
  </si>
  <si>
    <t>British Indian Ocean Territory (the)</t>
  </si>
  <si>
    <t>IOT</t>
  </si>
  <si>
    <t>Brunei Darussalam</t>
  </si>
  <si>
    <t>BRN</t>
  </si>
  <si>
    <t>Bulgaria</t>
  </si>
  <si>
    <t>BGR</t>
  </si>
  <si>
    <t>Burkina Faso</t>
  </si>
  <si>
    <t>BFA</t>
  </si>
  <si>
    <t>Burundi</t>
  </si>
  <si>
    <t>BDI</t>
  </si>
  <si>
    <t>Cabo Verde</t>
  </si>
  <si>
    <t>CPV</t>
  </si>
  <si>
    <t>Cambodia</t>
  </si>
  <si>
    <t>KHM</t>
  </si>
  <si>
    <t>Cameroon</t>
  </si>
  <si>
    <t>CMR</t>
  </si>
  <si>
    <t>Canada</t>
  </si>
  <si>
    <t>CAN</t>
  </si>
  <si>
    <t>Cayman Islands (the)</t>
  </si>
  <si>
    <t>CYM</t>
  </si>
  <si>
    <t>Central African Republic (the)</t>
  </si>
  <si>
    <t>CAF</t>
  </si>
  <si>
    <t>Chad</t>
  </si>
  <si>
    <t>TCD</t>
  </si>
  <si>
    <t>Chile</t>
  </si>
  <si>
    <t>CHL</t>
  </si>
  <si>
    <t>China</t>
  </si>
  <si>
    <t>CHN</t>
  </si>
  <si>
    <t>Christmas Island</t>
  </si>
  <si>
    <t>CXR</t>
  </si>
  <si>
    <t>Cocos (Keeling) Islands (the)</t>
  </si>
  <si>
    <t>CCK</t>
  </si>
  <si>
    <t>Colombia</t>
  </si>
  <si>
    <t>COL</t>
  </si>
  <si>
    <t>Comoros (the)</t>
  </si>
  <si>
    <t>COM</t>
  </si>
  <si>
    <t>Congo (the Democratic Republic of the)</t>
  </si>
  <si>
    <t>COD</t>
  </si>
  <si>
    <t>Adjustment Counts Over Time by Reason for Adjustment</t>
  </si>
  <si>
    <t>Adjustment Quantities Over Time by Reason for Adjustment</t>
  </si>
  <si>
    <t>Congo (the)</t>
  </si>
  <si>
    <t>COG</t>
  </si>
  <si>
    <t>Cook Islands (the)</t>
  </si>
  <si>
    <t>COK</t>
  </si>
  <si>
    <t>Costa Rica</t>
  </si>
  <si>
    <t>CRI</t>
  </si>
  <si>
    <t>Croatia</t>
  </si>
  <si>
    <t>HRV</t>
  </si>
  <si>
    <t>Cuba</t>
  </si>
  <si>
    <t>CUB</t>
  </si>
  <si>
    <t>Curaçao</t>
  </si>
  <si>
    <t>CUW</t>
  </si>
  <si>
    <t>Cyprus</t>
  </si>
  <si>
    <t>CYP</t>
  </si>
  <si>
    <t>Czechia</t>
  </si>
  <si>
    <t>CZE</t>
  </si>
  <si>
    <t>Côte d'Ivoire</t>
  </si>
  <si>
    <t>CIV</t>
  </si>
  <si>
    <t>Denmark</t>
  </si>
  <si>
    <t>DNK</t>
  </si>
  <si>
    <t>Djibouti</t>
  </si>
  <si>
    <t>DJI</t>
  </si>
  <si>
    <t>Dominica</t>
  </si>
  <si>
    <t>DMA</t>
  </si>
  <si>
    <t>Dominican Republic (the)</t>
  </si>
  <si>
    <t>DOM</t>
  </si>
  <si>
    <t>Ecuador</t>
  </si>
  <si>
    <t>ECU</t>
  </si>
  <si>
    <t>Egypt</t>
  </si>
  <si>
    <t>EGY</t>
  </si>
  <si>
    <t>El Salvador</t>
  </si>
  <si>
    <t>SLV</t>
  </si>
  <si>
    <t>Equatorial Guinea</t>
  </si>
  <si>
    <t>GNQ</t>
  </si>
  <si>
    <t>Total Adjustment Counts by Vaccine and Reason</t>
  </si>
  <si>
    <t>Total Adjustment Quantities by Vaccine and Reason</t>
  </si>
  <si>
    <t>Eritrea</t>
  </si>
  <si>
    <t>ERI</t>
  </si>
  <si>
    <t>Estonia</t>
  </si>
  <si>
    <t>EST</t>
  </si>
  <si>
    <t>Eswatini</t>
  </si>
  <si>
    <t>SWZ</t>
  </si>
  <si>
    <t>Ethiopia</t>
  </si>
  <si>
    <t>ETH</t>
  </si>
  <si>
    <t>Falkland Islands (the) [Malvinas]</t>
  </si>
  <si>
    <t>FLK</t>
  </si>
  <si>
    <t>Faroe Islands (the)</t>
  </si>
  <si>
    <t>FRO</t>
  </si>
  <si>
    <t>Fiji</t>
  </si>
  <si>
    <t>FJI</t>
  </si>
  <si>
    <t>Finland</t>
  </si>
  <si>
    <t>FIN</t>
  </si>
  <si>
    <t>France</t>
  </si>
  <si>
    <t>FRA</t>
  </si>
  <si>
    <t>French Guiana</t>
  </si>
  <si>
    <t>GUF</t>
  </si>
  <si>
    <t>French Polynesia</t>
  </si>
  <si>
    <t>PYF</t>
  </si>
  <si>
    <t>French Southern Territories (the)</t>
  </si>
  <si>
    <t>ATF</t>
  </si>
  <si>
    <t>Gabon</t>
  </si>
  <si>
    <t>GAB</t>
  </si>
  <si>
    <t>Gambia (the)</t>
  </si>
  <si>
    <t>GMB</t>
  </si>
  <si>
    <t>Georgia</t>
  </si>
  <si>
    <t>GEO</t>
  </si>
  <si>
    <t>Germany</t>
  </si>
  <si>
    <t>DEU</t>
  </si>
  <si>
    <t>Ghana</t>
  </si>
  <si>
    <t>GHA</t>
  </si>
  <si>
    <t>Gibraltar</t>
  </si>
  <si>
    <t>GIB</t>
  </si>
  <si>
    <t>Greece</t>
  </si>
  <si>
    <t>GRC</t>
  </si>
  <si>
    <t>Greenland</t>
  </si>
  <si>
    <t>GRL</t>
  </si>
  <si>
    <t>Grenada</t>
  </si>
  <si>
    <t>GRD</t>
  </si>
  <si>
    <t>Guadeloupe</t>
  </si>
  <si>
    <t>GLP</t>
  </si>
  <si>
    <t>Guam</t>
  </si>
  <si>
    <t>GUM</t>
  </si>
  <si>
    <t>Guatemala</t>
  </si>
  <si>
    <t>GTM</t>
  </si>
  <si>
    <t>Guernsey</t>
  </si>
  <si>
    <t>GGY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</si>
  <si>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</si>
  <si>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</si>
  <si>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</si>
  <si>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</si>
  <si>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</si>
  <si>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</si>
  <si>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</si>
  <si>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</si>
  <si>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Heard Island and McDonald Islands</t>
  </si>
  <si>
    <t>HMD</t>
  </si>
  <si>
    <t>Holy See (the)</t>
  </si>
  <si>
    <t>VAT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</si>
  <si>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</si>
  <si>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</si>
  <si>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</si>
  <si>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</si>
  <si>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</si>
  <si>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</si>
  <si>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</si>
  <si>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</si>
  <si>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</si>
  <si>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</si>
  <si>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</si>
  <si>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</si>
  <si>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Iran (Islamic Republic of)</t>
  </si>
  <si>
    <t>IRN</t>
  </si>
  <si>
    <t>Iraq</t>
  </si>
  <si>
    <t>IRQ</t>
  </si>
  <si>
    <t>Ireland</t>
  </si>
  <si>
    <t>IRL</t>
  </si>
  <si>
    <t>Isle of Man</t>
  </si>
  <si>
    <t>IMN</t>
  </si>
  <si>
    <t>Israel</t>
  </si>
  <si>
    <t>ISR</t>
  </si>
  <si>
    <t>Italy</t>
  </si>
  <si>
    <t>ITA</t>
  </si>
  <si>
    <t>Jamaica</t>
  </si>
  <si>
    <t>JAM</t>
  </si>
  <si>
    <t>Japan</t>
  </si>
  <si>
    <t>JPN</t>
  </si>
  <si>
    <t>Jersey</t>
  </si>
  <si>
    <t>JEY</t>
  </si>
  <si>
    <t>Jordan</t>
  </si>
  <si>
    <t>JOR</t>
  </si>
  <si>
    <t>Kazakhstan</t>
  </si>
  <si>
    <t>KAZ</t>
  </si>
  <si>
    <t>Kenya</t>
  </si>
  <si>
    <t>KEN</t>
  </si>
  <si>
    <t>Kiribati</t>
  </si>
  <si>
    <t>KIR</t>
  </si>
  <si>
    <t>Korea (the Democratic People's Republic of)</t>
  </si>
  <si>
    <t>PRK</t>
  </si>
  <si>
    <t>Korea (the Republic of)</t>
  </si>
  <si>
    <t>KOR</t>
  </si>
  <si>
    <t>Kuwait</t>
  </si>
  <si>
    <t>KWT</t>
  </si>
  <si>
    <t>Kyrgyzstan</t>
  </si>
  <si>
    <t>KGZ</t>
  </si>
  <si>
    <t>Lao People's Democratic Republic (the)</t>
  </si>
  <si>
    <t>LAO</t>
  </si>
  <si>
    <t>Latvia</t>
  </si>
  <si>
    <t>LVA</t>
  </si>
  <si>
    <t>Lebanon</t>
  </si>
  <si>
    <t>LBN</t>
  </si>
  <si>
    <t>Lesotho</t>
  </si>
  <si>
    <t>LSO</t>
  </si>
  <si>
    <t>Liberia</t>
  </si>
  <si>
    <t>LBR</t>
  </si>
  <si>
    <t>Libya</t>
  </si>
  <si>
    <t>LBY</t>
  </si>
  <si>
    <t>Liechtenstein</t>
  </si>
  <si>
    <t>LIE</t>
  </si>
  <si>
    <t>Lithuania</t>
  </si>
  <si>
    <t>LTU</t>
  </si>
  <si>
    <t>Luxembourg</t>
  </si>
  <si>
    <t>LUX</t>
  </si>
  <si>
    <t>Macao</t>
  </si>
  <si>
    <t>MAC</t>
  </si>
  <si>
    <t>Madagascar</t>
  </si>
  <si>
    <t>MDG</t>
  </si>
  <si>
    <t>Malawi</t>
  </si>
  <si>
    <t>MWI</t>
  </si>
  <si>
    <t>Malaysia</t>
  </si>
  <si>
    <t>MYS</t>
  </si>
  <si>
    <t>Maldives</t>
  </si>
  <si>
    <t>MDV</t>
  </si>
  <si>
    <t>Mali</t>
  </si>
  <si>
    <t>MLI</t>
  </si>
  <si>
    <t>Malta</t>
  </si>
  <si>
    <t>MLT</t>
  </si>
  <si>
    <t>Marshall Islands (the)</t>
  </si>
  <si>
    <t>MHL</t>
  </si>
  <si>
    <t>Martinique</t>
  </si>
  <si>
    <t>MTQ</t>
  </si>
  <si>
    <t>Mauritania</t>
  </si>
  <si>
    <t>MRT</t>
  </si>
  <si>
    <t>Mauritius</t>
  </si>
  <si>
    <t>MUS</t>
  </si>
  <si>
    <t>Mayotte</t>
  </si>
  <si>
    <t>MYT</t>
  </si>
  <si>
    <t>Mexico</t>
  </si>
  <si>
    <t>MEX</t>
  </si>
  <si>
    <t>Micronesia (Federated States of)</t>
  </si>
  <si>
    <t>FSM</t>
  </si>
  <si>
    <t>Moldova (the Republic of)</t>
  </si>
  <si>
    <t>MDA</t>
  </si>
  <si>
    <t>Monaco</t>
  </si>
  <si>
    <t>MCO</t>
  </si>
  <si>
    <t>Mongolia</t>
  </si>
  <si>
    <t>MNG</t>
  </si>
  <si>
    <t>Montenegro</t>
  </si>
  <si>
    <t>MNE</t>
  </si>
  <si>
    <t>Montserrat</t>
  </si>
  <si>
    <t>MSR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</si>
  <si>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</si>
  <si>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</si>
  <si>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</si>
  <si>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</si>
  <si>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</si>
  <si>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</si>
  <si>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</si>
  <si>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</si>
  <si>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Nauru</t>
  </si>
  <si>
    <t>NRU</t>
  </si>
  <si>
    <t>Nepal</t>
  </si>
  <si>
    <t>NPL</t>
  </si>
  <si>
    <t>Netherlands (the)</t>
  </si>
  <si>
    <t>NLD</t>
  </si>
  <si>
    <t>New Caledonia</t>
  </si>
  <si>
    <t>NCL</t>
  </si>
  <si>
    <t>New Zealand</t>
  </si>
  <si>
    <t>NZL</t>
  </si>
  <si>
    <t>Nicaragua</t>
  </si>
  <si>
    <t>NIC</t>
  </si>
  <si>
    <t>Niger (the)</t>
  </si>
  <si>
    <t>NER</t>
  </si>
  <si>
    <t>Nigeria</t>
  </si>
  <si>
    <t>NGA</t>
  </si>
  <si>
    <t>Niue</t>
  </si>
  <si>
    <t>NIU</t>
  </si>
  <si>
    <t>Norfolk Island</t>
  </si>
  <si>
    <t>NFK</t>
  </si>
  <si>
    <t>Northern Mariana Islands (the)</t>
  </si>
  <si>
    <t>MNP</t>
  </si>
  <si>
    <t>Norway</t>
  </si>
  <si>
    <t>NOR</t>
  </si>
  <si>
    <t>Oman</t>
  </si>
  <si>
    <t>OMN</t>
  </si>
  <si>
    <t>Pakistan</t>
  </si>
  <si>
    <t>PAK</t>
  </si>
  <si>
    <t>Palau</t>
  </si>
  <si>
    <t>PLW</t>
  </si>
  <si>
    <t>Palestine, State of</t>
  </si>
  <si>
    <t>PSE</t>
  </si>
  <si>
    <t>Panama</t>
  </si>
  <si>
    <t>PAN</t>
  </si>
  <si>
    <t>Papua New Guinea</t>
  </si>
  <si>
    <t>PNG</t>
  </si>
  <si>
    <t>Paraguay</t>
  </si>
  <si>
    <t>PRY</t>
  </si>
  <si>
    <t>Peru</t>
  </si>
  <si>
    <t>PER</t>
  </si>
  <si>
    <t>Philippines (the)</t>
  </si>
  <si>
    <t>PHL</t>
  </si>
  <si>
    <t>Pitcairn</t>
  </si>
  <si>
    <t>PCN</t>
  </si>
  <si>
    <t>Poland</t>
  </si>
  <si>
    <t>POL</t>
  </si>
  <si>
    <t>Portugal</t>
  </si>
  <si>
    <t>PRT</t>
  </si>
  <si>
    <t>Puerto Rico</t>
  </si>
  <si>
    <t>PRI</t>
  </si>
  <si>
    <t>Qatar</t>
  </si>
  <si>
    <t>QAT</t>
  </si>
  <si>
    <t>Republic of North Macedonia</t>
  </si>
  <si>
    <t>MKD</t>
  </si>
  <si>
    <t>Romania</t>
  </si>
  <si>
    <t>ROU</t>
  </si>
  <si>
    <t>Russian Federation (the)</t>
  </si>
  <si>
    <t>RUS</t>
  </si>
  <si>
    <t>Rwanda</t>
  </si>
  <si>
    <t>RWA</t>
  </si>
  <si>
    <t>Réunion</t>
  </si>
  <si>
    <t>REU</t>
  </si>
  <si>
    <t>Saint Barthélemy</t>
  </si>
  <si>
    <t>BLM</t>
  </si>
  <si>
    <t>Saint Helena, Ascension and Tristan da Cunha</t>
  </si>
  <si>
    <t>SHN</t>
  </si>
  <si>
    <t>Saint Kitts and Nevis</t>
  </si>
  <si>
    <t>KNA</t>
  </si>
  <si>
    <t>Saint Lucia</t>
  </si>
  <si>
    <t>LCA</t>
  </si>
  <si>
    <t>Saint Martin (French part)</t>
  </si>
  <si>
    <t>MAF</t>
  </si>
  <si>
    <t>Saint Pierre and Miquelon</t>
  </si>
  <si>
    <t>SPM</t>
  </si>
  <si>
    <t>Saint Vincent and the Grenadines</t>
  </si>
  <si>
    <t>VCT</t>
  </si>
  <si>
    <t>Samoa</t>
  </si>
  <si>
    <t>WSM</t>
  </si>
  <si>
    <t>San Marino</t>
  </si>
  <si>
    <t>SMR</t>
  </si>
  <si>
    <t>Sao Tome and Principe</t>
  </si>
  <si>
    <t>STP</t>
  </si>
  <si>
    <t>Saudi Arabia</t>
  </si>
  <si>
    <t>SAU</t>
  </si>
  <si>
    <t>Senegal</t>
  </si>
  <si>
    <t>SEN</t>
  </si>
  <si>
    <t>Serbia</t>
  </si>
  <si>
    <t>SRB</t>
  </si>
  <si>
    <t>Seychelles</t>
  </si>
  <si>
    <t>SYC</t>
  </si>
  <si>
    <t>Sierra Leone</t>
  </si>
  <si>
    <t>SLE</t>
  </si>
  <si>
    <t>Singapore</t>
  </si>
  <si>
    <t>SGP</t>
  </si>
  <si>
    <t>Sint Maarten (Dutch part)</t>
  </si>
  <si>
    <t>SXM</t>
  </si>
  <si>
    <t>Slovakia</t>
  </si>
  <si>
    <t>SVK</t>
  </si>
  <si>
    <t>Slovenia</t>
  </si>
  <si>
    <t>SVN</t>
  </si>
  <si>
    <t>Solomon Islands</t>
  </si>
  <si>
    <t>SLB</t>
  </si>
  <si>
    <t>Somalia</t>
  </si>
  <si>
    <t>SOM</t>
  </si>
  <si>
    <t>South Africa</t>
  </si>
  <si>
    <t>ZAF</t>
  </si>
  <si>
    <t>South Georgia and the South Sandwich Islands</t>
  </si>
  <si>
    <t>SGS</t>
  </si>
  <si>
    <t>South Sudan</t>
  </si>
  <si>
    <t>SSD</t>
  </si>
  <si>
    <t>Spain</t>
  </si>
  <si>
    <t>ESP</t>
  </si>
  <si>
    <t>Sri Lanka</t>
  </si>
  <si>
    <t>LKA</t>
  </si>
  <si>
    <t>Sudan (the)</t>
  </si>
  <si>
    <t>SDN</t>
  </si>
  <si>
    <t>Suriname</t>
  </si>
  <si>
    <t>SUR</t>
  </si>
  <si>
    <t>Svalbard and Jan Mayen</t>
  </si>
  <si>
    <t>SJM</t>
  </si>
  <si>
    <t>Sweden</t>
  </si>
  <si>
    <t>SWE</t>
  </si>
  <si>
    <t>Switzerland</t>
  </si>
  <si>
    <t>CHE</t>
  </si>
  <si>
    <t>Syrian Arab Republic</t>
  </si>
  <si>
    <t>SYR</t>
  </si>
  <si>
    <t>Taiwan (Province of China)</t>
  </si>
  <si>
    <t>TWN</t>
  </si>
  <si>
    <t>Tajikistan</t>
  </si>
  <si>
    <t>TJK</t>
  </si>
  <si>
    <t>Tanzania, United Republic of</t>
  </si>
  <si>
    <t>TZA</t>
  </si>
  <si>
    <t>Thailand</t>
  </si>
  <si>
    <t>THA</t>
  </si>
  <si>
    <t>Timor-Leste</t>
  </si>
  <si>
    <t>TLS</t>
  </si>
  <si>
    <t>Togo</t>
  </si>
  <si>
    <t>TGO</t>
  </si>
  <si>
    <t>Tokelau</t>
  </si>
  <si>
    <t>TKL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</si>
  <si>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</si>
  <si>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</si>
  <si>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</si>
  <si>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</si>
  <si>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</si>
  <si>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</si>
  <si>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</si>
  <si>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</si>
  <si>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Turkmenistan</t>
  </si>
  <si>
    <t>TKM</t>
  </si>
  <si>
    <t>Turks and Caicos Islands (the)</t>
  </si>
  <si>
    <t>TCA</t>
  </si>
  <si>
    <t>Tuvalu</t>
  </si>
  <si>
    <t>TUV</t>
  </si>
  <si>
    <t>Uganda</t>
  </si>
  <si>
    <t>UGA</t>
  </si>
  <si>
    <t>Ukraine</t>
  </si>
  <si>
    <t>UKR</t>
  </si>
  <si>
    <t>United Arab Emirates (the)</t>
  </si>
  <si>
    <t>ARE</t>
  </si>
  <si>
    <t>United Kingdom of Great Britain and Northern Ireland (the)</t>
  </si>
  <si>
    <t>GBR</t>
  </si>
  <si>
    <t>United States Minor Outlying Islands (the)</t>
  </si>
  <si>
    <t>UMI</t>
  </si>
  <si>
    <t>United States of America (the)</t>
  </si>
  <si>
    <t>USA</t>
  </si>
  <si>
    <t>Uruguay</t>
  </si>
  <si>
    <t>URY</t>
  </si>
  <si>
    <t>Uzbekistan</t>
  </si>
  <si>
    <t>UZB</t>
  </si>
  <si>
    <t>Vanuatu</t>
  </si>
  <si>
    <t>VUT</t>
  </si>
  <si>
    <t>Venezuela (Bolivarian Republic of)</t>
  </si>
  <si>
    <t>VEN</t>
  </si>
  <si>
    <t>Viet Nam</t>
  </si>
  <si>
    <t>VNM</t>
  </si>
  <si>
    <t>Virgin Islands (British)</t>
  </si>
  <si>
    <t>VGB</t>
  </si>
  <si>
    <t>Virgin Islands (U.S.)</t>
  </si>
  <si>
    <t>VIR</t>
  </si>
  <si>
    <t>Wallis and Futuna</t>
  </si>
  <si>
    <t>WLF</t>
  </si>
  <si>
    <t>Western Sahara</t>
  </si>
  <si>
    <t>ESH</t>
  </si>
  <si>
    <t>Yemen</t>
  </si>
  <si>
    <t>YEM</t>
  </si>
  <si>
    <t>Zambia</t>
  </si>
  <si>
    <t>ZMB</t>
  </si>
  <si>
    <t>Zimbabwe</t>
  </si>
  <si>
    <t>ZWE</t>
  </si>
  <si>
    <t>Åland Islands</t>
  </si>
  <si>
    <t>ALA</t>
  </si>
  <si>
    <t>ANY</t>
  </si>
  <si>
    <t>entity_name</t>
  </si>
  <si>
    <t>iso_code</t>
  </si>
  <si>
    <t>who_region</t>
  </si>
  <si>
    <t>world_bank_income_group</t>
  </si>
  <si>
    <t>population</t>
  </si>
  <si>
    <t>pop_12p</t>
  </si>
  <si>
    <t>pop_18p</t>
  </si>
  <si>
    <t>EMR</t>
  </si>
  <si>
    <t>LIC</t>
  </si>
  <si>
    <t>EUR</t>
  </si>
  <si>
    <t>UMIC</t>
  </si>
  <si>
    <t>AFR</t>
  </si>
  <si>
    <t>LMIC</t>
  </si>
  <si>
    <t>WPR</t>
  </si>
  <si>
    <t>HIC</t>
  </si>
  <si>
    <t>AMR</t>
  </si>
  <si>
    <t>Bahamas</t>
  </si>
  <si>
    <t>SEAR</t>
  </si>
  <si>
    <t>Bolivia (Plurinational State Of)</t>
  </si>
  <si>
    <t>British Virgin Islands</t>
  </si>
  <si>
    <t>Cayman Islands</t>
  </si>
  <si>
    <t>Central African Republic</t>
  </si>
  <si>
    <t>Comoros</t>
  </si>
  <si>
    <t>Congo</t>
  </si>
  <si>
    <t>Congo (Democratic Republic of The)</t>
  </si>
  <si>
    <t>Côte d’Ivoire</t>
  </si>
  <si>
    <t>Dominican Republic</t>
  </si>
  <si>
    <t>Gambia</t>
  </si>
  <si>
    <t>Iran (Islamic Republic Of)</t>
  </si>
  <si>
    <t>Korea (Republic of)</t>
  </si>
  <si>
    <t>Kosovo</t>
  </si>
  <si>
    <t>XKX</t>
  </si>
  <si>
    <t>Lao People's Democratic Republic</t>
  </si>
  <si>
    <t>Marshall Islands</t>
  </si>
  <si>
    <t>Micronesia (Federated States Of)</t>
  </si>
  <si>
    <t>Moldova (Republic of)</t>
  </si>
  <si>
    <t>Netherlands</t>
  </si>
  <si>
    <t>Niger</t>
  </si>
  <si>
    <t>North Macedonia</t>
  </si>
  <si>
    <t>Northern Mariana Islands (Commonwealth Of The)</t>
  </si>
  <si>
    <t>Philippines</t>
  </si>
  <si>
    <t>Russian Federation</t>
  </si>
  <si>
    <t>Saint Kitts And Nevis</t>
  </si>
  <si>
    <t>Saint Vincent And The Grenadines</t>
  </si>
  <si>
    <t>Sao Tome And Principe</t>
  </si>
  <si>
    <t>Sint Maarten</t>
  </si>
  <si>
    <t>Sudan</t>
  </si>
  <si>
    <t>Tanzania (United Republic of)</t>
  </si>
  <si>
    <t>Turks and Caicos Islands</t>
  </si>
  <si>
    <t>United Arab Emirates</t>
  </si>
  <si>
    <t>United Kingdom</t>
  </si>
  <si>
    <t>United States of America</t>
  </si>
  <si>
    <t>West Bank &amp; Gaza</t>
  </si>
  <si>
    <t>Anlyand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</si>
</sst>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-* #,##0.0_-;\-* #,##0.0_-;_-* &quot;-&quot;??_-;_-@_-"/>
    <numFmt numFmtId="167" formatCode="0.0%"/>
    <numFmt numFmtId="168" formatCode="0.0"/>
    <numFmt numFmtId="169" formatCode="_(* #,##0_);_(* \(#,##0\);_(* &quot;-&quot;??_);_(@_)"/>
    <numFmt numFmtId="170" formatCode="[$-409]d\-mmm\-yyyy;@"/>
    <numFmt numFmtId="171" formatCode="[$-409]mmm\-yy;@"/>
    <numFmt numFmtId="172" formatCode="[$-409]d\-mmm\-yy;@"/>
    <numFmt numFmtId="173" formatCode="_(* #,##0.0_);_(* \(#,##0.0\);_(* &quot;-&quot;?_);_(@_)"/>
    <numFmt numFmtId="174" formatCode="_(* #,##0.000000_);_(* \(#,##0.000000\);_(* &quot;-&quot;??????_);_(@_)"/>
    <numFmt numFmtId="175" formatCode="_(* #,##0_);_(* \(#,##0\);_(* &quot;-&quot;??????_);_(@_)"/>
  </numFmts>
  <fonts count="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8"/>
      <name val="Calibri"/>
      <family val="2"/>
      <scheme val="minor"/>
    </font>
    <font>
      <sz val="10"/>
      <color theme="4"/>
      <name val="Roboto"/>
    </font>
    <font>
      <sz val="10"/>
      <color theme="1"/>
      <name val="Roboto"/>
    </font>
    <font>
      <sz val="10"/>
      <color theme="0"/>
      <name val="Roboto"/>
    </font>
    <font>
      <b/>
      <sz val="10"/>
      <color theme="0"/>
      <name val="Roboto"/>
    </font>
    <font>
      <i/>
      <sz val="10"/>
      <color theme="1"/>
      <name val="Roboto"/>
    </font>
    <font>
      <b/>
      <sz val="10"/>
      <name val="Roboto"/>
    </font>
    <font>
      <b/>
      <sz val="10"/>
      <color theme="0" tint="-0.34998626667073579"/>
      <name val="Roboto"/>
    </font>
    <font>
      <sz val="11"/>
      <color theme="1"/>
      <name val="Roboto"/>
    </font>
    <font>
      <sz val="10"/>
      <name val="Roboto"/>
    </font>
    <font>
      <b/>
      <sz val="10"/>
      <color rgb="FFFF0000"/>
      <name val="Roboto"/>
    </font>
    <font>
      <b/>
      <sz val="10"/>
      <color theme="1"/>
      <name val="Roboto"/>
    </font>
    <font>
      <b/>
      <sz val="18"/>
      <color theme="4"/>
      <name val="Roboto"/>
    </font>
    <font>
      <b/>
      <sz val="11"/>
      <color theme="0"/>
      <name val="Roboto"/>
    </font>
    <font>
      <sz val="11"/>
      <color theme="5"/>
      <name val="Roboto"/>
    </font>
    <font>
      <b/>
      <sz val="10"/>
      <color theme="5"/>
      <name val="Roboto"/>
    </font>
    <font>
      <sz val="9"/>
      <color theme="1"/>
      <name val="Roboto"/>
    </font>
    <font>
      <sz val="10"/>
      <color theme="8"/>
      <name val="Roboto"/>
    </font>
    <font>
      <sz val="10"/>
      <color rgb="FFFF0000"/>
      <name val="Roboto"/>
    </font>
    <font>
      <b/>
      <sz val="12"/>
      <color theme="5"/>
      <name val="Roboto"/>
    </font>
    <font>
      <i/>
      <sz val="11"/>
      <color theme="5" tint="0.39997558519241921"/>
      <name val="Roboto"/>
    </font>
    <font>
      <sz val="10"/>
      <color theme="5" tint="0.39997558519241921"/>
      <name val="Roboto"/>
    </font>
    <font>
      <sz val="11"/>
      <color theme="5" tint="0.39997558519241921"/>
      <name val="Roboto"/>
    </font>
    <font>
      <sz val="11"/>
      <name val="Roboto"/>
    </font>
    <font>
      <sz val="9"/>
      <color theme="0"/>
      <name val="Roboto"/>
    </font>
    <font>
      <sz val="11"/>
      <color theme="8"/>
      <name val="Roboto"/>
    </font>
    <font>
      <sz val="11"/>
      <color rgb="FF1D1C1D"/>
      <name val="Arial"/>
      <family val="2"/>
    </font>
    <font>
      <sz val="11"/>
      <color theme="0"/>
      <name val="Roboto"/>
    </font>
    <font>
      <sz val="10"/>
      <color theme="7"/>
      <name val="Roboto"/>
    </font>
    <font>
      <sz val="12"/>
      <color theme="5" tint="0.39997558519241921"/>
      <name val="Roboto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5" tint="0.39997558519241921"/>
      <name val="Roboto"/>
    </font>
    <font>
      <b/>
      <sz val="11"/>
      <color theme="1"/>
      <name val="Calibri"/>
      <family val="2"/>
      <scheme val="minor"/>
    </font>
    <font>
      <sz val="18"/>
      <color theme="4"/>
      <name val="Roboto"/>
    </font>
    <font>
      <i/>
      <sz val="11"/>
      <color theme="5"/>
      <name val="Roboto"/>
    </font>
    <font>
      <i/>
      <sz val="10"/>
      <color theme="8"/>
      <name val="Roboto"/>
    </font>
    <font>
      <i/>
      <sz val="10"/>
      <color theme="7" tint="-0.499984740745262"/>
      <name val="Roboto"/>
    </font>
    <font>
      <i/>
      <sz val="11"/>
      <color theme="8"/>
      <name val="Roboto"/>
    </font>
    <font>
      <sz val="10"/>
      <color theme="4" tint="-0.249977111117893"/>
      <name val="Roboto"/>
    </font>
    <font>
      <sz val="10.5"/>
      <color theme="0"/>
      <name val="Roboto"/>
    </font>
    <font>
      <i/>
      <sz val="10"/>
      <color theme="7" tint="-0.249977111117893"/>
      <name val="Roboto"/>
    </font>
    <font>
      <b/>
      <sz val="10"/>
      <color theme="0"/>
      <name val="Calibri"/>
      <family val="2"/>
    </font>
    <font>
      <b/>
      <vertAlign val="superscript"/>
      <sz val="10"/>
      <color theme="0"/>
      <name val="Roboto"/>
    </font>
    <font>
      <sz val="11"/>
      <color theme="4"/>
      <name val="Calibri"/>
      <family val="2"/>
      <scheme val="minor"/>
    </font>
    <font>
      <sz val="10"/>
      <color theme="7" tint="-0.249977111117893"/>
      <name val="Roboto"/>
    </font>
    <font>
      <i/>
      <sz val="10"/>
      <color theme="4" tint="-0.249977111117893"/>
      <name val="Roboto"/>
    </font>
    <font>
      <sz val="11"/>
      <color theme="4" tint="-0.249977111117893"/>
      <name val="Roboto"/>
    </font>
    <font>
      <i/>
      <sz val="10"/>
      <color theme="4" tint="-0.499984740745262"/>
      <name val="Roboto"/>
    </font>
    <font>
      <sz val="11"/>
      <color theme="4" tint="-0.499984740745262"/>
      <name val="Roboto"/>
    </font>
    <font>
      <sz val="11"/>
      <color theme="4" tint="-0.499984740745262"/>
      <name val="Calibri"/>
      <family val="2"/>
      <scheme val="minor"/>
    </font>
    <font>
      <sz val="9"/>
      <name val="Roboto"/>
    </font>
    <font>
      <sz val="10"/>
      <color theme="1"/>
      <name val="Calibri"/>
      <family val="2"/>
    </font>
    <font>
      <sz val="10"/>
      <color theme="8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5" tint="0.39997558519241921"/>
      <name val="Roboto"/>
    </font>
    <font>
      <b/>
      <i/>
      <sz val="11"/>
      <color theme="5" tint="0.39997558519241921"/>
      <name val="Roboto"/>
    </font>
    <font>
      <i/>
      <sz val="11"/>
      <color rgb="FFFF0000"/>
      <name val="Roboto"/>
    </font>
    <font>
      <b/>
      <i/>
      <sz val="11"/>
      <color rgb="FFFF0000"/>
      <name val="Roboto"/>
    </font>
    <font>
      <b/>
      <sz val="12"/>
      <color theme="5" tint="0.39997558519241921"/>
      <name val="Roboto"/>
    </font>
    <font>
      <b/>
      <sz val="11"/>
      <color theme="1"/>
      <name val="Roboto"/>
    </font>
    <font>
      <sz val="10"/>
      <color theme="2"/>
      <name val="Roboto"/>
    </font>
    <font>
      <b/>
      <i/>
      <sz val="10"/>
      <color rgb="FFFF0000"/>
      <name val="Roboto"/>
    </font>
    <font>
      <sz val="8"/>
      <color theme="1"/>
      <name val="Roboto"/>
    </font>
    <font>
      <b/>
      <sz val="10"/>
      <color theme="8"/>
      <name val="Roboto"/>
    </font>
    <font>
      <b/>
      <sz val="11"/>
      <color theme="5"/>
      <name val="Roboto"/>
    </font>
    <font>
      <sz val="11"/>
      <color rgb="FFFF0000"/>
      <name val="Roboto"/>
    </font>
    <font>
      <b/>
      <sz val="11"/>
      <color rgb="FFFF0000"/>
      <name val="Roboto"/>
    </font>
    <font>
      <b/>
      <sz val="9"/>
      <color theme="0"/>
      <name val="Roboto"/>
    </font>
    <font>
      <u/>
      <sz val="11"/>
      <color theme="1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B9BD5"/>
        <bgColor rgb="FF5B9BD5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5B9BD5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78909C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/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auto="1"/>
      </top>
      <bottom style="dashed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dashed">
        <color auto="1"/>
      </bottom>
      <diagonal/>
    </border>
    <border>
      <left style="dashed">
        <color theme="0" tint="-0.499984740745262"/>
      </left>
      <right style="dashed">
        <color theme="0" tint="-0.499984740745262"/>
      </right>
      <top/>
      <bottom style="dashed">
        <color theme="0" tint="-0.499984740745262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dashed">
        <color theme="0" tint="-0.499984740745262"/>
      </right>
      <top/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 style="dashed">
        <color theme="0" tint="-0.499984740745262"/>
      </top>
      <bottom style="dashed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7"/>
      </bottom>
      <diagonal/>
    </border>
    <border>
      <left/>
      <right/>
      <top/>
      <bottom style="medium">
        <color theme="7"/>
      </bottom>
      <diagonal/>
    </border>
    <border>
      <left/>
      <right style="thin">
        <color theme="7"/>
      </right>
      <top style="medium">
        <color theme="7"/>
      </top>
      <bottom style="thin">
        <color theme="7"/>
      </bottom>
      <diagonal/>
    </border>
    <border>
      <left style="thin">
        <color theme="7"/>
      </left>
      <right style="thin">
        <color theme="7"/>
      </right>
      <top style="medium">
        <color theme="7"/>
      </top>
      <bottom style="thin">
        <color theme="7"/>
      </bottom>
      <diagonal/>
    </border>
    <border>
      <left style="thin">
        <color theme="7"/>
      </left>
      <right/>
      <top style="medium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medium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medium">
        <color theme="7"/>
      </bottom>
      <diagonal/>
    </border>
    <border>
      <left style="thin">
        <color theme="7"/>
      </left>
      <right/>
      <top style="thin">
        <color theme="7"/>
      </top>
      <bottom style="medium">
        <color theme="7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/>
      <bottom style="medium">
        <color theme="7"/>
      </bottom>
      <diagonal/>
    </border>
    <border>
      <left style="thick">
        <color theme="0"/>
      </left>
      <right style="thin">
        <color theme="7"/>
      </right>
      <top style="medium">
        <color theme="7"/>
      </top>
      <bottom style="thin">
        <color theme="7"/>
      </bottom>
      <diagonal/>
    </border>
    <border>
      <left style="thick">
        <color theme="0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ck">
        <color theme="0"/>
      </left>
      <right style="thin">
        <color theme="7"/>
      </right>
      <top style="thin">
        <color theme="7"/>
      </top>
      <bottom style="medium">
        <color theme="7"/>
      </bottom>
      <diagonal/>
    </border>
    <border>
      <left style="thick">
        <color auto="1"/>
      </left>
      <right/>
      <top style="medium">
        <color indexed="64"/>
      </top>
      <bottom style="thick">
        <color auto="1"/>
      </bottom>
      <diagonal/>
    </border>
    <border>
      <left/>
      <right style="medium">
        <color theme="7"/>
      </right>
      <top/>
      <bottom style="medium">
        <color theme="7"/>
      </bottom>
      <diagonal/>
    </border>
    <border>
      <left/>
      <right style="medium">
        <color theme="7"/>
      </right>
      <top style="medium">
        <color indexed="64"/>
      </top>
      <bottom/>
      <diagonal/>
    </border>
    <border>
      <left/>
      <right style="medium">
        <color theme="7"/>
      </right>
      <top/>
      <bottom/>
      <diagonal/>
    </border>
    <border>
      <left/>
      <right style="medium">
        <color theme="0"/>
      </right>
      <top style="thin">
        <color theme="7"/>
      </top>
      <bottom style="thin">
        <color theme="7"/>
      </bottom>
      <diagonal/>
    </border>
    <border>
      <left/>
      <right style="medium">
        <color theme="0"/>
      </right>
      <top style="thin">
        <color theme="7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theme="0" tint="-0.499984740745262"/>
      </left>
      <right/>
      <top style="thick">
        <color auto="1"/>
      </top>
      <bottom style="dashed">
        <color theme="0" tint="-0.499984740745262"/>
      </bottom>
      <diagonal/>
    </border>
    <border>
      <left style="dashed">
        <color theme="0" tint="-0.499984740745262"/>
      </left>
      <right/>
      <top style="dashed">
        <color auto="1"/>
      </top>
      <bottom style="dashed">
        <color theme="0" tint="-0.499984740745262"/>
      </bottom>
      <diagonal/>
    </border>
    <border>
      <left style="dashed">
        <color theme="0" tint="-0.49998474074526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dotted">
        <color theme="7"/>
      </left>
      <right style="dotted">
        <color theme="7"/>
      </right>
      <top style="dotted">
        <color theme="7"/>
      </top>
      <bottom style="dotted">
        <color theme="7"/>
      </bottom>
      <diagonal/>
    </border>
    <border>
      <left style="dotted">
        <color theme="3" tint="0.14996795556505021"/>
      </left>
      <right style="dotted">
        <color theme="7"/>
      </right>
      <top style="dotted">
        <color theme="7"/>
      </top>
      <bottom style="dotted">
        <color theme="3" tint="0.14996795556505021"/>
      </bottom>
      <diagonal/>
    </border>
    <border>
      <left style="dotted">
        <color theme="7"/>
      </left>
      <right style="dotted">
        <color theme="7"/>
      </right>
      <top style="dotted">
        <color theme="7"/>
      </top>
      <bottom style="dotted">
        <color theme="3" tint="0.14996795556505021"/>
      </bottom>
      <diagonal/>
    </border>
    <border>
      <left style="dotted">
        <color theme="7"/>
      </left>
      <right style="dotted">
        <color theme="3" tint="0.14996795556505021"/>
      </right>
      <top style="dotted">
        <color theme="7"/>
      </top>
      <bottom style="dotted">
        <color theme="3" tint="0.14996795556505021"/>
      </bottom>
      <diagonal/>
    </border>
    <border>
      <left style="thin">
        <color theme="7" tint="-0.24994659260841701"/>
      </left>
      <right style="thin">
        <color theme="7" tint="-0.24994659260841701"/>
      </right>
      <top/>
      <bottom/>
      <diagonal/>
    </border>
    <border>
      <left style="dashed">
        <color theme="3" tint="4.9989318521683403E-2"/>
      </left>
      <right style="dotted">
        <color theme="7"/>
      </right>
      <top style="dashed">
        <color theme="3" tint="4.9989318521683403E-2"/>
      </top>
      <bottom style="dotted">
        <color theme="7"/>
      </bottom>
      <diagonal/>
    </border>
    <border>
      <left style="dotted">
        <color theme="7"/>
      </left>
      <right style="dotted">
        <color theme="7"/>
      </right>
      <top style="dashed">
        <color theme="3" tint="4.9989318521683403E-2"/>
      </top>
      <bottom style="dotted">
        <color theme="7"/>
      </bottom>
      <diagonal/>
    </border>
    <border>
      <left style="dotted">
        <color theme="7"/>
      </left>
      <right style="dashed">
        <color theme="3" tint="4.9989318521683403E-2"/>
      </right>
      <top style="dashed">
        <color theme="3" tint="4.9989318521683403E-2"/>
      </top>
      <bottom style="dotted">
        <color theme="7"/>
      </bottom>
      <diagonal/>
    </border>
    <border>
      <left style="dashed">
        <color theme="3" tint="4.9989318521683403E-2"/>
      </left>
      <right style="dotted">
        <color theme="7"/>
      </right>
      <top style="dotted">
        <color theme="7"/>
      </top>
      <bottom style="dotted">
        <color theme="7"/>
      </bottom>
      <diagonal/>
    </border>
    <border>
      <left style="dotted">
        <color theme="7"/>
      </left>
      <right style="dashed">
        <color theme="3" tint="4.9989318521683403E-2"/>
      </right>
      <top style="dotted">
        <color theme="7"/>
      </top>
      <bottom style="dotted">
        <color theme="7"/>
      </bottom>
      <diagonal/>
    </border>
    <border>
      <left style="dashed">
        <color theme="3" tint="4.9989318521683403E-2"/>
      </left>
      <right style="dotted">
        <color theme="7"/>
      </right>
      <top style="dotted">
        <color theme="7"/>
      </top>
      <bottom style="dashed">
        <color theme="3" tint="4.9989318521683403E-2"/>
      </bottom>
      <diagonal/>
    </border>
    <border>
      <left style="dotted">
        <color theme="7"/>
      </left>
      <right style="dotted">
        <color theme="7"/>
      </right>
      <top style="dotted">
        <color theme="7"/>
      </top>
      <bottom style="dashed">
        <color theme="3" tint="4.9989318521683403E-2"/>
      </bottom>
      <diagonal/>
    </border>
    <border>
      <left style="dotted">
        <color theme="7"/>
      </left>
      <right style="dashed">
        <color theme="3" tint="4.9989318521683403E-2"/>
      </right>
      <top style="dotted">
        <color theme="7"/>
      </top>
      <bottom style="dashed">
        <color theme="3" tint="4.9989318521683403E-2"/>
      </bottom>
      <diagonal/>
    </border>
    <border>
      <left style="medium">
        <color theme="7" tint="-0.499984740745262"/>
      </left>
      <right style="medium">
        <color theme="7" tint="-0.499984740745262"/>
      </right>
      <top style="medium">
        <color theme="7" tint="-0.499984740745262"/>
      </top>
      <bottom style="medium">
        <color theme="7" tint="-0.499984740745262"/>
      </bottom>
      <diagonal/>
    </border>
    <border>
      <left/>
      <right/>
      <top/>
      <bottom style="medium">
        <color theme="7" tint="-0.499984740745262"/>
      </bottom>
      <diagonal/>
    </border>
    <border>
      <left/>
      <right style="medium">
        <color theme="2"/>
      </right>
      <top/>
      <bottom style="medium">
        <color theme="7"/>
      </bottom>
      <diagonal/>
    </border>
    <border>
      <left style="medium">
        <color theme="2"/>
      </left>
      <right/>
      <top/>
      <bottom style="medium">
        <color theme="7"/>
      </bottom>
      <diagonal/>
    </border>
    <border>
      <left style="thin">
        <color theme="7"/>
      </left>
      <right style="medium">
        <color theme="2"/>
      </right>
      <top style="medium">
        <color theme="7"/>
      </top>
      <bottom style="thin">
        <color theme="7"/>
      </bottom>
      <diagonal/>
    </border>
    <border>
      <left style="medium">
        <color theme="2"/>
      </left>
      <right style="thin">
        <color theme="7"/>
      </right>
      <top style="medium">
        <color theme="7"/>
      </top>
      <bottom style="thin">
        <color theme="7"/>
      </bottom>
      <diagonal/>
    </border>
    <border>
      <left style="thin">
        <color theme="7"/>
      </left>
      <right style="medium">
        <color theme="2"/>
      </right>
      <top style="thin">
        <color theme="7"/>
      </top>
      <bottom style="thin">
        <color theme="7"/>
      </bottom>
      <diagonal/>
    </border>
    <border>
      <left style="medium">
        <color theme="2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 style="medium">
        <color theme="2"/>
      </right>
      <top style="thin">
        <color theme="7"/>
      </top>
      <bottom style="medium">
        <color theme="7"/>
      </bottom>
      <diagonal/>
    </border>
    <border>
      <left style="medium">
        <color theme="2"/>
      </left>
      <right style="thin">
        <color theme="7"/>
      </right>
      <top style="thin">
        <color theme="7"/>
      </top>
      <bottom style="medium">
        <color theme="7"/>
      </bottom>
      <diagonal/>
    </border>
    <border>
      <left style="medium">
        <color theme="7" tint="-0.499984740745262"/>
      </left>
      <right style="medium">
        <color theme="7" tint="-0.499984740745262"/>
      </right>
      <top style="medium">
        <color theme="7" tint="-0.499984740745262"/>
      </top>
      <bottom/>
      <diagonal/>
    </border>
    <border>
      <left/>
      <right style="medium">
        <color theme="0"/>
      </right>
      <top/>
      <bottom style="medium">
        <color theme="7"/>
      </bottom>
      <diagonal/>
    </border>
    <border>
      <left/>
      <right style="medium">
        <color theme="0"/>
      </right>
      <top style="medium">
        <color theme="7"/>
      </top>
      <bottom style="thin">
        <color theme="7"/>
      </bottom>
      <diagonal/>
    </border>
    <border>
      <left/>
      <right style="medium">
        <color theme="0"/>
      </right>
      <top style="thin">
        <color theme="7"/>
      </top>
      <bottom style="medium">
        <color theme="7"/>
      </bottom>
      <diagonal/>
    </border>
    <border>
      <left/>
      <right style="thin">
        <color theme="7"/>
      </right>
      <top style="thin">
        <color theme="7"/>
      </top>
      <bottom style="medium">
        <color indexed="64"/>
      </bottom>
      <diagonal/>
    </border>
    <border>
      <left/>
      <right style="thin">
        <color theme="7"/>
      </right>
      <top style="thin">
        <color theme="7"/>
      </top>
      <bottom/>
      <diagonal/>
    </border>
    <border>
      <left/>
      <right style="thin">
        <color theme="7"/>
      </right>
      <top style="thin">
        <color indexed="64"/>
      </top>
      <bottom style="thin">
        <color theme="7"/>
      </bottom>
      <diagonal/>
    </border>
    <border>
      <left/>
      <right/>
      <top/>
      <bottom style="thin">
        <color theme="7" tint="0.59999389629810485"/>
      </bottom>
      <diagonal/>
    </border>
    <border>
      <left style="thin">
        <color indexed="64"/>
      </left>
      <right style="thin">
        <color theme="7"/>
      </right>
      <top style="thin">
        <color theme="7"/>
      </top>
      <bottom style="medium">
        <color indexed="64"/>
      </bottom>
      <diagonal/>
    </border>
    <border>
      <left/>
      <right/>
      <top style="thin">
        <color theme="7"/>
      </top>
      <bottom/>
      <diagonal/>
    </border>
    <border>
      <left/>
      <right style="medium">
        <color theme="0"/>
      </right>
      <top style="thin">
        <color indexed="64"/>
      </top>
      <bottom style="thin">
        <color theme="7"/>
      </bottom>
      <diagonal/>
    </border>
    <border>
      <left/>
      <right style="medium">
        <color theme="0"/>
      </right>
      <top style="thin">
        <color theme="7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7"/>
      </left>
      <right style="thin">
        <color theme="0"/>
      </right>
      <top style="thin">
        <color theme="7"/>
      </top>
      <bottom style="medium">
        <color theme="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7"/>
      </bottom>
      <diagonal/>
    </border>
    <border>
      <left/>
      <right style="thin">
        <color theme="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 applyNumberFormat="0" applyFill="0" applyBorder="0" applyAlignment="0" applyProtection="0"/>
  </cellStyleXfs>
  <cellXfs count="561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5" fillId="4" borderId="0" xfId="0" applyFont="1" applyFill="1"/>
    <xf numFmtId="0" fontId="6" fillId="0" borderId="0" xfId="0" applyFont="1"/>
    <xf numFmtId="0" fontId="5" fillId="4" borderId="1" xfId="0" applyFont="1" applyFill="1" applyBorder="1"/>
    <xf numFmtId="0" fontId="0" fillId="0" borderId="0" xfId="0" applyAlignment="1">
      <alignment wrapText="1"/>
    </xf>
    <xf numFmtId="165" fontId="4" fillId="0" borderId="0" xfId="1" applyNumberFormat="1" applyFont="1"/>
    <xf numFmtId="0" fontId="7" fillId="5" borderId="1" xfId="0" applyFont="1" applyFill="1" applyBorder="1" applyAlignment="1">
      <alignment wrapText="1"/>
    </xf>
    <xf numFmtId="0" fontId="0" fillId="0" borderId="0" xfId="0" applyAlignment="1">
      <alignment horizontal="left" wrapText="1"/>
    </xf>
    <xf numFmtId="165" fontId="0" fillId="0" borderId="0" xfId="1" applyNumberFormat="1" applyFont="1"/>
    <xf numFmtId="0" fontId="8" fillId="0" borderId="0" xfId="0" applyFont="1"/>
    <xf numFmtId="165" fontId="8" fillId="0" borderId="0" xfId="1" applyNumberFormat="1" applyFont="1"/>
    <xf numFmtId="14" fontId="8" fillId="0" borderId="0" xfId="0" applyNumberFormat="1" applyFont="1"/>
    <xf numFmtId="165" fontId="9" fillId="0" borderId="0" xfId="1" applyNumberFormat="1" applyFont="1"/>
    <xf numFmtId="0" fontId="2" fillId="6" borderId="0" xfId="0" applyFont="1" applyFill="1" applyAlignment="1">
      <alignment wrapText="1"/>
    </xf>
    <xf numFmtId="0" fontId="11" fillId="0" borderId="0" xfId="0" applyFont="1"/>
    <xf numFmtId="17" fontId="11" fillId="0" borderId="0" xfId="0" applyNumberFormat="1" applyFont="1"/>
    <xf numFmtId="165" fontId="11" fillId="0" borderId="0" xfId="1" applyNumberFormat="1" applyFont="1"/>
    <xf numFmtId="167" fontId="11" fillId="0" borderId="0" xfId="2" applyNumberFormat="1" applyFont="1"/>
    <xf numFmtId="165" fontId="0" fillId="0" borderId="0" xfId="0" applyNumberFormat="1"/>
    <xf numFmtId="0" fontId="10" fillId="6" borderId="0" xfId="0" applyFont="1" applyFill="1" applyAlignment="1">
      <alignment wrapText="1"/>
    </xf>
    <xf numFmtId="0" fontId="2" fillId="6" borderId="0" xfId="0" applyFont="1" applyFill="1" applyAlignment="1">
      <alignment horizontal="left" vertical="top" wrapText="1"/>
    </xf>
    <xf numFmtId="0" fontId="2" fillId="6" borderId="0" xfId="0" applyFont="1" applyFill="1"/>
    <xf numFmtId="165" fontId="2" fillId="6" borderId="0" xfId="1" applyNumberFormat="1" applyFont="1" applyFill="1" applyBorder="1"/>
    <xf numFmtId="0" fontId="5" fillId="8" borderId="1" xfId="0" applyFont="1" applyFill="1" applyBorder="1"/>
    <xf numFmtId="0" fontId="0" fillId="9" borderId="0" xfId="0" applyFill="1"/>
    <xf numFmtId="0" fontId="12" fillId="0" borderId="0" xfId="0" applyFont="1"/>
    <xf numFmtId="0" fontId="8" fillId="0" borderId="0" xfId="0" applyFont="1" applyAlignment="1">
      <alignment wrapText="1"/>
    </xf>
    <xf numFmtId="0" fontId="0" fillId="0" borderId="1" xfId="0" applyBorder="1"/>
    <xf numFmtId="0" fontId="0" fillId="0" borderId="23" xfId="0" applyBorder="1"/>
    <xf numFmtId="0" fontId="0" fillId="0" borderId="12" xfId="0" applyBorder="1"/>
    <xf numFmtId="0" fontId="0" fillId="0" borderId="11" xfId="0" applyBorder="1"/>
    <xf numFmtId="169" fontId="0" fillId="0" borderId="1" xfId="1" applyNumberFormat="1" applyFont="1" applyBorder="1"/>
    <xf numFmtId="0" fontId="0" fillId="0" borderId="24" xfId="0" applyBorder="1"/>
    <xf numFmtId="0" fontId="0" fillId="0" borderId="9" xfId="0" applyBorder="1"/>
    <xf numFmtId="169" fontId="0" fillId="0" borderId="9" xfId="1" applyNumberFormat="1" applyFont="1" applyBorder="1"/>
    <xf numFmtId="3" fontId="0" fillId="0" borderId="0" xfId="0" applyNumberFormat="1"/>
    <xf numFmtId="0" fontId="0" fillId="7" borderId="0" xfId="0" applyFill="1"/>
    <xf numFmtId="0" fontId="0" fillId="10" borderId="0" xfId="0" applyFill="1"/>
    <xf numFmtId="0" fontId="0" fillId="10" borderId="0" xfId="0" applyFill="1" applyAlignment="1">
      <alignment wrapText="1"/>
    </xf>
    <xf numFmtId="0" fontId="0" fillId="7" borderId="0" xfId="0" applyFill="1" applyAlignment="1">
      <alignment wrapText="1"/>
    </xf>
    <xf numFmtId="165" fontId="14" fillId="0" borderId="7" xfId="0" applyNumberFormat="1" applyFont="1" applyBorder="1"/>
    <xf numFmtId="0" fontId="14" fillId="0" borderId="7" xfId="0" applyFont="1" applyBorder="1"/>
    <xf numFmtId="0" fontId="15" fillId="0" borderId="0" xfId="0" applyFont="1"/>
    <xf numFmtId="0" fontId="14" fillId="0" borderId="0" xfId="0" applyFont="1"/>
    <xf numFmtId="0" fontId="15" fillId="0" borderId="8" xfId="0" applyFont="1" applyBorder="1"/>
    <xf numFmtId="0" fontId="21" fillId="0" borderId="0" xfId="0" applyFont="1"/>
    <xf numFmtId="165" fontId="22" fillId="0" borderId="1" xfId="1" applyNumberFormat="1" applyFont="1" applyBorder="1" applyAlignment="1">
      <alignment horizontal="right"/>
    </xf>
    <xf numFmtId="165" fontId="23" fillId="0" borderId="0" xfId="1" applyNumberFormat="1" applyFont="1" applyBorder="1" applyAlignment="1">
      <alignment horizontal="right"/>
    </xf>
    <xf numFmtId="0" fontId="24" fillId="2" borderId="1" xfId="0" applyFont="1" applyFill="1" applyBorder="1" applyAlignment="1">
      <alignment horizontal="left"/>
    </xf>
    <xf numFmtId="0" fontId="24" fillId="2" borderId="1" xfId="0" applyFont="1" applyFill="1" applyBorder="1"/>
    <xf numFmtId="0" fontId="15" fillId="2" borderId="10" xfId="0" applyFont="1" applyFill="1" applyBorder="1" applyAlignment="1">
      <alignment horizontal="left"/>
    </xf>
    <xf numFmtId="0" fontId="25" fillId="0" borderId="7" xfId="0" applyFont="1" applyBorder="1" applyAlignment="1">
      <alignment vertical="center"/>
    </xf>
    <xf numFmtId="0" fontId="15" fillId="12" borderId="0" xfId="0" applyFont="1" applyFill="1"/>
    <xf numFmtId="165" fontId="23" fillId="0" borderId="0" xfId="1" applyNumberFormat="1" applyFont="1" applyFill="1" applyBorder="1" applyAlignment="1">
      <alignment horizontal="right"/>
    </xf>
    <xf numFmtId="0" fontId="26" fillId="12" borderId="0" xfId="0" applyFont="1" applyFill="1" applyAlignment="1">
      <alignment vertical="center"/>
    </xf>
    <xf numFmtId="0" fontId="15" fillId="0" borderId="10" xfId="0" applyFont="1" applyBorder="1"/>
    <xf numFmtId="0" fontId="15" fillId="0" borderId="11" xfId="0" applyFont="1" applyBorder="1"/>
    <xf numFmtId="0" fontId="15" fillId="0" borderId="1" xfId="0" applyFont="1" applyBorder="1"/>
    <xf numFmtId="0" fontId="15" fillId="0" borderId="1" xfId="0" applyFont="1" applyBorder="1" applyAlignment="1">
      <alignment horizontal="left"/>
    </xf>
    <xf numFmtId="0" fontId="24" fillId="11" borderId="1" xfId="0" applyFont="1" applyFill="1" applyBorder="1" applyAlignment="1">
      <alignment horizontal="left"/>
    </xf>
    <xf numFmtId="0" fontId="24" fillId="11" borderId="10" xfId="0" applyFont="1" applyFill="1" applyBorder="1" applyAlignment="1">
      <alignment horizontal="left"/>
    </xf>
    <xf numFmtId="0" fontId="24" fillId="11" borderId="1" xfId="0" applyFont="1" applyFill="1" applyBorder="1"/>
    <xf numFmtId="0" fontId="28" fillId="0" borderId="0" xfId="0" applyFont="1" applyAlignment="1">
      <alignment vertical="center"/>
    </xf>
    <xf numFmtId="165" fontId="20" fillId="0" borderId="0" xfId="1" applyNumberFormat="1" applyFont="1" applyBorder="1" applyAlignment="1">
      <alignment horizontal="center"/>
    </xf>
    <xf numFmtId="0" fontId="16" fillId="0" borderId="0" xfId="0" applyFont="1"/>
    <xf numFmtId="165" fontId="17" fillId="0" borderId="0" xfId="1" applyNumberFormat="1" applyFont="1" applyFill="1" applyBorder="1" applyAlignment="1">
      <alignment horizontal="center"/>
    </xf>
    <xf numFmtId="0" fontId="15" fillId="0" borderId="7" xfId="0" applyFont="1" applyBorder="1"/>
    <xf numFmtId="0" fontId="22" fillId="0" borderId="8" xfId="0" applyFont="1" applyBorder="1" applyAlignment="1">
      <alignment horizontal="right"/>
    </xf>
    <xf numFmtId="0" fontId="22" fillId="0" borderId="0" xfId="0" applyFont="1"/>
    <xf numFmtId="0" fontId="15" fillId="0" borderId="0" xfId="0" applyFont="1" applyAlignment="1">
      <alignment wrapText="1"/>
    </xf>
    <xf numFmtId="0" fontId="14" fillId="0" borderId="0" xfId="0" applyFont="1" applyAlignment="1">
      <alignment horizontal="center"/>
    </xf>
    <xf numFmtId="0" fontId="21" fillId="0" borderId="0" xfId="0" applyFont="1" applyAlignment="1">
      <alignment wrapText="1"/>
    </xf>
    <xf numFmtId="0" fontId="25" fillId="0" borderId="6" xfId="0" applyFont="1" applyBorder="1" applyAlignment="1">
      <alignment vertical="center"/>
    </xf>
    <xf numFmtId="0" fontId="15" fillId="0" borderId="25" xfId="0" applyFont="1" applyBorder="1"/>
    <xf numFmtId="0" fontId="15" fillId="0" borderId="25" xfId="0" applyFont="1" applyBorder="1" applyAlignment="1">
      <alignment wrapText="1"/>
    </xf>
    <xf numFmtId="0" fontId="32" fillId="0" borderId="25" xfId="0" applyFont="1" applyBorder="1"/>
    <xf numFmtId="0" fontId="29" fillId="0" borderId="0" xfId="0" applyFont="1"/>
    <xf numFmtId="0" fontId="22" fillId="0" borderId="0" xfId="0" applyFont="1" applyAlignment="1">
      <alignment horizontal="center" wrapText="1"/>
    </xf>
    <xf numFmtId="0" fontId="37" fillId="12" borderId="26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wrapText="1"/>
    </xf>
    <xf numFmtId="0" fontId="38" fillId="0" borderId="0" xfId="0" applyFont="1"/>
    <xf numFmtId="0" fontId="26" fillId="6" borderId="18" xfId="0" applyFont="1" applyFill="1" applyBorder="1" applyAlignment="1">
      <alignment horizontal="left" vertical="top"/>
    </xf>
    <xf numFmtId="0" fontId="22" fillId="0" borderId="20" xfId="0" applyFont="1" applyBorder="1"/>
    <xf numFmtId="0" fontId="22" fillId="0" borderId="17" xfId="0" applyFont="1" applyBorder="1"/>
    <xf numFmtId="165" fontId="22" fillId="0" borderId="17" xfId="1" applyNumberFormat="1" applyFont="1" applyBorder="1" applyProtection="1">
      <protection locked="0"/>
    </xf>
    <xf numFmtId="165" fontId="41" fillId="0" borderId="17" xfId="1" applyNumberFormat="1" applyFont="1" applyBorder="1" applyProtection="1"/>
    <xf numFmtId="9" fontId="22" fillId="0" borderId="17" xfId="2" applyFont="1" applyBorder="1" applyProtection="1">
      <protection locked="0"/>
    </xf>
    <xf numFmtId="165" fontId="41" fillId="0" borderId="17" xfId="1" applyNumberFormat="1" applyFont="1" applyBorder="1"/>
    <xf numFmtId="0" fontId="22" fillId="0" borderId="21" xfId="0" applyFont="1" applyBorder="1"/>
    <xf numFmtId="0" fontId="22" fillId="0" borderId="13" xfId="0" applyFont="1" applyBorder="1"/>
    <xf numFmtId="165" fontId="22" fillId="0" borderId="13" xfId="1" applyNumberFormat="1" applyFont="1" applyBorder="1" applyProtection="1">
      <protection locked="0"/>
    </xf>
    <xf numFmtId="165" fontId="41" fillId="0" borderId="13" xfId="1" applyNumberFormat="1" applyFont="1" applyBorder="1" applyProtection="1"/>
    <xf numFmtId="165" fontId="41" fillId="0" borderId="13" xfId="1" applyNumberFormat="1" applyFont="1" applyBorder="1"/>
    <xf numFmtId="0" fontId="22" fillId="0" borderId="14" xfId="0" applyFont="1" applyBorder="1"/>
    <xf numFmtId="165" fontId="22" fillId="0" borderId="14" xfId="1" applyNumberFormat="1" applyFont="1" applyBorder="1" applyProtection="1">
      <protection locked="0"/>
    </xf>
    <xf numFmtId="165" fontId="41" fillId="0" borderId="14" xfId="1" applyNumberFormat="1" applyFont="1" applyBorder="1" applyProtection="1"/>
    <xf numFmtId="0" fontId="22" fillId="3" borderId="21" xfId="0" applyFont="1" applyFill="1" applyBorder="1"/>
    <xf numFmtId="0" fontId="22" fillId="3" borderId="15" xfId="0" applyFont="1" applyFill="1" applyBorder="1"/>
    <xf numFmtId="165" fontId="41" fillId="3" borderId="15" xfId="1" applyNumberFormat="1" applyFont="1" applyFill="1" applyBorder="1" applyProtection="1"/>
    <xf numFmtId="165" fontId="22" fillId="3" borderId="15" xfId="1" applyNumberFormat="1" applyFont="1" applyFill="1" applyBorder="1" applyProtection="1">
      <protection locked="0"/>
    </xf>
    <xf numFmtId="9" fontId="22" fillId="3" borderId="15" xfId="2" applyFont="1" applyFill="1" applyBorder="1" applyProtection="1">
      <protection locked="0"/>
    </xf>
    <xf numFmtId="165" fontId="41" fillId="3" borderId="15" xfId="1" applyNumberFormat="1" applyFont="1" applyFill="1" applyBorder="1"/>
    <xf numFmtId="0" fontId="22" fillId="3" borderId="13" xfId="0" applyFont="1" applyFill="1" applyBorder="1"/>
    <xf numFmtId="165" fontId="22" fillId="3" borderId="13" xfId="1" applyNumberFormat="1" applyFont="1" applyFill="1" applyBorder="1" applyProtection="1">
      <protection locked="0"/>
    </xf>
    <xf numFmtId="165" fontId="41" fillId="3" borderId="13" xfId="1" applyNumberFormat="1" applyFont="1" applyFill="1" applyBorder="1" applyProtection="1"/>
    <xf numFmtId="165" fontId="41" fillId="3" borderId="13" xfId="1" applyNumberFormat="1" applyFont="1" applyFill="1" applyBorder="1"/>
    <xf numFmtId="0" fontId="22" fillId="3" borderId="22" xfId="0" applyFont="1" applyFill="1" applyBorder="1"/>
    <xf numFmtId="0" fontId="22" fillId="3" borderId="16" xfId="0" applyFont="1" applyFill="1" applyBorder="1"/>
    <xf numFmtId="165" fontId="41" fillId="0" borderId="17" xfId="1" applyNumberFormat="1" applyFont="1" applyBorder="1" applyAlignment="1" applyProtection="1"/>
    <xf numFmtId="165" fontId="22" fillId="0" borderId="17" xfId="1" applyNumberFormat="1" applyFont="1" applyBorder="1" applyAlignment="1" applyProtection="1">
      <protection locked="0"/>
    </xf>
    <xf numFmtId="165" fontId="22" fillId="0" borderId="13" xfId="1" applyNumberFormat="1" applyFont="1" applyBorder="1" applyAlignment="1" applyProtection="1">
      <protection locked="0"/>
    </xf>
    <xf numFmtId="165" fontId="41" fillId="0" borderId="13" xfId="1" applyNumberFormat="1" applyFont="1" applyBorder="1" applyAlignment="1" applyProtection="1"/>
    <xf numFmtId="9" fontId="22" fillId="0" borderId="17" xfId="2" applyFont="1" applyBorder="1" applyAlignment="1" applyProtection="1">
      <protection locked="0"/>
    </xf>
    <xf numFmtId="165" fontId="41" fillId="0" borderId="13" xfId="1" applyNumberFormat="1" applyFont="1" applyBorder="1" applyAlignment="1"/>
    <xf numFmtId="49" fontId="22" fillId="0" borderId="17" xfId="1" applyNumberFormat="1" applyFont="1" applyBorder="1" applyProtection="1">
      <protection locked="0"/>
    </xf>
    <xf numFmtId="49" fontId="22" fillId="0" borderId="13" xfId="1" applyNumberFormat="1" applyFont="1" applyBorder="1" applyProtection="1">
      <protection locked="0"/>
    </xf>
    <xf numFmtId="49" fontId="22" fillId="3" borderId="15" xfId="1" applyNumberFormat="1" applyFont="1" applyFill="1" applyBorder="1" applyProtection="1">
      <protection locked="0"/>
    </xf>
    <xf numFmtId="49" fontId="22" fillId="3" borderId="13" xfId="1" applyNumberFormat="1" applyFont="1" applyFill="1" applyBorder="1" applyProtection="1">
      <protection locked="0"/>
    </xf>
    <xf numFmtId="49" fontId="22" fillId="0" borderId="13" xfId="1" applyNumberFormat="1" applyFont="1" applyBorder="1" applyAlignment="1" applyProtection="1">
      <protection locked="0"/>
    </xf>
    <xf numFmtId="165" fontId="41" fillId="0" borderId="17" xfId="1" applyNumberFormat="1" applyFont="1" applyFill="1" applyBorder="1"/>
    <xf numFmtId="0" fontId="15" fillId="0" borderId="0" xfId="0" applyFont="1" applyProtection="1">
      <protection locked="0"/>
    </xf>
    <xf numFmtId="165" fontId="15" fillId="0" borderId="0" xfId="1" applyNumberFormat="1" applyFont="1" applyProtection="1">
      <protection locked="0"/>
    </xf>
    <xf numFmtId="170" fontId="15" fillId="0" borderId="0" xfId="0" applyNumberFormat="1" applyFont="1" applyProtection="1">
      <protection locked="0"/>
    </xf>
    <xf numFmtId="168" fontId="15" fillId="0" borderId="0" xfId="0" applyNumberFormat="1" applyFont="1"/>
    <xf numFmtId="165" fontId="15" fillId="0" borderId="28" xfId="1" applyNumberFormat="1" applyFont="1" applyFill="1" applyBorder="1" applyAlignment="1">
      <alignment vertical="center"/>
    </xf>
    <xf numFmtId="165" fontId="15" fillId="0" borderId="29" xfId="1" applyNumberFormat="1" applyFont="1" applyFill="1" applyBorder="1" applyAlignment="1">
      <alignment vertical="center"/>
    </xf>
    <xf numFmtId="165" fontId="15" fillId="0" borderId="31" xfId="1" applyNumberFormat="1" applyFont="1" applyFill="1" applyBorder="1" applyAlignment="1">
      <alignment vertical="center"/>
    </xf>
    <xf numFmtId="165" fontId="15" fillId="0" borderId="34" xfId="1" applyNumberFormat="1" applyFont="1" applyFill="1" applyBorder="1" applyAlignment="1">
      <alignment vertical="center"/>
    </xf>
    <xf numFmtId="165" fontId="15" fillId="0" borderId="32" xfId="1" applyNumberFormat="1" applyFont="1" applyFill="1" applyBorder="1" applyAlignment="1">
      <alignment vertical="center"/>
    </xf>
    <xf numFmtId="165" fontId="15" fillId="0" borderId="35" xfId="1" applyNumberFormat="1" applyFont="1" applyFill="1" applyBorder="1" applyAlignment="1">
      <alignment vertical="center"/>
    </xf>
    <xf numFmtId="0" fontId="37" fillId="12" borderId="37" xfId="0" applyFont="1" applyFill="1" applyBorder="1" applyAlignment="1">
      <alignment horizontal="center" vertical="center" wrapText="1"/>
    </xf>
    <xf numFmtId="165" fontId="15" fillId="0" borderId="38" xfId="1" applyNumberFormat="1" applyFont="1" applyFill="1" applyBorder="1" applyAlignment="1">
      <alignment vertical="center"/>
    </xf>
    <xf numFmtId="165" fontId="15" fillId="0" borderId="39" xfId="1" applyNumberFormat="1" applyFont="1" applyFill="1" applyBorder="1" applyAlignment="1">
      <alignment vertical="center"/>
    </xf>
    <xf numFmtId="165" fontId="15" fillId="0" borderId="40" xfId="1" applyNumberFormat="1" applyFont="1" applyFill="1" applyBorder="1" applyAlignment="1">
      <alignment vertical="center"/>
    </xf>
    <xf numFmtId="9" fontId="15" fillId="0" borderId="28" xfId="2" applyFont="1" applyFill="1" applyBorder="1" applyAlignment="1">
      <alignment vertical="center"/>
    </xf>
    <xf numFmtId="9" fontId="15" fillId="0" borderId="31" xfId="2" applyFont="1" applyFill="1" applyBorder="1" applyAlignment="1">
      <alignment vertical="center"/>
    </xf>
    <xf numFmtId="9" fontId="15" fillId="0" borderId="34" xfId="2" applyFont="1" applyFill="1" applyBorder="1" applyAlignment="1">
      <alignment vertical="center"/>
    </xf>
    <xf numFmtId="0" fontId="22" fillId="0" borderId="0" xfId="0" applyFont="1" applyAlignment="1">
      <alignment wrapText="1"/>
    </xf>
    <xf numFmtId="0" fontId="36" fillId="0" borderId="0" xfId="0" applyFont="1"/>
    <xf numFmtId="0" fontId="27" fillId="0" borderId="0" xfId="0" applyFont="1" applyAlignment="1">
      <alignment vertical="center"/>
    </xf>
    <xf numFmtId="0" fontId="42" fillId="0" borderId="0" xfId="0" applyFont="1" applyAlignment="1">
      <alignment horizontal="right" vertical="center"/>
    </xf>
    <xf numFmtId="0" fontId="43" fillId="0" borderId="0" xfId="0" applyFont="1" applyAlignment="1">
      <alignment wrapText="1"/>
    </xf>
    <xf numFmtId="0" fontId="43" fillId="0" borderId="0" xfId="0" applyFont="1"/>
    <xf numFmtId="0" fontId="44" fillId="0" borderId="0" xfId="0" applyFont="1"/>
    <xf numFmtId="17" fontId="44" fillId="0" borderId="0" xfId="0" applyNumberFormat="1" applyFont="1"/>
    <xf numFmtId="3" fontId="44" fillId="0" borderId="0" xfId="1" applyNumberFormat="1" applyFont="1" applyAlignment="1"/>
    <xf numFmtId="0" fontId="45" fillId="0" borderId="0" xfId="0" applyFont="1"/>
    <xf numFmtId="165" fontId="44" fillId="0" borderId="0" xfId="1" applyNumberFormat="1" applyFont="1"/>
    <xf numFmtId="167" fontId="44" fillId="0" borderId="0" xfId="2" applyNumberFormat="1" applyFont="1"/>
    <xf numFmtId="165" fontId="44" fillId="0" borderId="0" xfId="1" applyNumberFormat="1" applyFont="1" applyFill="1"/>
    <xf numFmtId="0" fontId="22" fillId="0" borderId="25" xfId="0" applyFont="1" applyBorder="1"/>
    <xf numFmtId="165" fontId="15" fillId="3" borderId="31" xfId="1" applyNumberFormat="1" applyFont="1" applyFill="1" applyBorder="1" applyAlignment="1">
      <alignment vertical="center"/>
    </xf>
    <xf numFmtId="165" fontId="15" fillId="3" borderId="32" xfId="1" applyNumberFormat="1" applyFont="1" applyFill="1" applyBorder="1" applyAlignment="1">
      <alignment vertical="center"/>
    </xf>
    <xf numFmtId="165" fontId="15" fillId="3" borderId="39" xfId="1" applyNumberFormat="1" applyFont="1" applyFill="1" applyBorder="1" applyAlignment="1">
      <alignment vertical="center"/>
    </xf>
    <xf numFmtId="9" fontId="15" fillId="3" borderId="31" xfId="2" applyFont="1" applyFill="1" applyBorder="1" applyAlignment="1">
      <alignment vertical="center"/>
    </xf>
    <xf numFmtId="0" fontId="46" fillId="0" borderId="0" xfId="0" applyFont="1"/>
    <xf numFmtId="3" fontId="15" fillId="0" borderId="0" xfId="0" applyNumberFormat="1" applyFont="1"/>
    <xf numFmtId="0" fontId="31" fillId="0" borderId="0" xfId="0" applyFont="1"/>
    <xf numFmtId="165" fontId="51" fillId="0" borderId="0" xfId="0" applyNumberFormat="1" applyFont="1"/>
    <xf numFmtId="0" fontId="52" fillId="0" borderId="0" xfId="0" applyFont="1" applyAlignment="1">
      <alignment horizontal="left"/>
    </xf>
    <xf numFmtId="17" fontId="36" fillId="13" borderId="0" xfId="0" applyNumberFormat="1" applyFont="1" applyFill="1" applyAlignment="1" applyProtection="1">
      <alignment horizontal="center" vertical="center"/>
      <protection locked="0"/>
    </xf>
    <xf numFmtId="0" fontId="53" fillId="0" borderId="0" xfId="0" applyFont="1" applyAlignment="1">
      <alignment horizontal="right"/>
    </xf>
    <xf numFmtId="0" fontId="54" fillId="0" borderId="0" xfId="0" applyFont="1" applyAlignment="1">
      <alignment horizontal="right" vertical="center"/>
    </xf>
    <xf numFmtId="171" fontId="0" fillId="0" borderId="0" xfId="0" applyNumberFormat="1"/>
    <xf numFmtId="0" fontId="48" fillId="0" borderId="0" xfId="0" applyFont="1"/>
    <xf numFmtId="0" fontId="27" fillId="0" borderId="0" xfId="0" applyFont="1"/>
    <xf numFmtId="9" fontId="44" fillId="0" borderId="0" xfId="2" applyFont="1" applyFill="1"/>
    <xf numFmtId="9" fontId="41" fillId="0" borderId="17" xfId="2" applyFont="1" applyBorder="1" applyProtection="1"/>
    <xf numFmtId="9" fontId="41" fillId="0" borderId="13" xfId="2" applyFont="1" applyBorder="1" applyProtection="1"/>
    <xf numFmtId="9" fontId="41" fillId="0" borderId="14" xfId="2" applyFont="1" applyBorder="1" applyProtection="1"/>
    <xf numFmtId="9" fontId="41" fillId="3" borderId="15" xfId="2" applyFont="1" applyFill="1" applyBorder="1" applyProtection="1"/>
    <xf numFmtId="9" fontId="41" fillId="0" borderId="13" xfId="2" applyFont="1" applyBorder="1" applyAlignment="1" applyProtection="1"/>
    <xf numFmtId="0" fontId="2" fillId="14" borderId="0" xfId="0" applyFont="1" applyFill="1" applyAlignment="1">
      <alignment horizontal="left" vertical="top" wrapText="1"/>
    </xf>
    <xf numFmtId="0" fontId="2" fillId="15" borderId="0" xfId="0" applyFont="1" applyFill="1" applyAlignment="1">
      <alignment horizontal="left" vertical="top" wrapText="1"/>
    </xf>
    <xf numFmtId="2" fontId="0" fillId="0" borderId="0" xfId="0" quotePrefix="1" applyNumberFormat="1"/>
    <xf numFmtId="2" fontId="0" fillId="0" borderId="0" xfId="0" applyNumberFormat="1"/>
    <xf numFmtId="2" fontId="0" fillId="0" borderId="0" xfId="1" applyNumberFormat="1" applyFont="1" applyAlignment="1"/>
    <xf numFmtId="165" fontId="41" fillId="18" borderId="17" xfId="1" applyNumberFormat="1" applyFont="1" applyFill="1" applyBorder="1"/>
    <xf numFmtId="165" fontId="41" fillId="18" borderId="15" xfId="1" applyNumberFormat="1" applyFont="1" applyFill="1" applyBorder="1"/>
    <xf numFmtId="165" fontId="41" fillId="18" borderId="13" xfId="1" applyNumberFormat="1" applyFont="1" applyFill="1" applyBorder="1"/>
    <xf numFmtId="0" fontId="56" fillId="0" borderId="0" xfId="0" applyFont="1" applyAlignment="1">
      <alignment horizontal="right"/>
    </xf>
    <xf numFmtId="170" fontId="56" fillId="0" borderId="0" xfId="0" applyNumberFormat="1" applyFont="1" applyAlignment="1">
      <alignment horizontal="center"/>
    </xf>
    <xf numFmtId="0" fontId="14" fillId="0" borderId="43" xfId="0" applyFont="1" applyBorder="1"/>
    <xf numFmtId="0" fontId="14" fillId="0" borderId="44" xfId="0" applyFont="1" applyBorder="1"/>
    <xf numFmtId="0" fontId="15" fillId="0" borderId="44" xfId="0" applyFont="1" applyBorder="1"/>
    <xf numFmtId="0" fontId="15" fillId="12" borderId="44" xfId="0" applyFont="1" applyFill="1" applyBorder="1"/>
    <xf numFmtId="0" fontId="29" fillId="0" borderId="0" xfId="0" applyFont="1" applyAlignment="1">
      <alignment horizontal="center"/>
    </xf>
    <xf numFmtId="0" fontId="15" fillId="0" borderId="26" xfId="0" applyFont="1" applyBorder="1"/>
    <xf numFmtId="0" fontId="31" fillId="0" borderId="26" xfId="0" applyFont="1" applyBorder="1"/>
    <xf numFmtId="0" fontId="15" fillId="0" borderId="42" xfId="0" applyFont="1" applyBorder="1"/>
    <xf numFmtId="166" fontId="15" fillId="0" borderId="28" xfId="1" applyNumberFormat="1" applyFont="1" applyFill="1" applyBorder="1" applyAlignment="1">
      <alignment vertical="center"/>
    </xf>
    <xf numFmtId="166" fontId="15" fillId="3" borderId="31" xfId="1" applyNumberFormat="1" applyFont="1" applyFill="1" applyBorder="1" applyAlignment="1">
      <alignment vertical="center"/>
    </xf>
    <xf numFmtId="166" fontId="15" fillId="0" borderId="31" xfId="1" applyNumberFormat="1" applyFont="1" applyFill="1" applyBorder="1" applyAlignment="1">
      <alignment vertical="center"/>
    </xf>
    <xf numFmtId="166" fontId="15" fillId="0" borderId="34" xfId="1" applyNumberFormat="1" applyFont="1" applyFill="1" applyBorder="1" applyAlignment="1">
      <alignment vertical="center"/>
    </xf>
    <xf numFmtId="0" fontId="15" fillId="0" borderId="0" xfId="0" applyFont="1" applyAlignment="1">
      <alignment horizontal="center" wrapText="1"/>
    </xf>
    <xf numFmtId="0" fontId="21" fillId="22" borderId="0" xfId="0" applyFont="1" applyFill="1"/>
    <xf numFmtId="166" fontId="41" fillId="0" borderId="13" xfId="1" applyNumberFormat="1" applyFont="1" applyBorder="1"/>
    <xf numFmtId="166" fontId="41" fillId="3" borderId="13" xfId="1" applyNumberFormat="1" applyFont="1" applyFill="1" applyBorder="1"/>
    <xf numFmtId="166" fontId="41" fillId="0" borderId="17" xfId="1" applyNumberFormat="1" applyFont="1" applyBorder="1"/>
    <xf numFmtId="166" fontId="41" fillId="3" borderId="15" xfId="1" applyNumberFormat="1" applyFont="1" applyFill="1" applyBorder="1"/>
    <xf numFmtId="166" fontId="41" fillId="0" borderId="13" xfId="1" applyNumberFormat="1" applyFont="1" applyBorder="1" applyAlignment="1"/>
    <xf numFmtId="0" fontId="22" fillId="0" borderId="0" xfId="0" applyFont="1" applyAlignment="1">
      <alignment vertical="center" wrapText="1"/>
    </xf>
    <xf numFmtId="0" fontId="15" fillId="0" borderId="47" xfId="0" applyFont="1" applyBorder="1"/>
    <xf numFmtId="0" fontId="21" fillId="0" borderId="47" xfId="0" applyFont="1" applyBorder="1"/>
    <xf numFmtId="0" fontId="21" fillId="23" borderId="0" xfId="0" applyFont="1" applyFill="1"/>
    <xf numFmtId="0" fontId="0" fillId="23" borderId="0" xfId="0" applyFill="1"/>
    <xf numFmtId="0" fontId="22" fillId="23" borderId="0" xfId="0" applyFont="1" applyFill="1" applyAlignment="1">
      <alignment vertical="center" wrapText="1"/>
    </xf>
    <xf numFmtId="0" fontId="52" fillId="23" borderId="0" xfId="0" applyFont="1" applyFill="1" applyAlignment="1">
      <alignment horizontal="left"/>
    </xf>
    <xf numFmtId="0" fontId="32" fillId="23" borderId="25" xfId="0" applyFont="1" applyFill="1" applyBorder="1"/>
    <xf numFmtId="0" fontId="15" fillId="23" borderId="25" xfId="0" applyFont="1" applyFill="1" applyBorder="1"/>
    <xf numFmtId="0" fontId="15" fillId="23" borderId="0" xfId="0" applyFont="1" applyFill="1"/>
    <xf numFmtId="0" fontId="27" fillId="23" borderId="0" xfId="0" applyFont="1" applyFill="1" applyAlignment="1">
      <alignment vertical="center"/>
    </xf>
    <xf numFmtId="0" fontId="15" fillId="23" borderId="0" xfId="0" applyFont="1" applyFill="1" applyAlignment="1">
      <alignment wrapText="1"/>
    </xf>
    <xf numFmtId="0" fontId="22" fillId="23" borderId="0" xfId="0" applyFont="1" applyFill="1"/>
    <xf numFmtId="0" fontId="15" fillId="24" borderId="0" xfId="0" applyFont="1" applyFill="1"/>
    <xf numFmtId="0" fontId="11" fillId="0" borderId="49" xfId="0" applyFont="1" applyBorder="1"/>
    <xf numFmtId="0" fontId="11" fillId="0" borderId="50" xfId="0" applyFont="1" applyBorder="1"/>
    <xf numFmtId="0" fontId="59" fillId="6" borderId="48" xfId="0" applyFont="1" applyFill="1" applyBorder="1" applyAlignment="1">
      <alignment horizontal="center" vertical="center"/>
    </xf>
    <xf numFmtId="172" fontId="41" fillId="0" borderId="13" xfId="1" applyNumberFormat="1" applyFont="1" applyBorder="1" applyProtection="1"/>
    <xf numFmtId="172" fontId="41" fillId="3" borderId="15" xfId="1" applyNumberFormat="1" applyFont="1" applyFill="1" applyBorder="1" applyProtection="1"/>
    <xf numFmtId="0" fontId="55" fillId="17" borderId="19" xfId="0" applyFont="1" applyFill="1" applyBorder="1" applyAlignment="1">
      <alignment horizontal="center" vertical="top" wrapText="1"/>
    </xf>
    <xf numFmtId="165" fontId="22" fillId="0" borderId="0" xfId="0" applyNumberFormat="1" applyFont="1" applyAlignment="1">
      <alignment vertical="center" wrapText="1"/>
    </xf>
    <xf numFmtId="9" fontId="9" fillId="0" borderId="0" xfId="2" applyFont="1" applyFill="1"/>
    <xf numFmtId="165" fontId="0" fillId="0" borderId="0" xfId="1" applyNumberFormat="1" applyFont="1" applyFill="1"/>
    <xf numFmtId="165" fontId="9" fillId="0" borderId="0" xfId="1" applyNumberFormat="1" applyFont="1" applyFill="1"/>
    <xf numFmtId="165" fontId="41" fillId="0" borderId="17" xfId="1" applyNumberFormat="1" applyFont="1" applyBorder="1" applyProtection="1">
      <protection locked="0"/>
    </xf>
    <xf numFmtId="165" fontId="41" fillId="0" borderId="13" xfId="1" applyNumberFormat="1" applyFont="1" applyBorder="1" applyProtection="1">
      <protection locked="0"/>
    </xf>
    <xf numFmtId="165" fontId="41" fillId="3" borderId="15" xfId="1" applyNumberFormat="1" applyFont="1" applyFill="1" applyBorder="1" applyProtection="1">
      <protection locked="0"/>
    </xf>
    <xf numFmtId="165" fontId="41" fillId="3" borderId="13" xfId="1" applyNumberFormat="1" applyFont="1" applyFill="1" applyBorder="1" applyProtection="1">
      <protection locked="0"/>
    </xf>
    <xf numFmtId="165" fontId="41" fillId="0" borderId="13" xfId="1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165" fontId="41" fillId="21" borderId="51" xfId="1" applyNumberFormat="1" applyFont="1" applyFill="1" applyBorder="1" applyProtection="1"/>
    <xf numFmtId="165" fontId="41" fillId="21" borderId="52" xfId="1" applyNumberFormat="1" applyFont="1" applyFill="1" applyBorder="1" applyProtection="1"/>
    <xf numFmtId="166" fontId="41" fillId="0" borderId="53" xfId="1" applyNumberFormat="1" applyFont="1" applyBorder="1" applyProtection="1"/>
    <xf numFmtId="166" fontId="41" fillId="3" borderId="52" xfId="1" applyNumberFormat="1" applyFont="1" applyFill="1" applyBorder="1" applyProtection="1"/>
    <xf numFmtId="165" fontId="22" fillId="3" borderId="54" xfId="1" applyNumberFormat="1" applyFont="1" applyFill="1" applyBorder="1" applyProtection="1">
      <protection locked="0"/>
    </xf>
    <xf numFmtId="9" fontId="22" fillId="3" borderId="54" xfId="2" applyFont="1" applyFill="1" applyBorder="1" applyProtection="1">
      <protection locked="0"/>
    </xf>
    <xf numFmtId="165" fontId="22" fillId="3" borderId="56" xfId="1" applyNumberFormat="1" applyFont="1" applyFill="1" applyBorder="1" applyProtection="1">
      <protection locked="0"/>
    </xf>
    <xf numFmtId="9" fontId="22" fillId="3" borderId="56" xfId="2" applyFont="1" applyFill="1" applyBorder="1" applyProtection="1">
      <protection locked="0"/>
    </xf>
    <xf numFmtId="165" fontId="60" fillId="3" borderId="54" xfId="1" applyNumberFormat="1" applyFont="1" applyFill="1" applyBorder="1" applyProtection="1"/>
    <xf numFmtId="172" fontId="60" fillId="3" borderId="55" xfId="1" applyNumberFormat="1" applyFont="1" applyFill="1" applyBorder="1" applyProtection="1"/>
    <xf numFmtId="165" fontId="60" fillId="3" borderId="56" xfId="1" applyNumberFormat="1" applyFont="1" applyFill="1" applyBorder="1" applyProtection="1"/>
    <xf numFmtId="9" fontId="60" fillId="3" borderId="54" xfId="2" applyFont="1" applyFill="1" applyBorder="1" applyProtection="1"/>
    <xf numFmtId="166" fontId="60" fillId="3" borderId="56" xfId="1" applyNumberFormat="1" applyFont="1" applyFill="1" applyBorder="1" applyProtection="1"/>
    <xf numFmtId="9" fontId="60" fillId="3" borderId="56" xfId="2" applyFont="1" applyFill="1" applyBorder="1" applyProtection="1"/>
    <xf numFmtId="166" fontId="60" fillId="3" borderId="54" xfId="1" applyNumberFormat="1" applyFont="1" applyFill="1" applyBorder="1" applyProtection="1"/>
    <xf numFmtId="165" fontId="60" fillId="3" borderId="57" xfId="1" applyNumberFormat="1" applyFont="1" applyFill="1" applyBorder="1" applyProtection="1"/>
    <xf numFmtId="0" fontId="55" fillId="17" borderId="41" xfId="0" applyFont="1" applyFill="1" applyBorder="1" applyAlignment="1">
      <alignment horizontal="center" vertical="top" wrapText="1"/>
    </xf>
    <xf numFmtId="0" fontId="55" fillId="17" borderId="58" xfId="0" applyFont="1" applyFill="1" applyBorder="1" applyAlignment="1">
      <alignment horizontal="center" vertical="top" wrapText="1"/>
    </xf>
    <xf numFmtId="0" fontId="55" fillId="16" borderId="58" xfId="0" applyFont="1" applyFill="1" applyBorder="1" applyAlignment="1">
      <alignment horizontal="center" vertical="top" wrapText="1"/>
    </xf>
    <xf numFmtId="165" fontId="21" fillId="23" borderId="0" xfId="1" applyNumberFormat="1" applyFont="1" applyFill="1" applyAlignment="1">
      <alignment horizontal="center"/>
    </xf>
    <xf numFmtId="165" fontId="21" fillId="23" borderId="0" xfId="0" applyNumberFormat="1" applyFont="1" applyFill="1"/>
    <xf numFmtId="0" fontId="21" fillId="23" borderId="0" xfId="0" applyFont="1" applyFill="1" applyAlignment="1">
      <alignment horizontal="center"/>
    </xf>
    <xf numFmtId="165" fontId="21" fillId="0" borderId="0" xfId="0" applyNumberFormat="1" applyFont="1"/>
    <xf numFmtId="0" fontId="21" fillId="0" borderId="0" xfId="0" applyFont="1" applyAlignment="1">
      <alignment horizontal="center"/>
    </xf>
    <xf numFmtId="165" fontId="40" fillId="15" borderId="0" xfId="1" applyNumberFormat="1" applyFont="1" applyFill="1" applyAlignment="1">
      <alignment horizontal="center"/>
    </xf>
    <xf numFmtId="165" fontId="40" fillId="15" borderId="0" xfId="0" applyNumberFormat="1" applyFont="1" applyFill="1"/>
    <xf numFmtId="0" fontId="61" fillId="23" borderId="0" xfId="0" applyFont="1" applyFill="1" applyAlignment="1">
      <alignment horizontal="left"/>
    </xf>
    <xf numFmtId="0" fontId="61" fillId="23" borderId="0" xfId="0" applyFont="1" applyFill="1" applyAlignment="1">
      <alignment horizontal="right"/>
    </xf>
    <xf numFmtId="0" fontId="63" fillId="23" borderId="0" xfId="0" applyFont="1" applyFill="1" applyAlignment="1">
      <alignment horizontal="left"/>
    </xf>
    <xf numFmtId="0" fontId="64" fillId="23" borderId="0" xfId="0" applyFont="1" applyFill="1"/>
    <xf numFmtId="0" fontId="65" fillId="0" borderId="0" xfId="0" applyFont="1"/>
    <xf numFmtId="0" fontId="63" fillId="23" borderId="0" xfId="0" applyFont="1" applyFill="1" applyAlignment="1">
      <alignment horizontal="right"/>
    </xf>
    <xf numFmtId="165" fontId="40" fillId="14" borderId="0" xfId="1" applyNumberFormat="1" applyFont="1" applyFill="1" applyAlignment="1">
      <alignment horizontal="center"/>
    </xf>
    <xf numFmtId="9" fontId="40" fillId="14" borderId="0" xfId="0" applyNumberFormat="1" applyFont="1" applyFill="1" applyAlignment="1">
      <alignment horizontal="center"/>
    </xf>
    <xf numFmtId="172" fontId="60" fillId="0" borderId="59" xfId="1" applyNumberFormat="1" applyFont="1" applyBorder="1" applyProtection="1"/>
    <xf numFmtId="165" fontId="60" fillId="0" borderId="60" xfId="1" applyNumberFormat="1" applyFont="1" applyBorder="1" applyProtection="1"/>
    <xf numFmtId="165" fontId="22" fillId="0" borderId="60" xfId="1" applyNumberFormat="1" applyFont="1" applyBorder="1" applyProtection="1">
      <protection locked="0"/>
    </xf>
    <xf numFmtId="9" fontId="22" fillId="0" borderId="60" xfId="2" applyFont="1" applyBorder="1" applyProtection="1">
      <protection locked="0"/>
    </xf>
    <xf numFmtId="9" fontId="60" fillId="0" borderId="60" xfId="2" applyFont="1" applyBorder="1" applyProtection="1"/>
    <xf numFmtId="165" fontId="60" fillId="0" borderId="61" xfId="1" applyNumberFormat="1" applyFont="1" applyBorder="1" applyProtection="1"/>
    <xf numFmtId="172" fontId="60" fillId="3" borderId="62" xfId="1" applyNumberFormat="1" applyFont="1" applyFill="1" applyBorder="1" applyProtection="1"/>
    <xf numFmtId="165" fontId="60" fillId="3" borderId="63" xfId="1" applyNumberFormat="1" applyFont="1" applyFill="1" applyBorder="1" applyProtection="1"/>
    <xf numFmtId="172" fontId="60" fillId="0" borderId="64" xfId="1" applyNumberFormat="1" applyFont="1" applyBorder="1" applyProtection="1"/>
    <xf numFmtId="165" fontId="60" fillId="0" borderId="65" xfId="1" applyNumberFormat="1" applyFont="1" applyBorder="1" applyProtection="1"/>
    <xf numFmtId="165" fontId="22" fillId="0" borderId="65" xfId="1" applyNumberFormat="1" applyFont="1" applyBorder="1" applyProtection="1">
      <protection locked="0"/>
    </xf>
    <xf numFmtId="9" fontId="22" fillId="0" borderId="65" xfId="2" applyFont="1" applyBorder="1" applyProtection="1">
      <protection locked="0"/>
    </xf>
    <xf numFmtId="166" fontId="60" fillId="0" borderId="65" xfId="1" applyNumberFormat="1" applyFont="1" applyBorder="1" applyProtection="1"/>
    <xf numFmtId="9" fontId="60" fillId="0" borderId="65" xfId="2" applyFont="1" applyBorder="1" applyProtection="1"/>
    <xf numFmtId="165" fontId="60" fillId="0" borderId="66" xfId="1" applyNumberFormat="1" applyFont="1" applyBorder="1" applyProtection="1"/>
    <xf numFmtId="0" fontId="0" fillId="0" borderId="0" xfId="0" applyAlignment="1">
      <alignment horizontal="center" wrapText="1"/>
    </xf>
    <xf numFmtId="166" fontId="60" fillId="0" borderId="60" xfId="1" applyNumberFormat="1" applyFont="1" applyBorder="1" applyProtection="1"/>
    <xf numFmtId="0" fontId="26" fillId="6" borderId="41" xfId="0" applyFont="1" applyFill="1" applyBorder="1" applyAlignment="1">
      <alignment horizontal="left" vertical="top" wrapText="1"/>
    </xf>
    <xf numFmtId="0" fontId="55" fillId="16" borderId="67" xfId="0" applyFont="1" applyFill="1" applyBorder="1" applyAlignment="1">
      <alignment horizontal="left" vertical="top" wrapText="1"/>
    </xf>
    <xf numFmtId="0" fontId="55" fillId="17" borderId="67" xfId="0" applyFont="1" applyFill="1" applyBorder="1" applyAlignment="1">
      <alignment horizontal="left" vertical="top" wrapText="1"/>
    </xf>
    <xf numFmtId="170" fontId="15" fillId="0" borderId="0" xfId="0" applyNumberFormat="1" applyFont="1"/>
    <xf numFmtId="14" fontId="15" fillId="0" borderId="0" xfId="0" applyNumberFormat="1" applyFont="1"/>
    <xf numFmtId="0" fontId="62" fillId="0" borderId="0" xfId="0" applyFont="1" applyAlignment="1">
      <alignment horizontal="right" vertical="center"/>
    </xf>
    <xf numFmtId="0" fontId="55" fillId="17" borderId="67" xfId="0" applyFont="1" applyFill="1" applyBorder="1" applyAlignment="1" applyProtection="1">
      <alignment horizontal="left" vertical="top" wrapText="1"/>
      <protection locked="0"/>
    </xf>
    <xf numFmtId="17" fontId="22" fillId="0" borderId="17" xfId="0" applyNumberFormat="1" applyFont="1" applyBorder="1"/>
    <xf numFmtId="17" fontId="22" fillId="0" borderId="13" xfId="0" applyNumberFormat="1" applyFont="1" applyBorder="1"/>
    <xf numFmtId="17" fontId="22" fillId="3" borderId="15" xfId="0" applyNumberFormat="1" applyFont="1" applyFill="1" applyBorder="1"/>
    <xf numFmtId="0" fontId="15" fillId="13" borderId="10" xfId="0" applyFont="1" applyFill="1" applyBorder="1" applyAlignment="1" applyProtection="1">
      <alignment horizontal="left"/>
      <protection locked="0"/>
    </xf>
    <xf numFmtId="0" fontId="15" fillId="13" borderId="1" xfId="0" applyFont="1" applyFill="1" applyBorder="1" applyProtection="1">
      <protection locked="0"/>
    </xf>
    <xf numFmtId="165" fontId="22" fillId="13" borderId="1" xfId="1" applyNumberFormat="1" applyFont="1" applyFill="1" applyBorder="1" applyAlignment="1" applyProtection="1">
      <alignment horizontal="right"/>
      <protection locked="0"/>
    </xf>
    <xf numFmtId="165" fontId="19" fillId="13" borderId="1" xfId="1" applyNumberFormat="1" applyFont="1" applyFill="1" applyBorder="1" applyAlignment="1" applyProtection="1">
      <alignment horizontal="center" vertical="center"/>
      <protection locked="0"/>
    </xf>
    <xf numFmtId="0" fontId="41" fillId="0" borderId="0" xfId="0" applyFont="1"/>
    <xf numFmtId="166" fontId="41" fillId="0" borderId="0" xfId="1" applyNumberFormat="1" applyFont="1"/>
    <xf numFmtId="165" fontId="41" fillId="0" borderId="0" xfId="1" applyNumberFormat="1" applyFont="1"/>
    <xf numFmtId="0" fontId="29" fillId="0" borderId="0" xfId="0" applyFont="1" applyAlignment="1">
      <alignment horizontal="center" wrapText="1"/>
    </xf>
    <xf numFmtId="165" fontId="22" fillId="18" borderId="17" xfId="1" applyNumberFormat="1" applyFont="1" applyFill="1" applyBorder="1" applyProtection="1"/>
    <xf numFmtId="165" fontId="22" fillId="18" borderId="13" xfId="1" applyNumberFormat="1" applyFont="1" applyFill="1" applyBorder="1" applyProtection="1"/>
    <xf numFmtId="165" fontId="22" fillId="18" borderId="14" xfId="1" applyNumberFormat="1" applyFont="1" applyFill="1" applyBorder="1" applyProtection="1"/>
    <xf numFmtId="9" fontId="41" fillId="0" borderId="17" xfId="2" applyFont="1" applyBorder="1" applyProtection="1">
      <protection locked="0"/>
    </xf>
    <xf numFmtId="9" fontId="41" fillId="0" borderId="13" xfId="2" applyFont="1" applyBorder="1" applyProtection="1">
      <protection locked="0"/>
    </xf>
    <xf numFmtId="9" fontId="41" fillId="3" borderId="15" xfId="2" applyFont="1" applyFill="1" applyBorder="1" applyProtection="1">
      <protection locked="0"/>
    </xf>
    <xf numFmtId="9" fontId="41" fillId="3" borderId="13" xfId="2" applyFont="1" applyFill="1" applyBorder="1" applyProtection="1">
      <protection locked="0"/>
    </xf>
    <xf numFmtId="9" fontId="41" fillId="0" borderId="13" xfId="2" applyFont="1" applyBorder="1" applyAlignment="1" applyProtection="1">
      <protection locked="0"/>
    </xf>
    <xf numFmtId="14" fontId="0" fillId="0" borderId="0" xfId="0" applyNumberFormat="1"/>
    <xf numFmtId="165" fontId="22" fillId="0" borderId="17" xfId="1" applyNumberFormat="1" applyFont="1" applyBorder="1" applyProtection="1"/>
    <xf numFmtId="165" fontId="22" fillId="0" borderId="13" xfId="1" applyNumberFormat="1" applyFont="1" applyBorder="1" applyProtection="1"/>
    <xf numFmtId="165" fontId="41" fillId="0" borderId="17" xfId="1" applyNumberFormat="1" applyFont="1" applyFill="1" applyBorder="1" applyProtection="1"/>
    <xf numFmtId="165" fontId="41" fillId="18" borderId="17" xfId="1" applyNumberFormat="1" applyFont="1" applyFill="1" applyBorder="1" applyProtection="1"/>
    <xf numFmtId="165" fontId="22" fillId="3" borderId="15" xfId="1" applyNumberFormat="1" applyFont="1" applyFill="1" applyBorder="1" applyProtection="1"/>
    <xf numFmtId="165" fontId="22" fillId="3" borderId="13" xfId="1" applyNumberFormat="1" applyFont="1" applyFill="1" applyBorder="1" applyProtection="1"/>
    <xf numFmtId="165" fontId="41" fillId="18" borderId="15" xfId="1" applyNumberFormat="1" applyFont="1" applyFill="1" applyBorder="1" applyProtection="1"/>
    <xf numFmtId="165" fontId="41" fillId="18" borderId="13" xfId="1" applyNumberFormat="1" applyFont="1" applyFill="1" applyBorder="1" applyProtection="1"/>
    <xf numFmtId="166" fontId="41" fillId="0" borderId="17" xfId="1" applyNumberFormat="1" applyFont="1" applyBorder="1" applyProtection="1"/>
    <xf numFmtId="166" fontId="41" fillId="0" borderId="13" xfId="1" applyNumberFormat="1" applyFont="1" applyBorder="1" applyProtection="1"/>
    <xf numFmtId="166" fontId="41" fillId="3" borderId="15" xfId="1" applyNumberFormat="1" applyFont="1" applyFill="1" applyBorder="1" applyProtection="1"/>
    <xf numFmtId="166" fontId="41" fillId="3" borderId="13" xfId="1" applyNumberFormat="1" applyFont="1" applyFill="1" applyBorder="1" applyProtection="1"/>
    <xf numFmtId="9" fontId="22" fillId="0" borderId="17" xfId="2" applyFont="1" applyBorder="1" applyProtection="1"/>
    <xf numFmtId="9" fontId="22" fillId="3" borderId="15" xfId="2" applyFont="1" applyFill="1" applyBorder="1" applyProtection="1"/>
    <xf numFmtId="0" fontId="25" fillId="0" borderId="0" xfId="0" applyFont="1" applyAlignment="1">
      <alignment vertical="center"/>
    </xf>
    <xf numFmtId="0" fontId="32" fillId="0" borderId="47" xfId="0" applyFont="1" applyBorder="1"/>
    <xf numFmtId="0" fontId="15" fillId="0" borderId="47" xfId="0" applyFont="1" applyBorder="1" applyAlignment="1">
      <alignment wrapText="1"/>
    </xf>
    <xf numFmtId="0" fontId="2" fillId="15" borderId="0" xfId="0" applyFont="1" applyFill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165" fontId="60" fillId="0" borderId="60" xfId="1" applyNumberFormat="1" applyFont="1" applyBorder="1" applyProtection="1">
      <protection locked="0"/>
    </xf>
    <xf numFmtId="165" fontId="60" fillId="3" borderId="54" xfId="1" applyNumberFormat="1" applyFont="1" applyFill="1" applyBorder="1" applyProtection="1">
      <protection locked="0"/>
    </xf>
    <xf numFmtId="165" fontId="60" fillId="0" borderId="65" xfId="1" applyNumberFormat="1" applyFont="1" applyBorder="1" applyProtection="1">
      <protection locked="0"/>
    </xf>
    <xf numFmtId="49" fontId="22" fillId="0" borderId="13" xfId="1" applyNumberFormat="1" applyFont="1" applyBorder="1" applyProtection="1"/>
    <xf numFmtId="165" fontId="22" fillId="0" borderId="14" xfId="1" applyNumberFormat="1" applyFont="1" applyBorder="1" applyProtection="1"/>
    <xf numFmtId="49" fontId="22" fillId="3" borderId="15" xfId="1" applyNumberFormat="1" applyFont="1" applyFill="1" applyBorder="1" applyProtection="1"/>
    <xf numFmtId="49" fontId="22" fillId="3" borderId="13" xfId="1" applyNumberFormat="1" applyFont="1" applyFill="1" applyBorder="1" applyProtection="1"/>
    <xf numFmtId="49" fontId="22" fillId="0" borderId="17" xfId="1" applyNumberFormat="1" applyFont="1" applyBorder="1" applyProtection="1"/>
    <xf numFmtId="165" fontId="22" fillId="0" borderId="17" xfId="1" applyNumberFormat="1" applyFont="1" applyBorder="1" applyAlignment="1" applyProtection="1"/>
    <xf numFmtId="165" fontId="22" fillId="0" borderId="13" xfId="1" applyNumberFormat="1" applyFont="1" applyBorder="1" applyAlignment="1" applyProtection="1"/>
    <xf numFmtId="49" fontId="22" fillId="0" borderId="13" xfId="1" applyNumberFormat="1" applyFont="1" applyBorder="1" applyAlignment="1" applyProtection="1"/>
    <xf numFmtId="166" fontId="41" fillId="0" borderId="13" xfId="1" applyNumberFormat="1" applyFont="1" applyBorder="1" applyAlignment="1" applyProtection="1"/>
    <xf numFmtId="9" fontId="22" fillId="0" borderId="17" xfId="2" applyFont="1" applyBorder="1" applyAlignment="1" applyProtection="1"/>
    <xf numFmtId="9" fontId="41" fillId="3" borderId="13" xfId="2" applyFont="1" applyFill="1" applyBorder="1" applyProtection="1"/>
    <xf numFmtId="168" fontId="0" fillId="0" borderId="0" xfId="0" applyNumberFormat="1"/>
    <xf numFmtId="0" fontId="2" fillId="0" borderId="0" xfId="0" applyFont="1" applyAlignment="1">
      <alignment horizontal="left" vertical="top" wrapText="1"/>
    </xf>
    <xf numFmtId="165" fontId="2" fillId="0" borderId="0" xfId="1" applyNumberFormat="1" applyFont="1" applyFill="1" applyBorder="1"/>
    <xf numFmtId="0" fontId="68" fillId="0" borderId="0" xfId="0" applyFont="1" applyAlignment="1">
      <alignment wrapText="1"/>
    </xf>
    <xf numFmtId="9" fontId="40" fillId="15" borderId="0" xfId="2" applyFont="1" applyFill="1" applyBorder="1" applyAlignment="1">
      <alignment vertical="center"/>
    </xf>
    <xf numFmtId="14" fontId="6" fillId="0" borderId="0" xfId="1" applyNumberFormat="1" applyFont="1"/>
    <xf numFmtId="167" fontId="4" fillId="0" borderId="0" xfId="2" applyNumberFormat="1" applyFont="1"/>
    <xf numFmtId="0" fontId="7" fillId="25" borderId="1" xfId="0" applyFont="1" applyFill="1" applyBorder="1" applyAlignment="1">
      <alignment wrapText="1"/>
    </xf>
    <xf numFmtId="0" fontId="37" fillId="12" borderId="69" xfId="0" applyFont="1" applyFill="1" applyBorder="1" applyAlignment="1">
      <alignment horizontal="center" vertical="center" wrapText="1"/>
    </xf>
    <xf numFmtId="0" fontId="37" fillId="12" borderId="70" xfId="0" applyFont="1" applyFill="1" applyBorder="1" applyAlignment="1">
      <alignment horizontal="center" vertical="center" wrapText="1"/>
    </xf>
    <xf numFmtId="165" fontId="15" fillId="0" borderId="71" xfId="1" applyNumberFormat="1" applyFont="1" applyFill="1" applyBorder="1" applyAlignment="1">
      <alignment vertical="center"/>
    </xf>
    <xf numFmtId="165" fontId="15" fillId="0" borderId="72" xfId="1" applyNumberFormat="1" applyFont="1" applyBorder="1" applyAlignment="1">
      <alignment vertical="center"/>
    </xf>
    <xf numFmtId="165" fontId="15" fillId="3" borderId="73" xfId="1" applyNumberFormat="1" applyFont="1" applyFill="1" applyBorder="1" applyAlignment="1">
      <alignment vertical="center"/>
    </xf>
    <xf numFmtId="165" fontId="15" fillId="3" borderId="74" xfId="1" applyNumberFormat="1" applyFont="1" applyFill="1" applyBorder="1" applyAlignment="1">
      <alignment vertical="center"/>
    </xf>
    <xf numFmtId="165" fontId="15" fillId="0" borderId="73" xfId="1" applyNumberFormat="1" applyFont="1" applyFill="1" applyBorder="1" applyAlignment="1">
      <alignment vertical="center"/>
    </xf>
    <xf numFmtId="165" fontId="15" fillId="0" borderId="74" xfId="1" applyNumberFormat="1" applyFont="1" applyBorder="1" applyAlignment="1">
      <alignment vertical="center"/>
    </xf>
    <xf numFmtId="165" fontId="15" fillId="0" borderId="75" xfId="1" applyNumberFormat="1" applyFont="1" applyFill="1" applyBorder="1" applyAlignment="1">
      <alignment vertical="center"/>
    </xf>
    <xf numFmtId="165" fontId="15" fillId="0" borderId="76" xfId="1" applyNumberFormat="1" applyFont="1" applyBorder="1" applyAlignment="1">
      <alignment vertical="center"/>
    </xf>
    <xf numFmtId="167" fontId="15" fillId="0" borderId="71" xfId="2" applyNumberFormat="1" applyFont="1" applyFill="1" applyBorder="1" applyAlignment="1">
      <alignment vertical="center"/>
    </xf>
    <xf numFmtId="165" fontId="15" fillId="0" borderId="72" xfId="1" applyNumberFormat="1" applyFont="1" applyFill="1" applyBorder="1" applyAlignment="1">
      <alignment vertical="center"/>
    </xf>
    <xf numFmtId="165" fontId="15" fillId="0" borderId="74" xfId="1" applyNumberFormat="1" applyFont="1" applyFill="1" applyBorder="1" applyAlignment="1">
      <alignment vertical="center"/>
    </xf>
    <xf numFmtId="165" fontId="15" fillId="0" borderId="76" xfId="1" applyNumberFormat="1" applyFont="1" applyFill="1" applyBorder="1" applyAlignment="1">
      <alignment vertical="center"/>
    </xf>
    <xf numFmtId="167" fontId="15" fillId="3" borderId="73" xfId="2" applyNumberFormat="1" applyFont="1" applyFill="1" applyBorder="1" applyAlignment="1">
      <alignment vertical="center"/>
    </xf>
    <xf numFmtId="167" fontId="15" fillId="0" borderId="73" xfId="2" applyNumberFormat="1" applyFont="1" applyFill="1" applyBorder="1" applyAlignment="1">
      <alignment vertical="center"/>
    </xf>
    <xf numFmtId="167" fontId="15" fillId="0" borderId="75" xfId="2" applyNumberFormat="1" applyFont="1" applyFill="1" applyBorder="1" applyAlignment="1">
      <alignment vertical="center"/>
    </xf>
    <xf numFmtId="9" fontId="0" fillId="0" borderId="0" xfId="2" applyFont="1"/>
    <xf numFmtId="0" fontId="66" fillId="0" borderId="0" xfId="0" applyFont="1" applyAlignment="1">
      <alignment vertical="center" wrapText="1"/>
    </xf>
    <xf numFmtId="0" fontId="17" fillId="21" borderId="0" xfId="0" applyFont="1" applyFill="1" applyAlignment="1">
      <alignment vertical="top" wrapText="1"/>
    </xf>
    <xf numFmtId="0" fontId="17" fillId="19" borderId="0" xfId="0" applyFont="1" applyFill="1" applyAlignment="1">
      <alignment vertical="top" wrapText="1"/>
    </xf>
    <xf numFmtId="14" fontId="17" fillId="19" borderId="0" xfId="0" applyNumberFormat="1" applyFont="1" applyFill="1" applyAlignment="1">
      <alignment vertical="top" wrapText="1"/>
    </xf>
    <xf numFmtId="0" fontId="17" fillId="20" borderId="0" xfId="0" applyFont="1" applyFill="1" applyAlignment="1">
      <alignment vertical="top" wrapText="1"/>
    </xf>
    <xf numFmtId="170" fontId="0" fillId="0" borderId="0" xfId="0" applyNumberFormat="1" applyProtection="1">
      <protection locked="0"/>
    </xf>
    <xf numFmtId="165" fontId="40" fillId="15" borderId="0" xfId="1" applyNumberFormat="1" applyFont="1" applyFill="1" applyBorder="1" applyAlignment="1" applyProtection="1">
      <alignment vertical="center"/>
      <protection locked="0"/>
    </xf>
    <xf numFmtId="165" fontId="40" fillId="14" borderId="0" xfId="1" applyNumberFormat="1" applyFont="1" applyFill="1" applyAlignment="1" applyProtection="1">
      <alignment horizontal="center"/>
      <protection locked="0"/>
    </xf>
    <xf numFmtId="0" fontId="55" fillId="16" borderId="77" xfId="0" applyFont="1" applyFill="1" applyBorder="1" applyAlignment="1">
      <alignment horizontal="left" vertical="top" wrapText="1"/>
    </xf>
    <xf numFmtId="0" fontId="55" fillId="17" borderId="77" xfId="0" applyFont="1" applyFill="1" applyBorder="1" applyAlignment="1">
      <alignment horizontal="left" vertical="top" wrapText="1"/>
    </xf>
    <xf numFmtId="0" fontId="69" fillId="0" borderId="0" xfId="0" applyFont="1" applyProtection="1">
      <protection locked="0"/>
    </xf>
    <xf numFmtId="165" fontId="15" fillId="0" borderId="0" xfId="1" applyNumberFormat="1" applyFont="1" applyBorder="1" applyProtection="1">
      <protection locked="0"/>
    </xf>
    <xf numFmtId="0" fontId="69" fillId="0" borderId="0" xfId="0" applyFont="1" applyAlignment="1" applyProtection="1">
      <alignment horizontal="left"/>
      <protection locked="0"/>
    </xf>
    <xf numFmtId="170" fontId="69" fillId="0" borderId="0" xfId="0" applyNumberFormat="1" applyFont="1" applyAlignment="1" applyProtection="1">
      <alignment wrapText="1"/>
      <protection locked="0"/>
    </xf>
    <xf numFmtId="170" fontId="69" fillId="0" borderId="0" xfId="0" applyNumberFormat="1" applyFont="1" applyProtection="1">
      <protection locked="0"/>
    </xf>
    <xf numFmtId="165" fontId="67" fillId="0" borderId="0" xfId="1" applyNumberFormat="1" applyFont="1" applyProtection="1">
      <protection locked="0"/>
    </xf>
    <xf numFmtId="165" fontId="69" fillId="0" borderId="0" xfId="1" applyNumberFormat="1" applyFont="1" applyProtection="1">
      <protection locked="0"/>
    </xf>
    <xf numFmtId="165" fontId="69" fillId="0" borderId="0" xfId="1" applyNumberFormat="1" applyFont="1" applyFill="1" applyProtection="1">
      <protection locked="0"/>
    </xf>
    <xf numFmtId="166" fontId="4" fillId="0" borderId="0" xfId="1" applyNumberFormat="1" applyFont="1"/>
    <xf numFmtId="170" fontId="36" fillId="13" borderId="0" xfId="0" applyNumberFormat="1" applyFont="1" applyFill="1" applyAlignment="1" applyProtection="1">
      <alignment horizontal="center" vertical="center"/>
      <protection locked="0"/>
    </xf>
    <xf numFmtId="0" fontId="37" fillId="12" borderId="78" xfId="0" applyFont="1" applyFill="1" applyBorder="1" applyAlignment="1">
      <alignment horizontal="center" vertical="center" wrapText="1"/>
    </xf>
    <xf numFmtId="165" fontId="15" fillId="0" borderId="27" xfId="1" applyNumberFormat="1" applyFont="1" applyBorder="1" applyAlignment="1">
      <alignment vertical="center"/>
    </xf>
    <xf numFmtId="165" fontId="15" fillId="0" borderId="79" xfId="1" applyNumberFormat="1" applyFont="1" applyBorder="1" applyAlignment="1">
      <alignment vertical="center"/>
    </xf>
    <xf numFmtId="165" fontId="24" fillId="0" borderId="27" xfId="1" applyNumberFormat="1" applyFont="1" applyBorder="1" applyAlignment="1">
      <alignment vertical="center"/>
    </xf>
    <xf numFmtId="165" fontId="15" fillId="3" borderId="30" xfId="1" applyNumberFormat="1" applyFont="1" applyFill="1" applyBorder="1" applyAlignment="1">
      <alignment vertical="center"/>
    </xf>
    <xf numFmtId="165" fontId="15" fillId="3" borderId="45" xfId="1" applyNumberFormat="1" applyFont="1" applyFill="1" applyBorder="1" applyAlignment="1">
      <alignment vertical="center"/>
    </xf>
    <xf numFmtId="165" fontId="24" fillId="3" borderId="30" xfId="1" applyNumberFormat="1" applyFont="1" applyFill="1" applyBorder="1" applyAlignment="1">
      <alignment vertical="center"/>
    </xf>
    <xf numFmtId="165" fontId="15" fillId="0" borderId="30" xfId="1" applyNumberFormat="1" applyFont="1" applyBorder="1" applyAlignment="1">
      <alignment vertical="center"/>
    </xf>
    <xf numFmtId="165" fontId="15" fillId="0" borderId="45" xfId="1" applyNumberFormat="1" applyFont="1" applyBorder="1" applyAlignment="1">
      <alignment vertical="center"/>
    </xf>
    <xf numFmtId="165" fontId="24" fillId="0" borderId="30" xfId="1" applyNumberFormat="1" applyFont="1" applyBorder="1" applyAlignment="1">
      <alignment vertical="center"/>
    </xf>
    <xf numFmtId="165" fontId="15" fillId="0" borderId="33" xfId="1" applyNumberFormat="1" applyFont="1" applyBorder="1" applyAlignment="1">
      <alignment vertical="center"/>
    </xf>
    <xf numFmtId="165" fontId="15" fillId="0" borderId="80" xfId="1" applyNumberFormat="1" applyFont="1" applyBorder="1" applyAlignment="1">
      <alignment vertical="center"/>
    </xf>
    <xf numFmtId="165" fontId="24" fillId="0" borderId="33" xfId="1" applyNumberFormat="1" applyFont="1" applyBorder="1" applyAlignment="1">
      <alignment vertical="center"/>
    </xf>
    <xf numFmtId="165" fontId="71" fillId="0" borderId="0" xfId="1" applyNumberFormat="1" applyFont="1" applyFill="1" applyBorder="1"/>
    <xf numFmtId="2" fontId="24" fillId="3" borderId="30" xfId="1" applyNumberFormat="1" applyFont="1" applyFill="1" applyBorder="1" applyAlignment="1">
      <alignment vertical="center"/>
    </xf>
    <xf numFmtId="170" fontId="0" fillId="0" borderId="0" xfId="0" applyNumberFormat="1"/>
    <xf numFmtId="0" fontId="34" fillId="0" borderId="47" xfId="0" applyFont="1" applyBorder="1"/>
    <xf numFmtId="0" fontId="35" fillId="0" borderId="47" xfId="0" applyFont="1" applyBorder="1"/>
    <xf numFmtId="10" fontId="0" fillId="0" borderId="0" xfId="2" applyNumberFormat="1" applyFont="1"/>
    <xf numFmtId="170" fontId="22" fillId="13" borderId="0" xfId="0" applyNumberFormat="1" applyFont="1" applyFill="1" applyAlignment="1" applyProtection="1">
      <alignment horizontal="center" vertical="center"/>
      <protection locked="0"/>
    </xf>
    <xf numFmtId="165" fontId="72" fillId="0" borderId="0" xfId="1" applyNumberFormat="1" applyFont="1" applyBorder="1"/>
    <xf numFmtId="0" fontId="62" fillId="0" borderId="0" xfId="0" applyFont="1" applyAlignment="1">
      <alignment horizontal="left" vertical="center"/>
    </xf>
    <xf numFmtId="166" fontId="15" fillId="0" borderId="27" xfId="1" applyNumberFormat="1" applyFont="1" applyBorder="1" applyAlignment="1">
      <alignment vertical="center"/>
    </xf>
    <xf numFmtId="166" fontId="15" fillId="3" borderId="30" xfId="1" applyNumberFormat="1" applyFont="1" applyFill="1" applyBorder="1" applyAlignment="1">
      <alignment vertical="center"/>
    </xf>
    <xf numFmtId="166" fontId="15" fillId="0" borderId="30" xfId="1" applyNumberFormat="1" applyFont="1" applyBorder="1" applyAlignment="1">
      <alignment vertical="center"/>
    </xf>
    <xf numFmtId="166" fontId="15" fillId="0" borderId="33" xfId="1" applyNumberFormat="1" applyFont="1" applyBorder="1" applyAlignment="1">
      <alignment vertical="center"/>
    </xf>
    <xf numFmtId="17" fontId="37" fillId="12" borderId="26" xfId="0" applyNumberFormat="1" applyFont="1" applyFill="1" applyBorder="1" applyAlignment="1">
      <alignment horizontal="center" vertical="center" wrapText="1"/>
    </xf>
    <xf numFmtId="43" fontId="47" fillId="0" borderId="0" xfId="1" applyFont="1" applyFill="1" applyBorder="1" applyAlignment="1"/>
    <xf numFmtId="9" fontId="15" fillId="0" borderId="47" xfId="2" applyFont="1" applyFill="1" applyBorder="1"/>
    <xf numFmtId="165" fontId="33" fillId="0" borderId="0" xfId="1" applyNumberFormat="1" applyFont="1" applyBorder="1"/>
    <xf numFmtId="166" fontId="33" fillId="0" borderId="0" xfId="1" applyNumberFormat="1" applyFont="1" applyBorder="1"/>
    <xf numFmtId="164" fontId="15" fillId="0" borderId="0" xfId="0" applyNumberFormat="1" applyFont="1"/>
    <xf numFmtId="0" fontId="15" fillId="0" borderId="84" xfId="0" applyFont="1" applyBorder="1"/>
    <xf numFmtId="0" fontId="21" fillId="0" borderId="84" xfId="0" applyFont="1" applyBorder="1"/>
    <xf numFmtId="164" fontId="15" fillId="0" borderId="84" xfId="0" applyNumberFormat="1" applyFont="1" applyBorder="1"/>
    <xf numFmtId="165" fontId="15" fillId="0" borderId="30" xfId="1" applyNumberFormat="1" applyFont="1" applyFill="1" applyBorder="1" applyAlignment="1">
      <alignment vertical="center"/>
    </xf>
    <xf numFmtId="165" fontId="15" fillId="0" borderId="85" xfId="1" applyNumberFormat="1" applyFont="1" applyBorder="1" applyAlignment="1">
      <alignment vertical="center"/>
    </xf>
    <xf numFmtId="165" fontId="31" fillId="0" borderId="28" xfId="1" applyNumberFormat="1" applyFont="1" applyFill="1" applyBorder="1" applyAlignment="1">
      <alignment vertical="center"/>
    </xf>
    <xf numFmtId="165" fontId="31" fillId="3" borderId="31" xfId="1" applyNumberFormat="1" applyFont="1" applyFill="1" applyBorder="1" applyAlignment="1">
      <alignment vertical="center"/>
    </xf>
    <xf numFmtId="165" fontId="31" fillId="0" borderId="31" xfId="1" applyNumberFormat="1" applyFont="1" applyFill="1" applyBorder="1" applyAlignment="1">
      <alignment vertical="center"/>
    </xf>
    <xf numFmtId="165" fontId="31" fillId="0" borderId="34" xfId="1" applyNumberFormat="1" applyFont="1" applyFill="1" applyBorder="1" applyAlignment="1">
      <alignment vertical="center"/>
    </xf>
    <xf numFmtId="165" fontId="21" fillId="0" borderId="84" xfId="0" applyNumberFormat="1" applyFont="1" applyBorder="1"/>
    <xf numFmtId="0" fontId="32" fillId="0" borderId="0" xfId="0" applyFont="1"/>
    <xf numFmtId="0" fontId="71" fillId="0" borderId="0" xfId="0" applyFont="1"/>
    <xf numFmtId="165" fontId="71" fillId="0" borderId="0" xfId="1" applyNumberFormat="1" applyFont="1" applyBorder="1"/>
    <xf numFmtId="166" fontId="71" fillId="0" borderId="0" xfId="1" applyNumberFormat="1" applyFont="1" applyBorder="1"/>
    <xf numFmtId="170" fontId="27" fillId="0" borderId="0" xfId="0" applyNumberFormat="1" applyFont="1" applyAlignment="1">
      <alignment vertical="center"/>
    </xf>
    <xf numFmtId="0" fontId="32" fillId="0" borderId="25" xfId="0" applyFont="1" applyBorder="1" applyAlignment="1">
      <alignment vertical="center"/>
    </xf>
    <xf numFmtId="0" fontId="21" fillId="0" borderId="0" xfId="0" applyFont="1" applyAlignment="1">
      <alignment vertical="center"/>
    </xf>
    <xf numFmtId="165" fontId="23" fillId="0" borderId="0" xfId="1" applyNumberFormat="1" applyFont="1"/>
    <xf numFmtId="165" fontId="73" fillId="0" borderId="0" xfId="1" applyNumberFormat="1" applyFont="1" applyBorder="1"/>
    <xf numFmtId="0" fontId="15" fillId="0" borderId="0" xfId="0" applyFont="1" applyAlignment="1">
      <alignment vertical="center"/>
    </xf>
    <xf numFmtId="165" fontId="71" fillId="0" borderId="0" xfId="0" applyNumberFormat="1" applyFont="1"/>
    <xf numFmtId="165" fontId="71" fillId="0" borderId="36" xfId="0" applyNumberFormat="1" applyFont="1" applyBorder="1"/>
    <xf numFmtId="0" fontId="70" fillId="0" borderId="0" xfId="0" applyFont="1"/>
    <xf numFmtId="165" fontId="71" fillId="0" borderId="0" xfId="1" applyNumberFormat="1" applyFont="1" applyFill="1" applyBorder="1" applyProtection="1"/>
    <xf numFmtId="167" fontId="71" fillId="0" borderId="0" xfId="2" applyNumberFormat="1" applyFont="1" applyFill="1" applyBorder="1"/>
    <xf numFmtId="0" fontId="24" fillId="0" borderId="0" xfId="0" applyFont="1"/>
    <xf numFmtId="9" fontId="71" fillId="0" borderId="0" xfId="2" applyFont="1" applyFill="1" applyBorder="1"/>
    <xf numFmtId="0" fontId="15" fillId="0" borderId="47" xfId="0" applyFont="1" applyBorder="1" applyAlignment="1">
      <alignment vertical="center"/>
    </xf>
    <xf numFmtId="0" fontId="15" fillId="0" borderId="0" xfId="0" applyFont="1" applyAlignment="1">
      <alignment vertical="center" wrapText="1"/>
    </xf>
    <xf numFmtId="0" fontId="30" fillId="0" borderId="0" xfId="0" applyFont="1" applyAlignment="1">
      <alignment vertical="center"/>
    </xf>
    <xf numFmtId="0" fontId="71" fillId="0" borderId="7" xfId="0" applyFont="1" applyBorder="1"/>
    <xf numFmtId="165" fontId="71" fillId="0" borderId="7" xfId="0" applyNumberFormat="1" applyFont="1" applyBorder="1"/>
    <xf numFmtId="0" fontId="75" fillId="0" borderId="0" xfId="0" applyFont="1"/>
    <xf numFmtId="165" fontId="71" fillId="0" borderId="0" xfId="1" applyNumberFormat="1" applyFont="1"/>
    <xf numFmtId="165" fontId="71" fillId="0" borderId="36" xfId="1" applyNumberFormat="1" applyFont="1" applyBorder="1"/>
    <xf numFmtId="165" fontId="24" fillId="0" borderId="0" xfId="1" applyNumberFormat="1" applyFont="1"/>
    <xf numFmtId="173" fontId="76" fillId="0" borderId="0" xfId="0" applyNumberFormat="1" applyFont="1"/>
    <xf numFmtId="17" fontId="37" fillId="12" borderId="78" xfId="0" applyNumberFormat="1" applyFont="1" applyFill="1" applyBorder="1" applyAlignment="1">
      <alignment horizontal="center" vertical="center" wrapText="1"/>
    </xf>
    <xf numFmtId="165" fontId="31" fillId="0" borderId="27" xfId="1" applyNumberFormat="1" applyFont="1" applyBorder="1" applyAlignment="1">
      <alignment vertical="center"/>
    </xf>
    <xf numFmtId="165" fontId="31" fillId="0" borderId="79" xfId="1" applyNumberFormat="1" applyFont="1" applyBorder="1" applyAlignment="1">
      <alignment vertical="center"/>
    </xf>
    <xf numFmtId="165" fontId="31" fillId="3" borderId="30" xfId="1" applyNumberFormat="1" applyFont="1" applyFill="1" applyBorder="1" applyAlignment="1">
      <alignment vertical="center"/>
    </xf>
    <xf numFmtId="165" fontId="31" fillId="3" borderId="45" xfId="1" applyNumberFormat="1" applyFont="1" applyFill="1" applyBorder="1" applyAlignment="1">
      <alignment vertical="center"/>
    </xf>
    <xf numFmtId="165" fontId="31" fillId="0" borderId="30" xfId="1" applyNumberFormat="1" applyFont="1" applyBorder="1" applyAlignment="1">
      <alignment vertical="center"/>
    </xf>
    <xf numFmtId="165" fontId="31" fillId="0" borderId="45" xfId="1" applyNumberFormat="1" applyFont="1" applyBorder="1" applyAlignment="1">
      <alignment vertical="center"/>
    </xf>
    <xf numFmtId="165" fontId="31" fillId="0" borderId="82" xfId="1" applyNumberFormat="1" applyFont="1" applyBorder="1" applyAlignment="1">
      <alignment vertical="center"/>
    </xf>
    <xf numFmtId="165" fontId="31" fillId="0" borderId="46" xfId="1" applyNumberFormat="1" applyFont="1" applyBorder="1" applyAlignment="1">
      <alignment vertical="center"/>
    </xf>
    <xf numFmtId="165" fontId="31" fillId="3" borderId="83" xfId="1" applyNumberFormat="1" applyFont="1" applyFill="1" applyBorder="1" applyAlignment="1">
      <alignment vertical="center"/>
    </xf>
    <xf numFmtId="165" fontId="31" fillId="3" borderId="87" xfId="1" applyNumberFormat="1" applyFont="1" applyFill="1" applyBorder="1" applyAlignment="1">
      <alignment vertical="center"/>
    </xf>
    <xf numFmtId="165" fontId="31" fillId="0" borderId="81" xfId="1" applyNumberFormat="1" applyFont="1" applyBorder="1" applyAlignment="1">
      <alignment vertical="center"/>
    </xf>
    <xf numFmtId="165" fontId="31" fillId="0" borderId="88" xfId="1" applyNumberFormat="1" applyFont="1" applyBorder="1" applyAlignment="1">
      <alignment vertical="center"/>
    </xf>
    <xf numFmtId="174" fontId="15" fillId="0" borderId="0" xfId="0" applyNumberFormat="1" applyFont="1"/>
    <xf numFmtId="175" fontId="15" fillId="0" borderId="0" xfId="0" applyNumberFormat="1" applyFont="1"/>
    <xf numFmtId="165" fontId="77" fillId="0" borderId="27" xfId="1" applyNumberFormat="1" applyFont="1" applyBorder="1" applyAlignment="1">
      <alignment vertical="center"/>
    </xf>
    <xf numFmtId="165" fontId="77" fillId="3" borderId="30" xfId="1" applyNumberFormat="1" applyFont="1" applyFill="1" applyBorder="1" applyAlignment="1">
      <alignment vertical="center"/>
    </xf>
    <xf numFmtId="165" fontId="77" fillId="0" borderId="30" xfId="1" applyNumberFormat="1" applyFont="1" applyBorder="1" applyAlignment="1">
      <alignment vertical="center"/>
    </xf>
    <xf numFmtId="165" fontId="77" fillId="3" borderId="82" xfId="1" applyNumberFormat="1" applyFont="1" applyFill="1" applyBorder="1" applyAlignment="1">
      <alignment vertical="center"/>
    </xf>
    <xf numFmtId="165" fontId="77" fillId="0" borderId="82" xfId="1" applyNumberFormat="1" applyFont="1" applyBorder="1" applyAlignment="1">
      <alignment vertical="center"/>
    </xf>
    <xf numFmtId="165" fontId="77" fillId="3" borderId="83" xfId="1" applyNumberFormat="1" applyFont="1" applyFill="1" applyBorder="1" applyAlignment="1">
      <alignment vertical="center"/>
    </xf>
    <xf numFmtId="165" fontId="77" fillId="0" borderId="81" xfId="1" applyNumberFormat="1" applyFont="1" applyBorder="1" applyAlignment="1">
      <alignment vertical="center"/>
    </xf>
    <xf numFmtId="0" fontId="0" fillId="22" borderId="0" xfId="0" applyFill="1"/>
    <xf numFmtId="2" fontId="0" fillId="22" borderId="0" xfId="1" applyNumberFormat="1" applyFont="1" applyFill="1" applyAlignment="1"/>
    <xf numFmtId="0" fontId="78" fillId="0" borderId="0" xfId="0" applyFont="1"/>
    <xf numFmtId="0" fontId="22" fillId="13" borderId="0" xfId="0" applyFont="1" applyFill="1" applyAlignment="1" applyProtection="1">
      <alignment horizontal="center" vertical="center"/>
      <protection locked="0"/>
    </xf>
    <xf numFmtId="170" fontId="22" fillId="13" borderId="0" xfId="0" applyNumberFormat="1" applyFont="1" applyFill="1" applyAlignment="1" applyProtection="1">
      <alignment vertical="center"/>
      <protection locked="0"/>
    </xf>
    <xf numFmtId="9" fontId="74" fillId="0" borderId="0" xfId="0" applyNumberFormat="1" applyFont="1" applyAlignment="1">
      <alignment horizontal="left" vertical="center"/>
    </xf>
    <xf numFmtId="165" fontId="74" fillId="0" borderId="0" xfId="1" applyNumberFormat="1" applyFont="1" applyFill="1" applyBorder="1" applyAlignment="1">
      <alignment horizontal="left" vertical="center"/>
    </xf>
    <xf numFmtId="43" fontId="74" fillId="0" borderId="0" xfId="1" applyFont="1" applyFill="1" applyBorder="1" applyAlignment="1">
      <alignment vertical="center"/>
    </xf>
    <xf numFmtId="0" fontId="0" fillId="0" borderId="89" xfId="0" applyBorder="1"/>
    <xf numFmtId="0" fontId="0" fillId="0" borderId="90" xfId="0" applyBorder="1"/>
    <xf numFmtId="165" fontId="79" fillId="0" borderId="38" xfId="1" applyNumberFormat="1" applyFont="1" applyFill="1" applyBorder="1" applyAlignment="1">
      <alignment vertical="center"/>
    </xf>
    <xf numFmtId="165" fontId="79" fillId="3" borderId="39" xfId="1" applyNumberFormat="1" applyFont="1" applyFill="1" applyBorder="1" applyAlignment="1">
      <alignment vertical="center"/>
    </xf>
    <xf numFmtId="165" fontId="79" fillId="0" borderId="39" xfId="1" applyNumberFormat="1" applyFont="1" applyFill="1" applyBorder="1" applyAlignment="1">
      <alignment vertical="center"/>
    </xf>
    <xf numFmtId="165" fontId="79" fillId="0" borderId="40" xfId="1" applyNumberFormat="1" applyFont="1" applyFill="1" applyBorder="1" applyAlignment="1">
      <alignment vertical="center"/>
    </xf>
    <xf numFmtId="0" fontId="76" fillId="0" borderId="0" xfId="0" applyFont="1"/>
    <xf numFmtId="165" fontId="15" fillId="0" borderId="0" xfId="1" applyNumberFormat="1" applyFont="1" applyFill="1" applyBorder="1" applyAlignment="1" applyProtection="1">
      <alignment vertical="center"/>
    </xf>
    <xf numFmtId="0" fontId="22" fillId="13" borderId="91" xfId="0" applyFont="1" applyFill="1" applyBorder="1" applyAlignment="1" applyProtection="1">
      <alignment horizontal="center" vertical="center"/>
      <protection locked="0"/>
    </xf>
    <xf numFmtId="9" fontId="22" fillId="13" borderId="91" xfId="2" applyFont="1" applyFill="1" applyBorder="1" applyAlignment="1" applyProtection="1">
      <alignment horizontal="center" vertical="center"/>
      <protection locked="0"/>
    </xf>
    <xf numFmtId="165" fontId="23" fillId="0" borderId="0" xfId="1" applyNumberFormat="1" applyFont="1" applyBorder="1" applyAlignment="1" applyProtection="1">
      <alignment horizontal="left" vertical="center"/>
    </xf>
    <xf numFmtId="165" fontId="15" fillId="0" borderId="29" xfId="1" applyNumberFormat="1" applyFont="1" applyFill="1" applyBorder="1" applyAlignment="1" applyProtection="1">
      <alignment vertical="center"/>
    </xf>
    <xf numFmtId="9" fontId="15" fillId="13" borderId="92" xfId="2" applyFont="1" applyFill="1" applyBorder="1" applyAlignment="1" applyProtection="1">
      <alignment vertical="center"/>
      <protection locked="0"/>
    </xf>
    <xf numFmtId="165" fontId="30" fillId="0" borderId="27" xfId="1" applyNumberFormat="1" applyFont="1" applyFill="1" applyBorder="1" applyAlignment="1" applyProtection="1">
      <alignment vertical="center"/>
    </xf>
    <xf numFmtId="165" fontId="15" fillId="3" borderId="32" xfId="1" applyNumberFormat="1" applyFont="1" applyFill="1" applyBorder="1" applyAlignment="1" applyProtection="1">
      <alignment vertical="center"/>
    </xf>
    <xf numFmtId="9" fontId="15" fillId="13" borderId="91" xfId="2" applyFont="1" applyFill="1" applyBorder="1" applyAlignment="1" applyProtection="1">
      <alignment vertical="center"/>
      <protection locked="0"/>
    </xf>
    <xf numFmtId="165" fontId="30" fillId="3" borderId="30" xfId="1" applyNumberFormat="1" applyFont="1" applyFill="1" applyBorder="1" applyAlignment="1" applyProtection="1">
      <alignment vertical="center"/>
    </xf>
    <xf numFmtId="165" fontId="15" fillId="0" borderId="32" xfId="1" applyNumberFormat="1" applyFont="1" applyFill="1" applyBorder="1" applyAlignment="1" applyProtection="1">
      <alignment vertical="center"/>
    </xf>
    <xf numFmtId="165" fontId="30" fillId="0" borderId="30" xfId="1" applyNumberFormat="1" applyFont="1" applyFill="1" applyBorder="1" applyAlignment="1" applyProtection="1">
      <alignment vertical="center"/>
    </xf>
    <xf numFmtId="165" fontId="15" fillId="0" borderId="93" xfId="1" applyNumberFormat="1" applyFont="1" applyFill="1" applyBorder="1" applyAlignment="1" applyProtection="1">
      <alignment vertical="center"/>
    </xf>
    <xf numFmtId="9" fontId="15" fillId="13" borderId="94" xfId="2" applyFont="1" applyFill="1" applyBorder="1" applyAlignment="1" applyProtection="1">
      <alignment vertical="center"/>
      <protection locked="0"/>
    </xf>
    <xf numFmtId="165" fontId="30" fillId="0" borderId="33" xfId="1" applyNumberFormat="1" applyFont="1" applyFill="1" applyBorder="1" applyAlignment="1" applyProtection="1">
      <alignment vertical="center"/>
    </xf>
    <xf numFmtId="165" fontId="31" fillId="0" borderId="28" xfId="1" applyNumberFormat="1" applyFont="1" applyFill="1" applyBorder="1" applyAlignment="1" applyProtection="1">
      <alignment vertical="center"/>
    </xf>
    <xf numFmtId="165" fontId="31" fillId="0" borderId="71" xfId="1" applyNumberFormat="1" applyFont="1" applyFill="1" applyBorder="1" applyAlignment="1" applyProtection="1">
      <alignment vertical="center"/>
    </xf>
    <xf numFmtId="165" fontId="31" fillId="3" borderId="30" xfId="1" applyNumberFormat="1" applyFont="1" applyFill="1" applyBorder="1" applyAlignment="1" applyProtection="1">
      <alignment vertical="center"/>
    </xf>
    <xf numFmtId="165" fontId="31" fillId="3" borderId="31" xfId="1" applyNumberFormat="1" applyFont="1" applyFill="1" applyBorder="1" applyAlignment="1" applyProtection="1">
      <alignment vertical="center"/>
    </xf>
    <xf numFmtId="165" fontId="31" fillId="3" borderId="73" xfId="1" applyNumberFormat="1" applyFont="1" applyFill="1" applyBorder="1" applyAlignment="1" applyProtection="1">
      <alignment vertical="center"/>
    </xf>
    <xf numFmtId="165" fontId="31" fillId="0" borderId="30" xfId="1" applyNumberFormat="1" applyFont="1" applyFill="1" applyBorder="1" applyAlignment="1" applyProtection="1">
      <alignment vertical="center"/>
    </xf>
    <xf numFmtId="165" fontId="31" fillId="0" borderId="31" xfId="1" applyNumberFormat="1" applyFont="1" applyFill="1" applyBorder="1" applyAlignment="1" applyProtection="1">
      <alignment vertical="center"/>
    </xf>
    <xf numFmtId="165" fontId="31" fillId="0" borderId="73" xfId="1" applyNumberFormat="1" applyFont="1" applyFill="1" applyBorder="1" applyAlignment="1" applyProtection="1">
      <alignment vertical="center"/>
    </xf>
    <xf numFmtId="165" fontId="31" fillId="0" borderId="33" xfId="1" applyNumberFormat="1" applyFont="1" applyFill="1" applyBorder="1" applyAlignment="1" applyProtection="1">
      <alignment vertical="center"/>
    </xf>
    <xf numFmtId="165" fontId="31" fillId="0" borderId="34" xfId="1" applyNumberFormat="1" applyFont="1" applyFill="1" applyBorder="1" applyAlignment="1" applyProtection="1">
      <alignment vertical="center"/>
    </xf>
    <xf numFmtId="165" fontId="31" fillId="0" borderId="75" xfId="1" applyNumberFormat="1" applyFont="1" applyFill="1" applyBorder="1" applyAlignment="1" applyProtection="1">
      <alignment vertical="center"/>
    </xf>
    <xf numFmtId="0" fontId="32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165" fontId="81" fillId="0" borderId="0" xfId="1" applyNumberFormat="1" applyFont="1" applyBorder="1" applyAlignment="1" applyProtection="1">
      <alignment horizontal="left" vertical="center"/>
    </xf>
    <xf numFmtId="165" fontId="82" fillId="0" borderId="0" xfId="1" applyNumberFormat="1" applyFont="1" applyBorder="1" applyAlignment="1" applyProtection="1">
      <alignment horizontal="left" vertical="center"/>
    </xf>
    <xf numFmtId="0" fontId="21" fillId="0" borderId="0" xfId="0" applyFont="1" applyAlignment="1">
      <alignment vertical="top"/>
    </xf>
    <xf numFmtId="0" fontId="80" fillId="0" borderId="0" xfId="0" applyFont="1" applyAlignment="1">
      <alignment vertical="center" wrapText="1"/>
    </xf>
    <xf numFmtId="9" fontId="9" fillId="0" borderId="0" xfId="2" applyFont="1" applyAlignment="1" applyProtection="1">
      <alignment vertical="center"/>
    </xf>
    <xf numFmtId="0" fontId="78" fillId="0" borderId="0" xfId="0" applyFont="1" applyAlignment="1">
      <alignment horizontal="left"/>
    </xf>
    <xf numFmtId="165" fontId="15" fillId="0" borderId="0" xfId="1" applyNumberFormat="1" applyFont="1" applyFill="1" applyBorder="1" applyAlignment="1" applyProtection="1">
      <alignment horizontal="left" vertical="center"/>
    </xf>
    <xf numFmtId="165" fontId="15" fillId="0" borderId="95" xfId="1" applyNumberFormat="1" applyFont="1" applyFill="1" applyBorder="1" applyAlignment="1" applyProtection="1">
      <alignment horizontal="left" vertical="center"/>
    </xf>
    <xf numFmtId="9" fontId="21" fillId="0" borderId="0" xfId="0" applyNumberFormat="1" applyFont="1"/>
    <xf numFmtId="0" fontId="84" fillId="0" borderId="0" xfId="3"/>
    <xf numFmtId="0" fontId="29" fillId="0" borderId="0" xfId="0" applyFont="1" applyAlignment="1">
      <alignment horizontal="left" vertical="center" wrapText="1"/>
    </xf>
    <xf numFmtId="0" fontId="29" fillId="0" borderId="47" xfId="0" applyFont="1" applyBorder="1" applyAlignment="1">
      <alignment horizontal="center"/>
    </xf>
    <xf numFmtId="0" fontId="26" fillId="15" borderId="0" xfId="0" applyFont="1" applyFill="1" applyAlignment="1">
      <alignment horizontal="center"/>
    </xf>
    <xf numFmtId="0" fontId="26" fillId="14" borderId="0" xfId="0" applyFont="1" applyFill="1" applyAlignment="1">
      <alignment horizontal="center"/>
    </xf>
    <xf numFmtId="0" fontId="66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40" fillId="15" borderId="0" xfId="0" applyFont="1" applyFill="1" applyAlignment="1">
      <alignment horizontal="center" vertical="center" wrapText="1"/>
    </xf>
    <xf numFmtId="0" fontId="40" fillId="14" borderId="0" xfId="0" applyFont="1" applyFill="1" applyAlignment="1">
      <alignment horizontal="center" vertical="center" wrapText="1"/>
    </xf>
    <xf numFmtId="0" fontId="2" fillId="15" borderId="0" xfId="0" applyFont="1" applyFill="1" applyAlignment="1">
      <alignment horizontal="center" vertical="center" wrapText="1"/>
    </xf>
    <xf numFmtId="0" fontId="2" fillId="14" borderId="0" xfId="0" applyFont="1" applyFill="1" applyAlignment="1">
      <alignment horizontal="center" vertical="center" wrapText="1"/>
    </xf>
    <xf numFmtId="0" fontId="27" fillId="0" borderId="86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52" fillId="0" borderId="0" xfId="0" applyFont="1" applyAlignment="1">
      <alignment horizontal="right" vertical="center" wrapText="1"/>
    </xf>
    <xf numFmtId="0" fontId="74" fillId="0" borderId="0" xfId="0" applyFont="1" applyAlignment="1" applyProtection="1">
      <alignment horizontal="center" vertical="center"/>
      <protection locked="0"/>
    </xf>
    <xf numFmtId="0" fontId="42" fillId="0" borderId="0" xfId="0" applyFont="1" applyAlignment="1">
      <alignment horizontal="right" vertical="center"/>
    </xf>
    <xf numFmtId="0" fontId="78" fillId="0" borderId="0" xfId="0" applyFont="1" applyAlignment="1">
      <alignment horizontal="left"/>
    </xf>
    <xf numFmtId="0" fontId="15" fillId="0" borderId="0" xfId="0" applyFont="1" applyAlignment="1">
      <alignment horizontal="left" vertical="top" wrapText="1"/>
    </xf>
    <xf numFmtId="165" fontId="15" fillId="0" borderId="0" xfId="1" applyNumberFormat="1" applyFont="1" applyFill="1" applyBorder="1" applyAlignment="1" applyProtection="1">
      <alignment horizontal="left" vertical="center"/>
    </xf>
    <xf numFmtId="165" fontId="15" fillId="0" borderId="95" xfId="1" applyNumberFormat="1" applyFont="1" applyFill="1" applyBorder="1" applyAlignment="1" applyProtection="1">
      <alignment horizontal="left" vertical="center"/>
    </xf>
    <xf numFmtId="0" fontId="26" fillId="15" borderId="68" xfId="0" applyFont="1" applyFill="1" applyBorder="1" applyAlignment="1">
      <alignment horizontal="center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29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fill>
        <patternFill patternType="solid">
          <fgColor rgb="FF5B9BD5"/>
          <bgColor rgb="FF5B9BD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fill>
        <patternFill patternType="solid">
          <fgColor rgb="FF5B9BD5"/>
          <bgColor rgb="FF5B9BD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fill>
        <patternFill patternType="solid">
          <fgColor rgb="FF5B9BD5"/>
          <bgColor rgb="FF5B9BD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fill>
        <patternFill patternType="solid">
          <fgColor rgb="FF5B9BD5"/>
          <bgColor rgb="FF5B9BD5"/>
        </patternFill>
      </fill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general" vertical="bottom" textRotation="0" wrapText="0" indent="0" justifyLastLine="0" shrinkToFit="0" readingOrder="0"/>
    </dxf>
    <dxf>
      <numFmt numFmtId="2" formatCode="0.0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/>
      </font>
      <fill>
        <patternFill>
          <bgColor theme="8" tint="0.79998168889431442"/>
        </patternFill>
      </fill>
    </dxf>
    <dxf>
      <font>
        <color theme="8"/>
      </font>
      <fill>
        <patternFill>
          <bgColor theme="8" tint="0.79998168889431442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C00000"/>
      </font>
      <fill>
        <patternFill>
          <bgColor theme="9" tint="0.59996337778862885"/>
        </patternFill>
      </fill>
    </dxf>
    <dxf>
      <font>
        <b/>
        <i val="0"/>
        <color theme="6"/>
      </font>
      <fill>
        <patternFill>
          <bgColor theme="6" tint="0.79998168889431442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B21841"/>
      </font>
      <fill>
        <patternFill>
          <bgColor theme="9" tint="0.59996337778862885"/>
        </patternFill>
      </fill>
    </dxf>
    <dxf>
      <font>
        <b/>
        <i val="0"/>
        <color theme="6"/>
      </font>
      <fill>
        <patternFill>
          <bgColor theme="6" tint="0.79998168889431442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/>
      </font>
      <fill>
        <patternFill>
          <bgColor theme="8" tint="0.79998168889431442"/>
        </patternFill>
      </fill>
    </dxf>
    <dxf>
      <font>
        <color theme="8"/>
      </font>
      <fill>
        <patternFill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name val="Roboto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0"/>
        <name val="Roboto"/>
        <scheme val="none"/>
      </font>
      <numFmt numFmtId="170" formatCode="[$-409]d\-mmm\-yyyy;@"/>
      <protection locked="1" hidden="0"/>
    </dxf>
    <dxf>
      <font>
        <strike val="0"/>
        <outline val="0"/>
        <shadow val="0"/>
        <u val="none"/>
        <vertAlign val="baseline"/>
        <sz val="10"/>
        <name val="Roboto"/>
        <scheme val="none"/>
      </font>
      <numFmt numFmtId="0" formatCode="General"/>
      <protection locked="1" hidden="0"/>
    </dxf>
    <dxf>
      <font>
        <strike val="0"/>
        <outline val="0"/>
        <shadow val="0"/>
        <u val="none"/>
        <vertAlign val="baseline"/>
        <sz val="10"/>
        <name val="Roboto"/>
        <scheme val="none"/>
      </font>
      <numFmt numFmtId="0" formatCode="General"/>
      <protection locked="1" hidden="0"/>
    </dxf>
    <dxf>
      <font>
        <strike val="0"/>
        <outline val="0"/>
        <shadow val="0"/>
        <u val="none"/>
        <vertAlign val="baseline"/>
        <sz val="10"/>
        <color theme="7"/>
        <name val="Roboto"/>
        <scheme val="none"/>
      </font>
      <numFmt numFmtId="166" formatCode="_-* #,##0.0_-;\-* #,##0.0_-;_-* &quot;-&quot;??_-;_-@_-"/>
      <protection locked="1" hidden="0"/>
    </dxf>
    <dxf>
      <font>
        <strike val="0"/>
        <outline val="0"/>
        <shadow val="0"/>
        <u val="none"/>
        <vertAlign val="baseline"/>
        <sz val="10"/>
        <name val="Roboto"/>
        <scheme val="none"/>
      </font>
      <numFmt numFmtId="19" formatCode="dd/mm/yyyy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7"/>
        <name val="Roboto"/>
        <scheme val="none"/>
      </font>
      <numFmt numFmtId="165" formatCode="_-* #,##0_-;\-* #,##0_-;_-* &quot;-&quot;??_-;_-@_-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7"/>
        <name val="Roboto"/>
        <scheme val="none"/>
      </font>
      <numFmt numFmtId="165" formatCode="_-* #,##0_-;\-* #,##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7"/>
        <name val="Roboto"/>
        <scheme val="none"/>
      </font>
      <numFmt numFmtId="165" formatCode="_-* #,##0_-;\-* #,##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7"/>
        <name val="Roboto"/>
        <scheme val="none"/>
      </font>
      <numFmt numFmtId="165" formatCode="_-* #,##0_-;\-* #,##0_-;_-* &quot;-&quot;??_-;_-@_-"/>
      <protection locked="0" hidden="0"/>
    </dxf>
    <dxf>
      <font>
        <strike val="0"/>
        <outline val="0"/>
        <shadow val="0"/>
        <u val="none"/>
        <vertAlign val="baseline"/>
        <sz val="10"/>
        <name val="Roboto"/>
        <scheme val="none"/>
      </font>
      <numFmt numFmtId="170" formatCode="[$-409]d\-mmm\-yyyy;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0"/>
        <name val="Roboto"/>
        <scheme val="none"/>
      </font>
      <numFmt numFmtId="170" formatCode="[$-409]d\-mmm\-yyyy;@"/>
      <protection locked="0" hidden="0"/>
    </dxf>
    <dxf>
      <font>
        <strike val="0"/>
        <outline val="0"/>
        <shadow val="0"/>
        <u val="none"/>
        <vertAlign val="baseline"/>
        <sz val="10"/>
        <color theme="7"/>
        <name val="Roboto"/>
        <scheme val="none"/>
      </font>
      <numFmt numFmtId="170" formatCode="[$-409]d\-mmm\-yyyy;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7"/>
        <name val="Roboto"/>
        <scheme val="none"/>
      </font>
      <numFmt numFmtId="170" formatCode="[$-409]d\-mmm\-yyyy;@"/>
      <protection locked="0" hidden="0"/>
    </dxf>
    <dxf>
      <font>
        <strike val="0"/>
        <outline val="0"/>
        <shadow val="0"/>
        <u val="none"/>
        <vertAlign val="baseline"/>
        <sz val="10"/>
        <name val="Roboto"/>
        <scheme val="none"/>
      </font>
      <numFmt numFmtId="165" formatCode="_-* #,##0_-;\-* #,##0_-;_-* &quot;-&quot;??_-;_-@_-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7"/>
        <name val="Roboto"/>
        <scheme val="none"/>
      </font>
      <numFmt numFmtId="165" formatCode="_-* #,##0_-;\-* #,##0_-;_-* &quot;-&quot;??_-;_-@_-"/>
      <protection locked="0" hidden="0"/>
    </dxf>
    <dxf>
      <font>
        <strike val="0"/>
        <outline val="0"/>
        <shadow val="0"/>
        <u val="none"/>
        <vertAlign val="baseline"/>
        <sz val="10"/>
        <name val="Roboto"/>
        <scheme val="none"/>
      </font>
      <numFmt numFmtId="165" formatCode="_-* #,##0_-;\-* #,##0_-;_-* &quot;-&quot;??_-;_-@_-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  <numFmt numFmtId="170" formatCode="[$-409]d\-mmm\-yyyy;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  <numFmt numFmtId="168" formatCode="0.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  <numFmt numFmtId="168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  <numFmt numFmtId="168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7"/>
        <name val="Roboto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7"/>
        <name val="Roboto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0"/>
        <name val="Roboto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0"/>
        <name val="Roboto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  <protection locked="1" hidden="0"/>
    </dxf>
    <dxf>
      <font>
        <strike val="0"/>
        <outline val="0"/>
        <shadow val="0"/>
        <u val="none"/>
        <vertAlign val="baseline"/>
        <sz val="10"/>
        <name val="Roboto"/>
        <scheme val="none"/>
      </font>
      <protection locked="1" hidden="0"/>
    </dxf>
    <dxf>
      <font>
        <strike val="0"/>
        <outline val="0"/>
        <shadow val="0"/>
        <u val="none"/>
        <vertAlign val="baseline"/>
        <sz val="10"/>
        <color theme="7"/>
        <name val="Roboto"/>
        <scheme val="none"/>
      </font>
      <protection locked="1" hidden="0"/>
    </dxf>
    <dxf>
      <font>
        <strike val="0"/>
        <outline val="0"/>
        <shadow val="0"/>
        <u val="none"/>
        <vertAlign val="baseline"/>
        <sz val="10"/>
        <name val="Roboto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Roboto"/>
        <scheme val="none"/>
      </font>
      <fill>
        <patternFill patternType="solid">
          <fgColor rgb="FF78909C"/>
          <bgColor rgb="FF78909C"/>
        </patternFill>
      </fill>
      <alignment horizontal="general" vertical="top" textRotation="0" wrapText="1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78909C"/>
          <bgColor rgb="FF78909C"/>
        </patternFill>
      </fill>
    </dxf>
  </dxfs>
  <tableStyles count="1" defaultTableStyle="TableStyleMedium2" defaultPivotStyle="PivotStyleLight16">
    <tableStyle name="Demo-style" pivot="0" count="3" xr9:uid="{00000000-0011-0000-FFFF-FFFF00000000}">
      <tableStyleElement type="headerRow" dxfId="289"/>
      <tableStyleElement type="firstRowStripe" dxfId="288"/>
      <tableStyleElement type="secondRowStripe" dxfId="287"/>
    </tableStyle>
  </tableStyles>
  <colors>
    <mruColors>
      <color rgb="FF31AEE4"/>
      <color rgb="FF006600"/>
      <color rgb="FF99FF99"/>
      <color rgb="FFB21841"/>
      <color rgb="FFFFFF66"/>
      <color rgb="FFE33364"/>
      <color rgb="FFFF00FF"/>
      <color rgb="FFFFFFCC"/>
      <color rgb="FF00FF9B"/>
      <color rgb="FF6400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6"/>
          <c:order val="0"/>
          <c:tx>
            <c:strRef>
              <c:f>'Scenario planning-aggregate'!$AD$7</c:f>
              <c:strCache>
                <c:ptCount val="1"/>
                <c:pt idx="0">
                  <c:v>Forecasted ending balance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planning-aggregate'!$AD$8:$AD$31</c:f>
              <c:numCache>
                <c:formatCode>_-* #,##0_-;\-* #,##0_-;_-* "-"??_-;_-@_-</c:formatCode>
                <c:ptCount val="24"/>
                <c:pt idx="0">
                  <c:v>390300</c:v>
                </c:pt>
                <c:pt idx="1">
                  <c:v>347855</c:v>
                </c:pt>
                <c:pt idx="2">
                  <c:v>262980</c:v>
                </c:pt>
                <c:pt idx="3">
                  <c:v>495740</c:v>
                </c:pt>
                <c:pt idx="4">
                  <c:v>300947</c:v>
                </c:pt>
                <c:pt idx="5">
                  <c:v>152517</c:v>
                </c:pt>
                <c:pt idx="6">
                  <c:v>0</c:v>
                </c:pt>
                <c:pt idx="7">
                  <c:v>953625</c:v>
                </c:pt>
                <c:pt idx="8">
                  <c:v>370116</c:v>
                </c:pt>
                <c:pt idx="9">
                  <c:v>968631</c:v>
                </c:pt>
                <c:pt idx="10">
                  <c:v>1650506</c:v>
                </c:pt>
                <c:pt idx="11">
                  <c:v>2008377</c:v>
                </c:pt>
                <c:pt idx="12">
                  <c:v>1600377</c:v>
                </c:pt>
                <c:pt idx="13">
                  <c:v>1200377</c:v>
                </c:pt>
                <c:pt idx="14">
                  <c:v>1800377</c:v>
                </c:pt>
                <c:pt idx="15">
                  <c:v>2400377</c:v>
                </c:pt>
                <c:pt idx="16">
                  <c:v>3000377</c:v>
                </c:pt>
                <c:pt idx="17">
                  <c:v>2600377</c:v>
                </c:pt>
                <c:pt idx="18">
                  <c:v>2200377</c:v>
                </c:pt>
                <c:pt idx="19">
                  <c:v>2000377</c:v>
                </c:pt>
                <c:pt idx="20">
                  <c:v>2600377</c:v>
                </c:pt>
                <c:pt idx="21">
                  <c:v>2200377</c:v>
                </c:pt>
                <c:pt idx="22">
                  <c:v>1800377</c:v>
                </c:pt>
                <c:pt idx="23">
                  <c:v>1400377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5-40FA-9B29-98293FB78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402816"/>
        <c:axId val="2082393664"/>
      </c:areaChart>
      <c:barChart>
        <c:barDir val="col"/>
        <c:grouping val="stacked"/>
        <c:varyColors val="0"/>
        <c:ser>
          <c:idx val="1"/>
          <c:order val="1"/>
          <c:tx>
            <c:strRef>
              <c:f>'Scenario planning-aggregate'!$AA$7</c:f>
              <c:strCache>
                <c:ptCount val="1"/>
                <c:pt idx="0">
                  <c:v>Shipments (received)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planning-aggregate'!$AA$8:$AA$31</c:f>
              <c:numCache>
                <c:formatCode>_-* #,##0_-;\-* #,##0_-;_-* "-"??_-;_-@_-</c:formatCode>
                <c:ptCount val="24"/>
                <c:pt idx="0">
                  <c:v>355300</c:v>
                </c:pt>
                <c:pt idx="1">
                  <c:v>0</c:v>
                </c:pt>
                <c:pt idx="2">
                  <c:v>0</c:v>
                </c:pt>
                <c:pt idx="3">
                  <c:v>302600</c:v>
                </c:pt>
                <c:pt idx="4">
                  <c:v>0</c:v>
                </c:pt>
                <c:pt idx="5">
                  <c:v>206400</c:v>
                </c:pt>
                <c:pt idx="6">
                  <c:v>0</c:v>
                </c:pt>
                <c:pt idx="7">
                  <c:v>1355200</c:v>
                </c:pt>
                <c:pt idx="8">
                  <c:v>0</c:v>
                </c:pt>
                <c:pt idx="9">
                  <c:v>794970</c:v>
                </c:pt>
                <c:pt idx="10">
                  <c:v>1309600</c:v>
                </c:pt>
                <c:pt idx="11">
                  <c:v>561600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200000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E5-40FA-9B29-98293FB7859F}"/>
            </c:ext>
          </c:extLst>
        </c:ser>
        <c:ser>
          <c:idx val="4"/>
          <c:order val="2"/>
          <c:tx>
            <c:strRef>
              <c:f>'Scenario planning-aggregate'!$AB$7</c:f>
              <c:strCache>
                <c:ptCount val="1"/>
                <c:pt idx="0">
                  <c:v>Shipments (ordered)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planning-aggregate'!$AB$8:$AB$31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E5-40FA-9B29-98293FB7859F}"/>
            </c:ext>
          </c:extLst>
        </c:ser>
        <c:ser>
          <c:idx val="0"/>
          <c:order val="3"/>
          <c:tx>
            <c:strRef>
              <c:f>'Scenario planning-aggregate'!$AC$7</c:f>
              <c:strCache>
                <c:ptCount val="1"/>
                <c:pt idx="0">
                  <c:v>Shipments (forecasted)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planning-aggregate'!$AC$8:$AC$31</c:f>
              <c:numCache>
                <c:formatCode>_-* #,##0_-;\-* #,##0_-;_-* "-"??_-;_-@_-</c:formatCode>
                <c:ptCount val="24"/>
                <c:pt idx="20">
                  <c:v>1000000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E5-40FA-9B29-98293FB78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82402816"/>
        <c:axId val="2082393664"/>
      </c:barChart>
      <c:lineChart>
        <c:grouping val="standard"/>
        <c:varyColors val="0"/>
        <c:ser>
          <c:idx val="5"/>
          <c:order val="4"/>
          <c:tx>
            <c:strRef>
              <c:f>'Scenario planning-aggregate'!$Y$7</c:f>
              <c:strCache>
                <c:ptCount val="1"/>
                <c:pt idx="0">
                  <c:v>Total consumption (actual + forecast)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'Scenario planning-aggregate'!$S$8:$S$31</c:f>
              <c:numCache>
                <c:formatCode>[$-409]d\-mmm\-yy;@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planning-aggregate'!$Y$8:$Y$31</c:f>
              <c:numCache>
                <c:formatCode>_-* #,##0_-;\-* #,##0_-;_-* "-"??_-;_-@_-</c:formatCode>
                <c:ptCount val="24"/>
                <c:pt idx="0">
                  <c:v>#N/A</c:v>
                </c:pt>
                <c:pt idx="1">
                  <c:v>42445</c:v>
                </c:pt>
                <c:pt idx="2">
                  <c:v>84875</c:v>
                </c:pt>
                <c:pt idx="3">
                  <c:v>69840</c:v>
                </c:pt>
                <c:pt idx="4">
                  <c:v>1653</c:v>
                </c:pt>
                <c:pt idx="5">
                  <c:v>354830</c:v>
                </c:pt>
                <c:pt idx="6">
                  <c:v>282308</c:v>
                </c:pt>
                <c:pt idx="7">
                  <c:v>401575</c:v>
                </c:pt>
                <c:pt idx="8">
                  <c:v>583509</c:v>
                </c:pt>
                <c:pt idx="9">
                  <c:v>196455</c:v>
                </c:pt>
                <c:pt idx="10">
                  <c:v>499668</c:v>
                </c:pt>
                <c:pt idx="11">
                  <c:v>203729</c:v>
                </c:pt>
                <c:pt idx="12">
                  <c:v>408000</c:v>
                </c:pt>
                <c:pt idx="13">
                  <c:v>400000</c:v>
                </c:pt>
                <c:pt idx="14">
                  <c:v>400000</c:v>
                </c:pt>
                <c:pt idx="15">
                  <c:v>400000</c:v>
                </c:pt>
                <c:pt idx="16">
                  <c:v>400000</c:v>
                </c:pt>
                <c:pt idx="17">
                  <c:v>400000</c:v>
                </c:pt>
                <c:pt idx="18">
                  <c:v>400000</c:v>
                </c:pt>
                <c:pt idx="19">
                  <c:v>400000</c:v>
                </c:pt>
                <c:pt idx="20">
                  <c:v>400000</c:v>
                </c:pt>
                <c:pt idx="21">
                  <c:v>400000</c:v>
                </c:pt>
                <c:pt idx="22">
                  <c:v>400000</c:v>
                </c:pt>
                <c:pt idx="23">
                  <c:v>400000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E5-40FA-9B29-98293FB78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402816"/>
        <c:axId val="2082393664"/>
      </c:lineChart>
      <c:lineChart>
        <c:grouping val="standard"/>
        <c:varyColors val="0"/>
        <c:ser>
          <c:idx val="2"/>
          <c:order val="5"/>
          <c:tx>
            <c:strRef>
              <c:f>'Scenario planning-aggregate'!$AE$7</c:f>
              <c:strCache>
                <c:ptCount val="1"/>
                <c:pt idx="0">
                  <c:v>MOS</c:v>
                </c:pt>
              </c:strCache>
            </c:strRef>
          </c:tx>
          <c:spPr>
            <a:ln w="28575" cap="rnd">
              <a:solidFill>
                <a:srgbClr val="B2184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'Scenario planning-aggregate'!$S$8:$S$31</c:f>
              <c:numCache>
                <c:formatCode>[$-409]d\-mmm\-yy;@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planning-aggregate'!$AE$8:$AE$31</c:f>
              <c:numCache>
                <c:formatCode>_-* #,##0.0_-;\-* #,##0.0_-;_-* "-"??_-;_-@_-</c:formatCode>
                <c:ptCount val="24"/>
                <c:pt idx="0">
                  <c:v>#N/A</c:v>
                </c:pt>
                <c:pt idx="1">
                  <c:v>5.2929853925745585</c:v>
                </c:pt>
                <c:pt idx="2">
                  <c:v>5.0454057096081044</c:v>
                </c:pt>
                <c:pt idx="3">
                  <c:v>3.4884817380249249</c:v>
                </c:pt>
                <c:pt idx="4">
                  <c:v>1.4133589859594138</c:v>
                </c:pt>
                <c:pt idx="5">
                  <c:v>0.44049800089148783</c:v>
                </c:pt>
                <c:pt idx="6">
                  <c:v>0</c:v>
                </c:pt>
                <c:pt idx="7">
                  <c:v>2.4213123730998301</c:v>
                </c:pt>
                <c:pt idx="8">
                  <c:v>0.86770884129187142</c:v>
                </c:pt>
                <c:pt idx="9">
                  <c:v>3.2293010406155678</c:v>
                </c:pt>
                <c:pt idx="10">
                  <c:v>4.4552198719269533</c:v>
                </c:pt>
                <c:pt idx="11">
                  <c:v>5.9552815032483997</c:v>
                </c:pt>
                <c:pt idx="12">
                  <c:v>3.9744461920529801</c:v>
                </c:pt>
                <c:pt idx="13">
                  <c:v>3.0009424999999998</c:v>
                </c:pt>
                <c:pt idx="14">
                  <c:v>4.5009424999999998</c:v>
                </c:pt>
                <c:pt idx="15">
                  <c:v>6.0009424999999998</c:v>
                </c:pt>
                <c:pt idx="16">
                  <c:v>7.5009424999999998</c:v>
                </c:pt>
                <c:pt idx="17">
                  <c:v>6.5009424999999998</c:v>
                </c:pt>
                <c:pt idx="18">
                  <c:v>5.5009424999999998</c:v>
                </c:pt>
                <c:pt idx="19">
                  <c:v>5.0009424999999998</c:v>
                </c:pt>
                <c:pt idx="20">
                  <c:v>6.5009424999999998</c:v>
                </c:pt>
                <c:pt idx="21">
                  <c:v>5.5009424999999998</c:v>
                </c:pt>
                <c:pt idx="22">
                  <c:v>4.5009424999999998</c:v>
                </c:pt>
                <c:pt idx="23">
                  <c:v>3.5009424999999998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E5-40FA-9B29-98293FB78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792624"/>
        <c:axId val="1382786800"/>
      </c:lineChart>
      <c:dateAx>
        <c:axId val="208240281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93664"/>
        <c:crosses val="autoZero"/>
        <c:auto val="1"/>
        <c:lblOffset val="100"/>
        <c:baseTimeUnit val="months"/>
      </c:dateAx>
      <c:valAx>
        <c:axId val="20823936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Doses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402816"/>
        <c:crosses val="autoZero"/>
        <c:crossBetween val="between"/>
      </c:valAx>
      <c:valAx>
        <c:axId val="13827868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Months of Stock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2792624"/>
        <c:crosses val="max"/>
        <c:crossBetween val="between"/>
      </c:valAx>
      <c:dateAx>
        <c:axId val="1382792624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382786800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6"/>
          <c:order val="1"/>
          <c:tx>
            <c:strRef>
              <c:f>DataViz!$AD$3</c:f>
              <c:strCache>
                <c:ptCount val="1"/>
                <c:pt idx="0">
                  <c:v>Forecasted Ending balance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DataViz!$AN$6:$AN$29</c:f>
              <c:numCache>
                <c:formatCode>_-* #,##0_-;\-* #,##0_-;_-* "-"??_-;_-@_-</c:formatCode>
                <c:ptCount val="24"/>
                <c:pt idx="0">
                  <c:v>390300</c:v>
                </c:pt>
                <c:pt idx="1">
                  <c:v>347855</c:v>
                </c:pt>
                <c:pt idx="2">
                  <c:v>262980</c:v>
                </c:pt>
                <c:pt idx="3">
                  <c:v>495740</c:v>
                </c:pt>
                <c:pt idx="4">
                  <c:v>300947</c:v>
                </c:pt>
                <c:pt idx="5">
                  <c:v>246117</c:v>
                </c:pt>
                <c:pt idx="6">
                  <c:v>79889</c:v>
                </c:pt>
                <c:pt idx="7">
                  <c:v>1033514</c:v>
                </c:pt>
                <c:pt idx="8">
                  <c:v>450005</c:v>
                </c:pt>
                <c:pt idx="9">
                  <c:v>1053920</c:v>
                </c:pt>
                <c:pt idx="10">
                  <c:v>1778564</c:v>
                </c:pt>
                <c:pt idx="11">
                  <c:v>2169285</c:v>
                </c:pt>
                <c:pt idx="12">
                  <c:v>2169285</c:v>
                </c:pt>
                <c:pt idx="13">
                  <c:v>2169285</c:v>
                </c:pt>
                <c:pt idx="14">
                  <c:v>3169285</c:v>
                </c:pt>
                <c:pt idx="15">
                  <c:v>4058747</c:v>
                </c:pt>
                <c:pt idx="16">
                  <c:v>5058747</c:v>
                </c:pt>
                <c:pt idx="17">
                  <c:v>5058747</c:v>
                </c:pt>
                <c:pt idx="18">
                  <c:v>5058747</c:v>
                </c:pt>
                <c:pt idx="19">
                  <c:v>5258747</c:v>
                </c:pt>
                <c:pt idx="20">
                  <c:v>5258747</c:v>
                </c:pt>
                <c:pt idx="21">
                  <c:v>5258747</c:v>
                </c:pt>
                <c:pt idx="22">
                  <c:v>5258747</c:v>
                </c:pt>
                <c:pt idx="23">
                  <c:v>5258747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1-49D6-8AD6-ECA35A6EB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402816"/>
        <c:axId val="2082393664"/>
      </c:areaChart>
      <c:barChart>
        <c:barDir val="col"/>
        <c:grouping val="stacked"/>
        <c:varyColors val="0"/>
        <c:ser>
          <c:idx val="3"/>
          <c:order val="2"/>
          <c:tx>
            <c:strRef>
              <c:f>DataViz!$R$3</c:f>
              <c:strCache>
                <c:ptCount val="1"/>
                <c:pt idx="0">
                  <c:v>Potential expiry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DataViz!$AP$6:$AP$29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110538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1-49D6-8AD6-ECA35A6EBA7C}"/>
            </c:ext>
          </c:extLst>
        </c:ser>
        <c:ser>
          <c:idx val="1"/>
          <c:order val="3"/>
          <c:tx>
            <c:strRef>
              <c:f>DataViz!$O$3</c:f>
              <c:strCache>
                <c:ptCount val="1"/>
                <c:pt idx="0">
                  <c:v>Shipments (received)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DataViz!$O$6:$O$29</c:f>
              <c:numCache>
                <c:formatCode>_-* #,##0_-;\-* #,##0_-;_-* "-"??_-;_-@_-</c:formatCode>
                <c:ptCount val="24"/>
                <c:pt idx="0">
                  <c:v>355300</c:v>
                </c:pt>
                <c:pt idx="1">
                  <c:v>0</c:v>
                </c:pt>
                <c:pt idx="2">
                  <c:v>0</c:v>
                </c:pt>
                <c:pt idx="3">
                  <c:v>302600</c:v>
                </c:pt>
                <c:pt idx="4">
                  <c:v>0</c:v>
                </c:pt>
                <c:pt idx="5">
                  <c:v>206400</c:v>
                </c:pt>
                <c:pt idx="6">
                  <c:v>0</c:v>
                </c:pt>
                <c:pt idx="7">
                  <c:v>1355200</c:v>
                </c:pt>
                <c:pt idx="8">
                  <c:v>0</c:v>
                </c:pt>
                <c:pt idx="9">
                  <c:v>794970</c:v>
                </c:pt>
                <c:pt idx="10">
                  <c:v>1309600</c:v>
                </c:pt>
                <c:pt idx="11">
                  <c:v>561600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200000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1-49D6-8AD6-ECA35A6EBA7C}"/>
            </c:ext>
          </c:extLst>
        </c:ser>
        <c:ser>
          <c:idx val="4"/>
          <c:order val="4"/>
          <c:tx>
            <c:strRef>
              <c:f>DataViz!$P$3</c:f>
              <c:strCache>
                <c:ptCount val="1"/>
                <c:pt idx="0">
                  <c:v>Shipments (ordered)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DataViz!$P$6:$P$29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1-49D6-8AD6-ECA35A6EBA7C}"/>
            </c:ext>
          </c:extLst>
        </c:ser>
        <c:ser>
          <c:idx val="0"/>
          <c:order val="5"/>
          <c:tx>
            <c:strRef>
              <c:f>DataViz!$Z$3</c:f>
              <c:strCache>
                <c:ptCount val="1"/>
                <c:pt idx="0">
                  <c:v>Shipments (Forecasted)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DataViz!$AJ$6:$AJ$29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01-49D6-8AD6-ECA35A6EB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82402816"/>
        <c:axId val="2082393664"/>
      </c:barChart>
      <c:lineChart>
        <c:grouping val="standard"/>
        <c:varyColors val="0"/>
        <c:ser>
          <c:idx val="2"/>
          <c:order val="0"/>
          <c:tx>
            <c:strRef>
              <c:f>DataViz!$M$3</c:f>
              <c:strCache>
                <c:ptCount val="1"/>
                <c:pt idx="0">
                  <c:v>Total consumption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DataViz!$M$6:$M$29</c:f>
              <c:numCache>
                <c:formatCode>_-* #,##0_-;\-* #,##0_-;_-* "-"??_-;_-@_-</c:formatCode>
                <c:ptCount val="24"/>
                <c:pt idx="0">
                  <c:v>#N/A</c:v>
                </c:pt>
                <c:pt idx="1">
                  <c:v>42445</c:v>
                </c:pt>
                <c:pt idx="2">
                  <c:v>84875</c:v>
                </c:pt>
                <c:pt idx="3">
                  <c:v>69840</c:v>
                </c:pt>
                <c:pt idx="4">
                  <c:v>1653</c:v>
                </c:pt>
                <c:pt idx="5">
                  <c:v>354830</c:v>
                </c:pt>
                <c:pt idx="6">
                  <c:v>282308</c:v>
                </c:pt>
                <c:pt idx="7">
                  <c:v>401575</c:v>
                </c:pt>
                <c:pt idx="8">
                  <c:v>583509</c:v>
                </c:pt>
                <c:pt idx="9">
                  <c:v>196455</c:v>
                </c:pt>
                <c:pt idx="10">
                  <c:v>499668</c:v>
                </c:pt>
                <c:pt idx="11">
                  <c:v>203729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01-49D6-8AD6-ECA35A6EBA7C}"/>
            </c:ext>
          </c:extLst>
        </c:ser>
        <c:ser>
          <c:idx val="5"/>
          <c:order val="6"/>
          <c:tx>
            <c:strRef>
              <c:f>DataViz!$AC$3</c:f>
              <c:strCache>
                <c:ptCount val="1"/>
                <c:pt idx="0">
                  <c:v>Forecasted Consumption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DataViz!$AM$6:$AM$29</c:f>
              <c:numCache>
                <c:formatCode>_-* #,##0_-;\-* #,##0_-;_-* "-"??_-;_-@_-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01-49D6-8AD6-ECA35A6EB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402816"/>
        <c:axId val="2082393664"/>
      </c:lineChart>
      <c:lineChart>
        <c:grouping val="standard"/>
        <c:varyColors val="0"/>
        <c:ser>
          <c:idx val="7"/>
          <c:order val="7"/>
          <c:tx>
            <c:v>Est. primary series coverage</c:v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DataViz!$AQ$6:$AQ$29</c:f>
              <c:numCache>
                <c:formatCode>0%</c:formatCode>
                <c:ptCount val="24"/>
                <c:pt idx="0">
                  <c:v>0</c:v>
                </c:pt>
                <c:pt idx="1">
                  <c:v>8.3333333333333338E-8</c:v>
                </c:pt>
                <c:pt idx="2">
                  <c:v>1.3216666666666667E-5</c:v>
                </c:pt>
                <c:pt idx="3">
                  <c:v>2.0655000000000001E-4</c:v>
                </c:pt>
                <c:pt idx="4">
                  <c:v>2.341E-4</c:v>
                </c:pt>
                <c:pt idx="5">
                  <c:v>1.1479333333333332E-3</c:v>
                </c:pt>
                <c:pt idx="6">
                  <c:v>4.8681333333333333E-3</c:v>
                </c:pt>
                <c:pt idx="7">
                  <c:v>1.1251383333333333E-2</c:v>
                </c:pt>
                <c:pt idx="8">
                  <c:v>1.8994516666666666E-2</c:v>
                </c:pt>
                <c:pt idx="9">
                  <c:v>2.1311316666666667E-2</c:v>
                </c:pt>
                <c:pt idx="10">
                  <c:v>2.6971016666666667E-2</c:v>
                </c:pt>
                <c:pt idx="11">
                  <c:v>2.9492566666666668E-2</c:v>
                </c:pt>
                <c:pt idx="12">
                  <c:v>2.9492566666666668E-2</c:v>
                </c:pt>
                <c:pt idx="13">
                  <c:v>2.9492566666666668E-2</c:v>
                </c:pt>
                <c:pt idx="14">
                  <c:v>2.9492566666666668E-2</c:v>
                </c:pt>
                <c:pt idx="15">
                  <c:v>2.9492566666666668E-2</c:v>
                </c:pt>
                <c:pt idx="16">
                  <c:v>2.9492566666666668E-2</c:v>
                </c:pt>
                <c:pt idx="17">
                  <c:v>2.9492566666666668E-2</c:v>
                </c:pt>
                <c:pt idx="18">
                  <c:v>2.9492566666666668E-2</c:v>
                </c:pt>
                <c:pt idx="19">
                  <c:v>2.9492566666666668E-2</c:v>
                </c:pt>
                <c:pt idx="20">
                  <c:v>2.9492566666666668E-2</c:v>
                </c:pt>
                <c:pt idx="21">
                  <c:v>2.9492566666666668E-2</c:v>
                </c:pt>
                <c:pt idx="22">
                  <c:v>2.9492566666666668E-2</c:v>
                </c:pt>
                <c:pt idx="23">
                  <c:v>2.9492566666666668E-2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01-49D6-8AD6-ECA35A6EB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331312"/>
        <c:axId val="559322784"/>
      </c:lineChart>
      <c:dateAx>
        <c:axId val="20824028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93664"/>
        <c:crosses val="autoZero"/>
        <c:auto val="1"/>
        <c:lblOffset val="100"/>
        <c:baseTimeUnit val="months"/>
      </c:dateAx>
      <c:valAx>
        <c:axId val="20823936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Doses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40281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valAx>
        <c:axId val="5593227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Est. % of adults covered with primary series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331312"/>
        <c:crosses val="max"/>
        <c:crossBetween val="between"/>
      </c:valAx>
      <c:dateAx>
        <c:axId val="5593313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5932278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4">
          <a:lumMod val="20000"/>
          <a:lumOff val="8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DataViz!$U$155</c:f>
              <c:strCache>
                <c:ptCount val="1"/>
                <c:pt idx="0">
                  <c:v>AstraZeneca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4CE54F-3E66-484E-A258-4718EC3022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4762-4A29-83D5-4DF6C70AA66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1564E7-9952-4C92-B831-240229CE17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4762-4A29-83D5-4DF6C70AA66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869EEBC-6D79-4A2F-ABE3-C6777E12AE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4762-4A29-83D5-4DF6C70AA66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D029D2A-2734-4FCD-B8D8-4075CB2ADC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4762-4A29-83D5-4DF6C70AA66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03001FC-417A-4500-8D6A-E9DA80FBD6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4762-4A29-83D5-4DF6C70AA66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A47F8EF-23DE-4C8C-9232-63BA37D88D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4762-4A29-83D5-4DF6C70AA66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D5F48E2-7763-472C-B7B3-4C271B830D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4762-4A29-83D5-4DF6C70AA66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C2C73C5-573F-43F2-8D6A-BE355E1890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4762-4A29-83D5-4DF6C70AA66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CDD363E-D7C6-47FD-B2BB-9F69801991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4762-4A29-83D5-4DF6C70AA66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02871CE-612F-481D-B2A6-E9C7D0B1D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4762-4A29-83D5-4DF6C70AA66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2AFA06D-6F28-47F4-9C6C-D3BCB61567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4762-4A29-83D5-4DF6C70AA66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FEECB89-8A22-466E-9CAA-1DB266435A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4762-4A29-83D5-4DF6C70AA66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26E88AC-E011-4694-893B-D4BFBA15D4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4762-4A29-83D5-4DF6C70AA66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F2194F1-FE9C-49A7-9174-B2CFAACE6A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4762-4A29-83D5-4DF6C70AA66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6CD03B9-6D0B-420D-9D33-5A2EBF40DE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4762-4A29-83D5-4DF6C70AA66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D6DB4D4-142C-4CD7-AB31-704AD2A2A8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4762-4A29-83D5-4DF6C70AA66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B43FD43-63AC-41CD-A27B-1C669E24FF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4762-4A29-83D5-4DF6C70AA66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92BCEB7-E853-4A5D-92C9-44C3E156A8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4762-4A29-83D5-4DF6C70AA66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D556F8D-F294-4AAC-B1D4-B00A31C8A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4762-4A29-83D5-4DF6C70AA66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B8AD7DA-DB03-42DD-9BAC-A6150DE265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4762-4A29-83D5-4DF6C70AA66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41ACD2D-488A-48C2-8727-A5C34A1CF1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4762-4A29-83D5-4DF6C70AA669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E82FCC2B-3C61-4FFC-ADF5-BBB2BE9CE1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4762-4A29-83D5-4DF6C70AA669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881482B8-02A4-4B4D-8965-387CBEB389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4762-4A29-83D5-4DF6C70AA669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6646C996-FDA7-465C-A2C7-C23FCA1C84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4762-4A29-83D5-4DF6C70AA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DataViz!$U$156:$U$179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42445</c:v>
                </c:pt>
                <c:pt idx="2">
                  <c:v>84875</c:v>
                </c:pt>
                <c:pt idx="3">
                  <c:v>69840</c:v>
                </c:pt>
                <c:pt idx="4">
                  <c:v>0</c:v>
                </c:pt>
                <c:pt idx="5">
                  <c:v>300000</c:v>
                </c:pt>
                <c:pt idx="6">
                  <c:v>116080</c:v>
                </c:pt>
                <c:pt idx="7">
                  <c:v>36354</c:v>
                </c:pt>
                <c:pt idx="8">
                  <c:v>186372</c:v>
                </c:pt>
                <c:pt idx="9">
                  <c:v>17786</c:v>
                </c:pt>
                <c:pt idx="10">
                  <c:v>28600</c:v>
                </c:pt>
                <c:pt idx="11">
                  <c:v>32850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DataViz!$AK$156:$AK$179</c15:f>
                <c15:dlblRangeCache>
                  <c:ptCount val="24"/>
                  <c:pt idx="1">
                    <c:v>100%</c:v>
                  </c:pt>
                  <c:pt idx="2">
                    <c:v>100%</c:v>
                  </c:pt>
                  <c:pt idx="3">
                    <c:v>100%</c:v>
                  </c:pt>
                  <c:pt idx="5">
                    <c:v>85%</c:v>
                  </c:pt>
                  <c:pt idx="6">
                    <c:v>41%</c:v>
                  </c:pt>
                  <c:pt idx="7">
                    <c:v>9%</c:v>
                  </c:pt>
                  <c:pt idx="8">
                    <c:v>32%</c:v>
                  </c:pt>
                  <c:pt idx="9">
                    <c:v>9%</c:v>
                  </c:pt>
                  <c:pt idx="10">
                    <c:v>6%</c:v>
                  </c:pt>
                  <c:pt idx="11">
                    <c:v>16%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4762-4A29-83D5-4DF6C70AA669}"/>
            </c:ext>
          </c:extLst>
        </c:ser>
        <c:ser>
          <c:idx val="5"/>
          <c:order val="1"/>
          <c:tx>
            <c:strRef>
              <c:f>DataViz!$V$155</c:f>
              <c:strCache>
                <c:ptCount val="1"/>
                <c:pt idx="0">
                  <c:v>Jansen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3FBC4D7-1DB0-45DD-B973-C832DBA682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4762-4A29-83D5-4DF6C70AA66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F198733-1FC2-407B-8A4C-D52D8F0227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4762-4A29-83D5-4DF6C70AA66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A6FDED8-7951-478D-8A1E-EB08AA8D91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4762-4A29-83D5-4DF6C70AA66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70F64C4-E5F6-4298-921E-5212B4AE97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4762-4A29-83D5-4DF6C70AA66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6011312-A8CA-4B7D-9A7D-A1259D9C14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4762-4A29-83D5-4DF6C70AA66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F035B02-A822-40F1-A299-FD40A3F4CA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4762-4A29-83D5-4DF6C70AA66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2BF8F42-FCED-4D0D-9646-66B570A92C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4762-4A29-83D5-4DF6C70AA66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B43ADD9-DB3E-4333-A554-51ACBFB147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4762-4A29-83D5-4DF6C70AA66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21A2515-34AA-46EC-A39E-EA306D012A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4762-4A29-83D5-4DF6C70AA66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52C8499-2169-47CC-9749-740DC4C63A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4762-4A29-83D5-4DF6C70AA66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C3E5DFB-9030-4C7C-A20A-F72B83DC8E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4762-4A29-83D5-4DF6C70AA66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2B4337F-A353-4AE9-BE44-6122EE31E7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4762-4A29-83D5-4DF6C70AA66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95C3840-5751-4BAD-A303-AB04F0D312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4762-4A29-83D5-4DF6C70AA66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EE4F71C-FF1E-4202-A923-78ECF895FD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4762-4A29-83D5-4DF6C70AA66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679DFA1-9821-4150-B1D1-5797E5594E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4762-4A29-83D5-4DF6C70AA66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90B60FD-CC34-4DEB-970D-1087EA65C9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4762-4A29-83D5-4DF6C70AA66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C861FF0-926F-41AA-AED6-5AC4DD34F3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4762-4A29-83D5-4DF6C70AA66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AE873CD-EC07-4FA4-82CC-7C5BE3B4E0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4762-4A29-83D5-4DF6C70AA66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94DBF32-E8FE-4268-8CC4-4152FDCD2B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4762-4A29-83D5-4DF6C70AA66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FA99687-E6BD-4B56-BB84-665D9E9A80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4762-4A29-83D5-4DF6C70AA66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F025CE8-9606-4B07-B06C-69965F7E93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4762-4A29-83D5-4DF6C70AA669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17E6707-E397-4CF7-8B7B-C6836C1AD6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4762-4A29-83D5-4DF6C70AA669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6504BE0-E51E-402E-8C84-19CB194BF0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4762-4A29-83D5-4DF6C70AA669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BE263AD2-1BB3-46E7-92DE-B92ED4D161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4762-4A29-83D5-4DF6C70AA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DataViz!$V$156:$V$179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1653</c:v>
                </c:pt>
                <c:pt idx="5">
                  <c:v>54830</c:v>
                </c:pt>
                <c:pt idx="6">
                  <c:v>166228</c:v>
                </c:pt>
                <c:pt idx="7">
                  <c:v>365221</c:v>
                </c:pt>
                <c:pt idx="8">
                  <c:v>397137</c:v>
                </c:pt>
                <c:pt idx="9">
                  <c:v>136323</c:v>
                </c:pt>
                <c:pt idx="10">
                  <c:v>247023</c:v>
                </c:pt>
                <c:pt idx="11">
                  <c:v>143438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DataViz!$AL$156:$AL$179</c15:f>
                <c15:dlblRangeCache>
                  <c:ptCount val="24"/>
                  <c:pt idx="4">
                    <c:v>100%</c:v>
                  </c:pt>
                  <c:pt idx="5">
                    <c:v>15%</c:v>
                  </c:pt>
                  <c:pt idx="6">
                    <c:v>59%</c:v>
                  </c:pt>
                  <c:pt idx="7">
                    <c:v>91%</c:v>
                  </c:pt>
                  <c:pt idx="8">
                    <c:v>68%</c:v>
                  </c:pt>
                  <c:pt idx="9">
                    <c:v>69%</c:v>
                  </c:pt>
                  <c:pt idx="10">
                    <c:v>49%</c:v>
                  </c:pt>
                  <c:pt idx="11">
                    <c:v>70%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4762-4A29-83D5-4DF6C70AA669}"/>
            </c:ext>
          </c:extLst>
        </c:ser>
        <c:ser>
          <c:idx val="9"/>
          <c:order val="2"/>
          <c:tx>
            <c:strRef>
              <c:f>DataViz!$W$155</c:f>
              <c:strCache>
                <c:ptCount val="1"/>
                <c:pt idx="0">
                  <c:v>Moderna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1A55CC9-D34C-4F55-BAF5-FCA81FD62C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4762-4A29-83D5-4DF6C70AA66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429E0FD-E931-4E31-AF19-8DEF1727A6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4762-4A29-83D5-4DF6C70AA66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8CD83D7-CEFD-4970-9014-54C5C6ABC1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4762-4A29-83D5-4DF6C70AA66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E806F4F-FE5D-4011-994F-2C2EB28A8C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4762-4A29-83D5-4DF6C70AA66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1A54D27-123A-45E7-AE78-4A2517931A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4762-4A29-83D5-4DF6C70AA66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44F3747-7519-4FA4-A168-F9FF515259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4762-4A29-83D5-4DF6C70AA66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BFF9081-8BBF-44D0-9C64-399463544D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4762-4A29-83D5-4DF6C70AA66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217EB82-63B8-46AE-AED5-9EF45B04B4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4762-4A29-83D5-4DF6C70AA66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32044AC-4275-40AA-8F3E-1E0409F2D5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4762-4A29-83D5-4DF6C70AA66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470BA3E-13A4-433B-BF67-E951B76930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4762-4A29-83D5-4DF6C70AA66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6929A0D-7ABD-402A-B35D-8AAD189428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4762-4A29-83D5-4DF6C70AA66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C2DC17A-C64A-4F59-8676-0BBB07B297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4762-4A29-83D5-4DF6C70AA66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D388306-51A4-4E6B-9F06-45A697C887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4762-4A29-83D5-4DF6C70AA66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DA25124-FEB5-43D6-856D-2D4C003517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4762-4A29-83D5-4DF6C70AA66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2B6C34B-05CD-4B89-97DA-8E0610009F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4762-4A29-83D5-4DF6C70AA66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AF960D0-7D7A-4E22-9C11-BD7DB39CC5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4762-4A29-83D5-4DF6C70AA66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76BA50B-2DA6-4487-8BD8-0990052E8F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4762-4A29-83D5-4DF6C70AA66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E5F606C-8F9C-400F-8D74-768E8EBF6D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4762-4A29-83D5-4DF6C70AA66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3EEE114-6C56-4EBF-93F2-D3985936A2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4762-4A29-83D5-4DF6C70AA66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7B02CFA-A4B0-4136-A70D-127953CF84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4762-4A29-83D5-4DF6C70AA66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64F4AE2-9F73-4F1B-B17B-A26791A1B0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4762-4A29-83D5-4DF6C70AA669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081A279-C9F7-437B-882E-FA806F2684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4762-4A29-83D5-4DF6C70AA669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FADEEDA2-6B29-4504-9AAB-0DE88C089C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5-4762-4A29-83D5-4DF6C70AA669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78659E70-4FEE-47B9-BCB8-66E5371182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6-4762-4A29-83D5-4DF6C70AA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DataViz!$W$156:$W$179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5400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DataViz!$AM$156:$AM$179</c15:f>
                <c15:dlblRangeCache>
                  <c:ptCount val="24"/>
                  <c:pt idx="9">
                    <c:v>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4762-4A29-83D5-4DF6C70AA669}"/>
            </c:ext>
          </c:extLst>
        </c:ser>
        <c:ser>
          <c:idx val="13"/>
          <c:order val="3"/>
          <c:tx>
            <c:strRef>
              <c:f>DataViz!$X$155</c:f>
              <c:strCache>
                <c:ptCount val="1"/>
                <c:pt idx="0">
                  <c:v>Pfizer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2611B8-6847-4500-98C4-ADCA09CDD2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7-4762-4A29-83D5-4DF6C70AA66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9F723DE-2DE1-4FED-BF87-F2B64AF472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4762-4A29-83D5-4DF6C70AA66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FDFBC3B-0584-4E65-A3FA-4BBCA1EF7D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9-4762-4A29-83D5-4DF6C70AA66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C7B0F1D-179F-4EF2-BBBE-CE356519B0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4762-4A29-83D5-4DF6C70AA66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ACAA09A-2722-4B38-9299-1B525AC9D4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B-4762-4A29-83D5-4DF6C70AA66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7E64AEE-2FD6-4BBF-8CE4-63005786C2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C-4762-4A29-83D5-4DF6C70AA66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A69013F-28DF-4DBF-929B-FF54D7E9FA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D-4762-4A29-83D5-4DF6C70AA66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DBB45F9-F717-4BCD-ABBE-3F37784545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E-4762-4A29-83D5-4DF6C70AA66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267F2D0-6BEB-43BA-82D5-AAD2DB06C2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F-4762-4A29-83D5-4DF6C70AA66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53D1FCE-AEB8-4D36-9ADE-1457A86E41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4762-4A29-83D5-4DF6C70AA66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021E108-6A93-41CA-B98B-2444C26A3C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4762-4A29-83D5-4DF6C70AA66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8985C52-BD18-4A52-8B1E-99B7A1BB4B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4762-4A29-83D5-4DF6C70AA66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000E213-D12A-4AA9-AC7E-2ECB2AA906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3-4762-4A29-83D5-4DF6C70AA66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49AE67E-F957-48D8-AD05-5C6634FB9E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4-4762-4A29-83D5-4DF6C70AA66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323C486-E057-4967-8541-40AAAAF4E6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4762-4A29-83D5-4DF6C70AA66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C650674-FF18-4F95-AA8B-B7EBBA055F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6-4762-4A29-83D5-4DF6C70AA66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CEF54BC-F515-433A-913D-44BD16A7E4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7-4762-4A29-83D5-4DF6C70AA66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35CB2F3-649A-44F5-A79C-984599427A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8-4762-4A29-83D5-4DF6C70AA66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0FF9D05-5AD5-4F83-8E9B-19642A6C42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9-4762-4A29-83D5-4DF6C70AA66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33818B8-339F-49F7-A7E1-F3FC7DFB46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A-4762-4A29-83D5-4DF6C70AA66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791BC098-4079-44EF-B542-2AE885AC28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B-4762-4A29-83D5-4DF6C70AA669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4AB15B2-D279-41CB-AE0E-32B0298DEE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C-4762-4A29-83D5-4DF6C70AA669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A123CB0-BFCE-4714-A4DF-3C67EE6A95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D-4762-4A29-83D5-4DF6C70AA669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5C5FE03-905C-4F3F-9CCD-5694C36B28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E-4762-4A29-83D5-4DF6C70AA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DataViz!$X$156:$X$179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36946</c:v>
                </c:pt>
                <c:pt idx="10">
                  <c:v>224045</c:v>
                </c:pt>
                <c:pt idx="11">
                  <c:v>27441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DataViz!$AN$156:$AN$179</c15:f>
                <c15:dlblRangeCache>
                  <c:ptCount val="24"/>
                  <c:pt idx="9">
                    <c:v>19%</c:v>
                  </c:pt>
                  <c:pt idx="10">
                    <c:v>45%</c:v>
                  </c:pt>
                  <c:pt idx="11">
                    <c:v>13%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4762-4A29-83D5-4DF6C70AA669}"/>
            </c:ext>
          </c:extLst>
        </c:ser>
        <c:ser>
          <c:idx val="0"/>
          <c:order val="4"/>
          <c:tx>
            <c:strRef>
              <c:f>DataViz!$Y$155</c:f>
              <c:strCache>
                <c:ptCount val="1"/>
                <c:pt idx="0">
                  <c:v>Sinovac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0EA3F8B-4231-48DF-A4CF-BF307EF1D2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F-4762-4A29-83D5-4DF6C70AA66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B88BA71-FF1C-4140-A64C-4468678639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0-4762-4A29-83D5-4DF6C70AA66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8D1C7ED-0377-4054-974E-2ABC65E314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1-4762-4A29-83D5-4DF6C70AA66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1E18CE9-44DF-40CB-B64C-BD992DBDBE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2-4762-4A29-83D5-4DF6C70AA66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BC0CF09-2FF9-4459-BC12-11B3420D01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3-4762-4A29-83D5-4DF6C70AA66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9C20586-D4A7-46EF-883E-89D0707C15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4-4762-4A29-83D5-4DF6C70AA66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A7160DC-8C7C-47CA-ABF5-58089CED29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5-4762-4A29-83D5-4DF6C70AA66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15112F1-C76E-45FB-B859-EF0F4575A6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6-4762-4A29-83D5-4DF6C70AA66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1CB0FD2-CB3E-4167-9BB3-DC383893A2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7-4762-4A29-83D5-4DF6C70AA66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436FA9D-34CF-4634-BE57-F52274BB10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4762-4A29-83D5-4DF6C70AA66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6885ECA-F008-4CEF-B73A-04B01DC0BC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4762-4A29-83D5-4DF6C70AA66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E66C876-7EC4-47B1-B5F7-61514713D7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A-4762-4A29-83D5-4DF6C70AA66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B51E2B2-750E-44F2-BAC2-C551D55A72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B-4762-4A29-83D5-4DF6C70AA66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5191787-5811-4FB5-A12D-CB8A05FF83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C-4762-4A29-83D5-4DF6C70AA66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3E57936-FCD6-4465-86F6-61A46C0407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D-4762-4A29-83D5-4DF6C70AA66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356B54E-373B-4F09-847E-11C0E70E50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E-4762-4A29-83D5-4DF6C70AA66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68B6127-C0F5-42EF-956F-7440726B37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F-4762-4A29-83D5-4DF6C70AA66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B6032EE-2895-462D-B082-FDC4C9F760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0-4762-4A29-83D5-4DF6C70AA66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3C77BFF-4AD8-4E9E-9E19-01CD56617C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1-4762-4A29-83D5-4DF6C70AA66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F4316A9-CD55-4076-9525-B0AFC90411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2-4762-4A29-83D5-4DF6C70AA66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FA865BD-291D-4B30-85F5-05BE04ACB1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3-4762-4A29-83D5-4DF6C70AA669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134C37C-3CDB-417C-A440-C9DE80BD63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4-4762-4A29-83D5-4DF6C70AA669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E3A4C5A7-A398-4E5F-B556-0C51ECD1A2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5-4762-4A29-83D5-4DF6C70AA669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73B1413-AD1E-4101-8EE4-B4F0C0AA22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6-4762-4A29-83D5-4DF6C70AA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DataViz!$Y$156:$Y$179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DataViz!$AO$156:$AO$179</c15:f>
                <c15:dlblRangeCache>
                  <c:ptCount val="24"/>
                </c15:dlblRangeCache>
              </c15:datalabelsRange>
            </c:ext>
            <c:ext xmlns:c16="http://schemas.microsoft.com/office/drawing/2014/chart" uri="{C3380CC4-5D6E-409C-BE32-E72D297353CC}">
              <c16:uniqueId val="{0000000F-4762-4A29-83D5-4DF6C70AA669}"/>
            </c:ext>
          </c:extLst>
        </c:ser>
        <c:ser>
          <c:idx val="2"/>
          <c:order val="5"/>
          <c:tx>
            <c:strRef>
              <c:f>DataViz!$Z$155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DataViz!$Z$156:$Z$179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762-4A29-83D5-4DF6C70AA669}"/>
            </c:ext>
          </c:extLst>
        </c:ser>
        <c:ser>
          <c:idx val="3"/>
          <c:order val="6"/>
          <c:tx>
            <c:strRef>
              <c:f>DataViz!$AA$155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DataViz!$AA$156:$AA$179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62-4A29-83D5-4DF6C70AA669}"/>
            </c:ext>
          </c:extLst>
        </c:ser>
        <c:ser>
          <c:idx val="4"/>
          <c:order val="7"/>
          <c:tx>
            <c:strRef>
              <c:f>DataViz!$AB$155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DataViz!$AB$156:$AB$179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762-4A29-83D5-4DF6C70AA669}"/>
            </c:ext>
          </c:extLst>
        </c:ser>
        <c:ser>
          <c:idx val="6"/>
          <c:order val="8"/>
          <c:tx>
            <c:strRef>
              <c:f>DataViz!$AC$155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DataViz!$AC$156:$AC$179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762-4A29-83D5-4DF6C70AA669}"/>
            </c:ext>
          </c:extLst>
        </c:ser>
        <c:ser>
          <c:idx val="7"/>
          <c:order val="9"/>
          <c:tx>
            <c:strRef>
              <c:f>DataViz!$AD$155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DataViz!$AD$156:$AD$179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762-4A29-83D5-4DF6C70AA669}"/>
            </c:ext>
          </c:extLst>
        </c:ser>
        <c:ser>
          <c:idx val="8"/>
          <c:order val="10"/>
          <c:tx>
            <c:strRef>
              <c:f>DataViz!$AE$155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DataViz!$AE$156:$AE$179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762-4A29-83D5-4DF6C70AA669}"/>
            </c:ext>
          </c:extLst>
        </c:ser>
        <c:ser>
          <c:idx val="10"/>
          <c:order val="11"/>
          <c:tx>
            <c:strRef>
              <c:f>DataViz!$AF$155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DataViz!$AF$156:$AF$179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762-4A29-83D5-4DF6C70AA669}"/>
            </c:ext>
          </c:extLst>
        </c:ser>
        <c:ser>
          <c:idx val="11"/>
          <c:order val="12"/>
          <c:tx>
            <c:strRef>
              <c:f>DataViz!$AG$155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DataViz!$AG$156:$AG$179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762-4A29-83D5-4DF6C70AA669}"/>
            </c:ext>
          </c:extLst>
        </c:ser>
        <c:ser>
          <c:idx val="12"/>
          <c:order val="13"/>
          <c:tx>
            <c:strRef>
              <c:f>DataViz!$AH$155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DataViz!$AH$156:$AH$179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762-4A29-83D5-4DF6C70AA669}"/>
            </c:ext>
          </c:extLst>
        </c:ser>
        <c:ser>
          <c:idx val="14"/>
          <c:order val="14"/>
          <c:tx>
            <c:strRef>
              <c:f>DataViz!$AI$155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DataViz!$AI$156:$AI$179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762-4A29-83D5-4DF6C70AA66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549754856"/>
        <c:axId val="549752232"/>
      </c:barChart>
      <c:dateAx>
        <c:axId val="5497548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752232"/>
        <c:crosses val="autoZero"/>
        <c:auto val="1"/>
        <c:lblOffset val="100"/>
        <c:baseTimeUnit val="months"/>
      </c:dateAx>
      <c:valAx>
        <c:axId val="54975223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754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4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Dashboard!$AB$11</c:f>
              <c:strCache>
                <c:ptCount val="1"/>
                <c:pt idx="0">
                  <c:v>Ending balance (MoS)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(Dashboard!$Y$27,Dashboard!$Y$12:$Y$15)</c15:sqref>
                  </c15:fullRef>
                </c:ext>
              </c:extLst>
              <c:f>(Dashboard!$Y$27,Dashboard!$Y$12:$Y$15)</c:f>
              <c:strCache>
                <c:ptCount val="5"/>
                <c:pt idx="0">
                  <c:v>Total</c:v>
                </c:pt>
                <c:pt idx="1">
                  <c:v> AstraZeneca </c:v>
                </c:pt>
                <c:pt idx="2">
                  <c:v> Jansen </c:v>
                </c:pt>
                <c:pt idx="3">
                  <c:v> Moderna </c:v>
                </c:pt>
                <c:pt idx="4">
                  <c:v> Pfizer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(Dashboard!$AB$27,Dashboard!$AB$12:$AB$16)</c15:sqref>
                  </c15:fullRef>
                </c:ext>
              </c:extLst>
              <c:f>(Dashboard!$AB$27,Dashboard!$AB$12:$AB$15)</c:f>
              <c:numCache>
                <c:formatCode>_-* #,##0.0_-;\-* #,##0.0_-;_-* "-"??_-;_-@_-</c:formatCode>
                <c:ptCount val="5"/>
                <c:pt idx="0">
                  <c:v>7.2321392851268866</c:v>
                </c:pt>
                <c:pt idx="1">
                  <c:v>#N/A</c:v>
                </c:pt>
                <c:pt idx="2">
                  <c:v>11.724427848985544</c:v>
                </c:pt>
                <c:pt idx="3">
                  <c:v>#N/A</c:v>
                </c:pt>
                <c:pt idx="4">
                  <c:v>1.1497129306040939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D-4125-B5AE-01F105AA3006}"/>
            </c:ext>
          </c:extLst>
        </c:ser>
        <c:ser>
          <c:idx val="1"/>
          <c:order val="1"/>
          <c:tx>
            <c:strRef>
              <c:f>Dashboard!$AD$11</c:f>
              <c:strCache>
                <c:ptCount val="1"/>
                <c:pt idx="0">
                  <c:v>Ordered shipments (MoS)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(Dashboard!$Y$27,Dashboard!$Y$12:$Y$15)</c15:sqref>
                  </c15:fullRef>
                </c:ext>
              </c:extLst>
              <c:f>(Dashboard!$Y$27,Dashboard!$Y$12:$Y$15)</c:f>
              <c:strCache>
                <c:ptCount val="5"/>
                <c:pt idx="0">
                  <c:v>Total</c:v>
                </c:pt>
                <c:pt idx="1">
                  <c:v> AstraZeneca </c:v>
                </c:pt>
                <c:pt idx="2">
                  <c:v> Jansen </c:v>
                </c:pt>
                <c:pt idx="3">
                  <c:v> Moderna </c:v>
                </c:pt>
                <c:pt idx="4">
                  <c:v> Pfizer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(Dashboard!$AD$27,Dashboard!$AD$12:$AD$16)</c15:sqref>
                  </c15:fullRef>
                </c:ext>
              </c:extLst>
              <c:f>(Dashboard!$AD$27,Dashboard!$AD$12:$AD$15)</c:f>
              <c:numCache>
                <c:formatCode>_-* #,##0.0_-;\-* #,##0.0_-;_-* "-"??_-;_-@_-</c:formatCode>
                <c:ptCount val="5"/>
                <c:pt idx="0">
                  <c:v>10.001644714908673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31.203195207189218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EE-4340-A43D-BA9FBA737405}"/>
            </c:ext>
          </c:extLst>
        </c:ser>
        <c:ser>
          <c:idx val="3"/>
          <c:order val="2"/>
          <c:tx>
            <c:v>Sum</c:v>
          </c:tx>
          <c:spPr>
            <a:noFill/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Total</c:v>
              </c:pt>
              <c:pt idx="1">
                <c:v> AstraZeneca </c:v>
              </c:pt>
              <c:pt idx="2">
                <c:v> Jansen </c:v>
              </c:pt>
              <c:pt idx="3">
                <c:v> Moderna </c:v>
              </c:pt>
              <c:pt idx="4">
                <c:v> Pfizer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(Dashboard!$AE$27,Dashboard!$AE$12:$AE$15)</c15:sqref>
                  </c15:fullRef>
                </c:ext>
              </c:extLst>
              <c:f>(Dashboard!$AE$27,Dashboard!$AE$12:$AE$15)</c:f>
              <c:numCache>
                <c:formatCode>_(* #,##0.0_);_(* \(#,##0.0\);_(* "-"?_);_(@_)</c:formatCode>
                <c:ptCount val="5"/>
                <c:pt idx="0">
                  <c:v>17.233784000035559</c:v>
                </c:pt>
                <c:pt idx="1">
                  <c:v>#N/A</c:v>
                </c:pt>
                <c:pt idx="2">
                  <c:v>11.724427848985544</c:v>
                </c:pt>
                <c:pt idx="3">
                  <c:v>#N/A</c:v>
                </c:pt>
                <c:pt idx="4">
                  <c:v>32.352908137793314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F3-470D-8CC6-4D4CA7FC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100"/>
        <c:axId val="1323818304"/>
        <c:axId val="1323827456"/>
      </c:barChart>
      <c:catAx>
        <c:axId val="1323818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827456"/>
        <c:crosses val="autoZero"/>
        <c:auto val="1"/>
        <c:lblAlgn val="ctr"/>
        <c:lblOffset val="100"/>
        <c:noMultiLvlLbl val="0"/>
      </c:catAx>
      <c:valAx>
        <c:axId val="1323827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Months of Stock (MoS)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81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064774626200295E-2"/>
          <c:y val="5.5834840187170671E-2"/>
          <c:w val="0.88599835828061579"/>
          <c:h val="0.70323454181436296"/>
        </c:manualLayout>
      </c:layout>
      <c:barChart>
        <c:barDir val="col"/>
        <c:grouping val="stacked"/>
        <c:varyColors val="0"/>
        <c:ser>
          <c:idx val="0"/>
          <c:order val="0"/>
          <c:tx>
            <c:v>Reported Consumption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'Scenario planning-aggregate'!$S$8:$S$31</c:f>
              <c:numCache>
                <c:formatCode>[$-409]d\-mmm\-yy;@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planning-aggregate'!$U$8:$U$31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42445</c:v>
                </c:pt>
                <c:pt idx="2">
                  <c:v>84875</c:v>
                </c:pt>
                <c:pt idx="3">
                  <c:v>69840</c:v>
                </c:pt>
                <c:pt idx="4">
                  <c:v>1653</c:v>
                </c:pt>
                <c:pt idx="5">
                  <c:v>354830</c:v>
                </c:pt>
                <c:pt idx="6">
                  <c:v>282308</c:v>
                </c:pt>
                <c:pt idx="7">
                  <c:v>401575</c:v>
                </c:pt>
                <c:pt idx="8">
                  <c:v>583509</c:v>
                </c:pt>
                <c:pt idx="9">
                  <c:v>196455</c:v>
                </c:pt>
                <c:pt idx="10">
                  <c:v>499668</c:v>
                </c:pt>
                <c:pt idx="11">
                  <c:v>203729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2-4A70-AF97-3BBF0DFD3DF7}"/>
            </c:ext>
          </c:extLst>
        </c:ser>
        <c:ser>
          <c:idx val="2"/>
          <c:order val="1"/>
          <c:tx>
            <c:v>Scenario 1 forecasted consumption</c:v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'Scenario planning-aggregate'!$S$8:$S$31</c:f>
              <c:numCache>
                <c:formatCode>[$-409]d\-mmm\-yy;@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planning-aggregate'!$X$8:$X$31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408000</c:v>
                </c:pt>
                <c:pt idx="13">
                  <c:v>400000</c:v>
                </c:pt>
                <c:pt idx="14">
                  <c:v>400000</c:v>
                </c:pt>
                <c:pt idx="15">
                  <c:v>400000</c:v>
                </c:pt>
                <c:pt idx="16">
                  <c:v>400000</c:v>
                </c:pt>
                <c:pt idx="17">
                  <c:v>400000</c:v>
                </c:pt>
                <c:pt idx="18">
                  <c:v>400000</c:v>
                </c:pt>
                <c:pt idx="19">
                  <c:v>400000</c:v>
                </c:pt>
                <c:pt idx="20">
                  <c:v>400000</c:v>
                </c:pt>
                <c:pt idx="21">
                  <c:v>400000</c:v>
                </c:pt>
                <c:pt idx="22">
                  <c:v>400000</c:v>
                </c:pt>
                <c:pt idx="23">
                  <c:v>400000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2-4A70-AF97-3BBF0DFD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9754856"/>
        <c:axId val="549752232"/>
      </c:barChart>
      <c:lineChart>
        <c:grouping val="standard"/>
        <c:varyColors val="0"/>
        <c:ser>
          <c:idx val="3"/>
          <c:order val="2"/>
          <c:tx>
            <c:v>Est. primary series coverage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'Scenario planning-aggregate'!$S$8:$S$31</c:f>
              <c:numCache>
                <c:formatCode>[$-409]d\-mmm\-yy;@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planning-aggregate'!$AG$8:$AG$31</c:f>
              <c:numCache>
                <c:formatCode>0%</c:formatCode>
                <c:ptCount val="24"/>
                <c:pt idx="0">
                  <c:v>0</c:v>
                </c:pt>
                <c:pt idx="1">
                  <c:v>8.3333333333333338E-8</c:v>
                </c:pt>
                <c:pt idx="2">
                  <c:v>1.3216666666666667E-5</c:v>
                </c:pt>
                <c:pt idx="3">
                  <c:v>2.0655000000000001E-4</c:v>
                </c:pt>
                <c:pt idx="4">
                  <c:v>2.341E-4</c:v>
                </c:pt>
                <c:pt idx="5">
                  <c:v>1.1479333333333332E-3</c:v>
                </c:pt>
                <c:pt idx="6">
                  <c:v>4.8681333333333333E-3</c:v>
                </c:pt>
                <c:pt idx="7">
                  <c:v>1.1251383333333333E-2</c:v>
                </c:pt>
                <c:pt idx="8">
                  <c:v>1.8994516666666666E-2</c:v>
                </c:pt>
                <c:pt idx="9">
                  <c:v>2.1311316666666667E-2</c:v>
                </c:pt>
                <c:pt idx="10">
                  <c:v>2.6971016666666667E-2</c:v>
                </c:pt>
                <c:pt idx="11">
                  <c:v>2.9492566666666668E-2</c:v>
                </c:pt>
                <c:pt idx="12">
                  <c:v>3.412050893728974E-2</c:v>
                </c:pt>
                <c:pt idx="13">
                  <c:v>3.8748451207912808E-2</c:v>
                </c:pt>
                <c:pt idx="14">
                  <c:v>4.3376393478535884E-2</c:v>
                </c:pt>
                <c:pt idx="15">
                  <c:v>4.8004335749158952E-2</c:v>
                </c:pt>
                <c:pt idx="16">
                  <c:v>5.2632278019782021E-2</c:v>
                </c:pt>
                <c:pt idx="17">
                  <c:v>5.7260220290405103E-2</c:v>
                </c:pt>
                <c:pt idx="18">
                  <c:v>6.1888162561028172E-2</c:v>
                </c:pt>
                <c:pt idx="19">
                  <c:v>6.651610483165124E-2</c:v>
                </c:pt>
                <c:pt idx="20">
                  <c:v>7.1144047102274316E-2</c:v>
                </c:pt>
                <c:pt idx="21">
                  <c:v>7.5771989372897378E-2</c:v>
                </c:pt>
                <c:pt idx="22">
                  <c:v>8.0399931643520453E-2</c:v>
                </c:pt>
                <c:pt idx="23">
                  <c:v>8.5027873914143542E-2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A2-4A70-AF97-3BBF0DFD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443264"/>
        <c:axId val="2028444512"/>
      </c:lineChart>
      <c:catAx>
        <c:axId val="54975485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752232"/>
        <c:crosses val="autoZero"/>
        <c:auto val="0"/>
        <c:lblAlgn val="ctr"/>
        <c:lblOffset val="100"/>
        <c:noMultiLvlLbl val="1"/>
      </c:catAx>
      <c:valAx>
        <c:axId val="549752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Doses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754856"/>
        <c:crosses val="autoZero"/>
        <c:crossBetween val="between"/>
      </c:valAx>
      <c:valAx>
        <c:axId val="2028444512"/>
        <c:scaling>
          <c:orientation val="minMax"/>
        </c:scaling>
        <c:delete val="0"/>
        <c:axPos val="r"/>
        <c:title>
          <c:tx>
            <c:strRef>
              <c:f>Dashboard!$Y$6</c:f>
              <c:strCache>
                <c:ptCount val="1"/>
                <c:pt idx="0">
                  <c:v>Est. % of Ages 12 and up covered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443264"/>
        <c:crosses val="max"/>
        <c:crossBetween val="between"/>
      </c:valAx>
      <c:dateAx>
        <c:axId val="2028443264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202844451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6"/>
          <c:order val="0"/>
          <c:tx>
            <c:strRef>
              <c:f>'Scenario planning-aggregate'!$AT$7</c:f>
              <c:strCache>
                <c:ptCount val="1"/>
                <c:pt idx="0">
                  <c:v>Forecasted ending balance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planning-aggregate'!$AT$8:$AT$31</c:f>
              <c:numCache>
                <c:formatCode>_-* #,##0_-;\-* #,##0_-;_-* "-"??_-;_-@_-</c:formatCode>
                <c:ptCount val="24"/>
                <c:pt idx="0">
                  <c:v>390300</c:v>
                </c:pt>
                <c:pt idx="1">
                  <c:v>347855</c:v>
                </c:pt>
                <c:pt idx="2">
                  <c:v>262980</c:v>
                </c:pt>
                <c:pt idx="3">
                  <c:v>495740</c:v>
                </c:pt>
                <c:pt idx="4">
                  <c:v>300947</c:v>
                </c:pt>
                <c:pt idx="5">
                  <c:v>152517</c:v>
                </c:pt>
                <c:pt idx="6">
                  <c:v>0</c:v>
                </c:pt>
                <c:pt idx="7">
                  <c:v>953625</c:v>
                </c:pt>
                <c:pt idx="8">
                  <c:v>370116</c:v>
                </c:pt>
                <c:pt idx="9">
                  <c:v>968631</c:v>
                </c:pt>
                <c:pt idx="10">
                  <c:v>1650506</c:v>
                </c:pt>
                <c:pt idx="11">
                  <c:v>2008377</c:v>
                </c:pt>
                <c:pt idx="12">
                  <c:v>2008377</c:v>
                </c:pt>
                <c:pt idx="13">
                  <c:v>2008377</c:v>
                </c:pt>
                <c:pt idx="14">
                  <c:v>3008377</c:v>
                </c:pt>
                <c:pt idx="15">
                  <c:v>4008377</c:v>
                </c:pt>
                <c:pt idx="16">
                  <c:v>5008377</c:v>
                </c:pt>
                <c:pt idx="17">
                  <c:v>5008377</c:v>
                </c:pt>
                <c:pt idx="18">
                  <c:v>5008377</c:v>
                </c:pt>
                <c:pt idx="19">
                  <c:v>5208377</c:v>
                </c:pt>
                <c:pt idx="20">
                  <c:v>5208377</c:v>
                </c:pt>
                <c:pt idx="21">
                  <c:v>5208377</c:v>
                </c:pt>
                <c:pt idx="22">
                  <c:v>5208377</c:v>
                </c:pt>
                <c:pt idx="23">
                  <c:v>5208377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6D2-4057-A031-749BD89CB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402816"/>
        <c:axId val="2082393664"/>
      </c:areaChart>
      <c:barChart>
        <c:barDir val="col"/>
        <c:grouping val="stacked"/>
        <c:varyColors val="0"/>
        <c:ser>
          <c:idx val="1"/>
          <c:order val="1"/>
          <c:tx>
            <c:strRef>
              <c:f>'Scenario planning-aggregate'!$AQ$7</c:f>
              <c:strCache>
                <c:ptCount val="1"/>
                <c:pt idx="0">
                  <c:v>Shipments (received)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planning-aggregate'!$AQ$8:$AQ$31</c:f>
              <c:numCache>
                <c:formatCode>_-* #,##0_-;\-* #,##0_-;_-* "-"??_-;_-@_-</c:formatCode>
                <c:ptCount val="24"/>
                <c:pt idx="0">
                  <c:v>355300</c:v>
                </c:pt>
                <c:pt idx="1">
                  <c:v>0</c:v>
                </c:pt>
                <c:pt idx="2">
                  <c:v>0</c:v>
                </c:pt>
                <c:pt idx="3">
                  <c:v>302600</c:v>
                </c:pt>
                <c:pt idx="4">
                  <c:v>0</c:v>
                </c:pt>
                <c:pt idx="5">
                  <c:v>206400</c:v>
                </c:pt>
                <c:pt idx="6">
                  <c:v>0</c:v>
                </c:pt>
                <c:pt idx="7">
                  <c:v>1355200</c:v>
                </c:pt>
                <c:pt idx="8">
                  <c:v>0</c:v>
                </c:pt>
                <c:pt idx="9">
                  <c:v>794970</c:v>
                </c:pt>
                <c:pt idx="10">
                  <c:v>1309600</c:v>
                </c:pt>
                <c:pt idx="11">
                  <c:v>561600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200000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6D2-4057-A031-749BD89CB2B1}"/>
            </c:ext>
          </c:extLst>
        </c:ser>
        <c:ser>
          <c:idx val="4"/>
          <c:order val="2"/>
          <c:tx>
            <c:strRef>
              <c:f>'Scenario planning-aggregate'!$AR$7</c:f>
              <c:strCache>
                <c:ptCount val="1"/>
                <c:pt idx="0">
                  <c:v>Shipments (ordered)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planning-aggregate'!$AR$8:$AR$31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6D2-4057-A031-749BD89CB2B1}"/>
            </c:ext>
          </c:extLst>
        </c:ser>
        <c:ser>
          <c:idx val="0"/>
          <c:order val="3"/>
          <c:tx>
            <c:strRef>
              <c:f>'Scenario planning-aggregate'!$AS$7</c:f>
              <c:strCache>
                <c:ptCount val="1"/>
                <c:pt idx="0">
                  <c:v>Shipments (forecasted)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planning-aggregate'!$AS$8:$AS$31</c:f>
              <c:numCache>
                <c:formatCode>_-* #,##0_-;\-* #,##0_-;_-* "-"??_-;_-@_-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A-D6D2-4057-A031-749BD89CB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82402816"/>
        <c:axId val="2082393664"/>
      </c:barChart>
      <c:lineChart>
        <c:grouping val="standard"/>
        <c:varyColors val="0"/>
        <c:ser>
          <c:idx val="5"/>
          <c:order val="4"/>
          <c:tx>
            <c:strRef>
              <c:f>'Scenario planning-aggregate'!$AO$7</c:f>
              <c:strCache>
                <c:ptCount val="1"/>
                <c:pt idx="0">
                  <c:v>Total consumption (actual + forecast)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'Scenario planning-aggregate'!$S$8:$S$31</c:f>
              <c:numCache>
                <c:formatCode>[$-409]d\-mmm\-yy;@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planning-aggregate'!$AO$8:$AO$31</c:f>
              <c:numCache>
                <c:formatCode>_-* #,##0_-;\-* #,##0_-;_-* "-"??_-;_-@_-</c:formatCode>
                <c:ptCount val="24"/>
                <c:pt idx="0">
                  <c:v>#N/A</c:v>
                </c:pt>
                <c:pt idx="1">
                  <c:v>42445</c:v>
                </c:pt>
                <c:pt idx="2">
                  <c:v>84875</c:v>
                </c:pt>
                <c:pt idx="3">
                  <c:v>69840</c:v>
                </c:pt>
                <c:pt idx="4">
                  <c:v>1653</c:v>
                </c:pt>
                <c:pt idx="5">
                  <c:v>354830</c:v>
                </c:pt>
                <c:pt idx="6">
                  <c:v>282308</c:v>
                </c:pt>
                <c:pt idx="7">
                  <c:v>401575</c:v>
                </c:pt>
                <c:pt idx="8">
                  <c:v>583509</c:v>
                </c:pt>
                <c:pt idx="9">
                  <c:v>196455</c:v>
                </c:pt>
                <c:pt idx="10">
                  <c:v>499668</c:v>
                </c:pt>
                <c:pt idx="11">
                  <c:v>203729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D2-4057-A031-749BD89CB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402816"/>
        <c:axId val="2082393664"/>
      </c:lineChart>
      <c:lineChart>
        <c:grouping val="standard"/>
        <c:varyColors val="0"/>
        <c:ser>
          <c:idx val="2"/>
          <c:order val="5"/>
          <c:tx>
            <c:strRef>
              <c:f>'Scenario planning-aggregate'!$AU$7</c:f>
              <c:strCache>
                <c:ptCount val="1"/>
                <c:pt idx="0">
                  <c:v>MOS</c:v>
                </c:pt>
              </c:strCache>
            </c:strRef>
          </c:tx>
          <c:spPr>
            <a:ln w="28575" cap="rnd">
              <a:solidFill>
                <a:srgbClr val="B2184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'Scenario planning-aggregate'!$S$8:$S$31</c:f>
              <c:numCache>
                <c:formatCode>[$-409]d\-mmm\-yy;@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planning-aggregate'!$AU$8:$AU$31</c:f>
              <c:numCache>
                <c:formatCode>_-* #,##0.0_-;\-* #,##0.0_-;_-* "-"??_-;_-@_-</c:formatCode>
                <c:ptCount val="24"/>
                <c:pt idx="0">
                  <c:v>#N/A</c:v>
                </c:pt>
                <c:pt idx="1">
                  <c:v>5.2929853925745585</c:v>
                </c:pt>
                <c:pt idx="2">
                  <c:v>5.0454057096081044</c:v>
                </c:pt>
                <c:pt idx="3">
                  <c:v>3.4884817380249249</c:v>
                </c:pt>
                <c:pt idx="4">
                  <c:v>1.4133589859594138</c:v>
                </c:pt>
                <c:pt idx="5">
                  <c:v>0.44049800089148783</c:v>
                </c:pt>
                <c:pt idx="6">
                  <c:v>0</c:v>
                </c:pt>
                <c:pt idx="7">
                  <c:v>2.4213123730998301</c:v>
                </c:pt>
                <c:pt idx="8">
                  <c:v>0.86770884129187142</c:v>
                </c:pt>
                <c:pt idx="9">
                  <c:v>3.2293010406155678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6D2-4057-A031-749BD89CB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792624"/>
        <c:axId val="1382786800"/>
      </c:lineChart>
      <c:dateAx>
        <c:axId val="208240281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93664"/>
        <c:crosses val="autoZero"/>
        <c:auto val="1"/>
        <c:lblOffset val="100"/>
        <c:baseTimeUnit val="months"/>
      </c:dateAx>
      <c:valAx>
        <c:axId val="20823936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Doses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402816"/>
        <c:crosses val="autoZero"/>
        <c:crossBetween val="between"/>
      </c:valAx>
      <c:valAx>
        <c:axId val="13827868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Months of Stock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2792624"/>
        <c:crosses val="max"/>
        <c:crossBetween val="between"/>
      </c:valAx>
      <c:dateAx>
        <c:axId val="1382792624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382786800"/>
        <c:crosses val="autoZero"/>
        <c:auto val="1"/>
        <c:lblOffset val="100"/>
        <c:baseTimeUnit val="months"/>
      </c:date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21427374769642E-2"/>
          <c:y val="6.9168178186589033E-2"/>
          <c:w val="0.88144310046350594"/>
          <c:h val="0.71656787981378123"/>
        </c:manualLayout>
      </c:layout>
      <c:barChart>
        <c:barDir val="col"/>
        <c:grouping val="stacked"/>
        <c:varyColors val="0"/>
        <c:ser>
          <c:idx val="0"/>
          <c:order val="0"/>
          <c:tx>
            <c:v>Reported Consumption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'Scenario planning-aggregate'!$S$8:$S$31</c:f>
              <c:numCache>
                <c:formatCode>[$-409]d\-mmm\-yy;@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planning-aggregate'!$AK$8:$AK$31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42445</c:v>
                </c:pt>
                <c:pt idx="2">
                  <c:v>84875</c:v>
                </c:pt>
                <c:pt idx="3">
                  <c:v>69840</c:v>
                </c:pt>
                <c:pt idx="4">
                  <c:v>1653</c:v>
                </c:pt>
                <c:pt idx="5">
                  <c:v>354830</c:v>
                </c:pt>
                <c:pt idx="6">
                  <c:v>282308</c:v>
                </c:pt>
                <c:pt idx="7">
                  <c:v>401575</c:v>
                </c:pt>
                <c:pt idx="8">
                  <c:v>583509</c:v>
                </c:pt>
                <c:pt idx="9">
                  <c:v>196455</c:v>
                </c:pt>
                <c:pt idx="10">
                  <c:v>499668</c:v>
                </c:pt>
                <c:pt idx="11">
                  <c:v>203729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D-49B0-A86A-828F496F5CAA}"/>
            </c:ext>
          </c:extLst>
        </c:ser>
        <c:ser>
          <c:idx val="2"/>
          <c:order val="1"/>
          <c:tx>
            <c:v>Scenario 2 forecasted consumption</c:v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'Scenario planning-aggregate'!$S$8:$S$31</c:f>
              <c:numCache>
                <c:formatCode>[$-409]d\-mmm\-yy;@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'Scenario planning-aggregate'!$AN$8:$AN$31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CD-49B0-A86A-828F496F5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9754856"/>
        <c:axId val="549752232"/>
      </c:barChart>
      <c:lineChart>
        <c:grouping val="standard"/>
        <c:varyColors val="0"/>
        <c:ser>
          <c:idx val="3"/>
          <c:order val="2"/>
          <c:tx>
            <c:v>Est. primary series coverage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'Scenario planning-aggregate'!$B$8:$B$31</c:f>
            </c:multiLvlStrRef>
          </c:cat>
          <c:val>
            <c:numRef>
              <c:f>'Scenario planning-aggregate'!$AW$8:$AW$31</c:f>
              <c:numCache>
                <c:formatCode>0%</c:formatCode>
                <c:ptCount val="24"/>
                <c:pt idx="0">
                  <c:v>0</c:v>
                </c:pt>
                <c:pt idx="1">
                  <c:v>8.3333333333333338E-8</c:v>
                </c:pt>
                <c:pt idx="2">
                  <c:v>1.3216666666666667E-5</c:v>
                </c:pt>
                <c:pt idx="3">
                  <c:v>2.0655000000000001E-4</c:v>
                </c:pt>
                <c:pt idx="4">
                  <c:v>2.341E-4</c:v>
                </c:pt>
                <c:pt idx="5">
                  <c:v>1.1479333333333332E-3</c:v>
                </c:pt>
                <c:pt idx="6">
                  <c:v>4.8681333333333333E-3</c:v>
                </c:pt>
                <c:pt idx="7">
                  <c:v>1.1251383333333333E-2</c:v>
                </c:pt>
                <c:pt idx="8">
                  <c:v>1.8994516666666666E-2</c:v>
                </c:pt>
                <c:pt idx="9">
                  <c:v>2.1311316666666667E-2</c:v>
                </c:pt>
                <c:pt idx="10">
                  <c:v>2.6971016666666667E-2</c:v>
                </c:pt>
                <c:pt idx="11">
                  <c:v>2.9492566666666668E-2</c:v>
                </c:pt>
                <c:pt idx="12">
                  <c:v>2.9492566666666668E-2</c:v>
                </c:pt>
                <c:pt idx="13">
                  <c:v>2.9492566666666668E-2</c:v>
                </c:pt>
                <c:pt idx="14">
                  <c:v>2.9492566666666668E-2</c:v>
                </c:pt>
                <c:pt idx="15">
                  <c:v>2.9492566666666668E-2</c:v>
                </c:pt>
                <c:pt idx="16">
                  <c:v>2.9492566666666668E-2</c:v>
                </c:pt>
                <c:pt idx="17">
                  <c:v>2.9492566666666668E-2</c:v>
                </c:pt>
                <c:pt idx="18">
                  <c:v>2.9492566666666668E-2</c:v>
                </c:pt>
                <c:pt idx="19">
                  <c:v>2.9492566666666668E-2</c:v>
                </c:pt>
                <c:pt idx="20">
                  <c:v>2.9492566666666668E-2</c:v>
                </c:pt>
                <c:pt idx="21">
                  <c:v>2.9492566666666668E-2</c:v>
                </c:pt>
                <c:pt idx="22">
                  <c:v>2.9492566666666668E-2</c:v>
                </c:pt>
                <c:pt idx="23">
                  <c:v>2.9492566666666668E-2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CD-49B0-A86A-828F496F5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443264"/>
        <c:axId val="2028444512"/>
      </c:lineChart>
      <c:catAx>
        <c:axId val="54975485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752232"/>
        <c:crosses val="autoZero"/>
        <c:auto val="0"/>
        <c:lblAlgn val="ctr"/>
        <c:lblOffset val="100"/>
        <c:noMultiLvlLbl val="1"/>
      </c:catAx>
      <c:valAx>
        <c:axId val="549752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Doses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754856"/>
        <c:crosses val="autoZero"/>
        <c:crossBetween val="between"/>
      </c:valAx>
      <c:valAx>
        <c:axId val="2028444512"/>
        <c:scaling>
          <c:orientation val="minMax"/>
        </c:scaling>
        <c:delete val="0"/>
        <c:axPos val="r"/>
        <c:title>
          <c:tx>
            <c:strRef>
              <c:f>Dashboard!$Y$6</c:f>
              <c:strCache>
                <c:ptCount val="1"/>
                <c:pt idx="0">
                  <c:v>Est. % of Ages 12 and up covered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443264"/>
        <c:crosses val="max"/>
        <c:crossBetween val="between"/>
      </c:valAx>
      <c:catAx>
        <c:axId val="2028443264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2028444512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4"/>
          <c:order val="2"/>
          <c:tx>
            <c:strRef>
              <c:f>DataViz!$S$3</c:f>
              <c:strCache>
                <c:ptCount val="1"/>
                <c:pt idx="0">
                  <c:v>Ending balance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DataViz!$S$6:$S$29</c:f>
              <c:numCache>
                <c:formatCode>_-* #,##0_-;\-* #,##0_-;_-* "-"??_-;_-@_-</c:formatCode>
                <c:ptCount val="24"/>
                <c:pt idx="0">
                  <c:v>390300</c:v>
                </c:pt>
                <c:pt idx="1">
                  <c:v>347855</c:v>
                </c:pt>
                <c:pt idx="2">
                  <c:v>262980</c:v>
                </c:pt>
                <c:pt idx="3">
                  <c:v>495740</c:v>
                </c:pt>
                <c:pt idx="4">
                  <c:v>300947</c:v>
                </c:pt>
                <c:pt idx="5">
                  <c:v>246117</c:v>
                </c:pt>
                <c:pt idx="6">
                  <c:v>79889</c:v>
                </c:pt>
                <c:pt idx="7">
                  <c:v>1033514</c:v>
                </c:pt>
                <c:pt idx="8">
                  <c:v>450005</c:v>
                </c:pt>
                <c:pt idx="9">
                  <c:v>1053920</c:v>
                </c:pt>
                <c:pt idx="10">
                  <c:v>1778564</c:v>
                </c:pt>
                <c:pt idx="11">
                  <c:v>2169285</c:v>
                </c:pt>
                <c:pt idx="12">
                  <c:v>2169285</c:v>
                </c:pt>
                <c:pt idx="13">
                  <c:v>2169285</c:v>
                </c:pt>
                <c:pt idx="14">
                  <c:v>3169285</c:v>
                </c:pt>
                <c:pt idx="15">
                  <c:v>4058747</c:v>
                </c:pt>
                <c:pt idx="16">
                  <c:v>5058747</c:v>
                </c:pt>
                <c:pt idx="17">
                  <c:v>5058747</c:v>
                </c:pt>
                <c:pt idx="18">
                  <c:v>5058747</c:v>
                </c:pt>
                <c:pt idx="19">
                  <c:v>5258747</c:v>
                </c:pt>
                <c:pt idx="20">
                  <c:v>5258747</c:v>
                </c:pt>
                <c:pt idx="21">
                  <c:v>5258747</c:v>
                </c:pt>
                <c:pt idx="22">
                  <c:v>5258747</c:v>
                </c:pt>
                <c:pt idx="23">
                  <c:v>5258747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6F-44E2-981D-70BC6C5C5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8893376"/>
        <c:axId val="1478895040"/>
      </c:areaChart>
      <c:barChart>
        <c:barDir val="col"/>
        <c:grouping val="stacked"/>
        <c:varyColors val="0"/>
        <c:ser>
          <c:idx val="3"/>
          <c:order val="3"/>
          <c:tx>
            <c:strRef>
              <c:f>DataViz!$R$3</c:f>
              <c:strCache>
                <c:ptCount val="1"/>
                <c:pt idx="0">
                  <c:v>Potential expiry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DataViz!$R$6:$R$29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110538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F-44E2-981D-70BC6C5C5D96}"/>
            </c:ext>
          </c:extLst>
        </c:ser>
        <c:ser>
          <c:idx val="2"/>
          <c:order val="4"/>
          <c:tx>
            <c:strRef>
              <c:f>DataViz!$O$3</c:f>
              <c:strCache>
                <c:ptCount val="1"/>
                <c:pt idx="0">
                  <c:v>Shipments (received)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DataViz!$O$6:$O$29</c:f>
              <c:numCache>
                <c:formatCode>_-* #,##0_-;\-* #,##0_-;_-* "-"??_-;_-@_-</c:formatCode>
                <c:ptCount val="24"/>
                <c:pt idx="0">
                  <c:v>355300</c:v>
                </c:pt>
                <c:pt idx="1">
                  <c:v>0</c:v>
                </c:pt>
                <c:pt idx="2">
                  <c:v>0</c:v>
                </c:pt>
                <c:pt idx="3">
                  <c:v>302600</c:v>
                </c:pt>
                <c:pt idx="4">
                  <c:v>0</c:v>
                </c:pt>
                <c:pt idx="5">
                  <c:v>206400</c:v>
                </c:pt>
                <c:pt idx="6">
                  <c:v>0</c:v>
                </c:pt>
                <c:pt idx="7">
                  <c:v>1355200</c:v>
                </c:pt>
                <c:pt idx="8">
                  <c:v>0</c:v>
                </c:pt>
                <c:pt idx="9">
                  <c:v>794970</c:v>
                </c:pt>
                <c:pt idx="10">
                  <c:v>1309600</c:v>
                </c:pt>
                <c:pt idx="11">
                  <c:v>561600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200000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F-44E2-981D-70BC6C5C5D96}"/>
            </c:ext>
          </c:extLst>
        </c:ser>
        <c:ser>
          <c:idx val="5"/>
          <c:order val="5"/>
          <c:tx>
            <c:strRef>
              <c:f>DataViz!$P$3</c:f>
              <c:strCache>
                <c:ptCount val="1"/>
                <c:pt idx="0">
                  <c:v>Shipments (ordered)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DataViz!$P$6:$P$29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6F-44E2-981D-70BC6C5C5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78893376"/>
        <c:axId val="1478895040"/>
      </c:barChart>
      <c:lineChart>
        <c:grouping val="standard"/>
        <c:varyColors val="0"/>
        <c:ser>
          <c:idx val="1"/>
          <c:order val="1"/>
          <c:tx>
            <c:strRef>
              <c:f>DataViz!$M$3</c:f>
              <c:strCache>
                <c:ptCount val="1"/>
                <c:pt idx="0">
                  <c:v>Total consumption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DataViz!$M$6:$M$29</c:f>
              <c:numCache>
                <c:formatCode>_-* #,##0_-;\-* #,##0_-;_-* "-"??_-;_-@_-</c:formatCode>
                <c:ptCount val="24"/>
                <c:pt idx="0">
                  <c:v>#N/A</c:v>
                </c:pt>
                <c:pt idx="1">
                  <c:v>42445</c:v>
                </c:pt>
                <c:pt idx="2">
                  <c:v>84875</c:v>
                </c:pt>
                <c:pt idx="3">
                  <c:v>69840</c:v>
                </c:pt>
                <c:pt idx="4">
                  <c:v>1653</c:v>
                </c:pt>
                <c:pt idx="5">
                  <c:v>354830</c:v>
                </c:pt>
                <c:pt idx="6">
                  <c:v>282308</c:v>
                </c:pt>
                <c:pt idx="7">
                  <c:v>401575</c:v>
                </c:pt>
                <c:pt idx="8">
                  <c:v>583509</c:v>
                </c:pt>
                <c:pt idx="9">
                  <c:v>196455</c:v>
                </c:pt>
                <c:pt idx="10">
                  <c:v>499668</c:v>
                </c:pt>
                <c:pt idx="11">
                  <c:v>203729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6F-44E2-981D-70BC6C5C5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893376"/>
        <c:axId val="1478895040"/>
      </c:lineChart>
      <c:lineChart>
        <c:grouping val="standard"/>
        <c:varyColors val="0"/>
        <c:ser>
          <c:idx val="6"/>
          <c:order val="6"/>
          <c:tx>
            <c:strRef>
              <c:f>DataViz!$W$3</c:f>
              <c:strCache>
                <c:ptCount val="1"/>
                <c:pt idx="0">
                  <c:v>MOS</c:v>
                </c:pt>
              </c:strCache>
            </c:strRef>
          </c:tx>
          <c:spPr>
            <a:ln w="28575" cap="rnd">
              <a:solidFill>
                <a:srgbClr val="B2184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DataViz!$W$6:$W$29</c:f>
              <c:numCache>
                <c:formatCode>0.0</c:formatCode>
                <c:ptCount val="24"/>
                <c:pt idx="0">
                  <c:v>#N/A</c:v>
                </c:pt>
                <c:pt idx="1">
                  <c:v>24.586288137589822</c:v>
                </c:pt>
                <c:pt idx="2">
                  <c:v>6.1965127238454292</c:v>
                </c:pt>
                <c:pt idx="3">
                  <c:v>7.5432136335970785</c:v>
                </c:pt>
                <c:pt idx="4">
                  <c:v>5.7738220096183364</c:v>
                </c:pt>
                <c:pt idx="5">
                  <c:v>1.7319051517276807</c:v>
                </c:pt>
                <c:pt idx="6">
                  <c:v>0.37518844191605705</c:v>
                </c:pt>
                <c:pt idx="7">
                  <c:v>2.9849843026899632</c:v>
                </c:pt>
                <c:pt idx="8">
                  <c:v>1.0651913535827904</c:v>
                </c:pt>
                <c:pt idx="9">
                  <c:v>2.6759675304835473</c:v>
                </c:pt>
                <c:pt idx="10">
                  <c:v>4.1697081660977533</c:v>
                </c:pt>
                <c:pt idx="11">
                  <c:v>7.2321392851268866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C-4E98-9249-ED542FE3A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893792"/>
        <c:axId val="147889878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DataViz!$E$3</c15:sqref>
                        </c15:formulaRef>
                      </c:ext>
                    </c:extLst>
                    <c:strCache>
                      <c:ptCount val="1"/>
                      <c:pt idx="0">
                        <c:v>Est. primary series coverage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85000"/>
                      </a:schemeClr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DataViz!$B$6:$B$29</c15:sqref>
                        </c15:formulaRef>
                      </c:ext>
                    </c:extLst>
                    <c:numCache>
                      <c:formatCode>mmm\-yy</c:formatCode>
                      <c:ptCount val="24"/>
                      <c:pt idx="0">
                        <c:v>44287</c:v>
                      </c:pt>
                      <c:pt idx="1">
                        <c:v>44317</c:v>
                      </c:pt>
                      <c:pt idx="2">
                        <c:v>44348</c:v>
                      </c:pt>
                      <c:pt idx="3">
                        <c:v>44378</c:v>
                      </c:pt>
                      <c:pt idx="4">
                        <c:v>44409</c:v>
                      </c:pt>
                      <c:pt idx="5">
                        <c:v>44440</c:v>
                      </c:pt>
                      <c:pt idx="6">
                        <c:v>44470</c:v>
                      </c:pt>
                      <c:pt idx="7">
                        <c:v>44501</c:v>
                      </c:pt>
                      <c:pt idx="8">
                        <c:v>44531</c:v>
                      </c:pt>
                      <c:pt idx="9">
                        <c:v>44562</c:v>
                      </c:pt>
                      <c:pt idx="10">
                        <c:v>44593</c:v>
                      </c:pt>
                      <c:pt idx="11">
                        <c:v>44621</c:v>
                      </c:pt>
                      <c:pt idx="12">
                        <c:v>44652</c:v>
                      </c:pt>
                      <c:pt idx="13">
                        <c:v>44682</c:v>
                      </c:pt>
                      <c:pt idx="14">
                        <c:v>44713</c:v>
                      </c:pt>
                      <c:pt idx="15">
                        <c:v>44743</c:v>
                      </c:pt>
                      <c:pt idx="16">
                        <c:v>44774</c:v>
                      </c:pt>
                      <c:pt idx="17">
                        <c:v>44805</c:v>
                      </c:pt>
                      <c:pt idx="18">
                        <c:v>44835</c:v>
                      </c:pt>
                      <c:pt idx="19">
                        <c:v>44866</c:v>
                      </c:pt>
                      <c:pt idx="20">
                        <c:v>44896</c:v>
                      </c:pt>
                      <c:pt idx="21">
                        <c:v>44927</c:v>
                      </c:pt>
                      <c:pt idx="22">
                        <c:v>44958</c:v>
                      </c:pt>
                      <c:pt idx="23">
                        <c:v>44986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DataViz!$E$6:$E$29</c15:sqref>
                        </c15:formulaRef>
                      </c:ext>
                    </c:extLst>
                    <c:numCache>
                      <c:formatCode>0.0%</c:formatCode>
                      <c:ptCount val="24"/>
                      <c:pt idx="0">
                        <c:v>0</c:v>
                      </c:pt>
                      <c:pt idx="1">
                        <c:v>8.3333333333333338E-8</c:v>
                      </c:pt>
                      <c:pt idx="2">
                        <c:v>1.3216666666666667E-5</c:v>
                      </c:pt>
                      <c:pt idx="3">
                        <c:v>2.0655000000000001E-4</c:v>
                      </c:pt>
                      <c:pt idx="4">
                        <c:v>2.341E-4</c:v>
                      </c:pt>
                      <c:pt idx="5">
                        <c:v>1.1479333333333332E-3</c:v>
                      </c:pt>
                      <c:pt idx="6">
                        <c:v>4.8681333333333333E-3</c:v>
                      </c:pt>
                      <c:pt idx="7">
                        <c:v>1.1251383333333333E-2</c:v>
                      </c:pt>
                      <c:pt idx="8">
                        <c:v>1.8994516666666666E-2</c:v>
                      </c:pt>
                      <c:pt idx="9">
                        <c:v>2.1311316666666667E-2</c:v>
                      </c:pt>
                      <c:pt idx="10">
                        <c:v>2.6971016666666667E-2</c:v>
                      </c:pt>
                      <c:pt idx="11">
                        <c:v>2.9492566666666668E-2</c:v>
                      </c:pt>
                      <c:pt idx="12">
                        <c:v>2.9492566666666668E-2</c:v>
                      </c:pt>
                      <c:pt idx="13">
                        <c:v>2.9492566666666668E-2</c:v>
                      </c:pt>
                      <c:pt idx="14">
                        <c:v>2.9492566666666668E-2</c:v>
                      </c:pt>
                      <c:pt idx="15">
                        <c:v>2.9492566666666668E-2</c:v>
                      </c:pt>
                      <c:pt idx="16">
                        <c:v>2.9492566666666668E-2</c:v>
                      </c:pt>
                      <c:pt idx="17">
                        <c:v>2.9492566666666668E-2</c:v>
                      </c:pt>
                      <c:pt idx="18">
                        <c:v>2.9492566666666668E-2</c:v>
                      </c:pt>
                      <c:pt idx="19">
                        <c:v>2.9492566666666668E-2</c:v>
                      </c:pt>
                      <c:pt idx="20">
                        <c:v>2.9492566666666668E-2</c:v>
                      </c:pt>
                      <c:pt idx="21">
                        <c:v>2.9492566666666668E-2</c:v>
                      </c:pt>
                      <c:pt idx="22">
                        <c:v>2.9492566666666668E-2</c:v>
                      </c:pt>
                      <c:pt idx="23">
                        <c:v>2.9492566666666668E-2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A96F-44E2-981D-70BC6C5C5D96}"/>
                  </c:ext>
                </c:extLst>
              </c15:ser>
            </c15:filteredLineSeries>
          </c:ext>
        </c:extLst>
      </c:lineChart>
      <c:dateAx>
        <c:axId val="14788933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8895040"/>
        <c:crosses val="autoZero"/>
        <c:auto val="1"/>
        <c:lblOffset val="100"/>
        <c:baseTimeUnit val="months"/>
      </c:dateAx>
      <c:valAx>
        <c:axId val="14788950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Doses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88933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valAx>
        <c:axId val="14788987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Months of Stock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8893792"/>
        <c:crosses val="max"/>
        <c:crossBetween val="between"/>
      </c:valAx>
      <c:catAx>
        <c:axId val="14788937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478898784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4">
          <a:lumMod val="20000"/>
          <a:lumOff val="80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6"/>
          <c:order val="1"/>
          <c:tx>
            <c:strRef>
              <c:f>DataViz!$AD$3</c:f>
              <c:strCache>
                <c:ptCount val="1"/>
                <c:pt idx="0">
                  <c:v>Forecasted Ending balance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DataViz!$AD$6:$AD$29</c:f>
              <c:numCache>
                <c:formatCode>_-* #,##0_-;\-* #,##0_-;_-* "-"??_-;_-@_-</c:formatCode>
                <c:ptCount val="24"/>
                <c:pt idx="0">
                  <c:v>390300</c:v>
                </c:pt>
                <c:pt idx="1">
                  <c:v>347855</c:v>
                </c:pt>
                <c:pt idx="2">
                  <c:v>262980</c:v>
                </c:pt>
                <c:pt idx="3">
                  <c:v>495740</c:v>
                </c:pt>
                <c:pt idx="4">
                  <c:v>1300947</c:v>
                </c:pt>
                <c:pt idx="5">
                  <c:v>1152517</c:v>
                </c:pt>
                <c:pt idx="6">
                  <c:v>870209</c:v>
                </c:pt>
                <c:pt idx="7">
                  <c:v>1823834</c:v>
                </c:pt>
                <c:pt idx="8">
                  <c:v>1240325</c:v>
                </c:pt>
                <c:pt idx="9">
                  <c:v>1844240</c:v>
                </c:pt>
                <c:pt idx="10">
                  <c:v>2526115</c:v>
                </c:pt>
                <c:pt idx="11">
                  <c:v>2883986</c:v>
                </c:pt>
                <c:pt idx="12">
                  <c:v>2883986</c:v>
                </c:pt>
                <c:pt idx="13">
                  <c:v>2643986</c:v>
                </c:pt>
                <c:pt idx="14">
                  <c:v>3403986</c:v>
                </c:pt>
                <c:pt idx="15">
                  <c:v>4053448</c:v>
                </c:pt>
                <c:pt idx="16">
                  <c:v>4813448</c:v>
                </c:pt>
                <c:pt idx="17">
                  <c:v>4573448</c:v>
                </c:pt>
                <c:pt idx="18">
                  <c:v>4333448</c:v>
                </c:pt>
                <c:pt idx="19">
                  <c:v>4293448</c:v>
                </c:pt>
                <c:pt idx="20">
                  <c:v>4293448</c:v>
                </c:pt>
                <c:pt idx="21">
                  <c:v>4293448</c:v>
                </c:pt>
                <c:pt idx="22">
                  <c:v>4293448</c:v>
                </c:pt>
                <c:pt idx="23">
                  <c:v>4293448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DA-4990-A008-76B0FFCBB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402816"/>
        <c:axId val="2082393664"/>
      </c:areaChart>
      <c:barChart>
        <c:barDir val="col"/>
        <c:grouping val="stacked"/>
        <c:varyColors val="0"/>
        <c:ser>
          <c:idx val="3"/>
          <c:order val="2"/>
          <c:tx>
            <c:strRef>
              <c:f>DataViz!$R$3</c:f>
              <c:strCache>
                <c:ptCount val="1"/>
                <c:pt idx="0">
                  <c:v>Potential expiry</c:v>
                </c:pt>
              </c:strCache>
            </c:strRef>
          </c:tx>
          <c:spPr>
            <a:solidFill>
              <a:schemeClr val="accent5"/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DataViz!$AF$6:$AF$29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A-4990-A008-76B0FFCBBDB0}"/>
            </c:ext>
          </c:extLst>
        </c:ser>
        <c:ser>
          <c:idx val="1"/>
          <c:order val="3"/>
          <c:tx>
            <c:strRef>
              <c:f>DataViz!$O$3</c:f>
              <c:strCache>
                <c:ptCount val="1"/>
                <c:pt idx="0">
                  <c:v>Shipments (received)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DataViz!$O$6:$O$29</c:f>
              <c:numCache>
                <c:formatCode>_-* #,##0_-;\-* #,##0_-;_-* "-"??_-;_-@_-</c:formatCode>
                <c:ptCount val="24"/>
                <c:pt idx="0">
                  <c:v>355300</c:v>
                </c:pt>
                <c:pt idx="1">
                  <c:v>0</c:v>
                </c:pt>
                <c:pt idx="2">
                  <c:v>0</c:v>
                </c:pt>
                <c:pt idx="3">
                  <c:v>302600</c:v>
                </c:pt>
                <c:pt idx="4">
                  <c:v>0</c:v>
                </c:pt>
                <c:pt idx="5">
                  <c:v>206400</c:v>
                </c:pt>
                <c:pt idx="6">
                  <c:v>0</c:v>
                </c:pt>
                <c:pt idx="7">
                  <c:v>1355200</c:v>
                </c:pt>
                <c:pt idx="8">
                  <c:v>0</c:v>
                </c:pt>
                <c:pt idx="9">
                  <c:v>794970</c:v>
                </c:pt>
                <c:pt idx="10">
                  <c:v>1309600</c:v>
                </c:pt>
                <c:pt idx="11">
                  <c:v>561600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200000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A-4990-A008-76B0FFCBBDB0}"/>
            </c:ext>
          </c:extLst>
        </c:ser>
        <c:ser>
          <c:idx val="4"/>
          <c:order val="4"/>
          <c:tx>
            <c:strRef>
              <c:f>DataViz!$P$3</c:f>
              <c:strCache>
                <c:ptCount val="1"/>
                <c:pt idx="0">
                  <c:v>Shipments (ordered)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DataViz!$P$6:$P$29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A-4990-A008-76B0FFCBBDB0}"/>
            </c:ext>
          </c:extLst>
        </c:ser>
        <c:ser>
          <c:idx val="0"/>
          <c:order val="5"/>
          <c:tx>
            <c:strRef>
              <c:f>DataViz!$Z$3</c:f>
              <c:strCache>
                <c:ptCount val="1"/>
                <c:pt idx="0">
                  <c:v>Shipments (Forecasted)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DataViz!$Z$6:$Z$29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A-4990-A008-76B0FFCBB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82402816"/>
        <c:axId val="2082393664"/>
      </c:barChart>
      <c:lineChart>
        <c:grouping val="standard"/>
        <c:varyColors val="0"/>
        <c:ser>
          <c:idx val="2"/>
          <c:order val="0"/>
          <c:tx>
            <c:strRef>
              <c:f>DataViz!$M$3</c:f>
              <c:strCache>
                <c:ptCount val="1"/>
                <c:pt idx="0">
                  <c:v>Total consumption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DataViz!$M$6:$M$29</c:f>
              <c:numCache>
                <c:formatCode>_-* #,##0_-;\-* #,##0_-;_-* "-"??_-;_-@_-</c:formatCode>
                <c:ptCount val="24"/>
                <c:pt idx="0">
                  <c:v>#N/A</c:v>
                </c:pt>
                <c:pt idx="1">
                  <c:v>42445</c:v>
                </c:pt>
                <c:pt idx="2">
                  <c:v>84875</c:v>
                </c:pt>
                <c:pt idx="3">
                  <c:v>69840</c:v>
                </c:pt>
                <c:pt idx="4">
                  <c:v>1653</c:v>
                </c:pt>
                <c:pt idx="5">
                  <c:v>354830</c:v>
                </c:pt>
                <c:pt idx="6">
                  <c:v>282308</c:v>
                </c:pt>
                <c:pt idx="7">
                  <c:v>401575</c:v>
                </c:pt>
                <c:pt idx="8">
                  <c:v>583509</c:v>
                </c:pt>
                <c:pt idx="9">
                  <c:v>196455</c:v>
                </c:pt>
                <c:pt idx="10">
                  <c:v>499668</c:v>
                </c:pt>
                <c:pt idx="11">
                  <c:v>203729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DA-4990-A008-76B0FFCBBDB0}"/>
            </c:ext>
          </c:extLst>
        </c:ser>
        <c:ser>
          <c:idx val="5"/>
          <c:order val="6"/>
          <c:tx>
            <c:strRef>
              <c:f>DataViz!$AC$3</c:f>
              <c:strCache>
                <c:ptCount val="1"/>
                <c:pt idx="0">
                  <c:v>Forecasted Consumption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DataViz!$AC$6:$AC$29</c:f>
              <c:numCache>
                <c:formatCode>_-* #,##0_-;\-* #,##0_-;_-* "-"??_-;_-@_-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400000</c:v>
                </c:pt>
                <c:pt idx="14">
                  <c:v>400000</c:v>
                </c:pt>
                <c:pt idx="15">
                  <c:v>400000</c:v>
                </c:pt>
                <c:pt idx="16">
                  <c:v>400000</c:v>
                </c:pt>
                <c:pt idx="17">
                  <c:v>400000</c:v>
                </c:pt>
                <c:pt idx="18">
                  <c:v>400000</c:v>
                </c:pt>
                <c:pt idx="19">
                  <c:v>400000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DA-4990-A008-76B0FFCBB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402816"/>
        <c:axId val="2082393664"/>
      </c:lineChart>
      <c:lineChart>
        <c:grouping val="standard"/>
        <c:varyColors val="0"/>
        <c:ser>
          <c:idx val="7"/>
          <c:order val="7"/>
          <c:tx>
            <c:v>Est. primary series coverage</c:v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DataViz!$B$6:$B$29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DataViz!$AG$6:$AG$29</c:f>
              <c:numCache>
                <c:formatCode>0%</c:formatCode>
                <c:ptCount val="24"/>
                <c:pt idx="0">
                  <c:v>0</c:v>
                </c:pt>
                <c:pt idx="1">
                  <c:v>8.3333333333333338E-8</c:v>
                </c:pt>
                <c:pt idx="2">
                  <c:v>1.3216666666666667E-5</c:v>
                </c:pt>
                <c:pt idx="3">
                  <c:v>2.0655000000000001E-4</c:v>
                </c:pt>
                <c:pt idx="4">
                  <c:v>2.341E-4</c:v>
                </c:pt>
                <c:pt idx="5">
                  <c:v>1.1479333333333332E-3</c:v>
                </c:pt>
                <c:pt idx="6">
                  <c:v>4.8681333333333333E-3</c:v>
                </c:pt>
                <c:pt idx="7">
                  <c:v>1.1251383333333333E-2</c:v>
                </c:pt>
                <c:pt idx="8">
                  <c:v>1.8994516666666666E-2</c:v>
                </c:pt>
                <c:pt idx="9">
                  <c:v>2.1311316666666667E-2</c:v>
                </c:pt>
                <c:pt idx="10">
                  <c:v>2.6971016666666667E-2</c:v>
                </c:pt>
                <c:pt idx="11">
                  <c:v>2.9492566666666668E-2</c:v>
                </c:pt>
                <c:pt idx="12">
                  <c:v>2.9492566666666668E-2</c:v>
                </c:pt>
                <c:pt idx="13">
                  <c:v>2.9492566666666668E-2</c:v>
                </c:pt>
                <c:pt idx="14">
                  <c:v>3.3492566666666668E-2</c:v>
                </c:pt>
                <c:pt idx="15">
                  <c:v>3.7492566666666664E-2</c:v>
                </c:pt>
                <c:pt idx="16">
                  <c:v>4.1492566666666668E-2</c:v>
                </c:pt>
                <c:pt idx="17">
                  <c:v>4.5492566666666664E-2</c:v>
                </c:pt>
                <c:pt idx="18">
                  <c:v>4.9492566666666668E-2</c:v>
                </c:pt>
                <c:pt idx="19">
                  <c:v>5.3492566666666665E-2</c:v>
                </c:pt>
                <c:pt idx="20">
                  <c:v>5.7492566666666668E-2</c:v>
                </c:pt>
                <c:pt idx="21">
                  <c:v>5.7492566666666668E-2</c:v>
                </c:pt>
                <c:pt idx="22">
                  <c:v>5.7492566666666668E-2</c:v>
                </c:pt>
                <c:pt idx="23">
                  <c:v>5.7492566666666668E-2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4-4D80-9458-7AA94115B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331312"/>
        <c:axId val="559322784"/>
      </c:lineChart>
      <c:dateAx>
        <c:axId val="20824028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93664"/>
        <c:crosses val="autoZero"/>
        <c:auto val="1"/>
        <c:lblOffset val="100"/>
        <c:baseTimeUnit val="months"/>
      </c:dateAx>
      <c:valAx>
        <c:axId val="20823936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Doses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40281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valAx>
        <c:axId val="5593227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Est. % of adults covered with primary series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331312"/>
        <c:crosses val="max"/>
        <c:crossBetween val="between"/>
      </c:valAx>
      <c:dateAx>
        <c:axId val="5593313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5932278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4">
          <a:lumMod val="20000"/>
          <a:lumOff val="8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DataViz!$E$71</c:f>
              <c:strCache>
                <c:ptCount val="1"/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DataViz!$E$72:$E$95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2-4AA0-809F-F9587F6406A3}"/>
            </c:ext>
          </c:extLst>
        </c:ser>
        <c:ser>
          <c:idx val="1"/>
          <c:order val="1"/>
          <c:tx>
            <c:strRef>
              <c:f>DataViz!$F$71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DataViz!$F$72:$F$95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2-4AA0-809F-F9587F6406A3}"/>
            </c:ext>
          </c:extLst>
        </c:ser>
        <c:ser>
          <c:idx val="2"/>
          <c:order val="2"/>
          <c:tx>
            <c:strRef>
              <c:f>DataViz!$G$71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DataViz!$G$72:$G$95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02-4AA0-809F-F9587F6406A3}"/>
            </c:ext>
          </c:extLst>
        </c:ser>
        <c:ser>
          <c:idx val="3"/>
          <c:order val="3"/>
          <c:tx>
            <c:strRef>
              <c:f>DataViz!$H$71</c:f>
              <c:strCache>
                <c:ptCount val="1"/>
                <c:pt idx="0">
                  <c:v>Pfizer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DataViz!$H$95:$H$724</c:f>
              <c:numCache>
                <c:formatCode>General</c:formatCode>
                <c:ptCount val="630"/>
                <c:pt idx="0" formatCode="_-* #,##0_-;\-* #,##0_-;_-* &quot;-&quot;??_-;_-@_-">
                  <c:v>0</c:v>
                </c:pt>
                <c:pt idx="60">
                  <c:v>0</c:v>
                </c:pt>
                <c:pt idx="61" formatCode="#,##0">
                  <c:v>0</c:v>
                </c:pt>
                <c:pt idx="62" formatCode="#,##0">
                  <c:v>0</c:v>
                </c:pt>
                <c:pt idx="63" formatCode="#,##0">
                  <c:v>0</c:v>
                </c:pt>
                <c:pt idx="64" formatCode="#,##0">
                  <c:v>0</c:v>
                </c:pt>
                <c:pt idx="65" formatCode="#,##0">
                  <c:v>0</c:v>
                </c:pt>
                <c:pt idx="66" formatCode="#,##0">
                  <c:v>0</c:v>
                </c:pt>
                <c:pt idx="67" formatCode="#,##0">
                  <c:v>0</c:v>
                </c:pt>
                <c:pt idx="68" formatCode="#,##0">
                  <c:v>0</c:v>
                </c:pt>
                <c:pt idx="69" formatCode="#,##0">
                  <c:v>0</c:v>
                </c:pt>
                <c:pt idx="70" formatCode="#,##0">
                  <c:v>36946</c:v>
                </c:pt>
                <c:pt idx="71" formatCode="#,##0">
                  <c:v>260991</c:v>
                </c:pt>
                <c:pt idx="72" formatCode="#,##0">
                  <c:v>288432</c:v>
                </c:pt>
                <c:pt idx="73" formatCode="#,##0">
                  <c:v>288432</c:v>
                </c:pt>
                <c:pt idx="74" formatCode="#,##0">
                  <c:v>288432</c:v>
                </c:pt>
                <c:pt idx="75" formatCode="#,##0">
                  <c:v>288432</c:v>
                </c:pt>
                <c:pt idx="76" formatCode="#,##0">
                  <c:v>288432</c:v>
                </c:pt>
                <c:pt idx="77" formatCode="#,##0">
                  <c:v>288432</c:v>
                </c:pt>
                <c:pt idx="78" formatCode="#,##0">
                  <c:v>288432</c:v>
                </c:pt>
                <c:pt idx="79" formatCode="#,##0">
                  <c:v>288432</c:v>
                </c:pt>
                <c:pt idx="80" formatCode="#,##0">
                  <c:v>288432</c:v>
                </c:pt>
                <c:pt idx="81" formatCode="#,##0">
                  <c:v>288432</c:v>
                </c:pt>
                <c:pt idx="82" formatCode="#,##0">
                  <c:v>288432</c:v>
                </c:pt>
                <c:pt idx="83" formatCode="#,##0">
                  <c:v>288432</c:v>
                </c:pt>
                <c:pt idx="84" formatCode="#,##0">
                  <c:v>288432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02-4AA0-809F-F9587F6406A3}"/>
            </c:ext>
          </c:extLst>
        </c:ser>
        <c:ser>
          <c:idx val="4"/>
          <c:order val="4"/>
          <c:tx>
            <c:strRef>
              <c:f>DataViz!$I$71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DataViz!$I$72:$I$95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02-4AA0-809F-F9587F6406A3}"/>
            </c:ext>
          </c:extLst>
        </c:ser>
        <c:ser>
          <c:idx val="5"/>
          <c:order val="5"/>
          <c:tx>
            <c:strRef>
              <c:f>DataViz!$J$71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DataViz!$J$72:$J$95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02-4AA0-809F-F9587F6406A3}"/>
            </c:ext>
          </c:extLst>
        </c:ser>
        <c:ser>
          <c:idx val="6"/>
          <c:order val="6"/>
          <c:tx>
            <c:strRef>
              <c:f>DataViz!$K$71</c:f>
              <c:strCache>
                <c:ptCount val="1"/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DataViz!$K$72:$K$95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02-4AA0-809F-F9587F6406A3}"/>
            </c:ext>
          </c:extLst>
        </c:ser>
        <c:ser>
          <c:idx val="7"/>
          <c:order val="7"/>
          <c:tx>
            <c:strRef>
              <c:f>DataViz!$L$71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DataViz!$L$72:$L$95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02-4AA0-809F-F9587F6406A3}"/>
            </c:ext>
          </c:extLst>
        </c:ser>
        <c:ser>
          <c:idx val="8"/>
          <c:order val="8"/>
          <c:tx>
            <c:strRef>
              <c:f>DataViz!$M$71</c:f>
              <c:strCache>
                <c:ptCount val="1"/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DataViz!$M$72:$M$95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02-4AA0-809F-F9587F6406A3}"/>
            </c:ext>
          </c:extLst>
        </c:ser>
        <c:ser>
          <c:idx val="9"/>
          <c:order val="9"/>
          <c:tx>
            <c:strRef>
              <c:f>DataViz!$N$71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DataViz!$N$72:$N$95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02-4AA0-809F-F9587F6406A3}"/>
            </c:ext>
          </c:extLst>
        </c:ser>
        <c:ser>
          <c:idx val="10"/>
          <c:order val="10"/>
          <c:tx>
            <c:strRef>
              <c:f>DataViz!$O$71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DataViz!$O$72:$O$95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02-4AA0-809F-F9587F6406A3}"/>
            </c:ext>
          </c:extLst>
        </c:ser>
        <c:ser>
          <c:idx val="11"/>
          <c:order val="11"/>
          <c:tx>
            <c:strRef>
              <c:f>DataViz!$P$71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DataViz!$P$72:$P$95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02-4AA0-809F-F9587F6406A3}"/>
            </c:ext>
          </c:extLst>
        </c:ser>
        <c:ser>
          <c:idx val="12"/>
          <c:order val="12"/>
          <c:tx>
            <c:strRef>
              <c:f>DataViz!$Q$71</c:f>
              <c:strCache>
                <c:ptCount val="1"/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DataViz!$Q$72:$Q$95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02-4AA0-809F-F9587F6406A3}"/>
            </c:ext>
          </c:extLst>
        </c:ser>
        <c:ser>
          <c:idx val="13"/>
          <c:order val="13"/>
          <c:tx>
            <c:strRef>
              <c:f>DataViz!$R$71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DataViz!$R$72:$R$95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02-4AA0-809F-F9587F6406A3}"/>
            </c:ext>
          </c:extLst>
        </c:ser>
        <c:ser>
          <c:idx val="14"/>
          <c:order val="14"/>
          <c:tx>
            <c:strRef>
              <c:f>DataViz!$S$71</c:f>
              <c:strCache>
                <c:ptCount val="1"/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DataViz!$B$72:$B$95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DataViz!$S$72:$S$95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02-4AA0-809F-F9587F6406A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29696607"/>
        <c:axId val="29699103"/>
      </c:barChart>
      <c:dateAx>
        <c:axId val="2969660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99103"/>
        <c:crosses val="autoZero"/>
        <c:auto val="1"/>
        <c:lblOffset val="100"/>
        <c:baseTimeUnit val="months"/>
      </c:dateAx>
      <c:valAx>
        <c:axId val="2969910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Doses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96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4">
          <a:lumMod val="20000"/>
          <a:lumOff val="80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DataViz!$AO$105</c:f>
              <c:strCache>
                <c:ptCount val="1"/>
                <c:pt idx="0">
                  <c:v>Transfer 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DataViz!$AP$104:$BM$104</c:f>
              <c:numCache>
                <c:formatCode>[$-409]mmm\-yy;@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DataViz!$AP$105:$BM$105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1-462D-9C0D-FB4F981ABF37}"/>
            </c:ext>
          </c:extLst>
        </c:ser>
        <c:ser>
          <c:idx val="1"/>
          <c:order val="1"/>
          <c:tx>
            <c:strRef>
              <c:f>DataViz!$AO$106</c:f>
              <c:strCache>
                <c:ptCount val="1"/>
                <c:pt idx="0">
                  <c:v>Transfer out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DataViz!$AP$104:$BM$104</c:f>
              <c:numCache>
                <c:formatCode>[$-409]mmm\-yy;@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DataViz!$AP$106:$BM$106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1-462D-9C0D-FB4F981ABF37}"/>
            </c:ext>
          </c:extLst>
        </c:ser>
        <c:ser>
          <c:idx val="2"/>
          <c:order val="2"/>
          <c:tx>
            <c:strRef>
              <c:f>DataViz!$AO$107</c:f>
              <c:strCache>
                <c:ptCount val="1"/>
                <c:pt idx="0">
                  <c:v>Expiry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DataViz!$AP$104:$BM$104</c:f>
              <c:numCache>
                <c:formatCode>[$-409]mmm\-yy;@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DataViz!$AP$107:$BM$107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193140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128057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D1-462D-9C0D-FB4F981ABF37}"/>
            </c:ext>
          </c:extLst>
        </c:ser>
        <c:ser>
          <c:idx val="3"/>
          <c:order val="3"/>
          <c:tx>
            <c:strRef>
              <c:f>DataViz!$AO$108</c:f>
              <c:strCache>
                <c:ptCount val="1"/>
                <c:pt idx="0">
                  <c:v>Cold chain breach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DataViz!$AP$104:$BM$104</c:f>
              <c:numCache>
                <c:formatCode>[$-409]mmm\-yy;@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DataViz!$AP$108:$BM$108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D1-462D-9C0D-FB4F981ABF37}"/>
            </c:ext>
          </c:extLst>
        </c:ser>
        <c:ser>
          <c:idx val="4"/>
          <c:order val="4"/>
          <c:tx>
            <c:strRef>
              <c:f>DataViz!$AO$109</c:f>
              <c:strCache>
                <c:ptCount val="1"/>
                <c:pt idx="0">
                  <c:v>Damage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DataViz!$AP$104:$BM$104</c:f>
              <c:numCache>
                <c:formatCode>[$-409]mmm\-yy;@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DataViz!$AP$109:$BM$109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D1-462D-9C0D-FB4F981ABF37}"/>
            </c:ext>
          </c:extLst>
        </c:ser>
        <c:ser>
          <c:idx val="5"/>
          <c:order val="5"/>
          <c:tx>
            <c:v>Outreach session discard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DataViz!$AP$104:$BM$104</c:f>
              <c:numCache>
                <c:formatCode>[$-409]mmm\-yy;@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DataViz!$AP$110:$BM$110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D1-462D-9C0D-FB4F981ABF37}"/>
            </c:ext>
          </c:extLst>
        </c:ser>
        <c:ser>
          <c:idx val="6"/>
          <c:order val="6"/>
          <c:tx>
            <c:strRef>
              <c:f>DataViz!$AO$111</c:f>
              <c:strCache>
                <c:ptCount val="1"/>
                <c:pt idx="0">
                  <c:v>Counting or data entry error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DataViz!$AP$111:$BM$111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7-497E-B403-845AF0631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4555432"/>
        <c:axId val="634557728"/>
      </c:barChart>
      <c:dateAx>
        <c:axId val="634555432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557728"/>
        <c:crosses val="autoZero"/>
        <c:auto val="1"/>
        <c:lblOffset val="100"/>
        <c:baseTimeUnit val="months"/>
      </c:dateAx>
      <c:valAx>
        <c:axId val="6345577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Adjustment Quantities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555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DataViz!$E$34:$E$35</c:f>
              <c:strCache>
                <c:ptCount val="2"/>
                <c:pt idx="0">
                  <c:v>AstraZeneca</c:v>
                </c:pt>
                <c:pt idx="1">
                  <c:v>Dose 1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DataViz!$E$39:$E$62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42440</c:v>
                </c:pt>
                <c:pt idx="2">
                  <c:v>84087</c:v>
                </c:pt>
                <c:pt idx="3">
                  <c:v>58240</c:v>
                </c:pt>
                <c:pt idx="4">
                  <c:v>0</c:v>
                </c:pt>
                <c:pt idx="5">
                  <c:v>300000</c:v>
                </c:pt>
                <c:pt idx="6">
                  <c:v>59096</c:v>
                </c:pt>
                <c:pt idx="7">
                  <c:v>17980</c:v>
                </c:pt>
                <c:pt idx="8">
                  <c:v>118681</c:v>
                </c:pt>
                <c:pt idx="9">
                  <c:v>16408</c:v>
                </c:pt>
                <c:pt idx="10">
                  <c:v>25000</c:v>
                </c:pt>
                <c:pt idx="11">
                  <c:v>25000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0F-40CB-940B-BF2AEF91B36E}"/>
            </c:ext>
          </c:extLst>
        </c:ser>
        <c:ser>
          <c:idx val="2"/>
          <c:order val="1"/>
          <c:tx>
            <c:strRef>
              <c:f>DataViz!$F$34:$F$35</c:f>
              <c:strCache>
                <c:ptCount val="2"/>
                <c:pt idx="0">
                  <c:v>AstraZeneca</c:v>
                </c:pt>
                <c:pt idx="1">
                  <c:v>Dose 2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DataViz!$F$39:$F$62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5</c:v>
                </c:pt>
                <c:pt idx="2">
                  <c:v>788</c:v>
                </c:pt>
                <c:pt idx="3">
                  <c:v>11600</c:v>
                </c:pt>
                <c:pt idx="4">
                  <c:v>0</c:v>
                </c:pt>
                <c:pt idx="5">
                  <c:v>0</c:v>
                </c:pt>
                <c:pt idx="6">
                  <c:v>56984</c:v>
                </c:pt>
                <c:pt idx="7">
                  <c:v>18374</c:v>
                </c:pt>
                <c:pt idx="8">
                  <c:v>67691</c:v>
                </c:pt>
                <c:pt idx="9">
                  <c:v>1378</c:v>
                </c:pt>
                <c:pt idx="10">
                  <c:v>3600</c:v>
                </c:pt>
                <c:pt idx="11">
                  <c:v>3600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F-40CB-940B-BF2AEF91B36E}"/>
            </c:ext>
          </c:extLst>
        </c:ser>
        <c:ser>
          <c:idx val="3"/>
          <c:order val="2"/>
          <c:tx>
            <c:strRef>
              <c:f>DataViz!$G$34:$G$35</c:f>
              <c:strCache>
                <c:ptCount val="2"/>
                <c:pt idx="0">
                  <c:v>AstraZeneca</c:v>
                </c:pt>
                <c:pt idx="1">
                  <c:v>Additional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DataViz!$G$39:$G$62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F-40CB-940B-BF2AEF91B36E}"/>
            </c:ext>
          </c:extLst>
        </c:ser>
        <c:ser>
          <c:idx val="4"/>
          <c:order val="3"/>
          <c:tx>
            <c:strRef>
              <c:f>DataViz!$H$34:$H$35</c:f>
              <c:strCache>
                <c:ptCount val="2"/>
                <c:pt idx="0">
                  <c:v>AstraZeneca</c:v>
                </c:pt>
                <c:pt idx="1">
                  <c:v>Wastage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DataViz!$H$39:$H$62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4250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F-40CB-940B-BF2AEF91B36E}"/>
            </c:ext>
          </c:extLst>
        </c:ser>
        <c:ser>
          <c:idx val="5"/>
          <c:order val="4"/>
          <c:tx>
            <c:strRef>
              <c:f>DataViz!$I$34:$I$35</c:f>
              <c:strCache>
                <c:ptCount val="2"/>
                <c:pt idx="0">
                  <c:v>Jansen</c:v>
                </c:pt>
                <c:pt idx="1">
                  <c:v>Dose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DataViz!$I$39:$I$62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1653</c:v>
                </c:pt>
                <c:pt idx="5">
                  <c:v>54830</c:v>
                </c:pt>
                <c:pt idx="6">
                  <c:v>166228</c:v>
                </c:pt>
                <c:pt idx="7">
                  <c:v>364621</c:v>
                </c:pt>
                <c:pt idx="8">
                  <c:v>396897</c:v>
                </c:pt>
                <c:pt idx="9">
                  <c:v>135563</c:v>
                </c:pt>
                <c:pt idx="10">
                  <c:v>246789</c:v>
                </c:pt>
                <c:pt idx="11">
                  <c:v>133978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0F-40CB-940B-BF2AEF91B36E}"/>
            </c:ext>
          </c:extLst>
        </c:ser>
        <c:ser>
          <c:idx val="7"/>
          <c:order val="5"/>
          <c:tx>
            <c:strRef>
              <c:f>DataViz!$K$34:$K$35</c:f>
              <c:strCache>
                <c:ptCount val="2"/>
                <c:pt idx="0">
                  <c:v>Jansen</c:v>
                </c:pt>
                <c:pt idx="1">
                  <c:v>Additional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DataViz!$K$39:$K$62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0F-40CB-940B-BF2AEF91B36E}"/>
            </c:ext>
          </c:extLst>
        </c:ser>
        <c:ser>
          <c:idx val="8"/>
          <c:order val="6"/>
          <c:tx>
            <c:strRef>
              <c:f>DataViz!$L$34:$L$35</c:f>
              <c:strCache>
                <c:ptCount val="2"/>
                <c:pt idx="0">
                  <c:v>Jansen</c:v>
                </c:pt>
                <c:pt idx="1">
                  <c:v>Wastage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DataViz!$L$39:$L$62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</c:v>
                </c:pt>
                <c:pt idx="8">
                  <c:v>240</c:v>
                </c:pt>
                <c:pt idx="9">
                  <c:v>760</c:v>
                </c:pt>
                <c:pt idx="10">
                  <c:v>234</c:v>
                </c:pt>
                <c:pt idx="11">
                  <c:v>560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0F-40CB-940B-BF2AEF91B36E}"/>
            </c:ext>
          </c:extLst>
        </c:ser>
        <c:ser>
          <c:idx val="9"/>
          <c:order val="7"/>
          <c:tx>
            <c:strRef>
              <c:f>DataViz!$M$34:$M$35</c:f>
              <c:strCache>
                <c:ptCount val="2"/>
                <c:pt idx="0">
                  <c:v>Moderna</c:v>
                </c:pt>
                <c:pt idx="1">
                  <c:v>Dose 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DataViz!$M$39:$M$62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0F-40CB-940B-BF2AEF91B36E}"/>
            </c:ext>
          </c:extLst>
        </c:ser>
        <c:ser>
          <c:idx val="10"/>
          <c:order val="8"/>
          <c:tx>
            <c:strRef>
              <c:f>DataViz!$N$34:$N$35</c:f>
              <c:strCache>
                <c:ptCount val="2"/>
                <c:pt idx="0">
                  <c:v>Moderna</c:v>
                </c:pt>
                <c:pt idx="1">
                  <c:v>Dose 2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DataViz!$N$39:$N$62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0F-40CB-940B-BF2AEF91B36E}"/>
            </c:ext>
          </c:extLst>
        </c:ser>
        <c:ser>
          <c:idx val="11"/>
          <c:order val="9"/>
          <c:tx>
            <c:strRef>
              <c:f>DataViz!$O$34:$O$35</c:f>
              <c:strCache>
                <c:ptCount val="2"/>
                <c:pt idx="0">
                  <c:v>Moderna</c:v>
                </c:pt>
                <c:pt idx="1">
                  <c:v>Additional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DataViz!$O$39:$O$62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0F-40CB-940B-BF2AEF91B36E}"/>
            </c:ext>
          </c:extLst>
        </c:ser>
        <c:ser>
          <c:idx val="12"/>
          <c:order val="10"/>
          <c:tx>
            <c:strRef>
              <c:f>DataViz!$P$34:$P$35</c:f>
              <c:strCache>
                <c:ptCount val="2"/>
                <c:pt idx="0">
                  <c:v>Moderna</c:v>
                </c:pt>
                <c:pt idx="1">
                  <c:v>Wastage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DataViz!$P$39:$P$62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5400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0F-40CB-940B-BF2AEF91B36E}"/>
            </c:ext>
          </c:extLst>
        </c:ser>
        <c:ser>
          <c:idx val="13"/>
          <c:order val="11"/>
          <c:tx>
            <c:strRef>
              <c:f>DataViz!$Q$34:$Q$35</c:f>
              <c:strCache>
                <c:ptCount val="2"/>
                <c:pt idx="0">
                  <c:v>Pfizer</c:v>
                </c:pt>
                <c:pt idx="1">
                  <c:v>Dose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DataViz!$Q$39:$Q$62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34679</c:v>
                </c:pt>
                <c:pt idx="10">
                  <c:v>131844</c:v>
                </c:pt>
                <c:pt idx="11">
                  <c:v>14983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20F-40CB-940B-BF2AEF91B36E}"/>
            </c:ext>
          </c:extLst>
        </c:ser>
        <c:ser>
          <c:idx val="14"/>
          <c:order val="12"/>
          <c:tx>
            <c:strRef>
              <c:f>DataViz!$R$34:$R$35</c:f>
              <c:strCache>
                <c:ptCount val="2"/>
                <c:pt idx="0">
                  <c:v>Pfizer</c:v>
                </c:pt>
                <c:pt idx="1">
                  <c:v>Dose 2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DataViz!$R$39:$R$62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2067</c:v>
                </c:pt>
                <c:pt idx="10">
                  <c:v>89193</c:v>
                </c:pt>
                <c:pt idx="11">
                  <c:v>4815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0F-40CB-940B-BF2AEF91B36E}"/>
            </c:ext>
          </c:extLst>
        </c:ser>
        <c:ser>
          <c:idx val="15"/>
          <c:order val="13"/>
          <c:tx>
            <c:strRef>
              <c:f>DataViz!$S$34:$S$35</c:f>
              <c:strCache>
                <c:ptCount val="2"/>
                <c:pt idx="0">
                  <c:v>Pfizer</c:v>
                </c:pt>
                <c:pt idx="1">
                  <c:v>Additional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DataViz!$S$39:$S$62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20F-40CB-940B-BF2AEF91B36E}"/>
            </c:ext>
          </c:extLst>
        </c:ser>
        <c:ser>
          <c:idx val="16"/>
          <c:order val="14"/>
          <c:tx>
            <c:strRef>
              <c:f>DataViz!$T$34:$T$35</c:f>
              <c:strCache>
                <c:ptCount val="2"/>
                <c:pt idx="0">
                  <c:v>Pfizer</c:v>
                </c:pt>
                <c:pt idx="1">
                  <c:v>Wastage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DataViz!$T$39:$T$62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200</c:v>
                </c:pt>
                <c:pt idx="10">
                  <c:v>3008</c:v>
                </c:pt>
                <c:pt idx="11">
                  <c:v>7643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20F-40CB-940B-BF2AEF91B36E}"/>
            </c:ext>
          </c:extLst>
        </c:ser>
        <c:ser>
          <c:idx val="0"/>
          <c:order val="15"/>
          <c:tx>
            <c:strRef>
              <c:f>DataViz!$U$34:$U$35</c:f>
              <c:strCache>
                <c:ptCount val="2"/>
                <c:pt idx="0">
                  <c:v>Sinovac</c:v>
                </c:pt>
                <c:pt idx="1">
                  <c:v>Dose 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DataViz!$U$39:$U$62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F-42DF-92A0-9345E67C8F11}"/>
            </c:ext>
          </c:extLst>
        </c:ser>
        <c:ser>
          <c:idx val="17"/>
          <c:order val="16"/>
          <c:tx>
            <c:strRef>
              <c:f>DataViz!$V$34:$V$35</c:f>
              <c:strCache>
                <c:ptCount val="2"/>
                <c:pt idx="0">
                  <c:v>Sinovac</c:v>
                </c:pt>
                <c:pt idx="1">
                  <c:v>Dose 2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DataViz!$V$39:$V$62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BF-42DF-92A0-9345E67C8F11}"/>
            </c:ext>
          </c:extLst>
        </c:ser>
        <c:ser>
          <c:idx val="18"/>
          <c:order val="17"/>
          <c:tx>
            <c:strRef>
              <c:f>DataViz!$W$34:$W$35</c:f>
              <c:strCache>
                <c:ptCount val="2"/>
                <c:pt idx="0">
                  <c:v>Sinovac</c:v>
                </c:pt>
                <c:pt idx="1">
                  <c:v>Additional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DataViz!$W$39:$W$62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BF-42DF-92A0-9345E67C8F11}"/>
            </c:ext>
          </c:extLst>
        </c:ser>
        <c:ser>
          <c:idx val="19"/>
          <c:order val="18"/>
          <c:tx>
            <c:strRef>
              <c:f>DataViz!$X$34:$X$35</c:f>
              <c:strCache>
                <c:ptCount val="2"/>
                <c:pt idx="0">
                  <c:v>Sinovac</c:v>
                </c:pt>
                <c:pt idx="1">
                  <c:v>Wastage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DataViz!$X$39:$X$62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BF-42DF-92A0-9345E67C8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49754856"/>
        <c:axId val="549752232"/>
      </c:barChart>
      <c:lineChart>
        <c:grouping val="standard"/>
        <c:varyColors val="0"/>
        <c:ser>
          <c:idx val="20"/>
          <c:order val="20"/>
          <c:tx>
            <c:strRef>
              <c:f>DataViz!$AJ$155</c:f>
              <c:strCache>
                <c:ptCount val="1"/>
                <c:pt idx="0">
                  <c:v>Sum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DataViz!$AJ$156:$AJ$179</c:f>
              <c:numCache>
                <c:formatCode>_-* #,##0_-;\-* #,##0_-;_-* "-"??_-;_-@_-</c:formatCode>
                <c:ptCount val="24"/>
                <c:pt idx="0">
                  <c:v>#N/A</c:v>
                </c:pt>
                <c:pt idx="1">
                  <c:v>42445</c:v>
                </c:pt>
                <c:pt idx="2">
                  <c:v>84875</c:v>
                </c:pt>
                <c:pt idx="3">
                  <c:v>69840</c:v>
                </c:pt>
                <c:pt idx="4">
                  <c:v>1653</c:v>
                </c:pt>
                <c:pt idx="5">
                  <c:v>354830</c:v>
                </c:pt>
                <c:pt idx="6">
                  <c:v>282308</c:v>
                </c:pt>
                <c:pt idx="7">
                  <c:v>401575</c:v>
                </c:pt>
                <c:pt idx="8">
                  <c:v>583509</c:v>
                </c:pt>
                <c:pt idx="9">
                  <c:v>196455</c:v>
                </c:pt>
                <c:pt idx="10">
                  <c:v>499668</c:v>
                </c:pt>
                <c:pt idx="11">
                  <c:v>203729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8-461C-A0C5-E9F8AF2F0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754856"/>
        <c:axId val="549752232"/>
      </c:lineChart>
      <c:lineChart>
        <c:grouping val="standard"/>
        <c:varyColors val="0"/>
        <c:ser>
          <c:idx val="6"/>
          <c:order val="19"/>
          <c:tx>
            <c:strRef>
              <c:f>DataViz!$D$155</c:f>
              <c:strCache>
                <c:ptCount val="1"/>
                <c:pt idx="0">
                  <c:v>Est. primary series coverage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DataViz!$B$156:$B$179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DataViz!$D$156:$D$179</c:f>
              <c:numCache>
                <c:formatCode>0%</c:formatCode>
                <c:ptCount val="24"/>
                <c:pt idx="0">
                  <c:v>0</c:v>
                </c:pt>
                <c:pt idx="1">
                  <c:v>8.3333333333333338E-8</c:v>
                </c:pt>
                <c:pt idx="2">
                  <c:v>1.3216666666666667E-5</c:v>
                </c:pt>
                <c:pt idx="3">
                  <c:v>2.0655000000000001E-4</c:v>
                </c:pt>
                <c:pt idx="4">
                  <c:v>2.341E-4</c:v>
                </c:pt>
                <c:pt idx="5">
                  <c:v>1.1479333333333332E-3</c:v>
                </c:pt>
                <c:pt idx="6">
                  <c:v>4.8681333333333333E-3</c:v>
                </c:pt>
                <c:pt idx="7">
                  <c:v>1.1251383333333333E-2</c:v>
                </c:pt>
                <c:pt idx="8">
                  <c:v>1.8994516666666666E-2</c:v>
                </c:pt>
                <c:pt idx="9">
                  <c:v>2.1311316666666667E-2</c:v>
                </c:pt>
                <c:pt idx="10">
                  <c:v>2.6971016666666667E-2</c:v>
                </c:pt>
                <c:pt idx="11">
                  <c:v>2.9492566666666668E-2</c:v>
                </c:pt>
                <c:pt idx="12">
                  <c:v>2.9492566666666668E-2</c:v>
                </c:pt>
                <c:pt idx="13">
                  <c:v>2.9492566666666668E-2</c:v>
                </c:pt>
                <c:pt idx="14">
                  <c:v>2.9492566666666668E-2</c:v>
                </c:pt>
                <c:pt idx="15">
                  <c:v>2.9492566666666668E-2</c:v>
                </c:pt>
                <c:pt idx="16">
                  <c:v>2.9492566666666668E-2</c:v>
                </c:pt>
                <c:pt idx="17">
                  <c:v>2.9492566666666668E-2</c:v>
                </c:pt>
                <c:pt idx="18">
                  <c:v>2.9492566666666668E-2</c:v>
                </c:pt>
                <c:pt idx="19">
                  <c:v>2.9492566666666668E-2</c:v>
                </c:pt>
                <c:pt idx="20">
                  <c:v>2.9492566666666668E-2</c:v>
                </c:pt>
                <c:pt idx="21">
                  <c:v>2.9492566666666668E-2</c:v>
                </c:pt>
                <c:pt idx="22">
                  <c:v>2.9492566666666668E-2</c:v>
                </c:pt>
                <c:pt idx="23">
                  <c:v>2.9492566666666668E-2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BF-42DF-92A0-9345E67C8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750920"/>
        <c:axId val="549750592"/>
      </c:lineChart>
      <c:dateAx>
        <c:axId val="5497548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752232"/>
        <c:crosses val="autoZero"/>
        <c:auto val="1"/>
        <c:lblOffset val="100"/>
        <c:baseTimeUnit val="months"/>
      </c:dateAx>
      <c:valAx>
        <c:axId val="549752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Doses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754856"/>
        <c:crosses val="autoZero"/>
        <c:crossBetween val="between"/>
      </c:valAx>
      <c:valAx>
        <c:axId val="54975059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Est. % of adults covered with primary series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750920"/>
        <c:crosses val="max"/>
        <c:crossBetween val="between"/>
      </c:valAx>
      <c:dateAx>
        <c:axId val="54975092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4975059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1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5</xdr:row>
      <xdr:rowOff>133349</xdr:rowOff>
    </xdr:from>
    <xdr:to>
      <xdr:col>6</xdr:col>
      <xdr:colOff>295275</xdr:colOff>
      <xdr:row>13</xdr:row>
      <xdr:rowOff>28574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171575" y="1085849"/>
          <a:ext cx="3324225" cy="1419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 b="1">
              <a:solidFill>
                <a:schemeClr val="accent1"/>
              </a:solidFill>
              <a:latin typeface="Roboto" panose="02000000000000000000" pitchFamily="2" charset="0"/>
              <a:ea typeface="Roboto" panose="02000000000000000000" pitchFamily="2" charset="0"/>
            </a:rPr>
            <a:t>COVID-19</a:t>
          </a:r>
          <a:r>
            <a:rPr lang="en-US" sz="2400" b="1" baseline="0">
              <a:solidFill>
                <a:schemeClr val="accent1"/>
              </a:solidFill>
              <a:latin typeface="Roboto" panose="02000000000000000000" pitchFamily="2" charset="0"/>
              <a:ea typeface="Roboto" panose="02000000000000000000" pitchFamily="2" charset="0"/>
            </a:rPr>
            <a:t> Vaccines</a:t>
          </a:r>
        </a:p>
        <a:p>
          <a:pPr algn="ctr"/>
          <a:r>
            <a:rPr lang="en-US" sz="2400" b="1" baseline="0">
              <a:solidFill>
                <a:srgbClr val="31AEE4"/>
              </a:solidFill>
              <a:latin typeface="Roboto" panose="02000000000000000000" pitchFamily="2" charset="0"/>
              <a:ea typeface="Roboto" panose="02000000000000000000" pitchFamily="2" charset="0"/>
            </a:rPr>
            <a:t>Collaborative</a:t>
          </a:r>
          <a:r>
            <a:rPr lang="en-US" sz="2400" b="1" baseline="0">
              <a:solidFill>
                <a:schemeClr val="accent1"/>
              </a:solidFill>
              <a:latin typeface="Roboto" panose="02000000000000000000" pitchFamily="2" charset="0"/>
              <a:ea typeface="Roboto" panose="02000000000000000000" pitchFamily="2" charset="0"/>
            </a:rPr>
            <a:t> Supply Planning Outlook</a:t>
          </a:r>
          <a:endParaRPr lang="en-US" sz="2400" b="1">
            <a:solidFill>
              <a:schemeClr val="accent1"/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  <xdr:twoCellAnchor editAs="oneCell">
    <xdr:from>
      <xdr:col>4</xdr:col>
      <xdr:colOff>245377</xdr:colOff>
      <xdr:row>8</xdr:row>
      <xdr:rowOff>136072</xdr:rowOff>
    </xdr:from>
    <xdr:to>
      <xdr:col>8</xdr:col>
      <xdr:colOff>418452</xdr:colOff>
      <xdr:row>19</xdr:row>
      <xdr:rowOff>56773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C57F19-7241-EFA9-95A7-460C76B0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229" y="1691174"/>
          <a:ext cx="2622361" cy="2058966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204106</xdr:colOff>
      <xdr:row>0</xdr:row>
      <xdr:rowOff>68035</xdr:rowOff>
    </xdr:from>
    <xdr:to>
      <xdr:col>8</xdr:col>
      <xdr:colOff>32113</xdr:colOff>
      <xdr:row>3</xdr:row>
      <xdr:rowOff>3886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42051DC-2A22-409E-9AF1-926A40435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6" y="68035"/>
          <a:ext cx="5261145" cy="5151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357187</xdr:colOff>
      <xdr:row>0</xdr:row>
      <xdr:rowOff>23813</xdr:rowOff>
    </xdr:from>
    <xdr:to>
      <xdr:col>14</xdr:col>
      <xdr:colOff>516663</xdr:colOff>
      <xdr:row>1</xdr:row>
      <xdr:rowOff>71438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3F67C1F-2288-4096-80E1-AFA5D2428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23813"/>
          <a:ext cx="4215538" cy="412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20545</xdr:colOff>
      <xdr:row>54</xdr:row>
      <xdr:rowOff>185830</xdr:rowOff>
    </xdr:from>
    <xdr:to>
      <xdr:col>33</xdr:col>
      <xdr:colOff>23812</xdr:colOff>
      <xdr:row>74</xdr:row>
      <xdr:rowOff>85289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14944</xdr:colOff>
      <xdr:row>35</xdr:row>
      <xdr:rowOff>52917</xdr:rowOff>
    </xdr:from>
    <xdr:to>
      <xdr:col>32</xdr:col>
      <xdr:colOff>631031</xdr:colOff>
      <xdr:row>51</xdr:row>
      <xdr:rowOff>52916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32374</xdr:colOff>
      <xdr:row>54</xdr:row>
      <xdr:rowOff>134471</xdr:rowOff>
    </xdr:from>
    <xdr:to>
      <xdr:col>49</xdr:col>
      <xdr:colOff>23814</xdr:colOff>
      <xdr:row>74</xdr:row>
      <xdr:rowOff>7162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21166</xdr:colOff>
      <xdr:row>35</xdr:row>
      <xdr:rowOff>31751</xdr:rowOff>
    </xdr:from>
    <xdr:to>
      <xdr:col>49</xdr:col>
      <xdr:colOff>35719</xdr:colOff>
      <xdr:row>51</xdr:row>
      <xdr:rowOff>31750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15393</xdr:colOff>
      <xdr:row>9</xdr:row>
      <xdr:rowOff>41539</xdr:rowOff>
    </xdr:from>
    <xdr:to>
      <xdr:col>13</xdr:col>
      <xdr:colOff>0</xdr:colOff>
      <xdr:row>27</xdr:row>
      <xdr:rowOff>16669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35718</xdr:colOff>
      <xdr:row>50</xdr:row>
      <xdr:rowOff>19608</xdr:rowOff>
    </xdr:from>
    <xdr:to>
      <xdr:col>12</xdr:col>
      <xdr:colOff>719666</xdr:colOff>
      <xdr:row>68</xdr:row>
      <xdr:rowOff>2598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10584</xdr:colOff>
      <xdr:row>30</xdr:row>
      <xdr:rowOff>0</xdr:rowOff>
    </xdr:from>
    <xdr:to>
      <xdr:col>22</xdr:col>
      <xdr:colOff>920751</xdr:colOff>
      <xdr:row>46</xdr:row>
      <xdr:rowOff>154781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35718</xdr:colOff>
      <xdr:row>71</xdr:row>
      <xdr:rowOff>21166</xdr:rowOff>
    </xdr:from>
    <xdr:to>
      <xdr:col>13</xdr:col>
      <xdr:colOff>0</xdr:colOff>
      <xdr:row>86</xdr:row>
      <xdr:rowOff>190500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10583</xdr:colOff>
      <xdr:row>9</xdr:row>
      <xdr:rowOff>21167</xdr:rowOff>
    </xdr:from>
    <xdr:to>
      <xdr:col>22</xdr:col>
      <xdr:colOff>904875</xdr:colOff>
      <xdr:row>26</xdr:row>
      <xdr:rowOff>173183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800-00000F000000}"/>
            </a:ext>
            <a:ext uri="{147F2762-F138-4A5C-976F-8EAC2B608ADB}">
              <a16:predDERef xmlns:a16="http://schemas.microsoft.com/office/drawing/2014/main" pre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17318</xdr:colOff>
      <xdr:row>50</xdr:row>
      <xdr:rowOff>25977</xdr:rowOff>
    </xdr:from>
    <xdr:to>
      <xdr:col>22</xdr:col>
      <xdr:colOff>904876</xdr:colOff>
      <xdr:row>68</xdr:row>
      <xdr:rowOff>2597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D8814E27-F08E-4EC9-99ED-58F68CC06251}"/>
            </a:ext>
            <a:ext uri="{147F2762-F138-4A5C-976F-8EAC2B608ADB}">
              <a16:predDERef xmlns:a16="http://schemas.microsoft.com/office/drawing/2014/main" pre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25977</xdr:colOff>
      <xdr:row>30</xdr:row>
      <xdr:rowOff>0</xdr:rowOff>
    </xdr:from>
    <xdr:to>
      <xdr:col>12</xdr:col>
      <xdr:colOff>709084</xdr:colOff>
      <xdr:row>46</xdr:row>
      <xdr:rowOff>173182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3061F60-8125-4E2C-B97B-40E509DE8E6B}"/>
            </a:ext>
            <a:ext uri="{147F2762-F138-4A5C-976F-8EAC2B608ADB}">
              <a16:predDERef xmlns:a16="http://schemas.microsoft.com/office/drawing/2014/main" pre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42333</xdr:colOff>
      <xdr:row>10</xdr:row>
      <xdr:rowOff>30048</xdr:rowOff>
    </xdr:from>
    <xdr:to>
      <xdr:col>37</xdr:col>
      <xdr:colOff>931333</xdr:colOff>
      <xdr:row>26</xdr:row>
      <xdr:rowOff>39119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0131F9-0E91-F372-52E7-A0F50BCE06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0931cec3bd5d669/Documents/Book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ook1"/>
    </sheetNames>
    <sheetDataSet>
      <sheetData sheetId="0"/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aila Akhlaghi" id="{BA28C622-FF86-4399-BC28-CFAC8A9D7C22}" userId="Laila Akhlaghi" providerId="None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4:AD1004" totalsRowShown="0" headerRowDxfId="284" dataDxfId="283">
  <autoFilter ref="A4:AD1004" xr:uid="{00000000-0009-0000-0100-000003000000}"/>
  <sortState xmlns:xlrd2="http://schemas.microsoft.com/office/spreadsheetml/2017/richdata2" ref="A5:AC1004">
    <sortCondition ref="Q4:Q1004"/>
  </sortState>
  <tableColumns count="30">
    <tableColumn id="1" xr3:uid="{00000000-0010-0000-0000-000001000000}" name="Country" dataDxfId="282"/>
    <tableColumn id="2" xr3:uid="{00000000-0010-0000-0000-000002000000}" name="ISO Code" dataDxfId="281"/>
    <tableColumn id="22" xr3:uid="{00000000-0010-0000-0000-000016000000}" name="Vaccine Type" dataDxfId="280"/>
    <tableColumn id="3" xr3:uid="{00000000-0010-0000-0000-000003000000}" name="Product" dataDxfId="279"/>
    <tableColumn id="4" xr3:uid="{00000000-0010-0000-0000-000004000000}" name="Manufacturer" dataDxfId="278">
      <calculatedColumnFormula>_xlfn.IFNA(VLOOKUP(Table3[[#This Row],[Product]], ProductListTbl[], 3, 0), "")</calculatedColumnFormula>
    </tableColumn>
    <tableColumn id="5" xr3:uid="{00000000-0010-0000-0000-000005000000}" name="Vaccine short name" dataDxfId="277">
      <calculatedColumnFormula>_xlfn.IFNA(VLOOKUP(D5,ProductListTbl[],5,0),"")</calculatedColumnFormula>
    </tableColumn>
    <tableColumn id="23" xr3:uid="{00000000-0010-0000-0000-000017000000}" name="Doses per vial or syringe" dataDxfId="276">
      <calculatedColumnFormula>_xlfn.IFNA(VLOOKUP(D5,ProductListTbl[],6,0),"")</calculatedColumnFormula>
    </tableColumn>
    <tableColumn id="25" xr3:uid="{00000000-0010-0000-0000-000019000000}" name="Storage space per secondary packaging (cm3)" dataDxfId="275">
      <calculatedColumnFormula>_xlfn.IFNA(VLOOKUP(D5,ProductListTbl[],7,0),"")</calculatedColumnFormula>
    </tableColumn>
    <tableColumn id="24" xr3:uid="{00000000-0010-0000-0000-000018000000}" name="Storage space per tertiary packaging (cm3)" dataDxfId="274">
      <calculatedColumnFormula>_xlfn.IFNA(VLOOKUP(D5,ProductListTbl[],8,0),"")</calculatedColumnFormula>
    </tableColumn>
    <tableColumn id="30" xr3:uid="{FAABE89E-D677-4B6B-8689-9340B4872ED0}" name="Batch or lot number" dataDxfId="273"/>
    <tableColumn id="31" xr3:uid="{2E798C38-4465-4F8F-95A1-6AAD6503E5AB}" name="Expiry date" dataDxfId="272"/>
    <tableColumn id="6" xr3:uid="{00000000-0010-0000-0000-000006000000}" name="Quantity (doses)" dataDxfId="271"/>
    <tableColumn id="11" xr3:uid="{00000000-0010-0000-0000-00000B000000}" name="Quantity  (vials or syringes)" dataDxfId="270">
      <calculatedColumnFormula>IFERROR(Table3[[#This Row],[Quantity (doses)]]/Table3[[#This Row],[Doses per vial or syringe]],"")</calculatedColumnFormula>
    </tableColumn>
    <tableColumn id="29" xr3:uid="{00000000-0010-0000-0000-00001D000000}" name="Sector" dataDxfId="269"/>
    <tableColumn id="7" xr3:uid="{00000000-0010-0000-0000-000007000000}" name="Status" dataDxfId="268"/>
    <tableColumn id="26" xr3:uid="{00000000-0010-0000-0000-00001A000000}" name="Expected arrival date" dataDxfId="267"/>
    <tableColumn id="8" xr3:uid="{00000000-0010-0000-0000-000008000000}" name="Actual Arrival date" dataDxfId="266"/>
    <tableColumn id="9" xr3:uid="{00000000-0010-0000-0000-000009000000}" name="Supplier" dataDxfId="265"/>
    <tableColumn id="27" xr3:uid="{00000000-0010-0000-0000-00001B000000}" name="PO number" dataDxfId="264"/>
    <tableColumn id="10" xr3:uid="{00000000-0010-0000-0000-00000A000000}" name="Shipment reference" dataDxfId="263"/>
    <tableColumn id="21" xr3:uid="{00000000-0010-0000-0000-000015000000}" name="Syringes included?" dataDxfId="262"/>
    <tableColumn id="28" xr3:uid="{00000000-0010-0000-0000-00001C000000}" name="Primary vaccine storage temperature (° C)" dataDxfId="261">
      <calculatedColumnFormula>_xlfn.IFNA(VLOOKUP(D5,ProductListTbl[],9,0),"")</calculatedColumnFormula>
    </tableColumn>
    <tableColumn id="19" xr3:uid="{00000000-0010-0000-0000-000013000000}" name="Secondary space requirement (L)" dataDxfId="260">
      <calculatedColumnFormula>IFERROR(Table3[[#This Row],[Storage space per secondary packaging (cm3)]]*Table3[[#This Row],[Quantity  (vials or syringes)]]/1000,"")</calculatedColumnFormula>
    </tableColumn>
    <tableColumn id="18" xr3:uid="{00000000-0010-0000-0000-000012000000}" name="Tertiary space requirement (L)" dataDxfId="259">
      <calculatedColumnFormula>IFERROR(Table3[[#This Row],[Storage space per tertiary packaging (cm3)]]*Table3[[#This Row],[Quantity (doses)]]/1000,"")</calculatedColumnFormula>
    </tableColumn>
    <tableColumn id="16" xr3:uid="{00000000-0010-0000-0000-000010000000}" name="Arrival Month" dataDxfId="258">
      <calculatedColumnFormula>IF(Table3[[#This Row],[Status]]="Ordered",(DATE(YEAR(P5),MONTH(P5),1)),IF(Table3[[#This Row],[Status]]="Received",(DATE(YEAR(Q5),MONTH(Q5),1)),""))</calculatedColumnFormula>
    </tableColumn>
    <tableColumn id="15" xr3:uid="{00000000-0010-0000-0000-00000F000000}" name="Length of time from shipment to expiry (months)" dataDxfId="257">
      <calculatedColumnFormula>IFERROR(IF(K5&gt;0,((K5-Q5)/(365.25/12)),""),"")</calculatedColumnFormula>
    </tableColumn>
    <tableColumn id="13" xr3:uid="{00000000-0010-0000-0000-00000D000000}" name="Expiry Month" dataDxfId="256">
      <calculatedColumnFormula>IFERROR(IF(K5="","",MONTH(EOMONTH(K5,(DAY(K5)&gt;15)+0))),"")</calculatedColumnFormula>
    </tableColumn>
    <tableColumn id="14" xr3:uid="{00000000-0010-0000-0000-00000E000000}" name="Expiry year" dataDxfId="255">
      <calculatedColumnFormula>IFERROR(IF(K5="","",IF(AND(MONTH(K5)=12,AA5=1),YEAR(K5)+1,YEAR(K5))),"")</calculatedColumnFormula>
    </tableColumn>
    <tableColumn id="17" xr3:uid="{00000000-0010-0000-0000-000011000000}" name="Expiry date (Rounded)" dataDxfId="254">
      <calculatedColumnFormula>IF(OR(AA5="",AB5=""),"",DATE(AB5,AA5,1))</calculatedColumnFormula>
    </tableColumn>
    <tableColumn id="32" xr3:uid="{F003D330-777A-4BFC-BD86-26DF733A1BCF}" name="Length of time between expected and actual arrival dates (days)" dataDxfId="253">
      <calculatedColumnFormula>IF(Table3[[#This Row],[Actual Arrival date]]&gt;0,IF(Table3[[#This Row],[Expected arrival date]]&gt;0,Table3[[#This Row],[Actual Arrival date]]-Table3[[#This Row],[Expected arrival date]],""),"")</calculatedColumnFormula>
    </tableColumn>
  </tableColumns>
  <tableStyleInfo name="Demo-style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StatusTbl" displayName="StatusTbl" ref="M1:M3" totalsRowShown="0">
  <autoFilter ref="M1:M3" xr:uid="{00000000-0009-0000-0100-000009000000}"/>
  <tableColumns count="1">
    <tableColumn id="1" xr3:uid="{00000000-0010-0000-0900-000001000000}" name="Statu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ProductListTbl" displayName="ProductListTbl" ref="A1:I33" totalsRowShown="0" headerRowDxfId="20" dataDxfId="19">
  <autoFilter ref="A1:I33" xr:uid="{00000000-0009-0000-0100-00000A000000}"/>
  <tableColumns count="9">
    <tableColumn id="2" xr3:uid="{00000000-0010-0000-0100-000002000000}" name="Product" dataDxfId="18"/>
    <tableColumn id="1" xr3:uid="{00000000-0010-0000-0100-000001000000}" name="Vaccine Type" dataDxfId="17"/>
    <tableColumn id="3" xr3:uid="{00000000-0010-0000-0100-000003000000}" name="Manufacturer/licence holder" dataDxfId="16"/>
    <tableColumn id="4" xr3:uid="{00000000-0010-0000-0100-000004000000}" name="Vaccine name" dataDxfId="15"/>
    <tableColumn id="5" xr3:uid="{00000000-0010-0000-0100-000005000000}" name="Short_name (hide)" dataDxfId="14"/>
    <tableColumn id="6" xr3:uid="{00000000-0010-0000-0100-000006000000}" name="Doses per vial" dataDxfId="13"/>
    <tableColumn id="7" xr3:uid="{00000000-0010-0000-0100-000007000000}" name="Secondary Packaging (cubic cm)" dataDxfId="12"/>
    <tableColumn id="8" xr3:uid="{00000000-0010-0000-0100-000008000000}" name="Tertiary Packaging (cubic cm)" dataDxfId="11"/>
    <tableColumn id="9" xr3:uid="{00000000-0010-0000-0100-000009000000}" name="Vaccine storage temperature" dataDxfId="1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VendorTbl" displayName="VendorTbl" ref="G1:G10" totalsRowShown="0" headerRowDxfId="9" dataDxfId="8">
  <autoFilter ref="G1:G10" xr:uid="{00000000-0009-0000-0100-000001000000}"/>
  <tableColumns count="1">
    <tableColumn id="1" xr3:uid="{00000000-0010-0000-0200-000001000000}" name="Vendor" dataDxfId="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ProductTbl" displayName="ProductTbl" ref="H1:H10" totalsRowShown="0" headerRowDxfId="6" dataDxfId="5">
  <autoFilter ref="H1:H10" xr:uid="{00000000-0009-0000-0100-000002000000}"/>
  <tableColumns count="1">
    <tableColumn id="1" xr3:uid="{00000000-0010-0000-0300-000001000000}" name="Product" dataDxfId="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ShortnameTbl" displayName="ShortnameTbl" ref="I1:I11" totalsRowShown="0" headerRowDxfId="3" dataDxfId="2">
  <autoFilter ref="I1:I11" xr:uid="{00000000-0009-0000-0100-000004000000}"/>
  <tableColumns count="1">
    <tableColumn id="1" xr3:uid="{00000000-0010-0000-0400-000001000000}" name="Short name" dataDxfId="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Dose" displayName="Dose" ref="J1:J4" totalsRowShown="0" headerRowDxfId="0">
  <autoFilter ref="J1:J4" xr:uid="{00000000-0009-0000-0100-000005000000}"/>
  <tableColumns count="1">
    <tableColumn id="1" xr3:uid="{00000000-0010-0000-0500-000001000000}" name="DOS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BuyerTbl" displayName="BuyerTbl" ref="K1:K5" totalsRowShown="0">
  <autoFilter ref="K1:K5" xr:uid="{00000000-0009-0000-0100-000006000000}"/>
  <sortState xmlns:xlrd2="http://schemas.microsoft.com/office/spreadsheetml/2017/richdata2" ref="K2:K5">
    <sortCondition ref="K1:K5"/>
  </sortState>
  <tableColumns count="1">
    <tableColumn id="1" xr3:uid="{00000000-0010-0000-0600-000001000000}" name="Supplier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SectorTbl" displayName="SectorTbl" ref="O1:O4" totalsRowShown="0">
  <autoFilter ref="O1:O4" xr:uid="{00000000-0009-0000-0100-000007000000}"/>
  <tableColumns count="1">
    <tableColumn id="1" xr3:uid="{00000000-0010-0000-0700-000001000000}" name="Sector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AdjustmentTbl" displayName="AdjustmentTbl" ref="O9:O16" totalsRowShown="0">
  <autoFilter ref="O9:O16" xr:uid="{00000000-0009-0000-0100-000008000000}"/>
  <tableColumns count="1">
    <tableColumn id="1" xr3:uid="{00000000-0010-0000-0800-000001000000}" name="Adjustm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OVID-19 CSP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31AEE4"/>
      </a:accent1>
      <a:accent2>
        <a:srgbClr val="6E0F28"/>
      </a:accent2>
      <a:accent3>
        <a:srgbClr val="492A73"/>
      </a:accent3>
      <a:accent4>
        <a:srgbClr val="7D7C7D"/>
      </a:accent4>
      <a:accent5>
        <a:srgbClr val="EF3B42"/>
      </a:accent5>
      <a:accent6>
        <a:srgbClr val="DF802E"/>
      </a:accent6>
      <a:hlink>
        <a:srgbClr val="1155CC"/>
      </a:hlink>
      <a:folHlink>
        <a:srgbClr val="1155C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7" dT="2022-01-19T18:46:52.27" personId="{BA28C622-FF86-4399-BC28-CFAC8A9D7C22}" id="{084BE6C4-565F-43F3-B08E-539A76CAE50B}">
    <text>Can change font color to same as fill and then lock cell.</text>
  </threadedComment>
  <threadedComment ref="A7" dT="2022-01-19T22:37:14.23" personId="{BA28C622-FF86-4399-BC28-CFAC8A9D7C22}" id="{B48579E0-637B-4BFA-972A-219EDC7C57B7}" parentId="{084BE6C4-565F-43F3-B08E-539A76CAE50B}">
    <text>All is written in the cell in blue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.xml"/><Relationship Id="rId3" Type="http://schemas.openxmlformats.org/officeDocument/2006/relationships/table" Target="../tables/table5.xml"/><Relationship Id="rId7" Type="http://schemas.openxmlformats.org/officeDocument/2006/relationships/table" Target="../tables/table9.xml"/><Relationship Id="rId2" Type="http://schemas.openxmlformats.org/officeDocument/2006/relationships/table" Target="../tables/table4.xml"/><Relationship Id="rId1" Type="http://schemas.openxmlformats.org/officeDocument/2006/relationships/table" Target="../tables/table3.xml"/><Relationship Id="rId6" Type="http://schemas.openxmlformats.org/officeDocument/2006/relationships/table" Target="../tables/table8.xml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jsirt-my.sharepoint.com/:w:/g/personal/laila_akhlaghi_jsirt_onmicrosoft_com/EZHggJYdtNNEmtN1XowKqkUBFH5vYRF25uWeVJmjCPjbBA?e=qtPUEY" TargetMode="External"/><Relationship Id="rId1" Type="http://schemas.openxmlformats.org/officeDocument/2006/relationships/hyperlink" Target="https://jsirt-my.sharepoint.com/:w:/g/personal/laila_akhlaghi_jsirt_onmicrosoft_com/EbJiQ-gOwkFJm8aDfMY-WacBiDIYFgb10we87RXFYGVk7w?e=Tri5ZS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9:B19"/>
  <sheetViews>
    <sheetView showGridLines="0" topLeftCell="A7" zoomScale="130" zoomScaleNormal="130" workbookViewId="0">
      <selection activeCell="N5" sqref="N5"/>
    </sheetView>
  </sheetViews>
  <sheetFormatPr defaultRowHeight="15" x14ac:dyDescent="0.25"/>
  <cols>
    <col min="1" max="1" width="13.42578125" bestFit="1" customWidth="1"/>
    <col min="2" max="2" width="13" bestFit="1" customWidth="1"/>
  </cols>
  <sheetData>
    <row r="19" spans="1:2" x14ac:dyDescent="0.25">
      <c r="A19" s="187" t="s">
        <v>0</v>
      </c>
      <c r="B19" s="188">
        <f ca="1">TODAY()</f>
        <v>45170</v>
      </c>
    </row>
  </sheetData>
  <sheetProtection algorithmName="SHA-512" hashValue="s7FofVlgrfZDSGFhmhwrCiTC7teRy3F4/YpfnkkLgQa3AEmRDdT5ArquJsiQJlSuGPF/D0G/3X52+3IedJFP5A==" saltValue="L2Mh0g/mCZLsSH5rC5YlAA==" spinCount="100000" sheet="1" objects="1" scenarios="1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CH211"/>
  <sheetViews>
    <sheetView showGridLines="0" topLeftCell="M1" zoomScale="90" zoomScaleNormal="90" zoomScaleSheetLayoutView="50" workbookViewId="0">
      <selection activeCell="AL28" sqref="AL28"/>
    </sheetView>
  </sheetViews>
  <sheetFormatPr defaultColWidth="8.7109375" defaultRowHeight="12.75" x14ac:dyDescent="0.2"/>
  <cols>
    <col min="1" max="1" width="4.7109375" style="48" customWidth="1"/>
    <col min="2" max="13" width="10.85546875" style="48" customWidth="1"/>
    <col min="14" max="14" width="6.7109375" style="48" customWidth="1"/>
    <col min="15" max="17" width="14.140625" style="48" customWidth="1"/>
    <col min="18" max="23" width="14.140625" style="75" customWidth="1"/>
    <col min="24" max="24" width="7" style="48" customWidth="1"/>
    <col min="25" max="25" width="14.28515625" style="48" customWidth="1"/>
    <col min="26" max="26" width="14.42578125" style="48" customWidth="1"/>
    <col min="27" max="46" width="14.28515625" style="48" customWidth="1"/>
    <col min="47" max="47" width="10.7109375" style="48" bestFit="1" customWidth="1"/>
    <col min="48" max="49" width="9.5703125" style="48" bestFit="1" customWidth="1"/>
    <col min="50" max="50" width="10" style="48" bestFit="1" customWidth="1"/>
    <col min="51" max="51" width="10.42578125" style="48" bestFit="1" customWidth="1"/>
    <col min="52" max="52" width="7.85546875" style="48" bestFit="1" customWidth="1"/>
    <col min="53" max="53" width="4.28515625" style="48" bestFit="1" customWidth="1"/>
    <col min="54" max="54" width="4.85546875" style="48" bestFit="1" customWidth="1"/>
    <col min="55" max="55" width="10" style="48" bestFit="1" customWidth="1"/>
    <col min="56" max="56" width="7.42578125" style="48" bestFit="1" customWidth="1"/>
    <col min="57" max="57" width="5.140625" style="48" bestFit="1" customWidth="1"/>
    <col min="58" max="58" width="4.140625" style="48" bestFit="1" customWidth="1"/>
    <col min="59" max="59" width="10" style="48" bestFit="1" customWidth="1"/>
    <col min="60" max="60" width="7.42578125" style="48" bestFit="1" customWidth="1"/>
    <col min="61" max="61" width="4.7109375" style="48" bestFit="1" customWidth="1"/>
    <col min="62" max="62" width="4.42578125" style="48" bestFit="1" customWidth="1"/>
    <col min="63" max="63" width="10" style="48" bestFit="1" customWidth="1"/>
    <col min="64" max="64" width="7.42578125" style="48" bestFit="1" customWidth="1"/>
    <col min="65" max="65" width="4.85546875" style="48" bestFit="1" customWidth="1"/>
    <col min="66" max="66" width="4.42578125" style="48" bestFit="1" customWidth="1"/>
    <col min="67" max="67" width="10" style="48" bestFit="1" customWidth="1"/>
    <col min="68" max="68" width="10.42578125" style="48" bestFit="1" customWidth="1"/>
    <col min="69" max="69" width="7.85546875" style="48" bestFit="1" customWidth="1"/>
    <col min="70" max="70" width="4.28515625" style="48" bestFit="1" customWidth="1"/>
    <col min="71" max="71" width="4.85546875" style="48" bestFit="1" customWidth="1"/>
    <col min="72" max="72" width="10" style="48" bestFit="1" customWidth="1"/>
    <col min="73" max="73" width="7.42578125" style="48" bestFit="1" customWidth="1"/>
    <col min="74" max="74" width="5.140625" style="48" bestFit="1" customWidth="1"/>
    <col min="75" max="75" width="4.140625" style="48" bestFit="1" customWidth="1"/>
    <col min="76" max="76" width="10" style="48" bestFit="1" customWidth="1"/>
    <col min="77" max="77" width="7.42578125" style="48" bestFit="1" customWidth="1"/>
    <col min="78" max="78" width="4.7109375" style="48" bestFit="1" customWidth="1"/>
    <col min="79" max="79" width="4.42578125" style="48" bestFit="1" customWidth="1"/>
    <col min="80" max="80" width="10" style="48" bestFit="1" customWidth="1"/>
    <col min="81" max="81" width="7.42578125" style="48" bestFit="1" customWidth="1"/>
    <col min="82" max="82" width="4.85546875" style="48" bestFit="1" customWidth="1"/>
    <col min="83" max="83" width="4.42578125" style="48" bestFit="1" customWidth="1"/>
    <col min="84" max="84" width="10" style="48" bestFit="1" customWidth="1"/>
    <col min="85" max="85" width="10.42578125" style="48" bestFit="1" customWidth="1"/>
    <col min="86" max="86" width="11.5703125" style="48" bestFit="1" customWidth="1"/>
    <col min="87" max="16384" width="8.7109375" style="48"/>
  </cols>
  <sheetData>
    <row r="1" spans="1:46" ht="22.5" customHeight="1" x14ac:dyDescent="0.25">
      <c r="A1" s="78" t="str">
        <f>"COVID-19 Vaccine Supply Outlook | "&amp;Start!D7&amp;" Dashboard"</f>
        <v>COVID-19 Vaccine Supply Outlook | Anyland Dashboard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AJ1" s="51"/>
    </row>
    <row r="2" spans="1:46" ht="8.25" hidden="1" customHeight="1" x14ac:dyDescent="0.25">
      <c r="A2" s="73"/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51"/>
    </row>
    <row r="3" spans="1:46" ht="6.6" hidden="1" customHeight="1" x14ac:dyDescent="0.25">
      <c r="A3" s="50"/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AJ3" s="51"/>
    </row>
    <row r="4" spans="1:46" ht="4.5" hidden="1" customHeight="1" x14ac:dyDescent="0.25"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Y4" s="75"/>
      <c r="Z4" s="75"/>
      <c r="AA4" s="75"/>
      <c r="AB4" s="75"/>
      <c r="AC4" s="75"/>
      <c r="AD4" s="75"/>
      <c r="AE4" s="75"/>
      <c r="AF4" s="75"/>
      <c r="AG4" s="75"/>
      <c r="AJ4" s="51"/>
    </row>
    <row r="5" spans="1:46" ht="15" x14ac:dyDescent="0.25">
      <c r="O5" s="76"/>
      <c r="Y5" s="83"/>
      <c r="Z5" s="201"/>
      <c r="AA5" s="75"/>
      <c r="AB5" s="75"/>
      <c r="AC5" s="75"/>
      <c r="AD5" s="75"/>
      <c r="AE5" s="75"/>
      <c r="AJ5" s="51"/>
    </row>
    <row r="6" spans="1:46" ht="28.5" customHeight="1" x14ac:dyDescent="0.3">
      <c r="B6" s="169" t="s">
        <v>230</v>
      </c>
      <c r="C6" s="491">
        <v>44287</v>
      </c>
      <c r="E6" s="169" t="s">
        <v>231</v>
      </c>
      <c r="F6" s="490" t="s">
        <v>21</v>
      </c>
      <c r="H6" s="147" t="s">
        <v>232</v>
      </c>
      <c r="I6" s="492">
        <f>IFERROR(SUM('Supply planning data'!$J:$J)/Z88,"")</f>
        <v>0.52688261497030664</v>
      </c>
      <c r="J6" s="553" t="s">
        <v>233</v>
      </c>
      <c r="K6" s="553"/>
      <c r="L6" s="553"/>
      <c r="M6" s="554" t="s">
        <v>15</v>
      </c>
      <c r="N6" s="554"/>
      <c r="O6" s="555" t="s">
        <v>234</v>
      </c>
      <c r="P6" s="555"/>
      <c r="Q6" s="555"/>
      <c r="R6" s="493">
        <f>DataViz!X3</f>
        <v>2160002</v>
      </c>
      <c r="T6" s="553" t="s">
        <v>235</v>
      </c>
      <c r="U6" s="553"/>
      <c r="V6" s="553"/>
      <c r="W6" s="494">
        <f>IFERROR((SUMIFS('Supply planning data'!$J:$J,'Supply planning data'!$C:$C,"&lt;&gt;Jansen")*2+SUMIFS('Supply planning data'!$J:$J,'Supply planning data'!$C:$C,"=Jansen")*1)/SUM('Supply planning data'!$J:$J),"")</f>
        <v>1.4405250275019348</v>
      </c>
      <c r="X6" s="423"/>
      <c r="Y6" s="501" t="str">
        <f>"Est. % of "&amp;M6&amp;" covered"</f>
        <v>Est. % of Ages 12 and up covered</v>
      </c>
    </row>
    <row r="8" spans="1:46" ht="22.5" customHeight="1" x14ac:dyDescent="0.25">
      <c r="B8" s="81" t="s">
        <v>236</v>
      </c>
      <c r="C8" s="79"/>
      <c r="D8" s="79"/>
      <c r="E8" s="79"/>
      <c r="F8" s="79"/>
      <c r="G8" s="79"/>
      <c r="H8" s="79"/>
      <c r="I8" s="79"/>
      <c r="J8" s="79"/>
      <c r="K8" s="79"/>
      <c r="L8" s="79"/>
      <c r="M8" s="81"/>
      <c r="N8" s="438"/>
      <c r="O8" s="81" t="s">
        <v>237</v>
      </c>
      <c r="P8" s="79"/>
      <c r="Q8" s="157"/>
      <c r="R8" s="157"/>
      <c r="S8" s="157"/>
      <c r="T8" s="157"/>
      <c r="U8" s="79"/>
      <c r="V8" s="79"/>
      <c r="W8" s="79"/>
      <c r="Y8" s="443" t="s">
        <v>238</v>
      </c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424"/>
      <c r="AR8" s="209"/>
      <c r="AS8" s="209"/>
      <c r="AT8" s="209"/>
    </row>
    <row r="9" spans="1:46" ht="22.5" customHeight="1" x14ac:dyDescent="0.25">
      <c r="M9" s="146"/>
      <c r="N9" s="146"/>
      <c r="O9" s="146" t="s">
        <v>239</v>
      </c>
      <c r="R9" s="48"/>
      <c r="S9" s="48"/>
      <c r="T9" s="48"/>
      <c r="U9" s="48"/>
      <c r="V9" s="48"/>
      <c r="W9" s="48"/>
      <c r="Y9" s="442" t="str">
        <f>"Table of current inventory and shipments as of "&amp;TEXT($AD$9,"mmm 'yy")</f>
        <v>Table of current inventory and shipments as of Mar '22</v>
      </c>
      <c r="AB9" s="51"/>
      <c r="AC9" s="417" t="s">
        <v>240</v>
      </c>
      <c r="AD9" s="395">
        <v>44621</v>
      </c>
      <c r="AE9" s="444"/>
      <c r="AF9" s="442" t="str">
        <f>"Chart of current inventory and shipments represented in months of stock as of "&amp;TEXT($AD$9,"mmm 'yy")</f>
        <v>Chart of current inventory and shipments represented in months of stock as of Mar '22</v>
      </c>
      <c r="AG9" s="444"/>
      <c r="AH9" s="444"/>
      <c r="AI9" s="51"/>
      <c r="AJ9" s="51"/>
      <c r="AK9" s="51"/>
      <c r="AL9" s="51"/>
      <c r="AN9" s="442" t="str">
        <f>"Quantity at risk of expiry for the six months following "&amp;TEXT($AD$9,"mmm 'yy")&amp;" based on average monthly consumption"</f>
        <v>Quantity at risk of expiry for the six months following Mar '22 based on average monthly consumption</v>
      </c>
      <c r="AO9" s="51"/>
      <c r="AP9" s="51"/>
      <c r="AQ9" s="51"/>
      <c r="AR9" s="51"/>
      <c r="AS9" s="51"/>
      <c r="AT9" s="51"/>
    </row>
    <row r="10" spans="1:46" ht="15" x14ac:dyDescent="0.25">
      <c r="R10" s="48"/>
      <c r="S10" s="48"/>
      <c r="T10" s="48"/>
      <c r="U10" s="48"/>
      <c r="V10" s="48"/>
      <c r="W10" s="48"/>
      <c r="AA10" s="51"/>
      <c r="AB10" s="51"/>
      <c r="AC10" s="51"/>
      <c r="AD10" s="51"/>
      <c r="AE10" s="51"/>
      <c r="AG10" s="51"/>
      <c r="AH10" s="51"/>
      <c r="AI10" s="51"/>
      <c r="AJ10" s="51"/>
      <c r="AK10" s="51"/>
      <c r="AL10" s="51"/>
      <c r="AS10" s="51"/>
      <c r="AT10" s="51"/>
    </row>
    <row r="11" spans="1:46" ht="39.75" customHeight="1" thickBot="1" x14ac:dyDescent="0.3">
      <c r="R11" s="48"/>
      <c r="S11" s="48"/>
      <c r="T11" s="48"/>
      <c r="U11" s="48"/>
      <c r="V11" s="48"/>
      <c r="W11" s="48"/>
      <c r="Y11" s="84" t="s">
        <v>19</v>
      </c>
      <c r="Z11" s="84" t="s">
        <v>241</v>
      </c>
      <c r="AA11" s="84" t="s">
        <v>242</v>
      </c>
      <c r="AB11" s="84" t="s">
        <v>243</v>
      </c>
      <c r="AC11" s="84" t="s">
        <v>244</v>
      </c>
      <c r="AD11" s="84" t="s">
        <v>245</v>
      </c>
      <c r="AG11" s="51"/>
      <c r="AH11" s="51"/>
      <c r="AI11" s="51"/>
      <c r="AJ11" s="51"/>
      <c r="AK11" s="51"/>
      <c r="AL11" s="51"/>
      <c r="AM11" s="51"/>
      <c r="AN11" s="84" t="s">
        <v>19</v>
      </c>
      <c r="AO11" s="422">
        <f>EDATE(AD9,1)</f>
        <v>44652</v>
      </c>
      <c r="AP11" s="422">
        <f>EDATE(AO11,1)</f>
        <v>44682</v>
      </c>
      <c r="AQ11" s="422">
        <f t="shared" ref="AQ11:AT11" si="0">EDATE(AP11,1)</f>
        <v>44713</v>
      </c>
      <c r="AR11" s="422">
        <f t="shared" si="0"/>
        <v>44743</v>
      </c>
      <c r="AS11" s="422">
        <f t="shared" si="0"/>
        <v>44774</v>
      </c>
      <c r="AT11" s="422">
        <f t="shared" si="0"/>
        <v>44805</v>
      </c>
    </row>
    <row r="12" spans="1:46" ht="15" x14ac:dyDescent="0.25">
      <c r="R12" s="48"/>
      <c r="S12" s="48"/>
      <c r="T12" s="48"/>
      <c r="U12" s="48"/>
      <c r="V12" s="48"/>
      <c r="W12" s="48"/>
      <c r="Y12" s="131" t="str">
        <f>IF(Start!$C17="","",Start!$C17)</f>
        <v>AstraZeneca</v>
      </c>
      <c r="Z12" s="431">
        <f>(SUMIFS('Supply planning data'!$M:$M,'Supply planning data'!$C:$C,$Y12,'Supply planning data'!$D:$D,"="&amp;EDATE($AD$9,0))+SUMIFS('Supply planning data'!$M:$M,'Supply planning data'!$C:$C,$Y12,'Supply planning data'!$D:$D,"="&amp;EDATE($AD$9,-1))+SUMIFS('Supply planning data'!$M:$M,'Supply planning data'!$C:$C,$Y12,'Supply planning data'!$D:$D,"="&amp;EDATE($AD$9,-2)))/3</f>
        <v>26412</v>
      </c>
      <c r="AA12" s="397">
        <f>SUMIFS('Supply planning data'!$V:$V,'Supply planning data'!$C:$C,$Y12,'Supply planning data'!$D:$D,"="&amp;$AD$9)</f>
        <v>0</v>
      </c>
      <c r="AB12" s="418" t="e">
        <f>IF(IFERROR(AA12/Z12,"")=0,NA(),IFERROR(AA12/Z12,""))</f>
        <v>#N/A</v>
      </c>
      <c r="AC12" s="397">
        <f>SUMIFS('Supply planning data'!$S:$S,'Supply planning data'!$C:$C,$Y12,'Supply planning data'!$D:$D,"&gt;="&amp;$AD$9)</f>
        <v>0</v>
      </c>
      <c r="AD12" s="418" t="e">
        <f>IF(IFERROR(AC12/Z12,NA())&gt;0,IFERROR(AC12/Z12,NA()),NA())</f>
        <v>#N/A</v>
      </c>
      <c r="AE12" s="464" t="e">
        <f>IF(SUMIF(AB12,"&gt;=0")+SUMIF(AD12,"&gt;=0")=0,NA(),SUMIF(AB12,"&gt;=0")+SUMIF(AD12,"&gt;=0"))</f>
        <v>#N/A</v>
      </c>
      <c r="AG12" s="51"/>
      <c r="AH12" s="51"/>
      <c r="AI12" s="51"/>
      <c r="AJ12" s="51"/>
      <c r="AK12" s="51"/>
      <c r="AL12" s="51"/>
      <c r="AM12" s="51"/>
      <c r="AN12" s="131" t="str">
        <f>IF(Start!$C17="","",Start!$C17)</f>
        <v>AstraZeneca</v>
      </c>
      <c r="AO12" s="433">
        <f>IF(ISNUMBER(Z32),IF(IF($Z12=0,Z32,Z32-$Z12)&lt;0,0,IF($Z12=0,Z32,Z32-$Z12)),0)</f>
        <v>0</v>
      </c>
      <c r="AP12" s="433">
        <f>IF(ISNUMBER(AA32),IF(IF($Z12=0,AA32,AA32-$Z12*COLUMNS($Z32:AA32)-IF(COUNT($Z32:AA32),MATCH(9.9E+307,$Z32:AA32),0))&lt;0,0,IF($Z12=0,AA32,AA32-$Z12*COLUMNS($Z32:AA32)-IF(COUNT($Z32:AA32),MATCH(9.9E+307,$Z32:AA32),0))),0)</f>
        <v>0</v>
      </c>
      <c r="AQ12" s="433">
        <f>IF(ISNUMBER(AB32),IF(IF($Z12=0,AB32,AB32-$Z12*COLUMNS($Z32:AB32)-IF(COUNT($Z32:AB32),MATCH(9.9E+307,$Z32:AB32),0))&lt;0,0,IF($Z12=0,AB32,AB32-$Z12*COLUMNS($Z32:AB32)-IF(COUNT($Z32:AB32),MATCH(9.9E+307,$Z32:AB32),0))),0)</f>
        <v>0</v>
      </c>
      <c r="AR12" s="433">
        <f>IF(ISNUMBER(AC32),IF(IF($Z12=0,AC32,AC32-$Z12*COLUMNS($Z32:AC32)-IF(COUNT($Z32:AC32),MATCH(9.9E+307,$Z32:AC32),0))&lt;0,0,IF($Z12=0,AC32,AC32-$Z12*COLUMNS($Z32:AC32)-IF(COUNT($Z32:AC32),MATCH(9.9E+307,$Z32:AC32),0))),0)</f>
        <v>0</v>
      </c>
      <c r="AS12" s="433">
        <f>IF(ISNUMBER(AD32),IF(IF($Z12=0,AD32,AD32-$Z12*COLUMNS($Z32:AD32)-IF(COUNT($Z32:AD32),MATCH(9.9E+307,$Z32:AD32),0))&lt;0,0,IF($Z12=0,AD32,AD32-$Z12*COLUMNS($Z32:AD32)-IF(COUNT($Z32:AD32),MATCH(9.9E+307,$Z32:AD32),0))),0)</f>
        <v>0</v>
      </c>
      <c r="AT12" s="433">
        <f>IF(ISNUMBER(AE32),IF(IF($Z12=0,AE32,AE32-$Z12*COLUMNS($Z32:AE32)-IF(COUNT($Z32:AE32),MATCH(9.9E+307,$Z32:AE32),0))&lt;0,0,IF($Z12=0,AE32,AE32-$Z12*COLUMNS($Z32:AE32)-IF(COUNT($Z32:AE32),MATCH(9.9E+307,$Z32:AE32),0))),0)</f>
        <v>0</v>
      </c>
    </row>
    <row r="13" spans="1:46" ht="15" x14ac:dyDescent="0.25">
      <c r="R13" s="48"/>
      <c r="S13" s="48"/>
      <c r="T13" s="48"/>
      <c r="U13" s="48"/>
      <c r="V13" s="48"/>
      <c r="W13" s="48"/>
      <c r="Y13" s="158" t="str">
        <f>IF(Start!$C18="","",Start!$C18)</f>
        <v>Jansen</v>
      </c>
      <c r="Z13" s="400">
        <f>(SUMIFS('Supply planning data'!$M:$M,'Supply planning data'!$C:$C,$Y13,'Supply planning data'!$D:$D,"="&amp;EDATE($AD$9,0))+SUMIFS('Supply planning data'!$M:$M,'Supply planning data'!$C:$C,$Y13,'Supply planning data'!$D:$D,"="&amp;EDATE($AD$9,-1))+SUMIFS('Supply planning data'!$M:$M,'Supply planning data'!$C:$C,$Y13,'Supply planning data'!$D:$D,"="&amp;EDATE($AD$9,-2)))/3</f>
        <v>175594.66666666666</v>
      </c>
      <c r="AA13" s="400">
        <f>SUMIFS('Supply planning data'!$V:$V,'Supply planning data'!$C:$C,$Y13,'Supply planning data'!$D:$D,"="&amp;$AD$9)</f>
        <v>2058747</v>
      </c>
      <c r="AB13" s="419">
        <f t="shared" ref="AB13:AB26" si="1">IF(IFERROR(AA13/Z13,"")=0,NA(),IFERROR(AA13/Z13,""))</f>
        <v>11.724427848985544</v>
      </c>
      <c r="AC13" s="400">
        <f>SUMIFS('Supply planning data'!$S:$S,'Supply planning data'!$C:$C,$Y13,'Supply planning data'!$D:$D,"&gt;="&amp;$AD$9)</f>
        <v>0</v>
      </c>
      <c r="AD13" s="419" t="e">
        <f t="shared" ref="AD13:AD27" si="2">IF(IFERROR(AC13/Z13,NA())&gt;0,IFERROR(AC13/Z13,NA()),NA())</f>
        <v>#N/A</v>
      </c>
      <c r="AE13" s="464">
        <f t="shared" ref="AE13:AE27" si="3">IF(SUMIF(AB13,"&gt;=0")+SUMIF(AD13,"&gt;=0")=0,NA(),SUMIF(AB13,"&gt;=0")+SUMIF(AD13,"&gt;=0"))</f>
        <v>11.724427848985544</v>
      </c>
      <c r="AG13" s="51"/>
      <c r="AH13" s="51"/>
      <c r="AI13" s="51"/>
      <c r="AJ13" s="51"/>
      <c r="AK13" s="51"/>
      <c r="AL13" s="51"/>
      <c r="AM13" s="51"/>
      <c r="AN13" s="158" t="str">
        <f>IF(Start!$C18="","",Start!$C18)</f>
        <v>Jansen</v>
      </c>
      <c r="AO13" s="434">
        <f t="shared" ref="AO13:AO27" si="4">IF(ISNUMBER(Z33),IF(IF($Z13=0,Z33,Z33-$Z13)&lt;0,0,IF($Z13=0,Z33,Z33-$Z13)),0)</f>
        <v>0</v>
      </c>
      <c r="AP13" s="434">
        <f>IF(ISNUMBER(AA33),IF(IF($Z13=0,AA33,AA33-$Z13*COLUMNS($Z33:AA33)-IF(COUNT($Z33:AA33),MATCH(9.9E+307,$Z33:AA33),0))&lt;0,0,IF($Z13=0,AA33,AA33-$Z13*COLUMNS($Z33:AA33)-IF(COUNT($Z33:AA33),MATCH(9.9E+307,$Z33:AA33),0))),0)</f>
        <v>0</v>
      </c>
      <c r="AQ13" s="434">
        <f>IF(ISNUMBER(AB33),IF(IF($Z13=0,AB33,AB33-$Z13*COLUMNS($Z33:AB33)-IF(COUNT($Z33:AB33),MATCH(9.9E+307,$Z33:AB33),0))&lt;0,0,IF($Z13=0,AB33,AB33-$Z13*COLUMNS($Z33:AB33)-IF(COUNT($Z33:AB33),MATCH(9.9E+307,$Z33:AB33),0))),0)</f>
        <v>0</v>
      </c>
      <c r="AR13" s="434">
        <f>IF(ISNUMBER(AC33),IF(IF($Z13=0,AC33,AC33-$Z13*COLUMNS($Z33:AC33)-IF(COUNT($Z33:AC33),MATCH(9.9E+307,$Z33:AC33),0))&lt;0,0,IF($Z13=0,AC33,AC33-$Z13*COLUMNS($Z33:AC33)-IF(COUNT($Z33:AC33),MATCH(9.9E+307,$Z33:AC33),0))),0)</f>
        <v>0</v>
      </c>
      <c r="AS13" s="434">
        <f>IF(ISNUMBER(AD33),IF(IF($Z13=0,AD33,AD33-$Z13*COLUMNS($Z33:AD33)-IF(COUNT($Z33:AD33),MATCH(9.9E+307,$Z33:AD33),0))&lt;0,0,IF($Z13=0,AD33,AD33-$Z13*COLUMNS($Z33:AD33)-IF(COUNT($Z33:AD33),MATCH(9.9E+307,$Z33:AD33),0))),0)</f>
        <v>0</v>
      </c>
      <c r="AT13" s="434">
        <f>IF(ISNUMBER(AE33),IF(IF($Z13=0,AE33,AE33-$Z13*COLUMNS($Z33:AE33)-IF(COUNT($Z33:AE33),MATCH(9.9E+307,$Z33:AE33),0))&lt;0,0,IF($Z13=0,AE33,AE33-$Z13*COLUMNS($Z33:AE33)-IF(COUNT($Z33:AE33),MATCH(9.9E+307,$Z33:AE33),0))),0)</f>
        <v>0</v>
      </c>
    </row>
    <row r="14" spans="1:46" ht="15" x14ac:dyDescent="0.25">
      <c r="R14" s="48"/>
      <c r="S14" s="48"/>
      <c r="T14" s="48"/>
      <c r="U14" s="48"/>
      <c r="V14" s="48"/>
      <c r="W14" s="48"/>
      <c r="Y14" s="133" t="str">
        <f>IF(Start!$C19="","",Start!$C19)</f>
        <v>Moderna</v>
      </c>
      <c r="Z14" s="403">
        <f>(SUMIFS('Supply planning data'!$M:$M,'Supply planning data'!$C:$C,$Y14,'Supply planning data'!$D:$D,"="&amp;EDATE($AD$9,0))+SUMIFS('Supply planning data'!$M:$M,'Supply planning data'!$C:$C,$Y14,'Supply planning data'!$D:$D,"="&amp;EDATE($AD$9,-1))+SUMIFS('Supply planning data'!$M:$M,'Supply planning data'!$C:$C,$Y14,'Supply planning data'!$D:$D,"="&amp;EDATE($AD$9,-2)))/3</f>
        <v>1800</v>
      </c>
      <c r="AA14" s="403">
        <f>SUMIFS('Supply planning data'!$V:$V,'Supply planning data'!$C:$C,$Y14,'Supply planning data'!$D:$D,"="&amp;$AD$9)</f>
        <v>0</v>
      </c>
      <c r="AB14" s="420" t="e">
        <f t="shared" si="1"/>
        <v>#N/A</v>
      </c>
      <c r="AC14" s="403">
        <f>SUMIFS('Supply planning data'!$S:$S,'Supply planning data'!$C:$C,$Y14,'Supply planning data'!$D:$D,"&gt;="&amp;$AD$9)</f>
        <v>0</v>
      </c>
      <c r="AD14" s="420" t="e">
        <f t="shared" si="2"/>
        <v>#N/A</v>
      </c>
      <c r="AE14" s="464" t="e">
        <f t="shared" si="3"/>
        <v>#N/A</v>
      </c>
      <c r="AG14" s="51"/>
      <c r="AH14" s="51"/>
      <c r="AI14" s="51"/>
      <c r="AJ14" s="51"/>
      <c r="AK14" s="51"/>
      <c r="AL14" s="51"/>
      <c r="AM14" s="51"/>
      <c r="AN14" s="133" t="str">
        <f>IF(Start!$C19="","",Start!$C19)</f>
        <v>Moderna</v>
      </c>
      <c r="AO14" s="435">
        <f t="shared" si="4"/>
        <v>0</v>
      </c>
      <c r="AP14" s="435">
        <f>IF(ISNUMBER(AA34),IF(IF($Z14=0,AA34,AA34-$Z14*COLUMNS($Z34:AA34)-IF(COUNT($Z34:AA34),MATCH(9.9E+307,$Z34:AA34),0))&lt;0,0,IF($Z14=0,AA34,AA34-$Z14*COLUMNS($Z34:AA34)-IF(COUNT($Z34:AA34),MATCH(9.9E+307,$Z34:AA34),0))),0)</f>
        <v>0</v>
      </c>
      <c r="AQ14" s="435">
        <f>IF(ISNUMBER(AB34),IF(IF($Z14=0,AB34,AB34-$Z14*COLUMNS($Z34:AB34)-IF(COUNT($Z34:AB34),MATCH(9.9E+307,$Z34:AB34),0))&lt;0,0,IF($Z14=0,AB34,AB34-$Z14*COLUMNS($Z34:AB34)-IF(COUNT($Z34:AB34),MATCH(9.9E+307,$Z34:AB34),0))),0)</f>
        <v>0</v>
      </c>
      <c r="AR14" s="435">
        <f>IF(ISNUMBER(AC34),IF(IF($Z14=0,AC34,AC34-$Z14*COLUMNS($Z34:AC34)-IF(COUNT($Z34:AC34),MATCH(9.9E+307,$Z34:AC34),0))&lt;0,0,IF($Z14=0,AC34,AC34-$Z14*COLUMNS($Z34:AC34)-IF(COUNT($Z34:AC34),MATCH(9.9E+307,$Z34:AC34),0))),0)</f>
        <v>0</v>
      </c>
      <c r="AS14" s="435">
        <f>IF(ISNUMBER(AD34),IF(IF($Z14=0,AD34,AD34-$Z14*COLUMNS($Z34:AD34)-IF(COUNT($Z34:AD34),MATCH(9.9E+307,$Z34:AD34),0))&lt;0,0,IF($Z14=0,AD34,AD34-$Z14*COLUMNS($Z34:AD34)-IF(COUNT($Z34:AD34),MATCH(9.9E+307,$Z34:AD34),0))),0)</f>
        <v>0</v>
      </c>
      <c r="AT14" s="435">
        <f>IF(ISNUMBER(AE34),IF(IF($Z14=0,AE34,AE34-$Z14*COLUMNS($Z34:AE34)-IF(COUNT($Z34:AE34),MATCH(9.9E+307,$Z34:AE34),0))&lt;0,0,IF($Z14=0,AE34,AE34-$Z14*COLUMNS($Z34:AE34)-IF(COUNT($Z34:AE34),MATCH(9.9E+307,$Z34:AE34),0))),0)</f>
        <v>0</v>
      </c>
    </row>
    <row r="15" spans="1:46" ht="15" x14ac:dyDescent="0.25">
      <c r="R15" s="48"/>
      <c r="S15" s="48"/>
      <c r="T15" s="48"/>
      <c r="U15" s="48"/>
      <c r="V15" s="48"/>
      <c r="W15" s="48"/>
      <c r="Y15" s="158" t="str">
        <f>IF(Start!$C20="","",Start!$C20)</f>
        <v>Pfizer</v>
      </c>
      <c r="Z15" s="400">
        <f>(SUMIFS('Supply planning data'!$M:$M,'Supply planning data'!$C:$C,$Y15,'Supply planning data'!$D:$D,"="&amp;EDATE($AD$9,0))+SUMIFS('Supply planning data'!$M:$M,'Supply planning data'!$C:$C,$Y15,'Supply planning data'!$D:$D,"="&amp;EDATE($AD$9,-1))+SUMIFS('Supply planning data'!$M:$M,'Supply planning data'!$C:$C,$Y15,'Supply planning data'!$D:$D,"="&amp;EDATE($AD$9,-2)))/3</f>
        <v>96144</v>
      </c>
      <c r="AA15" s="400">
        <f>SUMIFS('Supply planning data'!$V:$V,'Supply planning data'!$C:$C,$Y15,'Supply planning data'!$D:$D,"="&amp;$AD$9)</f>
        <v>110538</v>
      </c>
      <c r="AB15" s="419">
        <f t="shared" si="1"/>
        <v>1.1497129306040939</v>
      </c>
      <c r="AC15" s="400">
        <f>SUMIFS('Supply planning data'!$S:$S,'Supply planning data'!$C:$C,$Y15,'Supply planning data'!$D:$D,"&gt;="&amp;$AD$9)</f>
        <v>3000000</v>
      </c>
      <c r="AD15" s="419">
        <f t="shared" si="2"/>
        <v>31.203195207189218</v>
      </c>
      <c r="AE15" s="464">
        <f t="shared" si="3"/>
        <v>32.352908137793314</v>
      </c>
      <c r="AG15" s="51"/>
      <c r="AH15" s="51"/>
      <c r="AI15" s="51"/>
      <c r="AJ15" s="51"/>
      <c r="AK15" s="51"/>
      <c r="AL15" s="51"/>
      <c r="AM15" s="51"/>
      <c r="AN15" s="158" t="str">
        <f>IF(Start!$C20="","",Start!$C20)</f>
        <v>Pfizer</v>
      </c>
      <c r="AO15" s="434">
        <f t="shared" si="4"/>
        <v>0</v>
      </c>
      <c r="AP15" s="434">
        <f>IF(ISNUMBER(AA35),IF(IF($Z15=0,AA35,AA35-$Z15*COLUMNS($Z35:AA35)-IF(COUNT($Z35:AA35),MATCH(9.9E+307,$Z35:AA35),0))&lt;0,0,IF($Z15=0,AA35,AA35-$Z15*COLUMNS($Z35:AA35)-IF(COUNT($Z35:AA35),MATCH(9.9E+307,$Z35:AA35),0))),0)</f>
        <v>0</v>
      </c>
      <c r="AQ15" s="434">
        <f>IF(ISNUMBER(AB35),IF(IF($Z15=0,AB35,AB35-$Z15*COLUMNS($Z35:AB35)-IF(COUNT($Z35:AB35),MATCH(9.9E+307,$Z35:AB35),0))&lt;0,0,IF($Z15=0,AB35,AB35-$Z15*COLUMNS($Z35:AB35)-IF(COUNT($Z35:AB35),MATCH(9.9E+307,$Z35:AB35),0))),0)</f>
        <v>0</v>
      </c>
      <c r="AR15" s="434">
        <f>IF(ISNUMBER(AC35),IF(IF($Z15=0,AC35,AC35-$Z15*COLUMNS($Z35:AC35)-IF(COUNT($Z35:AC35),MATCH(9.9E+307,$Z35:AC35),0))&lt;0,0,IF($Z15=0,AC35,AC35-$Z15*COLUMNS($Z35:AC35)-IF(COUNT($Z35:AC35),MATCH(9.9E+307,$Z35:AC35),0))),0)</f>
        <v>0</v>
      </c>
      <c r="AS15" s="434">
        <f>IF(ISNUMBER(AD35),IF(IF($Z15=0,AD35,AD35-$Z15*COLUMNS($Z35:AD35)-IF(COUNT($Z35:AD35),MATCH(9.9E+307,$Z35:AD35),0))&lt;0,0,IF($Z15=0,AD35,AD35-$Z15*COLUMNS($Z35:AD35)-IF(COUNT($Z35:AD35),MATCH(9.9E+307,$Z35:AD35),0))),0)</f>
        <v>0</v>
      </c>
      <c r="AT15" s="434">
        <f>IF(ISNUMBER(AE35),IF(IF($Z15=0,AE35,AE35-$Z15*COLUMNS($Z35:AE35)-IF(COUNT($Z35:AE35),MATCH(9.9E+307,$Z35:AE35),0))&lt;0,0,IF($Z15=0,AE35,AE35-$Z15*COLUMNS($Z35:AE35)-IF(COUNT($Z35:AE35),MATCH(9.9E+307,$Z35:AE35),0))),0)</f>
        <v>0</v>
      </c>
    </row>
    <row r="16" spans="1:46" ht="15" x14ac:dyDescent="0.25">
      <c r="R16" s="48"/>
      <c r="S16" s="48"/>
      <c r="T16" s="48"/>
      <c r="U16" s="48"/>
      <c r="V16" s="48"/>
      <c r="W16" s="48"/>
      <c r="Y16" s="133" t="str">
        <f>IF(Start!$C21="","",Start!$C21)</f>
        <v>Sinovac</v>
      </c>
      <c r="Z16" s="403">
        <f>(SUMIFS('Supply planning data'!$M:$M,'Supply planning data'!$C:$C,$Y16,'Supply planning data'!$D:$D,"="&amp;EDATE($AD$9,0))+SUMIFS('Supply planning data'!$M:$M,'Supply planning data'!$C:$C,$Y16,'Supply planning data'!$D:$D,"="&amp;EDATE($AD$9,-1))+SUMIFS('Supply planning data'!$M:$M,'Supply planning data'!$C:$C,$Y16,'Supply planning data'!$D:$D,"="&amp;EDATE($AD$9,-2)))/3</f>
        <v>0</v>
      </c>
      <c r="AA16" s="403">
        <f>SUMIFS('Supply planning data'!$V:$V,'Supply planning data'!$C:$C,$Y16,'Supply planning data'!$D:$D,"="&amp;$AD$9)</f>
        <v>0</v>
      </c>
      <c r="AB16" s="420" t="str">
        <f t="shared" si="1"/>
        <v/>
      </c>
      <c r="AC16" s="403">
        <f>SUMIFS('Supply planning data'!$S:$S,'Supply planning data'!$C:$C,$Y16,'Supply planning data'!$D:$D,"&gt;="&amp;$AD$9)</f>
        <v>0</v>
      </c>
      <c r="AD16" s="420" t="e">
        <f t="shared" si="2"/>
        <v>#N/A</v>
      </c>
      <c r="AE16" s="464" t="e">
        <f t="shared" si="3"/>
        <v>#N/A</v>
      </c>
      <c r="AG16" s="51"/>
      <c r="AH16" s="51"/>
      <c r="AI16" s="51"/>
      <c r="AJ16" s="51"/>
      <c r="AK16" s="51"/>
      <c r="AL16" s="51"/>
      <c r="AM16" s="51"/>
      <c r="AN16" s="133" t="str">
        <f>IF(Start!$C21="","",Start!$C21)</f>
        <v>Sinovac</v>
      </c>
      <c r="AO16" s="435">
        <f t="shared" si="4"/>
        <v>0</v>
      </c>
      <c r="AP16" s="435">
        <f>IF(ISNUMBER(AA36),IF(IF($Z16=0,AA36,AA36-$Z16*COLUMNS($Z36:AA36)-IF(COUNT($Z36:AA36),MATCH(9.9E+307,$Z36:AA36),0))&lt;0,0,IF($Z16=0,AA36,AA36-$Z16*COLUMNS($Z36:AA36)-IF(COUNT($Z36:AA36),MATCH(9.9E+307,$Z36:AA36),0))),0)</f>
        <v>0</v>
      </c>
      <c r="AQ16" s="435">
        <f>IF(ISNUMBER(AB36),IF(IF($Z16=0,AB36,AB36-$Z16*COLUMNS($Z36:AB36)-IF(COUNT($Z36:AB36),MATCH(9.9E+307,$Z36:AB36),0))&lt;0,0,IF($Z16=0,AB36,AB36-$Z16*COLUMNS($Z36:AB36)-IF(COUNT($Z36:AB36),MATCH(9.9E+307,$Z36:AB36),0))),0)</f>
        <v>0</v>
      </c>
      <c r="AR16" s="435">
        <f>IF(ISNUMBER(AC36),IF(IF($Z16=0,AC36,AC36-$Z16*COLUMNS($Z36:AC36)-IF(COUNT($Z36:AC36),MATCH(9.9E+307,$Z36:AC36),0))&lt;0,0,IF($Z16=0,AC36,AC36-$Z16*COLUMNS($Z36:AC36)-IF(COUNT($Z36:AC36),MATCH(9.9E+307,$Z36:AC36),0))),0)</f>
        <v>0</v>
      </c>
      <c r="AS16" s="435">
        <f>IF(ISNUMBER(AD36),IF(IF($Z16=0,AD36,AD36-$Z16*COLUMNS($Z36:AD36)-IF(COUNT($Z36:AD36),MATCH(9.9E+307,$Z36:AD36),0))&lt;0,0,IF($Z16=0,AD36,AD36-$Z16*COLUMNS($Z36:AD36)-IF(COUNT($Z36:AD36),MATCH(9.9E+307,$Z36:AD36),0))),0)</f>
        <v>0</v>
      </c>
      <c r="AT16" s="435">
        <f>IF(ISNUMBER(AE36),IF(IF($Z16=0,AE36,AE36-$Z16*COLUMNS($Z36:AE36)-IF(COUNT($Z36:AE36),MATCH(9.9E+307,$Z36:AE36),0))&lt;0,0,IF($Z16=0,AE36,AE36-$Z16*COLUMNS($Z36:AE36)-IF(COUNT($Z36:AE36),MATCH(9.9E+307,$Z36:AE36),0))),0)</f>
        <v>0</v>
      </c>
    </row>
    <row r="17" spans="2:86" ht="15" x14ac:dyDescent="0.25">
      <c r="R17" s="48"/>
      <c r="S17" s="48"/>
      <c r="T17" s="48"/>
      <c r="U17" s="48"/>
      <c r="V17" s="48"/>
      <c r="W17" s="48"/>
      <c r="Y17" s="158" t="str">
        <f>IF(Start!$C22="","",Start!$C22)</f>
        <v/>
      </c>
      <c r="Z17" s="400">
        <f>(SUMIFS('Supply planning data'!$M:$M,'Supply planning data'!$C:$C,$Y17,'Supply planning data'!$D:$D,"="&amp;EDATE($AD$9,0))+SUMIFS('Supply planning data'!$M:$M,'Supply planning data'!$C:$C,$Y17,'Supply planning data'!$D:$D,"="&amp;EDATE($AD$9,-1))+SUMIFS('Supply planning data'!$M:$M,'Supply planning data'!$C:$C,$Y17,'Supply planning data'!$D:$D,"="&amp;EDATE($AD$9,-2)))/3</f>
        <v>0</v>
      </c>
      <c r="AA17" s="400">
        <f>SUMIFS('Supply planning data'!$V:$V,'Supply planning data'!$C:$C,$Y17,'Supply planning data'!$D:$D,"="&amp;$AD$9)</f>
        <v>0</v>
      </c>
      <c r="AB17" s="419" t="str">
        <f t="shared" si="1"/>
        <v/>
      </c>
      <c r="AC17" s="400">
        <f>SUMIFS('Supply planning data'!$S:$S,'Supply planning data'!$C:$C,$Y17,'Supply planning data'!$D:$D,"&gt;="&amp;$AD$9)</f>
        <v>0</v>
      </c>
      <c r="AD17" s="419" t="e">
        <f t="shared" si="2"/>
        <v>#N/A</v>
      </c>
      <c r="AE17" s="464" t="e">
        <f t="shared" si="3"/>
        <v>#N/A</v>
      </c>
      <c r="AG17" s="51"/>
      <c r="AH17" s="51"/>
      <c r="AI17" s="51"/>
      <c r="AJ17" s="51"/>
      <c r="AK17" s="51"/>
      <c r="AL17" s="51"/>
      <c r="AM17" s="51"/>
      <c r="AN17" s="158" t="str">
        <f>IF(Start!$C22="","",Start!$C22)</f>
        <v/>
      </c>
      <c r="AO17" s="434">
        <f t="shared" si="4"/>
        <v>0</v>
      </c>
      <c r="AP17" s="434">
        <f>IF(ISNUMBER(AA37),IF(IF($Z17=0,AA37,AA37-$Z17*COLUMNS($Z37:AA37)-IF(COUNT($Z37:AA37),MATCH(9.9E+307,$Z37:AA37),0))&lt;0,0,IF($Z17=0,AA37,AA37-$Z17*COLUMNS($Z37:AA37)-IF(COUNT($Z37:AA37),MATCH(9.9E+307,$Z37:AA37),0))),0)</f>
        <v>0</v>
      </c>
      <c r="AQ17" s="434">
        <f>IF(ISNUMBER(AB37),IF(IF($Z17=0,AB37,AB37-$Z17*COLUMNS($Z37:AB37)-IF(COUNT($Z37:AB37),MATCH(9.9E+307,$Z37:AB37),0))&lt;0,0,IF($Z17=0,AB37,AB37-$Z17*COLUMNS($Z37:AB37)-IF(COUNT($Z37:AB37),MATCH(9.9E+307,$Z37:AB37),0))),0)</f>
        <v>0</v>
      </c>
      <c r="AR17" s="434">
        <f>IF(ISNUMBER(AC37),IF(IF($Z17=0,AC37,AC37-$Z17*COLUMNS($Z37:AC37)-IF(COUNT($Z37:AC37),MATCH(9.9E+307,$Z37:AC37),0))&lt;0,0,IF($Z17=0,AC37,AC37-$Z17*COLUMNS($Z37:AC37)-IF(COUNT($Z37:AC37),MATCH(9.9E+307,$Z37:AC37),0))),0)</f>
        <v>0</v>
      </c>
      <c r="AS17" s="434">
        <f>IF(ISNUMBER(AD37),IF(IF($Z17=0,AD37,AD37-$Z17*COLUMNS($Z37:AD37)-IF(COUNT($Z37:AD37),MATCH(9.9E+307,$Z37:AD37),0))&lt;0,0,IF($Z17=0,AD37,AD37-$Z17*COLUMNS($Z37:AD37)-IF(COUNT($Z37:AD37),MATCH(9.9E+307,$Z37:AD37),0))),0)</f>
        <v>0</v>
      </c>
      <c r="AT17" s="434">
        <f>IF(ISNUMBER(AE37),IF(IF($Z17=0,AE37,AE37-$Z17*COLUMNS($Z37:AE37)-IF(COUNT($Z37:AE37),MATCH(9.9E+307,$Z37:AE37),0))&lt;0,0,IF($Z17=0,AE37,AE37-$Z17*COLUMNS($Z37:AE37)-IF(COUNT($Z37:AE37),MATCH(9.9E+307,$Z37:AE37),0))),0)</f>
        <v>0</v>
      </c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</row>
    <row r="18" spans="2:86" ht="15" x14ac:dyDescent="0.25">
      <c r="R18" s="48"/>
      <c r="S18" s="48"/>
      <c r="T18" s="48"/>
      <c r="U18" s="48"/>
      <c r="V18" s="48"/>
      <c r="W18" s="48"/>
      <c r="Y18" s="133" t="str">
        <f>IF(Start!$C23="","",Start!$C23)</f>
        <v/>
      </c>
      <c r="Z18" s="403">
        <f>(SUMIFS('Supply planning data'!$M:$M,'Supply planning data'!$C:$C,$Y18,'Supply planning data'!$D:$D,"="&amp;EDATE($AD$9,0))+SUMIFS('Supply planning data'!$M:$M,'Supply planning data'!$C:$C,$Y18,'Supply planning data'!$D:$D,"="&amp;EDATE($AD$9,-1))+SUMIFS('Supply planning data'!$M:$M,'Supply planning data'!$C:$C,$Y18,'Supply planning data'!$D:$D,"="&amp;EDATE($AD$9,-2)))/3</f>
        <v>0</v>
      </c>
      <c r="AA18" s="403">
        <f>SUMIFS('Supply planning data'!$V:$V,'Supply planning data'!$C:$C,$Y18,'Supply planning data'!$D:$D,"="&amp;$AD$9)</f>
        <v>0</v>
      </c>
      <c r="AB18" s="420" t="str">
        <f t="shared" si="1"/>
        <v/>
      </c>
      <c r="AC18" s="403">
        <f>SUMIFS('Supply planning data'!$S:$S,'Supply planning data'!$C:$C,$Y18,'Supply planning data'!$D:$D,"&gt;="&amp;$AD$9)</f>
        <v>0</v>
      </c>
      <c r="AD18" s="420" t="e">
        <f t="shared" si="2"/>
        <v>#N/A</v>
      </c>
      <c r="AE18" s="464" t="e">
        <f t="shared" si="3"/>
        <v>#N/A</v>
      </c>
      <c r="AG18" s="51"/>
      <c r="AH18" s="51"/>
      <c r="AI18" s="51"/>
      <c r="AJ18" s="51"/>
      <c r="AK18" s="51"/>
      <c r="AL18" s="51"/>
      <c r="AM18" s="51"/>
      <c r="AN18" s="133" t="str">
        <f>IF(Start!$C23="","",Start!$C23)</f>
        <v/>
      </c>
      <c r="AO18" s="435">
        <f t="shared" si="4"/>
        <v>0</v>
      </c>
      <c r="AP18" s="435">
        <f>IF(ISNUMBER(AA38),IF(IF($Z18=0,AA38,AA38-$Z18*COLUMNS($Z38:AA38)-IF(COUNT($Z38:AA38),MATCH(9.9E+307,$Z38:AA38),0))&lt;0,0,IF($Z18=0,AA38,AA38-$Z18*COLUMNS($Z38:AA38)-IF(COUNT($Z38:AA38),MATCH(9.9E+307,$Z38:AA38),0))),0)</f>
        <v>0</v>
      </c>
      <c r="AQ18" s="435">
        <f>IF(ISNUMBER(AB38),IF(IF($Z18=0,AB38,AB38-$Z18*COLUMNS($Z38:AB38)-IF(COUNT($Z38:AB38),MATCH(9.9E+307,$Z38:AB38),0))&lt;0,0,IF($Z18=0,AB38,AB38-$Z18*COLUMNS($Z38:AB38)-IF(COUNT($Z38:AB38),MATCH(9.9E+307,$Z38:AB38),0))),0)</f>
        <v>0</v>
      </c>
      <c r="AR18" s="435">
        <f>IF(ISNUMBER(AC38),IF(IF($Z18=0,AC38,AC38-$Z18*COLUMNS($Z38:AC38)-IF(COUNT($Z38:AC38),MATCH(9.9E+307,$Z38:AC38),0))&lt;0,0,IF($Z18=0,AC38,AC38-$Z18*COLUMNS($Z38:AC38)-IF(COUNT($Z38:AC38),MATCH(9.9E+307,$Z38:AC38),0))),0)</f>
        <v>0</v>
      </c>
      <c r="AS18" s="435">
        <f>IF(ISNUMBER(AD38),IF(IF($Z18=0,AD38,AD38-$Z18*COLUMNS($Z38:AD38)-IF(COUNT($Z38:AD38),MATCH(9.9E+307,$Z38:AD38),0))&lt;0,0,IF($Z18=0,AD38,AD38-$Z18*COLUMNS($Z38:AD38)-IF(COUNT($Z38:AD38),MATCH(9.9E+307,$Z38:AD38),0))),0)</f>
        <v>0</v>
      </c>
      <c r="AT18" s="435">
        <f>IF(ISNUMBER(AE38),IF(IF($Z18=0,AE38,AE38-$Z18*COLUMNS($Z38:AE38)-IF(COUNT($Z38:AE38),MATCH(9.9E+307,$Z38:AE38),0))&lt;0,0,IF($Z18=0,AE38,AE38-$Z18*COLUMNS($Z38:AE38)-IF(COUNT($Z38:AE38),MATCH(9.9E+307,$Z38:AE38),0))),0)</f>
        <v>0</v>
      </c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</row>
    <row r="19" spans="2:86" ht="15" x14ac:dyDescent="0.25">
      <c r="R19" s="48"/>
      <c r="S19" s="48"/>
      <c r="T19" s="48"/>
      <c r="U19" s="48"/>
      <c r="V19" s="48"/>
      <c r="W19" s="48"/>
      <c r="Y19" s="158" t="str">
        <f>IF(Start!$C24="","",Start!$C24)</f>
        <v/>
      </c>
      <c r="Z19" s="400">
        <f>(SUMIFS('Supply planning data'!$M:$M,'Supply planning data'!$C:$C,$Y19,'Supply planning data'!$D:$D,"="&amp;EDATE($AD$9,0))+SUMIFS('Supply planning data'!$M:$M,'Supply planning data'!$C:$C,$Y19,'Supply planning data'!$D:$D,"="&amp;EDATE($AD$9,-1))+SUMIFS('Supply planning data'!$M:$M,'Supply planning data'!$C:$C,$Y19,'Supply planning data'!$D:$D,"="&amp;EDATE($AD$9,-2)))/3</f>
        <v>0</v>
      </c>
      <c r="AA19" s="400">
        <f>SUMIFS('Supply planning data'!$V:$V,'Supply planning data'!$C:$C,$Y19,'Supply planning data'!$D:$D,"="&amp;$AD$9)</f>
        <v>0</v>
      </c>
      <c r="AB19" s="419" t="str">
        <f t="shared" si="1"/>
        <v/>
      </c>
      <c r="AC19" s="400">
        <f>SUMIFS('Supply planning data'!$S:$S,'Supply planning data'!$C:$C,$Y19,'Supply planning data'!$D:$D,"&gt;="&amp;$AD$9)</f>
        <v>0</v>
      </c>
      <c r="AD19" s="419" t="e">
        <f t="shared" si="2"/>
        <v>#N/A</v>
      </c>
      <c r="AE19" s="464" t="e">
        <f t="shared" si="3"/>
        <v>#N/A</v>
      </c>
      <c r="AG19" s="51"/>
      <c r="AH19" s="51"/>
      <c r="AI19" s="51"/>
      <c r="AJ19" s="51"/>
      <c r="AK19" s="51"/>
      <c r="AL19" s="51"/>
      <c r="AM19" s="51"/>
      <c r="AN19" s="158" t="str">
        <f>IF(Start!$C24="","",Start!$C24)</f>
        <v/>
      </c>
      <c r="AO19" s="434">
        <f t="shared" si="4"/>
        <v>0</v>
      </c>
      <c r="AP19" s="434">
        <f>IF(ISNUMBER(AA39),IF(IF($Z19=0,AA39,AA39-$Z19*COLUMNS($Z39:AA39)-IF(COUNT($Z39:AA39),MATCH(9.9E+307,$Z39:AA39),0))&lt;0,0,IF($Z19=0,AA39,AA39-$Z19*COLUMNS($Z39:AA39)-IF(COUNT($Z39:AA39),MATCH(9.9E+307,$Z39:AA39),0))),0)</f>
        <v>0</v>
      </c>
      <c r="AQ19" s="434">
        <f>IF(ISNUMBER(AB39),IF(IF($Z19=0,AB39,AB39-$Z19*COLUMNS($Z39:AB39)-IF(COUNT($Z39:AB39),MATCH(9.9E+307,$Z39:AB39),0))&lt;0,0,IF($Z19=0,AB39,AB39-$Z19*COLUMNS($Z39:AB39)-IF(COUNT($Z39:AB39),MATCH(9.9E+307,$Z39:AB39),0))),0)</f>
        <v>0</v>
      </c>
      <c r="AR19" s="434">
        <f>IF(ISNUMBER(AC39),IF(IF($Z19=0,AC39,AC39-$Z19*COLUMNS($Z39:AC39)-IF(COUNT($Z39:AC39),MATCH(9.9E+307,$Z39:AC39),0))&lt;0,0,IF($Z19=0,AC39,AC39-$Z19*COLUMNS($Z39:AC39)-IF(COUNT($Z39:AC39),MATCH(9.9E+307,$Z39:AC39),0))),0)</f>
        <v>0</v>
      </c>
      <c r="AS19" s="434">
        <f>IF(ISNUMBER(AD39),IF(IF($Z19=0,AD39,AD39-$Z19*COLUMNS($Z39:AD39)-IF(COUNT($Z39:AD39),MATCH(9.9E+307,$Z39:AD39),0))&lt;0,0,IF($Z19=0,AD39,AD39-$Z19*COLUMNS($Z39:AD39)-IF(COUNT($Z39:AD39),MATCH(9.9E+307,$Z39:AD39),0))),0)</f>
        <v>0</v>
      </c>
      <c r="AT19" s="434">
        <f>IF(ISNUMBER(AE39),IF(IF($Z19=0,AE39,AE39-$Z19*COLUMNS($Z39:AE39)-IF(COUNT($Z39:AE39),MATCH(9.9E+307,$Z39:AE39),0))&lt;0,0,IF($Z19=0,AE39,AE39-$Z19*COLUMNS($Z39:AE39)-IF(COUNT($Z39:AE39),MATCH(9.9E+307,$Z39:AE39),0))),0)</f>
        <v>0</v>
      </c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</row>
    <row r="20" spans="2:86" ht="15" x14ac:dyDescent="0.25">
      <c r="R20" s="48"/>
      <c r="S20" s="48"/>
      <c r="T20" s="48"/>
      <c r="U20" s="48"/>
      <c r="V20" s="48"/>
      <c r="W20" s="48"/>
      <c r="Y20" s="133" t="str">
        <f>IF(Start!$C25="","",Start!$C25)</f>
        <v/>
      </c>
      <c r="Z20" s="403">
        <f>(SUMIFS('Supply planning data'!$M:$M,'Supply planning data'!$C:$C,$Y20,'Supply planning data'!$D:$D,"="&amp;EDATE($AD$9,0))+SUMIFS('Supply planning data'!$M:$M,'Supply planning data'!$C:$C,$Y20,'Supply planning data'!$D:$D,"="&amp;EDATE($AD$9,-1))+SUMIFS('Supply planning data'!$M:$M,'Supply planning data'!$C:$C,$Y20,'Supply planning data'!$D:$D,"="&amp;EDATE($AD$9,-2)))/3</f>
        <v>0</v>
      </c>
      <c r="AA20" s="403">
        <f>SUMIFS('Supply planning data'!$V:$V,'Supply planning data'!$C:$C,$Y20,'Supply planning data'!$D:$D,"="&amp;$AD$9)</f>
        <v>0</v>
      </c>
      <c r="AB20" s="420" t="str">
        <f t="shared" si="1"/>
        <v/>
      </c>
      <c r="AC20" s="403">
        <f>SUMIFS('Supply planning data'!$S:$S,'Supply planning data'!$C:$C,$Y20,'Supply planning data'!$D:$D,"&gt;="&amp;$AD$9)</f>
        <v>0</v>
      </c>
      <c r="AD20" s="420" t="e">
        <f t="shared" si="2"/>
        <v>#N/A</v>
      </c>
      <c r="AE20" s="464" t="e">
        <f t="shared" si="3"/>
        <v>#N/A</v>
      </c>
      <c r="AG20" s="51"/>
      <c r="AH20" s="51"/>
      <c r="AI20" s="51"/>
      <c r="AJ20" s="51"/>
      <c r="AK20" s="51"/>
      <c r="AL20" s="51"/>
      <c r="AM20" s="51"/>
      <c r="AN20" s="133" t="str">
        <f>IF(Start!$C25="","",Start!$C25)</f>
        <v/>
      </c>
      <c r="AO20" s="435">
        <f t="shared" si="4"/>
        <v>0</v>
      </c>
      <c r="AP20" s="435">
        <f>IF(ISNUMBER(AA40),IF(IF($Z20=0,AA40,AA40-$Z20*COLUMNS($Z40:AA40)-IF(COUNT($Z40:AA40),MATCH(9.9E+307,$Z40:AA40),0))&lt;0,0,IF($Z20=0,AA40,AA40-$Z20*COLUMNS($Z40:AA40)-IF(COUNT($Z40:AA40),MATCH(9.9E+307,$Z40:AA40),0))),0)</f>
        <v>0</v>
      </c>
      <c r="AQ20" s="435">
        <f>IF(ISNUMBER(AB40),IF(IF($Z20=0,AB40,AB40-$Z20*COLUMNS($Z40:AB40)-IF(COUNT($Z40:AB40),MATCH(9.9E+307,$Z40:AB40),0))&lt;0,0,IF($Z20=0,AB40,AB40-$Z20*COLUMNS($Z40:AB40)-IF(COUNT($Z40:AB40),MATCH(9.9E+307,$Z40:AB40),0))),0)</f>
        <v>0</v>
      </c>
      <c r="AR20" s="435">
        <f>IF(ISNUMBER(AC40),IF(IF($Z20=0,AC40,AC40-$Z20*COLUMNS($Z40:AC40)-IF(COUNT($Z40:AC40),MATCH(9.9E+307,$Z40:AC40),0))&lt;0,0,IF($Z20=0,AC40,AC40-$Z20*COLUMNS($Z40:AC40)-IF(COUNT($Z40:AC40),MATCH(9.9E+307,$Z40:AC40),0))),0)</f>
        <v>0</v>
      </c>
      <c r="AS20" s="435">
        <f>IF(ISNUMBER(AD40),IF(IF($Z20=0,AD40,AD40-$Z20*COLUMNS($Z40:AD40)-IF(COUNT($Z40:AD40),MATCH(9.9E+307,$Z40:AD40),0))&lt;0,0,IF($Z20=0,AD40,AD40-$Z20*COLUMNS($Z40:AD40)-IF(COUNT($Z40:AD40),MATCH(9.9E+307,$Z40:AD40),0))),0)</f>
        <v>0</v>
      </c>
      <c r="AT20" s="435">
        <f>IF(ISNUMBER(AE40),IF(IF($Z20=0,AE40,AE40-$Z20*COLUMNS($Z40:AE40)-IF(COUNT($Z40:AE40),MATCH(9.9E+307,$Z40:AE40),0))&lt;0,0,IF($Z20=0,AE40,AE40-$Z20*COLUMNS($Z40:AE40)-IF(COUNT($Z40:AE40),MATCH(9.9E+307,$Z40:AE40),0))),0)</f>
        <v>0</v>
      </c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</row>
    <row r="21" spans="2:86" ht="15" x14ac:dyDescent="0.25">
      <c r="R21" s="48"/>
      <c r="S21" s="48"/>
      <c r="T21" s="48"/>
      <c r="U21" s="48"/>
      <c r="V21" s="48"/>
      <c r="W21" s="48"/>
      <c r="Y21" s="158" t="str">
        <f>IF(Start!$C26="","",Start!$C26)</f>
        <v/>
      </c>
      <c r="Z21" s="400">
        <f>(SUMIFS('Supply planning data'!$M:$M,'Supply planning data'!$C:$C,$Y21,'Supply planning data'!$D:$D,"="&amp;EDATE($AD$9,0))+SUMIFS('Supply planning data'!$M:$M,'Supply planning data'!$C:$C,$Y21,'Supply planning data'!$D:$D,"="&amp;EDATE($AD$9,-1))+SUMIFS('Supply planning data'!$M:$M,'Supply planning data'!$C:$C,$Y21,'Supply planning data'!$D:$D,"="&amp;EDATE($AD$9,-2)))/3</f>
        <v>0</v>
      </c>
      <c r="AA21" s="400">
        <f>SUMIFS('Supply planning data'!$V:$V,'Supply planning data'!$C:$C,$Y21,'Supply planning data'!$D:$D,"="&amp;$AD$9)</f>
        <v>0</v>
      </c>
      <c r="AB21" s="419" t="str">
        <f t="shared" si="1"/>
        <v/>
      </c>
      <c r="AC21" s="400">
        <f>SUMIFS('Supply planning data'!$S:$S,'Supply planning data'!$C:$C,$Y21,'Supply planning data'!$D:$D,"&gt;="&amp;$AD$9)</f>
        <v>0</v>
      </c>
      <c r="AD21" s="419" t="e">
        <f t="shared" si="2"/>
        <v>#N/A</v>
      </c>
      <c r="AE21" s="464" t="e">
        <f t="shared" si="3"/>
        <v>#N/A</v>
      </c>
      <c r="AG21" s="51"/>
      <c r="AH21" s="51"/>
      <c r="AI21" s="51"/>
      <c r="AJ21" s="51"/>
      <c r="AK21" s="51"/>
      <c r="AL21" s="51"/>
      <c r="AM21" s="51"/>
      <c r="AN21" s="158" t="str">
        <f>IF(Start!$C26="","",Start!$C26)</f>
        <v/>
      </c>
      <c r="AO21" s="434">
        <f t="shared" si="4"/>
        <v>0</v>
      </c>
      <c r="AP21" s="434">
        <f>IF(ISNUMBER(AA41),IF(IF($Z21=0,AA41,AA41-$Z21*COLUMNS($Z41:AA41)-IF(COUNT($Z41:AA41),MATCH(9.9E+307,$Z41:AA41),0))&lt;0,0,IF($Z21=0,AA41,AA41-$Z21*COLUMNS($Z41:AA41)-IF(COUNT($Z41:AA41),MATCH(9.9E+307,$Z41:AA41),0))),0)</f>
        <v>0</v>
      </c>
      <c r="AQ21" s="434">
        <f>IF(ISNUMBER(AB41),IF(IF($Z21=0,AB41,AB41-$Z21*COLUMNS($Z41:AB41)-IF(COUNT($Z41:AB41),MATCH(9.9E+307,$Z41:AB41),0))&lt;0,0,IF($Z21=0,AB41,AB41-$Z21*COLUMNS($Z41:AB41)-IF(COUNT($Z41:AB41),MATCH(9.9E+307,$Z41:AB41),0))),0)</f>
        <v>0</v>
      </c>
      <c r="AR21" s="434">
        <f>IF(ISNUMBER(AC41),IF(IF($Z21=0,AC41,AC41-$Z21*COLUMNS($Z41:AC41)-IF(COUNT($Z41:AC41),MATCH(9.9E+307,$Z41:AC41),0))&lt;0,0,IF($Z21=0,AC41,AC41-$Z21*COLUMNS($Z41:AC41)-IF(COUNT($Z41:AC41),MATCH(9.9E+307,$Z41:AC41),0))),0)</f>
        <v>0</v>
      </c>
      <c r="AS21" s="434">
        <f>IF(ISNUMBER(AD41),IF(IF($Z21=0,AD41,AD41-$Z21*COLUMNS($Z41:AD41)-IF(COUNT($Z41:AD41),MATCH(9.9E+307,$Z41:AD41),0))&lt;0,0,IF($Z21=0,AD41,AD41-$Z21*COLUMNS($Z41:AD41)-IF(COUNT($Z41:AD41),MATCH(9.9E+307,$Z41:AD41),0))),0)</f>
        <v>0</v>
      </c>
      <c r="AT21" s="434">
        <f>IF(ISNUMBER(AE41),IF(IF($Z21=0,AE41,AE41-$Z21*COLUMNS($Z41:AE41)-IF(COUNT($Z41:AE41),MATCH(9.9E+307,$Z41:AE41),0))&lt;0,0,IF($Z21=0,AE41,AE41-$Z21*COLUMNS($Z41:AE41)-IF(COUNT($Z41:AE41),MATCH(9.9E+307,$Z41:AE41),0))),0)</f>
        <v>0</v>
      </c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</row>
    <row r="22" spans="2:86" ht="15" x14ac:dyDescent="0.25">
      <c r="R22" s="48"/>
      <c r="S22" s="48"/>
      <c r="T22" s="48"/>
      <c r="U22" s="48"/>
      <c r="V22" s="48"/>
      <c r="W22" s="48"/>
      <c r="Y22" s="133" t="str">
        <f>IF(Start!$C27="","",Start!$C27)</f>
        <v/>
      </c>
      <c r="Z22" s="403">
        <f>(SUMIFS('Supply planning data'!$M:$M,'Supply planning data'!$C:$C,$Y22,'Supply planning data'!$D:$D,"="&amp;EDATE($AD$9,0))+SUMIFS('Supply planning data'!$M:$M,'Supply planning data'!$C:$C,$Y22,'Supply planning data'!$D:$D,"="&amp;EDATE($AD$9,-1))+SUMIFS('Supply planning data'!$M:$M,'Supply planning data'!$C:$C,$Y22,'Supply planning data'!$D:$D,"="&amp;EDATE($AD$9,-2)))/3</f>
        <v>0</v>
      </c>
      <c r="AA22" s="403">
        <f>SUMIFS('Supply planning data'!$V:$V,'Supply planning data'!$C:$C,$Y22,'Supply planning data'!$D:$D,"="&amp;$AD$9)</f>
        <v>0</v>
      </c>
      <c r="AB22" s="420" t="str">
        <f t="shared" si="1"/>
        <v/>
      </c>
      <c r="AC22" s="403">
        <f>SUMIFS('Supply planning data'!$S:$S,'Supply planning data'!$C:$C,$Y22,'Supply planning data'!$D:$D,"&gt;="&amp;$AD$9)</f>
        <v>0</v>
      </c>
      <c r="AD22" s="420" t="e">
        <f t="shared" si="2"/>
        <v>#N/A</v>
      </c>
      <c r="AE22" s="464" t="e">
        <f t="shared" si="3"/>
        <v>#N/A</v>
      </c>
      <c r="AG22" s="51"/>
      <c r="AH22" s="51"/>
      <c r="AI22" s="51"/>
      <c r="AJ22" s="51"/>
      <c r="AK22" s="51"/>
      <c r="AL22" s="51"/>
      <c r="AM22" s="51"/>
      <c r="AN22" s="133" t="str">
        <f>IF(Start!$C27="","",Start!$C27)</f>
        <v/>
      </c>
      <c r="AO22" s="435">
        <f t="shared" si="4"/>
        <v>0</v>
      </c>
      <c r="AP22" s="435">
        <f>IF(ISNUMBER(AA42),IF(IF($Z22=0,AA42,AA42-$Z22*COLUMNS($Z42:AA42)-IF(COUNT($Z42:AA42),MATCH(9.9E+307,$Z42:AA42),0))&lt;0,0,IF($Z22=0,AA42,AA42-$Z22*COLUMNS($Z42:AA42)-IF(COUNT($Z42:AA42),MATCH(9.9E+307,$Z42:AA42),0))),0)</f>
        <v>0</v>
      </c>
      <c r="AQ22" s="435">
        <f>IF(ISNUMBER(AB42),IF(IF($Z22=0,AB42,AB42-$Z22*COLUMNS($Z42:AB42)-IF(COUNT($Z42:AB42),MATCH(9.9E+307,$Z42:AB42),0))&lt;0,0,IF($Z22=0,AB42,AB42-$Z22*COLUMNS($Z42:AB42)-IF(COUNT($Z42:AB42),MATCH(9.9E+307,$Z42:AB42),0))),0)</f>
        <v>0</v>
      </c>
      <c r="AR22" s="435">
        <f>IF(ISNUMBER(AC42),IF(IF($Z22=0,AC42,AC42-$Z22*COLUMNS($Z42:AC42)-IF(COUNT($Z42:AC42),MATCH(9.9E+307,$Z42:AC42),0))&lt;0,0,IF($Z22=0,AC42,AC42-$Z22*COLUMNS($Z42:AC42)-IF(COUNT($Z42:AC42),MATCH(9.9E+307,$Z42:AC42),0))),0)</f>
        <v>0</v>
      </c>
      <c r="AS22" s="435">
        <f>IF(ISNUMBER(AD42),IF(IF($Z22=0,AD42,AD42-$Z22*COLUMNS($Z42:AD42)-IF(COUNT($Z42:AD42),MATCH(9.9E+307,$Z42:AD42),0))&lt;0,0,IF($Z22=0,AD42,AD42-$Z22*COLUMNS($Z42:AD42)-IF(COUNT($Z42:AD42),MATCH(9.9E+307,$Z42:AD42),0))),0)</f>
        <v>0</v>
      </c>
      <c r="AT22" s="435">
        <f>IF(ISNUMBER(AE42),IF(IF($Z22=0,AE42,AE42-$Z22*COLUMNS($Z42:AE42)-IF(COUNT($Z42:AE42),MATCH(9.9E+307,$Z42:AE42),0))&lt;0,0,IF($Z22=0,AE42,AE42-$Z22*COLUMNS($Z42:AE42)-IF(COUNT($Z42:AE42),MATCH(9.9E+307,$Z42:AE42),0))),0)</f>
        <v>0</v>
      </c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</row>
    <row r="23" spans="2:86" ht="15" x14ac:dyDescent="0.25">
      <c r="R23" s="48"/>
      <c r="S23" s="48"/>
      <c r="T23" s="48"/>
      <c r="U23" s="48"/>
      <c r="V23" s="48"/>
      <c r="W23" s="48"/>
      <c r="Y23" s="158" t="str">
        <f>IF(Start!$C28="","",Start!$C28)</f>
        <v/>
      </c>
      <c r="Z23" s="400">
        <f>(SUMIFS('Supply planning data'!$M:$M,'Supply planning data'!$C:$C,$Y23,'Supply planning data'!$D:$D,"="&amp;EDATE($AD$9,0))+SUMIFS('Supply planning data'!$M:$M,'Supply planning data'!$C:$C,$Y23,'Supply planning data'!$D:$D,"="&amp;EDATE($AD$9,-1))+SUMIFS('Supply planning data'!$M:$M,'Supply planning data'!$C:$C,$Y23,'Supply planning data'!$D:$D,"="&amp;EDATE($AD$9,-2)))/3</f>
        <v>0</v>
      </c>
      <c r="AA23" s="400">
        <f>SUMIFS('Supply planning data'!$V:$V,'Supply planning data'!$C:$C,$Y23,'Supply planning data'!$D:$D,"="&amp;$AD$9)</f>
        <v>0</v>
      </c>
      <c r="AB23" s="419" t="str">
        <f t="shared" si="1"/>
        <v/>
      </c>
      <c r="AC23" s="400">
        <f>SUMIFS('Supply planning data'!$S:$S,'Supply planning data'!$C:$C,$Y23,'Supply planning data'!$D:$D,"&gt;="&amp;$AD$9)</f>
        <v>0</v>
      </c>
      <c r="AD23" s="419" t="e">
        <f t="shared" si="2"/>
        <v>#N/A</v>
      </c>
      <c r="AE23" s="464" t="e">
        <f t="shared" si="3"/>
        <v>#N/A</v>
      </c>
      <c r="AG23" s="51"/>
      <c r="AH23" s="51"/>
      <c r="AI23" s="51"/>
      <c r="AJ23" s="51"/>
      <c r="AK23" s="51"/>
      <c r="AL23" s="51"/>
      <c r="AM23" s="51"/>
      <c r="AN23" s="158" t="str">
        <f>IF(Start!$C28="","",Start!$C28)</f>
        <v/>
      </c>
      <c r="AO23" s="434">
        <f t="shared" si="4"/>
        <v>0</v>
      </c>
      <c r="AP23" s="434">
        <f>IF(ISNUMBER(AA43),IF(IF($Z23=0,AA43,AA43-$Z23*COLUMNS($Z43:AA43)-IF(COUNT($Z43:AA43),MATCH(9.9E+307,$Z43:AA43),0))&lt;0,0,IF($Z23=0,AA43,AA43-$Z23*COLUMNS($Z43:AA43)-IF(COUNT($Z43:AA43),MATCH(9.9E+307,$Z43:AA43),0))),0)</f>
        <v>0</v>
      </c>
      <c r="AQ23" s="434">
        <f>IF(ISNUMBER(AB43),IF(IF($Z23=0,AB43,AB43-$Z23*COLUMNS($Z43:AB43)-IF(COUNT($Z43:AB43),MATCH(9.9E+307,$Z43:AB43),0))&lt;0,0,IF($Z23=0,AB43,AB43-$Z23*COLUMNS($Z43:AB43)-IF(COUNT($Z43:AB43),MATCH(9.9E+307,$Z43:AB43),0))),0)</f>
        <v>0</v>
      </c>
      <c r="AR23" s="434">
        <f>IF(ISNUMBER(AC43),IF(IF($Z23=0,AC43,AC43-$Z23*COLUMNS($Z43:AC43)-IF(COUNT($Z43:AC43),MATCH(9.9E+307,$Z43:AC43),0))&lt;0,0,IF($Z23=0,AC43,AC43-$Z23*COLUMNS($Z43:AC43)-IF(COUNT($Z43:AC43),MATCH(9.9E+307,$Z43:AC43),0))),0)</f>
        <v>0</v>
      </c>
      <c r="AS23" s="434">
        <f>IF(ISNUMBER(AD43),IF(IF($Z23=0,AD43,AD43-$Z23*COLUMNS($Z43:AD43)-IF(COUNT($Z43:AD43),MATCH(9.9E+307,$Z43:AD43),0))&lt;0,0,IF($Z23=0,AD43,AD43-$Z23*COLUMNS($Z43:AD43)-IF(COUNT($Z43:AD43),MATCH(9.9E+307,$Z43:AD43),0))),0)</f>
        <v>0</v>
      </c>
      <c r="AT23" s="434">
        <f>IF(ISNUMBER(AE43),IF(IF($Z23=0,AE43,AE43-$Z23*COLUMNS($Z43:AE43)-IF(COUNT($Z43:AE43),MATCH(9.9E+307,$Z43:AE43),0))&lt;0,0,IF($Z23=0,AE43,AE43-$Z23*COLUMNS($Z43:AE43)-IF(COUNT($Z43:AE43),MATCH(9.9E+307,$Z43:AE43),0))),0)</f>
        <v>0</v>
      </c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</row>
    <row r="24" spans="2:86" ht="15" x14ac:dyDescent="0.25">
      <c r="R24" s="48"/>
      <c r="S24" s="48"/>
      <c r="T24" s="48"/>
      <c r="U24" s="48"/>
      <c r="V24" s="48"/>
      <c r="W24" s="48"/>
      <c r="Y24" s="133" t="str">
        <f>IF(Start!$C29="","",Start!$C29)</f>
        <v/>
      </c>
      <c r="Z24" s="403">
        <f>(SUMIFS('Supply planning data'!$M:$M,'Supply planning data'!$C:$C,$Y24,'Supply planning data'!$D:$D,"="&amp;EDATE($AD$9,0))+SUMIFS('Supply planning data'!$M:$M,'Supply planning data'!$C:$C,$Y24,'Supply planning data'!$D:$D,"="&amp;EDATE($AD$9,-1))+SUMIFS('Supply planning data'!$M:$M,'Supply planning data'!$C:$C,$Y24,'Supply planning data'!$D:$D,"="&amp;EDATE($AD$9,-2)))/3</f>
        <v>0</v>
      </c>
      <c r="AA24" s="403">
        <f>SUMIFS('Supply planning data'!$V:$V,'Supply planning data'!$C:$C,$Y24,'Supply planning data'!$D:$D,"="&amp;$AD$9)</f>
        <v>0</v>
      </c>
      <c r="AB24" s="420" t="str">
        <f t="shared" si="1"/>
        <v/>
      </c>
      <c r="AC24" s="403">
        <f>SUMIFS('Supply planning data'!$S:$S,'Supply planning data'!$C:$C,$Y24,'Supply planning data'!$D:$D,"&gt;="&amp;$AD$9)</f>
        <v>0</v>
      </c>
      <c r="AD24" s="420" t="e">
        <f t="shared" si="2"/>
        <v>#N/A</v>
      </c>
      <c r="AE24" s="464" t="e">
        <f t="shared" si="3"/>
        <v>#N/A</v>
      </c>
      <c r="AG24" s="51"/>
      <c r="AH24" s="51"/>
      <c r="AI24" s="51"/>
      <c r="AJ24" s="51"/>
      <c r="AK24" s="51"/>
      <c r="AL24" s="51"/>
      <c r="AM24" s="51"/>
      <c r="AN24" s="133" t="str">
        <f>IF(Start!$C29="","",Start!$C29)</f>
        <v/>
      </c>
      <c r="AO24" s="435">
        <f t="shared" si="4"/>
        <v>0</v>
      </c>
      <c r="AP24" s="435">
        <f>IF(ISNUMBER(AA44),IF(IF($Z24=0,AA44,AA44-$Z24*COLUMNS($Z44:AA44)-IF(COUNT($Z44:AA44),MATCH(9.9E+307,$Z44:AA44),0))&lt;0,0,IF($Z24=0,AA44,AA44-$Z24*COLUMNS($Z44:AA44)-IF(COUNT($Z44:AA44),MATCH(9.9E+307,$Z44:AA44),0))),0)</f>
        <v>0</v>
      </c>
      <c r="AQ24" s="435">
        <f>IF(ISNUMBER(AB44),IF(IF($Z24=0,AB44,AB44-$Z24*COLUMNS($Z44:AB44)-IF(COUNT($Z44:AB44),MATCH(9.9E+307,$Z44:AB44),0))&lt;0,0,IF($Z24=0,AB44,AB44-$Z24*COLUMNS($Z44:AB44)-IF(COUNT($Z44:AB44),MATCH(9.9E+307,$Z44:AB44),0))),0)</f>
        <v>0</v>
      </c>
      <c r="AR24" s="435">
        <f>IF(ISNUMBER(AC44),IF(IF($Z24=0,AC44,AC44-$Z24*COLUMNS($Z44:AC44)-IF(COUNT($Z44:AC44),MATCH(9.9E+307,$Z44:AC44),0))&lt;0,0,IF($Z24=0,AC44,AC44-$Z24*COLUMNS($Z44:AC44)-IF(COUNT($Z44:AC44),MATCH(9.9E+307,$Z44:AC44),0))),0)</f>
        <v>0</v>
      </c>
      <c r="AS24" s="435">
        <f>IF(ISNUMBER(AD44),IF(IF($Z24=0,AD44,AD44-$Z24*COLUMNS($Z44:AD44)-IF(COUNT($Z44:AD44),MATCH(9.9E+307,$Z44:AD44),0))&lt;0,0,IF($Z24=0,AD44,AD44-$Z24*COLUMNS($Z44:AD44)-IF(COUNT($Z44:AD44),MATCH(9.9E+307,$Z44:AD44),0))),0)</f>
        <v>0</v>
      </c>
      <c r="AT24" s="435">
        <f>IF(ISNUMBER(AE44),IF(IF($Z24=0,AE44,AE44-$Z24*COLUMNS($Z44:AE44)-IF(COUNT($Z44:AE44),MATCH(9.9E+307,$Z44:AE44),0))&lt;0,0,IF($Z24=0,AE44,AE44-$Z24*COLUMNS($Z44:AE44)-IF(COUNT($Z44:AE44),MATCH(9.9E+307,$Z44:AE44),0))),0)</f>
        <v>0</v>
      </c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</row>
    <row r="25" spans="2:86" ht="15" x14ac:dyDescent="0.25">
      <c r="R25" s="48"/>
      <c r="S25" s="48"/>
      <c r="T25" s="48"/>
      <c r="U25" s="48"/>
      <c r="V25" s="48"/>
      <c r="W25" s="48"/>
      <c r="Y25" s="158" t="str">
        <f>IF(Start!$C30="","",Start!$C30)</f>
        <v/>
      </c>
      <c r="Z25" s="400">
        <f>(SUMIFS('Supply planning data'!$M:$M,'Supply planning data'!$C:$C,$Y25,'Supply planning data'!$D:$D,"="&amp;EDATE($AD$9,0))+SUMIFS('Supply planning data'!$M:$M,'Supply planning data'!$C:$C,$Y25,'Supply planning data'!$D:$D,"="&amp;EDATE($AD$9,-1))+SUMIFS('Supply planning data'!$M:$M,'Supply planning data'!$C:$C,$Y25,'Supply planning data'!$D:$D,"="&amp;EDATE($AD$9,-2)))/3</f>
        <v>0</v>
      </c>
      <c r="AA25" s="400">
        <f>SUMIFS('Supply planning data'!$V:$V,'Supply planning data'!$C:$C,$Y25,'Supply planning data'!$D:$D,"="&amp;$AD$9)</f>
        <v>0</v>
      </c>
      <c r="AB25" s="419" t="str">
        <f t="shared" si="1"/>
        <v/>
      </c>
      <c r="AC25" s="400">
        <f>SUMIFS('Supply planning data'!$S:$S,'Supply planning data'!$C:$C,$Y25,'Supply planning data'!$D:$D,"&gt;="&amp;$AD$9)</f>
        <v>0</v>
      </c>
      <c r="AD25" s="419" t="e">
        <f t="shared" si="2"/>
        <v>#N/A</v>
      </c>
      <c r="AE25" s="464" t="e">
        <f t="shared" si="3"/>
        <v>#N/A</v>
      </c>
      <c r="AG25" s="51"/>
      <c r="AH25" s="51"/>
      <c r="AI25" s="51"/>
      <c r="AJ25" s="51"/>
      <c r="AK25" s="51"/>
      <c r="AL25" s="51"/>
      <c r="AM25" s="51"/>
      <c r="AN25" s="158" t="str">
        <f>IF(Start!$C30="","",Start!$C30)</f>
        <v/>
      </c>
      <c r="AO25" s="434">
        <f t="shared" si="4"/>
        <v>0</v>
      </c>
      <c r="AP25" s="434">
        <f>IF(ISNUMBER(AA45),IF(IF($Z25=0,AA45,AA45-$Z25*COLUMNS($Z45:AA45)-IF(COUNT($Z45:AA45),MATCH(9.9E+307,$Z45:AA45),0))&lt;0,0,IF($Z25=0,AA45,AA45-$Z25*COLUMNS($Z45:AA45)-IF(COUNT($Z45:AA45),MATCH(9.9E+307,$Z45:AA45),0))),0)</f>
        <v>0</v>
      </c>
      <c r="AQ25" s="434">
        <f>IF(ISNUMBER(AB45),IF(IF($Z25=0,AB45,AB45-$Z25*COLUMNS($Z45:AB45)-IF(COUNT($Z45:AB45),MATCH(9.9E+307,$Z45:AB45),0))&lt;0,0,IF($Z25=0,AB45,AB45-$Z25*COLUMNS($Z45:AB45)-IF(COUNT($Z45:AB45),MATCH(9.9E+307,$Z45:AB45),0))),0)</f>
        <v>0</v>
      </c>
      <c r="AR25" s="434">
        <f>IF(ISNUMBER(AC45),IF(IF($Z25=0,AC45,AC45-$Z25*COLUMNS($Z45:AC45)-IF(COUNT($Z45:AC45),MATCH(9.9E+307,$Z45:AC45),0))&lt;0,0,IF($Z25=0,AC45,AC45-$Z25*COLUMNS($Z45:AC45)-IF(COUNT($Z45:AC45),MATCH(9.9E+307,$Z45:AC45),0))),0)</f>
        <v>0</v>
      </c>
      <c r="AS25" s="434">
        <f>IF(ISNUMBER(AD45),IF(IF($Z25=0,AD45,AD45-$Z25*COLUMNS($Z45:AD45)-IF(COUNT($Z45:AD45),MATCH(9.9E+307,$Z45:AD45),0))&lt;0,0,IF($Z25=0,AD45,AD45-$Z25*COLUMNS($Z45:AD45)-IF(COUNT($Z45:AD45),MATCH(9.9E+307,$Z45:AD45),0))),0)</f>
        <v>0</v>
      </c>
      <c r="AT25" s="434">
        <f>IF(ISNUMBER(AE45),IF(IF($Z25=0,AE45,AE45-$Z25*COLUMNS($Z45:AE45)-IF(COUNT($Z45:AE45),MATCH(9.9E+307,$Z45:AE45),0))&lt;0,0,IF($Z25=0,AE45,AE45-$Z25*COLUMNS($Z45:AE45)-IF(COUNT($Z45:AE45),MATCH(9.9E+307,$Z45:AE45),0))),0)</f>
        <v>0</v>
      </c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</row>
    <row r="26" spans="2:86" ht="15.75" thickBot="1" x14ac:dyDescent="0.3">
      <c r="F26" s="74"/>
      <c r="G26" s="74"/>
      <c r="H26" s="74"/>
      <c r="I26" s="74"/>
      <c r="R26" s="48"/>
      <c r="S26" s="48"/>
      <c r="T26" s="48"/>
      <c r="U26" s="48"/>
      <c r="V26" s="48"/>
      <c r="W26" s="48"/>
      <c r="Y26" s="134" t="str">
        <f>IF(Start!$C31="","",Start!$C31)</f>
        <v/>
      </c>
      <c r="Z26" s="406">
        <f>(SUMIFS('Supply planning data'!$M:$M,'Supply planning data'!$C:$C,$Y26,'Supply planning data'!$D:$D,"="&amp;EDATE($AD$9,0))+SUMIFS('Supply planning data'!$M:$M,'Supply planning data'!$C:$C,$Y26,'Supply planning data'!$D:$D,"="&amp;EDATE($AD$9,-1))+SUMIFS('Supply planning data'!$M:$M,'Supply planning data'!$C:$C,$Y26,'Supply planning data'!$D:$D,"="&amp;EDATE($AD$9,-2)))/3</f>
        <v>0</v>
      </c>
      <c r="AA26" s="406">
        <f>SUMIFS('Supply planning data'!$V:$V,'Supply planning data'!$C:$C,$Y26,'Supply planning data'!$D:$D,"="&amp;$AD$9)</f>
        <v>0</v>
      </c>
      <c r="AB26" s="421" t="str">
        <f t="shared" si="1"/>
        <v/>
      </c>
      <c r="AC26" s="406">
        <f>SUMIFS('Supply planning data'!$S:$S,'Supply planning data'!$C:$C,$Y26,'Supply planning data'!$D:$D,"&gt;="&amp;$AD$9)</f>
        <v>0</v>
      </c>
      <c r="AD26" s="421" t="e">
        <f t="shared" si="2"/>
        <v>#N/A</v>
      </c>
      <c r="AE26" s="464" t="e">
        <f t="shared" si="3"/>
        <v>#N/A</v>
      </c>
      <c r="AG26" s="51"/>
      <c r="AH26" s="51"/>
      <c r="AI26" s="51"/>
      <c r="AJ26" s="51"/>
      <c r="AK26" s="51"/>
      <c r="AL26" s="51"/>
      <c r="AM26" s="51"/>
      <c r="AN26" s="134" t="str">
        <f>IF(Start!$C31="","",Start!$C31)</f>
        <v/>
      </c>
      <c r="AO26" s="436">
        <f t="shared" si="4"/>
        <v>0</v>
      </c>
      <c r="AP26" s="436">
        <f>IF(ISNUMBER(AA46),IF(IF($Z26=0,AA46,AA46-$Z26*COLUMNS($Z46:AA46)-IF(COUNT($Z46:AA46),MATCH(9.9E+307,$Z46:AA46),0))&lt;0,0,IF($Z26=0,AA46,AA46-$Z26*COLUMNS($Z46:AA46)-IF(COUNT($Z46:AA46),MATCH(9.9E+307,$Z46:AA46),0))),0)</f>
        <v>0</v>
      </c>
      <c r="AQ26" s="436">
        <f>IF(ISNUMBER(AB46),IF(IF($Z26=0,AB46,AB46-$Z26*COLUMNS($Z46:AB46)-IF(COUNT($Z46:AB46),MATCH(9.9E+307,$Z46:AB46),0))&lt;0,0,IF($Z26=0,AB46,AB46-$Z26*COLUMNS($Z46:AB46)-IF(COUNT($Z46:AB46),MATCH(9.9E+307,$Z46:AB46),0))),0)</f>
        <v>0</v>
      </c>
      <c r="AR26" s="436">
        <f>IF(ISNUMBER(AC46),IF(IF($Z26=0,AC46,AC46-$Z26*COLUMNS($Z46:AC46)-IF(COUNT($Z46:AC46),MATCH(9.9E+307,$Z46:AC46),0))&lt;0,0,IF($Z26=0,AC46,AC46-$Z26*COLUMNS($Z46:AC46)-IF(COUNT($Z46:AC46),MATCH(9.9E+307,$Z46:AC46),0))),0)</f>
        <v>0</v>
      </c>
      <c r="AS26" s="436">
        <f>IF(ISNUMBER(AD46),IF(IF($Z26=0,AD46,AD46-$Z26*COLUMNS($Z46:AD46)-IF(COUNT($Z46:AD46),MATCH(9.9E+307,$Z46:AD46),0))&lt;0,0,IF($Z26=0,AD46,AD46-$Z26*COLUMNS($Z46:AD46)-IF(COUNT($Z46:AD46),MATCH(9.9E+307,$Z46:AD46),0))),0)</f>
        <v>0</v>
      </c>
      <c r="AT26" s="436">
        <f>IF(ISNUMBER(AE46),IF(IF($Z26=0,AE46,AE46-$Z26*COLUMNS($Z46:AE46)-IF(COUNT($Z46:AE46),MATCH(9.9E+307,$Z46:AE46),0))&lt;0,0,IF($Z26=0,AE46,AE46-$Z26*COLUMNS($Z46:AE46)-IF(COUNT($Z46:AE46),MATCH(9.9E+307,$Z46:AE46),0))),0)</f>
        <v>0</v>
      </c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</row>
    <row r="27" spans="2:86" ht="15" x14ac:dyDescent="0.25">
      <c r="F27" s="74"/>
      <c r="G27" s="74"/>
      <c r="H27" s="74"/>
      <c r="I27" s="74"/>
      <c r="R27" s="48"/>
      <c r="S27" s="48"/>
      <c r="T27" s="48"/>
      <c r="U27" s="48"/>
      <c r="V27" s="48"/>
      <c r="W27" s="48"/>
      <c r="Y27" s="439" t="s">
        <v>246</v>
      </c>
      <c r="Z27" s="440">
        <f>(SUMIFS('Supply planning data'!$M:$M,'Supply planning data'!$D:$D,"="&amp;EDATE($AD$9,0))+SUMIFS('Supply planning data'!$M:$M,'Supply planning data'!$D:$D,"="&amp;EDATE($AD$9,-1))+SUMIFS('Supply planning data'!$M:$M,'Supply planning data'!$D:$D,"="&amp;EDATE($AD$9,-2)))/3</f>
        <v>299950.66666666669</v>
      </c>
      <c r="AA27" s="440">
        <f>SUMIF(AA12:AA26,"&gt;0")</f>
        <v>2169285</v>
      </c>
      <c r="AB27" s="441">
        <f>IFERROR(AA27/Z27,"")</f>
        <v>7.2321392851268866</v>
      </c>
      <c r="AC27" s="440">
        <f>SUMIF(AC12:AC26,"&gt;0")</f>
        <v>3000000</v>
      </c>
      <c r="AD27" s="441">
        <f t="shared" si="2"/>
        <v>10.001644714908673</v>
      </c>
      <c r="AE27" s="464">
        <f t="shared" si="3"/>
        <v>17.233784000035559</v>
      </c>
      <c r="AG27" s="51"/>
      <c r="AH27" s="51"/>
      <c r="AI27" s="51"/>
      <c r="AJ27" s="51"/>
      <c r="AK27" s="51"/>
      <c r="AL27" s="51"/>
      <c r="AM27" s="51"/>
      <c r="AN27" s="439" t="s">
        <v>246</v>
      </c>
      <c r="AO27" s="445">
        <f t="shared" si="4"/>
        <v>0</v>
      </c>
      <c r="AP27" s="445">
        <f>IF(ISNUMBER(AA47),IF(IF($Z27=0,AA47,AA47-$Z27*COLUMNS($Z47:AA47)-IF(COUNT($Z47:AA47),MATCH(9.9E+307,$Z47:AA47),0))&lt;0,0,IF($Z27=0,AA47,AA47-$Z27*COLUMNS($Z47:AA47)-IF(COUNT($Z47:AA47),MATCH(9.9E+307,$Z47:AA47),0))),0)</f>
        <v>0</v>
      </c>
      <c r="AQ27" s="445">
        <f>IF(ISNUMBER(AB47),IF(IF($Z27=0,AB47,AB47-$Z27*COLUMNS($Z47:AB47)-IF(COUNT($Z47:AB47),MATCH(9.9E+307,$Z47:AB47),0))&lt;0,0,IF($Z27=0,AB47,AB47-$Z27*COLUMNS($Z47:AB47)-IF(COUNT($Z47:AB47),MATCH(9.9E+307,$Z47:AB47),0))),0)</f>
        <v>0</v>
      </c>
      <c r="AR27" s="445">
        <f>IF(ISNUMBER(AC47),IF(IF($Z27=0,AC47,AC47-$Z27*COLUMNS($Z47:AC47)-IF(COUNT($Z47:AC47),MATCH(9.9E+307,$Z47:AC47),0))&lt;0,0,IF($Z27=0,AC47,AC47-$Z27*COLUMNS($Z47:AC47)-IF(COUNT($Z47:AC47),MATCH(9.9E+307,$Z47:AC47),0))),0)</f>
        <v>0</v>
      </c>
      <c r="AS27" s="445">
        <f>IF(ISNUMBER(AD47),IF(IF($Z27=0,AD47,AD47-$Z27*COLUMNS($Z47:AD47)-IF(COUNT($Z47:AD47),MATCH(9.9E+307,$Z47:AD47),0))&lt;0,0,IF($Z27=0,AD47,AD47-$Z27*COLUMNS($Z47:AD47)-IF(COUNT($Z47:AD47),MATCH(9.9E+307,$Z47:AD47),0))),0)</f>
        <v>0</v>
      </c>
      <c r="AT27" s="445">
        <f>IF(ISNUMBER(AE47),IF(IF($Z27=0,AE47,AE47-$Z27*COLUMNS($Z47:AE47)-IF(COUNT($Z47:AE47),MATCH(9.9E+307,$Z47:AE47),0))&lt;0,0,IF($Z27=0,AE47,AE47-$Z27*COLUMNS($Z47:AE47)-IF(COUNT($Z47:AE47),MATCH(9.9E+307,$Z47:AE47),0))),0)</f>
        <v>0</v>
      </c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</row>
    <row r="28" spans="2:86" ht="15" x14ac:dyDescent="0.25">
      <c r="R28" s="48"/>
      <c r="S28" s="48"/>
      <c r="T28" s="48"/>
      <c r="U28" s="48"/>
      <c r="V28" s="48"/>
      <c r="W28" s="48"/>
      <c r="Y28" s="489" t="s">
        <v>247</v>
      </c>
      <c r="Z28" s="425"/>
      <c r="AA28" s="425"/>
      <c r="AB28" s="426"/>
      <c r="AC28" s="425"/>
      <c r="AD28" s="426"/>
      <c r="AI28" s="427"/>
      <c r="AN28" s="489" t="s">
        <v>247</v>
      </c>
      <c r="AS28" s="260"/>
      <c r="AT28" s="260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</row>
    <row r="29" spans="2:86" ht="22.5" customHeight="1" x14ac:dyDescent="0.25">
      <c r="B29" s="81" t="s">
        <v>224</v>
      </c>
      <c r="C29" s="79"/>
      <c r="D29" s="79"/>
      <c r="E29" s="80"/>
      <c r="F29" s="80"/>
      <c r="G29" s="80"/>
      <c r="H29" s="80"/>
      <c r="I29" s="79"/>
      <c r="J29" s="79"/>
      <c r="K29" s="79"/>
      <c r="L29" s="79"/>
      <c r="M29" s="79"/>
      <c r="O29" s="81" t="s">
        <v>248</v>
      </c>
      <c r="P29" s="79"/>
      <c r="Q29" s="79"/>
      <c r="R29" s="80"/>
      <c r="S29" s="80"/>
      <c r="T29" s="80"/>
      <c r="U29" s="80"/>
      <c r="V29" s="79"/>
      <c r="W29" s="79"/>
      <c r="Y29" s="428"/>
      <c r="Z29" s="429"/>
      <c r="AA29" s="429"/>
      <c r="AB29" s="429"/>
      <c r="AC29" s="429"/>
      <c r="AD29" s="429"/>
      <c r="AE29" s="428"/>
      <c r="AF29" s="428"/>
      <c r="AG29" s="428"/>
      <c r="AH29" s="428"/>
      <c r="AI29" s="430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37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</row>
    <row r="30" spans="2:86" ht="22.5" customHeight="1" x14ac:dyDescent="0.25">
      <c r="B30" s="146" t="s">
        <v>249</v>
      </c>
      <c r="E30" s="75"/>
      <c r="F30" s="75"/>
      <c r="G30" s="169"/>
      <c r="H30" s="169"/>
      <c r="O30" s="146" t="s">
        <v>250</v>
      </c>
      <c r="Y30" s="146" t="str">
        <f>"Current inventory with expiry dates for the next 20 months from "&amp;TEXT(AD9,"mmm 'yy")</f>
        <v>Current inventory with expiry dates for the next 20 months from Mar '22</v>
      </c>
      <c r="AP30" s="51"/>
      <c r="AQ30" s="51"/>
      <c r="AR30" s="51"/>
      <c r="AS30" s="51"/>
      <c r="AT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</row>
    <row r="31" spans="2:86" ht="34.5" customHeight="1" thickBot="1" x14ac:dyDescent="0.3">
      <c r="E31" s="75"/>
      <c r="F31" s="75"/>
      <c r="G31" s="75"/>
      <c r="H31" s="75"/>
      <c r="I31" s="75"/>
      <c r="J31" s="75"/>
      <c r="Y31" s="84" t="s">
        <v>19</v>
      </c>
      <c r="Z31" s="422">
        <f>EDATE(AD9,1)</f>
        <v>44652</v>
      </c>
      <c r="AA31" s="422">
        <f>EDATE(Z31,1)</f>
        <v>44682</v>
      </c>
      <c r="AB31" s="422">
        <f t="shared" ref="AB31:AS31" si="5">EDATE(AA31,1)</f>
        <v>44713</v>
      </c>
      <c r="AC31" s="422">
        <f t="shared" si="5"/>
        <v>44743</v>
      </c>
      <c r="AD31" s="422">
        <f t="shared" si="5"/>
        <v>44774</v>
      </c>
      <c r="AE31" s="422">
        <f t="shared" si="5"/>
        <v>44805</v>
      </c>
      <c r="AF31" s="422">
        <f t="shared" si="5"/>
        <v>44835</v>
      </c>
      <c r="AG31" s="422">
        <f t="shared" si="5"/>
        <v>44866</v>
      </c>
      <c r="AH31" s="422">
        <f t="shared" si="5"/>
        <v>44896</v>
      </c>
      <c r="AI31" s="422">
        <f t="shared" si="5"/>
        <v>44927</v>
      </c>
      <c r="AJ31" s="422">
        <f t="shared" si="5"/>
        <v>44958</v>
      </c>
      <c r="AK31" s="422">
        <f t="shared" si="5"/>
        <v>44986</v>
      </c>
      <c r="AL31" s="422">
        <f t="shared" si="5"/>
        <v>45017</v>
      </c>
      <c r="AM31" s="422">
        <f t="shared" si="5"/>
        <v>45047</v>
      </c>
      <c r="AN31" s="422">
        <f t="shared" si="5"/>
        <v>45078</v>
      </c>
      <c r="AO31" s="422">
        <f t="shared" si="5"/>
        <v>45108</v>
      </c>
      <c r="AP31" s="422">
        <f t="shared" si="5"/>
        <v>45139</v>
      </c>
      <c r="AQ31" s="422">
        <f t="shared" si="5"/>
        <v>45170</v>
      </c>
      <c r="AR31" s="422">
        <f t="shared" si="5"/>
        <v>45200</v>
      </c>
      <c r="AS31" s="465">
        <f t="shared" si="5"/>
        <v>45231</v>
      </c>
      <c r="AT31" s="84" t="s">
        <v>246</v>
      </c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</row>
    <row r="32" spans="2:86" ht="15" x14ac:dyDescent="0.25">
      <c r="E32" s="75"/>
      <c r="F32" s="75"/>
      <c r="G32" s="75"/>
      <c r="H32" s="75"/>
      <c r="I32" s="75"/>
      <c r="J32" s="75"/>
      <c r="Y32" s="131" t="str">
        <f>IF(DataViz!E67&lt;&gt;0,DataViz!E67,"")</f>
        <v>AstraZeneca</v>
      </c>
      <c r="Z32" s="466" t="str">
        <f>IF(SUMIFS('Supply planning data'!$U:$U,'Supply planning data'!$D:$D,Z$31,'Supply planning data'!$C:$C,$Y32)=0,"",SUMIFS('Supply planning data'!$U:$U,'Supply planning data'!$D:$D,Z$31,'Supply planning data'!$C:$C,$Y32))</f>
        <v/>
      </c>
      <c r="AA32" s="466" t="str">
        <f>IF(SUMIFS('Supply planning data'!$U:$U,'Supply planning data'!$D:$D,AA$31,'Supply planning data'!$C:$C,$Y32)=0,"",SUMIFS('Supply planning data'!$U:$U,'Supply planning data'!$D:$D,AA$31,'Supply planning data'!$C:$C,$Y32))</f>
        <v/>
      </c>
      <c r="AB32" s="466" t="str">
        <f>IF(SUMIFS('Supply planning data'!$U:$U,'Supply planning data'!$D:$D,AB$31,'Supply planning data'!$C:$C,$Y32)=0,"",SUMIFS('Supply planning data'!$U:$U,'Supply planning data'!$D:$D,AB$31,'Supply planning data'!$C:$C,$Y32))</f>
        <v/>
      </c>
      <c r="AC32" s="466" t="str">
        <f>IF(SUMIFS('Supply planning data'!$U:$U,'Supply planning data'!$D:$D,AC$31,'Supply planning data'!$C:$C,$Y32)=0,"",SUMIFS('Supply planning data'!$U:$U,'Supply planning data'!$D:$D,AC$31,'Supply planning data'!$C:$C,$Y32))</f>
        <v/>
      </c>
      <c r="AD32" s="466" t="str">
        <f>IF(SUMIFS('Supply planning data'!$U:$U,'Supply planning data'!$D:$D,AD$31,'Supply planning data'!$C:$C,$Y32)=0,"",SUMIFS('Supply planning data'!$U:$U,'Supply planning data'!$D:$D,AD$31,'Supply planning data'!$C:$C,$Y32))</f>
        <v/>
      </c>
      <c r="AE32" s="466" t="str">
        <f>IF(SUMIFS('Supply planning data'!$U:$U,'Supply planning data'!$D:$D,AE$31,'Supply planning data'!$C:$C,$Y32)=0,"",SUMIFS('Supply planning data'!$U:$U,'Supply planning data'!$D:$D,AE$31,'Supply planning data'!$C:$C,$Y32))</f>
        <v/>
      </c>
      <c r="AF32" s="466" t="str">
        <f>IF(SUMIFS('Supply planning data'!$U:$U,'Supply planning data'!$D:$D,AF$31,'Supply planning data'!$C:$C,$Y32)=0,"",SUMIFS('Supply planning data'!$U:$U,'Supply planning data'!$D:$D,AF$31,'Supply planning data'!$C:$C,$Y32))</f>
        <v/>
      </c>
      <c r="AG32" s="466" t="str">
        <f>IF(SUMIFS('Supply planning data'!$U:$U,'Supply planning data'!$D:$D,AG$31,'Supply planning data'!$C:$C,$Y32)=0,"",SUMIFS('Supply planning data'!$U:$U,'Supply planning data'!$D:$D,AG$31,'Supply planning data'!$C:$C,$Y32))</f>
        <v/>
      </c>
      <c r="AH32" s="466" t="str">
        <f>IF(SUMIFS('Supply planning data'!$U:$U,'Supply planning data'!$D:$D,AH$31,'Supply planning data'!$C:$C,$Y32)=0,"",SUMIFS('Supply planning data'!$U:$U,'Supply planning data'!$D:$D,AH$31,'Supply planning data'!$C:$C,$Y32))</f>
        <v/>
      </c>
      <c r="AI32" s="466" t="str">
        <f>IF(SUMIFS('Supply planning data'!$U:$U,'Supply planning data'!$D:$D,AI$31,'Supply planning data'!$C:$C,$Y32)=0,"",SUMIFS('Supply planning data'!$U:$U,'Supply planning data'!$D:$D,AI$31,'Supply planning data'!$C:$C,$Y32))</f>
        <v/>
      </c>
      <c r="AJ32" s="466" t="str">
        <f>IF(SUMIFS('Supply planning data'!$U:$U,'Supply planning data'!$D:$D,AJ$31,'Supply planning data'!$C:$C,$Y32)=0,"",SUMIFS('Supply planning data'!$U:$U,'Supply planning data'!$D:$D,AJ$31,'Supply planning data'!$C:$C,$Y32))</f>
        <v/>
      </c>
      <c r="AK32" s="466" t="str">
        <f>IF(SUMIFS('Supply planning data'!$U:$U,'Supply planning data'!$D:$D,AK$31,'Supply planning data'!$C:$C,$Y32)=0,"",SUMIFS('Supply planning data'!$U:$U,'Supply planning data'!$D:$D,AK$31,'Supply planning data'!$C:$C,$Y32))</f>
        <v/>
      </c>
      <c r="AL32" s="466" t="str">
        <f>IF(SUMIFS('Supply planning data'!$U:$U,'Supply planning data'!$D:$D,AL$31,'Supply planning data'!$C:$C,$Y32)=0,"",SUMIFS('Supply planning data'!$U:$U,'Supply planning data'!$D:$D,AL$31,'Supply planning data'!$C:$C,$Y32))</f>
        <v/>
      </c>
      <c r="AM32" s="466" t="str">
        <f>IF(SUMIFS('Supply planning data'!$U:$U,'Supply planning data'!$D:$D,AM$31,'Supply planning data'!$C:$C,$Y32)=0,"",SUMIFS('Supply planning data'!$U:$U,'Supply planning data'!$D:$D,AM$31,'Supply planning data'!$C:$C,$Y32))</f>
        <v/>
      </c>
      <c r="AN32" s="466" t="str">
        <f>IF(SUMIFS('Supply planning data'!$U:$U,'Supply planning data'!$D:$D,AN$31,'Supply planning data'!$C:$C,$Y32)=0,"",SUMIFS('Supply planning data'!$U:$U,'Supply planning data'!$D:$D,AN$31,'Supply planning data'!$C:$C,$Y32))</f>
        <v/>
      </c>
      <c r="AO32" s="466" t="str">
        <f>IF(SUMIFS('Supply planning data'!$U:$U,'Supply planning data'!$D:$D,AO$31,'Supply planning data'!$C:$C,$Y32)=0,"",SUMIFS('Supply planning data'!$U:$U,'Supply planning data'!$D:$D,AO$31,'Supply planning data'!$C:$C,$Y32))</f>
        <v/>
      </c>
      <c r="AP32" s="466" t="str">
        <f>IF(SUMIFS('Supply planning data'!$U:$U,'Supply planning data'!$D:$D,AP$31,'Supply planning data'!$C:$C,$Y32)=0,"",SUMIFS('Supply planning data'!$U:$U,'Supply planning data'!$D:$D,AP$31,'Supply planning data'!$C:$C,$Y32))</f>
        <v/>
      </c>
      <c r="AQ32" s="466" t="str">
        <f>IF(SUMIFS('Supply planning data'!$U:$U,'Supply planning data'!$D:$D,AQ$31,'Supply planning data'!$C:$C,$Y32)=0,"",SUMIFS('Supply planning data'!$U:$U,'Supply planning data'!$D:$D,AQ$31,'Supply planning data'!$C:$C,$Y32))</f>
        <v/>
      </c>
      <c r="AR32" s="466" t="str">
        <f>IF(SUMIFS('Supply planning data'!$U:$U,'Supply planning data'!$D:$D,AR$31,'Supply planning data'!$C:$C,$Y32)=0,"",SUMIFS('Supply planning data'!$U:$U,'Supply planning data'!$D:$D,AR$31,'Supply planning data'!$C:$C,$Y32))</f>
        <v/>
      </c>
      <c r="AS32" s="467" t="str">
        <f>IF(SUMIFS('Supply planning data'!$U:$U,'Supply planning data'!$D:$D,AS$31,'Supply planning data'!$C:$C,$Y32)=0,"",SUMIFS('Supply planning data'!$U:$U,'Supply planning data'!$D:$D,AS$31,'Supply planning data'!$C:$C,$Y32))</f>
        <v/>
      </c>
      <c r="AT32" s="480">
        <f>SUM(Z32:AS32)</f>
        <v>0</v>
      </c>
      <c r="AU32" s="479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</row>
    <row r="33" spans="5:86" ht="15" x14ac:dyDescent="0.25">
      <c r="E33" s="75"/>
      <c r="F33" s="75"/>
      <c r="G33" s="75"/>
      <c r="H33" s="75"/>
      <c r="I33" s="75"/>
      <c r="J33" s="75"/>
      <c r="Y33" s="158" t="str">
        <f>IF(DataViz!F67&lt;&gt;0,DataViz!F67,"")</f>
        <v>Jansen</v>
      </c>
      <c r="Z33" s="468" t="str">
        <f>IF(SUMIFS('Supply planning data'!$U:$U,'Supply planning data'!$D:$D,Z$31,'Supply planning data'!$C:$C,$Y33)=0,"",SUMIFS('Supply planning data'!$U:$U,'Supply planning data'!$D:$D,Z$31,'Supply planning data'!$C:$C,$Y33))</f>
        <v/>
      </c>
      <c r="AA33" s="468" t="str">
        <f>IF(SUMIFS('Supply planning data'!$U:$U,'Supply planning data'!$D:$D,AA$31,'Supply planning data'!$C:$C,$Y33)=0,"",SUMIFS('Supply planning data'!$U:$U,'Supply planning data'!$D:$D,AA$31,'Supply planning data'!$C:$C,$Y33))</f>
        <v/>
      </c>
      <c r="AB33" s="468" t="str">
        <f>IF(SUMIFS('Supply planning data'!$U:$U,'Supply planning data'!$D:$D,AB$31,'Supply planning data'!$C:$C,$Y33)=0,"",SUMIFS('Supply planning data'!$U:$U,'Supply planning data'!$D:$D,AB$31,'Supply planning data'!$C:$C,$Y33))</f>
        <v/>
      </c>
      <c r="AC33" s="468" t="str">
        <f>IF(SUMIFS('Supply planning data'!$U:$U,'Supply planning data'!$D:$D,AC$31,'Supply planning data'!$C:$C,$Y33)=0,"",SUMIFS('Supply planning data'!$U:$U,'Supply planning data'!$D:$D,AC$31,'Supply planning data'!$C:$C,$Y33))</f>
        <v/>
      </c>
      <c r="AD33" s="468" t="str">
        <f>IF(SUMIFS('Supply planning data'!$U:$U,'Supply planning data'!$D:$D,AD$31,'Supply planning data'!$C:$C,$Y33)=0,"",SUMIFS('Supply planning data'!$U:$U,'Supply planning data'!$D:$D,AD$31,'Supply planning data'!$C:$C,$Y33))</f>
        <v/>
      </c>
      <c r="AE33" s="468" t="str">
        <f>IF(SUMIFS('Supply planning data'!$U:$U,'Supply planning data'!$D:$D,AE$31,'Supply planning data'!$C:$C,$Y33)=0,"",SUMIFS('Supply planning data'!$U:$U,'Supply planning data'!$D:$D,AE$31,'Supply planning data'!$C:$C,$Y33))</f>
        <v/>
      </c>
      <c r="AF33" s="468" t="str">
        <f>IF(SUMIFS('Supply planning data'!$U:$U,'Supply planning data'!$D:$D,AF$31,'Supply planning data'!$C:$C,$Y33)=0,"",SUMIFS('Supply planning data'!$U:$U,'Supply planning data'!$D:$D,AF$31,'Supply planning data'!$C:$C,$Y33))</f>
        <v/>
      </c>
      <c r="AG33" s="468" t="str">
        <f>IF(SUMIFS('Supply planning data'!$U:$U,'Supply planning data'!$D:$D,AG$31,'Supply planning data'!$C:$C,$Y33)=0,"",SUMIFS('Supply planning data'!$U:$U,'Supply planning data'!$D:$D,AG$31,'Supply planning data'!$C:$C,$Y33))</f>
        <v/>
      </c>
      <c r="AH33" s="468" t="str">
        <f>IF(SUMIFS('Supply planning data'!$U:$U,'Supply planning data'!$D:$D,AH$31,'Supply planning data'!$C:$C,$Y33)=0,"",SUMIFS('Supply planning data'!$U:$U,'Supply planning data'!$D:$D,AH$31,'Supply planning data'!$C:$C,$Y33))</f>
        <v/>
      </c>
      <c r="AI33" s="468" t="str">
        <f>IF(SUMIFS('Supply planning data'!$U:$U,'Supply planning data'!$D:$D,AI$31,'Supply planning data'!$C:$C,$Y33)=0,"",SUMIFS('Supply planning data'!$U:$U,'Supply planning data'!$D:$D,AI$31,'Supply planning data'!$C:$C,$Y33))</f>
        <v/>
      </c>
      <c r="AJ33" s="468" t="str">
        <f>IF(SUMIFS('Supply planning data'!$U:$U,'Supply planning data'!$D:$D,AJ$31,'Supply planning data'!$C:$C,$Y33)=0,"",SUMIFS('Supply planning data'!$U:$U,'Supply planning data'!$D:$D,AJ$31,'Supply planning data'!$C:$C,$Y33))</f>
        <v/>
      </c>
      <c r="AK33" s="468" t="str">
        <f>IF(SUMIFS('Supply planning data'!$U:$U,'Supply planning data'!$D:$D,AK$31,'Supply planning data'!$C:$C,$Y33)=0,"",SUMIFS('Supply planning data'!$U:$U,'Supply planning data'!$D:$D,AK$31,'Supply planning data'!$C:$C,$Y33))</f>
        <v/>
      </c>
      <c r="AL33" s="468" t="str">
        <f>IF(SUMIFS('Supply planning data'!$U:$U,'Supply planning data'!$D:$D,AL$31,'Supply planning data'!$C:$C,$Y33)=0,"",SUMIFS('Supply planning data'!$U:$U,'Supply planning data'!$D:$D,AL$31,'Supply planning data'!$C:$C,$Y33))</f>
        <v/>
      </c>
      <c r="AM33" s="468" t="str">
        <f>IF(SUMIFS('Supply planning data'!$U:$U,'Supply planning data'!$D:$D,AM$31,'Supply planning data'!$C:$C,$Y33)=0,"",SUMIFS('Supply planning data'!$U:$U,'Supply planning data'!$D:$D,AM$31,'Supply planning data'!$C:$C,$Y33))</f>
        <v/>
      </c>
      <c r="AN33" s="468" t="str">
        <f>IF(SUMIFS('Supply planning data'!$U:$U,'Supply planning data'!$D:$D,AN$31,'Supply planning data'!$C:$C,$Y33)=0,"",SUMIFS('Supply planning data'!$U:$U,'Supply planning data'!$D:$D,AN$31,'Supply planning data'!$C:$C,$Y33))</f>
        <v/>
      </c>
      <c r="AO33" s="468" t="str">
        <f>IF(SUMIFS('Supply planning data'!$U:$U,'Supply planning data'!$D:$D,AO$31,'Supply planning data'!$C:$C,$Y33)=0,"",SUMIFS('Supply planning data'!$U:$U,'Supply planning data'!$D:$D,AO$31,'Supply planning data'!$C:$C,$Y33))</f>
        <v/>
      </c>
      <c r="AP33" s="468" t="str">
        <f>IF(SUMIFS('Supply planning data'!$U:$U,'Supply planning data'!$D:$D,AP$31,'Supply planning data'!$C:$C,$Y33)=0,"",SUMIFS('Supply planning data'!$U:$U,'Supply planning data'!$D:$D,AP$31,'Supply planning data'!$C:$C,$Y33))</f>
        <v/>
      </c>
      <c r="AQ33" s="468" t="str">
        <f>IF(SUMIFS('Supply planning data'!$U:$U,'Supply planning data'!$D:$D,AQ$31,'Supply planning data'!$C:$C,$Y33)=0,"",SUMIFS('Supply planning data'!$U:$U,'Supply planning data'!$D:$D,AQ$31,'Supply planning data'!$C:$C,$Y33))</f>
        <v/>
      </c>
      <c r="AR33" s="468" t="str">
        <f>IF(SUMIFS('Supply planning data'!$U:$U,'Supply planning data'!$D:$D,AR$31,'Supply planning data'!$C:$C,$Y33)=0,"",SUMIFS('Supply planning data'!$U:$U,'Supply planning data'!$D:$D,AR$31,'Supply planning data'!$C:$C,$Y33))</f>
        <v/>
      </c>
      <c r="AS33" s="469">
        <f>IF(SUMIFS('Supply planning data'!$U:$U,'Supply planning data'!$D:$D,AS$31,'Supply planning data'!$C:$C,$Y33)=0,"",SUMIFS('Supply planning data'!$U:$U,'Supply planning data'!$D:$D,AS$31,'Supply planning data'!$C:$C,$Y33))</f>
        <v>187547</v>
      </c>
      <c r="AT33" s="481">
        <f t="shared" ref="AT33:AT46" si="6">SUM(Z33:AS33)</f>
        <v>187547</v>
      </c>
      <c r="AU33" s="479"/>
      <c r="AV33" s="478"/>
      <c r="AW33" s="478"/>
      <c r="AX33" s="478"/>
      <c r="AY33" s="478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</row>
    <row r="34" spans="5:86" ht="15" x14ac:dyDescent="0.25">
      <c r="E34" s="75"/>
      <c r="F34" s="75"/>
      <c r="G34" s="75"/>
      <c r="H34" s="75"/>
      <c r="I34" s="75"/>
      <c r="J34" s="75"/>
      <c r="Y34" s="133" t="str">
        <f>IF(DataViz!G67&lt;&gt;0,DataViz!G67,"")</f>
        <v>Moderna</v>
      </c>
      <c r="Z34" s="470" t="str">
        <f>IF(SUMIFS('Supply planning data'!$U:$U,'Supply planning data'!$D:$D,Z$31,'Supply planning data'!$C:$C,$Y34)=0,"",SUMIFS('Supply planning data'!$U:$U,'Supply planning data'!$D:$D,Z$31,'Supply planning data'!$C:$C,$Y34))</f>
        <v/>
      </c>
      <c r="AA34" s="470" t="str">
        <f>IF(SUMIFS('Supply planning data'!$U:$U,'Supply planning data'!$D:$D,AA$31,'Supply planning data'!$C:$C,$Y34)=0,"",SUMIFS('Supply planning data'!$U:$U,'Supply planning data'!$D:$D,AA$31,'Supply planning data'!$C:$C,$Y34))</f>
        <v/>
      </c>
      <c r="AB34" s="470" t="str">
        <f>IF(SUMIFS('Supply planning data'!$U:$U,'Supply planning data'!$D:$D,AB$31,'Supply planning data'!$C:$C,$Y34)=0,"",SUMIFS('Supply planning data'!$U:$U,'Supply planning data'!$D:$D,AB$31,'Supply planning data'!$C:$C,$Y34))</f>
        <v/>
      </c>
      <c r="AC34" s="470" t="str">
        <f>IF(SUMIFS('Supply planning data'!$U:$U,'Supply planning data'!$D:$D,AC$31,'Supply planning data'!$C:$C,$Y34)=0,"",SUMIFS('Supply planning data'!$U:$U,'Supply planning data'!$D:$D,AC$31,'Supply planning data'!$C:$C,$Y34))</f>
        <v/>
      </c>
      <c r="AD34" s="470" t="str">
        <f>IF(SUMIFS('Supply planning data'!$U:$U,'Supply planning data'!$D:$D,AD$31,'Supply planning data'!$C:$C,$Y34)=0,"",SUMIFS('Supply planning data'!$U:$U,'Supply planning data'!$D:$D,AD$31,'Supply planning data'!$C:$C,$Y34))</f>
        <v/>
      </c>
      <c r="AE34" s="470" t="str">
        <f>IF(SUMIFS('Supply planning data'!$U:$U,'Supply planning data'!$D:$D,AE$31,'Supply planning data'!$C:$C,$Y34)=0,"",SUMIFS('Supply planning data'!$U:$U,'Supply planning data'!$D:$D,AE$31,'Supply planning data'!$C:$C,$Y34))</f>
        <v/>
      </c>
      <c r="AF34" s="470" t="str">
        <f>IF(SUMIFS('Supply planning data'!$U:$U,'Supply planning data'!$D:$D,AF$31,'Supply planning data'!$C:$C,$Y34)=0,"",SUMIFS('Supply planning data'!$U:$U,'Supply planning data'!$D:$D,AF$31,'Supply planning data'!$C:$C,$Y34))</f>
        <v/>
      </c>
      <c r="AG34" s="470" t="str">
        <f>IF(SUMIFS('Supply planning data'!$U:$U,'Supply planning data'!$D:$D,AG$31,'Supply planning data'!$C:$C,$Y34)=0,"",SUMIFS('Supply planning data'!$U:$U,'Supply planning data'!$D:$D,AG$31,'Supply planning data'!$C:$C,$Y34))</f>
        <v/>
      </c>
      <c r="AH34" s="470" t="str">
        <f>IF(SUMIFS('Supply planning data'!$U:$U,'Supply planning data'!$D:$D,AH$31,'Supply planning data'!$C:$C,$Y34)=0,"",SUMIFS('Supply planning data'!$U:$U,'Supply planning data'!$D:$D,AH$31,'Supply planning data'!$C:$C,$Y34))</f>
        <v/>
      </c>
      <c r="AI34" s="470" t="str">
        <f>IF(SUMIFS('Supply planning data'!$U:$U,'Supply planning data'!$D:$D,AI$31,'Supply planning data'!$C:$C,$Y34)=0,"",SUMIFS('Supply planning data'!$U:$U,'Supply planning data'!$D:$D,AI$31,'Supply planning data'!$C:$C,$Y34))</f>
        <v/>
      </c>
      <c r="AJ34" s="470" t="str">
        <f>IF(SUMIFS('Supply planning data'!$U:$U,'Supply planning data'!$D:$D,AJ$31,'Supply planning data'!$C:$C,$Y34)=0,"",SUMIFS('Supply planning data'!$U:$U,'Supply planning data'!$D:$D,AJ$31,'Supply planning data'!$C:$C,$Y34))</f>
        <v/>
      </c>
      <c r="AK34" s="470" t="str">
        <f>IF(SUMIFS('Supply planning data'!$U:$U,'Supply planning data'!$D:$D,AK$31,'Supply planning data'!$C:$C,$Y34)=0,"",SUMIFS('Supply planning data'!$U:$U,'Supply planning data'!$D:$D,AK$31,'Supply planning data'!$C:$C,$Y34))</f>
        <v/>
      </c>
      <c r="AL34" s="470" t="str">
        <f>IF(SUMIFS('Supply planning data'!$U:$U,'Supply planning data'!$D:$D,AL$31,'Supply planning data'!$C:$C,$Y34)=0,"",SUMIFS('Supply planning data'!$U:$U,'Supply planning data'!$D:$D,AL$31,'Supply planning data'!$C:$C,$Y34))</f>
        <v/>
      </c>
      <c r="AM34" s="470" t="str">
        <f>IF(SUMIFS('Supply planning data'!$U:$U,'Supply planning data'!$D:$D,AM$31,'Supply planning data'!$C:$C,$Y34)=0,"",SUMIFS('Supply planning data'!$U:$U,'Supply planning data'!$D:$D,AM$31,'Supply planning data'!$C:$C,$Y34))</f>
        <v/>
      </c>
      <c r="AN34" s="470" t="str">
        <f>IF(SUMIFS('Supply planning data'!$U:$U,'Supply planning data'!$D:$D,AN$31,'Supply planning data'!$C:$C,$Y34)=0,"",SUMIFS('Supply planning data'!$U:$U,'Supply planning data'!$D:$D,AN$31,'Supply planning data'!$C:$C,$Y34))</f>
        <v/>
      </c>
      <c r="AO34" s="470" t="str">
        <f>IF(SUMIFS('Supply planning data'!$U:$U,'Supply planning data'!$D:$D,AO$31,'Supply planning data'!$C:$C,$Y34)=0,"",SUMIFS('Supply planning data'!$U:$U,'Supply planning data'!$D:$D,AO$31,'Supply planning data'!$C:$C,$Y34))</f>
        <v/>
      </c>
      <c r="AP34" s="470" t="str">
        <f>IF(SUMIFS('Supply planning data'!$U:$U,'Supply planning data'!$D:$D,AP$31,'Supply planning data'!$C:$C,$Y34)=0,"",SUMIFS('Supply planning data'!$U:$U,'Supply planning data'!$D:$D,AP$31,'Supply planning data'!$C:$C,$Y34))</f>
        <v/>
      </c>
      <c r="AQ34" s="470" t="str">
        <f>IF(SUMIFS('Supply planning data'!$U:$U,'Supply planning data'!$D:$D,AQ$31,'Supply planning data'!$C:$C,$Y34)=0,"",SUMIFS('Supply planning data'!$U:$U,'Supply planning data'!$D:$D,AQ$31,'Supply planning data'!$C:$C,$Y34))</f>
        <v/>
      </c>
      <c r="AR34" s="470" t="str">
        <f>IF(SUMIFS('Supply planning data'!$U:$U,'Supply planning data'!$D:$D,AR$31,'Supply planning data'!$C:$C,$Y34)=0,"",SUMIFS('Supply planning data'!$U:$U,'Supply planning data'!$D:$D,AR$31,'Supply planning data'!$C:$C,$Y34))</f>
        <v/>
      </c>
      <c r="AS34" s="471" t="str">
        <f>IF(SUMIFS('Supply planning data'!$U:$U,'Supply planning data'!$D:$D,AS$31,'Supply planning data'!$C:$C,$Y34)=0,"",SUMIFS('Supply planning data'!$U:$U,'Supply planning data'!$D:$D,AS$31,'Supply planning data'!$C:$C,$Y34))</f>
        <v/>
      </c>
      <c r="AT34" s="482">
        <f t="shared" si="6"/>
        <v>0</v>
      </c>
      <c r="AU34" s="479"/>
      <c r="AV34" s="478"/>
      <c r="AW34" s="478"/>
      <c r="AX34" s="478"/>
      <c r="AY34" s="478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</row>
    <row r="35" spans="5:86" ht="15" x14ac:dyDescent="0.25">
      <c r="E35" s="75"/>
      <c r="F35" s="75"/>
      <c r="G35" s="75"/>
      <c r="H35" s="75"/>
      <c r="I35" s="75"/>
      <c r="J35" s="75"/>
      <c r="Y35" s="158" t="str">
        <f>IF(DataViz!H67&lt;&gt;0,DataViz!H67,"")</f>
        <v>Pfizer</v>
      </c>
      <c r="Z35" s="468" t="str">
        <f>IF(SUMIFS('Supply planning data'!$U:$U,'Supply planning data'!$D:$D,Z$31,'Supply planning data'!$C:$C,$Y35)=0,"",SUMIFS('Supply planning data'!$U:$U,'Supply planning data'!$D:$D,Z$31,'Supply planning data'!$C:$C,$Y35))</f>
        <v/>
      </c>
      <c r="AA35" s="468" t="str">
        <f>IF(SUMIFS('Supply planning data'!$U:$U,'Supply planning data'!$D:$D,AA$31,'Supply planning data'!$C:$C,$Y35)=0,"",SUMIFS('Supply planning data'!$U:$U,'Supply planning data'!$D:$D,AA$31,'Supply planning data'!$C:$C,$Y35))</f>
        <v/>
      </c>
      <c r="AB35" s="468" t="str">
        <f>IF(SUMIFS('Supply planning data'!$U:$U,'Supply planning data'!$D:$D,AB$31,'Supply planning data'!$C:$C,$Y35)=0,"",SUMIFS('Supply planning data'!$U:$U,'Supply planning data'!$D:$D,AB$31,'Supply planning data'!$C:$C,$Y35))</f>
        <v/>
      </c>
      <c r="AC35" s="468">
        <f>IF(SUMIFS('Supply planning data'!$U:$U,'Supply planning data'!$D:$D,AC$31,'Supply planning data'!$C:$C,$Y35)=0,"",SUMIFS('Supply planning data'!$U:$U,'Supply planning data'!$D:$D,AC$31,'Supply planning data'!$C:$C,$Y35))</f>
        <v>110538</v>
      </c>
      <c r="AD35" s="468" t="str">
        <f>IF(SUMIFS('Supply planning data'!$U:$U,'Supply planning data'!$D:$D,AD$31,'Supply planning data'!$C:$C,$Y35)=0,"",SUMIFS('Supply planning data'!$U:$U,'Supply planning data'!$D:$D,AD$31,'Supply planning data'!$C:$C,$Y35))</f>
        <v/>
      </c>
      <c r="AE35" s="468" t="str">
        <f>IF(SUMIFS('Supply planning data'!$U:$U,'Supply planning data'!$D:$D,AE$31,'Supply planning data'!$C:$C,$Y35)=0,"",SUMIFS('Supply planning data'!$U:$U,'Supply planning data'!$D:$D,AE$31,'Supply planning data'!$C:$C,$Y35))</f>
        <v/>
      </c>
      <c r="AF35" s="468" t="str">
        <f>IF(SUMIFS('Supply planning data'!$U:$U,'Supply planning data'!$D:$D,AF$31,'Supply planning data'!$C:$C,$Y35)=0,"",SUMIFS('Supply planning data'!$U:$U,'Supply planning data'!$D:$D,AF$31,'Supply planning data'!$C:$C,$Y35))</f>
        <v/>
      </c>
      <c r="AG35" s="468" t="str">
        <f>IF(SUMIFS('Supply planning data'!$U:$U,'Supply planning data'!$D:$D,AG$31,'Supply planning data'!$C:$C,$Y35)=0,"",SUMIFS('Supply planning data'!$U:$U,'Supply planning data'!$D:$D,AG$31,'Supply planning data'!$C:$C,$Y35))</f>
        <v/>
      </c>
      <c r="AH35" s="468" t="str">
        <f>IF(SUMIFS('Supply planning data'!$U:$U,'Supply planning data'!$D:$D,AH$31,'Supply planning data'!$C:$C,$Y35)=0,"",SUMIFS('Supply planning data'!$U:$U,'Supply planning data'!$D:$D,AH$31,'Supply planning data'!$C:$C,$Y35))</f>
        <v/>
      </c>
      <c r="AI35" s="468" t="str">
        <f>IF(SUMIFS('Supply planning data'!$U:$U,'Supply planning data'!$D:$D,AI$31,'Supply planning data'!$C:$C,$Y35)=0,"",SUMIFS('Supply planning data'!$U:$U,'Supply planning data'!$D:$D,AI$31,'Supply planning data'!$C:$C,$Y35))</f>
        <v/>
      </c>
      <c r="AJ35" s="468" t="str">
        <f>IF(SUMIFS('Supply planning data'!$U:$U,'Supply planning data'!$D:$D,AJ$31,'Supply planning data'!$C:$C,$Y35)=0,"",SUMIFS('Supply planning data'!$U:$U,'Supply planning data'!$D:$D,AJ$31,'Supply planning data'!$C:$C,$Y35))</f>
        <v/>
      </c>
      <c r="AK35" s="468" t="str">
        <f>IF(SUMIFS('Supply planning data'!$U:$U,'Supply planning data'!$D:$D,AK$31,'Supply planning data'!$C:$C,$Y35)=0,"",SUMIFS('Supply planning data'!$U:$U,'Supply planning data'!$D:$D,AK$31,'Supply planning data'!$C:$C,$Y35))</f>
        <v/>
      </c>
      <c r="AL35" s="468" t="str">
        <f>IF(SUMIFS('Supply planning data'!$U:$U,'Supply planning data'!$D:$D,AL$31,'Supply planning data'!$C:$C,$Y35)=0,"",SUMIFS('Supply planning data'!$U:$U,'Supply planning data'!$D:$D,AL$31,'Supply planning data'!$C:$C,$Y35))</f>
        <v/>
      </c>
      <c r="AM35" s="468" t="str">
        <f>IF(SUMIFS('Supply planning data'!$U:$U,'Supply planning data'!$D:$D,AM$31,'Supply planning data'!$C:$C,$Y35)=0,"",SUMIFS('Supply planning data'!$U:$U,'Supply planning data'!$D:$D,AM$31,'Supply planning data'!$C:$C,$Y35))</f>
        <v/>
      </c>
      <c r="AN35" s="468" t="str">
        <f>IF(SUMIFS('Supply planning data'!$U:$U,'Supply planning data'!$D:$D,AN$31,'Supply planning data'!$C:$C,$Y35)=0,"",SUMIFS('Supply planning data'!$U:$U,'Supply planning data'!$D:$D,AN$31,'Supply planning data'!$C:$C,$Y35))</f>
        <v/>
      </c>
      <c r="AO35" s="468" t="str">
        <f>IF(SUMIFS('Supply planning data'!$U:$U,'Supply planning data'!$D:$D,AO$31,'Supply planning data'!$C:$C,$Y35)=0,"",SUMIFS('Supply planning data'!$U:$U,'Supply planning data'!$D:$D,AO$31,'Supply planning data'!$C:$C,$Y35))</f>
        <v/>
      </c>
      <c r="AP35" s="468" t="str">
        <f>IF(SUMIFS('Supply planning data'!$U:$U,'Supply planning data'!$D:$D,AP$31,'Supply planning data'!$C:$C,$Y35)=0,"",SUMIFS('Supply planning data'!$U:$U,'Supply planning data'!$D:$D,AP$31,'Supply planning data'!$C:$C,$Y35))</f>
        <v/>
      </c>
      <c r="AQ35" s="468" t="str">
        <f>IF(SUMIFS('Supply planning data'!$U:$U,'Supply planning data'!$D:$D,AQ$31,'Supply planning data'!$C:$C,$Y35)=0,"",SUMIFS('Supply planning data'!$U:$U,'Supply planning data'!$D:$D,AQ$31,'Supply planning data'!$C:$C,$Y35))</f>
        <v/>
      </c>
      <c r="AR35" s="468" t="str">
        <f>IF(SUMIFS('Supply planning data'!$U:$U,'Supply planning data'!$D:$D,AR$31,'Supply planning data'!$C:$C,$Y35)=0,"",SUMIFS('Supply planning data'!$U:$U,'Supply planning data'!$D:$D,AR$31,'Supply planning data'!$C:$C,$Y35))</f>
        <v/>
      </c>
      <c r="AS35" s="469" t="str">
        <f>IF(SUMIFS('Supply planning data'!$U:$U,'Supply planning data'!$D:$D,AS$31,'Supply planning data'!$C:$C,$Y35)=0,"",SUMIFS('Supply planning data'!$U:$U,'Supply planning data'!$D:$D,AS$31,'Supply planning data'!$C:$C,$Y35))</f>
        <v/>
      </c>
      <c r="AT35" s="483">
        <f t="shared" si="6"/>
        <v>110538</v>
      </c>
      <c r="AU35" s="479"/>
      <c r="AV35" s="478"/>
      <c r="AW35" s="478"/>
      <c r="AX35" s="478"/>
      <c r="AY35" s="478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</row>
    <row r="36" spans="5:86" ht="15" x14ac:dyDescent="0.25">
      <c r="E36" s="75"/>
      <c r="F36" s="75"/>
      <c r="G36" s="75"/>
      <c r="H36" s="75"/>
      <c r="I36" s="75"/>
      <c r="J36" s="75"/>
      <c r="Y36" s="133" t="str">
        <f>IF(DataViz!I67&lt;&gt;0,DataViz!I67,"")</f>
        <v>Sinovac</v>
      </c>
      <c r="Z36" s="470" t="str">
        <f>IF(SUMIFS('Supply planning data'!$U:$U,'Supply planning data'!$D:$D,Z$31,'Supply planning data'!$C:$C,$Y36)=0,"",SUMIFS('Supply planning data'!$U:$U,'Supply planning data'!$D:$D,Z$31,'Supply planning data'!$C:$C,$Y36))</f>
        <v/>
      </c>
      <c r="AA36" s="470" t="str">
        <f>IF(SUMIFS('Supply planning data'!$U:$U,'Supply planning data'!$D:$D,AA$31,'Supply planning data'!$C:$C,$Y36)=0,"",SUMIFS('Supply planning data'!$U:$U,'Supply planning data'!$D:$D,AA$31,'Supply planning data'!$C:$C,$Y36))</f>
        <v/>
      </c>
      <c r="AB36" s="470" t="str">
        <f>IF(SUMIFS('Supply planning data'!$U:$U,'Supply planning data'!$D:$D,AB$31,'Supply planning data'!$C:$C,$Y36)=0,"",SUMIFS('Supply planning data'!$U:$U,'Supply planning data'!$D:$D,AB$31,'Supply planning data'!$C:$C,$Y36))</f>
        <v/>
      </c>
      <c r="AC36" s="470" t="str">
        <f>IF(SUMIFS('Supply planning data'!$U:$U,'Supply planning data'!$D:$D,AC$31,'Supply planning data'!$C:$C,$Y36)=0,"",SUMIFS('Supply planning data'!$U:$U,'Supply planning data'!$D:$D,AC$31,'Supply planning data'!$C:$C,$Y36))</f>
        <v/>
      </c>
      <c r="AD36" s="470" t="str">
        <f>IF(SUMIFS('Supply planning data'!$U:$U,'Supply planning data'!$D:$D,AD$31,'Supply planning data'!$C:$C,$Y36)=0,"",SUMIFS('Supply planning data'!$U:$U,'Supply planning data'!$D:$D,AD$31,'Supply planning data'!$C:$C,$Y36))</f>
        <v/>
      </c>
      <c r="AE36" s="470" t="str">
        <f>IF(SUMIFS('Supply planning data'!$U:$U,'Supply planning data'!$D:$D,AE$31,'Supply planning data'!$C:$C,$Y36)=0,"",SUMIFS('Supply planning data'!$U:$U,'Supply planning data'!$D:$D,AE$31,'Supply planning data'!$C:$C,$Y36))</f>
        <v/>
      </c>
      <c r="AF36" s="470" t="str">
        <f>IF(SUMIFS('Supply planning data'!$U:$U,'Supply planning data'!$D:$D,AF$31,'Supply planning data'!$C:$C,$Y36)=0,"",SUMIFS('Supply planning data'!$U:$U,'Supply planning data'!$D:$D,AF$31,'Supply planning data'!$C:$C,$Y36))</f>
        <v/>
      </c>
      <c r="AG36" s="470" t="str">
        <f>IF(SUMIFS('Supply planning data'!$U:$U,'Supply planning data'!$D:$D,AG$31,'Supply planning data'!$C:$C,$Y36)=0,"",SUMIFS('Supply planning data'!$U:$U,'Supply planning data'!$D:$D,AG$31,'Supply planning data'!$C:$C,$Y36))</f>
        <v/>
      </c>
      <c r="AH36" s="470" t="str">
        <f>IF(SUMIFS('Supply planning data'!$U:$U,'Supply planning data'!$D:$D,AH$31,'Supply planning data'!$C:$C,$Y36)=0,"",SUMIFS('Supply planning data'!$U:$U,'Supply planning data'!$D:$D,AH$31,'Supply planning data'!$C:$C,$Y36))</f>
        <v/>
      </c>
      <c r="AI36" s="470" t="str">
        <f>IF(SUMIFS('Supply planning data'!$U:$U,'Supply planning data'!$D:$D,AI$31,'Supply planning data'!$C:$C,$Y36)=0,"",SUMIFS('Supply planning data'!$U:$U,'Supply planning data'!$D:$D,AI$31,'Supply planning data'!$C:$C,$Y36))</f>
        <v/>
      </c>
      <c r="AJ36" s="470" t="str">
        <f>IF(SUMIFS('Supply planning data'!$U:$U,'Supply planning data'!$D:$D,AJ$31,'Supply planning data'!$C:$C,$Y36)=0,"",SUMIFS('Supply planning data'!$U:$U,'Supply planning data'!$D:$D,AJ$31,'Supply planning data'!$C:$C,$Y36))</f>
        <v/>
      </c>
      <c r="AK36" s="470" t="str">
        <f>IF(SUMIFS('Supply planning data'!$U:$U,'Supply planning data'!$D:$D,AK$31,'Supply planning data'!$C:$C,$Y36)=0,"",SUMIFS('Supply planning data'!$U:$U,'Supply planning data'!$D:$D,AK$31,'Supply planning data'!$C:$C,$Y36))</f>
        <v/>
      </c>
      <c r="AL36" s="470" t="str">
        <f>IF(SUMIFS('Supply planning data'!$U:$U,'Supply planning data'!$D:$D,AL$31,'Supply planning data'!$C:$C,$Y36)=0,"",SUMIFS('Supply planning data'!$U:$U,'Supply planning data'!$D:$D,AL$31,'Supply planning data'!$C:$C,$Y36))</f>
        <v/>
      </c>
      <c r="AM36" s="470" t="str">
        <f>IF(SUMIFS('Supply planning data'!$U:$U,'Supply planning data'!$D:$D,AM$31,'Supply planning data'!$C:$C,$Y36)=0,"",SUMIFS('Supply planning data'!$U:$U,'Supply planning data'!$D:$D,AM$31,'Supply planning data'!$C:$C,$Y36))</f>
        <v/>
      </c>
      <c r="AN36" s="470" t="str">
        <f>IF(SUMIFS('Supply planning data'!$U:$U,'Supply planning data'!$D:$D,AN$31,'Supply planning data'!$C:$C,$Y36)=0,"",SUMIFS('Supply planning data'!$U:$U,'Supply planning data'!$D:$D,AN$31,'Supply planning data'!$C:$C,$Y36))</f>
        <v/>
      </c>
      <c r="AO36" s="470" t="str">
        <f>IF(SUMIFS('Supply planning data'!$U:$U,'Supply planning data'!$D:$D,AO$31,'Supply planning data'!$C:$C,$Y36)=0,"",SUMIFS('Supply planning data'!$U:$U,'Supply planning data'!$D:$D,AO$31,'Supply planning data'!$C:$C,$Y36))</f>
        <v/>
      </c>
      <c r="AP36" s="470" t="str">
        <f>IF(SUMIFS('Supply planning data'!$U:$U,'Supply planning data'!$D:$D,AP$31,'Supply planning data'!$C:$C,$Y36)=0,"",SUMIFS('Supply planning data'!$U:$U,'Supply planning data'!$D:$D,AP$31,'Supply planning data'!$C:$C,$Y36))</f>
        <v/>
      </c>
      <c r="AQ36" s="470" t="str">
        <f>IF(SUMIFS('Supply planning data'!$U:$U,'Supply planning data'!$D:$D,AQ$31,'Supply planning data'!$C:$C,$Y36)=0,"",SUMIFS('Supply planning data'!$U:$U,'Supply planning data'!$D:$D,AQ$31,'Supply planning data'!$C:$C,$Y36))</f>
        <v/>
      </c>
      <c r="AR36" s="470" t="str">
        <f>IF(SUMIFS('Supply planning data'!$U:$U,'Supply planning data'!$D:$D,AR$31,'Supply planning data'!$C:$C,$Y36)=0,"",SUMIFS('Supply planning data'!$U:$U,'Supply planning data'!$D:$D,AR$31,'Supply planning data'!$C:$C,$Y36))</f>
        <v/>
      </c>
      <c r="AS36" s="471" t="str">
        <f>IF(SUMIFS('Supply planning data'!$U:$U,'Supply planning data'!$D:$D,AS$31,'Supply planning data'!$C:$C,$Y36)=0,"",SUMIFS('Supply planning data'!$U:$U,'Supply planning data'!$D:$D,AS$31,'Supply planning data'!$C:$C,$Y36))</f>
        <v/>
      </c>
      <c r="AT36" s="482">
        <f t="shared" si="6"/>
        <v>0</v>
      </c>
      <c r="AU36" s="479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</row>
    <row r="37" spans="5:86" ht="15" x14ac:dyDescent="0.25">
      <c r="E37" s="75"/>
      <c r="F37" s="75"/>
      <c r="G37" s="75"/>
      <c r="H37" s="75"/>
      <c r="I37" s="75"/>
      <c r="J37" s="75"/>
      <c r="Y37" s="158" t="str">
        <f>IF(DataViz!J67&lt;&gt;0,DataViz!J67,"")</f>
        <v/>
      </c>
      <c r="Z37" s="468" t="str">
        <f>IF(SUMIFS('Supply planning data'!$U:$U,'Supply planning data'!$D:$D,Z$31,'Supply planning data'!$C:$C,$Y37)=0,"",SUMIFS('Supply planning data'!$U:$U,'Supply planning data'!$D:$D,Z$31,'Supply planning data'!$C:$C,$Y37))</f>
        <v/>
      </c>
      <c r="AA37" s="468" t="str">
        <f>IF(SUMIFS('Supply planning data'!$U:$U,'Supply planning data'!$D:$D,AA$31,'Supply planning data'!$C:$C,$Y37)=0,"",SUMIFS('Supply planning data'!$U:$U,'Supply planning data'!$D:$D,AA$31,'Supply planning data'!$C:$C,$Y37))</f>
        <v/>
      </c>
      <c r="AB37" s="468" t="str">
        <f>IF(SUMIFS('Supply planning data'!$U:$U,'Supply planning data'!$D:$D,AB$31,'Supply planning data'!$C:$C,$Y37)=0,"",SUMIFS('Supply planning data'!$U:$U,'Supply planning data'!$D:$D,AB$31,'Supply planning data'!$C:$C,$Y37))</f>
        <v/>
      </c>
      <c r="AC37" s="468" t="str">
        <f>IF(SUMIFS('Supply planning data'!$U:$U,'Supply planning data'!$D:$D,AC$31,'Supply planning data'!$C:$C,$Y37)=0,"",SUMIFS('Supply planning data'!$U:$U,'Supply planning data'!$D:$D,AC$31,'Supply planning data'!$C:$C,$Y37))</f>
        <v/>
      </c>
      <c r="AD37" s="468" t="str">
        <f>IF(SUMIFS('Supply planning data'!$U:$U,'Supply planning data'!$D:$D,AD$31,'Supply planning data'!$C:$C,$Y37)=0,"",SUMIFS('Supply planning data'!$U:$U,'Supply planning data'!$D:$D,AD$31,'Supply planning data'!$C:$C,$Y37))</f>
        <v/>
      </c>
      <c r="AE37" s="468" t="str">
        <f>IF(SUMIFS('Supply planning data'!$U:$U,'Supply planning data'!$D:$D,AE$31,'Supply planning data'!$C:$C,$Y37)=0,"",SUMIFS('Supply planning data'!$U:$U,'Supply planning data'!$D:$D,AE$31,'Supply planning data'!$C:$C,$Y37))</f>
        <v/>
      </c>
      <c r="AF37" s="468" t="str">
        <f>IF(SUMIFS('Supply planning data'!$U:$U,'Supply planning data'!$D:$D,AF$31,'Supply planning data'!$C:$C,$Y37)=0,"",SUMIFS('Supply planning data'!$U:$U,'Supply planning data'!$D:$D,AF$31,'Supply planning data'!$C:$C,$Y37))</f>
        <v/>
      </c>
      <c r="AG37" s="468" t="str">
        <f>IF(SUMIFS('Supply planning data'!$U:$U,'Supply planning data'!$D:$D,AG$31,'Supply planning data'!$C:$C,$Y37)=0,"",SUMIFS('Supply planning data'!$U:$U,'Supply planning data'!$D:$D,AG$31,'Supply planning data'!$C:$C,$Y37))</f>
        <v/>
      </c>
      <c r="AH37" s="468" t="str">
        <f>IF(SUMIFS('Supply planning data'!$U:$U,'Supply planning data'!$D:$D,AH$31,'Supply planning data'!$C:$C,$Y37)=0,"",SUMIFS('Supply planning data'!$U:$U,'Supply planning data'!$D:$D,AH$31,'Supply planning data'!$C:$C,$Y37))</f>
        <v/>
      </c>
      <c r="AI37" s="468" t="str">
        <f>IF(SUMIFS('Supply planning data'!$U:$U,'Supply planning data'!$D:$D,AI$31,'Supply planning data'!$C:$C,$Y37)=0,"",SUMIFS('Supply planning data'!$U:$U,'Supply planning data'!$D:$D,AI$31,'Supply planning data'!$C:$C,$Y37))</f>
        <v/>
      </c>
      <c r="AJ37" s="468" t="str">
        <f>IF(SUMIFS('Supply planning data'!$U:$U,'Supply planning data'!$D:$D,AJ$31,'Supply planning data'!$C:$C,$Y37)=0,"",SUMIFS('Supply planning data'!$U:$U,'Supply planning data'!$D:$D,AJ$31,'Supply planning data'!$C:$C,$Y37))</f>
        <v/>
      </c>
      <c r="AK37" s="468" t="str">
        <f>IF(SUMIFS('Supply planning data'!$U:$U,'Supply planning data'!$D:$D,AK$31,'Supply planning data'!$C:$C,$Y37)=0,"",SUMIFS('Supply planning data'!$U:$U,'Supply planning data'!$D:$D,AK$31,'Supply planning data'!$C:$C,$Y37))</f>
        <v/>
      </c>
      <c r="AL37" s="468" t="str">
        <f>IF(SUMIFS('Supply planning data'!$U:$U,'Supply planning data'!$D:$D,AL$31,'Supply planning data'!$C:$C,$Y37)=0,"",SUMIFS('Supply planning data'!$U:$U,'Supply planning data'!$D:$D,AL$31,'Supply planning data'!$C:$C,$Y37))</f>
        <v/>
      </c>
      <c r="AM37" s="468" t="str">
        <f>IF(SUMIFS('Supply planning data'!$U:$U,'Supply planning data'!$D:$D,AM$31,'Supply planning data'!$C:$C,$Y37)=0,"",SUMIFS('Supply planning data'!$U:$U,'Supply planning data'!$D:$D,AM$31,'Supply planning data'!$C:$C,$Y37))</f>
        <v/>
      </c>
      <c r="AN37" s="468" t="str">
        <f>IF(SUMIFS('Supply planning data'!$U:$U,'Supply planning data'!$D:$D,AN$31,'Supply planning data'!$C:$C,$Y37)=0,"",SUMIFS('Supply planning data'!$U:$U,'Supply planning data'!$D:$D,AN$31,'Supply planning data'!$C:$C,$Y37))</f>
        <v/>
      </c>
      <c r="AO37" s="468" t="str">
        <f>IF(SUMIFS('Supply planning data'!$U:$U,'Supply planning data'!$D:$D,AO$31,'Supply planning data'!$C:$C,$Y37)=0,"",SUMIFS('Supply planning data'!$U:$U,'Supply planning data'!$D:$D,AO$31,'Supply planning data'!$C:$C,$Y37))</f>
        <v/>
      </c>
      <c r="AP37" s="468" t="str">
        <f>IF(SUMIFS('Supply planning data'!$U:$U,'Supply planning data'!$D:$D,AP$31,'Supply planning data'!$C:$C,$Y37)=0,"",SUMIFS('Supply planning data'!$U:$U,'Supply planning data'!$D:$D,AP$31,'Supply planning data'!$C:$C,$Y37))</f>
        <v/>
      </c>
      <c r="AQ37" s="468" t="str">
        <f>IF(SUMIFS('Supply planning data'!$U:$U,'Supply planning data'!$D:$D,AQ$31,'Supply planning data'!$C:$C,$Y37)=0,"",SUMIFS('Supply planning data'!$U:$U,'Supply planning data'!$D:$D,AQ$31,'Supply planning data'!$C:$C,$Y37))</f>
        <v/>
      </c>
      <c r="AR37" s="468" t="str">
        <f>IF(SUMIFS('Supply planning data'!$U:$U,'Supply planning data'!$D:$D,AR$31,'Supply planning data'!$C:$C,$Y37)=0,"",SUMIFS('Supply planning data'!$U:$U,'Supply planning data'!$D:$D,AR$31,'Supply planning data'!$C:$C,$Y37))</f>
        <v/>
      </c>
      <c r="AS37" s="469" t="str">
        <f>IF(SUMIFS('Supply planning data'!$U:$U,'Supply planning data'!$D:$D,AS$31,'Supply planning data'!$C:$C,$Y37)=0,"",SUMIFS('Supply planning data'!$U:$U,'Supply planning data'!$D:$D,AS$31,'Supply planning data'!$C:$C,$Y37))</f>
        <v/>
      </c>
      <c r="AT37" s="483">
        <f t="shared" si="6"/>
        <v>0</v>
      </c>
      <c r="AU37" s="479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</row>
    <row r="38" spans="5:86" ht="15" x14ac:dyDescent="0.25">
      <c r="E38" s="75"/>
      <c r="F38" s="75"/>
      <c r="G38" s="75"/>
      <c r="H38" s="75"/>
      <c r="I38" s="75"/>
      <c r="J38" s="75"/>
      <c r="Y38" s="133" t="str">
        <f>IF(DataViz!K67&lt;&gt;0,DataViz!K67,"")</f>
        <v/>
      </c>
      <c r="Z38" s="470" t="str">
        <f>IF(SUMIFS('Supply planning data'!$U:$U,'Supply planning data'!$D:$D,Z$31,'Supply planning data'!$C:$C,$Y38)=0,"",SUMIFS('Supply planning data'!$U:$U,'Supply planning data'!$D:$D,Z$31,'Supply planning data'!$C:$C,$Y38))</f>
        <v/>
      </c>
      <c r="AA38" s="470" t="str">
        <f>IF(SUMIFS('Supply planning data'!$U:$U,'Supply planning data'!$D:$D,AA$31,'Supply planning data'!$C:$C,$Y38)=0,"",SUMIFS('Supply planning data'!$U:$U,'Supply planning data'!$D:$D,AA$31,'Supply planning data'!$C:$C,$Y38))</f>
        <v/>
      </c>
      <c r="AB38" s="470" t="str">
        <f>IF(SUMIFS('Supply planning data'!$U:$U,'Supply planning data'!$D:$D,AB$31,'Supply planning data'!$C:$C,$Y38)=0,"",SUMIFS('Supply planning data'!$U:$U,'Supply planning data'!$D:$D,AB$31,'Supply planning data'!$C:$C,$Y38))</f>
        <v/>
      </c>
      <c r="AC38" s="470" t="str">
        <f>IF(SUMIFS('Supply planning data'!$U:$U,'Supply planning data'!$D:$D,AC$31,'Supply planning data'!$C:$C,$Y38)=0,"",SUMIFS('Supply planning data'!$U:$U,'Supply planning data'!$D:$D,AC$31,'Supply planning data'!$C:$C,$Y38))</f>
        <v/>
      </c>
      <c r="AD38" s="470" t="str">
        <f>IF(SUMIFS('Supply planning data'!$U:$U,'Supply planning data'!$D:$D,AD$31,'Supply planning data'!$C:$C,$Y38)=0,"",SUMIFS('Supply planning data'!$U:$U,'Supply planning data'!$D:$D,AD$31,'Supply planning data'!$C:$C,$Y38))</f>
        <v/>
      </c>
      <c r="AE38" s="470" t="str">
        <f>IF(SUMIFS('Supply planning data'!$U:$U,'Supply planning data'!$D:$D,AE$31,'Supply planning data'!$C:$C,$Y38)=0,"",SUMIFS('Supply planning data'!$U:$U,'Supply planning data'!$D:$D,AE$31,'Supply planning data'!$C:$C,$Y38))</f>
        <v/>
      </c>
      <c r="AF38" s="470" t="str">
        <f>IF(SUMIFS('Supply planning data'!$U:$U,'Supply planning data'!$D:$D,AF$31,'Supply planning data'!$C:$C,$Y38)=0,"",SUMIFS('Supply planning data'!$U:$U,'Supply planning data'!$D:$D,AF$31,'Supply planning data'!$C:$C,$Y38))</f>
        <v/>
      </c>
      <c r="AG38" s="470" t="str">
        <f>IF(SUMIFS('Supply planning data'!$U:$U,'Supply planning data'!$D:$D,AG$31,'Supply planning data'!$C:$C,$Y38)=0,"",SUMIFS('Supply planning data'!$U:$U,'Supply planning data'!$D:$D,AG$31,'Supply planning data'!$C:$C,$Y38))</f>
        <v/>
      </c>
      <c r="AH38" s="470" t="str">
        <f>IF(SUMIFS('Supply planning data'!$U:$U,'Supply planning data'!$D:$D,AH$31,'Supply planning data'!$C:$C,$Y38)=0,"",SUMIFS('Supply planning data'!$U:$U,'Supply planning data'!$D:$D,AH$31,'Supply planning data'!$C:$C,$Y38))</f>
        <v/>
      </c>
      <c r="AI38" s="470" t="str">
        <f>IF(SUMIFS('Supply planning data'!$U:$U,'Supply planning data'!$D:$D,AI$31,'Supply planning data'!$C:$C,$Y38)=0,"",SUMIFS('Supply planning data'!$U:$U,'Supply planning data'!$D:$D,AI$31,'Supply planning data'!$C:$C,$Y38))</f>
        <v/>
      </c>
      <c r="AJ38" s="470" t="str">
        <f>IF(SUMIFS('Supply planning data'!$U:$U,'Supply planning data'!$D:$D,AJ$31,'Supply planning data'!$C:$C,$Y38)=0,"",SUMIFS('Supply planning data'!$U:$U,'Supply planning data'!$D:$D,AJ$31,'Supply planning data'!$C:$C,$Y38))</f>
        <v/>
      </c>
      <c r="AK38" s="470" t="str">
        <f>IF(SUMIFS('Supply planning data'!$U:$U,'Supply planning data'!$D:$D,AK$31,'Supply planning data'!$C:$C,$Y38)=0,"",SUMIFS('Supply planning data'!$U:$U,'Supply planning data'!$D:$D,AK$31,'Supply planning data'!$C:$C,$Y38))</f>
        <v/>
      </c>
      <c r="AL38" s="470" t="str">
        <f>IF(SUMIFS('Supply planning data'!$U:$U,'Supply planning data'!$D:$D,AL$31,'Supply planning data'!$C:$C,$Y38)=0,"",SUMIFS('Supply planning data'!$U:$U,'Supply planning data'!$D:$D,AL$31,'Supply planning data'!$C:$C,$Y38))</f>
        <v/>
      </c>
      <c r="AM38" s="470" t="str">
        <f>IF(SUMIFS('Supply planning data'!$U:$U,'Supply planning data'!$D:$D,AM$31,'Supply planning data'!$C:$C,$Y38)=0,"",SUMIFS('Supply planning data'!$U:$U,'Supply planning data'!$D:$D,AM$31,'Supply planning data'!$C:$C,$Y38))</f>
        <v/>
      </c>
      <c r="AN38" s="470" t="str">
        <f>IF(SUMIFS('Supply planning data'!$U:$U,'Supply planning data'!$D:$D,AN$31,'Supply planning data'!$C:$C,$Y38)=0,"",SUMIFS('Supply planning data'!$U:$U,'Supply planning data'!$D:$D,AN$31,'Supply planning data'!$C:$C,$Y38))</f>
        <v/>
      </c>
      <c r="AO38" s="470" t="str">
        <f>IF(SUMIFS('Supply planning data'!$U:$U,'Supply planning data'!$D:$D,AO$31,'Supply planning data'!$C:$C,$Y38)=0,"",SUMIFS('Supply planning data'!$U:$U,'Supply planning data'!$D:$D,AO$31,'Supply planning data'!$C:$C,$Y38))</f>
        <v/>
      </c>
      <c r="AP38" s="470" t="str">
        <f>IF(SUMIFS('Supply planning data'!$U:$U,'Supply planning data'!$D:$D,AP$31,'Supply planning data'!$C:$C,$Y38)=0,"",SUMIFS('Supply planning data'!$U:$U,'Supply planning data'!$D:$D,AP$31,'Supply planning data'!$C:$C,$Y38))</f>
        <v/>
      </c>
      <c r="AQ38" s="470" t="str">
        <f>IF(SUMIFS('Supply planning data'!$U:$U,'Supply planning data'!$D:$D,AQ$31,'Supply planning data'!$C:$C,$Y38)=0,"",SUMIFS('Supply planning data'!$U:$U,'Supply planning data'!$D:$D,AQ$31,'Supply planning data'!$C:$C,$Y38))</f>
        <v/>
      </c>
      <c r="AR38" s="470" t="str">
        <f>IF(SUMIFS('Supply planning data'!$U:$U,'Supply planning data'!$D:$D,AR$31,'Supply planning data'!$C:$C,$Y38)=0,"",SUMIFS('Supply planning data'!$U:$U,'Supply planning data'!$D:$D,AR$31,'Supply planning data'!$C:$C,$Y38))</f>
        <v/>
      </c>
      <c r="AS38" s="471" t="str">
        <f>IF(SUMIFS('Supply planning data'!$U:$U,'Supply planning data'!$D:$D,AS$31,'Supply planning data'!$C:$C,$Y38)=0,"",SUMIFS('Supply planning data'!$U:$U,'Supply planning data'!$D:$D,AS$31,'Supply planning data'!$C:$C,$Y38))</f>
        <v/>
      </c>
      <c r="AT38" s="482">
        <f t="shared" si="6"/>
        <v>0</v>
      </c>
      <c r="AU38" s="479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</row>
    <row r="39" spans="5:86" ht="15" x14ac:dyDescent="0.25">
      <c r="E39" s="75"/>
      <c r="F39" s="75"/>
      <c r="G39" s="75"/>
      <c r="H39" s="75"/>
      <c r="I39" s="75"/>
      <c r="J39" s="75"/>
      <c r="Y39" s="158" t="str">
        <f>IF(DataViz!L67&lt;&gt;0,DataViz!L67,"")</f>
        <v/>
      </c>
      <c r="Z39" s="468" t="str">
        <f>IF(SUMIFS('Supply planning data'!$U:$U,'Supply planning data'!$D:$D,Z$31,'Supply planning data'!$C:$C,$Y39)=0,"",SUMIFS('Supply planning data'!$U:$U,'Supply planning data'!$D:$D,Z$31,'Supply planning data'!$C:$C,$Y39))</f>
        <v/>
      </c>
      <c r="AA39" s="468" t="str">
        <f>IF(SUMIFS('Supply planning data'!$U:$U,'Supply planning data'!$D:$D,AA$31,'Supply planning data'!$C:$C,$Y39)=0,"",SUMIFS('Supply planning data'!$U:$U,'Supply planning data'!$D:$D,AA$31,'Supply planning data'!$C:$C,$Y39))</f>
        <v/>
      </c>
      <c r="AB39" s="468" t="str">
        <f>IF(SUMIFS('Supply planning data'!$U:$U,'Supply planning data'!$D:$D,AB$31,'Supply planning data'!$C:$C,$Y39)=0,"",SUMIFS('Supply planning data'!$U:$U,'Supply planning data'!$D:$D,AB$31,'Supply planning data'!$C:$C,$Y39))</f>
        <v/>
      </c>
      <c r="AC39" s="468" t="str">
        <f>IF(SUMIFS('Supply planning data'!$U:$U,'Supply planning data'!$D:$D,AC$31,'Supply planning data'!$C:$C,$Y39)=0,"",SUMIFS('Supply planning data'!$U:$U,'Supply planning data'!$D:$D,AC$31,'Supply planning data'!$C:$C,$Y39))</f>
        <v/>
      </c>
      <c r="AD39" s="468" t="str">
        <f>IF(SUMIFS('Supply planning data'!$U:$U,'Supply planning data'!$D:$D,AD$31,'Supply planning data'!$C:$C,$Y39)=0,"",SUMIFS('Supply planning data'!$U:$U,'Supply planning data'!$D:$D,AD$31,'Supply planning data'!$C:$C,$Y39))</f>
        <v/>
      </c>
      <c r="AE39" s="468" t="str">
        <f>IF(SUMIFS('Supply planning data'!$U:$U,'Supply planning data'!$D:$D,AE$31,'Supply planning data'!$C:$C,$Y39)=0,"",SUMIFS('Supply planning data'!$U:$U,'Supply planning data'!$D:$D,AE$31,'Supply planning data'!$C:$C,$Y39))</f>
        <v/>
      </c>
      <c r="AF39" s="468" t="str">
        <f>IF(SUMIFS('Supply planning data'!$U:$U,'Supply planning data'!$D:$D,AF$31,'Supply planning data'!$C:$C,$Y39)=0,"",SUMIFS('Supply planning data'!$U:$U,'Supply planning data'!$D:$D,AF$31,'Supply planning data'!$C:$C,$Y39))</f>
        <v/>
      </c>
      <c r="AG39" s="468" t="str">
        <f>IF(SUMIFS('Supply planning data'!$U:$U,'Supply planning data'!$D:$D,AG$31,'Supply planning data'!$C:$C,$Y39)=0,"",SUMIFS('Supply planning data'!$U:$U,'Supply planning data'!$D:$D,AG$31,'Supply planning data'!$C:$C,$Y39))</f>
        <v/>
      </c>
      <c r="AH39" s="468" t="str">
        <f>IF(SUMIFS('Supply planning data'!$U:$U,'Supply planning data'!$D:$D,AH$31,'Supply planning data'!$C:$C,$Y39)=0,"",SUMIFS('Supply planning data'!$U:$U,'Supply planning data'!$D:$D,AH$31,'Supply planning data'!$C:$C,$Y39))</f>
        <v/>
      </c>
      <c r="AI39" s="468" t="str">
        <f>IF(SUMIFS('Supply planning data'!$U:$U,'Supply planning data'!$D:$D,AI$31,'Supply planning data'!$C:$C,$Y39)=0,"",SUMIFS('Supply planning data'!$U:$U,'Supply planning data'!$D:$D,AI$31,'Supply planning data'!$C:$C,$Y39))</f>
        <v/>
      </c>
      <c r="AJ39" s="468" t="str">
        <f>IF(SUMIFS('Supply planning data'!$U:$U,'Supply planning data'!$D:$D,AJ$31,'Supply planning data'!$C:$C,$Y39)=0,"",SUMIFS('Supply planning data'!$U:$U,'Supply planning data'!$D:$D,AJ$31,'Supply planning data'!$C:$C,$Y39))</f>
        <v/>
      </c>
      <c r="AK39" s="468" t="str">
        <f>IF(SUMIFS('Supply planning data'!$U:$U,'Supply planning data'!$D:$D,AK$31,'Supply planning data'!$C:$C,$Y39)=0,"",SUMIFS('Supply planning data'!$U:$U,'Supply planning data'!$D:$D,AK$31,'Supply planning data'!$C:$C,$Y39))</f>
        <v/>
      </c>
      <c r="AL39" s="468" t="str">
        <f>IF(SUMIFS('Supply planning data'!$U:$U,'Supply planning data'!$D:$D,AL$31,'Supply planning data'!$C:$C,$Y39)=0,"",SUMIFS('Supply planning data'!$U:$U,'Supply planning data'!$D:$D,AL$31,'Supply planning data'!$C:$C,$Y39))</f>
        <v/>
      </c>
      <c r="AM39" s="468" t="str">
        <f>IF(SUMIFS('Supply planning data'!$U:$U,'Supply planning data'!$D:$D,AM$31,'Supply planning data'!$C:$C,$Y39)=0,"",SUMIFS('Supply planning data'!$U:$U,'Supply planning data'!$D:$D,AM$31,'Supply planning data'!$C:$C,$Y39))</f>
        <v/>
      </c>
      <c r="AN39" s="468" t="str">
        <f>IF(SUMIFS('Supply planning data'!$U:$U,'Supply planning data'!$D:$D,AN$31,'Supply planning data'!$C:$C,$Y39)=0,"",SUMIFS('Supply planning data'!$U:$U,'Supply planning data'!$D:$D,AN$31,'Supply planning data'!$C:$C,$Y39))</f>
        <v/>
      </c>
      <c r="AO39" s="468" t="str">
        <f>IF(SUMIFS('Supply planning data'!$U:$U,'Supply planning data'!$D:$D,AO$31,'Supply planning data'!$C:$C,$Y39)=0,"",SUMIFS('Supply planning data'!$U:$U,'Supply planning data'!$D:$D,AO$31,'Supply planning data'!$C:$C,$Y39))</f>
        <v/>
      </c>
      <c r="AP39" s="468" t="str">
        <f>IF(SUMIFS('Supply planning data'!$U:$U,'Supply planning data'!$D:$D,AP$31,'Supply planning data'!$C:$C,$Y39)=0,"",SUMIFS('Supply planning data'!$U:$U,'Supply planning data'!$D:$D,AP$31,'Supply planning data'!$C:$C,$Y39))</f>
        <v/>
      </c>
      <c r="AQ39" s="468" t="str">
        <f>IF(SUMIFS('Supply planning data'!$U:$U,'Supply planning data'!$D:$D,AQ$31,'Supply planning data'!$C:$C,$Y39)=0,"",SUMIFS('Supply planning data'!$U:$U,'Supply planning data'!$D:$D,AQ$31,'Supply planning data'!$C:$C,$Y39))</f>
        <v/>
      </c>
      <c r="AR39" s="468" t="str">
        <f>IF(SUMIFS('Supply planning data'!$U:$U,'Supply planning data'!$D:$D,AR$31,'Supply planning data'!$C:$C,$Y39)=0,"",SUMIFS('Supply planning data'!$U:$U,'Supply planning data'!$D:$D,AR$31,'Supply planning data'!$C:$C,$Y39))</f>
        <v/>
      </c>
      <c r="AS39" s="469" t="str">
        <f>IF(SUMIFS('Supply planning data'!$U:$U,'Supply planning data'!$D:$D,AS$31,'Supply planning data'!$C:$C,$Y39)=0,"",SUMIFS('Supply planning data'!$U:$U,'Supply planning data'!$D:$D,AS$31,'Supply planning data'!$C:$C,$Y39))</f>
        <v/>
      </c>
      <c r="AT39" s="481">
        <f t="shared" si="6"/>
        <v>0</v>
      </c>
      <c r="AU39" s="479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</row>
    <row r="40" spans="5:86" ht="15" x14ac:dyDescent="0.25">
      <c r="E40" s="75"/>
      <c r="F40" s="75"/>
      <c r="G40" s="75"/>
      <c r="H40" s="75"/>
      <c r="I40" s="75"/>
      <c r="J40" s="75"/>
      <c r="Y40" s="133" t="str">
        <f>IF(DataViz!M67&lt;&gt;0,DataViz!M67,"")</f>
        <v/>
      </c>
      <c r="Z40" s="470" t="str">
        <f>IF(SUMIFS('Supply planning data'!$U:$U,'Supply planning data'!$D:$D,Z$31,'Supply planning data'!$C:$C,$Y40)=0,"",SUMIFS('Supply planning data'!$U:$U,'Supply planning data'!$D:$D,Z$31,'Supply planning data'!$C:$C,$Y40))</f>
        <v/>
      </c>
      <c r="AA40" s="470" t="str">
        <f>IF(SUMIFS('Supply planning data'!$U:$U,'Supply planning data'!$D:$D,AA$31,'Supply planning data'!$C:$C,$Y40)=0,"",SUMIFS('Supply planning data'!$U:$U,'Supply planning data'!$D:$D,AA$31,'Supply planning data'!$C:$C,$Y40))</f>
        <v/>
      </c>
      <c r="AB40" s="470" t="str">
        <f>IF(SUMIFS('Supply planning data'!$U:$U,'Supply planning data'!$D:$D,AB$31,'Supply planning data'!$C:$C,$Y40)=0,"",SUMIFS('Supply planning data'!$U:$U,'Supply planning data'!$D:$D,AB$31,'Supply planning data'!$C:$C,$Y40))</f>
        <v/>
      </c>
      <c r="AC40" s="470" t="str">
        <f>IF(SUMIFS('Supply planning data'!$U:$U,'Supply planning data'!$D:$D,AC$31,'Supply planning data'!$C:$C,$Y40)=0,"",SUMIFS('Supply planning data'!$U:$U,'Supply planning data'!$D:$D,AC$31,'Supply planning data'!$C:$C,$Y40))</f>
        <v/>
      </c>
      <c r="AD40" s="470" t="str">
        <f>IF(SUMIFS('Supply planning data'!$U:$U,'Supply planning data'!$D:$D,AD$31,'Supply planning data'!$C:$C,$Y40)=0,"",SUMIFS('Supply planning data'!$U:$U,'Supply planning data'!$D:$D,AD$31,'Supply planning data'!$C:$C,$Y40))</f>
        <v/>
      </c>
      <c r="AE40" s="470" t="str">
        <f>IF(SUMIFS('Supply planning data'!$U:$U,'Supply planning data'!$D:$D,AE$31,'Supply planning data'!$C:$C,$Y40)=0,"",SUMIFS('Supply planning data'!$U:$U,'Supply planning data'!$D:$D,AE$31,'Supply planning data'!$C:$C,$Y40))</f>
        <v/>
      </c>
      <c r="AF40" s="470" t="str">
        <f>IF(SUMIFS('Supply planning data'!$U:$U,'Supply planning data'!$D:$D,AF$31,'Supply planning data'!$C:$C,$Y40)=0,"",SUMIFS('Supply planning data'!$U:$U,'Supply planning data'!$D:$D,AF$31,'Supply planning data'!$C:$C,$Y40))</f>
        <v/>
      </c>
      <c r="AG40" s="470" t="str">
        <f>IF(SUMIFS('Supply planning data'!$U:$U,'Supply planning data'!$D:$D,AG$31,'Supply planning data'!$C:$C,$Y40)=0,"",SUMIFS('Supply planning data'!$U:$U,'Supply planning data'!$D:$D,AG$31,'Supply planning data'!$C:$C,$Y40))</f>
        <v/>
      </c>
      <c r="AH40" s="470" t="str">
        <f>IF(SUMIFS('Supply planning data'!$U:$U,'Supply planning data'!$D:$D,AH$31,'Supply planning data'!$C:$C,$Y40)=0,"",SUMIFS('Supply planning data'!$U:$U,'Supply planning data'!$D:$D,AH$31,'Supply planning data'!$C:$C,$Y40))</f>
        <v/>
      </c>
      <c r="AI40" s="470" t="str">
        <f>IF(SUMIFS('Supply planning data'!$U:$U,'Supply planning data'!$D:$D,AI$31,'Supply planning data'!$C:$C,$Y40)=0,"",SUMIFS('Supply planning data'!$U:$U,'Supply planning data'!$D:$D,AI$31,'Supply planning data'!$C:$C,$Y40))</f>
        <v/>
      </c>
      <c r="AJ40" s="470" t="str">
        <f>IF(SUMIFS('Supply planning data'!$U:$U,'Supply planning data'!$D:$D,AJ$31,'Supply planning data'!$C:$C,$Y40)=0,"",SUMIFS('Supply planning data'!$U:$U,'Supply planning data'!$D:$D,AJ$31,'Supply planning data'!$C:$C,$Y40))</f>
        <v/>
      </c>
      <c r="AK40" s="470" t="str">
        <f>IF(SUMIFS('Supply planning data'!$U:$U,'Supply planning data'!$D:$D,AK$31,'Supply planning data'!$C:$C,$Y40)=0,"",SUMIFS('Supply planning data'!$U:$U,'Supply planning data'!$D:$D,AK$31,'Supply planning data'!$C:$C,$Y40))</f>
        <v/>
      </c>
      <c r="AL40" s="470" t="str">
        <f>IF(SUMIFS('Supply planning data'!$U:$U,'Supply planning data'!$D:$D,AL$31,'Supply planning data'!$C:$C,$Y40)=0,"",SUMIFS('Supply planning data'!$U:$U,'Supply planning data'!$D:$D,AL$31,'Supply planning data'!$C:$C,$Y40))</f>
        <v/>
      </c>
      <c r="AM40" s="470" t="str">
        <f>IF(SUMIFS('Supply planning data'!$U:$U,'Supply planning data'!$D:$D,AM$31,'Supply planning data'!$C:$C,$Y40)=0,"",SUMIFS('Supply planning data'!$U:$U,'Supply planning data'!$D:$D,AM$31,'Supply planning data'!$C:$C,$Y40))</f>
        <v/>
      </c>
      <c r="AN40" s="470" t="str">
        <f>IF(SUMIFS('Supply planning data'!$U:$U,'Supply planning data'!$D:$D,AN$31,'Supply planning data'!$C:$C,$Y40)=0,"",SUMIFS('Supply planning data'!$U:$U,'Supply planning data'!$D:$D,AN$31,'Supply planning data'!$C:$C,$Y40))</f>
        <v/>
      </c>
      <c r="AO40" s="470" t="str">
        <f>IF(SUMIFS('Supply planning data'!$U:$U,'Supply planning data'!$D:$D,AO$31,'Supply planning data'!$C:$C,$Y40)=0,"",SUMIFS('Supply planning data'!$U:$U,'Supply planning data'!$D:$D,AO$31,'Supply planning data'!$C:$C,$Y40))</f>
        <v/>
      </c>
      <c r="AP40" s="470" t="str">
        <f>IF(SUMIFS('Supply planning data'!$U:$U,'Supply planning data'!$D:$D,AP$31,'Supply planning data'!$C:$C,$Y40)=0,"",SUMIFS('Supply planning data'!$U:$U,'Supply planning data'!$D:$D,AP$31,'Supply planning data'!$C:$C,$Y40))</f>
        <v/>
      </c>
      <c r="AQ40" s="470" t="str">
        <f>IF(SUMIFS('Supply planning data'!$U:$U,'Supply planning data'!$D:$D,AQ$31,'Supply planning data'!$C:$C,$Y40)=0,"",SUMIFS('Supply planning data'!$U:$U,'Supply planning data'!$D:$D,AQ$31,'Supply planning data'!$C:$C,$Y40))</f>
        <v/>
      </c>
      <c r="AR40" s="470" t="str">
        <f>IF(SUMIFS('Supply planning data'!$U:$U,'Supply planning data'!$D:$D,AR$31,'Supply planning data'!$C:$C,$Y40)=0,"",SUMIFS('Supply planning data'!$U:$U,'Supply planning data'!$D:$D,AR$31,'Supply planning data'!$C:$C,$Y40))</f>
        <v/>
      </c>
      <c r="AS40" s="471" t="str">
        <f>IF(SUMIFS('Supply planning data'!$U:$U,'Supply planning data'!$D:$D,AS$31,'Supply planning data'!$C:$C,$Y40)=0,"",SUMIFS('Supply planning data'!$U:$U,'Supply planning data'!$D:$D,AS$31,'Supply planning data'!$C:$C,$Y40))</f>
        <v/>
      </c>
      <c r="AT40" s="482">
        <f t="shared" si="6"/>
        <v>0</v>
      </c>
      <c r="AU40" s="479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</row>
    <row r="41" spans="5:86" ht="15" x14ac:dyDescent="0.25">
      <c r="E41" s="75"/>
      <c r="F41" s="75"/>
      <c r="G41" s="75"/>
      <c r="H41" s="75"/>
      <c r="I41" s="75"/>
      <c r="J41" s="75"/>
      <c r="Y41" s="158" t="str">
        <f>IF(DataViz!N67&lt;&gt;0,DataViz!N67,"")</f>
        <v/>
      </c>
      <c r="Z41" s="468" t="str">
        <f>IF(SUMIFS('Supply planning data'!$U:$U,'Supply planning data'!$D:$D,Z$31,'Supply planning data'!$C:$C,$Y41)=0,"",SUMIFS('Supply planning data'!$U:$U,'Supply planning data'!$D:$D,Z$31,'Supply planning data'!$C:$C,$Y41))</f>
        <v/>
      </c>
      <c r="AA41" s="468" t="str">
        <f>IF(SUMIFS('Supply planning data'!$U:$U,'Supply planning data'!$D:$D,AA$31,'Supply planning data'!$C:$C,$Y41)=0,"",SUMIFS('Supply planning data'!$U:$U,'Supply planning data'!$D:$D,AA$31,'Supply planning data'!$C:$C,$Y41))</f>
        <v/>
      </c>
      <c r="AB41" s="468" t="str">
        <f>IF(SUMIFS('Supply planning data'!$U:$U,'Supply planning data'!$D:$D,AB$31,'Supply planning data'!$C:$C,$Y41)=0,"",SUMIFS('Supply planning data'!$U:$U,'Supply planning data'!$D:$D,AB$31,'Supply planning data'!$C:$C,$Y41))</f>
        <v/>
      </c>
      <c r="AC41" s="468" t="str">
        <f>IF(SUMIFS('Supply planning data'!$U:$U,'Supply planning data'!$D:$D,AC$31,'Supply planning data'!$C:$C,$Y41)=0,"",SUMIFS('Supply planning data'!$U:$U,'Supply planning data'!$D:$D,AC$31,'Supply planning data'!$C:$C,$Y41))</f>
        <v/>
      </c>
      <c r="AD41" s="468" t="str">
        <f>IF(SUMIFS('Supply planning data'!$U:$U,'Supply planning data'!$D:$D,AD$31,'Supply planning data'!$C:$C,$Y41)=0,"",SUMIFS('Supply planning data'!$U:$U,'Supply planning data'!$D:$D,AD$31,'Supply planning data'!$C:$C,$Y41))</f>
        <v/>
      </c>
      <c r="AE41" s="468" t="str">
        <f>IF(SUMIFS('Supply planning data'!$U:$U,'Supply planning data'!$D:$D,AE$31,'Supply planning data'!$C:$C,$Y41)=0,"",SUMIFS('Supply planning data'!$U:$U,'Supply planning data'!$D:$D,AE$31,'Supply planning data'!$C:$C,$Y41))</f>
        <v/>
      </c>
      <c r="AF41" s="468" t="str">
        <f>IF(SUMIFS('Supply planning data'!$U:$U,'Supply planning data'!$D:$D,AF$31,'Supply planning data'!$C:$C,$Y41)=0,"",SUMIFS('Supply planning data'!$U:$U,'Supply planning data'!$D:$D,AF$31,'Supply planning data'!$C:$C,$Y41))</f>
        <v/>
      </c>
      <c r="AG41" s="468" t="str">
        <f>IF(SUMIFS('Supply planning data'!$U:$U,'Supply planning data'!$D:$D,AG$31,'Supply planning data'!$C:$C,$Y41)=0,"",SUMIFS('Supply planning data'!$U:$U,'Supply planning data'!$D:$D,AG$31,'Supply planning data'!$C:$C,$Y41))</f>
        <v/>
      </c>
      <c r="AH41" s="468" t="str">
        <f>IF(SUMIFS('Supply planning data'!$U:$U,'Supply planning data'!$D:$D,AH$31,'Supply planning data'!$C:$C,$Y41)=0,"",SUMIFS('Supply planning data'!$U:$U,'Supply planning data'!$D:$D,AH$31,'Supply planning data'!$C:$C,$Y41))</f>
        <v/>
      </c>
      <c r="AI41" s="468" t="str">
        <f>IF(SUMIFS('Supply planning data'!$U:$U,'Supply planning data'!$D:$D,AI$31,'Supply planning data'!$C:$C,$Y41)=0,"",SUMIFS('Supply planning data'!$U:$U,'Supply planning data'!$D:$D,AI$31,'Supply planning data'!$C:$C,$Y41))</f>
        <v/>
      </c>
      <c r="AJ41" s="468" t="str">
        <f>IF(SUMIFS('Supply planning data'!$U:$U,'Supply planning data'!$D:$D,AJ$31,'Supply planning data'!$C:$C,$Y41)=0,"",SUMIFS('Supply planning data'!$U:$U,'Supply planning data'!$D:$D,AJ$31,'Supply planning data'!$C:$C,$Y41))</f>
        <v/>
      </c>
      <c r="AK41" s="468" t="str">
        <f>IF(SUMIFS('Supply planning data'!$U:$U,'Supply planning data'!$D:$D,AK$31,'Supply planning data'!$C:$C,$Y41)=0,"",SUMIFS('Supply planning data'!$U:$U,'Supply planning data'!$D:$D,AK$31,'Supply planning data'!$C:$C,$Y41))</f>
        <v/>
      </c>
      <c r="AL41" s="468" t="str">
        <f>IF(SUMIFS('Supply planning data'!$U:$U,'Supply planning data'!$D:$D,AL$31,'Supply planning data'!$C:$C,$Y41)=0,"",SUMIFS('Supply planning data'!$U:$U,'Supply planning data'!$D:$D,AL$31,'Supply planning data'!$C:$C,$Y41))</f>
        <v/>
      </c>
      <c r="AM41" s="468" t="str">
        <f>IF(SUMIFS('Supply planning data'!$U:$U,'Supply planning data'!$D:$D,AM$31,'Supply planning data'!$C:$C,$Y41)=0,"",SUMIFS('Supply planning data'!$U:$U,'Supply planning data'!$D:$D,AM$31,'Supply planning data'!$C:$C,$Y41))</f>
        <v/>
      </c>
      <c r="AN41" s="468" t="str">
        <f>IF(SUMIFS('Supply planning data'!$U:$U,'Supply planning data'!$D:$D,AN$31,'Supply planning data'!$C:$C,$Y41)=0,"",SUMIFS('Supply planning data'!$U:$U,'Supply planning data'!$D:$D,AN$31,'Supply planning data'!$C:$C,$Y41))</f>
        <v/>
      </c>
      <c r="AO41" s="468" t="str">
        <f>IF(SUMIFS('Supply planning data'!$U:$U,'Supply planning data'!$D:$D,AO$31,'Supply planning data'!$C:$C,$Y41)=0,"",SUMIFS('Supply planning data'!$U:$U,'Supply planning data'!$D:$D,AO$31,'Supply planning data'!$C:$C,$Y41))</f>
        <v/>
      </c>
      <c r="AP41" s="468" t="str">
        <f>IF(SUMIFS('Supply planning data'!$U:$U,'Supply planning data'!$D:$D,AP$31,'Supply planning data'!$C:$C,$Y41)=0,"",SUMIFS('Supply planning data'!$U:$U,'Supply planning data'!$D:$D,AP$31,'Supply planning data'!$C:$C,$Y41))</f>
        <v/>
      </c>
      <c r="AQ41" s="468" t="str">
        <f>IF(SUMIFS('Supply planning data'!$U:$U,'Supply planning data'!$D:$D,AQ$31,'Supply planning data'!$C:$C,$Y41)=0,"",SUMIFS('Supply planning data'!$U:$U,'Supply planning data'!$D:$D,AQ$31,'Supply planning data'!$C:$C,$Y41))</f>
        <v/>
      </c>
      <c r="AR41" s="468" t="str">
        <f>IF(SUMIFS('Supply planning data'!$U:$U,'Supply planning data'!$D:$D,AR$31,'Supply planning data'!$C:$C,$Y41)=0,"",SUMIFS('Supply planning data'!$U:$U,'Supply planning data'!$D:$D,AR$31,'Supply planning data'!$C:$C,$Y41))</f>
        <v/>
      </c>
      <c r="AS41" s="469" t="str">
        <f>IF(SUMIFS('Supply planning data'!$U:$U,'Supply planning data'!$D:$D,AS$31,'Supply planning data'!$C:$C,$Y41)=0,"",SUMIFS('Supply planning data'!$U:$U,'Supply planning data'!$D:$D,AS$31,'Supply planning data'!$C:$C,$Y41))</f>
        <v/>
      </c>
      <c r="AT41" s="481">
        <f t="shared" si="6"/>
        <v>0</v>
      </c>
      <c r="AU41" s="479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</row>
    <row r="42" spans="5:86" ht="15" x14ac:dyDescent="0.25">
      <c r="E42" s="75"/>
      <c r="F42" s="75"/>
      <c r="G42" s="75"/>
      <c r="H42" s="75"/>
      <c r="I42" s="75"/>
      <c r="J42" s="75"/>
      <c r="Y42" s="133" t="str">
        <f>IF(DataViz!O67&lt;&gt;0,DataViz!O67,"")</f>
        <v/>
      </c>
      <c r="Z42" s="470" t="str">
        <f>IF(SUMIFS('Supply planning data'!$U:$U,'Supply planning data'!$D:$D,Z$31,'Supply planning data'!$C:$C,$Y42)=0,"",SUMIFS('Supply planning data'!$U:$U,'Supply planning data'!$D:$D,Z$31,'Supply planning data'!$C:$C,$Y42))</f>
        <v/>
      </c>
      <c r="AA42" s="470" t="str">
        <f>IF(SUMIFS('Supply planning data'!$U:$U,'Supply planning data'!$D:$D,AA$31,'Supply planning data'!$C:$C,$Y42)=0,"",SUMIFS('Supply planning data'!$U:$U,'Supply planning data'!$D:$D,AA$31,'Supply planning data'!$C:$C,$Y42))</f>
        <v/>
      </c>
      <c r="AB42" s="470" t="str">
        <f>IF(SUMIFS('Supply planning data'!$U:$U,'Supply planning data'!$D:$D,AB$31,'Supply planning data'!$C:$C,$Y42)=0,"",SUMIFS('Supply planning data'!$U:$U,'Supply planning data'!$D:$D,AB$31,'Supply planning data'!$C:$C,$Y42))</f>
        <v/>
      </c>
      <c r="AC42" s="470" t="str">
        <f>IF(SUMIFS('Supply planning data'!$U:$U,'Supply planning data'!$D:$D,AC$31,'Supply planning data'!$C:$C,$Y42)=0,"",SUMIFS('Supply planning data'!$U:$U,'Supply planning data'!$D:$D,AC$31,'Supply planning data'!$C:$C,$Y42))</f>
        <v/>
      </c>
      <c r="AD42" s="470" t="str">
        <f>IF(SUMIFS('Supply planning data'!$U:$U,'Supply planning data'!$D:$D,AD$31,'Supply planning data'!$C:$C,$Y42)=0,"",SUMIFS('Supply planning data'!$U:$U,'Supply planning data'!$D:$D,AD$31,'Supply planning data'!$C:$C,$Y42))</f>
        <v/>
      </c>
      <c r="AE42" s="470" t="str">
        <f>IF(SUMIFS('Supply planning data'!$U:$U,'Supply planning data'!$D:$D,AE$31,'Supply planning data'!$C:$C,$Y42)=0,"",SUMIFS('Supply planning data'!$U:$U,'Supply planning data'!$D:$D,AE$31,'Supply planning data'!$C:$C,$Y42))</f>
        <v/>
      </c>
      <c r="AF42" s="470" t="str">
        <f>IF(SUMIFS('Supply planning data'!$U:$U,'Supply planning data'!$D:$D,AF$31,'Supply planning data'!$C:$C,$Y42)=0,"",SUMIFS('Supply planning data'!$U:$U,'Supply planning data'!$D:$D,AF$31,'Supply planning data'!$C:$C,$Y42))</f>
        <v/>
      </c>
      <c r="AG42" s="470" t="str">
        <f>IF(SUMIFS('Supply planning data'!$U:$U,'Supply planning data'!$D:$D,AG$31,'Supply planning data'!$C:$C,$Y42)=0,"",SUMIFS('Supply planning data'!$U:$U,'Supply planning data'!$D:$D,AG$31,'Supply planning data'!$C:$C,$Y42))</f>
        <v/>
      </c>
      <c r="AH42" s="470" t="str">
        <f>IF(SUMIFS('Supply planning data'!$U:$U,'Supply planning data'!$D:$D,AH$31,'Supply planning data'!$C:$C,$Y42)=0,"",SUMIFS('Supply planning data'!$U:$U,'Supply planning data'!$D:$D,AH$31,'Supply planning data'!$C:$C,$Y42))</f>
        <v/>
      </c>
      <c r="AI42" s="470" t="str">
        <f>IF(SUMIFS('Supply planning data'!$U:$U,'Supply planning data'!$D:$D,AI$31,'Supply planning data'!$C:$C,$Y42)=0,"",SUMIFS('Supply planning data'!$U:$U,'Supply planning data'!$D:$D,AI$31,'Supply planning data'!$C:$C,$Y42))</f>
        <v/>
      </c>
      <c r="AJ42" s="470" t="str">
        <f>IF(SUMIFS('Supply planning data'!$U:$U,'Supply planning data'!$D:$D,AJ$31,'Supply planning data'!$C:$C,$Y42)=0,"",SUMIFS('Supply planning data'!$U:$U,'Supply planning data'!$D:$D,AJ$31,'Supply planning data'!$C:$C,$Y42))</f>
        <v/>
      </c>
      <c r="AK42" s="470" t="str">
        <f>IF(SUMIFS('Supply planning data'!$U:$U,'Supply planning data'!$D:$D,AK$31,'Supply planning data'!$C:$C,$Y42)=0,"",SUMIFS('Supply planning data'!$U:$U,'Supply planning data'!$D:$D,AK$31,'Supply planning data'!$C:$C,$Y42))</f>
        <v/>
      </c>
      <c r="AL42" s="470" t="str">
        <f>IF(SUMIFS('Supply planning data'!$U:$U,'Supply planning data'!$D:$D,AL$31,'Supply planning data'!$C:$C,$Y42)=0,"",SUMIFS('Supply planning data'!$U:$U,'Supply planning data'!$D:$D,AL$31,'Supply planning data'!$C:$C,$Y42))</f>
        <v/>
      </c>
      <c r="AM42" s="470" t="str">
        <f>IF(SUMIFS('Supply planning data'!$U:$U,'Supply planning data'!$D:$D,AM$31,'Supply planning data'!$C:$C,$Y42)=0,"",SUMIFS('Supply planning data'!$U:$U,'Supply planning data'!$D:$D,AM$31,'Supply planning data'!$C:$C,$Y42))</f>
        <v/>
      </c>
      <c r="AN42" s="470" t="str">
        <f>IF(SUMIFS('Supply planning data'!$U:$U,'Supply planning data'!$D:$D,AN$31,'Supply planning data'!$C:$C,$Y42)=0,"",SUMIFS('Supply planning data'!$U:$U,'Supply planning data'!$D:$D,AN$31,'Supply planning data'!$C:$C,$Y42))</f>
        <v/>
      </c>
      <c r="AO42" s="470" t="str">
        <f>IF(SUMIFS('Supply planning data'!$U:$U,'Supply planning data'!$D:$D,AO$31,'Supply planning data'!$C:$C,$Y42)=0,"",SUMIFS('Supply planning data'!$U:$U,'Supply planning data'!$D:$D,AO$31,'Supply planning data'!$C:$C,$Y42))</f>
        <v/>
      </c>
      <c r="AP42" s="470" t="str">
        <f>IF(SUMIFS('Supply planning data'!$U:$U,'Supply planning data'!$D:$D,AP$31,'Supply planning data'!$C:$C,$Y42)=0,"",SUMIFS('Supply planning data'!$U:$U,'Supply planning data'!$D:$D,AP$31,'Supply planning data'!$C:$C,$Y42))</f>
        <v/>
      </c>
      <c r="AQ42" s="470" t="str">
        <f>IF(SUMIFS('Supply planning data'!$U:$U,'Supply planning data'!$D:$D,AQ$31,'Supply planning data'!$C:$C,$Y42)=0,"",SUMIFS('Supply planning data'!$U:$U,'Supply planning data'!$D:$D,AQ$31,'Supply planning data'!$C:$C,$Y42))</f>
        <v/>
      </c>
      <c r="AR42" s="470" t="str">
        <f>IF(SUMIFS('Supply planning data'!$U:$U,'Supply planning data'!$D:$D,AR$31,'Supply planning data'!$C:$C,$Y42)=0,"",SUMIFS('Supply planning data'!$U:$U,'Supply planning data'!$D:$D,AR$31,'Supply planning data'!$C:$C,$Y42))</f>
        <v/>
      </c>
      <c r="AS42" s="471" t="str">
        <f>IF(SUMIFS('Supply planning data'!$U:$U,'Supply planning data'!$D:$D,AS$31,'Supply planning data'!$C:$C,$Y42)=0,"",SUMIFS('Supply planning data'!$U:$U,'Supply planning data'!$D:$D,AS$31,'Supply planning data'!$C:$C,$Y42))</f>
        <v/>
      </c>
      <c r="AT42" s="482">
        <f t="shared" si="6"/>
        <v>0</v>
      </c>
      <c r="AU42" s="479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</row>
    <row r="43" spans="5:86" ht="15" x14ac:dyDescent="0.25">
      <c r="E43" s="75"/>
      <c r="F43" s="75"/>
      <c r="G43" s="75"/>
      <c r="H43" s="75"/>
      <c r="I43" s="75"/>
      <c r="J43" s="75"/>
      <c r="Y43" s="158" t="str">
        <f>IF(DataViz!P67&lt;&gt;0,DataViz!P67,"")</f>
        <v/>
      </c>
      <c r="Z43" s="468" t="str">
        <f>IF(SUMIFS('Supply planning data'!$U:$U,'Supply planning data'!$D:$D,Z$31,'Supply planning data'!$C:$C,$Y43)=0,"",SUMIFS('Supply planning data'!$U:$U,'Supply planning data'!$D:$D,Z$31,'Supply planning data'!$C:$C,$Y43))</f>
        <v/>
      </c>
      <c r="AA43" s="468" t="str">
        <f>IF(SUMIFS('Supply planning data'!$U:$U,'Supply planning data'!$D:$D,AA$31,'Supply planning data'!$C:$C,$Y43)=0,"",SUMIFS('Supply planning data'!$U:$U,'Supply planning data'!$D:$D,AA$31,'Supply planning data'!$C:$C,$Y43))</f>
        <v/>
      </c>
      <c r="AB43" s="468" t="str">
        <f>IF(SUMIFS('Supply planning data'!$U:$U,'Supply planning data'!$D:$D,AB$31,'Supply planning data'!$C:$C,$Y43)=0,"",SUMIFS('Supply planning data'!$U:$U,'Supply planning data'!$D:$D,AB$31,'Supply planning data'!$C:$C,$Y43))</f>
        <v/>
      </c>
      <c r="AC43" s="468" t="str">
        <f>IF(SUMIFS('Supply planning data'!$U:$U,'Supply planning data'!$D:$D,AC$31,'Supply planning data'!$C:$C,$Y43)=0,"",SUMIFS('Supply planning data'!$U:$U,'Supply planning data'!$D:$D,AC$31,'Supply planning data'!$C:$C,$Y43))</f>
        <v/>
      </c>
      <c r="AD43" s="468" t="str">
        <f>IF(SUMIFS('Supply planning data'!$U:$U,'Supply planning data'!$D:$D,AD$31,'Supply planning data'!$C:$C,$Y43)=0,"",SUMIFS('Supply planning data'!$U:$U,'Supply planning data'!$D:$D,AD$31,'Supply planning data'!$C:$C,$Y43))</f>
        <v/>
      </c>
      <c r="AE43" s="468" t="str">
        <f>IF(SUMIFS('Supply planning data'!$U:$U,'Supply planning data'!$D:$D,AE$31,'Supply planning data'!$C:$C,$Y43)=0,"",SUMIFS('Supply planning data'!$U:$U,'Supply planning data'!$D:$D,AE$31,'Supply planning data'!$C:$C,$Y43))</f>
        <v/>
      </c>
      <c r="AF43" s="468" t="str">
        <f>IF(SUMIFS('Supply planning data'!$U:$U,'Supply planning data'!$D:$D,AF$31,'Supply planning data'!$C:$C,$Y43)=0,"",SUMIFS('Supply planning data'!$U:$U,'Supply planning data'!$D:$D,AF$31,'Supply planning data'!$C:$C,$Y43))</f>
        <v/>
      </c>
      <c r="AG43" s="468" t="str">
        <f>IF(SUMIFS('Supply planning data'!$U:$U,'Supply planning data'!$D:$D,AG$31,'Supply planning data'!$C:$C,$Y43)=0,"",SUMIFS('Supply planning data'!$U:$U,'Supply planning data'!$D:$D,AG$31,'Supply planning data'!$C:$C,$Y43))</f>
        <v/>
      </c>
      <c r="AH43" s="468" t="str">
        <f>IF(SUMIFS('Supply planning data'!$U:$U,'Supply planning data'!$D:$D,AH$31,'Supply planning data'!$C:$C,$Y43)=0,"",SUMIFS('Supply planning data'!$U:$U,'Supply planning data'!$D:$D,AH$31,'Supply planning data'!$C:$C,$Y43))</f>
        <v/>
      </c>
      <c r="AI43" s="468" t="str">
        <f>IF(SUMIFS('Supply planning data'!$U:$U,'Supply planning data'!$D:$D,AI$31,'Supply planning data'!$C:$C,$Y43)=0,"",SUMIFS('Supply planning data'!$U:$U,'Supply planning data'!$D:$D,AI$31,'Supply planning data'!$C:$C,$Y43))</f>
        <v/>
      </c>
      <c r="AJ43" s="468" t="str">
        <f>IF(SUMIFS('Supply planning data'!$U:$U,'Supply planning data'!$D:$D,AJ$31,'Supply planning data'!$C:$C,$Y43)=0,"",SUMIFS('Supply planning data'!$U:$U,'Supply planning data'!$D:$D,AJ$31,'Supply planning data'!$C:$C,$Y43))</f>
        <v/>
      </c>
      <c r="AK43" s="468" t="str">
        <f>IF(SUMIFS('Supply planning data'!$U:$U,'Supply planning data'!$D:$D,AK$31,'Supply planning data'!$C:$C,$Y43)=0,"",SUMIFS('Supply planning data'!$U:$U,'Supply planning data'!$D:$D,AK$31,'Supply planning data'!$C:$C,$Y43))</f>
        <v/>
      </c>
      <c r="AL43" s="468" t="str">
        <f>IF(SUMIFS('Supply planning data'!$U:$U,'Supply planning data'!$D:$D,AL$31,'Supply planning data'!$C:$C,$Y43)=0,"",SUMIFS('Supply planning data'!$U:$U,'Supply planning data'!$D:$D,AL$31,'Supply planning data'!$C:$C,$Y43))</f>
        <v/>
      </c>
      <c r="AM43" s="468" t="str">
        <f>IF(SUMIFS('Supply planning data'!$U:$U,'Supply planning data'!$D:$D,AM$31,'Supply planning data'!$C:$C,$Y43)=0,"",SUMIFS('Supply planning data'!$U:$U,'Supply planning data'!$D:$D,AM$31,'Supply planning data'!$C:$C,$Y43))</f>
        <v/>
      </c>
      <c r="AN43" s="468" t="str">
        <f>IF(SUMIFS('Supply planning data'!$U:$U,'Supply planning data'!$D:$D,AN$31,'Supply planning data'!$C:$C,$Y43)=0,"",SUMIFS('Supply planning data'!$U:$U,'Supply planning data'!$D:$D,AN$31,'Supply planning data'!$C:$C,$Y43))</f>
        <v/>
      </c>
      <c r="AO43" s="468" t="str">
        <f>IF(SUMIFS('Supply planning data'!$U:$U,'Supply planning data'!$D:$D,AO$31,'Supply planning data'!$C:$C,$Y43)=0,"",SUMIFS('Supply planning data'!$U:$U,'Supply planning data'!$D:$D,AO$31,'Supply planning data'!$C:$C,$Y43))</f>
        <v/>
      </c>
      <c r="AP43" s="468" t="str">
        <f>IF(SUMIFS('Supply planning data'!$U:$U,'Supply planning data'!$D:$D,AP$31,'Supply planning data'!$C:$C,$Y43)=0,"",SUMIFS('Supply planning data'!$U:$U,'Supply planning data'!$D:$D,AP$31,'Supply planning data'!$C:$C,$Y43))</f>
        <v/>
      </c>
      <c r="AQ43" s="468" t="str">
        <f>IF(SUMIFS('Supply planning data'!$U:$U,'Supply planning data'!$D:$D,AQ$31,'Supply planning data'!$C:$C,$Y43)=0,"",SUMIFS('Supply planning data'!$U:$U,'Supply planning data'!$D:$D,AQ$31,'Supply planning data'!$C:$C,$Y43))</f>
        <v/>
      </c>
      <c r="AR43" s="468" t="str">
        <f>IF(SUMIFS('Supply planning data'!$U:$U,'Supply planning data'!$D:$D,AR$31,'Supply planning data'!$C:$C,$Y43)=0,"",SUMIFS('Supply planning data'!$U:$U,'Supply planning data'!$D:$D,AR$31,'Supply planning data'!$C:$C,$Y43))</f>
        <v/>
      </c>
      <c r="AS43" s="469" t="str">
        <f>IF(SUMIFS('Supply planning data'!$U:$U,'Supply planning data'!$D:$D,AS$31,'Supply planning data'!$C:$C,$Y43)=0,"",SUMIFS('Supply planning data'!$U:$U,'Supply planning data'!$D:$D,AS$31,'Supply planning data'!$C:$C,$Y43))</f>
        <v/>
      </c>
      <c r="AT43" s="481">
        <f t="shared" si="6"/>
        <v>0</v>
      </c>
      <c r="AU43" s="479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</row>
    <row r="44" spans="5:86" ht="15" x14ac:dyDescent="0.25">
      <c r="E44" s="75"/>
      <c r="F44" s="75"/>
      <c r="G44" s="75"/>
      <c r="H44" s="75"/>
      <c r="I44" s="75"/>
      <c r="J44" s="75"/>
      <c r="Y44" s="133" t="str">
        <f>IF(DataViz!Q67&lt;&gt;0,DataViz!Q67,"")</f>
        <v/>
      </c>
      <c r="Z44" s="472" t="str">
        <f>IF(SUMIFS('Supply planning data'!$U:$U,'Supply planning data'!$D:$D,Z$31,'Supply planning data'!$C:$C,$Y44)=0,"",SUMIFS('Supply planning data'!$U:$U,'Supply planning data'!$D:$D,Z$31,'Supply planning data'!$C:$C,$Y44))</f>
        <v/>
      </c>
      <c r="AA44" s="472" t="str">
        <f>IF(SUMIFS('Supply planning data'!$U:$U,'Supply planning data'!$D:$D,AA$31,'Supply planning data'!$C:$C,$Y44)=0,"",SUMIFS('Supply planning data'!$U:$U,'Supply planning data'!$D:$D,AA$31,'Supply planning data'!$C:$C,$Y44))</f>
        <v/>
      </c>
      <c r="AB44" s="472" t="str">
        <f>IF(SUMIFS('Supply planning data'!$U:$U,'Supply planning data'!$D:$D,AB$31,'Supply planning data'!$C:$C,$Y44)=0,"",SUMIFS('Supply planning data'!$U:$U,'Supply planning data'!$D:$D,AB$31,'Supply planning data'!$C:$C,$Y44))</f>
        <v/>
      </c>
      <c r="AC44" s="472" t="str">
        <f>IF(SUMIFS('Supply planning data'!$U:$U,'Supply planning data'!$D:$D,AC$31,'Supply planning data'!$C:$C,$Y44)=0,"",SUMIFS('Supply planning data'!$U:$U,'Supply planning data'!$D:$D,AC$31,'Supply planning data'!$C:$C,$Y44))</f>
        <v/>
      </c>
      <c r="AD44" s="472" t="str">
        <f>IF(SUMIFS('Supply planning data'!$U:$U,'Supply planning data'!$D:$D,AD$31,'Supply planning data'!$C:$C,$Y44)=0,"",SUMIFS('Supply planning data'!$U:$U,'Supply planning data'!$D:$D,AD$31,'Supply planning data'!$C:$C,$Y44))</f>
        <v/>
      </c>
      <c r="AE44" s="472" t="str">
        <f>IF(SUMIFS('Supply planning data'!$U:$U,'Supply planning data'!$D:$D,AE$31,'Supply planning data'!$C:$C,$Y44)=0,"",SUMIFS('Supply planning data'!$U:$U,'Supply planning data'!$D:$D,AE$31,'Supply planning data'!$C:$C,$Y44))</f>
        <v/>
      </c>
      <c r="AF44" s="472" t="str">
        <f>IF(SUMIFS('Supply planning data'!$U:$U,'Supply planning data'!$D:$D,AF$31,'Supply planning data'!$C:$C,$Y44)=0,"",SUMIFS('Supply planning data'!$U:$U,'Supply planning data'!$D:$D,AF$31,'Supply planning data'!$C:$C,$Y44))</f>
        <v/>
      </c>
      <c r="AG44" s="472" t="str">
        <f>IF(SUMIFS('Supply planning data'!$U:$U,'Supply planning data'!$D:$D,AG$31,'Supply planning data'!$C:$C,$Y44)=0,"",SUMIFS('Supply planning data'!$U:$U,'Supply planning data'!$D:$D,AG$31,'Supply planning data'!$C:$C,$Y44))</f>
        <v/>
      </c>
      <c r="AH44" s="472" t="str">
        <f>IF(SUMIFS('Supply planning data'!$U:$U,'Supply planning data'!$D:$D,AH$31,'Supply planning data'!$C:$C,$Y44)=0,"",SUMIFS('Supply planning data'!$U:$U,'Supply planning data'!$D:$D,AH$31,'Supply planning data'!$C:$C,$Y44))</f>
        <v/>
      </c>
      <c r="AI44" s="472" t="str">
        <f>IF(SUMIFS('Supply planning data'!$U:$U,'Supply planning data'!$D:$D,AI$31,'Supply planning data'!$C:$C,$Y44)=0,"",SUMIFS('Supply planning data'!$U:$U,'Supply planning data'!$D:$D,AI$31,'Supply planning data'!$C:$C,$Y44))</f>
        <v/>
      </c>
      <c r="AJ44" s="472" t="str">
        <f>IF(SUMIFS('Supply planning data'!$U:$U,'Supply planning data'!$D:$D,AJ$31,'Supply planning data'!$C:$C,$Y44)=0,"",SUMIFS('Supply planning data'!$U:$U,'Supply planning data'!$D:$D,AJ$31,'Supply planning data'!$C:$C,$Y44))</f>
        <v/>
      </c>
      <c r="AK44" s="472" t="str">
        <f>IF(SUMIFS('Supply planning data'!$U:$U,'Supply planning data'!$D:$D,AK$31,'Supply planning data'!$C:$C,$Y44)=0,"",SUMIFS('Supply planning data'!$U:$U,'Supply planning data'!$D:$D,AK$31,'Supply planning data'!$C:$C,$Y44))</f>
        <v/>
      </c>
      <c r="AL44" s="472" t="str">
        <f>IF(SUMIFS('Supply planning data'!$U:$U,'Supply planning data'!$D:$D,AL$31,'Supply planning data'!$C:$C,$Y44)=0,"",SUMIFS('Supply planning data'!$U:$U,'Supply planning data'!$D:$D,AL$31,'Supply planning data'!$C:$C,$Y44))</f>
        <v/>
      </c>
      <c r="AM44" s="472" t="str">
        <f>IF(SUMIFS('Supply planning data'!$U:$U,'Supply planning data'!$D:$D,AM$31,'Supply planning data'!$C:$C,$Y44)=0,"",SUMIFS('Supply planning data'!$U:$U,'Supply planning data'!$D:$D,AM$31,'Supply planning data'!$C:$C,$Y44))</f>
        <v/>
      </c>
      <c r="AN44" s="472" t="str">
        <f>IF(SUMIFS('Supply planning data'!$U:$U,'Supply planning data'!$D:$D,AN$31,'Supply planning data'!$C:$C,$Y44)=0,"",SUMIFS('Supply planning data'!$U:$U,'Supply planning data'!$D:$D,AN$31,'Supply planning data'!$C:$C,$Y44))</f>
        <v/>
      </c>
      <c r="AO44" s="472" t="str">
        <f>IF(SUMIFS('Supply planning data'!$U:$U,'Supply planning data'!$D:$D,AO$31,'Supply planning data'!$C:$C,$Y44)=0,"",SUMIFS('Supply planning data'!$U:$U,'Supply planning data'!$D:$D,AO$31,'Supply planning data'!$C:$C,$Y44))</f>
        <v/>
      </c>
      <c r="AP44" s="472" t="str">
        <f>IF(SUMIFS('Supply planning data'!$U:$U,'Supply planning data'!$D:$D,AP$31,'Supply planning data'!$C:$C,$Y44)=0,"",SUMIFS('Supply planning data'!$U:$U,'Supply planning data'!$D:$D,AP$31,'Supply planning data'!$C:$C,$Y44))</f>
        <v/>
      </c>
      <c r="AQ44" s="472" t="str">
        <f>IF(SUMIFS('Supply planning data'!$U:$U,'Supply planning data'!$D:$D,AQ$31,'Supply planning data'!$C:$C,$Y44)=0,"",SUMIFS('Supply planning data'!$U:$U,'Supply planning data'!$D:$D,AQ$31,'Supply planning data'!$C:$C,$Y44))</f>
        <v/>
      </c>
      <c r="AR44" s="472" t="str">
        <f>IF(SUMIFS('Supply planning data'!$U:$U,'Supply planning data'!$D:$D,AR$31,'Supply planning data'!$C:$C,$Y44)=0,"",SUMIFS('Supply planning data'!$U:$U,'Supply planning data'!$D:$D,AR$31,'Supply planning data'!$C:$C,$Y44))</f>
        <v/>
      </c>
      <c r="AS44" s="473" t="str">
        <f>IF(SUMIFS('Supply planning data'!$U:$U,'Supply planning data'!$D:$D,AS$31,'Supply planning data'!$C:$C,$Y44)=0,"",SUMIFS('Supply planning data'!$U:$U,'Supply planning data'!$D:$D,AS$31,'Supply planning data'!$C:$C,$Y44))</f>
        <v/>
      </c>
      <c r="AT44" s="484">
        <f t="shared" si="6"/>
        <v>0</v>
      </c>
      <c r="AU44" s="479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</row>
    <row r="45" spans="5:86" ht="15" x14ac:dyDescent="0.25">
      <c r="E45" s="75"/>
      <c r="F45" s="75"/>
      <c r="G45" s="75"/>
      <c r="H45" s="75"/>
      <c r="I45" s="75"/>
      <c r="J45" s="75"/>
      <c r="Y45" s="158" t="str">
        <f>IF(DataViz!R67&lt;&gt;0,DataViz!R67,"")</f>
        <v/>
      </c>
      <c r="Z45" s="474" t="str">
        <f>IF(SUMIFS('Supply planning data'!$U:$U,'Supply planning data'!$D:$D,Z$31,'Supply planning data'!$C:$C,$Y45)=0,"",SUMIFS('Supply planning data'!$U:$U,'Supply planning data'!$D:$D,Z$31,'Supply planning data'!$C:$C,$Y45))</f>
        <v/>
      </c>
      <c r="AA45" s="474" t="str">
        <f>IF(SUMIFS('Supply planning data'!$U:$U,'Supply planning data'!$D:$D,AA$31,'Supply planning data'!$C:$C,$Y45)=0,"",SUMIFS('Supply planning data'!$U:$U,'Supply planning data'!$D:$D,AA$31,'Supply planning data'!$C:$C,$Y45))</f>
        <v/>
      </c>
      <c r="AB45" s="474" t="str">
        <f>IF(SUMIFS('Supply planning data'!$U:$U,'Supply planning data'!$D:$D,AB$31,'Supply planning data'!$C:$C,$Y45)=0,"",SUMIFS('Supply planning data'!$U:$U,'Supply planning data'!$D:$D,AB$31,'Supply planning data'!$C:$C,$Y45))</f>
        <v/>
      </c>
      <c r="AC45" s="474" t="str">
        <f>IF(SUMIFS('Supply planning data'!$U:$U,'Supply planning data'!$D:$D,AC$31,'Supply planning data'!$C:$C,$Y45)=0,"",SUMIFS('Supply planning data'!$U:$U,'Supply planning data'!$D:$D,AC$31,'Supply planning data'!$C:$C,$Y45))</f>
        <v/>
      </c>
      <c r="AD45" s="474" t="str">
        <f>IF(SUMIFS('Supply planning data'!$U:$U,'Supply planning data'!$D:$D,AD$31,'Supply planning data'!$C:$C,$Y45)=0,"",SUMIFS('Supply planning data'!$U:$U,'Supply planning data'!$D:$D,AD$31,'Supply planning data'!$C:$C,$Y45))</f>
        <v/>
      </c>
      <c r="AE45" s="474" t="str">
        <f>IF(SUMIFS('Supply planning data'!$U:$U,'Supply planning data'!$D:$D,AE$31,'Supply planning data'!$C:$C,$Y45)=0,"",SUMIFS('Supply planning data'!$U:$U,'Supply planning data'!$D:$D,AE$31,'Supply planning data'!$C:$C,$Y45))</f>
        <v/>
      </c>
      <c r="AF45" s="474" t="str">
        <f>IF(SUMIFS('Supply planning data'!$U:$U,'Supply planning data'!$D:$D,AF$31,'Supply planning data'!$C:$C,$Y45)=0,"",SUMIFS('Supply planning data'!$U:$U,'Supply planning data'!$D:$D,AF$31,'Supply planning data'!$C:$C,$Y45))</f>
        <v/>
      </c>
      <c r="AG45" s="474" t="str">
        <f>IF(SUMIFS('Supply planning data'!$U:$U,'Supply planning data'!$D:$D,AG$31,'Supply planning data'!$C:$C,$Y45)=0,"",SUMIFS('Supply planning data'!$U:$U,'Supply planning data'!$D:$D,AG$31,'Supply planning data'!$C:$C,$Y45))</f>
        <v/>
      </c>
      <c r="AH45" s="474" t="str">
        <f>IF(SUMIFS('Supply planning data'!$U:$U,'Supply planning data'!$D:$D,AH$31,'Supply planning data'!$C:$C,$Y45)=0,"",SUMIFS('Supply planning data'!$U:$U,'Supply planning data'!$D:$D,AH$31,'Supply planning data'!$C:$C,$Y45))</f>
        <v/>
      </c>
      <c r="AI45" s="474" t="str">
        <f>IF(SUMIFS('Supply planning data'!$U:$U,'Supply planning data'!$D:$D,AI$31,'Supply planning data'!$C:$C,$Y45)=0,"",SUMIFS('Supply planning data'!$U:$U,'Supply planning data'!$D:$D,AI$31,'Supply planning data'!$C:$C,$Y45))</f>
        <v/>
      </c>
      <c r="AJ45" s="474" t="str">
        <f>IF(SUMIFS('Supply planning data'!$U:$U,'Supply planning data'!$D:$D,AJ$31,'Supply planning data'!$C:$C,$Y45)=0,"",SUMIFS('Supply planning data'!$U:$U,'Supply planning data'!$D:$D,AJ$31,'Supply planning data'!$C:$C,$Y45))</f>
        <v/>
      </c>
      <c r="AK45" s="474" t="str">
        <f>IF(SUMIFS('Supply planning data'!$U:$U,'Supply planning data'!$D:$D,AK$31,'Supply planning data'!$C:$C,$Y45)=0,"",SUMIFS('Supply planning data'!$U:$U,'Supply planning data'!$D:$D,AK$31,'Supply planning data'!$C:$C,$Y45))</f>
        <v/>
      </c>
      <c r="AL45" s="474" t="str">
        <f>IF(SUMIFS('Supply planning data'!$U:$U,'Supply planning data'!$D:$D,AL$31,'Supply planning data'!$C:$C,$Y45)=0,"",SUMIFS('Supply planning data'!$U:$U,'Supply planning data'!$D:$D,AL$31,'Supply planning data'!$C:$C,$Y45))</f>
        <v/>
      </c>
      <c r="AM45" s="474" t="str">
        <f>IF(SUMIFS('Supply planning data'!$U:$U,'Supply planning data'!$D:$D,AM$31,'Supply planning data'!$C:$C,$Y45)=0,"",SUMIFS('Supply planning data'!$U:$U,'Supply planning data'!$D:$D,AM$31,'Supply planning data'!$C:$C,$Y45))</f>
        <v/>
      </c>
      <c r="AN45" s="474" t="str">
        <f>IF(SUMIFS('Supply planning data'!$U:$U,'Supply planning data'!$D:$D,AN$31,'Supply planning data'!$C:$C,$Y45)=0,"",SUMIFS('Supply planning data'!$U:$U,'Supply planning data'!$D:$D,AN$31,'Supply planning data'!$C:$C,$Y45))</f>
        <v/>
      </c>
      <c r="AO45" s="474" t="str">
        <f>IF(SUMIFS('Supply planning data'!$U:$U,'Supply planning data'!$D:$D,AO$31,'Supply planning data'!$C:$C,$Y45)=0,"",SUMIFS('Supply planning data'!$U:$U,'Supply planning data'!$D:$D,AO$31,'Supply planning data'!$C:$C,$Y45))</f>
        <v/>
      </c>
      <c r="AP45" s="474" t="str">
        <f>IF(SUMIFS('Supply planning data'!$U:$U,'Supply planning data'!$D:$D,AP$31,'Supply planning data'!$C:$C,$Y45)=0,"",SUMIFS('Supply planning data'!$U:$U,'Supply planning data'!$D:$D,AP$31,'Supply planning data'!$C:$C,$Y45))</f>
        <v/>
      </c>
      <c r="AQ45" s="474" t="str">
        <f>IF(SUMIFS('Supply planning data'!$U:$U,'Supply planning data'!$D:$D,AQ$31,'Supply planning data'!$C:$C,$Y45)=0,"",SUMIFS('Supply planning data'!$U:$U,'Supply planning data'!$D:$D,AQ$31,'Supply planning data'!$C:$C,$Y45))</f>
        <v/>
      </c>
      <c r="AR45" s="474" t="str">
        <f>IF(SUMIFS('Supply planning data'!$U:$U,'Supply planning data'!$D:$D,AR$31,'Supply planning data'!$C:$C,$Y45)=0,"",SUMIFS('Supply planning data'!$U:$U,'Supply planning data'!$D:$D,AR$31,'Supply planning data'!$C:$C,$Y45))</f>
        <v/>
      </c>
      <c r="AS45" s="475" t="str">
        <f>IF(SUMIFS('Supply planning data'!$U:$U,'Supply planning data'!$D:$D,AS$31,'Supply planning data'!$C:$C,$Y45)=0,"",SUMIFS('Supply planning data'!$U:$U,'Supply planning data'!$D:$D,AS$31,'Supply planning data'!$C:$C,$Y45))</f>
        <v/>
      </c>
      <c r="AT45" s="485">
        <f t="shared" si="6"/>
        <v>0</v>
      </c>
      <c r="AU45" s="479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</row>
    <row r="46" spans="5:86" ht="15.75" thickBot="1" x14ac:dyDescent="0.3">
      <c r="E46" s="75"/>
      <c r="F46" s="75"/>
      <c r="G46" s="75"/>
      <c r="H46" s="75"/>
      <c r="I46" s="75"/>
      <c r="J46" s="75"/>
      <c r="Y46" s="432" t="str">
        <f>IF(DataViz!S67&lt;&gt;0,DataViz!S67,"")</f>
        <v/>
      </c>
      <c r="Z46" s="476" t="str">
        <f>IF(SUMIFS('Supply planning data'!$U:$U,'Supply planning data'!$D:$D,Z$31,'Supply planning data'!$C:$C,$Y46)=0,"",SUMIFS('Supply planning data'!$U:$U,'Supply planning data'!$D:$D,Z$31,'Supply planning data'!$C:$C,$Y46))</f>
        <v/>
      </c>
      <c r="AA46" s="476" t="str">
        <f>IF(SUMIFS('Supply planning data'!$U:$U,'Supply planning data'!$D:$D,AA$31,'Supply planning data'!$C:$C,$Y46)=0,"",SUMIFS('Supply planning data'!$U:$U,'Supply planning data'!$D:$D,AA$31,'Supply planning data'!$C:$C,$Y46))</f>
        <v/>
      </c>
      <c r="AB46" s="476" t="str">
        <f>IF(SUMIFS('Supply planning data'!$U:$U,'Supply planning data'!$D:$D,AB$31,'Supply planning data'!$C:$C,$Y46)=0,"",SUMIFS('Supply planning data'!$U:$U,'Supply planning data'!$D:$D,AB$31,'Supply planning data'!$C:$C,$Y46))</f>
        <v/>
      </c>
      <c r="AC46" s="476" t="str">
        <f>IF(SUMIFS('Supply planning data'!$U:$U,'Supply planning data'!$D:$D,AC$31,'Supply planning data'!$C:$C,$Y46)=0,"",SUMIFS('Supply planning data'!$U:$U,'Supply planning data'!$D:$D,AC$31,'Supply planning data'!$C:$C,$Y46))</f>
        <v/>
      </c>
      <c r="AD46" s="476" t="str">
        <f>IF(SUMIFS('Supply planning data'!$U:$U,'Supply planning data'!$D:$D,AD$31,'Supply planning data'!$C:$C,$Y46)=0,"",SUMIFS('Supply planning data'!$U:$U,'Supply planning data'!$D:$D,AD$31,'Supply planning data'!$C:$C,$Y46))</f>
        <v/>
      </c>
      <c r="AE46" s="476" t="str">
        <f>IF(SUMIFS('Supply planning data'!$U:$U,'Supply planning data'!$D:$D,AE$31,'Supply planning data'!$C:$C,$Y46)=0,"",SUMIFS('Supply planning data'!$U:$U,'Supply planning data'!$D:$D,AE$31,'Supply planning data'!$C:$C,$Y46))</f>
        <v/>
      </c>
      <c r="AF46" s="476" t="str">
        <f>IF(SUMIFS('Supply planning data'!$U:$U,'Supply planning data'!$D:$D,AF$31,'Supply planning data'!$C:$C,$Y46)=0,"",SUMIFS('Supply planning data'!$U:$U,'Supply planning data'!$D:$D,AF$31,'Supply planning data'!$C:$C,$Y46))</f>
        <v/>
      </c>
      <c r="AG46" s="476" t="str">
        <f>IF(SUMIFS('Supply planning data'!$U:$U,'Supply planning data'!$D:$D,AG$31,'Supply planning data'!$C:$C,$Y46)=0,"",SUMIFS('Supply planning data'!$U:$U,'Supply planning data'!$D:$D,AG$31,'Supply planning data'!$C:$C,$Y46))</f>
        <v/>
      </c>
      <c r="AH46" s="476" t="str">
        <f>IF(SUMIFS('Supply planning data'!$U:$U,'Supply planning data'!$D:$D,AH$31,'Supply planning data'!$C:$C,$Y46)=0,"",SUMIFS('Supply planning data'!$U:$U,'Supply planning data'!$D:$D,AH$31,'Supply planning data'!$C:$C,$Y46))</f>
        <v/>
      </c>
      <c r="AI46" s="476" t="str">
        <f>IF(SUMIFS('Supply planning data'!$U:$U,'Supply planning data'!$D:$D,AI$31,'Supply planning data'!$C:$C,$Y46)=0,"",SUMIFS('Supply planning data'!$U:$U,'Supply planning data'!$D:$D,AI$31,'Supply planning data'!$C:$C,$Y46))</f>
        <v/>
      </c>
      <c r="AJ46" s="476" t="str">
        <f>IF(SUMIFS('Supply planning data'!$U:$U,'Supply planning data'!$D:$D,AJ$31,'Supply planning data'!$C:$C,$Y46)=0,"",SUMIFS('Supply planning data'!$U:$U,'Supply planning data'!$D:$D,AJ$31,'Supply planning data'!$C:$C,$Y46))</f>
        <v/>
      </c>
      <c r="AK46" s="476" t="str">
        <f>IF(SUMIFS('Supply planning data'!$U:$U,'Supply planning data'!$D:$D,AK$31,'Supply planning data'!$C:$C,$Y46)=0,"",SUMIFS('Supply planning data'!$U:$U,'Supply planning data'!$D:$D,AK$31,'Supply planning data'!$C:$C,$Y46))</f>
        <v/>
      </c>
      <c r="AL46" s="476" t="str">
        <f>IF(SUMIFS('Supply planning data'!$U:$U,'Supply planning data'!$D:$D,AL$31,'Supply planning data'!$C:$C,$Y46)=0,"",SUMIFS('Supply planning data'!$U:$U,'Supply planning data'!$D:$D,AL$31,'Supply planning data'!$C:$C,$Y46))</f>
        <v/>
      </c>
      <c r="AM46" s="476" t="str">
        <f>IF(SUMIFS('Supply planning data'!$U:$U,'Supply planning data'!$D:$D,AM$31,'Supply planning data'!$C:$C,$Y46)=0,"",SUMIFS('Supply planning data'!$U:$U,'Supply planning data'!$D:$D,AM$31,'Supply planning data'!$C:$C,$Y46))</f>
        <v/>
      </c>
      <c r="AN46" s="476" t="str">
        <f>IF(SUMIFS('Supply planning data'!$U:$U,'Supply planning data'!$D:$D,AN$31,'Supply planning data'!$C:$C,$Y46)=0,"",SUMIFS('Supply planning data'!$U:$U,'Supply planning data'!$D:$D,AN$31,'Supply planning data'!$C:$C,$Y46))</f>
        <v/>
      </c>
      <c r="AO46" s="476" t="str">
        <f>IF(SUMIFS('Supply planning data'!$U:$U,'Supply planning data'!$D:$D,AO$31,'Supply planning data'!$C:$C,$Y46)=0,"",SUMIFS('Supply planning data'!$U:$U,'Supply planning data'!$D:$D,AO$31,'Supply planning data'!$C:$C,$Y46))</f>
        <v/>
      </c>
      <c r="AP46" s="476" t="str">
        <f>IF(SUMIFS('Supply planning data'!$U:$U,'Supply planning data'!$D:$D,AP$31,'Supply planning data'!$C:$C,$Y46)=0,"",SUMIFS('Supply planning data'!$U:$U,'Supply planning data'!$D:$D,AP$31,'Supply planning data'!$C:$C,$Y46))</f>
        <v/>
      </c>
      <c r="AQ46" s="476" t="str">
        <f>IF(SUMIFS('Supply planning data'!$U:$U,'Supply planning data'!$D:$D,AQ$31,'Supply planning data'!$C:$C,$Y46)=0,"",SUMIFS('Supply planning data'!$U:$U,'Supply planning data'!$D:$D,AQ$31,'Supply planning data'!$C:$C,$Y46))</f>
        <v/>
      </c>
      <c r="AR46" s="476" t="str">
        <f>IF(SUMIFS('Supply planning data'!$U:$U,'Supply planning data'!$D:$D,AR$31,'Supply planning data'!$C:$C,$Y46)=0,"",SUMIFS('Supply planning data'!$U:$U,'Supply planning data'!$D:$D,AR$31,'Supply planning data'!$C:$C,$Y46))</f>
        <v/>
      </c>
      <c r="AS46" s="477" t="str">
        <f>IF(SUMIFS('Supply planning data'!$U:$U,'Supply planning data'!$D:$D,AS$31,'Supply planning data'!$C:$C,$Y46)=0,"",SUMIFS('Supply planning data'!$U:$U,'Supply planning data'!$D:$D,AS$31,'Supply planning data'!$C:$C,$Y46))</f>
        <v/>
      </c>
      <c r="AT46" s="486">
        <f t="shared" si="6"/>
        <v>0</v>
      </c>
      <c r="AU46" s="479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</row>
    <row r="47" spans="5:86" ht="15" x14ac:dyDescent="0.25">
      <c r="E47" s="75"/>
      <c r="F47" s="75"/>
      <c r="G47" s="75"/>
      <c r="H47" s="75"/>
      <c r="I47" s="75"/>
      <c r="J47" s="75"/>
      <c r="Y47" s="446" t="s">
        <v>226</v>
      </c>
      <c r="Z47" s="446">
        <f>SUM(Z32:Z46)</f>
        <v>0</v>
      </c>
      <c r="AA47" s="446">
        <f t="shared" ref="AA47:AS47" si="7">SUM(AA32:AA46)</f>
        <v>0</v>
      </c>
      <c r="AB47" s="446">
        <f t="shared" si="7"/>
        <v>0</v>
      </c>
      <c r="AC47" s="446">
        <f t="shared" si="7"/>
        <v>110538</v>
      </c>
      <c r="AD47" s="446">
        <f t="shared" si="7"/>
        <v>0</v>
      </c>
      <c r="AE47" s="446">
        <f t="shared" si="7"/>
        <v>0</v>
      </c>
      <c r="AF47" s="446">
        <f t="shared" si="7"/>
        <v>0</v>
      </c>
      <c r="AG47" s="446">
        <f t="shared" si="7"/>
        <v>0</v>
      </c>
      <c r="AH47" s="446">
        <f t="shared" si="7"/>
        <v>0</v>
      </c>
      <c r="AI47" s="446">
        <f t="shared" si="7"/>
        <v>0</v>
      </c>
      <c r="AJ47" s="446">
        <f t="shared" si="7"/>
        <v>0</v>
      </c>
      <c r="AK47" s="446">
        <f t="shared" si="7"/>
        <v>0</v>
      </c>
      <c r="AL47" s="446">
        <f t="shared" si="7"/>
        <v>0</v>
      </c>
      <c r="AM47" s="446">
        <f t="shared" si="7"/>
        <v>0</v>
      </c>
      <c r="AN47" s="446">
        <f t="shared" si="7"/>
        <v>0</v>
      </c>
      <c r="AO47" s="446">
        <f t="shared" si="7"/>
        <v>0</v>
      </c>
      <c r="AP47" s="446">
        <f t="shared" si="7"/>
        <v>0</v>
      </c>
      <c r="AQ47" s="446">
        <f t="shared" si="7"/>
        <v>0</v>
      </c>
      <c r="AR47" s="446">
        <f t="shared" si="7"/>
        <v>0</v>
      </c>
      <c r="AS47" s="446">
        <f t="shared" si="7"/>
        <v>187547</v>
      </c>
      <c r="AT47" s="446">
        <f>SUM(AT32:AT46)</f>
        <v>298085</v>
      </c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</row>
    <row r="48" spans="5:86" ht="15" x14ac:dyDescent="0.25">
      <c r="E48" s="75"/>
      <c r="F48" s="75"/>
      <c r="G48" s="75"/>
      <c r="H48" s="75"/>
      <c r="I48" s="75"/>
      <c r="J48" s="75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</row>
    <row r="49" spans="2:86" ht="22.5" customHeight="1" x14ac:dyDescent="0.25">
      <c r="B49" s="331" t="s">
        <v>251</v>
      </c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331" t="s">
        <v>252</v>
      </c>
      <c r="P49" s="209"/>
      <c r="Q49" s="209"/>
      <c r="R49" s="332"/>
      <c r="S49" s="332"/>
      <c r="T49" s="332"/>
      <c r="U49" s="332"/>
      <c r="V49" s="209"/>
      <c r="W49" s="209"/>
      <c r="Y49" s="443" t="s">
        <v>253</v>
      </c>
      <c r="Z49" s="209"/>
      <c r="AA49" s="209"/>
      <c r="AB49" s="209"/>
      <c r="AC49" s="209"/>
      <c r="AD49" s="209"/>
      <c r="AE49" s="209"/>
      <c r="AF49" s="209"/>
      <c r="AG49" s="209"/>
      <c r="AH49" s="412"/>
      <c r="AI49" s="412"/>
      <c r="AJ49" s="413"/>
      <c r="AK49" s="210"/>
      <c r="AL49" s="210"/>
      <c r="AM49" s="210"/>
      <c r="AN49" s="210"/>
      <c r="AO49" s="210"/>
      <c r="AP49" s="210"/>
      <c r="AQ49" s="210"/>
      <c r="AR49" s="209"/>
      <c r="AS49" s="209"/>
      <c r="AT49" s="209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</row>
    <row r="50" spans="2:86" ht="22.5" customHeight="1" x14ac:dyDescent="0.25">
      <c r="B50" s="169" t="s">
        <v>254</v>
      </c>
      <c r="C50" s="415" t="str">
        <f>F6</f>
        <v>All</v>
      </c>
      <c r="O50" s="169" t="s">
        <v>254</v>
      </c>
      <c r="P50" s="415" t="str">
        <f>F6</f>
        <v>All</v>
      </c>
      <c r="Y50" s="447"/>
      <c r="Z50" s="294" t="s">
        <v>230</v>
      </c>
      <c r="AA50" s="395">
        <v>44197</v>
      </c>
      <c r="AC50" s="294" t="s">
        <v>255</v>
      </c>
      <c r="AD50" s="395">
        <v>44742</v>
      </c>
      <c r="AH50" s="447"/>
      <c r="AI50" s="447"/>
      <c r="AJ50" s="444"/>
      <c r="AK50" s="447"/>
      <c r="AL50" s="447"/>
      <c r="AM50" s="447"/>
      <c r="AN50" s="444"/>
      <c r="AO50" s="444"/>
      <c r="AP50" s="444"/>
      <c r="AQ50" s="444"/>
      <c r="AR50" s="447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</row>
    <row r="51" spans="2:86" ht="22.5" customHeight="1" x14ac:dyDescent="0.25">
      <c r="Y51" s="146" t="s">
        <v>256</v>
      </c>
      <c r="Z51" s="77"/>
      <c r="AA51" s="144"/>
      <c r="AB51" s="145"/>
      <c r="AC51" s="82"/>
      <c r="AH51" s="146" t="s">
        <v>257</v>
      </c>
      <c r="AI51" s="146"/>
      <c r="AJ51" s="146"/>
      <c r="AK51" s="146"/>
      <c r="AL51" s="146"/>
      <c r="AM51" s="146"/>
      <c r="AN51" s="146"/>
      <c r="AO51" s="447"/>
      <c r="AP51" s="551" t="s">
        <v>258</v>
      </c>
      <c r="AQ51" s="551"/>
      <c r="AR51" s="447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</row>
    <row r="52" spans="2:86" ht="39.75" customHeight="1" thickBot="1" x14ac:dyDescent="0.3">
      <c r="Y52" s="84" t="s">
        <v>19</v>
      </c>
      <c r="Z52" s="84" t="s">
        <v>95</v>
      </c>
      <c r="AA52" s="84" t="s">
        <v>96</v>
      </c>
      <c r="AB52" s="84" t="s">
        <v>259</v>
      </c>
      <c r="AC52" s="84" t="s">
        <v>98</v>
      </c>
      <c r="AD52" s="137" t="s">
        <v>260</v>
      </c>
      <c r="AE52" s="84" t="s">
        <v>261</v>
      </c>
      <c r="AF52" s="84" t="s">
        <v>262</v>
      </c>
      <c r="AG52" s="82"/>
      <c r="AH52" s="84" t="s">
        <v>19</v>
      </c>
      <c r="AI52" s="84" t="s">
        <v>263</v>
      </c>
      <c r="AJ52" s="358" t="s">
        <v>264</v>
      </c>
      <c r="AK52" s="359" t="s">
        <v>265</v>
      </c>
      <c r="AL52" s="358" t="s">
        <v>266</v>
      </c>
      <c r="AM52" s="359" t="s">
        <v>267</v>
      </c>
      <c r="AN52" s="84" t="s">
        <v>268</v>
      </c>
      <c r="AP52" s="84" t="s">
        <v>269</v>
      </c>
      <c r="AQ52" s="84" t="s">
        <v>270</v>
      </c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</row>
    <row r="53" spans="2:86" ht="15" x14ac:dyDescent="0.25">
      <c r="Y53" s="131" t="str">
        <f>IF(Start!$C17="","",Start!$C17)</f>
        <v>AstraZeneca</v>
      </c>
      <c r="Z53" s="131">
        <f>SUMIFS('Supply planning data'!$G:$G,'Supply planning data'!$C:$C,Dashboard!$Y53,'Supply planning data'!$D:$D,"&gt;="&amp;Dashboard!$AA$50,'Supply planning data'!$D:$D,"&lt;="&amp;Dashboard!$AD$50)</f>
        <v>746932</v>
      </c>
      <c r="AA53" s="131">
        <f>SUMIFS('Supply planning data'!$H:$H,'Supply planning data'!$C:$C,Dashboard!$Y53,'Supply planning data'!$D:$D,"&gt;="&amp;Dashboard!$AA$50,'Supply planning data'!$D:$D,"&lt;="&amp;Dashboard!$AD$50)</f>
        <v>164020</v>
      </c>
      <c r="AB53" s="131">
        <f>SUMIFS('Supply planning data'!$I:$I,'Supply planning data'!$C:$C,Dashboard!$Y53,'Supply planning data'!$D:$D,"&gt;="&amp;Dashboard!$AA$50,'Supply planning data'!$D:$D,"&lt;="&amp;Dashboard!$AD$50)</f>
        <v>0</v>
      </c>
      <c r="AC53" s="132">
        <f>SUM(Z53:AB53)</f>
        <v>910952</v>
      </c>
      <c r="AD53" s="138">
        <f>IF(Y53="Jansen",0,Z53-AA53)</f>
        <v>582912</v>
      </c>
      <c r="AE53" s="131">
        <f>Z53-AB53</f>
        <v>746932</v>
      </c>
      <c r="AF53" s="131">
        <f t="shared" ref="AF53:AF57" si="8">AE53+AD53</f>
        <v>1329844</v>
      </c>
      <c r="AH53" s="131" t="str">
        <f>IF(Start!$C17="","",Start!$C17)</f>
        <v>AstraZeneca</v>
      </c>
      <c r="AI53" s="131">
        <f>AVERAGEIFS('Supply planning data'!$J:$J,'Supply planning data'!$C:$C,Dashboard!$Y53,'Supply planning data'!$D:$D,"&gt;="&amp;Dashboard!$AA$50,'Supply planning data'!$D:$D,"&lt;="&amp;Dashboard!$AD$50)</f>
        <v>50608.444444444445</v>
      </c>
      <c r="AJ53" s="360">
        <f>_xlfn.MAXIFS('Supply planning data'!$J:$J,'Supply planning data'!$C:$C,Dashboard!$Y53,'Supply planning data'!$D:$D,"&gt;="&amp;Dashboard!$AA$50,'Supply planning data'!$D:$D,"&lt;="&amp;Dashboard!$AD$50)</f>
        <v>300000</v>
      </c>
      <c r="AK53" s="361">
        <f>IFERROR(AVERAGEIFS('Supply planning data'!$K:$K,'Supply planning data'!$C:$C,Dashboard!$AH53,'Supply planning data'!$D:$D,"&gt;="&amp;Dashboard!$AA$50,'Supply planning data'!$D:$D,"&lt;="&amp;Dashboard!$AD$50),"")</f>
        <v>4250</v>
      </c>
      <c r="AL53" s="368">
        <f>IFERROR(SUMIFS('Supply planning data'!$K:$K,'Supply planning data'!$C:$C,Dashboard!$AH53,'Supply planning data'!$D:$D,"&gt;="&amp;Dashboard!$AA$50,'Supply planning data'!$D:$D,"&lt;="&amp;Dashboard!$AD$50)/AC53,"")</f>
        <v>4.6654488930261964E-3</v>
      </c>
      <c r="AM53" s="369">
        <f>AVERAGEIFS('Supply planning data'!$M:$M,'Supply planning data'!$C:$C,Dashboard!$Y53,'Supply planning data'!$D:$D,"&gt;="&amp;Dashboard!$AA$50,'Supply planning data'!$D:$D,"&lt;="&amp;Dashboard!$AD$50)</f>
        <v>50844.555555555555</v>
      </c>
      <c r="AN53" s="131">
        <f>_xlfn.MAXIFS('Supply planning data'!$M:$M,'Supply planning data'!$C:$C,Dashboard!$Y53,'Supply planning data'!$D:$D,"&gt;="&amp;Dashboard!$AA$50,'Supply planning data'!$D:$D,"&lt;="&amp;Dashboard!$AD$50)</f>
        <v>300000</v>
      </c>
      <c r="AP53" s="131">
        <f>SUMIFS('Shipments data'!$L:$L,'Shipments data'!$O:$O,"received",'Shipments data'!$F:$F,Dashboard!$Y53,'Shipments data'!$A:$A,Start!$D$7,'Shipments data'!$Q:$Q,"&gt;="&amp;Dashboard!$AA$50,'Shipments data'!$Q:$Q,"&lt;="&amp;Dashboard!$AD$50)</f>
        <v>951100</v>
      </c>
      <c r="AQ53" s="141">
        <f t="shared" ref="AQ53:AQ67" si="9">IFERROR(AC53/AP53,"")</f>
        <v>0.95778782462411949</v>
      </c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</row>
    <row r="54" spans="2:86" ht="15" x14ac:dyDescent="0.25">
      <c r="Y54" s="158" t="str">
        <f>IF(Start!$C18="","",Start!$C18)</f>
        <v>Jansen</v>
      </c>
      <c r="Z54" s="158">
        <f>SUMIFS('Supply planning data'!$G:$G,'Supply planning data'!$C:$C,Dashboard!$Y54,'Supply planning data'!$D:$D,"&gt;="&amp;Dashboard!$AA$50,'Supply planning data'!$D:$D,"&lt;="&amp;Dashboard!$AD$50)</f>
        <v>1500559</v>
      </c>
      <c r="AA54" s="158">
        <f>SUMIFS('Supply planning data'!$H:$H,'Supply planning data'!$C:$C,Dashboard!$Y54,'Supply planning data'!$D:$D,"&gt;="&amp;Dashboard!$AA$50,'Supply planning data'!$D:$D,"&lt;="&amp;Dashboard!$AD$50)</f>
        <v>8900</v>
      </c>
      <c r="AB54" s="158">
        <f>SUMIFS('Supply planning data'!$I:$I,'Supply planning data'!$C:$C,Dashboard!$Y54,'Supply planning data'!$D:$D,"&gt;="&amp;Dashboard!$AA$50,'Supply planning data'!$D:$D,"&lt;="&amp;Dashboard!$AD$50)</f>
        <v>0</v>
      </c>
      <c r="AC54" s="159">
        <f t="shared" ref="AC54:AC57" si="10">SUM(Z54:AB54)</f>
        <v>1509459</v>
      </c>
      <c r="AD54" s="160">
        <f t="shared" ref="AD54:AD57" si="11">IF(Y54="Jansen",0,Z54-AA54)</f>
        <v>0</v>
      </c>
      <c r="AE54" s="158">
        <f t="shared" ref="AE54:AE67" si="12">Z54-AB54</f>
        <v>1500559</v>
      </c>
      <c r="AF54" s="158">
        <f t="shared" si="8"/>
        <v>1500559</v>
      </c>
      <c r="AH54" s="158" t="str">
        <f>IF(Start!$C18="","",Start!$C18)</f>
        <v>Jansen</v>
      </c>
      <c r="AI54" s="158">
        <f>AVERAGEIFS('Supply planning data'!$J:$J,'Supply planning data'!$C:$C,Dashboard!$Y54,'Supply planning data'!$D:$D,"&gt;="&amp;Dashboard!$AA$50,'Supply planning data'!$D:$D,"&lt;="&amp;Dashboard!$AD$50)</f>
        <v>83858.833333333328</v>
      </c>
      <c r="AJ54" s="362">
        <f>_xlfn.MAXIFS('Supply planning data'!$J:$J,'Supply planning data'!$C:$C,Dashboard!$Y54,'Supply planning data'!$D:$D,"&gt;="&amp;Dashboard!$AA$50,'Supply planning data'!$D:$D,"&lt;="&amp;Dashboard!$AD$50)</f>
        <v>396897</v>
      </c>
      <c r="AK54" s="363">
        <f>IFERROR(AVERAGEIFS('Supply planning data'!$K:$K,'Supply planning data'!$C:$C,Dashboard!$AH54,'Supply planning data'!$D:$D,"&gt;="&amp;Dashboard!$AA$50,'Supply planning data'!$D:$D,"&lt;="&amp;Dashboard!$AD$50),"")</f>
        <v>478.8</v>
      </c>
      <c r="AL54" s="372">
        <f>IFERROR(SUMIFS('Supply planning data'!$K:$K,'Supply planning data'!$C:$C,Dashboard!$AH54,'Supply planning data'!$D:$D,"&gt;="&amp;Dashboard!$AA$50,'Supply planning data'!$D:$D,"&lt;="&amp;Dashboard!$AD$50)/AC54,"")</f>
        <v>1.5859986922466924E-3</v>
      </c>
      <c r="AM54" s="363">
        <f>AVERAGEIFS('Supply planning data'!$M:$M,'Supply planning data'!$C:$C,Dashboard!$Y54,'Supply planning data'!$D:$D,"&gt;="&amp;Dashboard!$AA$50,'Supply planning data'!$D:$D,"&lt;="&amp;Dashboard!$AD$50)</f>
        <v>83991.833333333328</v>
      </c>
      <c r="AN54" s="158">
        <f>_xlfn.MAXIFS('Supply planning data'!$M:$M,'Supply planning data'!$C:$C,Dashboard!$Y54,'Supply planning data'!$D:$D,"&gt;="&amp;Dashboard!$AA$50,'Supply planning data'!$D:$D,"&lt;="&amp;Dashboard!$AD$50)</f>
        <v>397137</v>
      </c>
      <c r="AP54" s="158">
        <f>SUMIFS('Shipments data'!$L:$L,'Shipments data'!$O:$O,"received",'Shipments data'!$F:$F,Dashboard!$Y54,'Shipments data'!$A:$A,Start!$D$7,'Shipments data'!$Q:$Q,"&gt;="&amp;Dashboard!$AA$50,'Shipments data'!$Q:$Q,"&lt;="&amp;Dashboard!$AD$50)</f>
        <v>3570600</v>
      </c>
      <c r="AQ54" s="161">
        <f t="shared" si="9"/>
        <v>0.42274659721055285</v>
      </c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</row>
    <row r="55" spans="2:86" ht="15" x14ac:dyDescent="0.25">
      <c r="Y55" s="133" t="str">
        <f>IF(Start!$C19="","",Start!$C19)</f>
        <v>Moderna</v>
      </c>
      <c r="Z55" s="133">
        <f>SUMIFS('Supply planning data'!$G:$G,'Supply planning data'!$C:$C,Dashboard!$Y55,'Supply planning data'!$D:$D,"&gt;="&amp;Dashboard!$AA$50,'Supply planning data'!$D:$D,"&lt;="&amp;Dashboard!$AD$50)</f>
        <v>0</v>
      </c>
      <c r="AA55" s="133">
        <f>SUMIFS('Supply planning data'!$H:$H,'Supply planning data'!$C:$C,Dashboard!$Y55,'Supply planning data'!$D:$D,"&gt;="&amp;Dashboard!$AA$50,'Supply planning data'!$D:$D,"&lt;="&amp;Dashboard!$AD$50)</f>
        <v>0</v>
      </c>
      <c r="AB55" s="133">
        <f>SUMIFS('Supply planning data'!$I:$I,'Supply planning data'!$C:$C,Dashboard!$Y55,'Supply planning data'!$D:$D,"&gt;="&amp;Dashboard!$AA$50,'Supply planning data'!$D:$D,"&lt;="&amp;Dashboard!$AD$50)</f>
        <v>0</v>
      </c>
      <c r="AC55" s="135">
        <f t="shared" si="10"/>
        <v>0</v>
      </c>
      <c r="AD55" s="139">
        <f t="shared" si="11"/>
        <v>0</v>
      </c>
      <c r="AE55" s="133">
        <f t="shared" si="12"/>
        <v>0</v>
      </c>
      <c r="AF55" s="133">
        <f t="shared" si="8"/>
        <v>0</v>
      </c>
      <c r="AH55" s="133" t="str">
        <f>IF(Start!$C19="","",Start!$C19)</f>
        <v>Moderna</v>
      </c>
      <c r="AI55" s="133">
        <f>AVERAGEIFS('Supply planning data'!$J:$J,'Supply planning data'!$C:$C,Dashboard!$Y55,'Supply planning data'!$D:$D,"&gt;="&amp;Dashboard!$AA$50,'Supply planning data'!$D:$D,"&lt;="&amp;Dashboard!$AD$50)</f>
        <v>0</v>
      </c>
      <c r="AJ55" s="364">
        <f>_xlfn.MAXIFS('Supply planning data'!$J:$J,'Supply planning data'!$C:$C,Dashboard!$Y55,'Supply planning data'!$D:$D,"&gt;="&amp;Dashboard!$AA$50,'Supply planning data'!$D:$D,"&lt;="&amp;Dashboard!$AD$50)</f>
        <v>0</v>
      </c>
      <c r="AK55" s="365">
        <f>IFERROR(AVERAGEIFS('Supply planning data'!$K:$K,'Supply planning data'!$C:$C,Dashboard!$AH55,'Supply planning data'!$D:$D,"&gt;="&amp;Dashboard!$AA$50,'Supply planning data'!$D:$D,"&lt;="&amp;Dashboard!$AD$50),"")</f>
        <v>5400</v>
      </c>
      <c r="AL55" s="373" t="str">
        <f>IFERROR(SUMIFS('Supply planning data'!$K:$K,'Supply planning data'!$C:$C,Dashboard!$AH55,'Supply planning data'!$D:$D,"&gt;="&amp;Dashboard!$AA$50,'Supply planning data'!$D:$D,"&lt;="&amp;Dashboard!$AD$50)/AC55,"")</f>
        <v/>
      </c>
      <c r="AM55" s="370">
        <f>AVERAGEIFS('Supply planning data'!$M:$M,'Supply planning data'!$C:$C,Dashboard!$Y55,'Supply planning data'!$D:$D,"&gt;="&amp;Dashboard!$AA$50,'Supply planning data'!$D:$D,"&lt;="&amp;Dashboard!$AD$50)</f>
        <v>300</v>
      </c>
      <c r="AN55" s="133">
        <f>_xlfn.MAXIFS('Supply planning data'!$M:$M,'Supply planning data'!$C:$C,Dashboard!$Y55,'Supply planning data'!$D:$D,"&gt;="&amp;Dashboard!$AA$50,'Supply planning data'!$D:$D,"&lt;="&amp;Dashboard!$AD$50)</f>
        <v>5400</v>
      </c>
      <c r="AP55" s="133">
        <f>SUMIFS('Shipments data'!$L:$L,'Shipments data'!$O:$O,"received",'Shipments data'!$F:$F,Dashboard!$Y55,'Shipments data'!$A:$A,Start!$D$7,'Shipments data'!$Q:$Q,"&gt;="&amp;Dashboard!$AA$50,'Shipments data'!$Q:$Q,"&lt;="&amp;Dashboard!$AD$50)</f>
        <v>0</v>
      </c>
      <c r="AQ55" s="142" t="str">
        <f t="shared" si="9"/>
        <v/>
      </c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</row>
    <row r="56" spans="2:86" ht="15" x14ac:dyDescent="0.25">
      <c r="V56" s="48"/>
      <c r="W56" s="48"/>
      <c r="Y56" s="158" t="str">
        <f>IF(Start!$C20="","",Start!$C20)</f>
        <v>Pfizer</v>
      </c>
      <c r="Z56" s="158">
        <f>SUMIFS('Supply planning data'!$G:$G,'Supply planning data'!$C:$C,Dashboard!$Y56,'Supply planning data'!$D:$D,"&gt;="&amp;Dashboard!$AA$50,'Supply planning data'!$D:$D,"&lt;="&amp;Dashboard!$AD$50)</f>
        <v>181506</v>
      </c>
      <c r="AA56" s="158">
        <f>SUMIFS('Supply planning data'!$H:$H,'Supply planning data'!$C:$C,Dashboard!$Y56,'Supply planning data'!$D:$D,"&gt;="&amp;Dashboard!$AA$50,'Supply planning data'!$D:$D,"&lt;="&amp;Dashboard!$AD$50)</f>
        <v>96075</v>
      </c>
      <c r="AB56" s="158">
        <f>SUMIFS('Supply planning data'!$I:$I,'Supply planning data'!$C:$C,Dashboard!$Y56,'Supply planning data'!$D:$D,"&gt;="&amp;Dashboard!$AA$50,'Supply planning data'!$D:$D,"&lt;="&amp;Dashboard!$AD$50)</f>
        <v>0</v>
      </c>
      <c r="AC56" s="159">
        <f t="shared" si="10"/>
        <v>277581</v>
      </c>
      <c r="AD56" s="160">
        <f t="shared" si="11"/>
        <v>85431</v>
      </c>
      <c r="AE56" s="158">
        <f t="shared" si="12"/>
        <v>181506</v>
      </c>
      <c r="AF56" s="158">
        <f t="shared" si="8"/>
        <v>266937</v>
      </c>
      <c r="AH56" s="158" t="str">
        <f>IF(Start!$C20="","",Start!$C20)</f>
        <v>Pfizer</v>
      </c>
      <c r="AI56" s="158">
        <f>AVERAGEIFS('Supply planning data'!$J:$J,'Supply planning data'!$C:$C,Dashboard!$Y56,'Supply planning data'!$D:$D,"&gt;="&amp;Dashboard!$AA$50,'Supply planning data'!$D:$D,"&lt;="&amp;Dashboard!$AD$50)</f>
        <v>15421.166666666666</v>
      </c>
      <c r="AJ56" s="362">
        <f>_xlfn.MAXIFS('Supply planning data'!$J:$J,'Supply planning data'!$C:$C,Dashboard!$Y56,'Supply planning data'!$D:$D,"&gt;="&amp;Dashboard!$AA$50,'Supply planning data'!$D:$D,"&lt;="&amp;Dashboard!$AD$50)</f>
        <v>221037</v>
      </c>
      <c r="AK56" s="363">
        <f>IFERROR(AVERAGEIFS('Supply planning data'!$K:$K,'Supply planning data'!$C:$C,Dashboard!$AH56,'Supply planning data'!$D:$D,"&gt;="&amp;Dashboard!$AA$50,'Supply planning data'!$D:$D,"&lt;="&amp;Dashboard!$AD$50),"")</f>
        <v>3617</v>
      </c>
      <c r="AL56" s="372">
        <f>IFERROR(SUMIFS('Supply planning data'!$K:$K,'Supply planning data'!$C:$C,Dashboard!$AH56,'Supply planning data'!$D:$D,"&gt;="&amp;Dashboard!$AA$50,'Supply planning data'!$D:$D,"&lt;="&amp;Dashboard!$AD$50)/AC56,"")</f>
        <v>3.9091292271445088E-2</v>
      </c>
      <c r="AM56" s="363">
        <f>AVERAGEIFS('Supply planning data'!$M:$M,'Supply planning data'!$C:$C,Dashboard!$Y56,'Supply planning data'!$D:$D,"&gt;="&amp;Dashboard!$AA$50,'Supply planning data'!$D:$D,"&lt;="&amp;Dashboard!$AD$50)</f>
        <v>16024</v>
      </c>
      <c r="AN56" s="158">
        <f>_xlfn.MAXIFS('Supply planning data'!$M:$M,'Supply planning data'!$C:$C,Dashboard!$Y56,'Supply planning data'!$D:$D,"&gt;="&amp;Dashboard!$AA$50,'Supply planning data'!$D:$D,"&lt;="&amp;Dashboard!$AD$50)</f>
        <v>224045</v>
      </c>
      <c r="AP56" s="158">
        <f>SUMIFS('Shipments data'!$L:$L,'Shipments data'!$O:$O,"received",'Shipments data'!$F:$F,Dashboard!$Y56,'Shipments data'!$A:$A,Start!$D$7,'Shipments data'!$Q:$Q,"&gt;="&amp;Dashboard!$AA$50,'Shipments data'!$Q:$Q,"&lt;="&amp;Dashboard!$AD$50)</f>
        <v>398970</v>
      </c>
      <c r="AQ56" s="161">
        <f t="shared" si="9"/>
        <v>0.69574404090533126</v>
      </c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</row>
    <row r="57" spans="2:86" ht="15" x14ac:dyDescent="0.25">
      <c r="V57" s="48"/>
      <c r="W57" s="48"/>
      <c r="Y57" s="133" t="str">
        <f>IF(Start!$C21="","",Start!$C21)</f>
        <v>Sinovac</v>
      </c>
      <c r="Z57" s="133">
        <f>SUMIFS('Supply planning data'!$G:$G,'Supply planning data'!$C:$C,Dashboard!$Y57,'Supply planning data'!$D:$D,"&gt;="&amp;Dashboard!$AA$50,'Supply planning data'!$D:$D,"&lt;="&amp;Dashboard!$AD$50)</f>
        <v>0</v>
      </c>
      <c r="AA57" s="133">
        <f>SUMIFS('Supply planning data'!$H:$H,'Supply planning data'!$C:$C,Dashboard!$Y57,'Supply planning data'!$D:$D,"&gt;="&amp;Dashboard!$AA$50,'Supply planning data'!$D:$D,"&lt;="&amp;Dashboard!$AD$50)</f>
        <v>0</v>
      </c>
      <c r="AB57" s="133">
        <f>SUMIFS('Supply planning data'!$I:$I,'Supply planning data'!$C:$C,Dashboard!$Y57,'Supply planning data'!$D:$D,"&gt;="&amp;Dashboard!$AA$50,'Supply planning data'!$D:$D,"&lt;="&amp;Dashboard!$AD$50)</f>
        <v>0</v>
      </c>
      <c r="AC57" s="135">
        <f t="shared" si="10"/>
        <v>0</v>
      </c>
      <c r="AD57" s="139">
        <f t="shared" si="11"/>
        <v>0</v>
      </c>
      <c r="AE57" s="133">
        <f t="shared" si="12"/>
        <v>0</v>
      </c>
      <c r="AF57" s="133">
        <f t="shared" si="8"/>
        <v>0</v>
      </c>
      <c r="AH57" s="133" t="str">
        <f>IF(Start!$C21="","",Start!$C21)</f>
        <v>Sinovac</v>
      </c>
      <c r="AI57" s="133">
        <f>AVERAGEIFS('Supply planning data'!$J:$J,'Supply planning data'!$C:$C,Dashboard!$Y57,'Supply planning data'!$D:$D,"&gt;="&amp;Dashboard!$AA$50,'Supply planning data'!$D:$D,"&lt;="&amp;Dashboard!$AD$50)</f>
        <v>0</v>
      </c>
      <c r="AJ57" s="364">
        <f>_xlfn.MAXIFS('Supply planning data'!$J:$J,'Supply planning data'!$C:$C,Dashboard!$Y57,'Supply planning data'!$D:$D,"&gt;="&amp;Dashboard!$AA$50,'Supply planning data'!$D:$D,"&lt;="&amp;Dashboard!$AD$50)</f>
        <v>0</v>
      </c>
      <c r="AK57" s="365" t="str">
        <f>IFERROR(AVERAGEIFS('Supply planning data'!$K:$K,'Supply planning data'!$C:$C,Dashboard!$AH57,'Supply planning data'!$D:$D,"&gt;="&amp;Dashboard!$AA$50,'Supply planning data'!$D:$D,"&lt;="&amp;Dashboard!$AD$50),"")</f>
        <v/>
      </c>
      <c r="AL57" s="373" t="str">
        <f>IFERROR(SUMIFS('Supply planning data'!$K:$K,'Supply planning data'!$C:$C,Dashboard!$AH57,'Supply planning data'!$D:$D,"&gt;="&amp;Dashboard!$AA$50,'Supply planning data'!$D:$D,"&lt;="&amp;Dashboard!$AD$50)/AC57,"")</f>
        <v/>
      </c>
      <c r="AM57" s="370">
        <f>AVERAGEIFS('Supply planning data'!$M:$M,'Supply planning data'!$C:$C,Dashboard!$Y57,'Supply planning data'!$D:$D,"&gt;="&amp;Dashboard!$AA$50,'Supply planning data'!$D:$D,"&lt;="&amp;Dashboard!$AD$50)</f>
        <v>0</v>
      </c>
      <c r="AN57" s="133">
        <f>_xlfn.MAXIFS('Supply planning data'!$M:$M,'Supply planning data'!$C:$C,Dashboard!$Y57,'Supply planning data'!$D:$D,"&gt;="&amp;Dashboard!$AA$50,'Supply planning data'!$D:$D,"&lt;="&amp;Dashboard!$AD$50)</f>
        <v>0</v>
      </c>
      <c r="AP57" s="133">
        <f>SUMIFS('Shipments data'!$L:$L,'Shipments data'!$O:$O,"received",'Shipments data'!$F:$F,Dashboard!$Y57,'Shipments data'!$A:$A,Start!$D$7,'Shipments data'!$Q:$Q,"&gt;="&amp;Dashboard!$AA$50,'Shipments data'!$Q:$Q,"&lt;="&amp;Dashboard!$AD$50)</f>
        <v>0</v>
      </c>
      <c r="AQ57" s="142" t="str">
        <f t="shared" si="9"/>
        <v/>
      </c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</row>
    <row r="58" spans="2:86" ht="15" x14ac:dyDescent="0.25">
      <c r="V58" s="48"/>
      <c r="W58" s="48"/>
      <c r="Y58" s="158" t="str">
        <f>IF(Start!$C22="","",Start!$C22)</f>
        <v/>
      </c>
      <c r="Z58" s="158">
        <f>SUMIFS('Supply planning data'!$G:$G,'Supply planning data'!$C:$C,Dashboard!$Y58,'Supply planning data'!$D:$D,"&gt;="&amp;Dashboard!$AA$50,'Supply planning data'!$D:$D,"&lt;="&amp;Dashboard!$AD$50)</f>
        <v>0</v>
      </c>
      <c r="AA58" s="158">
        <f>SUMIFS('Supply planning data'!$H:$H,'Supply planning data'!$C:$C,Dashboard!$Y58,'Supply planning data'!$D:$D,"&gt;="&amp;Dashboard!$AA$50,'Supply planning data'!$D:$D,"&lt;="&amp;Dashboard!$AD$50)</f>
        <v>0</v>
      </c>
      <c r="AB58" s="158">
        <f>SUMIFS('Supply planning data'!$I:$I,'Supply planning data'!$C:$C,Dashboard!$Y58,'Supply planning data'!$D:$D,"&gt;="&amp;Dashboard!$AA$50,'Supply planning data'!$D:$D,"&lt;="&amp;Dashboard!$AD$50)</f>
        <v>0</v>
      </c>
      <c r="AC58" s="159">
        <f t="shared" ref="AC58:AC67" si="13">SUM(Z58:AB58)</f>
        <v>0</v>
      </c>
      <c r="AD58" s="160">
        <f t="shared" ref="AD58:AD67" si="14">IF(Y58="Jansen",0,Z58-AA58)</f>
        <v>0</v>
      </c>
      <c r="AE58" s="158">
        <f t="shared" si="12"/>
        <v>0</v>
      </c>
      <c r="AF58" s="158">
        <f t="shared" ref="AF58:AF67" si="15">AE58+AD58</f>
        <v>0</v>
      </c>
      <c r="AH58" s="158" t="str">
        <f>IF(Start!$C22="","",Start!$C22)</f>
        <v/>
      </c>
      <c r="AI58" s="158">
        <f>AVERAGEIFS('Supply planning data'!$J:$J,'Supply planning data'!$C:$C,Dashboard!$Y58,'Supply planning data'!$D:$D,"&gt;="&amp;Dashboard!$AA$50,'Supply planning data'!$D:$D,"&lt;="&amp;Dashboard!$AD$50)</f>
        <v>0</v>
      </c>
      <c r="AJ58" s="362">
        <f>_xlfn.MAXIFS('Supply planning data'!$J:$J,'Supply planning data'!$C:$C,Dashboard!$Y58,'Supply planning data'!$D:$D,"&gt;="&amp;Dashboard!$AA$50,'Supply planning data'!$D:$D,"&lt;="&amp;Dashboard!$AD$50)</f>
        <v>0</v>
      </c>
      <c r="AK58" s="363" t="str">
        <f>IFERROR(AVERAGEIFS('Supply planning data'!$K:$K,'Supply planning data'!$C:$C,Dashboard!$AH58,'Supply planning data'!$D:$D,"&gt;="&amp;Dashboard!$AA$50,'Supply planning data'!$D:$D,"&lt;="&amp;Dashboard!$AD$50),"")</f>
        <v/>
      </c>
      <c r="AL58" s="372" t="str">
        <f>IFERROR(SUMIFS('Supply planning data'!$K:$K,'Supply planning data'!$C:$C,Dashboard!$AH58,'Supply planning data'!$D:$D,"&gt;="&amp;Dashboard!$AA$50,'Supply planning data'!$D:$D,"&lt;="&amp;Dashboard!$AD$50)/AC58,"")</f>
        <v/>
      </c>
      <c r="AM58" s="363">
        <f>AVERAGEIFS('Supply planning data'!$M:$M,'Supply planning data'!$C:$C,Dashboard!$Y58,'Supply planning data'!$D:$D,"&gt;="&amp;Dashboard!$AA$50,'Supply planning data'!$D:$D,"&lt;="&amp;Dashboard!$AD$50)</f>
        <v>0</v>
      </c>
      <c r="AN58" s="158">
        <f>_xlfn.MAXIFS('Supply planning data'!$M:$M,'Supply planning data'!$C:$C,Dashboard!$Y58,'Supply planning data'!$D:$D,"&gt;="&amp;Dashboard!$AA$50,'Supply planning data'!$D:$D,"&lt;="&amp;Dashboard!$AD$50)</f>
        <v>0</v>
      </c>
      <c r="AP58" s="158">
        <f>SUMIFS('Shipments data'!$L:$L,'Shipments data'!$O:$O,"received",'Shipments data'!$F:$F,Dashboard!$Y58,'Shipments data'!$A:$A,Start!$D$7,'Shipments data'!$Q:$Q,"&gt;="&amp;Dashboard!$AA$50,'Shipments data'!$Q:$Q,"&lt;="&amp;Dashboard!$AD$50)</f>
        <v>0</v>
      </c>
      <c r="AQ58" s="161" t="str">
        <f t="shared" si="9"/>
        <v/>
      </c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</row>
    <row r="59" spans="2:86" ht="15" x14ac:dyDescent="0.25">
      <c r="Y59" s="133" t="str">
        <f>IF(Start!$C23="","",Start!$C23)</f>
        <v/>
      </c>
      <c r="Z59" s="133">
        <f>SUMIFS('Supply planning data'!$G:$G,'Supply planning data'!$C:$C,Dashboard!$Y59,'Supply planning data'!$D:$D,"&gt;="&amp;Dashboard!$AA$50,'Supply planning data'!$D:$D,"&lt;="&amp;Dashboard!$AD$50)</f>
        <v>0</v>
      </c>
      <c r="AA59" s="133">
        <f>SUMIFS('Supply planning data'!$H:$H,'Supply planning data'!$C:$C,Dashboard!$Y59,'Supply planning data'!$D:$D,"&gt;="&amp;Dashboard!$AA$50,'Supply planning data'!$D:$D,"&lt;="&amp;Dashboard!$AD$50)</f>
        <v>0</v>
      </c>
      <c r="AB59" s="133">
        <f>SUMIFS('Supply planning data'!$I:$I,'Supply planning data'!$C:$C,Dashboard!$Y59,'Supply planning data'!$D:$D,"&gt;="&amp;Dashboard!$AA$50,'Supply planning data'!$D:$D,"&lt;="&amp;Dashboard!$AD$50)</f>
        <v>0</v>
      </c>
      <c r="AC59" s="135">
        <f t="shared" si="13"/>
        <v>0</v>
      </c>
      <c r="AD59" s="139">
        <f t="shared" si="14"/>
        <v>0</v>
      </c>
      <c r="AE59" s="133">
        <f t="shared" si="12"/>
        <v>0</v>
      </c>
      <c r="AF59" s="133">
        <f t="shared" si="15"/>
        <v>0</v>
      </c>
      <c r="AH59" s="133" t="str">
        <f>IF(Start!$C23="","",Start!$C23)</f>
        <v/>
      </c>
      <c r="AI59" s="133">
        <f>AVERAGEIFS('Supply planning data'!$J:$J,'Supply planning data'!$C:$C,Dashboard!$Y59,'Supply planning data'!$D:$D,"&gt;="&amp;Dashboard!$AA$50,'Supply planning data'!$D:$D,"&lt;="&amp;Dashboard!$AD$50)</f>
        <v>0</v>
      </c>
      <c r="AJ59" s="364">
        <f>_xlfn.MAXIFS('Supply planning data'!$J:$J,'Supply planning data'!$C:$C,Dashboard!$Y59,'Supply planning data'!$D:$D,"&gt;="&amp;Dashboard!$AA$50,'Supply planning data'!$D:$D,"&lt;="&amp;Dashboard!$AD$50)</f>
        <v>0</v>
      </c>
      <c r="AK59" s="365" t="str">
        <f>IFERROR(AVERAGEIFS('Supply planning data'!$K:$K,'Supply planning data'!$C:$C,Dashboard!$AH59,'Supply planning data'!$D:$D,"&gt;="&amp;Dashboard!$AA$50,'Supply planning data'!$D:$D,"&lt;="&amp;Dashboard!$AD$50),"")</f>
        <v/>
      </c>
      <c r="AL59" s="373" t="str">
        <f>IFERROR(SUMIFS('Supply planning data'!$K:$K,'Supply planning data'!$C:$C,Dashboard!$AH59,'Supply planning data'!$D:$D,"&gt;="&amp;Dashboard!$AA$50,'Supply planning data'!$D:$D,"&lt;="&amp;Dashboard!$AD$50)/AC59,"")</f>
        <v/>
      </c>
      <c r="AM59" s="370">
        <f>AVERAGEIFS('Supply planning data'!$M:$M,'Supply planning data'!$C:$C,Dashboard!$Y59,'Supply planning data'!$D:$D,"&gt;="&amp;Dashboard!$AA$50,'Supply planning data'!$D:$D,"&lt;="&amp;Dashboard!$AD$50)</f>
        <v>0</v>
      </c>
      <c r="AN59" s="133">
        <f>_xlfn.MAXIFS('Supply planning data'!$M:$M,'Supply planning data'!$C:$C,Dashboard!$Y59,'Supply planning data'!$D:$D,"&gt;="&amp;Dashboard!$AA$50,'Supply planning data'!$D:$D,"&lt;="&amp;Dashboard!$AD$50)</f>
        <v>0</v>
      </c>
      <c r="AP59" s="133">
        <f>SUMIFS('Shipments data'!$L:$L,'Shipments data'!$O:$O,"received",'Shipments data'!$F:$F,Dashboard!$Y59,'Shipments data'!$A:$A,Start!$D$7,'Shipments data'!$Q:$Q,"&gt;="&amp;Dashboard!$AA$50,'Shipments data'!$Q:$Q,"&lt;="&amp;Dashboard!$AD$50)</f>
        <v>0</v>
      </c>
      <c r="AQ59" s="142" t="str">
        <f t="shared" si="9"/>
        <v/>
      </c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</row>
    <row r="60" spans="2:86" ht="15" x14ac:dyDescent="0.25">
      <c r="V60" s="48"/>
      <c r="W60" s="48"/>
      <c r="Y60" s="158" t="str">
        <f>IF(Start!$C24="","",Start!$C24)</f>
        <v/>
      </c>
      <c r="Z60" s="158">
        <f>SUMIFS('Supply planning data'!$G:$G,'Supply planning data'!$C:$C,Dashboard!$Y60,'Supply planning data'!$D:$D,"&gt;="&amp;Dashboard!$AA$50,'Supply planning data'!$D:$D,"&lt;="&amp;Dashboard!$AD$50)</f>
        <v>0</v>
      </c>
      <c r="AA60" s="158">
        <f>SUMIFS('Supply planning data'!$H:$H,'Supply planning data'!$C:$C,Dashboard!$Y60,'Supply planning data'!$D:$D,"&gt;="&amp;Dashboard!$AA$50,'Supply planning data'!$D:$D,"&lt;="&amp;Dashboard!$AD$50)</f>
        <v>0</v>
      </c>
      <c r="AB60" s="158">
        <f>SUMIFS('Supply planning data'!$I:$I,'Supply planning data'!$C:$C,Dashboard!$Y60,'Supply planning data'!$D:$D,"&gt;="&amp;Dashboard!$AA$50,'Supply planning data'!$D:$D,"&lt;="&amp;Dashboard!$AD$50)</f>
        <v>0</v>
      </c>
      <c r="AC60" s="159">
        <f t="shared" si="13"/>
        <v>0</v>
      </c>
      <c r="AD60" s="160">
        <f t="shared" si="14"/>
        <v>0</v>
      </c>
      <c r="AE60" s="158">
        <f t="shared" si="12"/>
        <v>0</v>
      </c>
      <c r="AF60" s="158">
        <f t="shared" si="15"/>
        <v>0</v>
      </c>
      <c r="AH60" s="158" t="str">
        <f>IF(Start!$C24="","",Start!$C24)</f>
        <v/>
      </c>
      <c r="AI60" s="158">
        <f>AVERAGEIFS('Supply planning data'!$J:$J,'Supply planning data'!$C:$C,Dashboard!$Y60,'Supply planning data'!$D:$D,"&gt;="&amp;Dashboard!$AA$50,'Supply planning data'!$D:$D,"&lt;="&amp;Dashboard!$AD$50)</f>
        <v>0</v>
      </c>
      <c r="AJ60" s="362">
        <f>_xlfn.MAXIFS('Supply planning data'!$J:$J,'Supply planning data'!$C:$C,Dashboard!$Y60,'Supply planning data'!$D:$D,"&gt;="&amp;Dashboard!$AA$50,'Supply planning data'!$D:$D,"&lt;="&amp;Dashboard!$AD$50)</f>
        <v>0</v>
      </c>
      <c r="AK60" s="363" t="str">
        <f>IFERROR(AVERAGEIFS('Supply planning data'!$K:$K,'Supply planning data'!$C:$C,Dashboard!$AH60,'Supply planning data'!$D:$D,"&gt;="&amp;Dashboard!$AA$50,'Supply planning data'!$D:$D,"&lt;="&amp;Dashboard!$AD$50),"")</f>
        <v/>
      </c>
      <c r="AL60" s="372" t="str">
        <f>IFERROR(SUMIFS('Supply planning data'!$K:$K,'Supply planning data'!$C:$C,Dashboard!$AH60,'Supply planning data'!$D:$D,"&gt;="&amp;Dashboard!$AA$50,'Supply planning data'!$D:$D,"&lt;="&amp;Dashboard!$AD$50)/AC60,"")</f>
        <v/>
      </c>
      <c r="AM60" s="363">
        <f>AVERAGEIFS('Supply planning data'!$M:$M,'Supply planning data'!$C:$C,Dashboard!$Y60,'Supply planning data'!$D:$D,"&gt;="&amp;Dashboard!$AA$50,'Supply planning data'!$D:$D,"&lt;="&amp;Dashboard!$AD$50)</f>
        <v>0</v>
      </c>
      <c r="AN60" s="158">
        <f>_xlfn.MAXIFS('Supply planning data'!$M:$M,'Supply planning data'!$C:$C,Dashboard!$Y60,'Supply planning data'!$D:$D,"&gt;="&amp;Dashboard!$AA$50,'Supply planning data'!$D:$D,"&lt;="&amp;Dashboard!$AD$50)</f>
        <v>0</v>
      </c>
      <c r="AP60" s="158">
        <f>SUMIFS('Shipments data'!$L:$L,'Shipments data'!$O:$O,"received",'Shipments data'!$F:$F,Dashboard!$Y60,'Shipments data'!$A:$A,Start!$D$7,'Shipments data'!$Q:$Q,"&gt;="&amp;Dashboard!$AA$50,'Shipments data'!$Q:$Q,"&lt;="&amp;Dashboard!$AD$50)</f>
        <v>0</v>
      </c>
      <c r="AQ60" s="161" t="str">
        <f t="shared" si="9"/>
        <v/>
      </c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</row>
    <row r="61" spans="2:86" ht="15" x14ac:dyDescent="0.25">
      <c r="V61" s="48"/>
      <c r="W61" s="48"/>
      <c r="Y61" s="133" t="str">
        <f>IF(Start!$C25="","",Start!$C25)</f>
        <v/>
      </c>
      <c r="Z61" s="133">
        <f>SUMIFS('Supply planning data'!$G:$G,'Supply planning data'!$C:$C,Dashboard!$Y61,'Supply planning data'!$D:$D,"&gt;="&amp;Dashboard!$AA$50,'Supply planning data'!$D:$D,"&lt;="&amp;Dashboard!$AD$50)</f>
        <v>0</v>
      </c>
      <c r="AA61" s="133">
        <f>SUMIFS('Supply planning data'!$H:$H,'Supply planning data'!$C:$C,Dashboard!$Y61,'Supply planning data'!$D:$D,"&gt;="&amp;Dashboard!$AA$50,'Supply planning data'!$D:$D,"&lt;="&amp;Dashboard!$AD$50)</f>
        <v>0</v>
      </c>
      <c r="AB61" s="133">
        <f>SUMIFS('Supply planning data'!$I:$I,'Supply planning data'!$C:$C,Dashboard!$Y61,'Supply planning data'!$D:$D,"&gt;="&amp;Dashboard!$AA$50,'Supply planning data'!$D:$D,"&lt;="&amp;Dashboard!$AD$50)</f>
        <v>0</v>
      </c>
      <c r="AC61" s="135">
        <f t="shared" si="13"/>
        <v>0</v>
      </c>
      <c r="AD61" s="139">
        <f t="shared" si="14"/>
        <v>0</v>
      </c>
      <c r="AE61" s="133">
        <f t="shared" si="12"/>
        <v>0</v>
      </c>
      <c r="AF61" s="133">
        <f t="shared" si="15"/>
        <v>0</v>
      </c>
      <c r="AH61" s="133" t="str">
        <f>IF(Start!$C25="","",Start!$C25)</f>
        <v/>
      </c>
      <c r="AI61" s="133">
        <f>AVERAGEIFS('Supply planning data'!$J:$J,'Supply planning data'!$C:$C,Dashboard!$Y61,'Supply planning data'!$D:$D,"&gt;="&amp;Dashboard!$AA$50,'Supply planning data'!$D:$D,"&lt;="&amp;Dashboard!$AD$50)</f>
        <v>0</v>
      </c>
      <c r="AJ61" s="364">
        <f>_xlfn.MAXIFS('Supply planning data'!$J:$J,'Supply planning data'!$C:$C,Dashboard!$Y61,'Supply planning data'!$D:$D,"&gt;="&amp;Dashboard!$AA$50,'Supply planning data'!$D:$D,"&lt;="&amp;Dashboard!$AD$50)</f>
        <v>0</v>
      </c>
      <c r="AK61" s="365" t="str">
        <f>IFERROR(AVERAGEIFS('Supply planning data'!$K:$K,'Supply planning data'!$C:$C,Dashboard!$AH61,'Supply planning data'!$D:$D,"&gt;="&amp;Dashboard!$AA$50,'Supply planning data'!$D:$D,"&lt;="&amp;Dashboard!$AD$50),"")</f>
        <v/>
      </c>
      <c r="AL61" s="373" t="str">
        <f>IFERROR(SUMIFS('Supply planning data'!$K:$K,'Supply planning data'!$C:$C,Dashboard!$AH61,'Supply planning data'!$D:$D,"&gt;="&amp;Dashboard!$AA$50,'Supply planning data'!$D:$D,"&lt;="&amp;Dashboard!$AD$50)/AC61,"")</f>
        <v/>
      </c>
      <c r="AM61" s="370">
        <f>AVERAGEIFS('Supply planning data'!$M:$M,'Supply planning data'!$C:$C,Dashboard!$Y61,'Supply planning data'!$D:$D,"&gt;="&amp;Dashboard!$AA$50,'Supply planning data'!$D:$D,"&lt;="&amp;Dashboard!$AD$50)</f>
        <v>0</v>
      </c>
      <c r="AN61" s="133">
        <f>_xlfn.MAXIFS('Supply planning data'!$M:$M,'Supply planning data'!$C:$C,Dashboard!$Y61,'Supply planning data'!$D:$D,"&gt;="&amp;Dashboard!$AA$50,'Supply planning data'!$D:$D,"&lt;="&amp;Dashboard!$AD$50)</f>
        <v>0</v>
      </c>
      <c r="AP61" s="133">
        <f>SUMIFS('Shipments data'!$L:$L,'Shipments data'!$O:$O,"received",'Shipments data'!$F:$F,Dashboard!$Y61,'Shipments data'!$A:$A,Start!$D$7,'Shipments data'!$Q:$Q,"&gt;="&amp;Dashboard!$AA$50,'Shipments data'!$Q:$Q,"&lt;="&amp;Dashboard!$AD$50)</f>
        <v>0</v>
      </c>
      <c r="AQ61" s="142" t="str">
        <f t="shared" si="9"/>
        <v/>
      </c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</row>
    <row r="62" spans="2:86" ht="15" x14ac:dyDescent="0.25">
      <c r="Y62" s="158" t="str">
        <f>IF(Start!$C26="","",Start!$C26)</f>
        <v/>
      </c>
      <c r="Z62" s="158">
        <f>SUMIFS('Supply planning data'!$G:$G,'Supply planning data'!$C:$C,Dashboard!$Y62,'Supply planning data'!$D:$D,"&gt;="&amp;Dashboard!$AA$50,'Supply planning data'!$D:$D,"&lt;="&amp;Dashboard!$AD$50)</f>
        <v>0</v>
      </c>
      <c r="AA62" s="158">
        <f>SUMIFS('Supply planning data'!$H:$H,'Supply planning data'!$C:$C,Dashboard!$Y62,'Supply planning data'!$D:$D,"&gt;="&amp;Dashboard!$AA$50,'Supply planning data'!$D:$D,"&lt;="&amp;Dashboard!$AD$50)</f>
        <v>0</v>
      </c>
      <c r="AB62" s="158">
        <f>SUMIFS('Supply planning data'!$I:$I,'Supply planning data'!$C:$C,Dashboard!$Y62,'Supply planning data'!$D:$D,"&gt;="&amp;Dashboard!$AA$50,'Supply planning data'!$D:$D,"&lt;="&amp;Dashboard!$AD$50)</f>
        <v>0</v>
      </c>
      <c r="AC62" s="159">
        <f t="shared" si="13"/>
        <v>0</v>
      </c>
      <c r="AD62" s="160">
        <f t="shared" si="14"/>
        <v>0</v>
      </c>
      <c r="AE62" s="158">
        <f t="shared" si="12"/>
        <v>0</v>
      </c>
      <c r="AF62" s="158">
        <f t="shared" si="15"/>
        <v>0</v>
      </c>
      <c r="AH62" s="158" t="str">
        <f>IF(Start!$C26="","",Start!$C26)</f>
        <v/>
      </c>
      <c r="AI62" s="158">
        <f>AVERAGEIFS('Supply planning data'!$J:$J,'Supply planning data'!$C:$C,Dashboard!$Y62,'Supply planning data'!$D:$D,"&gt;="&amp;Dashboard!$AA$50,'Supply planning data'!$D:$D,"&lt;="&amp;Dashboard!$AD$50)</f>
        <v>0</v>
      </c>
      <c r="AJ62" s="362">
        <f>_xlfn.MAXIFS('Supply planning data'!$J:$J,'Supply planning data'!$C:$C,Dashboard!$Y62,'Supply planning data'!$D:$D,"&gt;="&amp;Dashboard!$AA$50,'Supply planning data'!$D:$D,"&lt;="&amp;Dashboard!$AD$50)</f>
        <v>0</v>
      </c>
      <c r="AK62" s="363" t="str">
        <f>IFERROR(AVERAGEIFS('Supply planning data'!$K:$K,'Supply planning data'!$C:$C,Dashboard!$AH62,'Supply planning data'!$D:$D,"&gt;="&amp;Dashboard!$AA$50,'Supply planning data'!$D:$D,"&lt;="&amp;Dashboard!$AD$50),"")</f>
        <v/>
      </c>
      <c r="AL62" s="372" t="str">
        <f>IFERROR(SUMIFS('Supply planning data'!$K:$K,'Supply planning data'!$C:$C,Dashboard!$AH62,'Supply planning data'!$D:$D,"&gt;="&amp;Dashboard!$AA$50,'Supply planning data'!$D:$D,"&lt;="&amp;Dashboard!$AD$50)/AC62,"")</f>
        <v/>
      </c>
      <c r="AM62" s="363">
        <f>AVERAGEIFS('Supply planning data'!$M:$M,'Supply planning data'!$C:$C,Dashboard!$Y62,'Supply planning data'!$D:$D,"&gt;="&amp;Dashboard!$AA$50,'Supply planning data'!$D:$D,"&lt;="&amp;Dashboard!$AD$50)</f>
        <v>0</v>
      </c>
      <c r="AN62" s="158">
        <f>_xlfn.MAXIFS('Supply planning data'!$M:$M,'Supply planning data'!$C:$C,Dashboard!$Y62,'Supply planning data'!$D:$D,"&gt;="&amp;Dashboard!$AA$50,'Supply planning data'!$D:$D,"&lt;="&amp;Dashboard!$AD$50)</f>
        <v>0</v>
      </c>
      <c r="AP62" s="158">
        <f>SUMIFS('Shipments data'!$L:$L,'Shipments data'!$O:$O,"received",'Shipments data'!$F:$F,Dashboard!$Y62,'Shipments data'!$A:$A,Start!$D$7,'Shipments data'!$Q:$Q,"&gt;="&amp;Dashboard!$AA$50,'Shipments data'!$Q:$Q,"&lt;="&amp;Dashboard!$AD$50)</f>
        <v>0</v>
      </c>
      <c r="AQ62" s="161" t="str">
        <f t="shared" si="9"/>
        <v/>
      </c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</row>
    <row r="63" spans="2:86" ht="15" x14ac:dyDescent="0.25">
      <c r="Y63" s="133" t="str">
        <f>IF(Start!$C27="","",Start!$C27)</f>
        <v/>
      </c>
      <c r="Z63" s="133">
        <f>SUMIFS('Supply planning data'!$G:$G,'Supply planning data'!$C:$C,Dashboard!$Y63,'Supply planning data'!$D:$D,"&gt;="&amp;Dashboard!$AA$50,'Supply planning data'!$D:$D,"&lt;="&amp;Dashboard!$AD$50)</f>
        <v>0</v>
      </c>
      <c r="AA63" s="133">
        <f>SUMIFS('Supply planning data'!$H:$H,'Supply planning data'!$C:$C,Dashboard!$Y63,'Supply planning data'!$D:$D,"&gt;="&amp;Dashboard!$AA$50,'Supply planning data'!$D:$D,"&lt;="&amp;Dashboard!$AD$50)</f>
        <v>0</v>
      </c>
      <c r="AB63" s="133">
        <f>SUMIFS('Supply planning data'!$I:$I,'Supply planning data'!$C:$C,Dashboard!$Y63,'Supply planning data'!$D:$D,"&gt;="&amp;Dashboard!$AA$50,'Supply planning data'!$D:$D,"&lt;="&amp;Dashboard!$AD$50)</f>
        <v>0</v>
      </c>
      <c r="AC63" s="135">
        <f t="shared" si="13"/>
        <v>0</v>
      </c>
      <c r="AD63" s="139">
        <f t="shared" si="14"/>
        <v>0</v>
      </c>
      <c r="AE63" s="133">
        <f t="shared" si="12"/>
        <v>0</v>
      </c>
      <c r="AF63" s="133">
        <f t="shared" si="15"/>
        <v>0</v>
      </c>
      <c r="AH63" s="133" t="str">
        <f>IF(Start!$C27="","",Start!$C27)</f>
        <v/>
      </c>
      <c r="AI63" s="133">
        <f>AVERAGEIFS('Supply planning data'!$J:$J,'Supply planning data'!$C:$C,Dashboard!$Y63,'Supply planning data'!$D:$D,"&gt;="&amp;Dashboard!$AA$50,'Supply planning data'!$D:$D,"&lt;="&amp;Dashboard!$AD$50)</f>
        <v>0</v>
      </c>
      <c r="AJ63" s="364">
        <f>_xlfn.MAXIFS('Supply planning data'!$J:$J,'Supply planning data'!$C:$C,Dashboard!$Y63,'Supply planning data'!$D:$D,"&gt;="&amp;Dashboard!$AA$50,'Supply planning data'!$D:$D,"&lt;="&amp;Dashboard!$AD$50)</f>
        <v>0</v>
      </c>
      <c r="AK63" s="365" t="str">
        <f>IFERROR(AVERAGEIFS('Supply planning data'!$K:$K,'Supply planning data'!$C:$C,Dashboard!$AH63,'Supply planning data'!$D:$D,"&gt;="&amp;Dashboard!$AA$50,'Supply planning data'!$D:$D,"&lt;="&amp;Dashboard!$AD$50),"")</f>
        <v/>
      </c>
      <c r="AL63" s="373" t="str">
        <f>IFERROR(SUMIFS('Supply planning data'!$K:$K,'Supply planning data'!$C:$C,Dashboard!$AH63,'Supply planning data'!$D:$D,"&gt;="&amp;Dashboard!$AA$50,'Supply planning data'!$D:$D,"&lt;="&amp;Dashboard!$AD$50)/AC63,"")</f>
        <v/>
      </c>
      <c r="AM63" s="370">
        <f>AVERAGEIFS('Supply planning data'!$M:$M,'Supply planning data'!$C:$C,Dashboard!$Y63,'Supply planning data'!$D:$D,"&gt;="&amp;Dashboard!$AA$50,'Supply planning data'!$D:$D,"&lt;="&amp;Dashboard!$AD$50)</f>
        <v>0</v>
      </c>
      <c r="AN63" s="133">
        <f>_xlfn.MAXIFS('Supply planning data'!$M:$M,'Supply planning data'!$C:$C,Dashboard!$Y63,'Supply planning data'!$D:$D,"&gt;="&amp;Dashboard!$AA$50,'Supply planning data'!$D:$D,"&lt;="&amp;Dashboard!$AD$50)</f>
        <v>0</v>
      </c>
      <c r="AP63" s="133">
        <f>SUMIFS('Shipments data'!$L:$L,'Shipments data'!$O:$O,"received",'Shipments data'!$F:$F,Dashboard!$Y63,'Shipments data'!$A:$A,Start!$D$7,'Shipments data'!$Q:$Q,"&gt;="&amp;Dashboard!$AA$50,'Shipments data'!$Q:$Q,"&lt;="&amp;Dashboard!$AD$50)</f>
        <v>0</v>
      </c>
      <c r="AQ63" s="142" t="str">
        <f t="shared" si="9"/>
        <v/>
      </c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</row>
    <row r="64" spans="2:86" ht="15" x14ac:dyDescent="0.25">
      <c r="Y64" s="158" t="str">
        <f>IF(Start!$C28="","",Start!$C28)</f>
        <v/>
      </c>
      <c r="Z64" s="158">
        <f>SUMIFS('Supply planning data'!$G:$G,'Supply planning data'!$C:$C,Dashboard!$Y64,'Supply planning data'!$D:$D,"&gt;="&amp;Dashboard!$AA$50,'Supply planning data'!$D:$D,"&lt;="&amp;Dashboard!$AD$50)</f>
        <v>0</v>
      </c>
      <c r="AA64" s="158">
        <f>SUMIFS('Supply planning data'!$H:$H,'Supply planning data'!$C:$C,Dashboard!$Y64,'Supply planning data'!$D:$D,"&gt;="&amp;Dashboard!$AA$50,'Supply planning data'!$D:$D,"&lt;="&amp;Dashboard!$AD$50)</f>
        <v>0</v>
      </c>
      <c r="AB64" s="158">
        <f>SUMIFS('Supply planning data'!$I:$I,'Supply planning data'!$C:$C,Dashboard!$Y64,'Supply planning data'!$D:$D,"&gt;="&amp;Dashboard!$AA$50,'Supply planning data'!$D:$D,"&lt;="&amp;Dashboard!$AD$50)</f>
        <v>0</v>
      </c>
      <c r="AC64" s="159">
        <f t="shared" si="13"/>
        <v>0</v>
      </c>
      <c r="AD64" s="160">
        <f t="shared" si="14"/>
        <v>0</v>
      </c>
      <c r="AE64" s="158">
        <f t="shared" si="12"/>
        <v>0</v>
      </c>
      <c r="AF64" s="158">
        <f t="shared" si="15"/>
        <v>0</v>
      </c>
      <c r="AH64" s="158" t="str">
        <f>IF(Start!$C28="","",Start!$C28)</f>
        <v/>
      </c>
      <c r="AI64" s="158">
        <f>AVERAGEIFS('Supply planning data'!$J:$J,'Supply planning data'!$C:$C,Dashboard!$Y64,'Supply planning data'!$D:$D,"&gt;="&amp;Dashboard!$AA$50,'Supply planning data'!$D:$D,"&lt;="&amp;Dashboard!$AD$50)</f>
        <v>0</v>
      </c>
      <c r="AJ64" s="362">
        <f>_xlfn.MAXIFS('Supply planning data'!$J:$J,'Supply planning data'!$C:$C,Dashboard!$Y64,'Supply planning data'!$D:$D,"&gt;="&amp;Dashboard!$AA$50,'Supply planning data'!$D:$D,"&lt;="&amp;Dashboard!$AD$50)</f>
        <v>0</v>
      </c>
      <c r="AK64" s="363" t="str">
        <f>IFERROR(AVERAGEIFS('Supply planning data'!$K:$K,'Supply planning data'!$C:$C,Dashboard!$AH64,'Supply planning data'!$D:$D,"&gt;="&amp;Dashboard!$AA$50,'Supply planning data'!$D:$D,"&lt;="&amp;Dashboard!$AD$50),"")</f>
        <v/>
      </c>
      <c r="AL64" s="372" t="str">
        <f>IFERROR(SUMIFS('Supply planning data'!$K:$K,'Supply planning data'!$C:$C,Dashboard!$AH64,'Supply planning data'!$D:$D,"&gt;="&amp;Dashboard!$AA$50,'Supply planning data'!$D:$D,"&lt;="&amp;Dashboard!$AD$50)/AC64,"")</f>
        <v/>
      </c>
      <c r="AM64" s="363">
        <f>AVERAGEIFS('Supply planning data'!$M:$M,'Supply planning data'!$C:$C,Dashboard!$Y64,'Supply planning data'!$D:$D,"&gt;="&amp;Dashboard!$AA$50,'Supply planning data'!$D:$D,"&lt;="&amp;Dashboard!$AD$50)</f>
        <v>0</v>
      </c>
      <c r="AN64" s="158">
        <f>_xlfn.MAXIFS('Supply planning data'!$M:$M,'Supply planning data'!$C:$C,Dashboard!$Y64,'Supply planning data'!$D:$D,"&gt;="&amp;Dashboard!$AA$50,'Supply planning data'!$D:$D,"&lt;="&amp;Dashboard!$AD$50)</f>
        <v>0</v>
      </c>
      <c r="AP64" s="158">
        <f>SUMIFS('Shipments data'!$L:$L,'Shipments data'!$O:$O,"received",'Shipments data'!$F:$F,Dashboard!$Y64,'Shipments data'!$A:$A,Start!$D$7,'Shipments data'!$Q:$Q,"&gt;="&amp;Dashboard!$AA$50,'Shipments data'!$Q:$Q,"&lt;="&amp;Dashboard!$AD$50)</f>
        <v>0</v>
      </c>
      <c r="AQ64" s="161" t="str">
        <f t="shared" si="9"/>
        <v/>
      </c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</row>
    <row r="65" spans="2:86" ht="15" x14ac:dyDescent="0.25">
      <c r="Y65" s="133" t="str">
        <f>IF(Start!$C29="","",Start!$C29)</f>
        <v/>
      </c>
      <c r="Z65" s="133">
        <f>SUMIFS('Supply planning data'!$G:$G,'Supply planning data'!$C:$C,Dashboard!$Y65,'Supply planning data'!$D:$D,"&gt;="&amp;Dashboard!$AA$50,'Supply planning data'!$D:$D,"&lt;="&amp;Dashboard!$AD$50)</f>
        <v>0</v>
      </c>
      <c r="AA65" s="133">
        <f>SUMIFS('Supply planning data'!$H:$H,'Supply planning data'!$C:$C,Dashboard!$Y65,'Supply planning data'!$D:$D,"&gt;="&amp;Dashboard!$AA$50,'Supply planning data'!$D:$D,"&lt;="&amp;Dashboard!$AD$50)</f>
        <v>0</v>
      </c>
      <c r="AB65" s="133">
        <f>SUMIFS('Supply planning data'!$I:$I,'Supply planning data'!$C:$C,Dashboard!$Y65,'Supply planning data'!$D:$D,"&gt;="&amp;Dashboard!$AA$50,'Supply planning data'!$D:$D,"&lt;="&amp;Dashboard!$AD$50)</f>
        <v>0</v>
      </c>
      <c r="AC65" s="135">
        <f t="shared" si="13"/>
        <v>0</v>
      </c>
      <c r="AD65" s="139">
        <f t="shared" si="14"/>
        <v>0</v>
      </c>
      <c r="AE65" s="133">
        <f t="shared" si="12"/>
        <v>0</v>
      </c>
      <c r="AF65" s="133">
        <f t="shared" si="15"/>
        <v>0</v>
      </c>
      <c r="AH65" s="133" t="str">
        <f>IF(Start!$C29="","",Start!$C29)</f>
        <v/>
      </c>
      <c r="AI65" s="133">
        <f>AVERAGEIFS('Supply planning data'!$J:$J,'Supply planning data'!$C:$C,Dashboard!$Y65,'Supply planning data'!$D:$D,"&gt;="&amp;Dashboard!$AA$50,'Supply planning data'!$D:$D,"&lt;="&amp;Dashboard!$AD$50)</f>
        <v>0</v>
      </c>
      <c r="AJ65" s="364">
        <f>_xlfn.MAXIFS('Supply planning data'!$J:$J,'Supply planning data'!$C:$C,Dashboard!$Y65,'Supply planning data'!$D:$D,"&gt;="&amp;Dashboard!$AA$50,'Supply planning data'!$D:$D,"&lt;="&amp;Dashboard!$AD$50)</f>
        <v>0</v>
      </c>
      <c r="AK65" s="365" t="str">
        <f>IFERROR(AVERAGEIFS('Supply planning data'!$K:$K,'Supply planning data'!$C:$C,Dashboard!$AH65,'Supply planning data'!$D:$D,"&gt;="&amp;Dashboard!$AA$50,'Supply planning data'!$D:$D,"&lt;="&amp;Dashboard!$AD$50),"")</f>
        <v/>
      </c>
      <c r="AL65" s="373" t="str">
        <f>IFERROR(SUMIFS('Supply planning data'!$K:$K,'Supply planning data'!$C:$C,Dashboard!$AH65,'Supply planning data'!$D:$D,"&gt;="&amp;Dashboard!$AA$50,'Supply planning data'!$D:$D,"&lt;="&amp;Dashboard!$AD$50)/AC65,"")</f>
        <v/>
      </c>
      <c r="AM65" s="370">
        <f>AVERAGEIFS('Supply planning data'!$M:$M,'Supply planning data'!$C:$C,Dashboard!$Y65,'Supply planning data'!$D:$D,"&gt;="&amp;Dashboard!$AA$50,'Supply planning data'!$D:$D,"&lt;="&amp;Dashboard!$AD$50)</f>
        <v>0</v>
      </c>
      <c r="AN65" s="133">
        <f>_xlfn.MAXIFS('Supply planning data'!$M:$M,'Supply planning data'!$C:$C,Dashboard!$Y65,'Supply planning data'!$D:$D,"&gt;="&amp;Dashboard!$AA$50,'Supply planning data'!$D:$D,"&lt;="&amp;Dashboard!$AD$50)</f>
        <v>0</v>
      </c>
      <c r="AP65" s="133">
        <f>SUMIFS('Shipments data'!$L:$L,'Shipments data'!$O:$O,"received",'Shipments data'!$F:$F,Dashboard!$Y65,'Shipments data'!$A:$A,Start!$D$7,'Shipments data'!$Q:$Q,"&gt;="&amp;Dashboard!$AA$50,'Shipments data'!$Q:$Q,"&lt;="&amp;Dashboard!$AD$50)</f>
        <v>0</v>
      </c>
      <c r="AQ65" s="142" t="str">
        <f t="shared" si="9"/>
        <v/>
      </c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</row>
    <row r="66" spans="2:86" ht="15" x14ac:dyDescent="0.25">
      <c r="Y66" s="158" t="str">
        <f>IF(Start!$C30="","",Start!$C30)</f>
        <v/>
      </c>
      <c r="Z66" s="158">
        <f>SUMIFS('Supply planning data'!$G:$G,'Supply planning data'!$C:$C,Dashboard!$Y66,'Supply planning data'!$D:$D,"&gt;="&amp;Dashboard!$AA$50,'Supply planning data'!$D:$D,"&lt;="&amp;Dashboard!$AD$50)</f>
        <v>0</v>
      </c>
      <c r="AA66" s="158">
        <f>SUMIFS('Supply planning data'!$H:$H,'Supply planning data'!$C:$C,Dashboard!$Y66,'Supply planning data'!$D:$D,"&gt;="&amp;Dashboard!$AA$50,'Supply planning data'!$D:$D,"&lt;="&amp;Dashboard!$AD$50)</f>
        <v>0</v>
      </c>
      <c r="AB66" s="158">
        <f>SUMIFS('Supply planning data'!$I:$I,'Supply planning data'!$C:$C,Dashboard!$Y66,'Supply planning data'!$D:$D,"&gt;="&amp;Dashboard!$AA$50,'Supply planning data'!$D:$D,"&lt;="&amp;Dashboard!$AD$50)</f>
        <v>0</v>
      </c>
      <c r="AC66" s="159">
        <f t="shared" si="13"/>
        <v>0</v>
      </c>
      <c r="AD66" s="160">
        <f t="shared" si="14"/>
        <v>0</v>
      </c>
      <c r="AE66" s="158">
        <f t="shared" si="12"/>
        <v>0</v>
      </c>
      <c r="AF66" s="158">
        <f t="shared" si="15"/>
        <v>0</v>
      </c>
      <c r="AH66" s="158" t="str">
        <f>IF(Start!$C30="","",Start!$C30)</f>
        <v/>
      </c>
      <c r="AI66" s="158">
        <f>AVERAGEIFS('Supply planning data'!$J:$J,'Supply planning data'!$C:$C,Dashboard!$Y66,'Supply planning data'!$D:$D,"&gt;="&amp;Dashboard!$AA$50,'Supply planning data'!$D:$D,"&lt;="&amp;Dashboard!$AD$50)</f>
        <v>0</v>
      </c>
      <c r="AJ66" s="362">
        <f>_xlfn.MAXIFS('Supply planning data'!$J:$J,'Supply planning data'!$C:$C,Dashboard!$Y66,'Supply planning data'!$D:$D,"&gt;="&amp;Dashboard!$AA$50,'Supply planning data'!$D:$D,"&lt;="&amp;Dashboard!$AD$50)</f>
        <v>0</v>
      </c>
      <c r="AK66" s="363" t="str">
        <f>IFERROR(AVERAGEIFS('Supply planning data'!$K:$K,'Supply planning data'!$C:$C,Dashboard!$AH66,'Supply planning data'!$D:$D,"&gt;="&amp;Dashboard!$AA$50,'Supply planning data'!$D:$D,"&lt;="&amp;Dashboard!$AD$50),"")</f>
        <v/>
      </c>
      <c r="AL66" s="372" t="str">
        <f>IFERROR(SUMIFS('Supply planning data'!$K:$K,'Supply planning data'!$C:$C,Dashboard!$AH66,'Supply planning data'!$D:$D,"&gt;="&amp;Dashboard!$AA$50,'Supply planning data'!$D:$D,"&lt;="&amp;Dashboard!$AD$50)/AC66,"")</f>
        <v/>
      </c>
      <c r="AM66" s="363">
        <f>AVERAGEIFS('Supply planning data'!$M:$M,'Supply planning data'!$C:$C,Dashboard!$Y66,'Supply planning data'!$D:$D,"&gt;="&amp;Dashboard!$AA$50,'Supply planning data'!$D:$D,"&lt;="&amp;Dashboard!$AD$50)</f>
        <v>0</v>
      </c>
      <c r="AN66" s="158">
        <f>_xlfn.MAXIFS('Supply planning data'!$M:$M,'Supply planning data'!$C:$C,Dashboard!$Y66,'Supply planning data'!$D:$D,"&gt;="&amp;Dashboard!$AA$50,'Supply planning data'!$D:$D,"&lt;="&amp;Dashboard!$AD$50)</f>
        <v>0</v>
      </c>
      <c r="AP66" s="158">
        <f>SUMIFS('Shipments data'!$L:$L,'Shipments data'!$O:$O,"received",'Shipments data'!$F:$F,Dashboard!$Y66,'Shipments data'!$A:$A,Start!$D$7,'Shipments data'!$Q:$Q,"&gt;="&amp;Dashboard!$AA$50,'Shipments data'!$Q:$Q,"&lt;="&amp;Dashboard!$AD$50)</f>
        <v>0</v>
      </c>
      <c r="AQ66" s="161" t="str">
        <f t="shared" si="9"/>
        <v/>
      </c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</row>
    <row r="67" spans="2:86" ht="15.75" thickBot="1" x14ac:dyDescent="0.3">
      <c r="Y67" s="134" t="str">
        <f>IF(Start!$C31="","",Start!$C31)</f>
        <v/>
      </c>
      <c r="Z67" s="134">
        <f>SUMIFS('Supply planning data'!$G:$G,'Supply planning data'!$C:$C,Dashboard!$Y67,'Supply planning data'!$D:$D,"&gt;="&amp;Dashboard!$AA$50,'Supply planning data'!$D:$D,"&lt;="&amp;Dashboard!$AD$50)</f>
        <v>0</v>
      </c>
      <c r="AA67" s="134">
        <f>SUMIFS('Supply planning data'!$H:$H,'Supply planning data'!$C:$C,Dashboard!$Y67,'Supply planning data'!$D:$D,"&gt;="&amp;Dashboard!$AA$50,'Supply planning data'!$D:$D,"&lt;="&amp;Dashboard!$AD$50)</f>
        <v>0</v>
      </c>
      <c r="AB67" s="134">
        <f>SUMIFS('Supply planning data'!$I:$I,'Supply planning data'!$C:$C,Dashboard!$Y67,'Supply planning data'!$D:$D,"&gt;="&amp;Dashboard!$AA$50,'Supply planning data'!$D:$D,"&lt;="&amp;Dashboard!$AD$50)</f>
        <v>0</v>
      </c>
      <c r="AC67" s="136">
        <f t="shared" si="13"/>
        <v>0</v>
      </c>
      <c r="AD67" s="140">
        <f t="shared" si="14"/>
        <v>0</v>
      </c>
      <c r="AE67" s="134">
        <f t="shared" si="12"/>
        <v>0</v>
      </c>
      <c r="AF67" s="134">
        <f t="shared" si="15"/>
        <v>0</v>
      </c>
      <c r="AH67" s="134" t="str">
        <f>IF(Start!$C31="","",Start!$C31)</f>
        <v/>
      </c>
      <c r="AI67" s="134">
        <f>AVERAGEIFS('Supply planning data'!$J:$J,'Supply planning data'!$C:$C,Dashboard!$Y67,'Supply planning data'!$D:$D,"&gt;="&amp;Dashboard!$AA$50,'Supply planning data'!$D:$D,"&lt;="&amp;Dashboard!$AD$50)</f>
        <v>0</v>
      </c>
      <c r="AJ67" s="366">
        <f>_xlfn.MAXIFS('Supply planning data'!$J:$J,'Supply planning data'!$C:$C,Dashboard!$Y67,'Supply planning data'!$D:$D,"&gt;="&amp;Dashboard!$AA$50,'Supply planning data'!$D:$D,"&lt;="&amp;Dashboard!$AD$50)</f>
        <v>0</v>
      </c>
      <c r="AK67" s="367" t="str">
        <f>IFERROR(AVERAGEIFS('Supply planning data'!$K:$K,'Supply planning data'!$C:$C,Dashboard!$AH67,'Supply planning data'!$D:$D,"&gt;="&amp;Dashboard!$AA$50,'Supply planning data'!$D:$D,"&lt;="&amp;Dashboard!$AD$50),"")</f>
        <v/>
      </c>
      <c r="AL67" s="374" t="str">
        <f>IFERROR(SUMIFS('Supply planning data'!$K:$K,'Supply planning data'!$C:$C,Dashboard!$AH67,'Supply planning data'!$D:$D,"&gt;="&amp;Dashboard!$AA$50,'Supply planning data'!$D:$D,"&lt;="&amp;Dashboard!$AD$50)/AC67,"")</f>
        <v/>
      </c>
      <c r="AM67" s="371">
        <f>AVERAGEIFS('Supply planning data'!$M:$M,'Supply planning data'!$C:$C,Dashboard!$Y67,'Supply planning data'!$D:$D,"&gt;="&amp;Dashboard!$AA$50,'Supply planning data'!$D:$D,"&lt;="&amp;Dashboard!$AD$50)</f>
        <v>0</v>
      </c>
      <c r="AN67" s="134">
        <f>_xlfn.MAXIFS('Supply planning data'!$M:$M,'Supply planning data'!$C:$C,Dashboard!$Y67,'Supply planning data'!$D:$D,"&gt;="&amp;Dashboard!$AA$50,'Supply planning data'!$D:$D,"&lt;="&amp;Dashboard!$AD$50)</f>
        <v>0</v>
      </c>
      <c r="AP67" s="134">
        <f>SUMIFS('Shipments data'!$L:$L,'Shipments data'!$O:$O,"received",'Shipments data'!$F:$F,Dashboard!$Y67,'Shipments data'!$A:$A,Start!$D$7,'Shipments data'!$Q:$Q,"&gt;="&amp;Dashboard!$AA$50,'Shipments data'!$Q:$Q,"&lt;="&amp;Dashboard!$AD$50)</f>
        <v>0</v>
      </c>
      <c r="AQ67" s="143" t="str">
        <f t="shared" si="9"/>
        <v/>
      </c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</row>
    <row r="68" spans="2:86" ht="15" x14ac:dyDescent="0.25">
      <c r="Y68" s="439" t="s">
        <v>226</v>
      </c>
      <c r="Z68" s="448">
        <f>SUM(Z53:Z67)</f>
        <v>2428997</v>
      </c>
      <c r="AA68" s="448">
        <f>SUM(AA53:AA67)</f>
        <v>268995</v>
      </c>
      <c r="AB68" s="448">
        <f>SUM(AB53:AB67)</f>
        <v>0</v>
      </c>
      <c r="AC68" s="448">
        <f>SUM(AC53:AC67)</f>
        <v>2697992</v>
      </c>
      <c r="AD68" s="448">
        <f t="shared" ref="AD68:AF68" si="16">SUM(AD53:AD67)</f>
        <v>668343</v>
      </c>
      <c r="AE68" s="448">
        <f t="shared" si="16"/>
        <v>2428997</v>
      </c>
      <c r="AF68" s="448">
        <f t="shared" si="16"/>
        <v>3097340</v>
      </c>
      <c r="AG68" s="450"/>
      <c r="AH68" s="439" t="s">
        <v>271</v>
      </c>
      <c r="AI68" s="448">
        <f>AVERAGEIFS(Aggregate!I:I,Aggregate!C:C,"&gt;="&amp;Dashboard!$AA$50,Aggregate!C:C,"&lt;="&amp;Dashboard!$AD$50)</f>
        <v>149888.44444444444</v>
      </c>
      <c r="AJ68" s="451">
        <f>_xlfn.MAXIFS(Aggregate!I:I,Aggregate!C:C,"&gt;="&amp;Dashboard!$AA$50,Aggregate!C:C,"&lt;="&amp;Dashboard!$AD$50)</f>
        <v>583269</v>
      </c>
      <c r="AK68" s="449">
        <f>SUM(AK53:AK67)</f>
        <v>13745.8</v>
      </c>
      <c r="AL68" s="452">
        <f>IFERROR(SUMIFS('Supply planning data'!$K:$K,'Supply planning data'!$D:$D,"&gt;="&amp;Dashboard!$AA$50,'Supply planning data'!$D:$D,"&lt;="&amp;Dashboard!$AD$50)/AC68,"")</f>
        <v>8.485940655124256E-3</v>
      </c>
      <c r="AM68" s="449">
        <f>AVERAGEIFS(Aggregate!L:L,Aggregate!C:C,"&gt;="&amp;Dashboard!$AA$50,Aggregate!C:C,"&lt;="&amp;Dashboard!$AD$50)</f>
        <v>151160.38888888888</v>
      </c>
      <c r="AN68" s="448">
        <f>_xlfn.MAXIFS(Aggregate!L:L,Aggregate!C:C,"&gt;="&amp;Dashboard!$AA$50,Aggregate!C:C,"&lt;="&amp;Dashboard!$AD$50)</f>
        <v>583509</v>
      </c>
      <c r="AO68" s="453"/>
      <c r="AP68" s="448">
        <f>SUM(AP53:AP67)</f>
        <v>4920670</v>
      </c>
      <c r="AQ68" s="454">
        <f>SUM(AC53:AC67)/SUM(AP53:AP67)</f>
        <v>0.54829769116807259</v>
      </c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</row>
    <row r="69" spans="2:86" ht="15" x14ac:dyDescent="0.25">
      <c r="AP69" s="166" t="s">
        <v>272</v>
      </c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</row>
    <row r="70" spans="2:86" ht="22.5" customHeight="1" x14ac:dyDescent="0.25">
      <c r="B70" s="81" t="s">
        <v>182</v>
      </c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Y70" s="443" t="s">
        <v>273</v>
      </c>
      <c r="Z70" s="443"/>
      <c r="AA70" s="443"/>
      <c r="AB70" s="443"/>
      <c r="AC70" s="443"/>
      <c r="AD70" s="443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55"/>
      <c r="AQ70" s="455"/>
      <c r="AR70" s="455"/>
      <c r="AS70" s="209"/>
      <c r="AT70" s="209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</row>
    <row r="71" spans="2:86" ht="33.75" customHeight="1" x14ac:dyDescent="0.25">
      <c r="B71" s="172" t="s">
        <v>274</v>
      </c>
      <c r="M71" s="51"/>
      <c r="O71" s="172" t="s">
        <v>275</v>
      </c>
      <c r="R71" s="51"/>
      <c r="S71" s="48"/>
      <c r="T71" s="48"/>
      <c r="U71" s="48"/>
      <c r="V71" s="48"/>
      <c r="W71" s="48"/>
      <c r="Y71" s="146" t="s">
        <v>276</v>
      </c>
      <c r="Z71" s="456"/>
      <c r="AA71" s="456"/>
      <c r="AB71" s="447"/>
      <c r="AC71" s="550" t="s">
        <v>277</v>
      </c>
      <c r="AD71" s="550"/>
      <c r="AE71" s="550"/>
      <c r="AF71" s="550"/>
      <c r="AG71" s="447"/>
      <c r="AH71" s="146" t="s">
        <v>47</v>
      </c>
      <c r="AI71" s="167" t="s">
        <v>62</v>
      </c>
      <c r="AJ71" s="457"/>
      <c r="AK71" s="447"/>
      <c r="AL71" s="447"/>
      <c r="AM71" s="447"/>
      <c r="AO71" s="551" t="s">
        <v>278</v>
      </c>
      <c r="AP71" s="551"/>
      <c r="AQ71" s="551"/>
      <c r="AR71" s="447"/>
      <c r="AS71" s="164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</row>
    <row r="72" spans="2:86" ht="33.75" customHeight="1" thickBot="1" x14ac:dyDescent="0.3">
      <c r="B72" s="172"/>
      <c r="M72" s="51"/>
      <c r="O72" s="84" t="s">
        <v>19</v>
      </c>
      <c r="P72" s="84" t="s">
        <v>213</v>
      </c>
      <c r="Q72" s="84" t="s">
        <v>214</v>
      </c>
      <c r="R72" s="84" t="s">
        <v>130</v>
      </c>
      <c r="S72" s="84" t="s">
        <v>215</v>
      </c>
      <c r="T72" s="84" t="s">
        <v>216</v>
      </c>
      <c r="U72" s="84" t="s">
        <v>279</v>
      </c>
      <c r="V72" s="396" t="s">
        <v>218</v>
      </c>
      <c r="W72" s="84" t="s">
        <v>246</v>
      </c>
      <c r="Y72" s="84" t="s">
        <v>19</v>
      </c>
      <c r="Z72" s="84" t="s">
        <v>280</v>
      </c>
      <c r="AA72" s="84" t="s">
        <v>281</v>
      </c>
      <c r="AB72" s="164"/>
      <c r="AC72" s="84" t="s">
        <v>19</v>
      </c>
      <c r="AD72" s="84" t="s">
        <v>135</v>
      </c>
      <c r="AE72" s="84" t="s">
        <v>136</v>
      </c>
      <c r="AF72" s="84" t="s">
        <v>282</v>
      </c>
      <c r="AH72" s="84" t="s">
        <v>19</v>
      </c>
      <c r="AI72" s="84" t="s">
        <v>85</v>
      </c>
      <c r="AJ72" s="84" t="s">
        <v>64</v>
      </c>
      <c r="AK72" s="84" t="s">
        <v>283</v>
      </c>
      <c r="AL72" s="84" t="s">
        <v>63</v>
      </c>
      <c r="AM72" s="137" t="s">
        <v>246</v>
      </c>
      <c r="AO72" s="84" t="s">
        <v>19</v>
      </c>
      <c r="AP72" s="84" t="s">
        <v>284</v>
      </c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</row>
    <row r="73" spans="2:86" ht="15" x14ac:dyDescent="0.25">
      <c r="O73" s="131" t="str">
        <f>IF(Start!$C17="","",Start!$C17)</f>
        <v>AstraZeneca</v>
      </c>
      <c r="P73" s="397" t="str">
        <f>_xlfn.IFNA(DataViz!Y134,"")</f>
        <v/>
      </c>
      <c r="Q73" s="397" t="str">
        <f>_xlfn.IFNA(DataViz!Z134,"")</f>
        <v/>
      </c>
      <c r="R73" s="397">
        <f>_xlfn.IFNA(DataViz!AA134,"")</f>
        <v>321197</v>
      </c>
      <c r="S73" s="397" t="str">
        <f>_xlfn.IFNA(DataViz!AB134,"")</f>
        <v/>
      </c>
      <c r="T73" s="397" t="str">
        <f>_xlfn.IFNA(DataViz!AC134,"")</f>
        <v/>
      </c>
      <c r="U73" s="397" t="str">
        <f>_xlfn.IFNA(DataViz!AD134,"")</f>
        <v/>
      </c>
      <c r="V73" s="398" t="str">
        <f>_xlfn.IFNA(DataViz!AE134,"")</f>
        <v/>
      </c>
      <c r="W73" s="399">
        <f t="shared" ref="W73:W87" si="17">IF(SUM(P73:V73)&lt;=0,"",SUM(P73:V73))</f>
        <v>321197</v>
      </c>
      <c r="X73" s="163"/>
      <c r="Y73" s="131" t="str">
        <f>IF(Start!$C17="","",Start!$C17)</f>
        <v>AstraZeneca</v>
      </c>
      <c r="Z73" s="131">
        <f>SUMIFS('Shipments data'!$L:$L,'Shipments data'!$O:$O,"received",'Shipments data'!$F:$F,Dashboard!$Y73,'Shipments data'!$A:$A,Start!$D$7)</f>
        <v>951100</v>
      </c>
      <c r="AA73" s="131">
        <f>SUMIFS('Shipments data'!$L:$L,'Shipments data'!$O:$O,"ordered",'Shipments data'!$F:$F,Dashboard!$Y73,'Shipments data'!$A:$A,Start!$D$7)</f>
        <v>0</v>
      </c>
      <c r="AC73" s="131" t="str">
        <f>IF(Start!$C17="","",Start!$C17)</f>
        <v>AstraZeneca</v>
      </c>
      <c r="AD73" s="197">
        <f>IFERROR(_xlfn.MINIFS('Shipments data'!$Z:$Z,'Shipments data'!$O:$O,"received",'Shipments data'!$F:$F,Dashboard!$Y73,'Shipments data'!$A:$A,Start!$D$7),0)</f>
        <v>1.8069815195071868</v>
      </c>
      <c r="AE73" s="197">
        <f>IFERROR(_xlfn.MAXIFS('Shipments data'!$Z:$Z,'Shipments data'!$O:$O,"received",'Shipments data'!$F:$F,Dashboard!$Y73,'Shipments data'!$A:$A,Start!$D$7),"")</f>
        <v>3.5811088295687883</v>
      </c>
      <c r="AF73" s="197">
        <f>IFERROR(AVERAGEIFS('Shipments data'!$Z:$Z,'Shipments data'!$O:$O,"received",'Shipments data'!$F:$F,Dashboard!$Y73,'Shipments data'!$A:$A,Start!$D$7),"")</f>
        <v>2.608624229979466</v>
      </c>
      <c r="AH73" s="131" t="str">
        <f>IF(Start!$C17="","",Start!$C17)</f>
        <v>AstraZeneca</v>
      </c>
      <c r="AI73" s="131">
        <f>SUMIFS('Shipments data'!$L:$L,'Shipments data'!$O:$O,Dashboard!$AI$71,'Shipments data'!$F:$F,Dashboard!$AH73,'Shipments data'!$A:$A,Start!$D$7,'Shipments data'!$R:$R,Dashboard!AI$72)</f>
        <v>0</v>
      </c>
      <c r="AJ73" s="131">
        <f>SUMIFS('Shipments data'!$L:$L,'Shipments data'!$O:$O,Dashboard!$AI$71,'Shipments data'!$F:$F,Dashboard!$AH73,'Shipments data'!$A:$A,Start!$D$7,'Shipments data'!$R:$R,Dashboard!AJ$72)</f>
        <v>456100</v>
      </c>
      <c r="AK73" s="131">
        <f>SUMIFS('Shipments data'!$L:$L,'Shipments data'!$O:$O,Dashboard!$AI$71,'Shipments data'!$F:$F,Dashboard!$AH73,'Shipments data'!$A:$A,Start!$D$7,'Shipments data'!$R:$R,Dashboard!AK$72)</f>
        <v>0</v>
      </c>
      <c r="AL73" s="131">
        <f>SUMIFS('Shipments data'!$L:$L,'Shipments data'!$O:$O,Dashboard!$AI$71,'Shipments data'!$F:$F,Dashboard!$AH73,'Shipments data'!$A:$A,Start!$D$7,'Shipments data'!$R:$R,Dashboard!AL$72)</f>
        <v>495000</v>
      </c>
      <c r="AM73" s="497">
        <f>SUM(AI73:AL73)</f>
        <v>951100</v>
      </c>
      <c r="AO73" s="131" t="str">
        <f>IF(Start!$C17="","",Start!$C17)</f>
        <v>AstraZeneca</v>
      </c>
      <c r="AP73" s="131" t="str">
        <f>IFERROR(AVERAGEIFS('Shipments data'!$AD:$AD,'Shipments data'!$F:$F,Dashboard!$Y73,'Shipments data'!$A:$A,Start!$D$7),"")</f>
        <v/>
      </c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</row>
    <row r="74" spans="2:86" ht="15" x14ac:dyDescent="0.25">
      <c r="O74" s="158" t="str">
        <f>IF(Start!$C18="","",Start!$C18)</f>
        <v>Jansen</v>
      </c>
      <c r="P74" s="400" t="str">
        <f>_xlfn.IFNA(DataViz!Y135,"")</f>
        <v/>
      </c>
      <c r="Q74" s="400" t="str">
        <f>_xlfn.IFNA(DataViz!Z135,"")</f>
        <v/>
      </c>
      <c r="R74" s="400" t="str">
        <f>_xlfn.IFNA(DataViz!AA135,"")</f>
        <v/>
      </c>
      <c r="S74" s="400" t="str">
        <f>_xlfn.IFNA(DataViz!AB135,"")</f>
        <v/>
      </c>
      <c r="T74" s="400" t="str">
        <f>_xlfn.IFNA(DataViz!AC135,"")</f>
        <v/>
      </c>
      <c r="U74" s="400" t="str">
        <f>_xlfn.IFNA(DataViz!AD135,"")</f>
        <v/>
      </c>
      <c r="V74" s="401" t="str">
        <f>_xlfn.IFNA(DataViz!AE135,"")</f>
        <v/>
      </c>
      <c r="W74" s="410" t="str">
        <f t="shared" si="17"/>
        <v/>
      </c>
      <c r="Y74" s="158" t="str">
        <f>IF(Start!$C18="","",Start!$C18)</f>
        <v>Jansen</v>
      </c>
      <c r="Z74" s="158">
        <f>SUMIFS('Shipments data'!$L:$L,'Shipments data'!$O:$O,"received",'Shipments data'!$F:$F,Dashboard!$Y74,'Shipments data'!$A:$A,Start!$D$7)</f>
        <v>3770600</v>
      </c>
      <c r="AA74" s="158">
        <f>SUMIFS('Shipments data'!$L:$L,'Shipments data'!$O:$O,"ordered",'Shipments data'!$F:$F,Dashboard!$Y74,'Shipments data'!$A:$A,Start!$D$7)</f>
        <v>0</v>
      </c>
      <c r="AC74" s="158" t="str">
        <f>IF(Start!$C18="","",Start!$C18)</f>
        <v>Jansen</v>
      </c>
      <c r="AD74" s="198">
        <f>IFERROR(_xlfn.MINIFS('Shipments data'!$Z:$Z,'Shipments data'!$O:$O,"received",'Shipments data'!$F:$F,Dashboard!$Y74,'Shipments data'!$A:$A,Start!$D$7),0)</f>
        <v>4.1396303901437372</v>
      </c>
      <c r="AE74" s="198">
        <f>IFERROR(_xlfn.MAXIFS('Shipments data'!$Z:$Z,'Shipments data'!$O:$O,"received",'Shipments data'!$F:$F,Dashboard!$Y74,'Shipments data'!$A:$A,Start!$D$7),"")</f>
        <v>21.256673511293634</v>
      </c>
      <c r="AF74" s="198">
        <f>IFERROR(AVERAGEIFS('Shipments data'!$Z:$Z,'Shipments data'!$O:$O,"received",'Shipments data'!$F:$F,Dashboard!$Y74,'Shipments data'!$A:$A,Start!$D$7),"")</f>
        <v>9.8316221765913756</v>
      </c>
      <c r="AH74" s="158" t="str">
        <f>IF(Start!$C18="","",Start!$C18)</f>
        <v>Jansen</v>
      </c>
      <c r="AI74" s="158">
        <f>SUMIFS('Shipments data'!$L:$L,'Shipments data'!$O:$O,Dashboard!$AI$71,'Shipments data'!$F:$F,Dashboard!$AH74,'Shipments data'!$A:$A,Start!$D$7,'Shipments data'!$R:$R,Dashboard!AI$72)</f>
        <v>200000</v>
      </c>
      <c r="AJ74" s="158">
        <f>SUMIFS('Shipments data'!$L:$L,'Shipments data'!$O:$O,Dashboard!$AI$71,'Shipments data'!$F:$F,Dashboard!$AH74,'Shipments data'!$A:$A,Start!$D$7,'Shipments data'!$R:$R,Dashboard!AJ$72)</f>
        <v>2680000</v>
      </c>
      <c r="AK74" s="158">
        <f>SUMIFS('Shipments data'!$L:$L,'Shipments data'!$O:$O,Dashboard!$AI$71,'Shipments data'!$F:$F,Dashboard!$AH74,'Shipments data'!$A:$A,Start!$D$7,'Shipments data'!$R:$R,Dashboard!AK$72)</f>
        <v>0</v>
      </c>
      <c r="AL74" s="158">
        <f>SUMIFS('Shipments data'!$L:$L,'Shipments data'!$O:$O,Dashboard!$AI$71,'Shipments data'!$F:$F,Dashboard!$AH74,'Shipments data'!$A:$A,Start!$D$7,'Shipments data'!$R:$R,Dashboard!AL$72)</f>
        <v>890600</v>
      </c>
      <c r="AM74" s="498">
        <f t="shared" ref="AM74:AM87" si="18">SUM(AI74:AL74)</f>
        <v>3770600</v>
      </c>
      <c r="AO74" s="158" t="str">
        <f>IF(Start!$C18="","",Start!$C18)</f>
        <v>Jansen</v>
      </c>
      <c r="AP74" s="158">
        <f>IFERROR(AVERAGEIFS('Shipments data'!$AD:$AD,'Shipments data'!$F:$F,Dashboard!$Y74,'Shipments data'!$A:$A,Start!$D$7),"")</f>
        <v>2</v>
      </c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</row>
    <row r="75" spans="2:86" ht="15" x14ac:dyDescent="0.25">
      <c r="B75" s="51"/>
      <c r="F75" s="51"/>
      <c r="H75" s="51"/>
      <c r="I75" s="51"/>
      <c r="J75" s="51"/>
      <c r="K75" s="51"/>
      <c r="L75" s="51"/>
      <c r="M75" s="51"/>
      <c r="N75" s="51"/>
      <c r="O75" s="133" t="str">
        <f>IF(Start!$C19="","",Start!$C19)</f>
        <v>Moderna</v>
      </c>
      <c r="P75" s="403" t="str">
        <f>_xlfn.IFNA(DataViz!Y136,"")</f>
        <v/>
      </c>
      <c r="Q75" s="403" t="str">
        <f>_xlfn.IFNA(DataViz!Z136,"")</f>
        <v/>
      </c>
      <c r="R75" s="403" t="str">
        <f>_xlfn.IFNA(DataViz!AA136,"")</f>
        <v/>
      </c>
      <c r="S75" s="403" t="str">
        <f>_xlfn.IFNA(DataViz!AB136,"")</f>
        <v/>
      </c>
      <c r="T75" s="403" t="str">
        <f>_xlfn.IFNA(DataViz!AC136,"")</f>
        <v/>
      </c>
      <c r="U75" s="403" t="str">
        <f>_xlfn.IFNA(DataViz!AD136,"")</f>
        <v/>
      </c>
      <c r="V75" s="404" t="str">
        <f>_xlfn.IFNA(DataViz!AE136,"")</f>
        <v/>
      </c>
      <c r="W75" s="405" t="str">
        <f t="shared" si="17"/>
        <v/>
      </c>
      <c r="Y75" s="133" t="str">
        <f>IF(Start!$C19="","",Start!$C19)</f>
        <v>Moderna</v>
      </c>
      <c r="Z75" s="133">
        <f>SUMIFS('Shipments data'!$L:$L,'Shipments data'!$O:$O,"received",'Shipments data'!$F:$F,Dashboard!$Y75,'Shipments data'!$A:$A,Start!$D$7)</f>
        <v>0</v>
      </c>
      <c r="AA75" s="133">
        <f>SUMIFS('Shipments data'!$L:$L,'Shipments data'!$O:$O,"ordered",'Shipments data'!$F:$F,Dashboard!$Y75,'Shipments data'!$A:$A,Start!$D$7)</f>
        <v>0</v>
      </c>
      <c r="AC75" s="133" t="str">
        <f>IF(Start!$C19="","",Start!$C19)</f>
        <v>Moderna</v>
      </c>
      <c r="AD75" s="199">
        <f>IFERROR(_xlfn.MINIFS('Shipments data'!$Z:$Z,'Shipments data'!$O:$O,"received",'Shipments data'!$F:$F,Dashboard!$Y75,'Shipments data'!$A:$A,Start!$D$7),0)</f>
        <v>0</v>
      </c>
      <c r="AE75" s="199">
        <f>IFERROR(_xlfn.MAXIFS('Shipments data'!$Z:$Z,'Shipments data'!$O:$O,"received",'Shipments data'!$F:$F,Dashboard!$Y75,'Shipments data'!$A:$A,Start!$D$7),"")</f>
        <v>0</v>
      </c>
      <c r="AF75" s="199" t="str">
        <f>IFERROR(AVERAGEIFS('Shipments data'!$Z:$Z,'Shipments data'!$O:$O,"received",'Shipments data'!$F:$F,Dashboard!$Y75,'Shipments data'!$A:$A,Start!$D$7),"")</f>
        <v/>
      </c>
      <c r="AH75" s="133" t="str">
        <f>IF(Start!$C19="","",Start!$C19)</f>
        <v>Moderna</v>
      </c>
      <c r="AI75" s="133">
        <f>SUMIFS('Shipments data'!$L:$L,'Shipments data'!$O:$O,Dashboard!$AI$71,'Shipments data'!$F:$F,Dashboard!$AH75,'Shipments data'!$A:$A,Start!$D$7,'Shipments data'!$R:$R,Dashboard!AI$72)</f>
        <v>0</v>
      </c>
      <c r="AJ75" s="133">
        <f>SUMIFS('Shipments data'!$L:$L,'Shipments data'!$O:$O,Dashboard!$AI$71,'Shipments data'!$F:$F,Dashboard!$AH75,'Shipments data'!$A:$A,Start!$D$7,'Shipments data'!$R:$R,Dashboard!AJ$72)</f>
        <v>0</v>
      </c>
      <c r="AK75" s="133">
        <f>SUMIFS('Shipments data'!$L:$L,'Shipments data'!$O:$O,Dashboard!$AI$71,'Shipments data'!$F:$F,Dashboard!$AH75,'Shipments data'!$A:$A,Start!$D$7,'Shipments data'!$R:$R,Dashboard!AK$72)</f>
        <v>0</v>
      </c>
      <c r="AL75" s="133">
        <f>SUMIFS('Shipments data'!$L:$L,'Shipments data'!$O:$O,Dashboard!$AI$71,'Shipments data'!$F:$F,Dashboard!$AH75,'Shipments data'!$A:$A,Start!$D$7,'Shipments data'!$R:$R,Dashboard!AL$72)</f>
        <v>0</v>
      </c>
      <c r="AM75" s="499">
        <f t="shared" si="18"/>
        <v>0</v>
      </c>
      <c r="AO75" s="133" t="str">
        <f>IF(Start!$C19="","",Start!$C19)</f>
        <v>Moderna</v>
      </c>
      <c r="AP75" s="133" t="str">
        <f>IFERROR(AVERAGEIFS('Shipments data'!$AD:$AD,'Shipments data'!$F:$F,Dashboard!$Y75,'Shipments data'!$A:$A,Start!$D$7),"")</f>
        <v/>
      </c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</row>
    <row r="76" spans="2:86" ht="15" x14ac:dyDescent="0.25">
      <c r="B76" s="51"/>
      <c r="F76" s="51"/>
      <c r="O76" s="158" t="str">
        <f>IF(Start!$C20="","",Start!$C20)</f>
        <v>Pfizer</v>
      </c>
      <c r="P76" s="400" t="str">
        <f>_xlfn.IFNA(DataViz!Y137,"")</f>
        <v/>
      </c>
      <c r="Q76" s="400" t="str">
        <f>_xlfn.IFNA(DataViz!Z137,"")</f>
        <v/>
      </c>
      <c r="R76" s="400" t="str">
        <f>_xlfn.IFNA(DataViz!AA137,"")</f>
        <v/>
      </c>
      <c r="S76" s="400" t="str">
        <f>_xlfn.IFNA(DataViz!AB137,"")</f>
        <v/>
      </c>
      <c r="T76" s="400" t="str">
        <f>_xlfn.IFNA(DataViz!AC137,"")</f>
        <v/>
      </c>
      <c r="U76" s="400" t="str">
        <f>_xlfn.IFNA(DataViz!AD137,"")</f>
        <v/>
      </c>
      <c r="V76" s="401" t="str">
        <f>_xlfn.IFNA(DataViz!AE137,"")</f>
        <v/>
      </c>
      <c r="W76" s="402" t="str">
        <f t="shared" si="17"/>
        <v/>
      </c>
      <c r="Y76" s="158" t="str">
        <f>IF(Start!$C20="","",Start!$C20)</f>
        <v>Pfizer</v>
      </c>
      <c r="Z76" s="158">
        <f>SUMIFS('Shipments data'!$L:$L,'Shipments data'!$O:$O,"received",'Shipments data'!$F:$F,Dashboard!$Y76,'Shipments data'!$A:$A,Start!$D$7)</f>
        <v>398970</v>
      </c>
      <c r="AA76" s="158">
        <f>SUMIFS('Shipments data'!$L:$L,'Shipments data'!$O:$O,"ordered",'Shipments data'!$F:$F,Dashboard!$Y76,'Shipments data'!$A:$A,Start!$D$7)</f>
        <v>3000000</v>
      </c>
      <c r="AC76" s="158" t="str">
        <f>IF(Start!$C20="","",Start!$C20)</f>
        <v>Pfizer</v>
      </c>
      <c r="AD76" s="198">
        <f>IFERROR(_xlfn.MINIFS('Shipments data'!$Z:$Z,'Shipments data'!$O:$O,"received",'Shipments data'!$F:$F,Dashboard!$Y76,'Shipments data'!$A:$A,Start!$D$7),0)</f>
        <v>5.6837782340862422</v>
      </c>
      <c r="AE76" s="198">
        <f>IFERROR(_xlfn.MAXIFS('Shipments data'!$Z:$Z,'Shipments data'!$O:$O,"received",'Shipments data'!$F:$F,Dashboard!$Y76,'Shipments data'!$A:$A,Start!$D$7),"")</f>
        <v>5.6837782340862422</v>
      </c>
      <c r="AF76" s="198">
        <f>IFERROR(AVERAGEIFS('Shipments data'!$Z:$Z,'Shipments data'!$O:$O,"received",'Shipments data'!$F:$F,Dashboard!$Y76,'Shipments data'!$A:$A,Start!$D$7),"")</f>
        <v>5.6837782340862422</v>
      </c>
      <c r="AH76" s="158" t="str">
        <f>IF(Start!$C20="","",Start!$C20)</f>
        <v>Pfizer</v>
      </c>
      <c r="AI76" s="158">
        <f>SUMIFS('Shipments data'!$L:$L,'Shipments data'!$O:$O,Dashboard!$AI$71,'Shipments data'!$F:$F,Dashboard!$AH76,'Shipments data'!$A:$A,Start!$D$7,'Shipments data'!$R:$R,Dashboard!AI$72)</f>
        <v>0</v>
      </c>
      <c r="AJ76" s="158">
        <f>SUMIFS('Shipments data'!$L:$L,'Shipments data'!$O:$O,Dashboard!$AI$71,'Shipments data'!$F:$F,Dashboard!$AH76,'Shipments data'!$A:$A,Start!$D$7,'Shipments data'!$R:$R,Dashboard!AJ$72)</f>
        <v>0</v>
      </c>
      <c r="AK76" s="158">
        <f>SUMIFS('Shipments data'!$L:$L,'Shipments data'!$O:$O,Dashboard!$AI$71,'Shipments data'!$F:$F,Dashboard!$AH76,'Shipments data'!$A:$A,Start!$D$7,'Shipments data'!$R:$R,Dashboard!AK$72)</f>
        <v>0</v>
      </c>
      <c r="AL76" s="158">
        <f>SUMIFS('Shipments data'!$L:$L,'Shipments data'!$O:$O,Dashboard!$AI$71,'Shipments data'!$F:$F,Dashboard!$AH76,'Shipments data'!$A:$A,Start!$D$7,'Shipments data'!$R:$R,Dashboard!AL$72)</f>
        <v>398970</v>
      </c>
      <c r="AM76" s="498">
        <f t="shared" si="18"/>
        <v>398970</v>
      </c>
      <c r="AO76" s="158" t="str">
        <f>IF(Start!$C20="","",Start!$C20)</f>
        <v>Pfizer</v>
      </c>
      <c r="AP76" s="158" t="str">
        <f>IFERROR(AVERAGEIFS('Shipments data'!$AD:$AD,'Shipments data'!$F:$F,Dashboard!$Y76,'Shipments data'!$A:$A,Start!$D$7),"")</f>
        <v/>
      </c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</row>
    <row r="77" spans="2:86" ht="15" x14ac:dyDescent="0.25">
      <c r="B77" s="51"/>
      <c r="F77" s="51"/>
      <c r="O77" s="133" t="str">
        <f>IF(Start!$C21="","",Start!$C21)</f>
        <v>Sinovac</v>
      </c>
      <c r="P77" s="403" t="str">
        <f>_xlfn.IFNA(DataViz!Y138,"")</f>
        <v/>
      </c>
      <c r="Q77" s="403" t="str">
        <f>_xlfn.IFNA(DataViz!Z138,"")</f>
        <v/>
      </c>
      <c r="R77" s="403" t="str">
        <f>_xlfn.IFNA(DataViz!AA138,"")</f>
        <v/>
      </c>
      <c r="S77" s="403" t="str">
        <f>_xlfn.IFNA(DataViz!AB138,"")</f>
        <v/>
      </c>
      <c r="T77" s="403" t="str">
        <f>_xlfn.IFNA(DataViz!AC138,"")</f>
        <v/>
      </c>
      <c r="U77" s="403" t="str">
        <f>_xlfn.IFNA(DataViz!AD138,"")</f>
        <v/>
      </c>
      <c r="V77" s="404" t="str">
        <f>_xlfn.IFNA(DataViz!AE138,"")</f>
        <v/>
      </c>
      <c r="W77" s="405" t="str">
        <f t="shared" si="17"/>
        <v/>
      </c>
      <c r="Y77" s="133" t="str">
        <f>IF(Start!$C21="","",Start!$C21)</f>
        <v>Sinovac</v>
      </c>
      <c r="Z77" s="133">
        <f>SUMIFS('Shipments data'!$L:$L,'Shipments data'!$O:$O,"received",'Shipments data'!$F:$F,Dashboard!$Y77,'Shipments data'!$A:$A,Start!$D$7)</f>
        <v>0</v>
      </c>
      <c r="AA77" s="133">
        <f>SUMIFS('Shipments data'!$L:$L,'Shipments data'!$O:$O,"ordered",'Shipments data'!$F:$F,Dashboard!$Y77,'Shipments data'!$A:$A,Start!$D$7)</f>
        <v>0</v>
      </c>
      <c r="AC77" s="133" t="str">
        <f>IF(Start!$C21="","",Start!$C21)</f>
        <v>Sinovac</v>
      </c>
      <c r="AD77" s="199">
        <f>IFERROR(_xlfn.MINIFS('Shipments data'!$Z:$Z,'Shipments data'!$O:$O,"received",'Shipments data'!$F:$F,Dashboard!$Y77,'Shipments data'!$A:$A,Start!$D$7),0)</f>
        <v>0</v>
      </c>
      <c r="AE77" s="199">
        <f>IFERROR(_xlfn.MAXIFS('Shipments data'!$Z:$Z,'Shipments data'!$O:$O,"received",'Shipments data'!$F:$F,Dashboard!$Y77,'Shipments data'!$A:$A,Start!$D$7),"")</f>
        <v>0</v>
      </c>
      <c r="AF77" s="199" t="str">
        <f>IFERROR(AVERAGEIFS('Shipments data'!$Z:$Z,'Shipments data'!$O:$O,"received",'Shipments data'!$F:$F,Dashboard!$Y77,'Shipments data'!$A:$A,Start!$D$7),"")</f>
        <v/>
      </c>
      <c r="AH77" s="133" t="str">
        <f>IF(Start!$C21="","",Start!$C21)</f>
        <v>Sinovac</v>
      </c>
      <c r="AI77" s="133">
        <f>SUMIFS('Shipments data'!$L:$L,'Shipments data'!$O:$O,Dashboard!$AI$71,'Shipments data'!$F:$F,Dashboard!$AH77,'Shipments data'!$A:$A,Start!$D$7,'Shipments data'!$R:$R,Dashboard!AI$72)</f>
        <v>0</v>
      </c>
      <c r="AJ77" s="133">
        <f>SUMIFS('Shipments data'!$L:$L,'Shipments data'!$O:$O,Dashboard!$AI$71,'Shipments data'!$F:$F,Dashboard!$AH77,'Shipments data'!$A:$A,Start!$D$7,'Shipments data'!$R:$R,Dashboard!AJ$72)</f>
        <v>0</v>
      </c>
      <c r="AK77" s="133">
        <f>SUMIFS('Shipments data'!$L:$L,'Shipments data'!$O:$O,Dashboard!$AI$71,'Shipments data'!$F:$F,Dashboard!$AH77,'Shipments data'!$A:$A,Start!$D$7,'Shipments data'!$R:$R,Dashboard!AK$72)</f>
        <v>0</v>
      </c>
      <c r="AL77" s="133">
        <f>SUMIFS('Shipments data'!$L:$L,'Shipments data'!$O:$O,Dashboard!$AI$71,'Shipments data'!$F:$F,Dashboard!$AH77,'Shipments data'!$A:$A,Start!$D$7,'Shipments data'!$R:$R,Dashboard!AL$72)</f>
        <v>0</v>
      </c>
      <c r="AM77" s="499">
        <f t="shared" si="18"/>
        <v>0</v>
      </c>
      <c r="AO77" s="133" t="str">
        <f>IF(Start!$C21="","",Start!$C21)</f>
        <v>Sinovac</v>
      </c>
      <c r="AP77" s="133" t="str">
        <f>IFERROR(AVERAGEIFS('Shipments data'!$AD:$AD,'Shipments data'!$F:$F,Dashboard!$Y77,'Shipments data'!$A:$A,Start!$D$7),"")</f>
        <v/>
      </c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</row>
    <row r="78" spans="2:86" ht="15" x14ac:dyDescent="0.25">
      <c r="B78" s="51"/>
      <c r="F78" s="51"/>
      <c r="O78" s="158" t="str">
        <f>IF(Start!$C22="","",Start!$C22)</f>
        <v/>
      </c>
      <c r="P78" s="400" t="str">
        <f>_xlfn.IFNA(DataViz!Y139,"")</f>
        <v/>
      </c>
      <c r="Q78" s="400" t="str">
        <f>_xlfn.IFNA(DataViz!Z139,"")</f>
        <v/>
      </c>
      <c r="R78" s="400" t="str">
        <f>_xlfn.IFNA(DataViz!AA139,"")</f>
        <v/>
      </c>
      <c r="S78" s="400" t="str">
        <f>_xlfn.IFNA(DataViz!AB139,"")</f>
        <v/>
      </c>
      <c r="T78" s="400" t="str">
        <f>_xlfn.IFNA(DataViz!AC139,"")</f>
        <v/>
      </c>
      <c r="U78" s="400" t="str">
        <f>_xlfn.IFNA(DataViz!AD139,"")</f>
        <v/>
      </c>
      <c r="V78" s="401" t="str">
        <f>_xlfn.IFNA(DataViz!AE139,"")</f>
        <v/>
      </c>
      <c r="W78" s="402" t="str">
        <f t="shared" si="17"/>
        <v/>
      </c>
      <c r="Y78" s="158" t="str">
        <f>IF(Start!$C22="","",Start!$C22)</f>
        <v/>
      </c>
      <c r="Z78" s="158">
        <f>SUMIFS('Shipments data'!$L:$L,'Shipments data'!$O:$O,"received",'Shipments data'!$F:$F,Dashboard!$Y78,'Shipments data'!$A:$A,Start!$D$7)</f>
        <v>0</v>
      </c>
      <c r="AA78" s="158">
        <f>SUMIFS('Shipments data'!$L:$L,'Shipments data'!$O:$O,"ordered",'Shipments data'!$F:$F,Dashboard!$Y78,'Shipments data'!$A:$A,Start!$D$7)</f>
        <v>0</v>
      </c>
      <c r="AC78" s="158" t="str">
        <f>IF(Start!$C22="","",Start!$C22)</f>
        <v/>
      </c>
      <c r="AD78" s="198">
        <f>IFERROR(_xlfn.MINIFS('Shipments data'!$Z:$Z,'Shipments data'!$O:$O,"received",'Shipments data'!$F:$F,Dashboard!$Y78,'Shipments data'!$A:$A,Start!$D$7),0)</f>
        <v>0</v>
      </c>
      <c r="AE78" s="198">
        <f>IFERROR(_xlfn.MAXIFS('Shipments data'!$Z:$Z,'Shipments data'!$O:$O,"received",'Shipments data'!$F:$F,Dashboard!$Y78,'Shipments data'!$A:$A,Start!$D$7),"")</f>
        <v>0</v>
      </c>
      <c r="AF78" s="198" t="str">
        <f>IFERROR(AVERAGEIFS('Shipments data'!$Z:$Z,'Shipments data'!$O:$O,"received",'Shipments data'!$F:$F,Dashboard!$Y78,'Shipments data'!$A:$A,Start!$D$7),"")</f>
        <v/>
      </c>
      <c r="AH78" s="158" t="str">
        <f>IF(Start!$C22="","",Start!$C22)</f>
        <v/>
      </c>
      <c r="AI78" s="158">
        <f>SUMIFS('Shipments data'!$L:$L,'Shipments data'!$O:$O,Dashboard!$AI$71,'Shipments data'!$F:$F,Dashboard!$AH78,'Shipments data'!$A:$A,Start!$D$7,'Shipments data'!$R:$R,Dashboard!AI$72)</f>
        <v>0</v>
      </c>
      <c r="AJ78" s="158">
        <f>SUMIFS('Shipments data'!$L:$L,'Shipments data'!$O:$O,Dashboard!$AI$71,'Shipments data'!$F:$F,Dashboard!$AH78,'Shipments data'!$A:$A,Start!$D$7,'Shipments data'!$R:$R,Dashboard!AJ$72)</f>
        <v>0</v>
      </c>
      <c r="AK78" s="158">
        <f>SUMIFS('Shipments data'!$L:$L,'Shipments data'!$O:$O,Dashboard!$AI$71,'Shipments data'!$F:$F,Dashboard!$AH78,'Shipments data'!$A:$A,Start!$D$7,'Shipments data'!$R:$R,Dashboard!AK$72)</f>
        <v>0</v>
      </c>
      <c r="AL78" s="158">
        <f>SUMIFS('Shipments data'!$L:$L,'Shipments data'!$O:$O,Dashboard!$AI$71,'Shipments data'!$F:$F,Dashboard!$AH78,'Shipments data'!$A:$A,Start!$D$7,'Shipments data'!$R:$R,Dashboard!AL$72)</f>
        <v>0</v>
      </c>
      <c r="AM78" s="498">
        <f t="shared" si="18"/>
        <v>0</v>
      </c>
      <c r="AO78" s="158" t="str">
        <f>IF(Start!$C22="","",Start!$C22)</f>
        <v/>
      </c>
      <c r="AP78" s="158" t="str">
        <f>IFERROR(AVERAGEIFS('Shipments data'!$AD:$AD,'Shipments data'!$F:$F,Dashboard!$Y78,'Shipments data'!$A:$A,Start!$D$7),"")</f>
        <v/>
      </c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</row>
    <row r="79" spans="2:86" ht="15" x14ac:dyDescent="0.25">
      <c r="B79" s="51"/>
      <c r="F79" s="51"/>
      <c r="O79" s="133" t="str">
        <f>IF(Start!$C23="","",Start!$C23)</f>
        <v/>
      </c>
      <c r="P79" s="403" t="str">
        <f>_xlfn.IFNA(DataViz!Y140,"")</f>
        <v/>
      </c>
      <c r="Q79" s="403" t="str">
        <f>_xlfn.IFNA(DataViz!Z140,"")</f>
        <v/>
      </c>
      <c r="R79" s="403" t="str">
        <f>_xlfn.IFNA(DataViz!AA140,"")</f>
        <v/>
      </c>
      <c r="S79" s="403" t="str">
        <f>_xlfn.IFNA(DataViz!AB140,"")</f>
        <v/>
      </c>
      <c r="T79" s="403" t="str">
        <f>_xlfn.IFNA(DataViz!AC140,"")</f>
        <v/>
      </c>
      <c r="U79" s="403" t="str">
        <f>_xlfn.IFNA(DataViz!AD140,"")</f>
        <v/>
      </c>
      <c r="V79" s="404" t="str">
        <f>_xlfn.IFNA(DataViz!AE140,"")</f>
        <v/>
      </c>
      <c r="W79" s="405" t="str">
        <f t="shared" si="17"/>
        <v/>
      </c>
      <c r="Y79" s="133" t="str">
        <f>IF(Start!$C23="","",Start!$C23)</f>
        <v/>
      </c>
      <c r="Z79" s="133">
        <f>SUMIFS('Shipments data'!$L:$L,'Shipments data'!$O:$O,"received",'Shipments data'!$F:$F,Dashboard!$Y79,'Shipments data'!$A:$A,Start!$D$7)</f>
        <v>0</v>
      </c>
      <c r="AA79" s="133">
        <f>SUMIFS('Shipments data'!$L:$L,'Shipments data'!$O:$O,"ordered",'Shipments data'!$F:$F,Dashboard!$Y79,'Shipments data'!$A:$A,Start!$D$7)</f>
        <v>0</v>
      </c>
      <c r="AC79" s="133" t="str">
        <f>IF(Start!$C23="","",Start!$C23)</f>
        <v/>
      </c>
      <c r="AD79" s="199">
        <f>IFERROR(_xlfn.MINIFS('Shipments data'!$Z:$Z,'Shipments data'!$O:$O,"received",'Shipments data'!$F:$F,Dashboard!$Y79,'Shipments data'!$A:$A,Start!$D$7),0)</f>
        <v>0</v>
      </c>
      <c r="AE79" s="199">
        <f>IFERROR(_xlfn.MAXIFS('Shipments data'!$Z:$Z,'Shipments data'!$O:$O,"received",'Shipments data'!$F:$F,Dashboard!$Y79,'Shipments data'!$A:$A,Start!$D$7),"")</f>
        <v>0</v>
      </c>
      <c r="AF79" s="199" t="str">
        <f>IFERROR(AVERAGEIFS('Shipments data'!$Z:$Z,'Shipments data'!$O:$O,"received",'Shipments data'!$F:$F,Dashboard!$Y79,'Shipments data'!$A:$A,Start!$D$7),"")</f>
        <v/>
      </c>
      <c r="AH79" s="133" t="str">
        <f>IF(Start!$C23="","",Start!$C23)</f>
        <v/>
      </c>
      <c r="AI79" s="133">
        <f>SUMIFS('Shipments data'!$L:$L,'Shipments data'!$O:$O,Dashboard!$AI$71,'Shipments data'!$F:$F,Dashboard!$AH79,'Shipments data'!$A:$A,Start!$D$7,'Shipments data'!$R:$R,Dashboard!AI$72)</f>
        <v>0</v>
      </c>
      <c r="AJ79" s="133">
        <f>SUMIFS('Shipments data'!$L:$L,'Shipments data'!$O:$O,Dashboard!$AI$71,'Shipments data'!$F:$F,Dashboard!$AH79,'Shipments data'!$A:$A,Start!$D$7,'Shipments data'!$R:$R,Dashboard!AJ$72)</f>
        <v>0</v>
      </c>
      <c r="AK79" s="133">
        <f>SUMIFS('Shipments data'!$L:$L,'Shipments data'!$O:$O,Dashboard!$AI$71,'Shipments data'!$F:$F,Dashboard!$AH79,'Shipments data'!$A:$A,Start!$D$7,'Shipments data'!$R:$R,Dashboard!AK$72)</f>
        <v>0</v>
      </c>
      <c r="AL79" s="133">
        <f>SUMIFS('Shipments data'!$L:$L,'Shipments data'!$O:$O,Dashboard!$AI$71,'Shipments data'!$F:$F,Dashboard!$AH79,'Shipments data'!$A:$A,Start!$D$7,'Shipments data'!$R:$R,Dashboard!AL$72)</f>
        <v>0</v>
      </c>
      <c r="AM79" s="499">
        <f t="shared" si="18"/>
        <v>0</v>
      </c>
      <c r="AO79" s="133" t="str">
        <f>IF(Start!$C23="","",Start!$C23)</f>
        <v/>
      </c>
      <c r="AP79" s="133" t="str">
        <f>IFERROR(AVERAGEIFS('Shipments data'!$AD:$AD,'Shipments data'!$F:$F,Dashboard!$Y79,'Shipments data'!$A:$A,Start!$D$7),"")</f>
        <v/>
      </c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</row>
    <row r="80" spans="2:86" ht="15" x14ac:dyDescent="0.25">
      <c r="B80" s="51"/>
      <c r="F80" s="51"/>
      <c r="O80" s="158" t="str">
        <f>IF(Start!$C24="","",Start!$C24)</f>
        <v/>
      </c>
      <c r="P80" s="400" t="str">
        <f>_xlfn.IFNA(DataViz!Y141,"")</f>
        <v/>
      </c>
      <c r="Q80" s="400" t="str">
        <f>_xlfn.IFNA(DataViz!Z141,"")</f>
        <v/>
      </c>
      <c r="R80" s="400" t="str">
        <f>_xlfn.IFNA(DataViz!AA141,"")</f>
        <v/>
      </c>
      <c r="S80" s="400" t="str">
        <f>_xlfn.IFNA(DataViz!AB141,"")</f>
        <v/>
      </c>
      <c r="T80" s="400" t="str">
        <f>_xlfn.IFNA(DataViz!AC141,"")</f>
        <v/>
      </c>
      <c r="U80" s="400" t="str">
        <f>_xlfn.IFNA(DataViz!AD141,"")</f>
        <v/>
      </c>
      <c r="V80" s="401" t="str">
        <f>_xlfn.IFNA(DataViz!AE141,"")</f>
        <v/>
      </c>
      <c r="W80" s="402" t="str">
        <f t="shared" si="17"/>
        <v/>
      </c>
      <c r="Y80" s="158" t="str">
        <f>IF(Start!$C24="","",Start!$C24)</f>
        <v/>
      </c>
      <c r="Z80" s="158">
        <f>SUMIFS('Shipments data'!$L:$L,'Shipments data'!$O:$O,"received",'Shipments data'!$F:$F,Dashboard!$Y80,'Shipments data'!$A:$A,Start!$D$7)</f>
        <v>0</v>
      </c>
      <c r="AA80" s="158">
        <f>SUMIFS('Shipments data'!$L:$L,'Shipments data'!$O:$O,"ordered",'Shipments data'!$F:$F,Dashboard!$Y80,'Shipments data'!$A:$A,Start!$D$7)</f>
        <v>0</v>
      </c>
      <c r="AC80" s="158" t="str">
        <f>IF(Start!$C24="","",Start!$C24)</f>
        <v/>
      </c>
      <c r="AD80" s="198">
        <f>IFERROR(_xlfn.MINIFS('Shipments data'!$Z:$Z,'Shipments data'!$O:$O,"received",'Shipments data'!$F:$F,Dashboard!$Y80,'Shipments data'!$A:$A,Start!$D$7),0)</f>
        <v>0</v>
      </c>
      <c r="AE80" s="198">
        <f>IFERROR(_xlfn.MAXIFS('Shipments data'!$Z:$Z,'Shipments data'!$O:$O,"received",'Shipments data'!$F:$F,Dashboard!$Y80,'Shipments data'!$A:$A,Start!$D$7),"")</f>
        <v>0</v>
      </c>
      <c r="AF80" s="198" t="str">
        <f>IFERROR(AVERAGEIFS('Shipments data'!$Z:$Z,'Shipments data'!$O:$O,"received",'Shipments data'!$F:$F,Dashboard!$Y80,'Shipments data'!$A:$A,Start!$D$7),"")</f>
        <v/>
      </c>
      <c r="AH80" s="158" t="str">
        <f>IF(Start!$C24="","",Start!$C24)</f>
        <v/>
      </c>
      <c r="AI80" s="158">
        <f>SUMIFS('Shipments data'!$L:$L,'Shipments data'!$O:$O,Dashboard!$AI$71,'Shipments data'!$F:$F,Dashboard!$AH80,'Shipments data'!$A:$A,Start!$D$7,'Shipments data'!$R:$R,Dashboard!AI$72)</f>
        <v>0</v>
      </c>
      <c r="AJ80" s="158">
        <f>SUMIFS('Shipments data'!$L:$L,'Shipments data'!$O:$O,Dashboard!$AI$71,'Shipments data'!$F:$F,Dashboard!$AH80,'Shipments data'!$A:$A,Start!$D$7,'Shipments data'!$R:$R,Dashboard!AJ$72)</f>
        <v>0</v>
      </c>
      <c r="AK80" s="158">
        <f>SUMIFS('Shipments data'!$L:$L,'Shipments data'!$O:$O,Dashboard!$AI$71,'Shipments data'!$F:$F,Dashboard!$AH80,'Shipments data'!$A:$A,Start!$D$7,'Shipments data'!$R:$R,Dashboard!AK$72)</f>
        <v>0</v>
      </c>
      <c r="AL80" s="158">
        <f>SUMIFS('Shipments data'!$L:$L,'Shipments data'!$O:$O,Dashboard!$AI$71,'Shipments data'!$F:$F,Dashboard!$AH80,'Shipments data'!$A:$A,Start!$D$7,'Shipments data'!$R:$R,Dashboard!AL$72)</f>
        <v>0</v>
      </c>
      <c r="AM80" s="498">
        <f t="shared" si="18"/>
        <v>0</v>
      </c>
      <c r="AO80" s="158" t="str">
        <f>IF(Start!$C24="","",Start!$C24)</f>
        <v/>
      </c>
      <c r="AP80" s="158" t="str">
        <f>IFERROR(AVERAGEIFS('Shipments data'!$AD:$AD,'Shipments data'!$F:$F,Dashboard!$Y80,'Shipments data'!$A:$A,Start!$D$7),"")</f>
        <v/>
      </c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</row>
    <row r="81" spans="2:86" ht="15" x14ac:dyDescent="0.25">
      <c r="B81" s="51"/>
      <c r="F81" s="51"/>
      <c r="O81" s="133" t="str">
        <f>IF(Start!$C25="","",Start!$C25)</f>
        <v/>
      </c>
      <c r="P81" s="403" t="str">
        <f>_xlfn.IFNA(DataViz!Y142,"")</f>
        <v/>
      </c>
      <c r="Q81" s="403" t="str">
        <f>_xlfn.IFNA(DataViz!Z142,"")</f>
        <v/>
      </c>
      <c r="R81" s="403" t="str">
        <f>_xlfn.IFNA(DataViz!AA142,"")</f>
        <v/>
      </c>
      <c r="S81" s="403" t="str">
        <f>_xlfn.IFNA(DataViz!AB142,"")</f>
        <v/>
      </c>
      <c r="T81" s="403" t="str">
        <f>_xlfn.IFNA(DataViz!AC142,"")</f>
        <v/>
      </c>
      <c r="U81" s="403" t="str">
        <f>_xlfn.IFNA(DataViz!AD142,"")</f>
        <v/>
      </c>
      <c r="V81" s="404" t="str">
        <f>_xlfn.IFNA(DataViz!AE142,"")</f>
        <v/>
      </c>
      <c r="W81" s="405" t="str">
        <f t="shared" si="17"/>
        <v/>
      </c>
      <c r="Y81" s="133" t="str">
        <f>IF(Start!$C25="","",Start!$C25)</f>
        <v/>
      </c>
      <c r="Z81" s="133">
        <f>SUMIFS('Shipments data'!$L:$L,'Shipments data'!$O:$O,"received",'Shipments data'!$F:$F,Dashboard!$Y81,'Shipments data'!$A:$A,Start!$D$7)</f>
        <v>0</v>
      </c>
      <c r="AA81" s="133">
        <f>SUMIFS('Shipments data'!$L:$L,'Shipments data'!$O:$O,"ordered",'Shipments data'!$F:$F,Dashboard!$Y81,'Shipments data'!$A:$A,Start!$D$7)</f>
        <v>0</v>
      </c>
      <c r="AC81" s="158" t="str">
        <f>IF(Start!$C25="","",Start!$C25)</f>
        <v/>
      </c>
      <c r="AD81" s="199">
        <f>IFERROR(_xlfn.MINIFS('Shipments data'!$Z:$Z,'Shipments data'!$O:$O,"received",'Shipments data'!$F:$F,Dashboard!$Y81,'Shipments data'!$A:$A,Start!$D$7),0)</f>
        <v>0</v>
      </c>
      <c r="AE81" s="199">
        <f>IFERROR(_xlfn.MAXIFS('Shipments data'!$Z:$Z,'Shipments data'!$O:$O,"received",'Shipments data'!$F:$F,Dashboard!$Y81,'Shipments data'!$A:$A,Start!$D$7),"")</f>
        <v>0</v>
      </c>
      <c r="AF81" s="199" t="str">
        <f>IFERROR(AVERAGEIFS('Shipments data'!$Z:$Z,'Shipments data'!$O:$O,"received",'Shipments data'!$F:$F,Dashboard!$Y81,'Shipments data'!$A:$A,Start!$D$7),"")</f>
        <v/>
      </c>
      <c r="AH81" s="133" t="str">
        <f>IF(Start!$C25="","",Start!$C25)</f>
        <v/>
      </c>
      <c r="AI81" s="133">
        <f>SUMIFS('Shipments data'!$L:$L,'Shipments data'!$O:$O,Dashboard!$AI$71,'Shipments data'!$F:$F,Dashboard!$AH81,'Shipments data'!$A:$A,Start!$D$7,'Shipments data'!$R:$R,Dashboard!AI$72)</f>
        <v>0</v>
      </c>
      <c r="AJ81" s="133">
        <f>SUMIFS('Shipments data'!$L:$L,'Shipments data'!$O:$O,Dashboard!$AI$71,'Shipments data'!$F:$F,Dashboard!$AH81,'Shipments data'!$A:$A,Start!$D$7,'Shipments data'!$R:$R,Dashboard!AJ$72)</f>
        <v>0</v>
      </c>
      <c r="AK81" s="133">
        <f>SUMIFS('Shipments data'!$L:$L,'Shipments data'!$O:$O,Dashboard!$AI$71,'Shipments data'!$F:$F,Dashboard!$AH81,'Shipments data'!$A:$A,Start!$D$7,'Shipments data'!$R:$R,Dashboard!AK$72)</f>
        <v>0</v>
      </c>
      <c r="AL81" s="133">
        <f>SUMIFS('Shipments data'!$L:$L,'Shipments data'!$O:$O,Dashboard!$AI$71,'Shipments data'!$F:$F,Dashboard!$AH81,'Shipments data'!$A:$A,Start!$D$7,'Shipments data'!$R:$R,Dashboard!AL$72)</f>
        <v>0</v>
      </c>
      <c r="AM81" s="499">
        <f t="shared" si="18"/>
        <v>0</v>
      </c>
      <c r="AO81" s="133" t="str">
        <f>IF(Start!$C25="","",Start!$C25)</f>
        <v/>
      </c>
      <c r="AP81" s="133" t="str">
        <f>IFERROR(AVERAGEIFS('Shipments data'!$AD:$AD,'Shipments data'!$F:$F,Dashboard!$Y81,'Shipments data'!$A:$A,Start!$D$7),"")</f>
        <v/>
      </c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</row>
    <row r="82" spans="2:86" ht="15" x14ac:dyDescent="0.25">
      <c r="B82" s="51"/>
      <c r="F82" s="51"/>
      <c r="O82" s="158" t="str">
        <f>IF(Start!$C26="","",Start!$C26)</f>
        <v/>
      </c>
      <c r="P82" s="400" t="str">
        <f>_xlfn.IFNA(DataViz!Y143,"")</f>
        <v/>
      </c>
      <c r="Q82" s="400" t="str">
        <f>_xlfn.IFNA(DataViz!Z143,"")</f>
        <v/>
      </c>
      <c r="R82" s="400" t="str">
        <f>_xlfn.IFNA(DataViz!AA143,"")</f>
        <v/>
      </c>
      <c r="S82" s="400" t="str">
        <f>_xlfn.IFNA(DataViz!AB143,"")</f>
        <v/>
      </c>
      <c r="T82" s="400" t="str">
        <f>_xlfn.IFNA(DataViz!AC143,"")</f>
        <v/>
      </c>
      <c r="U82" s="400" t="str">
        <f>_xlfn.IFNA(DataViz!AD143,"")</f>
        <v/>
      </c>
      <c r="V82" s="401" t="str">
        <f>_xlfn.IFNA(DataViz!AE143,"")</f>
        <v/>
      </c>
      <c r="W82" s="402" t="str">
        <f t="shared" si="17"/>
        <v/>
      </c>
      <c r="Y82" s="158" t="str">
        <f>IF(Start!$C26="","",Start!$C26)</f>
        <v/>
      </c>
      <c r="Z82" s="158">
        <f>SUMIFS('Shipments data'!$L:$L,'Shipments data'!$O:$O,"received",'Shipments data'!$F:$F,Dashboard!$Y82,'Shipments data'!$A:$A,Start!$D$7)</f>
        <v>0</v>
      </c>
      <c r="AA82" s="158">
        <f>SUMIFS('Shipments data'!$L:$L,'Shipments data'!$O:$O,"ordered",'Shipments data'!$F:$F,Dashboard!$Y82,'Shipments data'!$A:$A,Start!$D$7)</f>
        <v>0</v>
      </c>
      <c r="AC82" s="158" t="str">
        <f>IF(Start!$C26="","",Start!$C26)</f>
        <v/>
      </c>
      <c r="AD82" s="198">
        <f>IFERROR(_xlfn.MINIFS('Shipments data'!$Z:$Z,'Shipments data'!$O:$O,"received",'Shipments data'!$F:$F,Dashboard!$Y82,'Shipments data'!$A:$A,Start!$D$7),0)</f>
        <v>0</v>
      </c>
      <c r="AE82" s="198">
        <f>IFERROR(_xlfn.MAXIFS('Shipments data'!$Z:$Z,'Shipments data'!$O:$O,"received",'Shipments data'!$F:$F,Dashboard!$Y82,'Shipments data'!$A:$A,Start!$D$7),"")</f>
        <v>0</v>
      </c>
      <c r="AF82" s="198" t="str">
        <f>IFERROR(AVERAGEIFS('Shipments data'!$Z:$Z,'Shipments data'!$O:$O,"received",'Shipments data'!$F:$F,Dashboard!$Y82,'Shipments data'!$A:$A,Start!$D$7),"")</f>
        <v/>
      </c>
      <c r="AH82" s="158" t="str">
        <f>IF(Start!$C26="","",Start!$C26)</f>
        <v/>
      </c>
      <c r="AI82" s="158">
        <f>SUMIFS('Shipments data'!$L:$L,'Shipments data'!$O:$O,Dashboard!$AI$71,'Shipments data'!$F:$F,Dashboard!$AH82,'Shipments data'!$A:$A,Start!$D$7,'Shipments data'!$R:$R,Dashboard!AI$72)</f>
        <v>0</v>
      </c>
      <c r="AJ82" s="158">
        <f>SUMIFS('Shipments data'!$L:$L,'Shipments data'!$O:$O,Dashboard!$AI$71,'Shipments data'!$F:$F,Dashboard!$AH82,'Shipments data'!$A:$A,Start!$D$7,'Shipments data'!$R:$R,Dashboard!AJ$72)</f>
        <v>0</v>
      </c>
      <c r="AK82" s="158">
        <f>SUMIFS('Shipments data'!$L:$L,'Shipments data'!$O:$O,Dashboard!$AI$71,'Shipments data'!$F:$F,Dashboard!$AH82,'Shipments data'!$A:$A,Start!$D$7,'Shipments data'!$R:$R,Dashboard!AK$72)</f>
        <v>0</v>
      </c>
      <c r="AL82" s="158">
        <f>SUMIFS('Shipments data'!$L:$L,'Shipments data'!$O:$O,Dashboard!$AI$71,'Shipments data'!$F:$F,Dashboard!$AH82,'Shipments data'!$A:$A,Start!$D$7,'Shipments data'!$R:$R,Dashboard!AL$72)</f>
        <v>0</v>
      </c>
      <c r="AM82" s="498">
        <f t="shared" si="18"/>
        <v>0</v>
      </c>
      <c r="AO82" s="158" t="str">
        <f>IF(Start!$C26="","",Start!$C26)</f>
        <v/>
      </c>
      <c r="AP82" s="158" t="str">
        <f>IFERROR(AVERAGEIFS('Shipments data'!$AD:$AD,'Shipments data'!$F:$F,Dashboard!$Y82,'Shipments data'!$A:$A,Start!$D$7),"")</f>
        <v/>
      </c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</row>
    <row r="83" spans="2:86" ht="15" x14ac:dyDescent="0.25">
      <c r="B83" s="51"/>
      <c r="F83" s="51"/>
      <c r="O83" s="133" t="str">
        <f>IF(Start!$C27="","",Start!$C27)</f>
        <v/>
      </c>
      <c r="P83" s="403" t="str">
        <f>_xlfn.IFNA(DataViz!Y144,"")</f>
        <v/>
      </c>
      <c r="Q83" s="403" t="str">
        <f>_xlfn.IFNA(DataViz!Z144,"")</f>
        <v/>
      </c>
      <c r="R83" s="403" t="str">
        <f>_xlfn.IFNA(DataViz!AA144,"")</f>
        <v/>
      </c>
      <c r="S83" s="403" t="str">
        <f>_xlfn.IFNA(DataViz!AB144,"")</f>
        <v/>
      </c>
      <c r="T83" s="403" t="str">
        <f>_xlfn.IFNA(DataViz!AC144,"")</f>
        <v/>
      </c>
      <c r="U83" s="403" t="str">
        <f>_xlfn.IFNA(DataViz!AD144,"")</f>
        <v/>
      </c>
      <c r="V83" s="404" t="str">
        <f>_xlfn.IFNA(DataViz!AE144,"")</f>
        <v/>
      </c>
      <c r="W83" s="405" t="str">
        <f t="shared" si="17"/>
        <v/>
      </c>
      <c r="Y83" s="133" t="str">
        <f>IF(Start!$C27="","",Start!$C27)</f>
        <v/>
      </c>
      <c r="Z83" s="133">
        <f>SUMIFS('Shipments data'!$L:$L,'Shipments data'!$O:$O,"received",'Shipments data'!$F:$F,Dashboard!$Y83,'Shipments data'!$A:$A,Start!$D$7)</f>
        <v>0</v>
      </c>
      <c r="AA83" s="133">
        <f>SUMIFS('Shipments data'!$L:$L,'Shipments data'!$O:$O,"ordered",'Shipments data'!$F:$F,Dashboard!$Y83,'Shipments data'!$A:$A,Start!$D$7)</f>
        <v>0</v>
      </c>
      <c r="AC83" s="133" t="str">
        <f>IF(Start!$C27="","",Start!$C27)</f>
        <v/>
      </c>
      <c r="AD83" s="199">
        <f>IFERROR(_xlfn.MINIFS('Shipments data'!$Z:$Z,'Shipments data'!$O:$O,"received",'Shipments data'!$F:$F,Dashboard!$Y83,'Shipments data'!$A:$A,Start!$D$7),0)</f>
        <v>0</v>
      </c>
      <c r="AE83" s="199">
        <f>IFERROR(_xlfn.MAXIFS('Shipments data'!$Z:$Z,'Shipments data'!$O:$O,"received",'Shipments data'!$F:$F,Dashboard!$Y83,'Shipments data'!$A:$A,Start!$D$7),"")</f>
        <v>0</v>
      </c>
      <c r="AF83" s="199" t="str">
        <f>IFERROR(AVERAGEIFS('Shipments data'!$Z:$Z,'Shipments data'!$O:$O,"received",'Shipments data'!$F:$F,Dashboard!$Y83,'Shipments data'!$A:$A,Start!$D$7),"")</f>
        <v/>
      </c>
      <c r="AH83" s="133" t="str">
        <f>IF(Start!$C27="","",Start!$C27)</f>
        <v/>
      </c>
      <c r="AI83" s="133">
        <f>SUMIFS('Shipments data'!$L:$L,'Shipments data'!$O:$O,Dashboard!$AI$71,'Shipments data'!$F:$F,Dashboard!$AH83,'Shipments data'!$A:$A,Start!$D$7,'Shipments data'!$R:$R,Dashboard!AI$72)</f>
        <v>0</v>
      </c>
      <c r="AJ83" s="133">
        <f>SUMIFS('Shipments data'!$L:$L,'Shipments data'!$O:$O,Dashboard!$AI$71,'Shipments data'!$F:$F,Dashboard!$AH83,'Shipments data'!$A:$A,Start!$D$7,'Shipments data'!$R:$R,Dashboard!AJ$72)</f>
        <v>0</v>
      </c>
      <c r="AK83" s="133">
        <f>SUMIFS('Shipments data'!$L:$L,'Shipments data'!$O:$O,Dashboard!$AI$71,'Shipments data'!$F:$F,Dashboard!$AH83,'Shipments data'!$A:$A,Start!$D$7,'Shipments data'!$R:$R,Dashboard!AK$72)</f>
        <v>0</v>
      </c>
      <c r="AL83" s="133">
        <f>SUMIFS('Shipments data'!$L:$L,'Shipments data'!$O:$O,Dashboard!$AI$71,'Shipments data'!$F:$F,Dashboard!$AH83,'Shipments data'!$A:$A,Start!$D$7,'Shipments data'!$R:$R,Dashboard!AL$72)</f>
        <v>0</v>
      </c>
      <c r="AM83" s="499">
        <f t="shared" si="18"/>
        <v>0</v>
      </c>
      <c r="AO83" s="133" t="str">
        <f>IF(Start!$C27="","",Start!$C27)</f>
        <v/>
      </c>
      <c r="AP83" s="133" t="str">
        <f>IFERROR(AVERAGEIFS('Shipments data'!$AD:$AD,'Shipments data'!$F:$F,Dashboard!$Y83,'Shipments data'!$A:$A,Start!$D$7),"")</f>
        <v/>
      </c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</row>
    <row r="84" spans="2:86" ht="15" x14ac:dyDescent="0.25">
      <c r="B84" s="51"/>
      <c r="F84" s="51"/>
      <c r="O84" s="158" t="str">
        <f>IF(Start!$C28="","",Start!$C28)</f>
        <v/>
      </c>
      <c r="P84" s="400" t="str">
        <f>_xlfn.IFNA(DataViz!Y145,"")</f>
        <v/>
      </c>
      <c r="Q84" s="400" t="str">
        <f>_xlfn.IFNA(DataViz!Z145,"")</f>
        <v/>
      </c>
      <c r="R84" s="400" t="str">
        <f>_xlfn.IFNA(DataViz!AA145,"")</f>
        <v/>
      </c>
      <c r="S84" s="400" t="str">
        <f>_xlfn.IFNA(DataViz!AB145,"")</f>
        <v/>
      </c>
      <c r="T84" s="400" t="str">
        <f>_xlfn.IFNA(DataViz!AC145,"")</f>
        <v/>
      </c>
      <c r="U84" s="400" t="str">
        <f>_xlfn.IFNA(DataViz!AD145,"")</f>
        <v/>
      </c>
      <c r="V84" s="401" t="str">
        <f>_xlfn.IFNA(DataViz!AE145,"")</f>
        <v/>
      </c>
      <c r="W84" s="402" t="str">
        <f t="shared" si="17"/>
        <v/>
      </c>
      <c r="Y84" s="158" t="str">
        <f>IF(Start!$C28="","",Start!$C28)</f>
        <v/>
      </c>
      <c r="Z84" s="158">
        <f>SUMIFS('Shipments data'!$L:$L,'Shipments data'!$O:$O,"received",'Shipments data'!$F:$F,Dashboard!$Y84,'Shipments data'!$A:$A,Start!$D$7)</f>
        <v>0</v>
      </c>
      <c r="AA84" s="158">
        <f>SUMIFS('Shipments data'!$L:$L,'Shipments data'!$O:$O,"ordered",'Shipments data'!$F:$F,Dashboard!$Y84,'Shipments data'!$A:$A,Start!$D$7)</f>
        <v>0</v>
      </c>
      <c r="AC84" s="158" t="str">
        <f>IF(Start!$C28="","",Start!$C28)</f>
        <v/>
      </c>
      <c r="AD84" s="198">
        <f>IFERROR(_xlfn.MINIFS('Shipments data'!$Z:$Z,'Shipments data'!$O:$O,"received",'Shipments data'!$F:$F,Dashboard!$Y84,'Shipments data'!$A:$A,Start!$D$7),0)</f>
        <v>0</v>
      </c>
      <c r="AE84" s="198">
        <f>IFERROR(_xlfn.MAXIFS('Shipments data'!$Z:$Z,'Shipments data'!$O:$O,"received",'Shipments data'!$F:$F,Dashboard!$Y84,'Shipments data'!$A:$A,Start!$D$7),"")</f>
        <v>0</v>
      </c>
      <c r="AF84" s="198" t="str">
        <f>IFERROR(AVERAGEIFS('Shipments data'!$Z:$Z,'Shipments data'!$O:$O,"received",'Shipments data'!$F:$F,Dashboard!$Y84,'Shipments data'!$A:$A,Start!$D$7),"")</f>
        <v/>
      </c>
      <c r="AH84" s="158" t="str">
        <f>IF(Start!$C28="","",Start!$C28)</f>
        <v/>
      </c>
      <c r="AI84" s="158">
        <f>SUMIFS('Shipments data'!$L:$L,'Shipments data'!$O:$O,Dashboard!$AI$71,'Shipments data'!$F:$F,Dashboard!$AH84,'Shipments data'!$A:$A,Start!$D$7,'Shipments data'!$R:$R,Dashboard!AI$72)</f>
        <v>0</v>
      </c>
      <c r="AJ84" s="158">
        <f>SUMIFS('Shipments data'!$L:$L,'Shipments data'!$O:$O,Dashboard!$AI$71,'Shipments data'!$F:$F,Dashboard!$AH84,'Shipments data'!$A:$A,Start!$D$7,'Shipments data'!$R:$R,Dashboard!AJ$72)</f>
        <v>0</v>
      </c>
      <c r="AK84" s="158">
        <f>SUMIFS('Shipments data'!$L:$L,'Shipments data'!$O:$O,Dashboard!$AI$71,'Shipments data'!$F:$F,Dashboard!$AH84,'Shipments data'!$A:$A,Start!$D$7,'Shipments data'!$R:$R,Dashboard!AK$72)</f>
        <v>0</v>
      </c>
      <c r="AL84" s="158">
        <f>SUMIFS('Shipments data'!$L:$L,'Shipments data'!$O:$O,Dashboard!$AI$71,'Shipments data'!$F:$F,Dashboard!$AH84,'Shipments data'!$A:$A,Start!$D$7,'Shipments data'!$R:$R,Dashboard!AL$72)</f>
        <v>0</v>
      </c>
      <c r="AM84" s="498">
        <f t="shared" si="18"/>
        <v>0</v>
      </c>
      <c r="AO84" s="158" t="str">
        <f>IF(Start!$C28="","",Start!$C28)</f>
        <v/>
      </c>
      <c r="AP84" s="158" t="str">
        <f>IFERROR(AVERAGEIFS('Shipments data'!$AD:$AD,'Shipments data'!$F:$F,Dashboard!$Y84,'Shipments data'!$A:$A,Start!$D$7),"")</f>
        <v/>
      </c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</row>
    <row r="85" spans="2:86" ht="15" x14ac:dyDescent="0.25">
      <c r="B85" s="51"/>
      <c r="F85" s="51"/>
      <c r="O85" s="133" t="str">
        <f>IF(Start!$C29="","",Start!$C29)</f>
        <v/>
      </c>
      <c r="P85" s="403" t="str">
        <f>_xlfn.IFNA(DataViz!Y146,"")</f>
        <v/>
      </c>
      <c r="Q85" s="403" t="str">
        <f>_xlfn.IFNA(DataViz!Z146,"")</f>
        <v/>
      </c>
      <c r="R85" s="403" t="str">
        <f>_xlfn.IFNA(DataViz!AA146,"")</f>
        <v/>
      </c>
      <c r="S85" s="403" t="str">
        <f>_xlfn.IFNA(DataViz!AB146,"")</f>
        <v/>
      </c>
      <c r="T85" s="403" t="str">
        <f>_xlfn.IFNA(DataViz!AC146,"")</f>
        <v/>
      </c>
      <c r="U85" s="403" t="str">
        <f>_xlfn.IFNA(DataViz!AD146,"")</f>
        <v/>
      </c>
      <c r="V85" s="404" t="str">
        <f>_xlfn.IFNA(DataViz!AE146,"")</f>
        <v/>
      </c>
      <c r="W85" s="405" t="str">
        <f t="shared" si="17"/>
        <v/>
      </c>
      <c r="Y85" s="133" t="str">
        <f>IF(Start!$C29="","",Start!$C29)</f>
        <v/>
      </c>
      <c r="Z85" s="133">
        <f>SUMIFS('Shipments data'!$L:$L,'Shipments data'!$O:$O,"received",'Shipments data'!$F:$F,Dashboard!$Y85,'Shipments data'!$A:$A,Start!$D$7)</f>
        <v>0</v>
      </c>
      <c r="AA85" s="133">
        <f>SUMIFS('Shipments data'!$L:$L,'Shipments data'!$O:$O,"ordered",'Shipments data'!$F:$F,Dashboard!$Y85,'Shipments data'!$A:$A,Start!$D$7)</f>
        <v>0</v>
      </c>
      <c r="AC85" s="133" t="str">
        <f>IF(Start!$C29="","",Start!$C29)</f>
        <v/>
      </c>
      <c r="AD85" s="199">
        <f>IFERROR(_xlfn.MINIFS('Shipments data'!$Z:$Z,'Shipments data'!$O:$O,"received",'Shipments data'!$F:$F,Dashboard!$Y85,'Shipments data'!$A:$A,Start!$D$7),0)</f>
        <v>0</v>
      </c>
      <c r="AE85" s="199">
        <f>IFERROR(_xlfn.MAXIFS('Shipments data'!$Z:$Z,'Shipments data'!$O:$O,"received",'Shipments data'!$F:$F,Dashboard!$Y85,'Shipments data'!$A:$A,Start!$D$7),"")</f>
        <v>0</v>
      </c>
      <c r="AF85" s="199" t="str">
        <f>IFERROR(AVERAGEIFS('Shipments data'!$Z:$Z,'Shipments data'!$O:$O,"received",'Shipments data'!$F:$F,Dashboard!$Y85,'Shipments data'!$A:$A,Start!$D$7),"")</f>
        <v/>
      </c>
      <c r="AH85" s="133" t="str">
        <f>IF(Start!$C29="","",Start!$C29)</f>
        <v/>
      </c>
      <c r="AI85" s="133">
        <f>SUMIFS('Shipments data'!$L:$L,'Shipments data'!$O:$O,Dashboard!$AI$71,'Shipments data'!$F:$F,Dashboard!$AH85,'Shipments data'!$A:$A,Start!$D$7,'Shipments data'!$R:$R,Dashboard!AI$72)</f>
        <v>0</v>
      </c>
      <c r="AJ85" s="133">
        <f>SUMIFS('Shipments data'!$L:$L,'Shipments data'!$O:$O,Dashboard!$AI$71,'Shipments data'!$F:$F,Dashboard!$AH85,'Shipments data'!$A:$A,Start!$D$7,'Shipments data'!$R:$R,Dashboard!AJ$72)</f>
        <v>0</v>
      </c>
      <c r="AK85" s="133">
        <f>SUMIFS('Shipments data'!$L:$L,'Shipments data'!$O:$O,Dashboard!$AI$71,'Shipments data'!$F:$F,Dashboard!$AH85,'Shipments data'!$A:$A,Start!$D$7,'Shipments data'!$R:$R,Dashboard!AK$72)</f>
        <v>0</v>
      </c>
      <c r="AL85" s="133">
        <f>SUMIFS('Shipments data'!$L:$L,'Shipments data'!$O:$O,Dashboard!$AI$71,'Shipments data'!$F:$F,Dashboard!$AH85,'Shipments data'!$A:$A,Start!$D$7,'Shipments data'!$R:$R,Dashboard!AL$72)</f>
        <v>0</v>
      </c>
      <c r="AM85" s="499">
        <f t="shared" si="18"/>
        <v>0</v>
      </c>
      <c r="AO85" s="133" t="str">
        <f>IF(Start!$C29="","",Start!$C29)</f>
        <v/>
      </c>
      <c r="AP85" s="133" t="str">
        <f>IFERROR(AVERAGEIFS('Shipments data'!$AD:$AD,'Shipments data'!$F:$F,Dashboard!$Y85,'Shipments data'!$A:$A,Start!$D$7),"")</f>
        <v/>
      </c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</row>
    <row r="86" spans="2:86" ht="15" x14ac:dyDescent="0.25">
      <c r="B86" s="51"/>
      <c r="F86" s="51"/>
      <c r="O86" s="158" t="str">
        <f>IF(Start!$C30="","",Start!$C30)</f>
        <v/>
      </c>
      <c r="P86" s="400" t="str">
        <f>_xlfn.IFNA(DataViz!Y147,"")</f>
        <v/>
      </c>
      <c r="Q86" s="400" t="str">
        <f>_xlfn.IFNA(DataViz!Z147,"")</f>
        <v/>
      </c>
      <c r="R86" s="400" t="str">
        <f>_xlfn.IFNA(DataViz!AA147,"")</f>
        <v/>
      </c>
      <c r="S86" s="400" t="str">
        <f>_xlfn.IFNA(DataViz!AB147,"")</f>
        <v/>
      </c>
      <c r="T86" s="400" t="str">
        <f>_xlfn.IFNA(DataViz!AC147,"")</f>
        <v/>
      </c>
      <c r="U86" s="400" t="str">
        <f>_xlfn.IFNA(DataViz!AD147,"")</f>
        <v/>
      </c>
      <c r="V86" s="401" t="str">
        <f>_xlfn.IFNA(DataViz!AE147,"")</f>
        <v/>
      </c>
      <c r="W86" s="402" t="str">
        <f t="shared" si="17"/>
        <v/>
      </c>
      <c r="Y86" s="158" t="str">
        <f>IF(Start!$C30="","",Start!$C30)</f>
        <v/>
      </c>
      <c r="Z86" s="158">
        <f>SUMIFS('Shipments data'!$L:$L,'Shipments data'!$O:$O,"received",'Shipments data'!$F:$F,Dashboard!$Y86,'Shipments data'!$A:$A,Start!$D$7)</f>
        <v>0</v>
      </c>
      <c r="AA86" s="158">
        <f>SUMIFS('Shipments data'!$L:$L,'Shipments data'!$O:$O,"ordered",'Shipments data'!$F:$F,Dashboard!$Y86,'Shipments data'!$A:$A,Start!$D$7)</f>
        <v>0</v>
      </c>
      <c r="AC86" s="158" t="str">
        <f>IF(Start!$C30="","",Start!$C30)</f>
        <v/>
      </c>
      <c r="AD86" s="198">
        <f>IFERROR(_xlfn.MINIFS('Shipments data'!$Z:$Z,'Shipments data'!$O:$O,"received",'Shipments data'!$F:$F,Dashboard!$Y86,'Shipments data'!$A:$A,Start!$D$7),0)</f>
        <v>0</v>
      </c>
      <c r="AE86" s="198">
        <f>IFERROR(_xlfn.MAXIFS('Shipments data'!$Z:$Z,'Shipments data'!$O:$O,"received",'Shipments data'!$F:$F,Dashboard!$Y86,'Shipments data'!$A:$A,Start!$D$7),"")</f>
        <v>0</v>
      </c>
      <c r="AF86" s="198" t="str">
        <f>IFERROR(AVERAGEIFS('Shipments data'!$Z:$Z,'Shipments data'!$O:$O,"received",'Shipments data'!$F:$F,Dashboard!$Y86,'Shipments data'!$A:$A,Start!$D$7),"")</f>
        <v/>
      </c>
      <c r="AH86" s="158" t="str">
        <f>IF(Start!$C30="","",Start!$C30)</f>
        <v/>
      </c>
      <c r="AI86" s="158">
        <f>SUMIFS('Shipments data'!$L:$L,'Shipments data'!$O:$O,Dashboard!$AI$71,'Shipments data'!$F:$F,Dashboard!$AH86,'Shipments data'!$A:$A,Start!$D$7,'Shipments data'!$R:$R,Dashboard!AI$72)</f>
        <v>0</v>
      </c>
      <c r="AJ86" s="158">
        <f>SUMIFS('Shipments data'!$L:$L,'Shipments data'!$O:$O,Dashboard!$AI$71,'Shipments data'!$F:$F,Dashboard!$AH86,'Shipments data'!$A:$A,Start!$D$7,'Shipments data'!$R:$R,Dashboard!AJ$72)</f>
        <v>0</v>
      </c>
      <c r="AK86" s="158">
        <f>SUMIFS('Shipments data'!$L:$L,'Shipments data'!$O:$O,Dashboard!$AI$71,'Shipments data'!$F:$F,Dashboard!$AH86,'Shipments data'!$A:$A,Start!$D$7,'Shipments data'!$R:$R,Dashboard!AK$72)</f>
        <v>0</v>
      </c>
      <c r="AL86" s="158">
        <f>SUMIFS('Shipments data'!$L:$L,'Shipments data'!$O:$O,Dashboard!$AI$71,'Shipments data'!$F:$F,Dashboard!$AH86,'Shipments data'!$A:$A,Start!$D$7,'Shipments data'!$R:$R,Dashboard!AL$72)</f>
        <v>0</v>
      </c>
      <c r="AM86" s="498">
        <f t="shared" si="18"/>
        <v>0</v>
      </c>
      <c r="AO86" s="158" t="str">
        <f>IF(Start!$C30="","",Start!$C30)</f>
        <v/>
      </c>
      <c r="AP86" s="158" t="str">
        <f>IFERROR(AVERAGEIFS('Shipments data'!$AD:$AD,'Shipments data'!$F:$F,Dashboard!$Y86,'Shipments data'!$A:$A,Start!$D$7),"")</f>
        <v/>
      </c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</row>
    <row r="87" spans="2:86" ht="15.75" thickBot="1" x14ac:dyDescent="0.3">
      <c r="B87" s="51"/>
      <c r="F87" s="51"/>
      <c r="O87" s="134" t="str">
        <f>IF(Start!$C31="","",Start!$C31)</f>
        <v/>
      </c>
      <c r="P87" s="406" t="str">
        <f>_xlfn.IFNA(DataViz!Y148,"")</f>
        <v/>
      </c>
      <c r="Q87" s="406" t="str">
        <f>_xlfn.IFNA(DataViz!Z148,"")</f>
        <v/>
      </c>
      <c r="R87" s="406" t="str">
        <f>_xlfn.IFNA(DataViz!AA148,"")</f>
        <v/>
      </c>
      <c r="S87" s="406" t="str">
        <f>_xlfn.IFNA(DataViz!AB148,"")</f>
        <v/>
      </c>
      <c r="T87" s="406" t="str">
        <f>_xlfn.IFNA(DataViz!AC148,"")</f>
        <v/>
      </c>
      <c r="U87" s="406" t="str">
        <f>_xlfn.IFNA(DataViz!AD148,"")</f>
        <v/>
      </c>
      <c r="V87" s="407" t="str">
        <f>_xlfn.IFNA(DataViz!AE148,"")</f>
        <v/>
      </c>
      <c r="W87" s="408" t="str">
        <f t="shared" si="17"/>
        <v/>
      </c>
      <c r="Y87" s="134" t="str">
        <f>IF(Start!$C31="","",Start!$C31)</f>
        <v/>
      </c>
      <c r="Z87" s="134">
        <f>SUMIFS('Shipments data'!$L:$L,'Shipments data'!$O:$O,"received",'Shipments data'!$F:$F,Dashboard!$Y87,'Shipments data'!$A:$A,Start!$D$7)</f>
        <v>0</v>
      </c>
      <c r="AA87" s="134">
        <f>SUMIFS('Shipments data'!$L:$L,'Shipments data'!$O:$O,"ordered",'Shipments data'!$F:$F,Dashboard!$Y87,'Shipments data'!$A:$A,Start!$D$7)</f>
        <v>0</v>
      </c>
      <c r="AC87" s="134" t="str">
        <f>IF(Start!$C31="","",Start!$C31)</f>
        <v/>
      </c>
      <c r="AD87" s="200">
        <f>IFERROR(_xlfn.MINIFS('Shipments data'!$Z:$Z,'Shipments data'!$O:$O,"received",'Shipments data'!$F:$F,Dashboard!$Y87,'Shipments data'!$A:$A,Start!$D$7),0)</f>
        <v>0</v>
      </c>
      <c r="AE87" s="200">
        <f>IFERROR(_xlfn.MAXIFS('Shipments data'!$Z:$Z,'Shipments data'!$O:$O,"received",'Shipments data'!$F:$F,Dashboard!$Y87,'Shipments data'!$A:$A,Start!$D$7),"")</f>
        <v>0</v>
      </c>
      <c r="AF87" s="200" t="str">
        <f>IFERROR(AVERAGEIFS('Shipments data'!$Z:$Z,'Shipments data'!$O:$O,"received",'Shipments data'!$F:$F,Dashboard!$Y87,'Shipments data'!$A:$A,Start!$D$7),"")</f>
        <v/>
      </c>
      <c r="AH87" s="134" t="str">
        <f>IF(Start!$C31="","",Start!$C31)</f>
        <v/>
      </c>
      <c r="AI87" s="134">
        <f>SUMIFS('Shipments data'!$L:$L,'Shipments data'!$O:$O,Dashboard!$AI$71,'Shipments data'!$F:$F,Dashboard!$AH87,'Shipments data'!$A:$A,Start!$D$7,'Shipments data'!$R:$R,Dashboard!AI$72)</f>
        <v>0</v>
      </c>
      <c r="AJ87" s="134">
        <f>SUMIFS('Shipments data'!$L:$L,'Shipments data'!$O:$O,Dashboard!$AI$71,'Shipments data'!$F:$F,Dashboard!$AH87,'Shipments data'!$A:$A,Start!$D$7,'Shipments data'!$R:$R,Dashboard!AJ$72)</f>
        <v>0</v>
      </c>
      <c r="AK87" s="134">
        <f>SUMIFS('Shipments data'!$L:$L,'Shipments data'!$O:$O,Dashboard!$AI$71,'Shipments data'!$F:$F,Dashboard!$AH87,'Shipments data'!$A:$A,Start!$D$7,'Shipments data'!$R:$R,Dashboard!AK$72)</f>
        <v>0</v>
      </c>
      <c r="AL87" s="134">
        <f>SUMIFS('Shipments data'!$L:$L,'Shipments data'!$O:$O,Dashboard!$AI$71,'Shipments data'!$F:$F,Dashboard!$AH87,'Shipments data'!$A:$A,Start!$D$7,'Shipments data'!$R:$R,Dashboard!AL$72)</f>
        <v>0</v>
      </c>
      <c r="AM87" s="500">
        <f t="shared" si="18"/>
        <v>0</v>
      </c>
      <c r="AO87" s="134" t="str">
        <f>IF(Start!$C31="","",Start!$C31)</f>
        <v/>
      </c>
      <c r="AP87" s="134" t="str">
        <f>IFERROR(AVERAGEIFS('Shipments data'!$AD:$AD,'Shipments data'!$F:$F,Dashboard!$Y87,'Shipments data'!$A:$A,Start!$D$7),"")</f>
        <v/>
      </c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</row>
    <row r="88" spans="2:86" ht="15" x14ac:dyDescent="0.25">
      <c r="B88" s="51"/>
      <c r="F88" s="51"/>
      <c r="O88" s="461" t="s">
        <v>226</v>
      </c>
      <c r="P88" s="451">
        <f>SUM(P73:P87)</f>
        <v>0</v>
      </c>
      <c r="Q88" s="462">
        <f t="shared" ref="Q88:U88" si="19">SUM(Q73:Q87)</f>
        <v>0</v>
      </c>
      <c r="R88" s="409">
        <f t="shared" si="19"/>
        <v>321197</v>
      </c>
      <c r="S88" s="462">
        <f t="shared" si="19"/>
        <v>0</v>
      </c>
      <c r="T88" s="461">
        <f t="shared" si="19"/>
        <v>0</v>
      </c>
      <c r="U88" s="463">
        <f t="shared" si="19"/>
        <v>0</v>
      </c>
      <c r="V88" s="461">
        <f>SUM(V73:V87)</f>
        <v>0</v>
      </c>
      <c r="W88" s="409">
        <f>SUM(W73:W87)</f>
        <v>321197</v>
      </c>
      <c r="Y88" s="458" t="s">
        <v>226</v>
      </c>
      <c r="Z88" s="459">
        <f>SUM(Z73:Z87)</f>
        <v>5120670</v>
      </c>
      <c r="AA88" s="459">
        <f>SUM(AA73:AA87)</f>
        <v>3000000</v>
      </c>
      <c r="AB88" s="439"/>
      <c r="AC88" s="453"/>
      <c r="AD88" s="453"/>
      <c r="AE88" s="453"/>
      <c r="AF88" s="460"/>
      <c r="AG88" s="453"/>
      <c r="AH88" s="458" t="s">
        <v>226</v>
      </c>
      <c r="AI88" s="459">
        <f>SUM(AI73:AI87)</f>
        <v>200000</v>
      </c>
      <c r="AJ88" s="459">
        <f>SUM(AJ73:AJ87)</f>
        <v>3136100</v>
      </c>
      <c r="AK88" s="459">
        <f>SUM(AK73:AK87)</f>
        <v>0</v>
      </c>
      <c r="AL88" s="459">
        <f>SUM(AL73:AL87)</f>
        <v>1784570</v>
      </c>
      <c r="AM88" s="448">
        <f>SUM(AM73:AM87)</f>
        <v>5120670</v>
      </c>
      <c r="AO88" s="448" t="s">
        <v>282</v>
      </c>
      <c r="AP88" s="409">
        <f>IFERROR(AVERAGEIFS('Shipments data'!$AD:$AD,'Shipments data'!$A:$A,Start!$D$7),"")</f>
        <v>2</v>
      </c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</row>
    <row r="89" spans="2:86" ht="15" x14ac:dyDescent="0.25">
      <c r="B89" s="51"/>
      <c r="F89" s="51"/>
      <c r="Q89" s="51"/>
      <c r="R89" s="51"/>
      <c r="S89" s="51"/>
      <c r="T89" s="51"/>
      <c r="U89" s="48"/>
      <c r="V89" s="48"/>
      <c r="W89" s="48"/>
      <c r="AN89" s="166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</row>
    <row r="90" spans="2:86" ht="15" x14ac:dyDescent="0.25">
      <c r="B90" s="51"/>
      <c r="F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</row>
    <row r="91" spans="2:86" ht="15" x14ac:dyDescent="0.25">
      <c r="B91" s="51"/>
      <c r="F91" s="51"/>
      <c r="Q91" s="51"/>
      <c r="R91" s="51"/>
      <c r="S91" s="51"/>
      <c r="T91" s="51"/>
      <c r="U91" s="48"/>
      <c r="V91" s="48"/>
      <c r="W91" s="48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</row>
    <row r="92" spans="2:86" ht="15" x14ac:dyDescent="0.25">
      <c r="R92" s="48"/>
      <c r="S92" s="48"/>
      <c r="T92" s="48"/>
      <c r="U92" s="48"/>
      <c r="V92" s="48"/>
      <c r="W92" s="48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</row>
    <row r="93" spans="2:86" ht="15" x14ac:dyDescent="0.25">
      <c r="R93" s="48"/>
      <c r="S93" s="48"/>
      <c r="T93" s="48"/>
      <c r="U93" s="48"/>
      <c r="V93" s="48"/>
      <c r="W93" s="48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</row>
    <row r="94" spans="2:86" ht="15" x14ac:dyDescent="0.25">
      <c r="R94" s="48"/>
      <c r="S94" s="48"/>
      <c r="T94" s="48"/>
      <c r="U94" s="48"/>
      <c r="V94" s="48"/>
      <c r="W94" s="48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</row>
    <row r="95" spans="2:86" ht="15" x14ac:dyDescent="0.25">
      <c r="R95" s="48"/>
      <c r="S95" s="48"/>
      <c r="T95" s="48"/>
      <c r="U95" s="48"/>
      <c r="V95" s="48"/>
      <c r="W95" s="48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</row>
    <row r="96" spans="2:86" ht="15" x14ac:dyDescent="0.25">
      <c r="R96" s="48"/>
      <c r="S96" s="48"/>
      <c r="T96" s="48"/>
      <c r="U96" s="48"/>
      <c r="V96" s="48"/>
      <c r="W96" s="48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</row>
    <row r="97" spans="18:86" ht="15" x14ac:dyDescent="0.25">
      <c r="R97" s="48"/>
      <c r="S97" s="48"/>
      <c r="T97" s="48"/>
      <c r="U97" s="48"/>
      <c r="V97" s="48"/>
      <c r="W97" s="48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</row>
    <row r="98" spans="18:86" ht="15" x14ac:dyDescent="0.25">
      <c r="R98" s="48"/>
      <c r="S98" s="48"/>
      <c r="T98" s="48"/>
      <c r="U98" s="48"/>
      <c r="V98" s="48"/>
      <c r="W98" s="48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</row>
    <row r="99" spans="18:86" ht="15" x14ac:dyDescent="0.25">
      <c r="R99" s="48"/>
      <c r="S99" s="48"/>
      <c r="T99" s="48"/>
      <c r="U99" s="48"/>
      <c r="V99" s="48"/>
      <c r="W99" s="48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</row>
    <row r="100" spans="18:86" ht="15" x14ac:dyDescent="0.25">
      <c r="R100" s="48"/>
      <c r="S100" s="48"/>
      <c r="T100" s="48"/>
      <c r="U100" s="48"/>
      <c r="V100" s="48"/>
      <c r="W100" s="48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</row>
    <row r="101" spans="18:86" ht="15" x14ac:dyDescent="0.25">
      <c r="R101" s="48"/>
      <c r="S101" s="48"/>
      <c r="T101" s="48"/>
      <c r="U101" s="48"/>
      <c r="V101" s="48"/>
      <c r="W101" s="48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</row>
    <row r="102" spans="18:86" ht="15" x14ac:dyDescent="0.25">
      <c r="R102" s="48"/>
      <c r="S102" s="48"/>
      <c r="T102" s="48"/>
      <c r="U102" s="48"/>
      <c r="V102" s="48"/>
      <c r="W102" s="48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</row>
    <row r="103" spans="18:86" ht="15" x14ac:dyDescent="0.25">
      <c r="R103" s="48"/>
      <c r="S103" s="48"/>
      <c r="T103" s="48"/>
      <c r="U103" s="48"/>
      <c r="V103" s="48"/>
      <c r="W103" s="48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</row>
    <row r="104" spans="18:86" ht="15" x14ac:dyDescent="0.25">
      <c r="R104" s="48"/>
      <c r="S104" s="48"/>
      <c r="T104" s="48"/>
      <c r="U104" s="48"/>
      <c r="V104" s="48"/>
      <c r="W104" s="48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</row>
    <row r="105" spans="18:86" ht="15" x14ac:dyDescent="0.25">
      <c r="R105" s="48"/>
      <c r="S105" s="48"/>
      <c r="T105" s="48"/>
      <c r="U105" s="48"/>
      <c r="V105" s="48"/>
      <c r="W105" s="48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</row>
    <row r="106" spans="18:86" ht="15" x14ac:dyDescent="0.25">
      <c r="R106" s="48"/>
      <c r="S106" s="48"/>
      <c r="T106" s="48"/>
      <c r="U106" s="48"/>
      <c r="V106" s="48"/>
      <c r="W106" s="48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</row>
    <row r="107" spans="18:86" ht="15" x14ac:dyDescent="0.25">
      <c r="R107" s="48"/>
      <c r="S107" s="48"/>
      <c r="T107" s="48"/>
      <c r="U107" s="48"/>
      <c r="V107" s="48"/>
      <c r="W107" s="48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</row>
    <row r="108" spans="18:86" ht="15" x14ac:dyDescent="0.25">
      <c r="R108" s="48"/>
      <c r="S108" s="48"/>
      <c r="T108" s="48"/>
      <c r="U108" s="48"/>
      <c r="V108" s="48"/>
      <c r="W108" s="48"/>
      <c r="X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</row>
    <row r="109" spans="18:86" ht="15" x14ac:dyDescent="0.25">
      <c r="R109" s="48"/>
      <c r="S109" s="48"/>
      <c r="T109" s="48"/>
      <c r="U109" s="48"/>
      <c r="V109" s="48"/>
      <c r="W109" s="48"/>
      <c r="X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</row>
    <row r="110" spans="18:86" ht="15" x14ac:dyDescent="0.25">
      <c r="R110" s="77"/>
      <c r="S110" s="77"/>
      <c r="T110" s="77"/>
      <c r="U110" s="77"/>
      <c r="V110" s="77"/>
      <c r="W110" s="77"/>
      <c r="X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</row>
    <row r="111" spans="18:86" ht="15" x14ac:dyDescent="0.25">
      <c r="R111" s="77"/>
      <c r="S111" s="77"/>
      <c r="T111" s="77"/>
      <c r="U111" s="77"/>
      <c r="V111" s="77"/>
      <c r="W111" s="77"/>
      <c r="X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</row>
    <row r="112" spans="18:86" ht="15" x14ac:dyDescent="0.25">
      <c r="X112" s="51"/>
      <c r="AM112" s="416"/>
      <c r="AN112" s="416"/>
      <c r="AP112" s="51"/>
      <c r="AQ112" s="51"/>
      <c r="AR112" s="51"/>
      <c r="AS112" s="51"/>
      <c r="AT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</row>
    <row r="113" spans="18:86" ht="15" x14ac:dyDescent="0.25">
      <c r="R113" s="77"/>
      <c r="S113" s="77"/>
      <c r="T113" s="77"/>
      <c r="U113" s="77"/>
      <c r="V113" s="77"/>
      <c r="W113" s="77"/>
      <c r="X113" s="51"/>
      <c r="AS113" s="51"/>
      <c r="AT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</row>
    <row r="114" spans="18:86" ht="15" x14ac:dyDescent="0.25">
      <c r="R114" s="77"/>
      <c r="S114" s="77"/>
      <c r="T114" s="77"/>
      <c r="U114" s="77"/>
      <c r="V114" s="77"/>
      <c r="W114" s="77"/>
      <c r="X114" s="51"/>
      <c r="AS114" s="51"/>
      <c r="AT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</row>
    <row r="115" spans="18:86" ht="21" customHeight="1" x14ac:dyDescent="0.25">
      <c r="R115" s="77"/>
      <c r="S115" s="77"/>
      <c r="T115" s="77"/>
      <c r="U115" s="77"/>
      <c r="V115" s="77"/>
      <c r="W115" s="77"/>
      <c r="X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</row>
    <row r="116" spans="18:86" ht="15" x14ac:dyDescent="0.25">
      <c r="R116" s="77"/>
      <c r="S116" s="77"/>
      <c r="T116" s="77"/>
      <c r="U116" s="77"/>
      <c r="V116" s="77"/>
      <c r="W116" s="77"/>
      <c r="X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</row>
    <row r="117" spans="18:86" ht="15" x14ac:dyDescent="0.25">
      <c r="R117" s="77"/>
      <c r="S117" s="77"/>
      <c r="T117" s="77"/>
      <c r="U117" s="77"/>
      <c r="V117" s="77"/>
      <c r="W117" s="77"/>
      <c r="X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</row>
    <row r="118" spans="18:86" ht="15" x14ac:dyDescent="0.25">
      <c r="R118" s="77"/>
      <c r="S118" s="77"/>
      <c r="T118" s="77"/>
      <c r="U118" s="77"/>
      <c r="V118" s="77"/>
      <c r="W118" s="77"/>
      <c r="X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</row>
    <row r="119" spans="18:86" ht="15" x14ac:dyDescent="0.25">
      <c r="R119" s="77"/>
      <c r="S119" s="77"/>
      <c r="T119" s="77"/>
      <c r="U119" s="77"/>
      <c r="V119" s="77"/>
      <c r="W119" s="77"/>
      <c r="X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</row>
    <row r="120" spans="18:86" ht="15" x14ac:dyDescent="0.25">
      <c r="R120" s="77"/>
      <c r="S120" s="77"/>
      <c r="T120" s="77"/>
      <c r="U120" s="77"/>
      <c r="V120" s="77"/>
      <c r="W120" s="77"/>
      <c r="X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</row>
    <row r="121" spans="18:86" ht="15" x14ac:dyDescent="0.25">
      <c r="R121" s="77"/>
      <c r="S121" s="77"/>
      <c r="T121" s="77"/>
      <c r="U121" s="77"/>
      <c r="V121" s="77"/>
      <c r="W121" s="77"/>
      <c r="X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</row>
    <row r="122" spans="18:86" ht="15" x14ac:dyDescent="0.25">
      <c r="R122" s="77"/>
      <c r="S122" s="77"/>
      <c r="T122" s="77"/>
      <c r="U122" s="77"/>
      <c r="V122" s="77"/>
      <c r="W122" s="77"/>
      <c r="X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</row>
    <row r="123" spans="18:86" ht="15" x14ac:dyDescent="0.25">
      <c r="R123" s="77"/>
      <c r="S123" s="77"/>
      <c r="T123" s="77"/>
      <c r="U123" s="77"/>
      <c r="V123" s="77"/>
      <c r="W123" s="77"/>
      <c r="X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</row>
    <row r="124" spans="18:86" ht="15" x14ac:dyDescent="0.25">
      <c r="R124" s="77"/>
      <c r="S124" s="77"/>
      <c r="T124" s="77"/>
      <c r="U124" s="77"/>
      <c r="V124" s="77"/>
      <c r="W124" s="77"/>
      <c r="X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</row>
    <row r="125" spans="18:86" ht="15" x14ac:dyDescent="0.25">
      <c r="R125" s="77"/>
      <c r="S125" s="77"/>
      <c r="T125" s="77"/>
      <c r="U125" s="77"/>
      <c r="V125" s="77"/>
      <c r="W125" s="77"/>
      <c r="X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</row>
    <row r="126" spans="18:86" ht="15" x14ac:dyDescent="0.25">
      <c r="R126" s="77"/>
      <c r="S126" s="77"/>
      <c r="T126" s="77"/>
      <c r="U126" s="77"/>
      <c r="V126" s="77"/>
      <c r="W126" s="77"/>
      <c r="X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</row>
    <row r="127" spans="18:86" ht="15" x14ac:dyDescent="0.25">
      <c r="R127" s="77"/>
      <c r="S127" s="77"/>
      <c r="T127" s="77"/>
      <c r="U127" s="77"/>
      <c r="V127" s="77"/>
      <c r="W127" s="77"/>
      <c r="X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</row>
    <row r="128" spans="18:86" ht="15" x14ac:dyDescent="0.25">
      <c r="R128" s="77"/>
      <c r="S128" s="77"/>
      <c r="T128" s="77"/>
      <c r="U128" s="77"/>
      <c r="V128" s="77"/>
      <c r="W128" s="77"/>
      <c r="X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</row>
    <row r="129" spans="18:86" ht="15" x14ac:dyDescent="0.25">
      <c r="R129" s="77"/>
      <c r="S129" s="77"/>
      <c r="T129" s="77"/>
      <c r="U129" s="77"/>
      <c r="V129" s="77"/>
      <c r="W129" s="77"/>
      <c r="X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</row>
    <row r="130" spans="18:86" ht="15" x14ac:dyDescent="0.25">
      <c r="R130" s="77"/>
      <c r="S130" s="77"/>
      <c r="T130" s="77"/>
      <c r="U130" s="77"/>
      <c r="V130" s="77"/>
      <c r="W130" s="77"/>
      <c r="X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</row>
    <row r="131" spans="18:86" ht="15" x14ac:dyDescent="0.25">
      <c r="R131" s="77"/>
      <c r="S131" s="77"/>
      <c r="T131" s="77"/>
      <c r="U131" s="77"/>
      <c r="V131" s="77"/>
      <c r="W131" s="77"/>
      <c r="X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</row>
    <row r="132" spans="18:86" ht="15" x14ac:dyDescent="0.25">
      <c r="R132" s="77"/>
      <c r="S132" s="77"/>
      <c r="T132" s="77"/>
      <c r="U132" s="77"/>
      <c r="V132" s="77"/>
      <c r="W132" s="77"/>
      <c r="X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</row>
    <row r="133" spans="18:86" ht="15" x14ac:dyDescent="0.25">
      <c r="R133" s="77"/>
      <c r="S133" s="77"/>
      <c r="T133" s="77"/>
      <c r="U133" s="77"/>
      <c r="V133" s="77"/>
      <c r="W133" s="77"/>
      <c r="X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</row>
    <row r="134" spans="18:86" ht="15" x14ac:dyDescent="0.25">
      <c r="R134" s="77"/>
      <c r="S134" s="77"/>
      <c r="T134" s="77"/>
      <c r="U134" s="77"/>
      <c r="V134" s="77"/>
      <c r="W134" s="77"/>
      <c r="X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</row>
    <row r="135" spans="18:86" ht="15" x14ac:dyDescent="0.25">
      <c r="R135" s="77"/>
      <c r="S135" s="77"/>
      <c r="T135" s="77"/>
      <c r="U135" s="77"/>
      <c r="V135" s="77"/>
      <c r="W135" s="77"/>
      <c r="X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</row>
    <row r="136" spans="18:86" ht="15" x14ac:dyDescent="0.25">
      <c r="R136" s="77"/>
      <c r="S136" s="77"/>
      <c r="T136" s="77"/>
      <c r="U136" s="77"/>
      <c r="V136" s="77"/>
      <c r="W136" s="77"/>
      <c r="X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</row>
    <row r="137" spans="18:86" ht="15" x14ac:dyDescent="0.25">
      <c r="R137" s="77"/>
      <c r="S137" s="77"/>
      <c r="T137" s="77"/>
      <c r="U137" s="77"/>
      <c r="V137" s="77"/>
      <c r="W137" s="77"/>
      <c r="X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</row>
    <row r="138" spans="18:86" ht="15" x14ac:dyDescent="0.25">
      <c r="R138" s="77"/>
      <c r="S138" s="77"/>
      <c r="T138" s="77"/>
      <c r="U138" s="77"/>
      <c r="V138" s="77"/>
      <c r="W138" s="77"/>
      <c r="X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</row>
    <row r="139" spans="18:86" ht="15" x14ac:dyDescent="0.25">
      <c r="R139" s="77"/>
      <c r="S139" s="77"/>
      <c r="T139" s="77"/>
      <c r="U139" s="77"/>
      <c r="V139" s="77"/>
      <c r="W139" s="77"/>
      <c r="X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</row>
    <row r="140" spans="18:86" ht="15" x14ac:dyDescent="0.25">
      <c r="R140" s="77"/>
      <c r="S140" s="77"/>
      <c r="T140" s="77"/>
      <c r="U140" s="77"/>
      <c r="V140" s="77"/>
      <c r="W140" s="77"/>
      <c r="X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</row>
    <row r="141" spans="18:86" ht="15" x14ac:dyDescent="0.25">
      <c r="R141" s="77"/>
      <c r="S141" s="77"/>
      <c r="T141" s="77"/>
      <c r="U141" s="77"/>
      <c r="V141" s="77"/>
      <c r="W141" s="77"/>
      <c r="X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</row>
    <row r="142" spans="18:86" ht="15" x14ac:dyDescent="0.25">
      <c r="R142" s="77"/>
      <c r="S142" s="77"/>
      <c r="T142" s="77"/>
      <c r="U142" s="77"/>
      <c r="V142" s="77"/>
      <c r="W142" s="77"/>
      <c r="X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</row>
    <row r="143" spans="18:86" ht="15" x14ac:dyDescent="0.25">
      <c r="R143" s="77"/>
      <c r="S143" s="77"/>
      <c r="T143" s="77"/>
      <c r="U143" s="77"/>
      <c r="V143" s="77"/>
      <c r="W143" s="77"/>
      <c r="X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</row>
    <row r="144" spans="18:86" ht="15" x14ac:dyDescent="0.25">
      <c r="R144" s="77"/>
      <c r="S144" s="77"/>
      <c r="T144" s="77"/>
      <c r="U144" s="77"/>
      <c r="V144" s="77"/>
      <c r="W144" s="77"/>
      <c r="X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</row>
    <row r="145" spans="18:86" ht="15" x14ac:dyDescent="0.25">
      <c r="R145" s="77"/>
      <c r="S145" s="77"/>
      <c r="T145" s="77"/>
      <c r="U145" s="77"/>
      <c r="V145" s="77"/>
      <c r="W145" s="77"/>
      <c r="X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</row>
    <row r="146" spans="18:86" ht="15" x14ac:dyDescent="0.25">
      <c r="R146" s="77"/>
      <c r="S146" s="77"/>
      <c r="T146" s="77"/>
      <c r="U146" s="77"/>
      <c r="V146" s="77"/>
      <c r="W146" s="77"/>
      <c r="X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</row>
    <row r="147" spans="18:86" ht="15" x14ac:dyDescent="0.25">
      <c r="R147" s="77"/>
      <c r="S147" s="77"/>
      <c r="T147" s="77"/>
      <c r="U147" s="77"/>
      <c r="V147" s="77"/>
      <c r="W147" s="77"/>
      <c r="X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</row>
    <row r="148" spans="18:86" ht="15" x14ac:dyDescent="0.25">
      <c r="R148" s="77"/>
      <c r="S148" s="77"/>
      <c r="T148" s="77"/>
      <c r="U148" s="77"/>
      <c r="V148" s="77"/>
      <c r="W148" s="77"/>
      <c r="X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</row>
    <row r="149" spans="18:86" ht="15" x14ac:dyDescent="0.25">
      <c r="R149" s="77"/>
      <c r="S149" s="77"/>
      <c r="T149" s="77"/>
      <c r="U149" s="77"/>
      <c r="V149" s="77"/>
      <c r="W149" s="77"/>
      <c r="X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</row>
    <row r="150" spans="18:86" ht="15" x14ac:dyDescent="0.25">
      <c r="R150" s="77"/>
      <c r="S150" s="77"/>
      <c r="T150" s="77"/>
      <c r="U150" s="77"/>
      <c r="V150" s="77"/>
      <c r="W150" s="77"/>
      <c r="X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</row>
    <row r="151" spans="18:86" ht="15" x14ac:dyDescent="0.25">
      <c r="R151" s="77"/>
      <c r="S151" s="77"/>
      <c r="T151" s="77"/>
      <c r="U151" s="77"/>
      <c r="V151" s="77"/>
      <c r="W151" s="77"/>
      <c r="X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</row>
    <row r="152" spans="18:86" ht="15" x14ac:dyDescent="0.25">
      <c r="R152" s="77"/>
      <c r="S152" s="77"/>
      <c r="T152" s="77"/>
      <c r="U152" s="77"/>
      <c r="V152" s="77"/>
      <c r="W152" s="77"/>
      <c r="X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</row>
    <row r="153" spans="18:86" ht="15" x14ac:dyDescent="0.25">
      <c r="R153" s="77"/>
      <c r="S153" s="77"/>
      <c r="T153" s="77"/>
      <c r="U153" s="77"/>
      <c r="V153" s="77"/>
      <c r="W153" s="77"/>
      <c r="X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</row>
    <row r="154" spans="18:86" ht="15" x14ac:dyDescent="0.25">
      <c r="R154" s="77"/>
      <c r="S154" s="77"/>
      <c r="T154" s="77"/>
      <c r="U154" s="77"/>
      <c r="V154" s="77"/>
      <c r="W154" s="77"/>
      <c r="X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</row>
    <row r="155" spans="18:86" ht="15" x14ac:dyDescent="0.25">
      <c r="R155" s="77"/>
      <c r="S155" s="77"/>
      <c r="T155" s="77"/>
      <c r="U155" s="77"/>
      <c r="V155" s="77"/>
      <c r="W155" s="77"/>
      <c r="X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</row>
    <row r="156" spans="18:86" ht="15" x14ac:dyDescent="0.25">
      <c r="R156" s="77"/>
      <c r="S156" s="77"/>
      <c r="T156" s="77"/>
      <c r="U156" s="77"/>
      <c r="V156" s="77"/>
      <c r="W156" s="77"/>
      <c r="X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</row>
    <row r="157" spans="18:86" ht="15" x14ac:dyDescent="0.25">
      <c r="R157" s="77"/>
      <c r="S157" s="77"/>
      <c r="T157" s="77"/>
      <c r="U157" s="77"/>
      <c r="V157" s="77"/>
      <c r="W157" s="77"/>
      <c r="X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</row>
    <row r="158" spans="18:86" ht="15" x14ac:dyDescent="0.25">
      <c r="R158" s="77"/>
      <c r="S158" s="77"/>
      <c r="T158" s="77"/>
      <c r="U158" s="77"/>
      <c r="V158" s="77"/>
      <c r="W158" s="77"/>
      <c r="X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</row>
    <row r="159" spans="18:86" ht="15" x14ac:dyDescent="0.25">
      <c r="R159" s="77"/>
      <c r="S159" s="77"/>
      <c r="T159" s="77"/>
      <c r="U159" s="77"/>
      <c r="V159" s="77"/>
      <c r="W159" s="77"/>
      <c r="X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</row>
    <row r="160" spans="18:86" ht="15" x14ac:dyDescent="0.25">
      <c r="R160" s="77"/>
      <c r="S160" s="77"/>
      <c r="T160" s="77"/>
      <c r="U160" s="77"/>
      <c r="V160" s="77"/>
      <c r="W160" s="77"/>
      <c r="X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</row>
    <row r="161" spans="18:86" ht="15" x14ac:dyDescent="0.25">
      <c r="R161" s="77"/>
      <c r="S161" s="77"/>
      <c r="T161" s="77"/>
      <c r="U161" s="77"/>
      <c r="V161" s="77"/>
      <c r="W161" s="77"/>
      <c r="X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</row>
    <row r="162" spans="18:86" ht="15" x14ac:dyDescent="0.25">
      <c r="R162" s="77"/>
      <c r="S162" s="77"/>
      <c r="T162" s="77"/>
      <c r="U162" s="77"/>
      <c r="V162" s="77"/>
      <c r="W162" s="77"/>
      <c r="X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</row>
    <row r="163" spans="18:86" ht="15" x14ac:dyDescent="0.25">
      <c r="R163" s="77"/>
      <c r="S163" s="77"/>
      <c r="T163" s="77"/>
      <c r="U163" s="77"/>
      <c r="V163" s="77"/>
      <c r="W163" s="77"/>
      <c r="X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</row>
    <row r="164" spans="18:86" ht="15" x14ac:dyDescent="0.25">
      <c r="R164" s="77"/>
      <c r="S164" s="77"/>
      <c r="T164" s="77"/>
      <c r="U164" s="77"/>
      <c r="V164" s="77"/>
      <c r="W164" s="77"/>
      <c r="X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</row>
    <row r="165" spans="18:86" ht="15" x14ac:dyDescent="0.25">
      <c r="R165" s="77"/>
      <c r="S165" s="77"/>
      <c r="T165" s="77"/>
      <c r="U165" s="77"/>
      <c r="V165" s="77"/>
      <c r="W165" s="77"/>
      <c r="X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</row>
    <row r="166" spans="18:86" ht="15" x14ac:dyDescent="0.25">
      <c r="R166" s="77"/>
      <c r="S166" s="77"/>
      <c r="T166" s="77"/>
      <c r="U166" s="77"/>
      <c r="V166" s="77"/>
      <c r="W166" s="77"/>
      <c r="X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</row>
    <row r="167" spans="18:86" ht="15" x14ac:dyDescent="0.25">
      <c r="R167" s="77"/>
      <c r="S167" s="77"/>
      <c r="T167" s="77"/>
      <c r="U167" s="77"/>
      <c r="V167" s="77"/>
      <c r="W167" s="77"/>
      <c r="X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</row>
    <row r="168" spans="18:86" ht="15" x14ac:dyDescent="0.25">
      <c r="R168" s="77"/>
      <c r="S168" s="77"/>
      <c r="T168" s="77"/>
      <c r="U168" s="77"/>
      <c r="V168" s="77"/>
      <c r="W168" s="77"/>
      <c r="X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</row>
    <row r="169" spans="18:86" ht="15" x14ac:dyDescent="0.25">
      <c r="R169" s="77"/>
      <c r="S169" s="77"/>
      <c r="T169" s="77"/>
      <c r="U169" s="77"/>
      <c r="V169" s="77"/>
      <c r="W169" s="77"/>
      <c r="X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</row>
    <row r="170" spans="18:86" ht="15" x14ac:dyDescent="0.25">
      <c r="R170" s="77"/>
      <c r="S170" s="77"/>
      <c r="T170" s="77"/>
      <c r="U170" s="77"/>
      <c r="V170" s="77"/>
      <c r="W170" s="77"/>
      <c r="X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</row>
    <row r="171" spans="18:86" ht="15" x14ac:dyDescent="0.25">
      <c r="R171" s="77"/>
      <c r="S171" s="77"/>
      <c r="T171" s="77"/>
      <c r="U171" s="77"/>
      <c r="V171" s="77"/>
      <c r="W171" s="77"/>
      <c r="X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</row>
    <row r="172" spans="18:86" ht="15" x14ac:dyDescent="0.25">
      <c r="R172" s="77"/>
      <c r="S172" s="77"/>
      <c r="T172" s="77"/>
      <c r="U172" s="77"/>
      <c r="V172" s="77"/>
      <c r="W172" s="77"/>
      <c r="X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</row>
    <row r="173" spans="18:86" ht="15" x14ac:dyDescent="0.25">
      <c r="R173" s="77"/>
      <c r="S173" s="77"/>
      <c r="T173" s="77"/>
      <c r="U173" s="77"/>
      <c r="V173" s="77"/>
      <c r="W173" s="77"/>
      <c r="X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</row>
    <row r="174" spans="18:86" ht="15" x14ac:dyDescent="0.25">
      <c r="R174" s="77"/>
      <c r="S174" s="77"/>
      <c r="T174" s="77"/>
      <c r="U174" s="77"/>
      <c r="V174" s="77"/>
      <c r="W174" s="77"/>
      <c r="X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</row>
    <row r="175" spans="18:86" ht="15" x14ac:dyDescent="0.25">
      <c r="R175" s="77"/>
      <c r="S175" s="77"/>
      <c r="T175" s="77"/>
      <c r="U175" s="77"/>
      <c r="V175" s="77"/>
      <c r="W175" s="77"/>
      <c r="X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</row>
    <row r="176" spans="18:86" ht="15" x14ac:dyDescent="0.25">
      <c r="R176" s="77"/>
      <c r="S176" s="77"/>
      <c r="T176" s="77"/>
      <c r="U176" s="77"/>
      <c r="V176" s="77"/>
      <c r="W176" s="77"/>
      <c r="X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</row>
    <row r="177" spans="18:86" ht="15" x14ac:dyDescent="0.25">
      <c r="R177" s="77"/>
      <c r="S177" s="77"/>
      <c r="T177" s="77"/>
      <c r="U177" s="77"/>
      <c r="V177" s="77"/>
      <c r="W177" s="77"/>
      <c r="X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</row>
    <row r="178" spans="18:86" ht="15" x14ac:dyDescent="0.25">
      <c r="R178" s="77"/>
      <c r="S178" s="77"/>
      <c r="T178" s="77"/>
      <c r="U178" s="77"/>
      <c r="V178" s="77"/>
      <c r="W178" s="77"/>
      <c r="X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</row>
    <row r="179" spans="18:86" ht="15" x14ac:dyDescent="0.25">
      <c r="R179" s="77"/>
      <c r="S179" s="77"/>
      <c r="T179" s="77"/>
      <c r="U179" s="77"/>
      <c r="V179" s="77"/>
      <c r="W179" s="77"/>
      <c r="X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</row>
    <row r="180" spans="18:86" ht="15" x14ac:dyDescent="0.25">
      <c r="R180" s="77"/>
      <c r="S180" s="77"/>
      <c r="T180" s="77"/>
      <c r="U180" s="77"/>
      <c r="V180" s="77"/>
      <c r="W180" s="77"/>
      <c r="X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</row>
    <row r="181" spans="18:86" ht="15" x14ac:dyDescent="0.25">
      <c r="R181" s="77"/>
      <c r="S181" s="77"/>
      <c r="T181" s="77"/>
      <c r="U181" s="77"/>
      <c r="V181" s="77"/>
      <c r="W181" s="77"/>
      <c r="X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</row>
    <row r="182" spans="18:86" ht="15" x14ac:dyDescent="0.25">
      <c r="R182" s="77"/>
      <c r="S182" s="77"/>
      <c r="T182" s="77"/>
      <c r="U182" s="77"/>
      <c r="V182" s="77"/>
      <c r="W182" s="77"/>
      <c r="X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</row>
    <row r="183" spans="18:86" ht="15" x14ac:dyDescent="0.25">
      <c r="R183" s="77"/>
      <c r="S183" s="77"/>
      <c r="T183" s="77"/>
      <c r="U183" s="77"/>
      <c r="V183" s="77"/>
      <c r="W183" s="77"/>
      <c r="X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</row>
    <row r="184" spans="18:86" ht="15" x14ac:dyDescent="0.25">
      <c r="R184" s="77"/>
      <c r="S184" s="77"/>
      <c r="T184" s="77"/>
      <c r="U184" s="77"/>
      <c r="V184" s="77"/>
      <c r="W184" s="77"/>
      <c r="X184" s="51"/>
      <c r="Y184" s="51"/>
      <c r="Z184" s="51"/>
      <c r="AA184" s="51"/>
      <c r="AB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</row>
    <row r="185" spans="18:86" ht="15" x14ac:dyDescent="0.25">
      <c r="R185" s="77"/>
      <c r="S185" s="77"/>
      <c r="T185" s="77"/>
      <c r="U185" s="77"/>
      <c r="V185" s="77"/>
      <c r="W185" s="77"/>
      <c r="X185" s="51"/>
      <c r="Y185" s="51"/>
      <c r="Z185" s="51"/>
      <c r="AA185" s="51"/>
      <c r="AB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</row>
    <row r="186" spans="18:86" ht="15" x14ac:dyDescent="0.25">
      <c r="R186" s="77"/>
      <c r="S186" s="77"/>
      <c r="T186" s="77"/>
      <c r="U186" s="77"/>
      <c r="V186" s="77"/>
      <c r="W186" s="77"/>
      <c r="X186" s="51"/>
      <c r="Y186" s="51"/>
      <c r="Z186" s="51"/>
      <c r="AA186" s="51"/>
      <c r="AB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</row>
    <row r="187" spans="18:86" ht="15" x14ac:dyDescent="0.25">
      <c r="R187" s="77"/>
      <c r="S187" s="77"/>
      <c r="T187" s="77"/>
      <c r="U187" s="77"/>
      <c r="V187" s="77"/>
      <c r="W187" s="77"/>
      <c r="X187" s="51"/>
      <c r="Y187" s="51"/>
      <c r="Z187" s="51"/>
      <c r="AA187" s="51"/>
      <c r="AB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</row>
    <row r="188" spans="18:86" ht="15" x14ac:dyDescent="0.25">
      <c r="R188" s="77"/>
      <c r="S188" s="77"/>
      <c r="T188" s="77"/>
      <c r="U188" s="77"/>
      <c r="V188" s="77"/>
      <c r="W188" s="77"/>
      <c r="X188" s="51"/>
      <c r="Y188" s="51"/>
      <c r="Z188" s="51"/>
      <c r="AA188" s="51"/>
      <c r="AB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</row>
    <row r="189" spans="18:86" ht="15" x14ac:dyDescent="0.25">
      <c r="R189" s="77"/>
      <c r="S189" s="77"/>
      <c r="T189" s="77"/>
      <c r="U189" s="77"/>
      <c r="V189" s="77"/>
      <c r="W189" s="77"/>
      <c r="X189" s="51"/>
      <c r="Y189" s="51"/>
      <c r="Z189" s="51"/>
      <c r="AA189" s="51"/>
      <c r="AB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</row>
    <row r="190" spans="18:86" ht="15" x14ac:dyDescent="0.25">
      <c r="R190" s="77"/>
      <c r="S190" s="77"/>
      <c r="T190" s="77"/>
      <c r="U190" s="77"/>
      <c r="V190" s="77"/>
      <c r="W190" s="77"/>
      <c r="X190" s="51"/>
      <c r="Y190" s="51"/>
      <c r="Z190" s="51"/>
      <c r="AA190" s="51"/>
      <c r="AB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</row>
    <row r="191" spans="18:86" ht="15" x14ac:dyDescent="0.25">
      <c r="R191" s="77"/>
      <c r="S191" s="77"/>
      <c r="T191" s="77"/>
      <c r="U191" s="77"/>
      <c r="V191" s="77"/>
      <c r="W191" s="77"/>
      <c r="X191" s="51"/>
      <c r="Y191" s="51"/>
      <c r="Z191" s="51"/>
      <c r="AA191" s="51"/>
      <c r="AB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</row>
    <row r="192" spans="18:86" ht="15" x14ac:dyDescent="0.25">
      <c r="R192" s="77"/>
      <c r="S192" s="77"/>
      <c r="T192" s="77"/>
      <c r="U192" s="77"/>
      <c r="V192" s="77"/>
      <c r="W192" s="77"/>
      <c r="X192" s="51"/>
      <c r="Y192" s="51"/>
      <c r="Z192" s="51"/>
      <c r="AA192" s="51"/>
      <c r="AB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</row>
    <row r="193" spans="18:86" ht="15" x14ac:dyDescent="0.25">
      <c r="R193" s="77"/>
      <c r="S193" s="77"/>
      <c r="T193" s="77"/>
      <c r="U193" s="77"/>
      <c r="V193" s="77"/>
      <c r="W193" s="77"/>
      <c r="X193" s="51"/>
      <c r="Y193" s="51"/>
      <c r="Z193" s="51"/>
      <c r="AA193" s="51"/>
      <c r="AB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</row>
    <row r="194" spans="18:86" ht="15" x14ac:dyDescent="0.25">
      <c r="R194" s="77"/>
      <c r="S194" s="77"/>
      <c r="T194" s="77"/>
      <c r="U194" s="77"/>
      <c r="V194" s="77"/>
      <c r="W194" s="77"/>
      <c r="X194" s="51"/>
      <c r="Y194" s="51"/>
      <c r="Z194" s="51"/>
      <c r="AA194" s="51"/>
      <c r="AB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</row>
    <row r="195" spans="18:86" ht="15" x14ac:dyDescent="0.25">
      <c r="R195" s="77"/>
      <c r="S195" s="77"/>
      <c r="T195" s="77"/>
      <c r="U195" s="77"/>
      <c r="V195" s="77"/>
      <c r="W195" s="77"/>
      <c r="X195" s="51"/>
      <c r="Y195" s="51"/>
      <c r="Z195" s="51"/>
      <c r="AA195" s="51"/>
      <c r="AB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</row>
    <row r="196" spans="18:86" ht="15" x14ac:dyDescent="0.25">
      <c r="R196" s="77"/>
      <c r="S196" s="77"/>
      <c r="T196" s="77"/>
      <c r="U196" s="77"/>
      <c r="V196" s="77"/>
      <c r="W196" s="77"/>
      <c r="X196" s="51"/>
      <c r="Y196" s="51"/>
      <c r="Z196" s="51"/>
      <c r="AA196" s="51"/>
      <c r="AB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</row>
    <row r="197" spans="18:86" ht="15" x14ac:dyDescent="0.25">
      <c r="R197" s="77"/>
      <c r="S197" s="77"/>
      <c r="T197" s="77"/>
      <c r="U197" s="77"/>
      <c r="V197" s="77"/>
      <c r="W197" s="77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</row>
    <row r="198" spans="18:86" ht="15" x14ac:dyDescent="0.25">
      <c r="R198" s="77"/>
      <c r="S198" s="77"/>
      <c r="T198" s="77"/>
      <c r="U198" s="77"/>
      <c r="V198" s="77"/>
      <c r="W198" s="77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</row>
    <row r="199" spans="18:86" ht="15" x14ac:dyDescent="0.25">
      <c r="R199" s="77"/>
      <c r="S199" s="77"/>
      <c r="T199" s="77"/>
      <c r="U199" s="77"/>
      <c r="V199" s="77"/>
      <c r="W199" s="77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</row>
    <row r="200" spans="18:86" ht="15" x14ac:dyDescent="0.25">
      <c r="R200" s="77"/>
      <c r="S200" s="77"/>
      <c r="T200" s="77"/>
      <c r="U200" s="77"/>
      <c r="V200" s="77"/>
      <c r="W200" s="77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</row>
    <row r="201" spans="18:86" ht="15" x14ac:dyDescent="0.25"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</row>
    <row r="202" spans="18:86" ht="15" x14ac:dyDescent="0.25"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</row>
    <row r="203" spans="18:86" ht="15" x14ac:dyDescent="0.25"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</row>
    <row r="204" spans="18:86" ht="15" x14ac:dyDescent="0.25"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</row>
    <row r="205" spans="18:86" ht="15" x14ac:dyDescent="0.25"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</row>
    <row r="206" spans="18:86" ht="15" x14ac:dyDescent="0.25"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</row>
    <row r="207" spans="18:86" ht="15" x14ac:dyDescent="0.25"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</row>
    <row r="208" spans="18:86" ht="15" x14ac:dyDescent="0.25"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</row>
    <row r="209" spans="25:47" ht="15" x14ac:dyDescent="0.25"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</row>
    <row r="210" spans="25:47" ht="15" x14ac:dyDescent="0.25"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</row>
    <row r="211" spans="25:47" ht="15" x14ac:dyDescent="0.25"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</row>
  </sheetData>
  <sheetProtection algorithmName="SHA-512" hashValue="XhzifLgl6wQImHqe1WhHDIJ4cDv6ORqQcjivU+tfinA+9Kd71aFaB02hy3jbBfqWWopb0+ev5Qj+G6s9iwTBtw==" saltValue="M1QJoet4SVAfaH+J7Kr6mQ==" spinCount="100000" sheet="1" formatCells="0" formatColumns="0" formatRows="0"/>
  <mergeCells count="8">
    <mergeCell ref="AC71:AF71"/>
    <mergeCell ref="AP51:AQ51"/>
    <mergeCell ref="B2:U4"/>
    <mergeCell ref="T6:V6"/>
    <mergeCell ref="M6:N6"/>
    <mergeCell ref="J6:L6"/>
    <mergeCell ref="O6:Q6"/>
    <mergeCell ref="AO71:AQ71"/>
  </mergeCells>
  <conditionalFormatting sqref="X73">
    <cfRule type="colorScale" priority="9">
      <colorScale>
        <cfvo type="num" val="0"/>
        <cfvo type="max"/>
        <color rgb="FFFCFCFF"/>
        <color theme="8"/>
      </colorScale>
    </cfRule>
  </conditionalFormatting>
  <conditionalFormatting sqref="Z12:AE27">
    <cfRule type="containsErrors" dxfId="94" priority="10">
      <formula>ISERROR(Z12)</formula>
    </cfRule>
  </conditionalFormatting>
  <dataValidations count="3">
    <dataValidation type="list" allowBlank="1" showInputMessage="1" showErrorMessage="1" sqref="AA50 AD9 C6" xr:uid="{00000000-0002-0000-0800-000000000000}">
      <formula1>months_begining</formula1>
    </dataValidation>
    <dataValidation type="list" allowBlank="1" showInputMessage="1" showErrorMessage="1" sqref="AD50" xr:uid="{85755DD7-E896-42C1-A531-87A155EFF53B}">
      <formula1>months_ending</formula1>
    </dataValidation>
    <dataValidation type="list" allowBlank="1" showInputMessage="1" showErrorMessage="1" sqref="F6" xr:uid="{00000000-0002-0000-0800-000001000000}">
      <formula1>Vaccine</formula1>
    </dataValidation>
  </dataValidations>
  <pageMargins left="0.7" right="0.7" top="0.75" bottom="0.75" header="0.3" footer="0.3"/>
  <pageSetup orientation="portrait" horizontalDpi="1200" verticalDpi="1200" r:id="rId1"/>
  <ignoredErrors>
    <ignoredError sqref="AB27" formula="1"/>
    <ignoredError sqref="P50 C50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3000000}">
          <x14:formula1>
            <xm:f>list!$M$2:$M$3</xm:f>
          </x14:formula1>
          <xm:sqref>AI71</xm:sqref>
        </x14:dataValidation>
        <x14:dataValidation type="list" allowBlank="1" showInputMessage="1" showErrorMessage="1" xr:uid="{EFBFC796-515F-48EA-9825-201BBD8B5DFE}">
          <x14:formula1>
            <xm:f>list!$U$1:$U$3</xm:f>
          </x14:formula1>
          <xm:sqref>M6:N6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C573D-809E-4FE0-8771-11A0DCF8FFE4}">
  <dimension ref="A1:K34"/>
  <sheetViews>
    <sheetView showGridLines="0" topLeftCell="A12" zoomScale="130" zoomScaleNormal="130" workbookViewId="0">
      <selection activeCell="J28" sqref="J28"/>
    </sheetView>
  </sheetViews>
  <sheetFormatPr defaultColWidth="9.140625" defaultRowHeight="15" x14ac:dyDescent="0.25"/>
  <cols>
    <col min="1" max="1" width="9.140625" style="51"/>
    <col min="2" max="2" width="20" style="51" customWidth="1"/>
    <col min="3" max="3" width="15.28515625" style="51" customWidth="1"/>
    <col min="4" max="4" width="15.28515625" style="51" hidden="1" customWidth="1"/>
    <col min="5" max="5" width="15.140625" style="51" hidden="1" customWidth="1"/>
    <col min="6" max="7" width="15.28515625" style="51" customWidth="1"/>
    <col min="8" max="10" width="24.28515625" style="51" customWidth="1"/>
    <col min="11" max="11" width="19.140625" style="51" customWidth="1"/>
    <col min="12" max="16384" width="9.140625" style="51"/>
  </cols>
  <sheetData>
    <row r="1" spans="1:11" ht="23.25" x14ac:dyDescent="0.25">
      <c r="A1" s="78" t="str">
        <f>"COVID-19 Vaccine Supply Outlook | "&amp;Start!D7&amp;" goal estimator"</f>
        <v>COVID-19 Vaccine Supply Outlook | Anyland goal estimator</v>
      </c>
      <c r="B1" s="330"/>
    </row>
    <row r="2" spans="1:11" ht="23.25" x14ac:dyDescent="0.25">
      <c r="A2" s="330"/>
      <c r="B2" s="330"/>
    </row>
    <row r="3" spans="1:11" ht="23.25" x14ac:dyDescent="0.25">
      <c r="A3" s="330"/>
      <c r="B3" s="330"/>
      <c r="H3" s="528" t="s">
        <v>285</v>
      </c>
    </row>
    <row r="4" spans="1:11" ht="15" customHeight="1" x14ac:dyDescent="0.25">
      <c r="B4" s="558" t="s">
        <v>286</v>
      </c>
      <c r="C4" s="559"/>
      <c r="D4" s="537"/>
      <c r="E4" s="537"/>
      <c r="F4" s="503">
        <v>2</v>
      </c>
      <c r="H4" s="557" t="s">
        <v>287</v>
      </c>
      <c r="I4" s="557"/>
      <c r="J4" s="557"/>
      <c r="K4" s="532"/>
    </row>
    <row r="5" spans="1:11" x14ac:dyDescent="0.25">
      <c r="B5" s="558" t="s">
        <v>288</v>
      </c>
      <c r="C5" s="559"/>
      <c r="D5" s="537"/>
      <c r="E5" s="537"/>
      <c r="F5" s="504">
        <v>0.7</v>
      </c>
      <c r="H5" s="557"/>
      <c r="I5" s="557"/>
      <c r="J5" s="557"/>
      <c r="K5" s="532"/>
    </row>
    <row r="6" spans="1:11" x14ac:dyDescent="0.25">
      <c r="B6" s="558" t="s">
        <v>289</v>
      </c>
      <c r="C6" s="559"/>
      <c r="D6" s="537"/>
      <c r="E6" s="537"/>
      <c r="F6" s="504">
        <v>0.1</v>
      </c>
      <c r="H6" s="557"/>
      <c r="I6" s="557"/>
      <c r="J6" s="557"/>
      <c r="K6" s="532"/>
    </row>
    <row r="7" spans="1:11" x14ac:dyDescent="0.25">
      <c r="B7" s="558" t="s">
        <v>290</v>
      </c>
      <c r="C7" s="558"/>
      <c r="D7" s="536"/>
      <c r="E7" s="536"/>
      <c r="F7" s="504" t="s">
        <v>26</v>
      </c>
      <c r="H7" s="557"/>
      <c r="I7" s="557"/>
      <c r="J7" s="557"/>
      <c r="K7" s="532"/>
    </row>
    <row r="8" spans="1:11" x14ac:dyDescent="0.25">
      <c r="B8" s="558" t="s">
        <v>291</v>
      </c>
      <c r="C8" s="558"/>
      <c r="D8" s="536"/>
      <c r="E8" s="536"/>
      <c r="F8" s="505">
        <f>IF(VLOOKUP(Dashboard!$M$6,Start!$B$10:$E$12,4,FALSE)&gt;0,VLOOKUP(Dashboard!$M$6,Start!$B$10:$E$12,4,FALSE),VLOOKUP(Dashboard!$M$6,Start!$B$10:$E$12,3,FALSE))</f>
        <v>60000000</v>
      </c>
      <c r="H8" s="557"/>
      <c r="I8" s="557"/>
      <c r="J8" s="557"/>
      <c r="K8" s="532"/>
    </row>
    <row r="9" spans="1:11" x14ac:dyDescent="0.25">
      <c r="B9" s="556" t="s">
        <v>292</v>
      </c>
      <c r="C9" s="556"/>
      <c r="D9" s="535"/>
      <c r="E9" s="535"/>
      <c r="F9" s="502"/>
      <c r="H9" s="557"/>
      <c r="I9" s="557"/>
      <c r="J9" s="557"/>
      <c r="K9" s="532"/>
    </row>
    <row r="10" spans="1:11" x14ac:dyDescent="0.25">
      <c r="H10" s="557"/>
      <c r="I10" s="557"/>
      <c r="J10" s="557"/>
    </row>
    <row r="12" spans="1:11" ht="36.75" thickBot="1" x14ac:dyDescent="0.3">
      <c r="B12" s="84" t="s">
        <v>19</v>
      </c>
      <c r="C12" s="84" t="s">
        <v>293</v>
      </c>
      <c r="D12" s="84"/>
      <c r="E12" s="84" t="s">
        <v>294</v>
      </c>
      <c r="F12" s="84" t="s">
        <v>295</v>
      </c>
      <c r="G12" s="84" t="s">
        <v>296</v>
      </c>
      <c r="H12" s="84" t="s">
        <v>297</v>
      </c>
      <c r="I12" s="358" t="s">
        <v>298</v>
      </c>
      <c r="J12" s="84" t="s">
        <v>299</v>
      </c>
    </row>
    <row r="13" spans="1:11" x14ac:dyDescent="0.25">
      <c r="B13" s="506" t="str">
        <f>IF(Start!$C17="","",Start!$C17)</f>
        <v>AstraZeneca</v>
      </c>
      <c r="C13" s="507">
        <v>0.2</v>
      </c>
      <c r="D13" s="507" t="str">
        <f>CONCATENATE(B13,C13)</f>
        <v>AstraZeneca0.2</v>
      </c>
      <c r="E13" s="507" cm="1">
        <f t="array" ref="E13">IFERROR(_xlfn.IFS(B13="jansen",0,$D$28=100%,(SUMIF('Supply planning data'!C:C,B13,'Supply planning data'!G:G)-SUMIF('Supply planning data'!C:C,B13,'Supply planning data'!H:H))/(SUMIF('Supply planning data'!C:C,"&lt;&gt;jansen",'Supply planning data'!G:G)-SUMIF('Supply planning data'!C:C,"&lt;&gt;jansen",'Supply planning data'!H:H)),$F$7="yes",C13/SUMIF($B$13:$B$27,"&lt;&gt;jansen",$C$13:$C$27),$F$7="no",(SUMIF('Supply planning data'!C:C,B13,'Supply planning data'!G:G)-SUMIF('Supply planning data'!C:C,B13,'Supply planning data'!H:H))/(SUMIF('Supply planning data'!C:C,"&lt;&gt;jansen",'Supply planning data'!G:G)-SUMIF('Supply planning data'!C:C,"&lt;&gt;jansen",'Supply planning data'!H:H))),"")</f>
        <v>0.87217491617328224</v>
      </c>
      <c r="F13" s="517" cm="1">
        <f t="array" ref="F13">IFERROR(IF(B13="jansen",0,_xlfn.IFS($F$7="no",SUMIF('Supply planning data'!$C:$C,B13,'Supply planning data'!$G:$G)-SUMIF('Supply planning data'!$C:$C,B13,'Supply planning data'!$H:$H),$F$7="yes",(SUMIF('Supply planning data'!$C:$C,"&lt;&gt;jansen",'Supply planning data'!$G:$G)-SUMIF('Supply planning data'!$C:$C,"&lt;&gt;jansen",'Supply planning data'!$H:$H))*E13)),"")</f>
        <v>582912</v>
      </c>
      <c r="G13" s="517">
        <f>IFERROR(F13/$F$4,"")</f>
        <v>291456</v>
      </c>
      <c r="H13" s="517">
        <f>IFERROR((((($F$5*$F$8)-SUM('Supply planning data'!$G:$G))*C13)/$F$4)*IF(B13&lt;&gt;"jansen",2,1),"")</f>
        <v>7914200.6000000006</v>
      </c>
      <c r="I13" s="518">
        <f>IFERROR(IF(((($F$6*$F$8)-SUM('Supply planning data'!$I:$I))*C13)/$F$4&lt;0,0,((($F$6*$F$8)-SUM('Supply planning data'!$I:$I))*C13)/$F$4),"")</f>
        <v>600000</v>
      </c>
      <c r="J13" s="508">
        <f>IFERROR(I13+H13+G13,"")</f>
        <v>8805656.6000000015</v>
      </c>
    </row>
    <row r="14" spans="1:11" x14ac:dyDescent="0.25">
      <c r="B14" s="509" t="str">
        <f>IF(Start!$C18="","",Start!$C18)</f>
        <v>Jansen</v>
      </c>
      <c r="C14" s="510">
        <v>0.05</v>
      </c>
      <c r="D14" s="507" t="str">
        <f t="shared" ref="D14:D27" si="0">CONCATENATE(B14,C14)</f>
        <v>Jansen0.05</v>
      </c>
      <c r="E14" s="507" cm="1">
        <f t="array" ref="E14">IFERROR(_xlfn.IFS(B14="jansen",0,$D$28=100%,(SUMIF('Supply planning data'!C:C,B14,'Supply planning data'!G:G)-SUMIF('Supply planning data'!C:C,B14,'Supply planning data'!H:H))/(SUMIF('Supply planning data'!C:C,"&lt;&gt;jansen",'Supply planning data'!G:G)-SUMIF('Supply planning data'!C:C,"&lt;&gt;jansen",'Supply planning data'!H:H)),$F$7="yes",C14/SUMIF($B$13:$B$27,"&lt;&gt;jansen",$C$13:$C$27),$F$7="no",(SUMIF('Supply planning data'!C:C,B14,'Supply planning data'!G:G)-SUMIF('Supply planning data'!C:C,B14,'Supply planning data'!H:H))/(SUMIF('Supply planning data'!C:C,"&lt;&gt;jansen",'Supply planning data'!G:G)-SUMIF('Supply planning data'!C:C,"&lt;&gt;jansen",'Supply planning data'!H:H))),"")</f>
        <v>0</v>
      </c>
      <c r="F14" s="519" cm="1">
        <f t="array" ref="F14">IFERROR(IF(B14="jansen",0,_xlfn.IFS($F$7="no",SUMIF('Supply planning data'!$C:$C,B14,'Supply planning data'!$G:$G)-SUMIF('Supply planning data'!$C:$C,B14,'Supply planning data'!$H:$H),$F$7="yes",(SUMIF('Supply planning data'!$C:$C,"&lt;&gt;jansen",'Supply planning data'!$G:$G)-SUMIF('Supply planning data'!$C:$C,"&lt;&gt;jansen",'Supply planning data'!$H:$H))*E14)),"")</f>
        <v>0</v>
      </c>
      <c r="G14" s="520">
        <f t="shared" ref="G14:G27" si="1">IFERROR(F14/$F$4,"")</f>
        <v>0</v>
      </c>
      <c r="H14" s="520">
        <f>IFERROR((((($F$5*$F$8)-SUM('Supply planning data'!$G:$G))*C14)/$F$4)*IF(B14&lt;&gt;"jansen",2,1),"")</f>
        <v>989275.07500000007</v>
      </c>
      <c r="I14" s="521">
        <f>IFERROR(IF(((($F$6*$F$8)-SUM('Supply planning data'!$I:$I))*C14)/$F$4&lt;0,0,((($F$6*$F$8)-SUM('Supply planning data'!$I:$I))*C14)/$F$4),"")</f>
        <v>150000</v>
      </c>
      <c r="J14" s="511">
        <f t="shared" ref="J14:J27" si="2">IFERROR(I14+H14+G14,"")</f>
        <v>1139275.0750000002</v>
      </c>
    </row>
    <row r="15" spans="1:11" x14ac:dyDescent="0.25">
      <c r="B15" s="512" t="str">
        <f>IF(Start!$C19="","",Start!$C19)</f>
        <v>Moderna</v>
      </c>
      <c r="C15" s="510">
        <v>0.4</v>
      </c>
      <c r="D15" s="507" t="str">
        <f t="shared" si="0"/>
        <v>Moderna0.4</v>
      </c>
      <c r="E15" s="507" cm="1">
        <f t="array" ref="E15">IFERROR(_xlfn.IFS(B15="jansen",0,$D$28=100%,(SUMIF('Supply planning data'!C:C,B15,'Supply planning data'!G:G)-SUMIF('Supply planning data'!C:C,B15,'Supply planning data'!H:H))/(SUMIF('Supply planning data'!C:C,"&lt;&gt;jansen",'Supply planning data'!G:G)-SUMIF('Supply planning data'!C:C,"&lt;&gt;jansen",'Supply planning data'!H:H)),$F$7="yes",C15/SUMIF($B$13:$B$27,"&lt;&gt;jansen",$C$13:$C$27),$F$7="no",(SUMIF('Supply planning data'!C:C,B15,'Supply planning data'!G:G)-SUMIF('Supply planning data'!C:C,B15,'Supply planning data'!H:H))/(SUMIF('Supply planning data'!C:C,"&lt;&gt;jansen",'Supply planning data'!G:G)-SUMIF('Supply planning data'!C:C,"&lt;&gt;jansen",'Supply planning data'!H:H))),"")</f>
        <v>0</v>
      </c>
      <c r="F15" s="522" cm="1">
        <f t="array" ref="F15">IFERROR(IF(B15="jansen",0,_xlfn.IFS($F$7="no",SUMIF('Supply planning data'!$C:$C,B15,'Supply planning data'!$G:$G)-SUMIF('Supply planning data'!$C:$C,B15,'Supply planning data'!$H:$H),$F$7="yes",(SUMIF('Supply planning data'!$C:$C,"&lt;&gt;jansen",'Supply planning data'!$G:$G)-SUMIF('Supply planning data'!$C:$C,"&lt;&gt;jansen",'Supply planning data'!$H:$H))*E15)),"")</f>
        <v>0</v>
      </c>
      <c r="G15" s="523">
        <f t="shared" si="1"/>
        <v>0</v>
      </c>
      <c r="H15" s="523">
        <f>IFERROR((((($F$5*$F$8)-SUM('Supply planning data'!$G:$G))*C15)/$F$4)*IF(B15&lt;&gt;"jansen",2,1),"")</f>
        <v>15828401.200000001</v>
      </c>
      <c r="I15" s="524">
        <f>IFERROR(IF(((($F$6*$F$8)-SUM('Supply planning data'!$I:$I))*C15)/$F$4&lt;0,0,((($F$6*$F$8)-SUM('Supply planning data'!$I:$I))*C15)/$F$4),"")</f>
        <v>1200000</v>
      </c>
      <c r="J15" s="513">
        <f t="shared" si="2"/>
        <v>17028401.200000003</v>
      </c>
    </row>
    <row r="16" spans="1:11" x14ac:dyDescent="0.25">
      <c r="B16" s="509" t="str">
        <f>IF(Start!$C20="","",Start!$C20)</f>
        <v>Pfizer</v>
      </c>
      <c r="C16" s="510">
        <v>0.15</v>
      </c>
      <c r="D16" s="507" t="str">
        <f t="shared" si="0"/>
        <v>Pfizer0.15</v>
      </c>
      <c r="E16" s="507" cm="1">
        <f t="array" ref="E16">IFERROR(_xlfn.IFS(B16="jansen",0,$D$28=100%,(SUMIF('Supply planning data'!C:C,B16,'Supply planning data'!G:G)-SUMIF('Supply planning data'!C:C,B16,'Supply planning data'!H:H))/(SUMIF('Supply planning data'!C:C,"&lt;&gt;jansen",'Supply planning data'!G:G)-SUMIF('Supply planning data'!C:C,"&lt;&gt;jansen",'Supply planning data'!H:H)),$F$7="yes",C16/SUMIF($B$13:$B$27,"&lt;&gt;jansen",$C$13:$C$27),$F$7="no",(SUMIF('Supply planning data'!C:C,B16,'Supply planning data'!G:G)-SUMIF('Supply planning data'!C:C,B16,'Supply planning data'!H:H))/(SUMIF('Supply planning data'!C:C,"&lt;&gt;jansen",'Supply planning data'!G:G)-SUMIF('Supply planning data'!C:C,"&lt;&gt;jansen",'Supply planning data'!H:H))),"")</f>
        <v>0.12782508382671773</v>
      </c>
      <c r="F16" s="519" cm="1">
        <f t="array" ref="F16">IFERROR(IF(B16="jansen",0,_xlfn.IFS($F$7="no",SUMIF('Supply planning data'!$C:$C,B16,'Supply planning data'!$G:$G)-SUMIF('Supply planning data'!$C:$C,B16,'Supply planning data'!$H:$H),$F$7="yes",(SUMIF('Supply planning data'!$C:$C,"&lt;&gt;jansen",'Supply planning data'!$G:$G)-SUMIF('Supply planning data'!$C:$C,"&lt;&gt;jansen",'Supply planning data'!$H:$H))*E16)),"")</f>
        <v>85431</v>
      </c>
      <c r="G16" s="520">
        <f t="shared" si="1"/>
        <v>42715.5</v>
      </c>
      <c r="H16" s="520">
        <f>IFERROR((((($F$5*$F$8)-SUM('Supply planning data'!$G:$G))*C16)/$F$4)*IF(B16&lt;&gt;"jansen",2,1),"")</f>
        <v>5935650.4500000002</v>
      </c>
      <c r="I16" s="521">
        <f>IFERROR(IF(((($F$6*$F$8)-SUM('Supply planning data'!$I:$I))*C16)/$F$4&lt;0,0,((($F$6*$F$8)-SUM('Supply planning data'!$I:$I))*C16)/$F$4),"")</f>
        <v>450000</v>
      </c>
      <c r="J16" s="511">
        <f t="shared" si="2"/>
        <v>6428365.9500000002</v>
      </c>
    </row>
    <row r="17" spans="2:10" x14ac:dyDescent="0.25">
      <c r="B17" s="512" t="str">
        <f>IF(Start!$C21="","",Start!$C21)</f>
        <v>Sinovac</v>
      </c>
      <c r="C17" s="510">
        <v>0.2</v>
      </c>
      <c r="D17" s="507" t="str">
        <f t="shared" si="0"/>
        <v>Sinovac0.2</v>
      </c>
      <c r="E17" s="507" cm="1">
        <f t="array" ref="E17">IFERROR(_xlfn.IFS(B17="jansen",0,$D$28=100%,(SUMIF('Supply planning data'!C:C,B17,'Supply planning data'!G:G)-SUMIF('Supply planning data'!C:C,B17,'Supply planning data'!H:H))/(SUMIF('Supply planning data'!C:C,"&lt;&gt;jansen",'Supply planning data'!G:G)-SUMIF('Supply planning data'!C:C,"&lt;&gt;jansen",'Supply planning data'!H:H)),$F$7="yes",C17/SUMIF($B$13:$B$27,"&lt;&gt;jansen",$C$13:$C$27),$F$7="no",(SUMIF('Supply planning data'!C:C,B17,'Supply planning data'!G:G)-SUMIF('Supply planning data'!C:C,B17,'Supply planning data'!H:H))/(SUMIF('Supply planning data'!C:C,"&lt;&gt;jansen",'Supply planning data'!G:G)-SUMIF('Supply planning data'!C:C,"&lt;&gt;jansen",'Supply planning data'!H:H))),"")</f>
        <v>0</v>
      </c>
      <c r="F17" s="522" cm="1">
        <f t="array" ref="F17">IFERROR(IF(B17="jansen",0,_xlfn.IFS($F$7="no",SUMIF('Supply planning data'!$C:$C,B17,'Supply planning data'!$G:$G)-SUMIF('Supply planning data'!$C:$C,B17,'Supply planning data'!$H:$H),$F$7="yes",(SUMIF('Supply planning data'!$C:$C,"&lt;&gt;jansen",'Supply planning data'!$G:$G)-SUMIF('Supply planning data'!$C:$C,"&lt;&gt;jansen",'Supply planning data'!$H:$H))*E17)),"")</f>
        <v>0</v>
      </c>
      <c r="G17" s="523">
        <f t="shared" si="1"/>
        <v>0</v>
      </c>
      <c r="H17" s="523">
        <f>IFERROR((((($F$5*$F$8)-SUM('Supply planning data'!$G:$G))*C17)/$F$4)*IF(B17&lt;&gt;"jansen",2,1),"")</f>
        <v>7914200.6000000006</v>
      </c>
      <c r="I17" s="524">
        <f>IFERROR(IF(((($F$6*$F$8)-SUM('Supply planning data'!$I:$I))*C17)/$F$4&lt;0,0,((($F$6*$F$8)-SUM('Supply planning data'!$I:$I))*C17)/$F$4),"")</f>
        <v>600000</v>
      </c>
      <c r="J17" s="513">
        <f t="shared" si="2"/>
        <v>8514200.6000000015</v>
      </c>
    </row>
    <row r="18" spans="2:10" x14ac:dyDescent="0.25">
      <c r="B18" s="509" t="str">
        <f>IF(Start!$C22="","",Start!$C22)</f>
        <v/>
      </c>
      <c r="C18" s="510"/>
      <c r="D18" s="507" t="str">
        <f t="shared" si="0"/>
        <v/>
      </c>
      <c r="E18" s="507" cm="1">
        <f t="array" ref="E18">IFERROR(_xlfn.IFS(B18="jansen",0,$D$28=100%,(SUMIF('Supply planning data'!C:C,B18,'Supply planning data'!G:G)-SUMIF('Supply planning data'!C:C,B18,'Supply planning data'!H:H))/(SUMIF('Supply planning data'!C:C,"&lt;&gt;jansen",'Supply planning data'!G:G)-SUMIF('Supply planning data'!C:C,"&lt;&gt;jansen",'Supply planning data'!H:H)),$F$7="yes",C18/SUMIF($B$13:$B$27,"&lt;&gt;jansen",$C$13:$C$27),$F$7="no",(SUMIF('Supply planning data'!C:C,B18,'Supply planning data'!G:G)-SUMIF('Supply planning data'!C:C,B18,'Supply planning data'!H:H))/(SUMIF('Supply planning data'!C:C,"&lt;&gt;jansen",'Supply planning data'!G:G)-SUMIF('Supply planning data'!C:C,"&lt;&gt;jansen",'Supply planning data'!H:H))),"")</f>
        <v>0</v>
      </c>
      <c r="F18" s="519" cm="1">
        <f t="array" ref="F18">IFERROR(IF(B18="jansen",0,_xlfn.IFS($F$7="no",SUMIF('Supply planning data'!$C:$C,B18,'Supply planning data'!$G:$G)-SUMIF('Supply planning data'!$C:$C,B18,'Supply planning data'!$H:$H),$F$7="yes",(SUMIF('Supply planning data'!$C:$C,"&lt;&gt;jansen",'Supply planning data'!$G:$G)-SUMIF('Supply planning data'!$C:$C,"&lt;&gt;jansen",'Supply planning data'!$H:$H))*E18)),"")</f>
        <v>0</v>
      </c>
      <c r="G18" s="520">
        <f t="shared" si="1"/>
        <v>0</v>
      </c>
      <c r="H18" s="520">
        <f>IFERROR((((($F$5*$F$8)-SUM('Supply planning data'!$G:$G))*C18)/$F$4)*IF(B18&lt;&gt;"jansen",2,1),"")</f>
        <v>0</v>
      </c>
      <c r="I18" s="521">
        <f>IFERROR(IF(((($F$6*$F$8)-SUM('Supply planning data'!$I:$I))*C18)/$F$4&lt;0,0,((($F$6*$F$8)-SUM('Supply planning data'!$I:$I))*C18)/$F$4),"")</f>
        <v>0</v>
      </c>
      <c r="J18" s="511">
        <f t="shared" si="2"/>
        <v>0</v>
      </c>
    </row>
    <row r="19" spans="2:10" x14ac:dyDescent="0.25">
      <c r="B19" s="512" t="str">
        <f>IF(Start!$C23="","",Start!$C23)</f>
        <v/>
      </c>
      <c r="C19" s="510"/>
      <c r="D19" s="507" t="str">
        <f t="shared" si="0"/>
        <v/>
      </c>
      <c r="E19" s="507" cm="1">
        <f t="array" ref="E19">IFERROR(_xlfn.IFS(B19="jansen",0,$D$28=100%,(SUMIF('Supply planning data'!C:C,B19,'Supply planning data'!G:G)-SUMIF('Supply planning data'!C:C,B19,'Supply planning data'!H:H))/(SUMIF('Supply planning data'!C:C,"&lt;&gt;jansen",'Supply planning data'!G:G)-SUMIF('Supply planning data'!C:C,"&lt;&gt;jansen",'Supply planning data'!H:H)),$F$7="yes",C19/SUMIF($B$13:$B$27,"&lt;&gt;jansen",$C$13:$C$27),$F$7="no",(SUMIF('Supply planning data'!C:C,B19,'Supply planning data'!G:G)-SUMIF('Supply planning data'!C:C,B19,'Supply planning data'!H:H))/(SUMIF('Supply planning data'!C:C,"&lt;&gt;jansen",'Supply planning data'!G:G)-SUMIF('Supply planning data'!C:C,"&lt;&gt;jansen",'Supply planning data'!H:H))),"")</f>
        <v>0</v>
      </c>
      <c r="F19" s="522" cm="1">
        <f t="array" ref="F19">IFERROR(IF(B19="jansen",0,_xlfn.IFS($F$7="no",SUMIF('Supply planning data'!$C:$C,B19,'Supply planning data'!$G:$G)-SUMIF('Supply planning data'!$C:$C,B19,'Supply planning data'!$H:$H),$F$7="yes",(SUMIF('Supply planning data'!$C:$C,"&lt;&gt;jansen",'Supply planning data'!$G:$G)-SUMIF('Supply planning data'!$C:$C,"&lt;&gt;jansen",'Supply planning data'!$H:$H))*E19)),"")</f>
        <v>0</v>
      </c>
      <c r="G19" s="523">
        <f t="shared" si="1"/>
        <v>0</v>
      </c>
      <c r="H19" s="523">
        <f>IFERROR((((($F$5*$F$8)-SUM('Supply planning data'!$G:$G))*C19)/$F$4)*IF(B19&lt;&gt;"jansen",2,1),"")</f>
        <v>0</v>
      </c>
      <c r="I19" s="524">
        <f>IFERROR(IF(((($F$6*$F$8)-SUM('Supply planning data'!$I:$I))*C19)/$F$4&lt;0,0,((($F$6*$F$8)-SUM('Supply planning data'!$I:$I))*C19)/$F$4),"")</f>
        <v>0</v>
      </c>
      <c r="J19" s="513">
        <f t="shared" si="2"/>
        <v>0</v>
      </c>
    </row>
    <row r="20" spans="2:10" x14ac:dyDescent="0.25">
      <c r="B20" s="509" t="str">
        <f>IF(Start!$C24="","",Start!$C24)</f>
        <v/>
      </c>
      <c r="C20" s="510"/>
      <c r="D20" s="507" t="str">
        <f t="shared" si="0"/>
        <v/>
      </c>
      <c r="E20" s="507" cm="1">
        <f t="array" ref="E20">IFERROR(_xlfn.IFS(B20="jansen",0,$D$28=100%,(SUMIF('Supply planning data'!C:C,B20,'Supply planning data'!G:G)-SUMIF('Supply planning data'!C:C,B20,'Supply planning data'!H:H))/(SUMIF('Supply planning data'!C:C,"&lt;&gt;jansen",'Supply planning data'!G:G)-SUMIF('Supply planning data'!C:C,"&lt;&gt;jansen",'Supply planning data'!H:H)),$F$7="yes",C20/SUMIF($B$13:$B$27,"&lt;&gt;jansen",$C$13:$C$27),$F$7="no",(SUMIF('Supply planning data'!C:C,B20,'Supply planning data'!G:G)-SUMIF('Supply planning data'!C:C,B20,'Supply planning data'!H:H))/(SUMIF('Supply planning data'!C:C,"&lt;&gt;jansen",'Supply planning data'!G:G)-SUMIF('Supply planning data'!C:C,"&lt;&gt;jansen",'Supply planning data'!H:H))),"")</f>
        <v>0</v>
      </c>
      <c r="F20" s="519" cm="1">
        <f t="array" ref="F20">IFERROR(IF(B20="jansen",0,_xlfn.IFS($F$7="no",SUMIF('Supply planning data'!$C:$C,B20,'Supply planning data'!$G:$G)-SUMIF('Supply planning data'!$C:$C,B20,'Supply planning data'!$H:$H),$F$7="yes",(SUMIF('Supply planning data'!$C:$C,"&lt;&gt;jansen",'Supply planning data'!$G:$G)-SUMIF('Supply planning data'!$C:$C,"&lt;&gt;jansen",'Supply planning data'!$H:$H))*E20)),"")</f>
        <v>0</v>
      </c>
      <c r="G20" s="520">
        <f t="shared" si="1"/>
        <v>0</v>
      </c>
      <c r="H20" s="520">
        <f>IFERROR((((($F$5*$F$8)-SUM('Supply planning data'!$G:$G))*C20)/$F$4)*IF(B20&lt;&gt;"jansen",2,1),"")</f>
        <v>0</v>
      </c>
      <c r="I20" s="521">
        <f>IFERROR(IF(((($F$6*$F$8)-SUM('Supply planning data'!$I:$I))*C20)/$F$4&lt;0,0,((($F$6*$F$8)-SUM('Supply planning data'!$I:$I))*C20)/$F$4),"")</f>
        <v>0</v>
      </c>
      <c r="J20" s="511">
        <f t="shared" si="2"/>
        <v>0</v>
      </c>
    </row>
    <row r="21" spans="2:10" x14ac:dyDescent="0.25">
      <c r="B21" s="512" t="str">
        <f>IF(Start!$C25="","",Start!$C25)</f>
        <v/>
      </c>
      <c r="C21" s="510"/>
      <c r="D21" s="507" t="str">
        <f t="shared" si="0"/>
        <v/>
      </c>
      <c r="E21" s="507" cm="1">
        <f t="array" ref="E21">IFERROR(_xlfn.IFS(B21="jansen",0,$D$28=100%,(SUMIF('Supply planning data'!C:C,B21,'Supply planning data'!G:G)-SUMIF('Supply planning data'!C:C,B21,'Supply planning data'!H:H))/(SUMIF('Supply planning data'!C:C,"&lt;&gt;jansen",'Supply planning data'!G:G)-SUMIF('Supply planning data'!C:C,"&lt;&gt;jansen",'Supply planning data'!H:H)),$F$7="yes",C21/SUMIF($B$13:$B$27,"&lt;&gt;jansen",$C$13:$C$27),$F$7="no",(SUMIF('Supply planning data'!C:C,B21,'Supply planning data'!G:G)-SUMIF('Supply planning data'!C:C,B21,'Supply planning data'!H:H))/(SUMIF('Supply planning data'!C:C,"&lt;&gt;jansen",'Supply planning data'!G:G)-SUMIF('Supply planning data'!C:C,"&lt;&gt;jansen",'Supply planning data'!H:H))),"")</f>
        <v>0</v>
      </c>
      <c r="F21" s="522" cm="1">
        <f t="array" ref="F21">IFERROR(IF(B21="jansen",0,_xlfn.IFS($F$7="no",SUMIF('Supply planning data'!$C:$C,B21,'Supply planning data'!$G:$G)-SUMIF('Supply planning data'!$C:$C,B21,'Supply planning data'!$H:$H),$F$7="yes",(SUMIF('Supply planning data'!$C:$C,"&lt;&gt;jansen",'Supply planning data'!$G:$G)-SUMIF('Supply planning data'!$C:$C,"&lt;&gt;jansen",'Supply planning data'!$H:$H))*E21)),"")</f>
        <v>0</v>
      </c>
      <c r="G21" s="523">
        <f t="shared" si="1"/>
        <v>0</v>
      </c>
      <c r="H21" s="523">
        <f>IFERROR((((($F$5*$F$8)-SUM('Supply planning data'!$G:$G))*C21)/$F$4)*IF(B21&lt;&gt;"jansen",2,1),"")</f>
        <v>0</v>
      </c>
      <c r="I21" s="524">
        <f>IFERROR(IF(((($F$6*$F$8)-SUM('Supply planning data'!$I:$I))*C21)/$F$4&lt;0,0,((($F$6*$F$8)-SUM('Supply planning data'!$I:$I))*C21)/$F$4),"")</f>
        <v>0</v>
      </c>
      <c r="J21" s="513">
        <f t="shared" si="2"/>
        <v>0</v>
      </c>
    </row>
    <row r="22" spans="2:10" x14ac:dyDescent="0.25">
      <c r="B22" s="509" t="str">
        <f>IF(Start!$C26="","",Start!$C26)</f>
        <v/>
      </c>
      <c r="C22" s="510"/>
      <c r="D22" s="507" t="str">
        <f t="shared" si="0"/>
        <v/>
      </c>
      <c r="E22" s="507" cm="1">
        <f t="array" ref="E22">IFERROR(_xlfn.IFS(B22="jansen",0,$D$28=100%,(SUMIF('Supply planning data'!C:C,B22,'Supply planning data'!G:G)-SUMIF('Supply planning data'!C:C,B22,'Supply planning data'!H:H))/(SUMIF('Supply planning data'!C:C,"&lt;&gt;jansen",'Supply planning data'!G:G)-SUMIF('Supply planning data'!C:C,"&lt;&gt;jansen",'Supply planning data'!H:H)),$F$7="yes",C22/SUMIF($B$13:$B$27,"&lt;&gt;jansen",$C$13:$C$27),$F$7="no",(SUMIF('Supply planning data'!C:C,B22,'Supply planning data'!G:G)-SUMIF('Supply planning data'!C:C,B22,'Supply planning data'!H:H))/(SUMIF('Supply planning data'!C:C,"&lt;&gt;jansen",'Supply planning data'!G:G)-SUMIF('Supply planning data'!C:C,"&lt;&gt;jansen",'Supply planning data'!H:H))),"")</f>
        <v>0</v>
      </c>
      <c r="F22" s="519" cm="1">
        <f t="array" ref="F22">IFERROR(IF(B22="jansen",0,_xlfn.IFS($F$7="no",SUMIF('Supply planning data'!$C:$C,B22,'Supply planning data'!$G:$G)-SUMIF('Supply planning data'!$C:$C,B22,'Supply planning data'!$H:$H),$F$7="yes",(SUMIF('Supply planning data'!$C:$C,"&lt;&gt;jansen",'Supply planning data'!$G:$G)-SUMIF('Supply planning data'!$C:$C,"&lt;&gt;jansen",'Supply planning data'!$H:$H))*E22)),"")</f>
        <v>0</v>
      </c>
      <c r="G22" s="520">
        <f t="shared" si="1"/>
        <v>0</v>
      </c>
      <c r="H22" s="520">
        <f>IFERROR((((($F$5*$F$8)-SUM('Supply planning data'!$G:$G))*C22)/$F$4)*IF(B22&lt;&gt;"jansen",2,1),"")</f>
        <v>0</v>
      </c>
      <c r="I22" s="521">
        <f>IFERROR(IF(((($F$6*$F$8)-SUM('Supply planning data'!$I:$I))*C22)/$F$4&lt;0,0,((($F$6*$F$8)-SUM('Supply planning data'!$I:$I))*C22)/$F$4),"")</f>
        <v>0</v>
      </c>
      <c r="J22" s="511">
        <f t="shared" si="2"/>
        <v>0</v>
      </c>
    </row>
    <row r="23" spans="2:10" x14ac:dyDescent="0.25">
      <c r="B23" s="512" t="str">
        <f>IF(Start!$C27="","",Start!$C27)</f>
        <v/>
      </c>
      <c r="C23" s="510"/>
      <c r="D23" s="507" t="str">
        <f t="shared" si="0"/>
        <v/>
      </c>
      <c r="E23" s="507" cm="1">
        <f t="array" ref="E23">IFERROR(_xlfn.IFS(B23="jansen",0,$D$28=100%,(SUMIF('Supply planning data'!C:C,B23,'Supply planning data'!G:G)-SUMIF('Supply planning data'!C:C,B23,'Supply planning data'!H:H))/(SUMIF('Supply planning data'!C:C,"&lt;&gt;jansen",'Supply planning data'!G:G)-SUMIF('Supply planning data'!C:C,"&lt;&gt;jansen",'Supply planning data'!H:H)),$F$7="yes",C23/SUMIF($B$13:$B$27,"&lt;&gt;jansen",$C$13:$C$27),$F$7="no",(SUMIF('Supply planning data'!C:C,B23,'Supply planning data'!G:G)-SUMIF('Supply planning data'!C:C,B23,'Supply planning data'!H:H))/(SUMIF('Supply planning data'!C:C,"&lt;&gt;jansen",'Supply planning data'!G:G)-SUMIF('Supply planning data'!C:C,"&lt;&gt;jansen",'Supply planning data'!H:H))),"")</f>
        <v>0</v>
      </c>
      <c r="F23" s="522" cm="1">
        <f t="array" ref="F23">IFERROR(IF(B23="jansen",0,_xlfn.IFS($F$7="no",SUMIF('Supply planning data'!$C:$C,B23,'Supply planning data'!$G:$G)-SUMIF('Supply planning data'!$C:$C,B23,'Supply planning data'!$H:$H),$F$7="yes",(SUMIF('Supply planning data'!$C:$C,"&lt;&gt;jansen",'Supply planning data'!$G:$G)-SUMIF('Supply planning data'!$C:$C,"&lt;&gt;jansen",'Supply planning data'!$H:$H))*E23)),"")</f>
        <v>0</v>
      </c>
      <c r="G23" s="523">
        <f t="shared" si="1"/>
        <v>0</v>
      </c>
      <c r="H23" s="523">
        <f>IFERROR((((($F$5*$F$8)-SUM('Supply planning data'!$G:$G))*C23)/$F$4)*IF(B23&lt;&gt;"jansen",2,1),"")</f>
        <v>0</v>
      </c>
      <c r="I23" s="524">
        <f>IFERROR(IF(((($F$6*$F$8)-SUM('Supply planning data'!$I:$I))*C23)/$F$4&lt;0,0,((($F$6*$F$8)-SUM('Supply planning data'!$I:$I))*C23)/$F$4),"")</f>
        <v>0</v>
      </c>
      <c r="J23" s="513">
        <f t="shared" si="2"/>
        <v>0</v>
      </c>
    </row>
    <row r="24" spans="2:10" x14ac:dyDescent="0.25">
      <c r="B24" s="509" t="str">
        <f>IF(Start!$C28="","",Start!$C28)</f>
        <v/>
      </c>
      <c r="C24" s="510"/>
      <c r="D24" s="507" t="str">
        <f t="shared" si="0"/>
        <v/>
      </c>
      <c r="E24" s="507" cm="1">
        <f t="array" ref="E24">IFERROR(_xlfn.IFS(B24="jansen",0,$D$28=100%,(SUMIF('Supply planning data'!C:C,B24,'Supply planning data'!G:G)-SUMIF('Supply planning data'!C:C,B24,'Supply planning data'!H:H))/(SUMIF('Supply planning data'!C:C,"&lt;&gt;jansen",'Supply planning data'!G:G)-SUMIF('Supply planning data'!C:C,"&lt;&gt;jansen",'Supply planning data'!H:H)),$F$7="yes",C24/SUMIF($B$13:$B$27,"&lt;&gt;jansen",$C$13:$C$27),$F$7="no",(SUMIF('Supply planning data'!C:C,B24,'Supply planning data'!G:G)-SUMIF('Supply planning data'!C:C,B24,'Supply planning data'!H:H))/(SUMIF('Supply planning data'!C:C,"&lt;&gt;jansen",'Supply planning data'!G:G)-SUMIF('Supply planning data'!C:C,"&lt;&gt;jansen",'Supply planning data'!H:H))),"")</f>
        <v>0</v>
      </c>
      <c r="F24" s="519" cm="1">
        <f t="array" ref="F24">IFERROR(IF(B24="jansen",0,_xlfn.IFS($F$7="no",SUMIF('Supply planning data'!$C:$C,B24,'Supply planning data'!$G:$G)-SUMIF('Supply planning data'!$C:$C,B24,'Supply planning data'!$H:$H),$F$7="yes",(SUMIF('Supply planning data'!$C:$C,"&lt;&gt;jansen",'Supply planning data'!$G:$G)-SUMIF('Supply planning data'!$C:$C,"&lt;&gt;jansen",'Supply planning data'!$H:$H))*E24)),"")</f>
        <v>0</v>
      </c>
      <c r="G24" s="520">
        <f t="shared" si="1"/>
        <v>0</v>
      </c>
      <c r="H24" s="520">
        <f>IFERROR((((($F$5*$F$8)-SUM('Supply planning data'!$G:$G))*C24)/$F$4)*IF(B24&lt;&gt;"jansen",2,1),"")</f>
        <v>0</v>
      </c>
      <c r="I24" s="521">
        <f>IFERROR(IF(((($F$6*$F$8)-SUM('Supply planning data'!$I:$I))*C24)/$F$4&lt;0,0,((($F$6*$F$8)-SUM('Supply planning data'!$I:$I))*C24)/$F$4),"")</f>
        <v>0</v>
      </c>
      <c r="J24" s="511">
        <f t="shared" si="2"/>
        <v>0</v>
      </c>
    </row>
    <row r="25" spans="2:10" x14ac:dyDescent="0.25">
      <c r="B25" s="512" t="str">
        <f>IF(Start!$C29="","",Start!$C29)</f>
        <v/>
      </c>
      <c r="C25" s="510"/>
      <c r="D25" s="507" t="str">
        <f t="shared" si="0"/>
        <v/>
      </c>
      <c r="E25" s="507" cm="1">
        <f t="array" ref="E25">IFERROR(_xlfn.IFS(B25="jansen",0,$D$28=100%,(SUMIF('Supply planning data'!C:C,B25,'Supply planning data'!G:G)-SUMIF('Supply planning data'!C:C,B25,'Supply planning data'!H:H))/(SUMIF('Supply planning data'!C:C,"&lt;&gt;jansen",'Supply planning data'!G:G)-SUMIF('Supply planning data'!C:C,"&lt;&gt;jansen",'Supply planning data'!H:H)),$F$7="yes",C25/SUMIF($B$13:$B$27,"&lt;&gt;jansen",$C$13:$C$27),$F$7="no",(SUMIF('Supply planning data'!C:C,B25,'Supply planning data'!G:G)-SUMIF('Supply planning data'!C:C,B25,'Supply planning data'!H:H))/(SUMIF('Supply planning data'!C:C,"&lt;&gt;jansen",'Supply planning data'!G:G)-SUMIF('Supply planning data'!C:C,"&lt;&gt;jansen",'Supply planning data'!H:H))),"")</f>
        <v>0</v>
      </c>
      <c r="F25" s="522" cm="1">
        <f t="array" ref="F25">IFERROR(IF(B25="jansen",0,_xlfn.IFS($F$7="no",SUMIF('Supply planning data'!$C:$C,B25,'Supply planning data'!$G:$G)-SUMIF('Supply planning data'!$C:$C,B25,'Supply planning data'!$H:$H),$F$7="yes",(SUMIF('Supply planning data'!$C:$C,"&lt;&gt;jansen",'Supply planning data'!$G:$G)-SUMIF('Supply planning data'!$C:$C,"&lt;&gt;jansen",'Supply planning data'!$H:$H))*E25)),"")</f>
        <v>0</v>
      </c>
      <c r="G25" s="523">
        <f t="shared" si="1"/>
        <v>0</v>
      </c>
      <c r="H25" s="523">
        <f>IFERROR((((($F$5*$F$8)-SUM('Supply planning data'!$G:$G))*C25)/$F$4)*IF(B25&lt;&gt;"jansen",2,1),"")</f>
        <v>0</v>
      </c>
      <c r="I25" s="524">
        <f>IFERROR(IF(((($F$6*$F$8)-SUM('Supply planning data'!$I:$I))*C25)/$F$4&lt;0,0,((($F$6*$F$8)-SUM('Supply planning data'!$I:$I))*C25)/$F$4),"")</f>
        <v>0</v>
      </c>
      <c r="J25" s="513">
        <f t="shared" si="2"/>
        <v>0</v>
      </c>
    </row>
    <row r="26" spans="2:10" x14ac:dyDescent="0.25">
      <c r="B26" s="509" t="str">
        <f>IF(Start!$C30="","",Start!$C30)</f>
        <v/>
      </c>
      <c r="C26" s="507"/>
      <c r="D26" s="507" t="str">
        <f t="shared" si="0"/>
        <v/>
      </c>
      <c r="E26" s="507" cm="1">
        <f t="array" ref="E26">IFERROR(_xlfn.IFS(B26="jansen",0,$D$28=100%,(SUMIF('Supply planning data'!C:C,B26,'Supply planning data'!G:G)-SUMIF('Supply planning data'!C:C,B26,'Supply planning data'!H:H))/(SUMIF('Supply planning data'!C:C,"&lt;&gt;jansen",'Supply planning data'!G:G)-SUMIF('Supply planning data'!C:C,"&lt;&gt;jansen",'Supply planning data'!H:H)),$F$7="yes",C26/SUMIF($B$13:$B$27,"&lt;&gt;jansen",$C$13:$C$27),$F$7="no",(SUMIF('Supply planning data'!C:C,B26,'Supply planning data'!G:G)-SUMIF('Supply planning data'!C:C,B26,'Supply planning data'!H:H))/(SUMIF('Supply planning data'!C:C,"&lt;&gt;jansen",'Supply planning data'!G:G)-SUMIF('Supply planning data'!C:C,"&lt;&gt;jansen",'Supply planning data'!H:H))),"")</f>
        <v>0</v>
      </c>
      <c r="F26" s="519" cm="1">
        <f t="array" ref="F26">IFERROR(IF(B26="jansen",0,_xlfn.IFS($F$7="no",SUMIF('Supply planning data'!$C:$C,B26,'Supply planning data'!$G:$G)-SUMIF('Supply planning data'!$C:$C,B26,'Supply planning data'!$H:$H),$F$7="yes",(SUMIF('Supply planning data'!$C:$C,"&lt;&gt;jansen",'Supply planning data'!$G:$G)-SUMIF('Supply planning data'!$C:$C,"&lt;&gt;jansen",'Supply planning data'!$H:$H))*E26)),"")</f>
        <v>0</v>
      </c>
      <c r="G26" s="520">
        <f t="shared" si="1"/>
        <v>0</v>
      </c>
      <c r="H26" s="520">
        <f>IFERROR((((($F$5*$F$8)-SUM('Supply planning data'!$G:$G))*C26)/$F$4)*IF(B26&lt;&gt;"jansen",2,1),"")</f>
        <v>0</v>
      </c>
      <c r="I26" s="521">
        <f>IFERROR(IF(((($F$6*$F$8)-SUM('Supply planning data'!$I:$I))*C26)/$F$4&lt;0,0,((($F$6*$F$8)-SUM('Supply planning data'!$I:$I))*C26)/$F$4),"")</f>
        <v>0</v>
      </c>
      <c r="J26" s="511">
        <f t="shared" si="2"/>
        <v>0</v>
      </c>
    </row>
    <row r="27" spans="2:10" ht="15.75" thickBot="1" x14ac:dyDescent="0.3">
      <c r="B27" s="514" t="str">
        <f>IF(Start!$C31="","",Start!$C31)</f>
        <v/>
      </c>
      <c r="C27" s="515"/>
      <c r="D27" s="507" t="str">
        <f t="shared" si="0"/>
        <v/>
      </c>
      <c r="E27" s="507" cm="1">
        <f t="array" ref="E27">IFERROR(_xlfn.IFS(B27="jansen",0,$D$28=100%,(SUMIF('Supply planning data'!C:C,B27,'Supply planning data'!G:G)-SUMIF('Supply planning data'!C:C,B27,'Supply planning data'!H:H))/(SUMIF('Supply planning data'!C:C,"&lt;&gt;jansen",'Supply planning data'!G:G)-SUMIF('Supply planning data'!C:C,"&lt;&gt;jansen",'Supply planning data'!H:H)),$F$7="yes",C27/SUMIF($B$13:$B$27,"&lt;&gt;jansen",$C$13:$C$27),$F$7="no",(SUMIF('Supply planning data'!C:C,B27,'Supply planning data'!G:G)-SUMIF('Supply planning data'!C:C,B27,'Supply planning data'!H:H))/(SUMIF('Supply planning data'!C:C,"&lt;&gt;jansen",'Supply planning data'!G:G)-SUMIF('Supply planning data'!C:C,"&lt;&gt;jansen",'Supply planning data'!H:H))),"")</f>
        <v>0</v>
      </c>
      <c r="F27" s="525" cm="1">
        <f t="array" ref="F27">IFERROR(IF(B27="jansen",0,_xlfn.IFS($F$7="no",SUMIF('Supply planning data'!$C:$C,B27,'Supply planning data'!$G:$G)-SUMIF('Supply planning data'!$C:$C,B27,'Supply planning data'!$H:$H),$F$7="yes",(SUMIF('Supply planning data'!$C:$C,"&lt;&gt;jansen",'Supply planning data'!$G:$G)-SUMIF('Supply planning data'!$C:$C,"&lt;&gt;jansen",'Supply planning data'!$H:$H))*E27)),"")</f>
        <v>0</v>
      </c>
      <c r="G27" s="526">
        <f t="shared" si="1"/>
        <v>0</v>
      </c>
      <c r="H27" s="526">
        <f>IFERROR((((($F$5*$F$8)-SUM('Supply planning data'!$G:$G))*C27)/$F$4)*IF(B27&lt;&gt;"jansen",2,1),"")</f>
        <v>0</v>
      </c>
      <c r="I27" s="527">
        <f>IFERROR(IF(((($F$6*$F$8)-SUM('Supply planning data'!$I:$I))*C27)/$F$4&lt;0,0,((($F$6*$F$8)-SUM('Supply planning data'!$I:$I))*C27)/$F$4),"")</f>
        <v>0</v>
      </c>
      <c r="J27" s="516">
        <f t="shared" si="2"/>
        <v>0</v>
      </c>
    </row>
    <row r="28" spans="2:10" ht="30" x14ac:dyDescent="0.25">
      <c r="B28" s="533" t="s">
        <v>300</v>
      </c>
      <c r="C28" s="534">
        <f>SUM(C13:C27)</f>
        <v>1</v>
      </c>
      <c r="D28" s="534">
        <f>COUNTIF(D13:D27,"jansen1")</f>
        <v>0</v>
      </c>
      <c r="E28" s="534">
        <f>SUM(E13:E27)</f>
        <v>1</v>
      </c>
      <c r="F28" s="530">
        <f t="shared" ref="F28:J28" si="3">SUM(F13:F27)</f>
        <v>668343</v>
      </c>
      <c r="G28" s="530">
        <f t="shared" si="3"/>
        <v>334171.5</v>
      </c>
      <c r="H28" s="530">
        <f t="shared" si="3"/>
        <v>38581727.924999997</v>
      </c>
      <c r="I28" s="530">
        <f t="shared" si="3"/>
        <v>3000000</v>
      </c>
      <c r="J28" s="531">
        <f t="shared" si="3"/>
        <v>41915899.425000004</v>
      </c>
    </row>
    <row r="29" spans="2:10" x14ac:dyDescent="0.25">
      <c r="B29" s="77"/>
      <c r="C29" s="41"/>
      <c r="D29" s="41"/>
      <c r="E29" s="41"/>
      <c r="F29"/>
      <c r="G29"/>
      <c r="H29"/>
      <c r="I29"/>
      <c r="J29"/>
    </row>
    <row r="30" spans="2:10" x14ac:dyDescent="0.25">
      <c r="F30"/>
      <c r="G30"/>
      <c r="H30"/>
      <c r="I30"/>
      <c r="J30"/>
    </row>
    <row r="31" spans="2:10" x14ac:dyDescent="0.25">
      <c r="B31" s="529" t="str">
        <f>"Total doses needed for "&amp;F4&amp;" months"</f>
        <v>Total doses needed for 2 months</v>
      </c>
      <c r="C31" s="41"/>
      <c r="D31" s="41"/>
      <c r="E31" s="41"/>
      <c r="F31" s="530"/>
      <c r="G31" s="530">
        <f>G28*$F$4</f>
        <v>668343</v>
      </c>
      <c r="H31" s="530">
        <f>H28*$F$4</f>
        <v>77163455.849999994</v>
      </c>
      <c r="I31" s="530">
        <f t="shared" ref="I31:J31" si="4">I28*$F$4</f>
        <v>6000000</v>
      </c>
      <c r="J31" s="531">
        <f t="shared" si="4"/>
        <v>83831798.850000009</v>
      </c>
    </row>
    <row r="34" spans="5:5" x14ac:dyDescent="0.25">
      <c r="E34" s="538"/>
    </row>
  </sheetData>
  <sheetProtection algorithmName="SHA-512" hashValue="mSD3Lm3C3glGvsGyQZZ5aWMqyr+zmCnxibUR7FXqgPtQGJmJYfzcc59ORDYpIuPsgyl9eVu0kRyQH73ptwLy9w==" saltValue="1L/9IIuup8BBYcqZA12O/Q==" spinCount="100000" sheet="1" scenarios="1" formatCells="0" formatColumns="0" formatRows="0"/>
  <mergeCells count="7">
    <mergeCell ref="B9:C9"/>
    <mergeCell ref="H4:J10"/>
    <mergeCell ref="B4:C4"/>
    <mergeCell ref="B5:C5"/>
    <mergeCell ref="B6:C6"/>
    <mergeCell ref="B7:C7"/>
    <mergeCell ref="B8:C8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323593-4AA1-4578-A2A0-F1FE7CA90753}">
          <x14:formula1>
            <xm:f>list!$W$1:$W$2</xm:f>
          </x14:formula1>
          <xm:sqref>F7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180E9-93A8-4532-AA2A-2A53C4D81032}">
  <sheetPr filterMode="1"/>
  <dimension ref="A1:AM906"/>
  <sheetViews>
    <sheetView showGridLines="0" topLeftCell="A3" zoomScale="110" zoomScaleNormal="110" workbookViewId="0">
      <selection activeCell="B6" sqref="B6"/>
    </sheetView>
  </sheetViews>
  <sheetFormatPr defaultRowHeight="15" x14ac:dyDescent="0.25"/>
  <cols>
    <col min="1" max="1" width="11.5703125" bestFit="1" customWidth="1"/>
    <col min="3" max="3" width="0" hidden="1" customWidth="1"/>
    <col min="4" max="4" width="11.140625" customWidth="1"/>
    <col min="5" max="7" width="0" hidden="1" customWidth="1"/>
    <col min="8" max="8" width="13.28515625" customWidth="1"/>
    <col min="9" max="9" width="12" customWidth="1"/>
    <col min="10" max="10" width="0" hidden="1" customWidth="1"/>
    <col min="11" max="11" width="13.5703125" customWidth="1"/>
    <col min="12" max="12" width="12.42578125" bestFit="1" customWidth="1"/>
    <col min="13" max="15" width="0" hidden="1" customWidth="1"/>
    <col min="16" max="17" width="10.28515625" customWidth="1"/>
    <col min="18" max="18" width="0" hidden="1" customWidth="1"/>
    <col min="20" max="20" width="11" bestFit="1" customWidth="1"/>
    <col min="21" max="21" width="9.7109375" bestFit="1" customWidth="1"/>
    <col min="22" max="23" width="14.5703125" customWidth="1"/>
    <col min="24" max="26" width="14.42578125" bestFit="1" customWidth="1"/>
    <col min="27" max="27" width="11.85546875" hidden="1" customWidth="1"/>
    <col min="28" max="28" width="12.5703125" bestFit="1" customWidth="1"/>
    <col min="29" max="29" width="15" bestFit="1" customWidth="1"/>
    <col min="31" max="33" width="9.140625" hidden="1" customWidth="1"/>
    <col min="34" max="34" width="13.28515625" hidden="1" customWidth="1"/>
    <col min="35" max="35" width="10.42578125" hidden="1" customWidth="1"/>
    <col min="36" max="37" width="10" hidden="1" customWidth="1"/>
    <col min="38" max="38" width="11.42578125" hidden="1" customWidth="1"/>
    <col min="39" max="39" width="8.7109375" hidden="1" customWidth="1"/>
  </cols>
  <sheetData>
    <row r="1" spans="1:39" ht="23.25" x14ac:dyDescent="0.25">
      <c r="A1" s="78" t="s">
        <v>301</v>
      </c>
    </row>
    <row r="2" spans="1:39" hidden="1" x14ac:dyDescent="0.25">
      <c r="A2" s="335"/>
      <c r="B2" s="335"/>
      <c r="C2" s="334"/>
      <c r="D2" s="335"/>
      <c r="E2" s="334"/>
      <c r="F2" s="334"/>
      <c r="G2" s="334"/>
      <c r="H2" s="335"/>
      <c r="I2" s="335"/>
      <c r="J2" s="334"/>
      <c r="K2" s="335"/>
      <c r="L2" s="335"/>
      <c r="M2" s="334"/>
      <c r="N2" s="334"/>
      <c r="O2" s="334"/>
      <c r="P2" s="335"/>
      <c r="Q2" s="335"/>
      <c r="R2" s="334"/>
      <c r="S2" s="335"/>
      <c r="T2" s="335"/>
      <c r="U2" s="335"/>
    </row>
    <row r="3" spans="1:39" ht="23.25" x14ac:dyDescent="0.25">
      <c r="A3" s="330" t="str">
        <f>Start!$D$7</f>
        <v>Anyland</v>
      </c>
      <c r="B3" s="51"/>
      <c r="C3" s="51"/>
      <c r="D3" s="51"/>
      <c r="E3" s="51"/>
      <c r="F3" s="51"/>
      <c r="G3" s="51"/>
      <c r="H3" s="51"/>
      <c r="I3" s="51"/>
      <c r="J3" s="51"/>
      <c r="U3" s="315"/>
    </row>
    <row r="4" spans="1:39" hidden="1" x14ac:dyDescent="0.25"/>
    <row r="5" spans="1:39" ht="15.75" thickBot="1" x14ac:dyDescent="0.3">
      <c r="A5" s="51"/>
      <c r="B5" s="87"/>
      <c r="C5" s="145"/>
      <c r="D5" s="51"/>
      <c r="E5" s="51"/>
      <c r="F5" s="51"/>
      <c r="G5" s="51"/>
      <c r="H5" s="51"/>
      <c r="I5" s="51"/>
      <c r="J5" s="51"/>
      <c r="K5" s="51"/>
      <c r="L5" s="145"/>
      <c r="M5" s="51"/>
      <c r="N5" s="51"/>
      <c r="O5" s="51"/>
      <c r="P5" s="51"/>
      <c r="Q5" s="51"/>
      <c r="R5" s="202" t="s">
        <v>88</v>
      </c>
      <c r="S5" s="51"/>
      <c r="T5" s="51"/>
      <c r="U5" s="51"/>
      <c r="V5" s="560" t="s">
        <v>89</v>
      </c>
      <c r="W5" s="560"/>
      <c r="X5" s="560"/>
      <c r="Y5" s="560"/>
      <c r="Z5" s="560"/>
      <c r="AA5" s="560"/>
      <c r="AB5" s="560"/>
      <c r="AC5" s="560"/>
      <c r="AD5" s="560"/>
      <c r="AE5" s="543" t="s">
        <v>90</v>
      </c>
      <c r="AF5" s="543"/>
      <c r="AG5" s="543"/>
      <c r="AH5" s="543"/>
      <c r="AI5" s="543"/>
      <c r="AJ5" s="543"/>
      <c r="AK5" s="543"/>
      <c r="AL5" s="543"/>
      <c r="AM5" s="543"/>
    </row>
    <row r="6" spans="1:39" ht="47.25" customHeight="1" thickBot="1" x14ac:dyDescent="0.3">
      <c r="A6" s="295" t="str">
        <f>'Supply planning data'!C4</f>
        <v>Vaccine</v>
      </c>
      <c r="B6" s="295" t="s">
        <v>302</v>
      </c>
      <c r="C6" s="295" t="str">
        <f>'Supply planning data'!E4</f>
        <v>Filter</v>
      </c>
      <c r="D6" s="291" t="str">
        <f>'Supply planning data'!F4</f>
        <v>Beginning balance</v>
      </c>
      <c r="E6" s="290" t="str">
        <f>'Supply planning data'!G4</f>
        <v>Administered
(1st dose)</v>
      </c>
      <c r="F6" s="290" t="str">
        <f>'Supply planning data'!H4</f>
        <v>Administered (2nd dose)</v>
      </c>
      <c r="G6" s="290" t="str">
        <f>'Supply planning data'!I4</f>
        <v>Administered
(additional dose)</v>
      </c>
      <c r="H6" s="291" t="str">
        <f>'Supply planning data'!J4</f>
        <v>Administered (total)</v>
      </c>
      <c r="I6" s="290" t="str">
        <f>'Supply planning data'!K4</f>
        <v>Open vial wastage (doses)</v>
      </c>
      <c r="J6" s="291" t="str">
        <f>'Supply planning data'!L4</f>
        <v>Open vial wastage (%)</v>
      </c>
      <c r="K6" s="291" t="str">
        <f>'Supply planning data'!M4</f>
        <v>Total consumption</v>
      </c>
      <c r="L6" s="290" t="s">
        <v>303</v>
      </c>
      <c r="M6" s="290" t="str">
        <f>'Supply planning data'!O4</f>
        <v>Adjustment reason (1)</v>
      </c>
      <c r="N6" s="290" t="str">
        <f>'Supply planning data'!P4</f>
        <v>Adjustments (2)</v>
      </c>
      <c r="O6" s="290" t="str">
        <f>'Supply planning data'!Q4</f>
        <v>Adjustment reason (2)</v>
      </c>
      <c r="P6" s="291" t="str">
        <f>'Supply planning data'!R4</f>
        <v>Received shipments</v>
      </c>
      <c r="Q6" s="291" t="str">
        <f>'Supply planning data'!S4</f>
        <v>Ordered shipments</v>
      </c>
      <c r="R6" s="291" t="str">
        <f>'Supply planning data'!T4</f>
        <v>Running
expiry</v>
      </c>
      <c r="S6" s="291" t="str">
        <f>'Supply planning data'!U4</f>
        <v>Quantity at risk of expiry</v>
      </c>
      <c r="T6" s="291" t="str">
        <f>'Supply planning data'!V4</f>
        <v>Ending
balance</v>
      </c>
      <c r="U6" s="291" t="str">
        <f>'Supply planning data'!W4</f>
        <v>MOS</v>
      </c>
      <c r="V6" s="291" t="str">
        <f>'Supply planning data'!X4</f>
        <v>S1_Forecasted beginning balance</v>
      </c>
      <c r="W6" s="290" t="str">
        <f>'Supply planning data'!Y4</f>
        <v>S1_Forecasted doses</v>
      </c>
      <c r="X6" s="290" t="str">
        <f>'Supply planning data'!Z4</f>
        <v>S1_Forecasted wastage (%)</v>
      </c>
      <c r="Y6" s="291" t="str">
        <f>'Supply planning data'!AA4</f>
        <v>S1_Forecasted consumption</v>
      </c>
      <c r="Z6" s="290" t="str">
        <f>'Supply planning data'!AB4</f>
        <v>S1_Forecasted shipments</v>
      </c>
      <c r="AA6" s="291" t="str">
        <f>'Supply planning data'!AC4</f>
        <v>S1_Running Expiry</v>
      </c>
      <c r="AB6" s="291" t="str">
        <f>'Supply planning data'!AD4</f>
        <v>S1_Potential expiry</v>
      </c>
      <c r="AC6" s="291" t="str">
        <f>'Supply planning data'!AE4</f>
        <v>S1_Forecasted ending balance</v>
      </c>
      <c r="AD6" s="291" t="str">
        <f>'Supply planning data'!AF4</f>
        <v>S1_MOS</v>
      </c>
      <c r="AE6" s="291" t="str">
        <f>'Supply planning data'!AG4</f>
        <v>S2_Forecasted beginning balance</v>
      </c>
      <c r="AF6" s="290" t="str">
        <f>'Supply planning data'!AH4</f>
        <v>S2_Forecasted doses</v>
      </c>
      <c r="AG6" s="290" t="str">
        <f>'Supply planning data'!AI4</f>
        <v>S2_Forecasted wastage (%)</v>
      </c>
      <c r="AH6" s="291" t="str">
        <f>'Supply planning data'!AJ4</f>
        <v>S2_Forecasted consumption</v>
      </c>
      <c r="AI6" s="290" t="str">
        <f>'Supply planning data'!AK4</f>
        <v>S2_Forecasted shipments</v>
      </c>
      <c r="AJ6" s="291" t="str">
        <f>'Supply planning data'!AL4</f>
        <v>S2_Running Expiry</v>
      </c>
      <c r="AK6" s="291" t="str">
        <f>'Supply planning data'!AM4</f>
        <v>S2_Potential expiry</v>
      </c>
      <c r="AL6" s="291" t="str">
        <f>'Supply planning data'!AN4</f>
        <v>S2_Forecasted ending balance</v>
      </c>
      <c r="AM6" s="291" t="str">
        <f>'Supply planning data'!AO4</f>
        <v>S2_MOS</v>
      </c>
    </row>
    <row r="7" spans="1:39" x14ac:dyDescent="0.25">
      <c r="A7" s="90" t="str">
        <f>'Supply planning data'!C5</f>
        <v>AstraZeneca</v>
      </c>
      <c r="B7" s="296">
        <f>'Supply planning data'!D5</f>
        <v>44197</v>
      </c>
      <c r="C7" s="92" t="str">
        <f>'Supply planning data'!E5</f>
        <v>Yes</v>
      </c>
      <c r="D7" s="307">
        <f>'Supply planning data'!F5</f>
        <v>0</v>
      </c>
      <c r="E7" s="316">
        <f>'Supply planning data'!G5</f>
        <v>0</v>
      </c>
      <c r="F7" s="316">
        <f>'Supply planning data'!H5</f>
        <v>0</v>
      </c>
      <c r="G7" s="316">
        <f>'Supply planning data'!I5</f>
        <v>0</v>
      </c>
      <c r="H7" s="92">
        <f>'Supply planning data'!J5</f>
        <v>0</v>
      </c>
      <c r="I7" s="316">
        <f>'Supply planning data'!K5</f>
        <v>0</v>
      </c>
      <c r="J7" s="174" t="str">
        <f>'Supply planning data'!L5</f>
        <v/>
      </c>
      <c r="K7" s="92">
        <f>'Supply planning data'!M5</f>
        <v>0</v>
      </c>
      <c r="L7" s="317">
        <f>'Supply planning data'!N5+'Supply planning data'!P5</f>
        <v>0</v>
      </c>
      <c r="M7" s="339">
        <f>'Supply planning data'!O5</f>
        <v>0</v>
      </c>
      <c r="N7" s="317">
        <f>'Supply planning data'!P5</f>
        <v>0</v>
      </c>
      <c r="O7" s="339">
        <f>'Supply planning data'!Q5</f>
        <v>0</v>
      </c>
      <c r="P7" s="92">
        <f>'Supply planning data'!R5</f>
        <v>0</v>
      </c>
      <c r="Q7" s="92">
        <f>'Supply planning data'!S5</f>
        <v>0</v>
      </c>
      <c r="R7" s="92">
        <f>'Supply planning data'!T5</f>
        <v>0</v>
      </c>
      <c r="S7" s="318">
        <f>'Supply planning data'!U5</f>
        <v>0</v>
      </c>
      <c r="T7" s="92">
        <f>'Supply planning data'!V5</f>
        <v>0</v>
      </c>
      <c r="U7" s="319">
        <f>'Supply planning data'!W5</f>
        <v>0</v>
      </c>
      <c r="V7" s="92">
        <f>'Supply planning data'!X5</f>
        <v>0</v>
      </c>
      <c r="W7" s="316">
        <f>'Supply planning data'!Y5</f>
        <v>0</v>
      </c>
      <c r="X7" s="328">
        <f>'Supply planning data'!Z5</f>
        <v>0</v>
      </c>
      <c r="Y7" s="92">
        <f>'Supply planning data'!AA5</f>
        <v>0</v>
      </c>
      <c r="Z7" s="92">
        <f>'Supply planning data'!AB5</f>
        <v>0</v>
      </c>
      <c r="AA7" s="92">
        <f>'Supply planning data'!AC5</f>
        <v>0</v>
      </c>
      <c r="AB7" s="92">
        <f>'Supply planning data'!AD5</f>
        <v>0</v>
      </c>
      <c r="AC7" s="92">
        <f>'Supply planning data'!AE5</f>
        <v>0</v>
      </c>
      <c r="AD7" s="319" t="str">
        <f>'Supply planning data'!AF5</f>
        <v/>
      </c>
      <c r="AE7" s="92">
        <f>'Supply planning data'!AG5</f>
        <v>0</v>
      </c>
      <c r="AF7" s="316">
        <f>'Supply planning data'!AH5</f>
        <v>0</v>
      </c>
      <c r="AG7" s="174">
        <f>'Supply planning data'!AI5</f>
        <v>0</v>
      </c>
      <c r="AH7" s="92">
        <f>'Supply planning data'!AJ5</f>
        <v>0</v>
      </c>
      <c r="AI7" s="92">
        <f>'Supply planning data'!AK5</f>
        <v>0</v>
      </c>
      <c r="AJ7" s="92">
        <f>'Supply planning data'!AL5</f>
        <v>0</v>
      </c>
      <c r="AK7" s="92">
        <f>'Supply planning data'!AM5</f>
        <v>0</v>
      </c>
      <c r="AL7" s="92">
        <f>'Supply planning data'!AN5</f>
        <v>0</v>
      </c>
      <c r="AM7" s="319" t="str">
        <f>'Supply planning data'!AO5</f>
        <v/>
      </c>
    </row>
    <row r="8" spans="1:39" x14ac:dyDescent="0.25">
      <c r="A8" s="90" t="str">
        <f>'Supply planning data'!C6</f>
        <v>Jansen</v>
      </c>
      <c r="B8" s="297">
        <f>'Supply planning data'!D6</f>
        <v>44197</v>
      </c>
      <c r="C8" s="98" t="str">
        <f>'Supply planning data'!E6</f>
        <v>Yes</v>
      </c>
      <c r="D8" s="308">
        <f>'Supply planning data'!F6</f>
        <v>0</v>
      </c>
      <c r="E8" s="317">
        <f>'Supply planning data'!G6</f>
        <v>0</v>
      </c>
      <c r="F8" s="317">
        <f>'Supply planning data'!H6</f>
        <v>0</v>
      </c>
      <c r="G8" s="317">
        <f>'Supply planning data'!I6</f>
        <v>0</v>
      </c>
      <c r="H8" s="98">
        <f>'Supply planning data'!J6</f>
        <v>0</v>
      </c>
      <c r="I8" s="317">
        <f>'Supply planning data'!K6</f>
        <v>0</v>
      </c>
      <c r="J8" s="175" t="str">
        <f>'Supply planning data'!L6</f>
        <v/>
      </c>
      <c r="K8" s="98">
        <f>'Supply planning data'!M6</f>
        <v>0</v>
      </c>
      <c r="L8" s="317">
        <f>'Supply planning data'!N6+'Supply planning data'!P6</f>
        <v>0</v>
      </c>
      <c r="M8" s="339">
        <f>'Supply planning data'!O6</f>
        <v>0</v>
      </c>
      <c r="N8" s="317">
        <f>'Supply planning data'!P6</f>
        <v>0</v>
      </c>
      <c r="O8" s="339">
        <f>'Supply planning data'!Q6</f>
        <v>0</v>
      </c>
      <c r="P8" s="92">
        <f>'Supply planning data'!R6</f>
        <v>0</v>
      </c>
      <c r="Q8" s="92">
        <f>'Supply planning data'!S6</f>
        <v>0</v>
      </c>
      <c r="R8" s="98">
        <f>'Supply planning data'!T6</f>
        <v>0</v>
      </c>
      <c r="S8" s="318">
        <f>'Supply planning data'!U6</f>
        <v>0</v>
      </c>
      <c r="T8" s="98">
        <f>'Supply planning data'!V6</f>
        <v>0</v>
      </c>
      <c r="U8" s="319">
        <f>'Supply planning data'!W6</f>
        <v>0</v>
      </c>
      <c r="V8" s="98">
        <f>'Supply planning data'!X6</f>
        <v>0</v>
      </c>
      <c r="W8" s="317">
        <f>'Supply planning data'!Y6</f>
        <v>0</v>
      </c>
      <c r="X8" s="328">
        <f>'Supply planning data'!Z6</f>
        <v>0</v>
      </c>
      <c r="Y8" s="98">
        <f>'Supply planning data'!AA6</f>
        <v>0</v>
      </c>
      <c r="Z8" s="98">
        <f>'Supply planning data'!AB6</f>
        <v>0</v>
      </c>
      <c r="AA8" s="98">
        <f>'Supply planning data'!AC6</f>
        <v>0</v>
      </c>
      <c r="AB8" s="98">
        <f>'Supply planning data'!AD6</f>
        <v>0</v>
      </c>
      <c r="AC8" s="98">
        <f>'Supply planning data'!AE6</f>
        <v>0</v>
      </c>
      <c r="AD8" s="319" t="str">
        <f>'Supply planning data'!AF6</f>
        <v/>
      </c>
      <c r="AE8" s="98">
        <f>'Supply planning data'!AG6</f>
        <v>0</v>
      </c>
      <c r="AF8" s="317">
        <f>'Supply planning data'!AH6</f>
        <v>0</v>
      </c>
      <c r="AG8" s="175">
        <f>'Supply planning data'!AI6</f>
        <v>0</v>
      </c>
      <c r="AH8" s="98">
        <f>'Supply planning data'!AJ6</f>
        <v>0</v>
      </c>
      <c r="AI8" s="98">
        <f>'Supply planning data'!AK6</f>
        <v>0</v>
      </c>
      <c r="AJ8" s="98">
        <f>'Supply planning data'!AL6</f>
        <v>0</v>
      </c>
      <c r="AK8" s="98">
        <f>'Supply planning data'!AM6</f>
        <v>0</v>
      </c>
      <c r="AL8" s="98">
        <f>'Supply planning data'!AN6</f>
        <v>0</v>
      </c>
      <c r="AM8" s="319" t="str">
        <f>'Supply planning data'!AO6</f>
        <v/>
      </c>
    </row>
    <row r="9" spans="1:39" x14ac:dyDescent="0.25">
      <c r="A9" s="90" t="str">
        <f>'Supply planning data'!C7</f>
        <v>Moderna</v>
      </c>
      <c r="B9" s="296">
        <f>'Supply planning data'!D7</f>
        <v>44197</v>
      </c>
      <c r="C9" s="98" t="str">
        <f>'Supply planning data'!E7</f>
        <v>No</v>
      </c>
      <c r="D9" s="308">
        <f>'Supply planning data'!F7</f>
        <v>0</v>
      </c>
      <c r="E9" s="317">
        <f>'Supply planning data'!G7</f>
        <v>0</v>
      </c>
      <c r="F9" s="316">
        <f>'Supply planning data'!H7</f>
        <v>0</v>
      </c>
      <c r="G9" s="316">
        <f>'Supply planning data'!I7</f>
        <v>0</v>
      </c>
      <c r="H9" s="92">
        <f>'Supply planning data'!J7</f>
        <v>0</v>
      </c>
      <c r="I9" s="316">
        <f>'Supply planning data'!K7</f>
        <v>0</v>
      </c>
      <c r="J9" s="174" t="str">
        <f>'Supply planning data'!L7</f>
        <v/>
      </c>
      <c r="K9" s="92">
        <f>'Supply planning data'!M7</f>
        <v>0</v>
      </c>
      <c r="L9" s="317">
        <f>'Supply planning data'!N7+'Supply planning data'!P7</f>
        <v>0</v>
      </c>
      <c r="M9" s="339">
        <f>'Supply planning data'!O7</f>
        <v>0</v>
      </c>
      <c r="N9" s="317">
        <f>'Supply planning data'!P7</f>
        <v>0</v>
      </c>
      <c r="O9" s="339">
        <f>'Supply planning data'!Q7</f>
        <v>0</v>
      </c>
      <c r="P9" s="92">
        <f>'Supply planning data'!R7</f>
        <v>0</v>
      </c>
      <c r="Q9" s="92">
        <f>'Supply planning data'!S7</f>
        <v>0</v>
      </c>
      <c r="R9" s="98">
        <f>'Supply planning data'!T7</f>
        <v>0</v>
      </c>
      <c r="S9" s="318">
        <f>'Supply planning data'!U7</f>
        <v>0</v>
      </c>
      <c r="T9" s="98">
        <f>'Supply planning data'!V7</f>
        <v>0</v>
      </c>
      <c r="U9" s="319">
        <f>'Supply planning data'!W7</f>
        <v>0</v>
      </c>
      <c r="V9" s="98">
        <f>'Supply planning data'!X7</f>
        <v>0</v>
      </c>
      <c r="W9" s="317">
        <f>'Supply planning data'!Y7</f>
        <v>0</v>
      </c>
      <c r="X9" s="328">
        <f>'Supply planning data'!Z7</f>
        <v>0</v>
      </c>
      <c r="Y9" s="98">
        <f>'Supply planning data'!AA7</f>
        <v>0</v>
      </c>
      <c r="Z9" s="98">
        <f>'Supply planning data'!AB7</f>
        <v>0</v>
      </c>
      <c r="AA9" s="98">
        <f>'Supply planning data'!AC7</f>
        <v>0</v>
      </c>
      <c r="AB9" s="98">
        <f>'Supply planning data'!AD7</f>
        <v>0</v>
      </c>
      <c r="AC9" s="98">
        <f>'Supply planning data'!AE7</f>
        <v>0</v>
      </c>
      <c r="AD9" s="319" t="str">
        <f>'Supply planning data'!AF7</f>
        <v/>
      </c>
      <c r="AE9" s="98">
        <f>'Supply planning data'!AG7</f>
        <v>0</v>
      </c>
      <c r="AF9" s="317">
        <f>'Supply planning data'!AH7</f>
        <v>0</v>
      </c>
      <c r="AG9" s="175">
        <f>'Supply planning data'!AI7</f>
        <v>0</v>
      </c>
      <c r="AH9" s="98">
        <f>'Supply planning data'!AJ7</f>
        <v>0</v>
      </c>
      <c r="AI9" s="98">
        <f>'Supply planning data'!AK7</f>
        <v>0</v>
      </c>
      <c r="AJ9" s="98">
        <f>'Supply planning data'!AL7</f>
        <v>0</v>
      </c>
      <c r="AK9" s="98">
        <f>'Supply planning data'!AM7</f>
        <v>0</v>
      </c>
      <c r="AL9" s="98">
        <f>'Supply planning data'!AN7</f>
        <v>0</v>
      </c>
      <c r="AM9" s="319" t="str">
        <f>'Supply planning data'!AO7</f>
        <v/>
      </c>
    </row>
    <row r="10" spans="1:39" x14ac:dyDescent="0.25">
      <c r="A10" s="90" t="str">
        <f>'Supply planning data'!C8</f>
        <v>Pfizer</v>
      </c>
      <c r="B10" s="297">
        <f>'Supply planning data'!D8</f>
        <v>44197</v>
      </c>
      <c r="C10" s="98" t="str">
        <f>'Supply planning data'!E8</f>
        <v>Yes</v>
      </c>
      <c r="D10" s="308">
        <f>'Supply planning data'!F8</f>
        <v>0</v>
      </c>
      <c r="E10" s="317">
        <f>'Supply planning data'!G8</f>
        <v>0</v>
      </c>
      <c r="F10" s="317">
        <f>'Supply planning data'!H8</f>
        <v>0</v>
      </c>
      <c r="G10" s="317">
        <f>'Supply planning data'!I8</f>
        <v>0</v>
      </c>
      <c r="H10" s="98">
        <f>'Supply planning data'!J8</f>
        <v>0</v>
      </c>
      <c r="I10" s="317">
        <f>'Supply planning data'!K8</f>
        <v>0</v>
      </c>
      <c r="J10" s="175" t="str">
        <f>'Supply planning data'!L8</f>
        <v/>
      </c>
      <c r="K10" s="98">
        <f>'Supply planning data'!M8</f>
        <v>0</v>
      </c>
      <c r="L10" s="317">
        <f>'Supply planning data'!N8+'Supply planning data'!P8</f>
        <v>0</v>
      </c>
      <c r="M10" s="339">
        <f>'Supply planning data'!O8</f>
        <v>0</v>
      </c>
      <c r="N10" s="317">
        <f>'Supply planning data'!P8</f>
        <v>0</v>
      </c>
      <c r="O10" s="339">
        <f>'Supply planning data'!Q8</f>
        <v>0</v>
      </c>
      <c r="P10" s="92">
        <f>'Supply planning data'!R8</f>
        <v>0</v>
      </c>
      <c r="Q10" s="92">
        <f>'Supply planning data'!S8</f>
        <v>0</v>
      </c>
      <c r="R10" s="98">
        <f>'Supply planning data'!T8</f>
        <v>0</v>
      </c>
      <c r="S10" s="318">
        <f>'Supply planning data'!U8</f>
        <v>0</v>
      </c>
      <c r="T10" s="98">
        <f>'Supply planning data'!V8</f>
        <v>0</v>
      </c>
      <c r="U10" s="319">
        <f>'Supply planning data'!W8</f>
        <v>0</v>
      </c>
      <c r="V10" s="98">
        <f>'Supply planning data'!X8</f>
        <v>0</v>
      </c>
      <c r="W10" s="317">
        <f>'Supply planning data'!Y8</f>
        <v>0</v>
      </c>
      <c r="X10" s="328">
        <f>'Supply planning data'!Z8</f>
        <v>0</v>
      </c>
      <c r="Y10" s="98">
        <f>'Supply planning data'!AA8</f>
        <v>0</v>
      </c>
      <c r="Z10" s="98">
        <f>'Supply planning data'!AB8</f>
        <v>0</v>
      </c>
      <c r="AA10" s="98">
        <f>'Supply planning data'!AC8</f>
        <v>0</v>
      </c>
      <c r="AB10" s="98">
        <f>'Supply planning data'!AD8</f>
        <v>0</v>
      </c>
      <c r="AC10" s="98">
        <f>'Supply planning data'!AE8</f>
        <v>0</v>
      </c>
      <c r="AD10" s="319" t="str">
        <f>'Supply planning data'!AF8</f>
        <v/>
      </c>
      <c r="AE10" s="98">
        <f>'Supply planning data'!AG8</f>
        <v>0</v>
      </c>
      <c r="AF10" s="317">
        <f>'Supply planning data'!AH8</f>
        <v>0</v>
      </c>
      <c r="AG10" s="175">
        <f>'Supply planning data'!AI8</f>
        <v>0</v>
      </c>
      <c r="AH10" s="98">
        <f>'Supply planning data'!AJ8</f>
        <v>0</v>
      </c>
      <c r="AI10" s="98">
        <f>'Supply planning data'!AK8</f>
        <v>0</v>
      </c>
      <c r="AJ10" s="98">
        <f>'Supply planning data'!AL8</f>
        <v>0</v>
      </c>
      <c r="AK10" s="98">
        <f>'Supply planning data'!AM8</f>
        <v>0</v>
      </c>
      <c r="AL10" s="98">
        <f>'Supply planning data'!AN8</f>
        <v>0</v>
      </c>
      <c r="AM10" s="319" t="str">
        <f>'Supply planning data'!AO8</f>
        <v/>
      </c>
    </row>
    <row r="11" spans="1:39" x14ac:dyDescent="0.25">
      <c r="A11" s="90" t="str">
        <f>'Supply planning data'!C9</f>
        <v>Sinovac</v>
      </c>
      <c r="B11" s="296">
        <f>'Supply planning data'!D9</f>
        <v>44197</v>
      </c>
      <c r="C11" s="98" t="str">
        <f>'Supply planning data'!E9</f>
        <v>No</v>
      </c>
      <c r="D11" s="308">
        <f>'Supply planning data'!F9</f>
        <v>0</v>
      </c>
      <c r="E11" s="317">
        <f>'Supply planning data'!G9</f>
        <v>0</v>
      </c>
      <c r="F11" s="316">
        <f>'Supply planning data'!H9</f>
        <v>0</v>
      </c>
      <c r="G11" s="316">
        <f>'Supply planning data'!I9</f>
        <v>0</v>
      </c>
      <c r="H11" s="92">
        <f>'Supply planning data'!J9</f>
        <v>0</v>
      </c>
      <c r="I11" s="316">
        <f>'Supply planning data'!K9</f>
        <v>0</v>
      </c>
      <c r="J11" s="174" t="str">
        <f>'Supply planning data'!L9</f>
        <v/>
      </c>
      <c r="K11" s="92">
        <f>'Supply planning data'!M9</f>
        <v>0</v>
      </c>
      <c r="L11" s="317">
        <f>'Supply planning data'!N9+'Supply planning data'!P9</f>
        <v>0</v>
      </c>
      <c r="M11" s="339">
        <f>'Supply planning data'!O9</f>
        <v>0</v>
      </c>
      <c r="N11" s="317">
        <f>'Supply planning data'!P9</f>
        <v>0</v>
      </c>
      <c r="O11" s="339">
        <f>'Supply planning data'!Q9</f>
        <v>0</v>
      </c>
      <c r="P11" s="92">
        <f>'Supply planning data'!R9</f>
        <v>0</v>
      </c>
      <c r="Q11" s="92">
        <f>'Supply planning data'!S9</f>
        <v>0</v>
      </c>
      <c r="R11" s="98">
        <f>'Supply planning data'!T9</f>
        <v>0</v>
      </c>
      <c r="S11" s="318">
        <f>'Supply planning data'!U9</f>
        <v>0</v>
      </c>
      <c r="T11" s="98">
        <f>'Supply planning data'!V9</f>
        <v>0</v>
      </c>
      <c r="U11" s="319">
        <f>'Supply planning data'!W9</f>
        <v>0</v>
      </c>
      <c r="V11" s="98">
        <f>'Supply planning data'!X9</f>
        <v>0</v>
      </c>
      <c r="W11" s="317">
        <f>'Supply planning data'!Y9</f>
        <v>0</v>
      </c>
      <c r="X11" s="328">
        <f>'Supply planning data'!Z9</f>
        <v>0</v>
      </c>
      <c r="Y11" s="98">
        <f>'Supply planning data'!AA9</f>
        <v>0</v>
      </c>
      <c r="Z11" s="98">
        <f>'Supply planning data'!AB9</f>
        <v>0</v>
      </c>
      <c r="AA11" s="98">
        <f>'Supply planning data'!AC9</f>
        <v>0</v>
      </c>
      <c r="AB11" s="98">
        <f>'Supply planning data'!AD9</f>
        <v>0</v>
      </c>
      <c r="AC11" s="98">
        <f>'Supply planning data'!AE9</f>
        <v>0</v>
      </c>
      <c r="AD11" s="319" t="str">
        <f>'Supply planning data'!AF9</f>
        <v/>
      </c>
      <c r="AE11" s="98">
        <f>'Supply planning data'!AG9</f>
        <v>0</v>
      </c>
      <c r="AF11" s="317">
        <f>'Supply planning data'!AH9</f>
        <v>0</v>
      </c>
      <c r="AG11" s="175">
        <f>'Supply planning data'!AI9</f>
        <v>0</v>
      </c>
      <c r="AH11" s="98">
        <f>'Supply planning data'!AJ9</f>
        <v>0</v>
      </c>
      <c r="AI11" s="98">
        <f>'Supply planning data'!AK9</f>
        <v>0</v>
      </c>
      <c r="AJ11" s="98">
        <f>'Supply planning data'!AL9</f>
        <v>0</v>
      </c>
      <c r="AK11" s="98">
        <f>'Supply planning data'!AM9</f>
        <v>0</v>
      </c>
      <c r="AL11" s="98">
        <f>'Supply planning data'!AN9</f>
        <v>0</v>
      </c>
      <c r="AM11" s="319" t="str">
        <f>'Supply planning data'!AO9</f>
        <v/>
      </c>
    </row>
    <row r="12" spans="1:39" hidden="1" x14ac:dyDescent="0.25">
      <c r="A12" s="90" t="str">
        <f>'Supply planning data'!C10</f>
        <v/>
      </c>
      <c r="B12" s="297">
        <f>'Supply planning data'!D10</f>
        <v>44197</v>
      </c>
      <c r="C12" s="98" t="str">
        <f>'Supply planning data'!E10</f>
        <v>No</v>
      </c>
      <c r="D12" s="308">
        <f>'Supply planning data'!F10</f>
        <v>0</v>
      </c>
      <c r="E12" s="317">
        <f>'Supply planning data'!G10</f>
        <v>0</v>
      </c>
      <c r="F12" s="317">
        <f>'Supply planning data'!H10</f>
        <v>0</v>
      </c>
      <c r="G12" s="317">
        <f>'Supply planning data'!I10</f>
        <v>0</v>
      </c>
      <c r="H12" s="98">
        <f>'Supply planning data'!J10</f>
        <v>0</v>
      </c>
      <c r="I12" s="317">
        <f>'Supply planning data'!K10</f>
        <v>0</v>
      </c>
      <c r="J12" s="175" t="str">
        <f>'Supply planning data'!L10</f>
        <v/>
      </c>
      <c r="K12" s="98">
        <f>'Supply planning data'!M10</f>
        <v>0</v>
      </c>
      <c r="L12" s="317">
        <f>'Supply planning data'!N10+'Supply planning data'!P10</f>
        <v>0</v>
      </c>
      <c r="M12" s="339">
        <f>'Supply planning data'!O10</f>
        <v>0</v>
      </c>
      <c r="N12" s="317">
        <f>'Supply planning data'!P10</f>
        <v>0</v>
      </c>
      <c r="O12" s="339">
        <f>'Supply planning data'!Q10</f>
        <v>0</v>
      </c>
      <c r="P12" s="92">
        <f>'Supply planning data'!R10</f>
        <v>0</v>
      </c>
      <c r="Q12" s="92">
        <f>'Supply planning data'!S10</f>
        <v>0</v>
      </c>
      <c r="R12" s="98">
        <f>'Supply planning data'!T10</f>
        <v>0</v>
      </c>
      <c r="S12" s="318">
        <f>'Supply planning data'!U10</f>
        <v>0</v>
      </c>
      <c r="T12" s="98">
        <f>'Supply planning data'!V10</f>
        <v>0</v>
      </c>
      <c r="U12" s="319">
        <f>'Supply planning data'!W10</f>
        <v>0</v>
      </c>
      <c r="V12" s="98">
        <f>'Supply planning data'!X10</f>
        <v>0</v>
      </c>
      <c r="W12" s="317">
        <f>'Supply planning data'!Y10</f>
        <v>0</v>
      </c>
      <c r="X12" s="328">
        <f>'Supply planning data'!Z10</f>
        <v>0</v>
      </c>
      <c r="Y12" s="98">
        <f>'Supply planning data'!AA10</f>
        <v>0</v>
      </c>
      <c r="Z12" s="98">
        <f>'Supply planning data'!AB10</f>
        <v>0</v>
      </c>
      <c r="AA12" s="98">
        <f>'Supply planning data'!AC10</f>
        <v>0</v>
      </c>
      <c r="AB12" s="98">
        <f>'Supply planning data'!AD10</f>
        <v>0</v>
      </c>
      <c r="AC12" s="98">
        <f>'Supply planning data'!AE10</f>
        <v>0</v>
      </c>
      <c r="AD12" s="319" t="str">
        <f>'Supply planning data'!AF10</f>
        <v/>
      </c>
      <c r="AE12" s="98">
        <f>'Supply planning data'!AG10</f>
        <v>0</v>
      </c>
      <c r="AF12" s="317">
        <f>'Supply planning data'!AH10</f>
        <v>0</v>
      </c>
      <c r="AG12" s="175">
        <f>'Supply planning data'!AI10</f>
        <v>0</v>
      </c>
      <c r="AH12" s="98">
        <f>'Supply planning data'!AJ10</f>
        <v>0</v>
      </c>
      <c r="AI12" s="98">
        <f>'Supply planning data'!AK10</f>
        <v>0</v>
      </c>
      <c r="AJ12" s="98">
        <f>'Supply planning data'!AL10</f>
        <v>0</v>
      </c>
      <c r="AK12" s="98">
        <f>'Supply planning data'!AM10</f>
        <v>0</v>
      </c>
      <c r="AL12" s="98">
        <f>'Supply planning data'!AN10</f>
        <v>0</v>
      </c>
      <c r="AM12" s="319" t="str">
        <f>'Supply planning data'!AO10</f>
        <v/>
      </c>
    </row>
    <row r="13" spans="1:39" hidden="1" x14ac:dyDescent="0.25">
      <c r="A13" s="90" t="str">
        <f>'Supply planning data'!C11</f>
        <v/>
      </c>
      <c r="B13" s="297">
        <f>'Supply planning data'!D11</f>
        <v>44197</v>
      </c>
      <c r="C13" s="98" t="str">
        <f>'Supply planning data'!E11</f>
        <v>No</v>
      </c>
      <c r="D13" s="308">
        <f>'Supply planning data'!F11</f>
        <v>0</v>
      </c>
      <c r="E13" s="317">
        <f>'Supply planning data'!G11</f>
        <v>0</v>
      </c>
      <c r="F13" s="316">
        <f>'Supply planning data'!H11</f>
        <v>0</v>
      </c>
      <c r="G13" s="316">
        <f>'Supply planning data'!I11</f>
        <v>0</v>
      </c>
      <c r="H13" s="92">
        <f>'Supply planning data'!J11</f>
        <v>0</v>
      </c>
      <c r="I13" s="316">
        <f>'Supply planning data'!K11</f>
        <v>0</v>
      </c>
      <c r="J13" s="174" t="str">
        <f>'Supply planning data'!L11</f>
        <v/>
      </c>
      <c r="K13" s="92">
        <f>'Supply planning data'!M11</f>
        <v>0</v>
      </c>
      <c r="L13" s="317">
        <f>'Supply planning data'!N11+'Supply planning data'!P11</f>
        <v>0</v>
      </c>
      <c r="M13" s="339">
        <f>'Supply planning data'!O11</f>
        <v>0</v>
      </c>
      <c r="N13" s="317">
        <f>'Supply planning data'!P11</f>
        <v>0</v>
      </c>
      <c r="O13" s="339">
        <f>'Supply planning data'!Q11</f>
        <v>0</v>
      </c>
      <c r="P13" s="92">
        <f>'Supply planning data'!R11</f>
        <v>0</v>
      </c>
      <c r="Q13" s="92">
        <f>'Supply planning data'!S11</f>
        <v>0</v>
      </c>
      <c r="R13" s="98">
        <f>'Supply planning data'!T11</f>
        <v>0</v>
      </c>
      <c r="S13" s="318">
        <f>'Supply planning data'!U11</f>
        <v>0</v>
      </c>
      <c r="T13" s="98">
        <f>'Supply planning data'!V11</f>
        <v>0</v>
      </c>
      <c r="U13" s="319">
        <f>'Supply planning data'!W11</f>
        <v>0</v>
      </c>
      <c r="V13" s="98">
        <f>'Supply planning data'!X11</f>
        <v>0</v>
      </c>
      <c r="W13" s="317">
        <f>'Supply planning data'!Y11</f>
        <v>0</v>
      </c>
      <c r="X13" s="328">
        <f>'Supply planning data'!Z11</f>
        <v>0</v>
      </c>
      <c r="Y13" s="98">
        <f>'Supply planning data'!AA11</f>
        <v>0</v>
      </c>
      <c r="Z13" s="98">
        <f>'Supply planning data'!AB11</f>
        <v>0</v>
      </c>
      <c r="AA13" s="98">
        <f>'Supply planning data'!AC11</f>
        <v>0</v>
      </c>
      <c r="AB13" s="98">
        <f>'Supply planning data'!AD11</f>
        <v>0</v>
      </c>
      <c r="AC13" s="98">
        <f>'Supply planning data'!AE11</f>
        <v>0</v>
      </c>
      <c r="AD13" s="319" t="str">
        <f>'Supply planning data'!AF11</f>
        <v/>
      </c>
      <c r="AE13" s="98">
        <f>'Supply planning data'!AG11</f>
        <v>0</v>
      </c>
      <c r="AF13" s="317">
        <f>'Supply planning data'!AH11</f>
        <v>0</v>
      </c>
      <c r="AG13" s="175">
        <f>'Supply planning data'!AI11</f>
        <v>0</v>
      </c>
      <c r="AH13" s="98">
        <f>'Supply planning data'!AJ11</f>
        <v>0</v>
      </c>
      <c r="AI13" s="98">
        <f>'Supply planning data'!AK11</f>
        <v>0</v>
      </c>
      <c r="AJ13" s="98">
        <f>'Supply planning data'!AL11</f>
        <v>0</v>
      </c>
      <c r="AK13" s="98">
        <f>'Supply planning data'!AM11</f>
        <v>0</v>
      </c>
      <c r="AL13" s="98">
        <f>'Supply planning data'!AN11</f>
        <v>0</v>
      </c>
      <c r="AM13" s="319" t="str">
        <f>'Supply planning data'!AO11</f>
        <v/>
      </c>
    </row>
    <row r="14" spans="1:39" hidden="1" x14ac:dyDescent="0.25">
      <c r="A14" s="90" t="str">
        <f>'Supply planning data'!C12</f>
        <v/>
      </c>
      <c r="B14" s="296">
        <f>'Supply planning data'!D12</f>
        <v>44197</v>
      </c>
      <c r="C14" s="98" t="str">
        <f>'Supply planning data'!E12</f>
        <v>No</v>
      </c>
      <c r="D14" s="308">
        <f>'Supply planning data'!F12</f>
        <v>0</v>
      </c>
      <c r="E14" s="317">
        <f>'Supply planning data'!G12</f>
        <v>0</v>
      </c>
      <c r="F14" s="317">
        <f>'Supply planning data'!H12</f>
        <v>0</v>
      </c>
      <c r="G14" s="317">
        <f>'Supply planning data'!I12</f>
        <v>0</v>
      </c>
      <c r="H14" s="98">
        <f>'Supply planning data'!J12</f>
        <v>0</v>
      </c>
      <c r="I14" s="317">
        <f>'Supply planning data'!K12</f>
        <v>0</v>
      </c>
      <c r="J14" s="175" t="str">
        <f>'Supply planning data'!L12</f>
        <v/>
      </c>
      <c r="K14" s="98">
        <f>'Supply planning data'!M12</f>
        <v>0</v>
      </c>
      <c r="L14" s="317">
        <f>'Supply planning data'!N12+'Supply planning data'!P12</f>
        <v>0</v>
      </c>
      <c r="M14" s="339">
        <f>'Supply planning data'!O12</f>
        <v>0</v>
      </c>
      <c r="N14" s="317">
        <f>'Supply planning data'!P12</f>
        <v>0</v>
      </c>
      <c r="O14" s="339">
        <f>'Supply planning data'!Q12</f>
        <v>0</v>
      </c>
      <c r="P14" s="92">
        <f>'Supply planning data'!R12</f>
        <v>0</v>
      </c>
      <c r="Q14" s="92">
        <f>'Supply planning data'!S12</f>
        <v>0</v>
      </c>
      <c r="R14" s="98">
        <f>'Supply planning data'!T12</f>
        <v>0</v>
      </c>
      <c r="S14" s="318">
        <f>'Supply planning data'!U12</f>
        <v>0</v>
      </c>
      <c r="T14" s="98">
        <f>'Supply planning data'!V12</f>
        <v>0</v>
      </c>
      <c r="U14" s="319">
        <f>'Supply planning data'!W12</f>
        <v>0</v>
      </c>
      <c r="V14" s="98">
        <f>'Supply planning data'!X12</f>
        <v>0</v>
      </c>
      <c r="W14" s="317">
        <f>'Supply planning data'!Y12</f>
        <v>0</v>
      </c>
      <c r="X14" s="328">
        <f>'Supply planning data'!Z12</f>
        <v>0</v>
      </c>
      <c r="Y14" s="98">
        <f>'Supply planning data'!AA12</f>
        <v>0</v>
      </c>
      <c r="Z14" s="98">
        <f>'Supply planning data'!AB12</f>
        <v>0</v>
      </c>
      <c r="AA14" s="98">
        <f>'Supply planning data'!AC12</f>
        <v>0</v>
      </c>
      <c r="AB14" s="98">
        <f>'Supply planning data'!AD12</f>
        <v>0</v>
      </c>
      <c r="AC14" s="98">
        <f>'Supply planning data'!AE12</f>
        <v>0</v>
      </c>
      <c r="AD14" s="319" t="str">
        <f>'Supply planning data'!AF12</f>
        <v/>
      </c>
      <c r="AE14" s="98">
        <f>'Supply planning data'!AG12</f>
        <v>0</v>
      </c>
      <c r="AF14" s="317">
        <f>'Supply planning data'!AH12</f>
        <v>0</v>
      </c>
      <c r="AG14" s="175">
        <f>'Supply planning data'!AI12</f>
        <v>0</v>
      </c>
      <c r="AH14" s="98">
        <f>'Supply planning data'!AJ12</f>
        <v>0</v>
      </c>
      <c r="AI14" s="98">
        <f>'Supply planning data'!AK12</f>
        <v>0</v>
      </c>
      <c r="AJ14" s="98">
        <f>'Supply planning data'!AL12</f>
        <v>0</v>
      </c>
      <c r="AK14" s="98">
        <f>'Supply planning data'!AM12</f>
        <v>0</v>
      </c>
      <c r="AL14" s="98">
        <f>'Supply planning data'!AN12</f>
        <v>0</v>
      </c>
      <c r="AM14" s="319" t="str">
        <f>'Supply planning data'!AO12</f>
        <v/>
      </c>
    </row>
    <row r="15" spans="1:39" hidden="1" x14ac:dyDescent="0.25">
      <c r="A15" s="90" t="str">
        <f>'Supply planning data'!C13</f>
        <v/>
      </c>
      <c r="B15" s="297">
        <f>'Supply planning data'!D13</f>
        <v>44197</v>
      </c>
      <c r="C15" s="98" t="str">
        <f>'Supply planning data'!E13</f>
        <v>No</v>
      </c>
      <c r="D15" s="308">
        <f>'Supply planning data'!F13</f>
        <v>0</v>
      </c>
      <c r="E15" s="317">
        <f>'Supply planning data'!G13</f>
        <v>0</v>
      </c>
      <c r="F15" s="316">
        <f>'Supply planning data'!H13</f>
        <v>0</v>
      </c>
      <c r="G15" s="316">
        <f>'Supply planning data'!I13</f>
        <v>0</v>
      </c>
      <c r="H15" s="92">
        <f>'Supply planning data'!J13</f>
        <v>0</v>
      </c>
      <c r="I15" s="316">
        <f>'Supply planning data'!K13</f>
        <v>0</v>
      </c>
      <c r="J15" s="174" t="str">
        <f>'Supply planning data'!L13</f>
        <v/>
      </c>
      <c r="K15" s="92">
        <f>'Supply planning data'!M13</f>
        <v>0</v>
      </c>
      <c r="L15" s="317">
        <f>'Supply planning data'!N13+'Supply planning data'!P13</f>
        <v>0</v>
      </c>
      <c r="M15" s="339">
        <f>'Supply planning data'!O13</f>
        <v>0</v>
      </c>
      <c r="N15" s="317">
        <f>'Supply planning data'!P13</f>
        <v>0</v>
      </c>
      <c r="O15" s="339">
        <f>'Supply planning data'!Q13</f>
        <v>0</v>
      </c>
      <c r="P15" s="92">
        <f>'Supply planning data'!R13</f>
        <v>0</v>
      </c>
      <c r="Q15" s="92">
        <f>'Supply planning data'!S13</f>
        <v>0</v>
      </c>
      <c r="R15" s="98">
        <f>'Supply planning data'!T13</f>
        <v>0</v>
      </c>
      <c r="S15" s="318">
        <f>'Supply planning data'!U13</f>
        <v>0</v>
      </c>
      <c r="T15" s="98">
        <f>'Supply planning data'!V13</f>
        <v>0</v>
      </c>
      <c r="U15" s="319">
        <f>'Supply planning data'!W13</f>
        <v>0</v>
      </c>
      <c r="V15" s="98">
        <f>'Supply planning data'!X13</f>
        <v>0</v>
      </c>
      <c r="W15" s="317">
        <f>'Supply planning data'!Y13</f>
        <v>0</v>
      </c>
      <c r="X15" s="328">
        <f>'Supply planning data'!Z13</f>
        <v>0</v>
      </c>
      <c r="Y15" s="98">
        <f>'Supply planning data'!AA13</f>
        <v>0</v>
      </c>
      <c r="Z15" s="98">
        <f>'Supply planning data'!AB13</f>
        <v>0</v>
      </c>
      <c r="AA15" s="98">
        <f>'Supply planning data'!AC13</f>
        <v>0</v>
      </c>
      <c r="AB15" s="98">
        <f>'Supply planning data'!AD13</f>
        <v>0</v>
      </c>
      <c r="AC15" s="98">
        <f>'Supply planning data'!AE13</f>
        <v>0</v>
      </c>
      <c r="AD15" s="319" t="str">
        <f>'Supply planning data'!AF13</f>
        <v/>
      </c>
      <c r="AE15" s="98">
        <f>'Supply planning data'!AG13</f>
        <v>0</v>
      </c>
      <c r="AF15" s="317">
        <f>'Supply planning data'!AH13</f>
        <v>0</v>
      </c>
      <c r="AG15" s="175">
        <f>'Supply planning data'!AI13</f>
        <v>0</v>
      </c>
      <c r="AH15" s="98">
        <f>'Supply planning data'!AJ13</f>
        <v>0</v>
      </c>
      <c r="AI15" s="98">
        <f>'Supply planning data'!AK13</f>
        <v>0</v>
      </c>
      <c r="AJ15" s="98">
        <f>'Supply planning data'!AL13</f>
        <v>0</v>
      </c>
      <c r="AK15" s="98">
        <f>'Supply planning data'!AM13</f>
        <v>0</v>
      </c>
      <c r="AL15" s="98">
        <f>'Supply planning data'!AN13</f>
        <v>0</v>
      </c>
      <c r="AM15" s="319" t="str">
        <f>'Supply planning data'!AO13</f>
        <v/>
      </c>
    </row>
    <row r="16" spans="1:39" hidden="1" x14ac:dyDescent="0.25">
      <c r="A16" s="90" t="str">
        <f>'Supply planning data'!C14</f>
        <v/>
      </c>
      <c r="B16" s="296">
        <f>'Supply planning data'!D14</f>
        <v>44197</v>
      </c>
      <c r="C16" s="98" t="str">
        <f>'Supply planning data'!E14</f>
        <v>No</v>
      </c>
      <c r="D16" s="308">
        <f>'Supply planning data'!F14</f>
        <v>0</v>
      </c>
      <c r="E16" s="317">
        <f>'Supply planning data'!G14</f>
        <v>0</v>
      </c>
      <c r="F16" s="317">
        <f>'Supply planning data'!H14</f>
        <v>0</v>
      </c>
      <c r="G16" s="317">
        <f>'Supply planning data'!I14</f>
        <v>0</v>
      </c>
      <c r="H16" s="98">
        <f>'Supply planning data'!J14</f>
        <v>0</v>
      </c>
      <c r="I16" s="317">
        <f>'Supply planning data'!K14</f>
        <v>0</v>
      </c>
      <c r="J16" s="175" t="str">
        <f>'Supply planning data'!L14</f>
        <v/>
      </c>
      <c r="K16" s="98">
        <f>'Supply planning data'!M14</f>
        <v>0</v>
      </c>
      <c r="L16" s="317">
        <f>'Supply planning data'!N14+'Supply planning data'!P14</f>
        <v>0</v>
      </c>
      <c r="M16" s="339">
        <f>'Supply planning data'!O14</f>
        <v>0</v>
      </c>
      <c r="N16" s="317">
        <f>'Supply planning data'!P14</f>
        <v>0</v>
      </c>
      <c r="O16" s="339">
        <f>'Supply planning data'!Q14</f>
        <v>0</v>
      </c>
      <c r="P16" s="92">
        <f>'Supply planning data'!R14</f>
        <v>0</v>
      </c>
      <c r="Q16" s="92">
        <f>'Supply planning data'!S14</f>
        <v>0</v>
      </c>
      <c r="R16" s="98">
        <f>'Supply planning data'!T14</f>
        <v>0</v>
      </c>
      <c r="S16" s="318">
        <f>'Supply planning data'!U14</f>
        <v>0</v>
      </c>
      <c r="T16" s="98">
        <f>'Supply planning data'!V14</f>
        <v>0</v>
      </c>
      <c r="U16" s="319">
        <f>'Supply planning data'!W14</f>
        <v>0</v>
      </c>
      <c r="V16" s="98">
        <f>'Supply planning data'!X14</f>
        <v>0</v>
      </c>
      <c r="W16" s="317">
        <f>'Supply planning data'!Y14</f>
        <v>0</v>
      </c>
      <c r="X16" s="328">
        <f>'Supply planning data'!Z14</f>
        <v>0</v>
      </c>
      <c r="Y16" s="98">
        <f>'Supply planning data'!AA14</f>
        <v>0</v>
      </c>
      <c r="Z16" s="98">
        <f>'Supply planning data'!AB14</f>
        <v>0</v>
      </c>
      <c r="AA16" s="98">
        <f>'Supply planning data'!AC14</f>
        <v>0</v>
      </c>
      <c r="AB16" s="98">
        <f>'Supply planning data'!AD14</f>
        <v>0</v>
      </c>
      <c r="AC16" s="98">
        <f>'Supply planning data'!AE14</f>
        <v>0</v>
      </c>
      <c r="AD16" s="319" t="str">
        <f>'Supply planning data'!AF14</f>
        <v/>
      </c>
      <c r="AE16" s="98">
        <f>'Supply planning data'!AG14</f>
        <v>0</v>
      </c>
      <c r="AF16" s="317">
        <f>'Supply planning data'!AH14</f>
        <v>0</v>
      </c>
      <c r="AG16" s="175">
        <f>'Supply planning data'!AI14</f>
        <v>0</v>
      </c>
      <c r="AH16" s="98">
        <f>'Supply planning data'!AJ14</f>
        <v>0</v>
      </c>
      <c r="AI16" s="98">
        <f>'Supply planning data'!AK14</f>
        <v>0</v>
      </c>
      <c r="AJ16" s="98">
        <f>'Supply planning data'!AL14</f>
        <v>0</v>
      </c>
      <c r="AK16" s="98">
        <f>'Supply planning data'!AM14</f>
        <v>0</v>
      </c>
      <c r="AL16" s="98">
        <f>'Supply planning data'!AN14</f>
        <v>0</v>
      </c>
      <c r="AM16" s="319" t="str">
        <f>'Supply planning data'!AO14</f>
        <v/>
      </c>
    </row>
    <row r="17" spans="1:39" hidden="1" x14ac:dyDescent="0.25">
      <c r="A17" s="90" t="str">
        <f>'Supply planning data'!C15</f>
        <v/>
      </c>
      <c r="B17" s="297">
        <f>'Supply planning data'!D15</f>
        <v>44197</v>
      </c>
      <c r="C17" s="98" t="str">
        <f>'Supply planning data'!E15</f>
        <v>No</v>
      </c>
      <c r="D17" s="308">
        <f>'Supply planning data'!F15</f>
        <v>0</v>
      </c>
      <c r="E17" s="317">
        <f>'Supply planning data'!G15</f>
        <v>0</v>
      </c>
      <c r="F17" s="316">
        <f>'Supply planning data'!H15</f>
        <v>0</v>
      </c>
      <c r="G17" s="316">
        <f>'Supply planning data'!I15</f>
        <v>0</v>
      </c>
      <c r="H17" s="92">
        <f>'Supply planning data'!J15</f>
        <v>0</v>
      </c>
      <c r="I17" s="316">
        <f>'Supply planning data'!K15</f>
        <v>0</v>
      </c>
      <c r="J17" s="174" t="str">
        <f>'Supply planning data'!L15</f>
        <v/>
      </c>
      <c r="K17" s="92">
        <f>'Supply planning data'!M15</f>
        <v>0</v>
      </c>
      <c r="L17" s="317">
        <f>'Supply planning data'!N15+'Supply planning data'!P15</f>
        <v>0</v>
      </c>
      <c r="M17" s="339">
        <f>'Supply planning data'!O15</f>
        <v>0</v>
      </c>
      <c r="N17" s="317">
        <f>'Supply planning data'!P15</f>
        <v>0</v>
      </c>
      <c r="O17" s="339">
        <f>'Supply planning data'!Q15</f>
        <v>0</v>
      </c>
      <c r="P17" s="92">
        <f>'Supply planning data'!R15</f>
        <v>0</v>
      </c>
      <c r="Q17" s="92">
        <f>'Supply planning data'!S15</f>
        <v>0</v>
      </c>
      <c r="R17" s="98">
        <f>'Supply planning data'!T15</f>
        <v>0</v>
      </c>
      <c r="S17" s="318">
        <f>'Supply planning data'!U15</f>
        <v>0</v>
      </c>
      <c r="T17" s="98">
        <f>'Supply planning data'!V15</f>
        <v>0</v>
      </c>
      <c r="U17" s="319">
        <f>'Supply planning data'!W15</f>
        <v>0</v>
      </c>
      <c r="V17" s="98">
        <f>'Supply planning data'!X15</f>
        <v>0</v>
      </c>
      <c r="W17" s="317">
        <f>'Supply planning data'!Y15</f>
        <v>0</v>
      </c>
      <c r="X17" s="328">
        <f>'Supply planning data'!Z15</f>
        <v>0</v>
      </c>
      <c r="Y17" s="98">
        <f>'Supply planning data'!AA15</f>
        <v>0</v>
      </c>
      <c r="Z17" s="98">
        <f>'Supply planning data'!AB15</f>
        <v>0</v>
      </c>
      <c r="AA17" s="98">
        <f>'Supply planning data'!AC15</f>
        <v>0</v>
      </c>
      <c r="AB17" s="98">
        <f>'Supply planning data'!AD15</f>
        <v>0</v>
      </c>
      <c r="AC17" s="98">
        <f>'Supply planning data'!AE15</f>
        <v>0</v>
      </c>
      <c r="AD17" s="319" t="str">
        <f>'Supply planning data'!AF15</f>
        <v/>
      </c>
      <c r="AE17" s="98">
        <f>'Supply planning data'!AG15</f>
        <v>0</v>
      </c>
      <c r="AF17" s="317">
        <f>'Supply planning data'!AH15</f>
        <v>0</v>
      </c>
      <c r="AG17" s="175">
        <f>'Supply planning data'!AI15</f>
        <v>0</v>
      </c>
      <c r="AH17" s="98">
        <f>'Supply planning data'!AJ15</f>
        <v>0</v>
      </c>
      <c r="AI17" s="98">
        <f>'Supply planning data'!AK15</f>
        <v>0</v>
      </c>
      <c r="AJ17" s="98">
        <f>'Supply planning data'!AL15</f>
        <v>0</v>
      </c>
      <c r="AK17" s="98">
        <f>'Supply planning data'!AM15</f>
        <v>0</v>
      </c>
      <c r="AL17" s="98">
        <f>'Supply planning data'!AN15</f>
        <v>0</v>
      </c>
      <c r="AM17" s="319" t="str">
        <f>'Supply planning data'!AO15</f>
        <v/>
      </c>
    </row>
    <row r="18" spans="1:39" hidden="1" x14ac:dyDescent="0.25">
      <c r="A18" s="90" t="str">
        <f>'Supply planning data'!C16</f>
        <v/>
      </c>
      <c r="B18" s="296">
        <f>'Supply planning data'!D16</f>
        <v>44197</v>
      </c>
      <c r="C18" s="98" t="str">
        <f>'Supply planning data'!E16</f>
        <v>No</v>
      </c>
      <c r="D18" s="308">
        <f>'Supply planning data'!F16</f>
        <v>0</v>
      </c>
      <c r="E18" s="317">
        <f>'Supply planning data'!G16</f>
        <v>0</v>
      </c>
      <c r="F18" s="317">
        <f>'Supply planning data'!H16</f>
        <v>0</v>
      </c>
      <c r="G18" s="317">
        <f>'Supply planning data'!I16</f>
        <v>0</v>
      </c>
      <c r="H18" s="98">
        <f>'Supply planning data'!J16</f>
        <v>0</v>
      </c>
      <c r="I18" s="317">
        <f>'Supply planning data'!K16</f>
        <v>0</v>
      </c>
      <c r="J18" s="175" t="str">
        <f>'Supply planning data'!L16</f>
        <v/>
      </c>
      <c r="K18" s="98">
        <f>'Supply planning data'!M16</f>
        <v>0</v>
      </c>
      <c r="L18" s="317">
        <f>'Supply planning data'!N16+'Supply planning data'!P16</f>
        <v>0</v>
      </c>
      <c r="M18" s="339">
        <f>'Supply planning data'!O16</f>
        <v>0</v>
      </c>
      <c r="N18" s="317">
        <f>'Supply planning data'!P16</f>
        <v>0</v>
      </c>
      <c r="O18" s="339">
        <f>'Supply planning data'!Q16</f>
        <v>0</v>
      </c>
      <c r="P18" s="92">
        <f>'Supply planning data'!R16</f>
        <v>0</v>
      </c>
      <c r="Q18" s="92">
        <f>'Supply planning data'!S16</f>
        <v>0</v>
      </c>
      <c r="R18" s="98">
        <f>'Supply planning data'!T16</f>
        <v>0</v>
      </c>
      <c r="S18" s="318">
        <f>'Supply planning data'!U16</f>
        <v>0</v>
      </c>
      <c r="T18" s="98">
        <f>'Supply planning data'!V16</f>
        <v>0</v>
      </c>
      <c r="U18" s="319">
        <f>'Supply planning data'!W16</f>
        <v>0</v>
      </c>
      <c r="V18" s="98">
        <f>'Supply planning data'!X16</f>
        <v>0</v>
      </c>
      <c r="W18" s="317">
        <f>'Supply planning data'!Y16</f>
        <v>0</v>
      </c>
      <c r="X18" s="328">
        <f>'Supply planning data'!Z16</f>
        <v>0</v>
      </c>
      <c r="Y18" s="98">
        <f>'Supply planning data'!AA16</f>
        <v>0</v>
      </c>
      <c r="Z18" s="98">
        <f>'Supply planning data'!AB16</f>
        <v>0</v>
      </c>
      <c r="AA18" s="98">
        <f>'Supply planning data'!AC16</f>
        <v>0</v>
      </c>
      <c r="AB18" s="98">
        <f>'Supply planning data'!AD16</f>
        <v>0</v>
      </c>
      <c r="AC18" s="98">
        <f>'Supply planning data'!AE16</f>
        <v>0</v>
      </c>
      <c r="AD18" s="319" t="str">
        <f>'Supply planning data'!AF16</f>
        <v/>
      </c>
      <c r="AE18" s="98">
        <f>'Supply planning data'!AG16</f>
        <v>0</v>
      </c>
      <c r="AF18" s="317">
        <f>'Supply planning data'!AH16</f>
        <v>0</v>
      </c>
      <c r="AG18" s="175">
        <f>'Supply planning data'!AI16</f>
        <v>0</v>
      </c>
      <c r="AH18" s="98">
        <f>'Supply planning data'!AJ16</f>
        <v>0</v>
      </c>
      <c r="AI18" s="98">
        <f>'Supply planning data'!AK16</f>
        <v>0</v>
      </c>
      <c r="AJ18" s="98">
        <f>'Supply planning data'!AL16</f>
        <v>0</v>
      </c>
      <c r="AK18" s="98">
        <f>'Supply planning data'!AM16</f>
        <v>0</v>
      </c>
      <c r="AL18" s="98">
        <f>'Supply planning data'!AN16</f>
        <v>0</v>
      </c>
      <c r="AM18" s="319" t="str">
        <f>'Supply planning data'!AO16</f>
        <v/>
      </c>
    </row>
    <row r="19" spans="1:39" hidden="1" x14ac:dyDescent="0.25">
      <c r="A19" s="90" t="str">
        <f>'Supply planning data'!C17</f>
        <v/>
      </c>
      <c r="B19" s="297">
        <f>'Supply planning data'!D17</f>
        <v>44197</v>
      </c>
      <c r="C19" s="98" t="str">
        <f>'Supply planning data'!E17</f>
        <v>No</v>
      </c>
      <c r="D19" s="308">
        <f>'Supply planning data'!F17</f>
        <v>0</v>
      </c>
      <c r="E19" s="317">
        <f>'Supply planning data'!G17</f>
        <v>0</v>
      </c>
      <c r="F19" s="316">
        <f>'Supply planning data'!H17</f>
        <v>0</v>
      </c>
      <c r="G19" s="316">
        <f>'Supply planning data'!I17</f>
        <v>0</v>
      </c>
      <c r="H19" s="92">
        <f>'Supply planning data'!J17</f>
        <v>0</v>
      </c>
      <c r="I19" s="316">
        <f>'Supply planning data'!K17</f>
        <v>0</v>
      </c>
      <c r="J19" s="174" t="str">
        <f>'Supply planning data'!L17</f>
        <v/>
      </c>
      <c r="K19" s="92">
        <f>'Supply planning data'!M17</f>
        <v>0</v>
      </c>
      <c r="L19" s="317">
        <f>'Supply planning data'!N17+'Supply planning data'!P17</f>
        <v>0</v>
      </c>
      <c r="M19" s="339">
        <f>'Supply planning data'!O17</f>
        <v>0</v>
      </c>
      <c r="N19" s="317">
        <f>'Supply planning data'!P17</f>
        <v>0</v>
      </c>
      <c r="O19" s="339">
        <f>'Supply planning data'!Q17</f>
        <v>0</v>
      </c>
      <c r="P19" s="92">
        <f>'Supply planning data'!R17</f>
        <v>0</v>
      </c>
      <c r="Q19" s="92">
        <f>'Supply planning data'!S17</f>
        <v>0</v>
      </c>
      <c r="R19" s="98">
        <f>'Supply planning data'!T17</f>
        <v>0</v>
      </c>
      <c r="S19" s="318">
        <f>'Supply planning data'!U17</f>
        <v>0</v>
      </c>
      <c r="T19" s="98">
        <f>'Supply planning data'!V17</f>
        <v>0</v>
      </c>
      <c r="U19" s="319">
        <f>'Supply planning data'!W17</f>
        <v>0</v>
      </c>
      <c r="V19" s="98">
        <f>'Supply planning data'!X17</f>
        <v>0</v>
      </c>
      <c r="W19" s="317">
        <f>'Supply planning data'!Y17</f>
        <v>0</v>
      </c>
      <c r="X19" s="328">
        <f>'Supply planning data'!Z17</f>
        <v>0</v>
      </c>
      <c r="Y19" s="98">
        <f>'Supply planning data'!AA17</f>
        <v>0</v>
      </c>
      <c r="Z19" s="98">
        <f>'Supply planning data'!AB17</f>
        <v>0</v>
      </c>
      <c r="AA19" s="98">
        <f>'Supply planning data'!AC17</f>
        <v>0</v>
      </c>
      <c r="AB19" s="98">
        <f>'Supply planning data'!AD17</f>
        <v>0</v>
      </c>
      <c r="AC19" s="98">
        <f>'Supply planning data'!AE17</f>
        <v>0</v>
      </c>
      <c r="AD19" s="319" t="str">
        <f>'Supply planning data'!AF17</f>
        <v/>
      </c>
      <c r="AE19" s="98">
        <f>'Supply planning data'!AG17</f>
        <v>0</v>
      </c>
      <c r="AF19" s="317">
        <f>'Supply planning data'!AH17</f>
        <v>0</v>
      </c>
      <c r="AG19" s="175">
        <f>'Supply planning data'!AI17</f>
        <v>0</v>
      </c>
      <c r="AH19" s="98">
        <f>'Supply planning data'!AJ17</f>
        <v>0</v>
      </c>
      <c r="AI19" s="98">
        <f>'Supply planning data'!AK17</f>
        <v>0</v>
      </c>
      <c r="AJ19" s="98">
        <f>'Supply planning data'!AL17</f>
        <v>0</v>
      </c>
      <c r="AK19" s="98">
        <f>'Supply planning data'!AM17</f>
        <v>0</v>
      </c>
      <c r="AL19" s="98">
        <f>'Supply planning data'!AN17</f>
        <v>0</v>
      </c>
      <c r="AM19" s="319" t="str">
        <f>'Supply planning data'!AO17</f>
        <v/>
      </c>
    </row>
    <row r="20" spans="1:39" hidden="1" x14ac:dyDescent="0.25">
      <c r="A20" s="90" t="str">
        <f>'Supply planning data'!C18</f>
        <v/>
      </c>
      <c r="B20" s="296">
        <f>'Supply planning data'!D18</f>
        <v>44197</v>
      </c>
      <c r="C20" s="98" t="str">
        <f>'Supply planning data'!E18</f>
        <v>No</v>
      </c>
      <c r="D20" s="308">
        <f>'Supply planning data'!F18</f>
        <v>0</v>
      </c>
      <c r="E20" s="317">
        <f>'Supply planning data'!G18</f>
        <v>0</v>
      </c>
      <c r="F20" s="317">
        <f>'Supply planning data'!H18</f>
        <v>0</v>
      </c>
      <c r="G20" s="317">
        <f>'Supply planning data'!I18</f>
        <v>0</v>
      </c>
      <c r="H20" s="98">
        <f>'Supply planning data'!J18</f>
        <v>0</v>
      </c>
      <c r="I20" s="317">
        <f>'Supply planning data'!K18</f>
        <v>0</v>
      </c>
      <c r="J20" s="175" t="str">
        <f>'Supply planning data'!L18</f>
        <v/>
      </c>
      <c r="K20" s="98">
        <f>'Supply planning data'!M18</f>
        <v>0</v>
      </c>
      <c r="L20" s="317">
        <f>'Supply planning data'!N18+'Supply planning data'!P18</f>
        <v>0</v>
      </c>
      <c r="M20" s="339">
        <f>'Supply planning data'!O18</f>
        <v>0</v>
      </c>
      <c r="N20" s="317">
        <f>'Supply planning data'!P18</f>
        <v>0</v>
      </c>
      <c r="O20" s="339">
        <f>'Supply planning data'!Q18</f>
        <v>0</v>
      </c>
      <c r="P20" s="92">
        <f>'Supply planning data'!R18</f>
        <v>0</v>
      </c>
      <c r="Q20" s="92">
        <f>'Supply planning data'!S18</f>
        <v>0</v>
      </c>
      <c r="R20" s="98">
        <f>'Supply planning data'!T18</f>
        <v>0</v>
      </c>
      <c r="S20" s="318">
        <f>'Supply planning data'!U18</f>
        <v>0</v>
      </c>
      <c r="T20" s="98">
        <f>'Supply planning data'!V18</f>
        <v>0</v>
      </c>
      <c r="U20" s="319">
        <f>'Supply planning data'!W18</f>
        <v>0</v>
      </c>
      <c r="V20" s="98">
        <f>'Supply planning data'!X18</f>
        <v>0</v>
      </c>
      <c r="W20" s="317">
        <f>'Supply planning data'!Y18</f>
        <v>0</v>
      </c>
      <c r="X20" s="328">
        <f>'Supply planning data'!Z18</f>
        <v>0</v>
      </c>
      <c r="Y20" s="98">
        <f>'Supply planning data'!AA18</f>
        <v>0</v>
      </c>
      <c r="Z20" s="98">
        <f>'Supply planning data'!AB18</f>
        <v>0</v>
      </c>
      <c r="AA20" s="98">
        <f>'Supply planning data'!AC18</f>
        <v>0</v>
      </c>
      <c r="AB20" s="98">
        <f>'Supply planning data'!AD18</f>
        <v>0</v>
      </c>
      <c r="AC20" s="98">
        <f>'Supply planning data'!AE18</f>
        <v>0</v>
      </c>
      <c r="AD20" s="319" t="str">
        <f>'Supply planning data'!AF18</f>
        <v/>
      </c>
      <c r="AE20" s="98">
        <f>'Supply planning data'!AG18</f>
        <v>0</v>
      </c>
      <c r="AF20" s="317">
        <f>'Supply planning data'!AH18</f>
        <v>0</v>
      </c>
      <c r="AG20" s="175">
        <f>'Supply planning data'!AI18</f>
        <v>0</v>
      </c>
      <c r="AH20" s="98">
        <f>'Supply planning data'!AJ18</f>
        <v>0</v>
      </c>
      <c r="AI20" s="98">
        <f>'Supply planning data'!AK18</f>
        <v>0</v>
      </c>
      <c r="AJ20" s="98">
        <f>'Supply planning data'!AL18</f>
        <v>0</v>
      </c>
      <c r="AK20" s="98">
        <f>'Supply planning data'!AM18</f>
        <v>0</v>
      </c>
      <c r="AL20" s="98">
        <f>'Supply planning data'!AN18</f>
        <v>0</v>
      </c>
      <c r="AM20" s="319" t="str">
        <f>'Supply planning data'!AO18</f>
        <v/>
      </c>
    </row>
    <row r="21" spans="1:39" hidden="1" x14ac:dyDescent="0.25">
      <c r="A21" s="90" t="str">
        <f>'Supply planning data'!C19</f>
        <v/>
      </c>
      <c r="B21" s="297">
        <f>'Supply planning data'!D19</f>
        <v>44197</v>
      </c>
      <c r="C21" s="102" t="str">
        <f>'Supply planning data'!E19</f>
        <v>No</v>
      </c>
      <c r="D21" s="309">
        <f>'Supply planning data'!F19</f>
        <v>0</v>
      </c>
      <c r="E21" s="340">
        <f>'Supply planning data'!G19</f>
        <v>0</v>
      </c>
      <c r="F21" s="340">
        <f>'Supply planning data'!H19</f>
        <v>0</v>
      </c>
      <c r="G21" s="340">
        <f>'Supply planning data'!I19</f>
        <v>0</v>
      </c>
      <c r="H21" s="102">
        <f>'Supply planning data'!J19</f>
        <v>0</v>
      </c>
      <c r="I21" s="340">
        <f>'Supply planning data'!K19</f>
        <v>0</v>
      </c>
      <c r="J21" s="176" t="str">
        <f>'Supply planning data'!L19</f>
        <v/>
      </c>
      <c r="K21" s="102">
        <f>'Supply planning data'!M19</f>
        <v>0</v>
      </c>
      <c r="L21" s="317">
        <f>'Supply planning data'!N19+'Supply planning data'!P19</f>
        <v>0</v>
      </c>
      <c r="M21" s="339">
        <f>'Supply planning data'!O19</f>
        <v>0</v>
      </c>
      <c r="N21" s="317">
        <f>'Supply planning data'!P19</f>
        <v>0</v>
      </c>
      <c r="O21" s="339">
        <f>'Supply planning data'!Q19</f>
        <v>0</v>
      </c>
      <c r="P21" s="92">
        <f>'Supply planning data'!R19</f>
        <v>0</v>
      </c>
      <c r="Q21" s="92">
        <f>'Supply planning data'!S19</f>
        <v>0</v>
      </c>
      <c r="R21" s="98">
        <f>'Supply planning data'!T19</f>
        <v>0</v>
      </c>
      <c r="S21" s="318">
        <f>'Supply planning data'!U19</f>
        <v>0</v>
      </c>
      <c r="T21" s="98">
        <f>'Supply planning data'!V19</f>
        <v>0</v>
      </c>
      <c r="U21" s="319">
        <f>'Supply planning data'!W19</f>
        <v>0</v>
      </c>
      <c r="V21" s="98">
        <f>'Supply planning data'!X19</f>
        <v>0</v>
      </c>
      <c r="W21" s="317">
        <f>'Supply planning data'!Y19</f>
        <v>0</v>
      </c>
      <c r="X21" s="328">
        <f>'Supply planning data'!Z19</f>
        <v>0</v>
      </c>
      <c r="Y21" s="98">
        <f>'Supply planning data'!AA19</f>
        <v>0</v>
      </c>
      <c r="Z21" s="98">
        <f>'Supply planning data'!AB19</f>
        <v>0</v>
      </c>
      <c r="AA21" s="98">
        <f>'Supply planning data'!AC19</f>
        <v>0</v>
      </c>
      <c r="AB21" s="98">
        <f>'Supply planning data'!AD19</f>
        <v>0</v>
      </c>
      <c r="AC21" s="98">
        <f>'Supply planning data'!AE19</f>
        <v>0</v>
      </c>
      <c r="AD21" s="319" t="str">
        <f>'Supply planning data'!AF19</f>
        <v/>
      </c>
      <c r="AE21" s="98">
        <f>'Supply planning data'!AG19</f>
        <v>0</v>
      </c>
      <c r="AF21" s="317">
        <f>'Supply planning data'!AH19</f>
        <v>0</v>
      </c>
      <c r="AG21" s="175">
        <f>'Supply planning data'!AI19</f>
        <v>0</v>
      </c>
      <c r="AH21" s="98">
        <f>'Supply planning data'!AJ19</f>
        <v>0</v>
      </c>
      <c r="AI21" s="98">
        <f>'Supply planning data'!AK19</f>
        <v>0</v>
      </c>
      <c r="AJ21" s="98">
        <f>'Supply planning data'!AL19</f>
        <v>0</v>
      </c>
      <c r="AK21" s="98">
        <f>'Supply planning data'!AM19</f>
        <v>0</v>
      </c>
      <c r="AL21" s="98">
        <f>'Supply planning data'!AN19</f>
        <v>0</v>
      </c>
      <c r="AM21" s="319" t="str">
        <f>'Supply planning data'!AO19</f>
        <v/>
      </c>
    </row>
    <row r="22" spans="1:39" x14ac:dyDescent="0.25">
      <c r="A22" s="104" t="str">
        <f>'Supply planning data'!C20</f>
        <v>AstraZeneca</v>
      </c>
      <c r="B22" s="298">
        <f>'Supply planning data'!D20</f>
        <v>44228</v>
      </c>
      <c r="C22" s="105" t="str">
        <f>'Supply planning data'!E20</f>
        <v>Yes</v>
      </c>
      <c r="D22" s="105">
        <f>'Supply planning data'!F20</f>
        <v>0</v>
      </c>
      <c r="E22" s="320">
        <f>'Supply planning data'!G20</f>
        <v>0</v>
      </c>
      <c r="F22" s="320">
        <f>'Supply planning data'!H20</f>
        <v>0</v>
      </c>
      <c r="G22" s="320">
        <f>'Supply planning data'!I20</f>
        <v>0</v>
      </c>
      <c r="H22" s="105">
        <f>'Supply planning data'!J20</f>
        <v>0</v>
      </c>
      <c r="I22" s="320">
        <f>'Supply planning data'!K20</f>
        <v>0</v>
      </c>
      <c r="J22" s="177" t="str">
        <f>'Supply planning data'!L20</f>
        <v/>
      </c>
      <c r="K22" s="105">
        <f>'Supply planning data'!M20</f>
        <v>0</v>
      </c>
      <c r="L22" s="320">
        <f>'Supply planning data'!N20+'Supply planning data'!P20</f>
        <v>0</v>
      </c>
      <c r="M22" s="341">
        <f>'Supply planning data'!O20</f>
        <v>0</v>
      </c>
      <c r="N22" s="320">
        <f>'Supply planning data'!P20</f>
        <v>0</v>
      </c>
      <c r="O22" s="341">
        <f>'Supply planning data'!Q20</f>
        <v>0</v>
      </c>
      <c r="P22" s="105">
        <f>'Supply planning data'!R20</f>
        <v>0</v>
      </c>
      <c r="Q22" s="105">
        <f>'Supply planning data'!S20</f>
        <v>0</v>
      </c>
      <c r="R22" s="105">
        <f>'Supply planning data'!T20</f>
        <v>0</v>
      </c>
      <c r="S22" s="105">
        <f>'Supply planning data'!U20</f>
        <v>0</v>
      </c>
      <c r="T22" s="105">
        <f>'Supply planning data'!V20</f>
        <v>0</v>
      </c>
      <c r="U22" s="322">
        <f>'Supply planning data'!W20</f>
        <v>0</v>
      </c>
      <c r="V22" s="105">
        <f>'Supply planning data'!X20</f>
        <v>0</v>
      </c>
      <c r="W22" s="320">
        <f>'Supply planning data'!Y20</f>
        <v>0</v>
      </c>
      <c r="X22" s="329">
        <f>'Supply planning data'!Z20</f>
        <v>0</v>
      </c>
      <c r="Y22" s="105">
        <f>'Supply planning data'!AA20</f>
        <v>0</v>
      </c>
      <c r="Z22" s="105">
        <f>'Supply planning data'!AB20</f>
        <v>0</v>
      </c>
      <c r="AA22" s="105">
        <f>'Supply planning data'!AC20</f>
        <v>0</v>
      </c>
      <c r="AB22" s="105">
        <f>'Supply planning data'!AD20</f>
        <v>0</v>
      </c>
      <c r="AC22" s="105">
        <f>'Supply planning data'!AE20</f>
        <v>0</v>
      </c>
      <c r="AD22" s="322" t="str">
        <f>'Supply planning data'!AF20</f>
        <v/>
      </c>
      <c r="AE22" s="105">
        <f>'Supply planning data'!AG20</f>
        <v>0</v>
      </c>
      <c r="AF22" s="320">
        <f>'Supply planning data'!AH20</f>
        <v>0</v>
      </c>
      <c r="AG22" s="177">
        <f>'Supply planning data'!AI20</f>
        <v>0</v>
      </c>
      <c r="AH22" s="105">
        <f>'Supply planning data'!AJ20</f>
        <v>0</v>
      </c>
      <c r="AI22" s="105">
        <f>'Supply planning data'!AK20</f>
        <v>0</v>
      </c>
      <c r="AJ22" s="105">
        <f>'Supply planning data'!AL20</f>
        <v>0</v>
      </c>
      <c r="AK22" s="105">
        <f>'Supply planning data'!AM20</f>
        <v>0</v>
      </c>
      <c r="AL22" s="105">
        <f>'Supply planning data'!AN20</f>
        <v>0</v>
      </c>
      <c r="AM22" s="322" t="str">
        <f>'Supply planning data'!AO20</f>
        <v/>
      </c>
    </row>
    <row r="23" spans="1:39" x14ac:dyDescent="0.25">
      <c r="A23" s="109" t="str">
        <f>'Supply planning data'!C21</f>
        <v>Jansen</v>
      </c>
      <c r="B23" s="298">
        <f>'Supply planning data'!D21</f>
        <v>44228</v>
      </c>
      <c r="C23" s="105" t="str">
        <f>'Supply planning data'!E21</f>
        <v>Yes</v>
      </c>
      <c r="D23" s="105">
        <f>'Supply planning data'!F21</f>
        <v>0</v>
      </c>
      <c r="E23" s="320">
        <f>'Supply planning data'!G21</f>
        <v>0</v>
      </c>
      <c r="F23" s="320">
        <f>'Supply planning data'!H21</f>
        <v>0</v>
      </c>
      <c r="G23" s="320">
        <f>'Supply planning data'!I21</f>
        <v>0</v>
      </c>
      <c r="H23" s="105">
        <f>'Supply planning data'!J21</f>
        <v>0</v>
      </c>
      <c r="I23" s="320">
        <f>'Supply planning data'!K21</f>
        <v>0</v>
      </c>
      <c r="J23" s="177" t="str">
        <f>'Supply planning data'!L21</f>
        <v/>
      </c>
      <c r="K23" s="105">
        <f>'Supply planning data'!M21</f>
        <v>0</v>
      </c>
      <c r="L23" s="321">
        <f>'Supply planning data'!N21+'Supply planning data'!P21</f>
        <v>0</v>
      </c>
      <c r="M23" s="342">
        <f>'Supply planning data'!O21</f>
        <v>0</v>
      </c>
      <c r="N23" s="321">
        <f>'Supply planning data'!P21</f>
        <v>0</v>
      </c>
      <c r="O23" s="342">
        <f>'Supply planning data'!Q21</f>
        <v>0</v>
      </c>
      <c r="P23" s="111">
        <f>'Supply planning data'!R21</f>
        <v>0</v>
      </c>
      <c r="Q23" s="111">
        <f>'Supply planning data'!S21</f>
        <v>0</v>
      </c>
      <c r="R23" s="111">
        <f>'Supply planning data'!T21</f>
        <v>0</v>
      </c>
      <c r="S23" s="111">
        <f>'Supply planning data'!U21</f>
        <v>0</v>
      </c>
      <c r="T23" s="111">
        <f>'Supply planning data'!V21</f>
        <v>0</v>
      </c>
      <c r="U23" s="323">
        <f>'Supply planning data'!W21</f>
        <v>0</v>
      </c>
      <c r="V23" s="111">
        <f>'Supply planning data'!X21</f>
        <v>0</v>
      </c>
      <c r="W23" s="321">
        <f>'Supply planning data'!Y21</f>
        <v>0</v>
      </c>
      <c r="X23" s="329">
        <f>'Supply planning data'!Z21</f>
        <v>0</v>
      </c>
      <c r="Y23" s="111">
        <f>'Supply planning data'!AA21</f>
        <v>0</v>
      </c>
      <c r="Z23" s="111">
        <f>'Supply planning data'!AB21</f>
        <v>0</v>
      </c>
      <c r="AA23" s="111">
        <f>'Supply planning data'!AC21</f>
        <v>0</v>
      </c>
      <c r="AB23" s="111">
        <f>'Supply planning data'!AD21</f>
        <v>0</v>
      </c>
      <c r="AC23" s="111">
        <f>'Supply planning data'!AE21</f>
        <v>0</v>
      </c>
      <c r="AD23" s="323" t="str">
        <f>'Supply planning data'!AF21</f>
        <v/>
      </c>
      <c r="AE23" s="111">
        <f>'Supply planning data'!AG21</f>
        <v>0</v>
      </c>
      <c r="AF23" s="321">
        <f>'Supply planning data'!AH21</f>
        <v>0</v>
      </c>
      <c r="AG23" s="349">
        <f>'Supply planning data'!AI21</f>
        <v>0</v>
      </c>
      <c r="AH23" s="111">
        <f>'Supply planning data'!AJ21</f>
        <v>0</v>
      </c>
      <c r="AI23" s="111">
        <f>'Supply planning data'!AK21</f>
        <v>0</v>
      </c>
      <c r="AJ23" s="111">
        <f>'Supply planning data'!AL21</f>
        <v>0</v>
      </c>
      <c r="AK23" s="111">
        <f>'Supply planning data'!AM21</f>
        <v>0</v>
      </c>
      <c r="AL23" s="111">
        <f>'Supply planning data'!AN21</f>
        <v>0</v>
      </c>
      <c r="AM23" s="323" t="str">
        <f>'Supply planning data'!AO21</f>
        <v/>
      </c>
    </row>
    <row r="24" spans="1:39" x14ac:dyDescent="0.25">
      <c r="A24" s="104" t="str">
        <f>'Supply planning data'!C22</f>
        <v>Moderna</v>
      </c>
      <c r="B24" s="298">
        <f>'Supply planning data'!D22</f>
        <v>44228</v>
      </c>
      <c r="C24" s="105" t="str">
        <f>'Supply planning data'!E22</f>
        <v>No</v>
      </c>
      <c r="D24" s="105">
        <f>'Supply planning data'!F22</f>
        <v>0</v>
      </c>
      <c r="E24" s="320">
        <f>'Supply planning data'!G22</f>
        <v>0</v>
      </c>
      <c r="F24" s="320">
        <f>'Supply planning data'!H22</f>
        <v>0</v>
      </c>
      <c r="G24" s="320">
        <f>'Supply planning data'!I22</f>
        <v>0</v>
      </c>
      <c r="H24" s="105">
        <f>'Supply planning data'!J22</f>
        <v>0</v>
      </c>
      <c r="I24" s="320">
        <f>'Supply planning data'!K22</f>
        <v>0</v>
      </c>
      <c r="J24" s="177" t="str">
        <f>'Supply planning data'!L22</f>
        <v/>
      </c>
      <c r="K24" s="105">
        <f>'Supply planning data'!M22</f>
        <v>0</v>
      </c>
      <c r="L24" s="321">
        <f>'Supply planning data'!N22+'Supply planning data'!P22</f>
        <v>0</v>
      </c>
      <c r="M24" s="342">
        <f>'Supply planning data'!O22</f>
        <v>0</v>
      </c>
      <c r="N24" s="321">
        <f>'Supply planning data'!P22</f>
        <v>0</v>
      </c>
      <c r="O24" s="342">
        <f>'Supply planning data'!Q22</f>
        <v>0</v>
      </c>
      <c r="P24" s="111">
        <f>'Supply planning data'!R22</f>
        <v>0</v>
      </c>
      <c r="Q24" s="111">
        <f>'Supply planning data'!S22</f>
        <v>0</v>
      </c>
      <c r="R24" s="111">
        <f>'Supply planning data'!T22</f>
        <v>0</v>
      </c>
      <c r="S24" s="111">
        <f>'Supply planning data'!U22</f>
        <v>0</v>
      </c>
      <c r="T24" s="111">
        <f>'Supply planning data'!V22</f>
        <v>0</v>
      </c>
      <c r="U24" s="323">
        <f>'Supply planning data'!W22</f>
        <v>0</v>
      </c>
      <c r="V24" s="111">
        <f>'Supply planning data'!X22</f>
        <v>0</v>
      </c>
      <c r="W24" s="321">
        <f>'Supply planning data'!Y22</f>
        <v>0</v>
      </c>
      <c r="X24" s="329">
        <f>'Supply planning data'!Z22</f>
        <v>0</v>
      </c>
      <c r="Y24" s="111">
        <f>'Supply planning data'!AA22</f>
        <v>0</v>
      </c>
      <c r="Z24" s="111">
        <f>'Supply planning data'!AB22</f>
        <v>0</v>
      </c>
      <c r="AA24" s="111">
        <f>'Supply planning data'!AC22</f>
        <v>0</v>
      </c>
      <c r="AB24" s="111">
        <f>'Supply planning data'!AD22</f>
        <v>0</v>
      </c>
      <c r="AC24" s="111">
        <f>'Supply planning data'!AE22</f>
        <v>0</v>
      </c>
      <c r="AD24" s="323" t="str">
        <f>'Supply planning data'!AF22</f>
        <v/>
      </c>
      <c r="AE24" s="111">
        <f>'Supply planning data'!AG22</f>
        <v>0</v>
      </c>
      <c r="AF24" s="321">
        <f>'Supply planning data'!AH22</f>
        <v>0</v>
      </c>
      <c r="AG24" s="349">
        <f>'Supply planning data'!AI22</f>
        <v>0</v>
      </c>
      <c r="AH24" s="111">
        <f>'Supply planning data'!AJ22</f>
        <v>0</v>
      </c>
      <c r="AI24" s="111">
        <f>'Supply planning data'!AK22</f>
        <v>0</v>
      </c>
      <c r="AJ24" s="111">
        <f>'Supply planning data'!AL22</f>
        <v>0</v>
      </c>
      <c r="AK24" s="111">
        <f>'Supply planning data'!AM22</f>
        <v>0</v>
      </c>
      <c r="AL24" s="111">
        <f>'Supply planning data'!AN22</f>
        <v>0</v>
      </c>
      <c r="AM24" s="323" t="str">
        <f>'Supply planning data'!AO22</f>
        <v/>
      </c>
    </row>
    <row r="25" spans="1:39" x14ac:dyDescent="0.25">
      <c r="A25" s="109" t="str">
        <f>'Supply planning data'!C23</f>
        <v>Pfizer</v>
      </c>
      <c r="B25" s="298">
        <f>'Supply planning data'!D23</f>
        <v>44228</v>
      </c>
      <c r="C25" s="105" t="str">
        <f>'Supply planning data'!E23</f>
        <v>Yes</v>
      </c>
      <c r="D25" s="105">
        <f>'Supply planning data'!F23</f>
        <v>0</v>
      </c>
      <c r="E25" s="320">
        <f>'Supply planning data'!G23</f>
        <v>0</v>
      </c>
      <c r="F25" s="320">
        <f>'Supply planning data'!H23</f>
        <v>0</v>
      </c>
      <c r="G25" s="320">
        <f>'Supply planning data'!I23</f>
        <v>0</v>
      </c>
      <c r="H25" s="105">
        <f>'Supply planning data'!J23</f>
        <v>0</v>
      </c>
      <c r="I25" s="320">
        <f>'Supply planning data'!K23</f>
        <v>0</v>
      </c>
      <c r="J25" s="177" t="str">
        <f>'Supply planning data'!L23</f>
        <v/>
      </c>
      <c r="K25" s="105">
        <f>'Supply planning data'!M23</f>
        <v>0</v>
      </c>
      <c r="L25" s="321">
        <f>'Supply planning data'!N23+'Supply planning data'!P23</f>
        <v>0</v>
      </c>
      <c r="M25" s="342">
        <f>'Supply planning data'!O23</f>
        <v>0</v>
      </c>
      <c r="N25" s="321">
        <f>'Supply planning data'!P23</f>
        <v>0</v>
      </c>
      <c r="O25" s="342">
        <f>'Supply planning data'!Q23</f>
        <v>0</v>
      </c>
      <c r="P25" s="111">
        <f>'Supply planning data'!R23</f>
        <v>0</v>
      </c>
      <c r="Q25" s="111">
        <f>'Supply planning data'!S23</f>
        <v>0</v>
      </c>
      <c r="R25" s="111">
        <f>'Supply planning data'!T23</f>
        <v>0</v>
      </c>
      <c r="S25" s="111">
        <f>'Supply planning data'!U23</f>
        <v>0</v>
      </c>
      <c r="T25" s="111">
        <f>'Supply planning data'!V23</f>
        <v>0</v>
      </c>
      <c r="U25" s="323">
        <f>'Supply planning data'!W23</f>
        <v>0</v>
      </c>
      <c r="V25" s="111">
        <f>'Supply planning data'!X23</f>
        <v>0</v>
      </c>
      <c r="W25" s="321">
        <f>'Supply planning data'!Y23</f>
        <v>0</v>
      </c>
      <c r="X25" s="329">
        <f>'Supply planning data'!Z23</f>
        <v>0</v>
      </c>
      <c r="Y25" s="111">
        <f>'Supply planning data'!AA23</f>
        <v>0</v>
      </c>
      <c r="Z25" s="111">
        <f>'Supply planning data'!AB23</f>
        <v>0</v>
      </c>
      <c r="AA25" s="111">
        <f>'Supply planning data'!AC23</f>
        <v>0</v>
      </c>
      <c r="AB25" s="111">
        <f>'Supply planning data'!AD23</f>
        <v>0</v>
      </c>
      <c r="AC25" s="111">
        <f>'Supply planning data'!AE23</f>
        <v>0</v>
      </c>
      <c r="AD25" s="323" t="str">
        <f>'Supply planning data'!AF23</f>
        <v/>
      </c>
      <c r="AE25" s="111">
        <f>'Supply planning data'!AG23</f>
        <v>0</v>
      </c>
      <c r="AF25" s="321">
        <f>'Supply planning data'!AH23</f>
        <v>0</v>
      </c>
      <c r="AG25" s="349">
        <f>'Supply planning data'!AI23</f>
        <v>0</v>
      </c>
      <c r="AH25" s="111">
        <f>'Supply planning data'!AJ23</f>
        <v>0</v>
      </c>
      <c r="AI25" s="111">
        <f>'Supply planning data'!AK23</f>
        <v>0</v>
      </c>
      <c r="AJ25" s="111">
        <f>'Supply planning data'!AL23</f>
        <v>0</v>
      </c>
      <c r="AK25" s="111">
        <f>'Supply planning data'!AM23</f>
        <v>0</v>
      </c>
      <c r="AL25" s="111">
        <f>'Supply planning data'!AN23</f>
        <v>0</v>
      </c>
      <c r="AM25" s="323" t="str">
        <f>'Supply planning data'!AO23</f>
        <v/>
      </c>
    </row>
    <row r="26" spans="1:39" x14ac:dyDescent="0.25">
      <c r="A26" s="104" t="str">
        <f>'Supply planning data'!C24</f>
        <v>Sinovac</v>
      </c>
      <c r="B26" s="298">
        <f>'Supply planning data'!D24</f>
        <v>44228</v>
      </c>
      <c r="C26" s="105" t="str">
        <f>'Supply planning data'!E24</f>
        <v>No</v>
      </c>
      <c r="D26" s="105">
        <f>'Supply planning data'!F24</f>
        <v>0</v>
      </c>
      <c r="E26" s="320">
        <f>'Supply planning data'!G24</f>
        <v>0</v>
      </c>
      <c r="F26" s="320">
        <f>'Supply planning data'!H24</f>
        <v>0</v>
      </c>
      <c r="G26" s="320">
        <f>'Supply planning data'!I24</f>
        <v>0</v>
      </c>
      <c r="H26" s="105">
        <f>'Supply planning data'!J24</f>
        <v>0</v>
      </c>
      <c r="I26" s="320">
        <f>'Supply planning data'!K24</f>
        <v>0</v>
      </c>
      <c r="J26" s="177" t="str">
        <f>'Supply planning data'!L24</f>
        <v/>
      </c>
      <c r="K26" s="105">
        <f>'Supply planning data'!M24</f>
        <v>0</v>
      </c>
      <c r="L26" s="321">
        <f>'Supply planning data'!N24+'Supply planning data'!P24</f>
        <v>0</v>
      </c>
      <c r="M26" s="342">
        <f>'Supply planning data'!O24</f>
        <v>0</v>
      </c>
      <c r="N26" s="321">
        <f>'Supply planning data'!P24</f>
        <v>0</v>
      </c>
      <c r="O26" s="342">
        <f>'Supply planning data'!Q24</f>
        <v>0</v>
      </c>
      <c r="P26" s="111">
        <f>'Supply planning data'!R24</f>
        <v>0</v>
      </c>
      <c r="Q26" s="111">
        <f>'Supply planning data'!S24</f>
        <v>0</v>
      </c>
      <c r="R26" s="111">
        <f>'Supply planning data'!T24</f>
        <v>0</v>
      </c>
      <c r="S26" s="111">
        <f>'Supply planning data'!U24</f>
        <v>0</v>
      </c>
      <c r="T26" s="111">
        <f>'Supply planning data'!V24</f>
        <v>0</v>
      </c>
      <c r="U26" s="323">
        <f>'Supply planning data'!W24</f>
        <v>0</v>
      </c>
      <c r="V26" s="111">
        <f>'Supply planning data'!X24</f>
        <v>0</v>
      </c>
      <c r="W26" s="321">
        <f>'Supply planning data'!Y24</f>
        <v>0</v>
      </c>
      <c r="X26" s="329">
        <f>'Supply planning data'!Z24</f>
        <v>0</v>
      </c>
      <c r="Y26" s="111">
        <f>'Supply planning data'!AA24</f>
        <v>0</v>
      </c>
      <c r="Z26" s="111">
        <f>'Supply planning data'!AB24</f>
        <v>0</v>
      </c>
      <c r="AA26" s="111">
        <f>'Supply planning data'!AC24</f>
        <v>0</v>
      </c>
      <c r="AB26" s="111">
        <f>'Supply planning data'!AD24</f>
        <v>0</v>
      </c>
      <c r="AC26" s="111">
        <f>'Supply planning data'!AE24</f>
        <v>0</v>
      </c>
      <c r="AD26" s="323" t="str">
        <f>'Supply planning data'!AF24</f>
        <v/>
      </c>
      <c r="AE26" s="111">
        <f>'Supply planning data'!AG24</f>
        <v>0</v>
      </c>
      <c r="AF26" s="321">
        <f>'Supply planning data'!AH24</f>
        <v>0</v>
      </c>
      <c r="AG26" s="349">
        <f>'Supply planning data'!AI24</f>
        <v>0</v>
      </c>
      <c r="AH26" s="111">
        <f>'Supply planning data'!AJ24</f>
        <v>0</v>
      </c>
      <c r="AI26" s="111">
        <f>'Supply planning data'!AK24</f>
        <v>0</v>
      </c>
      <c r="AJ26" s="111">
        <f>'Supply planning data'!AL24</f>
        <v>0</v>
      </c>
      <c r="AK26" s="111">
        <f>'Supply planning data'!AM24</f>
        <v>0</v>
      </c>
      <c r="AL26" s="111">
        <f>'Supply planning data'!AN24</f>
        <v>0</v>
      </c>
      <c r="AM26" s="323" t="str">
        <f>'Supply planning data'!AO24</f>
        <v/>
      </c>
    </row>
    <row r="27" spans="1:39" hidden="1" x14ac:dyDescent="0.25">
      <c r="A27" s="109" t="str">
        <f>'Supply planning data'!C25</f>
        <v/>
      </c>
      <c r="B27" s="298">
        <f>'Supply planning data'!D25</f>
        <v>44228</v>
      </c>
      <c r="C27" s="105" t="str">
        <f>'Supply planning data'!E25</f>
        <v>No</v>
      </c>
      <c r="D27" s="105">
        <f>'Supply planning data'!F25</f>
        <v>0</v>
      </c>
      <c r="E27" s="320">
        <f>'Supply planning data'!G25</f>
        <v>0</v>
      </c>
      <c r="F27" s="320">
        <f>'Supply planning data'!H25</f>
        <v>0</v>
      </c>
      <c r="G27" s="320">
        <f>'Supply planning data'!I25</f>
        <v>0</v>
      </c>
      <c r="H27" s="105">
        <f>'Supply planning data'!J25</f>
        <v>0</v>
      </c>
      <c r="I27" s="320">
        <f>'Supply planning data'!K25</f>
        <v>0</v>
      </c>
      <c r="J27" s="177" t="str">
        <f>'Supply planning data'!L25</f>
        <v/>
      </c>
      <c r="K27" s="105">
        <f>'Supply planning data'!M25</f>
        <v>0</v>
      </c>
      <c r="L27" s="321">
        <f>'Supply planning data'!N25+'Supply planning data'!P25</f>
        <v>0</v>
      </c>
      <c r="M27" s="342">
        <f>'Supply planning data'!O25</f>
        <v>0</v>
      </c>
      <c r="N27" s="321">
        <f>'Supply planning data'!P25</f>
        <v>0</v>
      </c>
      <c r="O27" s="342">
        <f>'Supply planning data'!Q25</f>
        <v>0</v>
      </c>
      <c r="P27" s="111">
        <f>'Supply planning data'!R25</f>
        <v>0</v>
      </c>
      <c r="Q27" s="111">
        <f>'Supply planning data'!S25</f>
        <v>0</v>
      </c>
      <c r="R27" s="111">
        <f>'Supply planning data'!T25</f>
        <v>0</v>
      </c>
      <c r="S27" s="111">
        <f>'Supply planning data'!U25</f>
        <v>0</v>
      </c>
      <c r="T27" s="111">
        <f>'Supply planning data'!V25</f>
        <v>0</v>
      </c>
      <c r="U27" s="323">
        <f>'Supply planning data'!W25</f>
        <v>0</v>
      </c>
      <c r="V27" s="111">
        <f>'Supply planning data'!X25</f>
        <v>0</v>
      </c>
      <c r="W27" s="321">
        <f>'Supply planning data'!Y25</f>
        <v>0</v>
      </c>
      <c r="X27" s="329">
        <f>'Supply planning data'!Z25</f>
        <v>0</v>
      </c>
      <c r="Y27" s="111">
        <f>'Supply planning data'!AA25</f>
        <v>0</v>
      </c>
      <c r="Z27" s="111">
        <f>'Supply planning data'!AB25</f>
        <v>0</v>
      </c>
      <c r="AA27" s="111">
        <f>'Supply planning data'!AC25</f>
        <v>0</v>
      </c>
      <c r="AB27" s="111">
        <f>'Supply planning data'!AD25</f>
        <v>0</v>
      </c>
      <c r="AC27" s="111">
        <f>'Supply planning data'!AE25</f>
        <v>0</v>
      </c>
      <c r="AD27" s="323" t="str">
        <f>'Supply planning data'!AF25</f>
        <v/>
      </c>
      <c r="AE27" s="111">
        <f>'Supply planning data'!AG25</f>
        <v>0</v>
      </c>
      <c r="AF27" s="321">
        <f>'Supply planning data'!AH25</f>
        <v>0</v>
      </c>
      <c r="AG27" s="349">
        <f>'Supply planning data'!AI25</f>
        <v>0</v>
      </c>
      <c r="AH27" s="111">
        <f>'Supply planning data'!AJ25</f>
        <v>0</v>
      </c>
      <c r="AI27" s="111">
        <f>'Supply planning data'!AK25</f>
        <v>0</v>
      </c>
      <c r="AJ27" s="111">
        <f>'Supply planning data'!AL25</f>
        <v>0</v>
      </c>
      <c r="AK27" s="111">
        <f>'Supply planning data'!AM25</f>
        <v>0</v>
      </c>
      <c r="AL27" s="111">
        <f>'Supply planning data'!AN25</f>
        <v>0</v>
      </c>
      <c r="AM27" s="323" t="str">
        <f>'Supply planning data'!AO25</f>
        <v/>
      </c>
    </row>
    <row r="28" spans="1:39" hidden="1" x14ac:dyDescent="0.25">
      <c r="A28" s="104" t="str">
        <f>'Supply planning data'!C26</f>
        <v/>
      </c>
      <c r="B28" s="298">
        <f>'Supply planning data'!D26</f>
        <v>44228</v>
      </c>
      <c r="C28" s="105" t="str">
        <f>'Supply planning data'!E26</f>
        <v>No</v>
      </c>
      <c r="D28" s="105">
        <f>'Supply planning data'!F26</f>
        <v>0</v>
      </c>
      <c r="E28" s="320">
        <f>'Supply planning data'!G26</f>
        <v>0</v>
      </c>
      <c r="F28" s="320">
        <f>'Supply planning data'!H26</f>
        <v>0</v>
      </c>
      <c r="G28" s="320">
        <f>'Supply planning data'!I26</f>
        <v>0</v>
      </c>
      <c r="H28" s="105">
        <f>'Supply planning data'!J26</f>
        <v>0</v>
      </c>
      <c r="I28" s="320">
        <f>'Supply planning data'!K26</f>
        <v>0</v>
      </c>
      <c r="J28" s="177" t="str">
        <f>'Supply planning data'!L26</f>
        <v/>
      </c>
      <c r="K28" s="105">
        <f>'Supply planning data'!M26</f>
        <v>0</v>
      </c>
      <c r="L28" s="321">
        <f>'Supply planning data'!N26+'Supply planning data'!P26</f>
        <v>0</v>
      </c>
      <c r="M28" s="342">
        <f>'Supply planning data'!O26</f>
        <v>0</v>
      </c>
      <c r="N28" s="321">
        <f>'Supply planning data'!P26</f>
        <v>0</v>
      </c>
      <c r="O28" s="342">
        <f>'Supply planning data'!Q26</f>
        <v>0</v>
      </c>
      <c r="P28" s="111">
        <f>'Supply planning data'!R26</f>
        <v>0</v>
      </c>
      <c r="Q28" s="111">
        <f>'Supply planning data'!S26</f>
        <v>0</v>
      </c>
      <c r="R28" s="111">
        <f>'Supply planning data'!T26</f>
        <v>0</v>
      </c>
      <c r="S28" s="111">
        <f>'Supply planning data'!U26</f>
        <v>0</v>
      </c>
      <c r="T28" s="111">
        <f>'Supply planning data'!V26</f>
        <v>0</v>
      </c>
      <c r="U28" s="323">
        <f>'Supply planning data'!W26</f>
        <v>0</v>
      </c>
      <c r="V28" s="111">
        <f>'Supply planning data'!X26</f>
        <v>0</v>
      </c>
      <c r="W28" s="321">
        <f>'Supply planning data'!Y26</f>
        <v>0</v>
      </c>
      <c r="X28" s="329">
        <f>'Supply planning data'!Z26</f>
        <v>0</v>
      </c>
      <c r="Y28" s="111">
        <f>'Supply planning data'!AA26</f>
        <v>0</v>
      </c>
      <c r="Z28" s="111">
        <f>'Supply planning data'!AB26</f>
        <v>0</v>
      </c>
      <c r="AA28" s="111">
        <f>'Supply planning data'!AC26</f>
        <v>0</v>
      </c>
      <c r="AB28" s="111">
        <f>'Supply planning data'!AD26</f>
        <v>0</v>
      </c>
      <c r="AC28" s="111">
        <f>'Supply planning data'!AE26</f>
        <v>0</v>
      </c>
      <c r="AD28" s="323" t="str">
        <f>'Supply planning data'!AF26</f>
        <v/>
      </c>
      <c r="AE28" s="111">
        <f>'Supply planning data'!AG26</f>
        <v>0</v>
      </c>
      <c r="AF28" s="321">
        <f>'Supply planning data'!AH26</f>
        <v>0</v>
      </c>
      <c r="AG28" s="349">
        <f>'Supply planning data'!AI26</f>
        <v>0</v>
      </c>
      <c r="AH28" s="111">
        <f>'Supply planning data'!AJ26</f>
        <v>0</v>
      </c>
      <c r="AI28" s="111">
        <f>'Supply planning data'!AK26</f>
        <v>0</v>
      </c>
      <c r="AJ28" s="111">
        <f>'Supply planning data'!AL26</f>
        <v>0</v>
      </c>
      <c r="AK28" s="111">
        <f>'Supply planning data'!AM26</f>
        <v>0</v>
      </c>
      <c r="AL28" s="111">
        <f>'Supply planning data'!AN26</f>
        <v>0</v>
      </c>
      <c r="AM28" s="323" t="str">
        <f>'Supply planning data'!AO26</f>
        <v/>
      </c>
    </row>
    <row r="29" spans="1:39" hidden="1" x14ac:dyDescent="0.25">
      <c r="A29" s="109" t="str">
        <f>'Supply planning data'!C27</f>
        <v/>
      </c>
      <c r="B29" s="298">
        <f>'Supply planning data'!D27</f>
        <v>44228</v>
      </c>
      <c r="C29" s="105" t="str">
        <f>'Supply planning data'!E27</f>
        <v>No</v>
      </c>
      <c r="D29" s="105">
        <f>'Supply planning data'!F27</f>
        <v>0</v>
      </c>
      <c r="E29" s="320">
        <f>'Supply planning data'!G27</f>
        <v>0</v>
      </c>
      <c r="F29" s="320">
        <f>'Supply planning data'!H27</f>
        <v>0</v>
      </c>
      <c r="G29" s="320">
        <f>'Supply planning data'!I27</f>
        <v>0</v>
      </c>
      <c r="H29" s="105">
        <f>'Supply planning data'!J27</f>
        <v>0</v>
      </c>
      <c r="I29" s="320">
        <f>'Supply planning data'!K27</f>
        <v>0</v>
      </c>
      <c r="J29" s="177" t="str">
        <f>'Supply planning data'!L27</f>
        <v/>
      </c>
      <c r="K29" s="105">
        <f>'Supply planning data'!M27</f>
        <v>0</v>
      </c>
      <c r="L29" s="321">
        <f>'Supply planning data'!N27+'Supply planning data'!P27</f>
        <v>0</v>
      </c>
      <c r="M29" s="342">
        <f>'Supply planning data'!O27</f>
        <v>0</v>
      </c>
      <c r="N29" s="321">
        <f>'Supply planning data'!P27</f>
        <v>0</v>
      </c>
      <c r="O29" s="342">
        <f>'Supply planning data'!Q27</f>
        <v>0</v>
      </c>
      <c r="P29" s="111">
        <f>'Supply planning data'!R27</f>
        <v>0</v>
      </c>
      <c r="Q29" s="111">
        <f>'Supply planning data'!S27</f>
        <v>0</v>
      </c>
      <c r="R29" s="111">
        <f>'Supply planning data'!T27</f>
        <v>0</v>
      </c>
      <c r="S29" s="111">
        <f>'Supply planning data'!U27</f>
        <v>0</v>
      </c>
      <c r="T29" s="111">
        <f>'Supply planning data'!V27</f>
        <v>0</v>
      </c>
      <c r="U29" s="323">
        <f>'Supply planning data'!W27</f>
        <v>0</v>
      </c>
      <c r="V29" s="111">
        <f>'Supply planning data'!X27</f>
        <v>0</v>
      </c>
      <c r="W29" s="321">
        <f>'Supply planning data'!Y27</f>
        <v>0</v>
      </c>
      <c r="X29" s="329">
        <f>'Supply planning data'!Z27</f>
        <v>0</v>
      </c>
      <c r="Y29" s="111">
        <f>'Supply planning data'!AA27</f>
        <v>0</v>
      </c>
      <c r="Z29" s="111">
        <f>'Supply planning data'!AB27</f>
        <v>0</v>
      </c>
      <c r="AA29" s="111">
        <f>'Supply planning data'!AC27</f>
        <v>0</v>
      </c>
      <c r="AB29" s="111">
        <f>'Supply planning data'!AD27</f>
        <v>0</v>
      </c>
      <c r="AC29" s="111">
        <f>'Supply planning data'!AE27</f>
        <v>0</v>
      </c>
      <c r="AD29" s="323" t="str">
        <f>'Supply planning data'!AF27</f>
        <v/>
      </c>
      <c r="AE29" s="111">
        <f>'Supply planning data'!AG27</f>
        <v>0</v>
      </c>
      <c r="AF29" s="321">
        <f>'Supply planning data'!AH27</f>
        <v>0</v>
      </c>
      <c r="AG29" s="349">
        <f>'Supply planning data'!AI27</f>
        <v>0</v>
      </c>
      <c r="AH29" s="111">
        <f>'Supply planning data'!AJ27</f>
        <v>0</v>
      </c>
      <c r="AI29" s="111">
        <f>'Supply planning data'!AK27</f>
        <v>0</v>
      </c>
      <c r="AJ29" s="111">
        <f>'Supply planning data'!AL27</f>
        <v>0</v>
      </c>
      <c r="AK29" s="111">
        <f>'Supply planning data'!AM27</f>
        <v>0</v>
      </c>
      <c r="AL29" s="111">
        <f>'Supply planning data'!AN27</f>
        <v>0</v>
      </c>
      <c r="AM29" s="323" t="str">
        <f>'Supply planning data'!AO27</f>
        <v/>
      </c>
    </row>
    <row r="30" spans="1:39" hidden="1" x14ac:dyDescent="0.25">
      <c r="A30" s="104" t="str">
        <f>'Supply planning data'!C28</f>
        <v/>
      </c>
      <c r="B30" s="298">
        <f>'Supply planning data'!D28</f>
        <v>44228</v>
      </c>
      <c r="C30" s="105" t="str">
        <f>'Supply planning data'!E28</f>
        <v>No</v>
      </c>
      <c r="D30" s="105">
        <f>'Supply planning data'!F28</f>
        <v>0</v>
      </c>
      <c r="E30" s="320">
        <f>'Supply planning data'!G28</f>
        <v>0</v>
      </c>
      <c r="F30" s="320">
        <f>'Supply planning data'!H28</f>
        <v>0</v>
      </c>
      <c r="G30" s="320">
        <f>'Supply planning data'!I28</f>
        <v>0</v>
      </c>
      <c r="H30" s="105">
        <f>'Supply planning data'!J28</f>
        <v>0</v>
      </c>
      <c r="I30" s="320">
        <f>'Supply planning data'!K28</f>
        <v>0</v>
      </c>
      <c r="J30" s="177" t="str">
        <f>'Supply planning data'!L28</f>
        <v/>
      </c>
      <c r="K30" s="105">
        <f>'Supply planning data'!M28</f>
        <v>0</v>
      </c>
      <c r="L30" s="321">
        <f>'Supply planning data'!N28+'Supply planning data'!P28</f>
        <v>0</v>
      </c>
      <c r="M30" s="342">
        <f>'Supply planning data'!O28</f>
        <v>0</v>
      </c>
      <c r="N30" s="321">
        <f>'Supply planning data'!P28</f>
        <v>0</v>
      </c>
      <c r="O30" s="342">
        <f>'Supply planning data'!Q28</f>
        <v>0</v>
      </c>
      <c r="P30" s="111">
        <f>'Supply planning data'!R28</f>
        <v>0</v>
      </c>
      <c r="Q30" s="111">
        <f>'Supply planning data'!S28</f>
        <v>0</v>
      </c>
      <c r="R30" s="111">
        <f>'Supply planning data'!T28</f>
        <v>0</v>
      </c>
      <c r="S30" s="111">
        <f>'Supply planning data'!U28</f>
        <v>0</v>
      </c>
      <c r="T30" s="111">
        <f>'Supply planning data'!V28</f>
        <v>0</v>
      </c>
      <c r="U30" s="323">
        <f>'Supply planning data'!W28</f>
        <v>0</v>
      </c>
      <c r="V30" s="111">
        <f>'Supply planning data'!X28</f>
        <v>0</v>
      </c>
      <c r="W30" s="321">
        <f>'Supply planning data'!Y28</f>
        <v>0</v>
      </c>
      <c r="X30" s="329">
        <f>'Supply planning data'!Z28</f>
        <v>0</v>
      </c>
      <c r="Y30" s="111">
        <f>'Supply planning data'!AA28</f>
        <v>0</v>
      </c>
      <c r="Z30" s="111">
        <f>'Supply planning data'!AB28</f>
        <v>0</v>
      </c>
      <c r="AA30" s="111">
        <f>'Supply planning data'!AC28</f>
        <v>0</v>
      </c>
      <c r="AB30" s="111">
        <f>'Supply planning data'!AD28</f>
        <v>0</v>
      </c>
      <c r="AC30" s="111">
        <f>'Supply planning data'!AE28</f>
        <v>0</v>
      </c>
      <c r="AD30" s="323" t="str">
        <f>'Supply planning data'!AF28</f>
        <v/>
      </c>
      <c r="AE30" s="111">
        <f>'Supply planning data'!AG28</f>
        <v>0</v>
      </c>
      <c r="AF30" s="321">
        <f>'Supply planning data'!AH28</f>
        <v>0</v>
      </c>
      <c r="AG30" s="349">
        <f>'Supply planning data'!AI28</f>
        <v>0</v>
      </c>
      <c r="AH30" s="111">
        <f>'Supply planning data'!AJ28</f>
        <v>0</v>
      </c>
      <c r="AI30" s="111">
        <f>'Supply planning data'!AK28</f>
        <v>0</v>
      </c>
      <c r="AJ30" s="111">
        <f>'Supply planning data'!AL28</f>
        <v>0</v>
      </c>
      <c r="AK30" s="111">
        <f>'Supply planning data'!AM28</f>
        <v>0</v>
      </c>
      <c r="AL30" s="111">
        <f>'Supply planning data'!AN28</f>
        <v>0</v>
      </c>
      <c r="AM30" s="323" t="str">
        <f>'Supply planning data'!AO28</f>
        <v/>
      </c>
    </row>
    <row r="31" spans="1:39" hidden="1" x14ac:dyDescent="0.25">
      <c r="A31" s="109" t="str">
        <f>'Supply planning data'!C29</f>
        <v/>
      </c>
      <c r="B31" s="298">
        <f>'Supply planning data'!D29</f>
        <v>44228</v>
      </c>
      <c r="C31" s="105" t="str">
        <f>'Supply planning data'!E29</f>
        <v>No</v>
      </c>
      <c r="D31" s="105">
        <f>'Supply planning data'!F29</f>
        <v>0</v>
      </c>
      <c r="E31" s="320">
        <f>'Supply planning data'!G29</f>
        <v>0</v>
      </c>
      <c r="F31" s="320">
        <f>'Supply planning data'!H29</f>
        <v>0</v>
      </c>
      <c r="G31" s="320">
        <f>'Supply planning data'!I29</f>
        <v>0</v>
      </c>
      <c r="H31" s="105">
        <f>'Supply planning data'!J29</f>
        <v>0</v>
      </c>
      <c r="I31" s="320">
        <f>'Supply planning data'!K29</f>
        <v>0</v>
      </c>
      <c r="J31" s="177" t="str">
        <f>'Supply planning data'!L29</f>
        <v/>
      </c>
      <c r="K31" s="105">
        <f>'Supply planning data'!M29</f>
        <v>0</v>
      </c>
      <c r="L31" s="321">
        <f>'Supply planning data'!N29+'Supply planning data'!P29</f>
        <v>0</v>
      </c>
      <c r="M31" s="342">
        <f>'Supply planning data'!O29</f>
        <v>0</v>
      </c>
      <c r="N31" s="321">
        <f>'Supply planning data'!P29</f>
        <v>0</v>
      </c>
      <c r="O31" s="342">
        <f>'Supply planning data'!Q29</f>
        <v>0</v>
      </c>
      <c r="P31" s="111">
        <f>'Supply planning data'!R29</f>
        <v>0</v>
      </c>
      <c r="Q31" s="111">
        <f>'Supply planning data'!S29</f>
        <v>0</v>
      </c>
      <c r="R31" s="111">
        <f>'Supply planning data'!T29</f>
        <v>0</v>
      </c>
      <c r="S31" s="111">
        <f>'Supply planning data'!U29</f>
        <v>0</v>
      </c>
      <c r="T31" s="111">
        <f>'Supply planning data'!V29</f>
        <v>0</v>
      </c>
      <c r="U31" s="323">
        <f>'Supply planning data'!W29</f>
        <v>0</v>
      </c>
      <c r="V31" s="111">
        <f>'Supply planning data'!X29</f>
        <v>0</v>
      </c>
      <c r="W31" s="321">
        <f>'Supply planning data'!Y29</f>
        <v>0</v>
      </c>
      <c r="X31" s="329">
        <f>'Supply planning data'!Z29</f>
        <v>0</v>
      </c>
      <c r="Y31" s="111">
        <f>'Supply planning data'!AA29</f>
        <v>0</v>
      </c>
      <c r="Z31" s="111">
        <f>'Supply planning data'!AB29</f>
        <v>0</v>
      </c>
      <c r="AA31" s="111">
        <f>'Supply planning data'!AC29</f>
        <v>0</v>
      </c>
      <c r="AB31" s="111">
        <f>'Supply planning data'!AD29</f>
        <v>0</v>
      </c>
      <c r="AC31" s="111">
        <f>'Supply planning data'!AE29</f>
        <v>0</v>
      </c>
      <c r="AD31" s="323" t="str">
        <f>'Supply planning data'!AF29</f>
        <v/>
      </c>
      <c r="AE31" s="111">
        <f>'Supply planning data'!AG29</f>
        <v>0</v>
      </c>
      <c r="AF31" s="321">
        <f>'Supply planning data'!AH29</f>
        <v>0</v>
      </c>
      <c r="AG31" s="349">
        <f>'Supply planning data'!AI29</f>
        <v>0</v>
      </c>
      <c r="AH31" s="111">
        <f>'Supply planning data'!AJ29</f>
        <v>0</v>
      </c>
      <c r="AI31" s="111">
        <f>'Supply planning data'!AK29</f>
        <v>0</v>
      </c>
      <c r="AJ31" s="111">
        <f>'Supply planning data'!AL29</f>
        <v>0</v>
      </c>
      <c r="AK31" s="111">
        <f>'Supply planning data'!AM29</f>
        <v>0</v>
      </c>
      <c r="AL31" s="111">
        <f>'Supply planning data'!AN29</f>
        <v>0</v>
      </c>
      <c r="AM31" s="323" t="str">
        <f>'Supply planning data'!AO29</f>
        <v/>
      </c>
    </row>
    <row r="32" spans="1:39" hidden="1" x14ac:dyDescent="0.25">
      <c r="A32" s="104" t="str">
        <f>'Supply planning data'!C30</f>
        <v/>
      </c>
      <c r="B32" s="298">
        <f>'Supply planning data'!D30</f>
        <v>44228</v>
      </c>
      <c r="C32" s="105" t="str">
        <f>'Supply planning data'!E30</f>
        <v>No</v>
      </c>
      <c r="D32" s="105">
        <f>'Supply planning data'!F30</f>
        <v>0</v>
      </c>
      <c r="E32" s="320">
        <f>'Supply planning data'!G30</f>
        <v>0</v>
      </c>
      <c r="F32" s="320">
        <f>'Supply planning data'!H30</f>
        <v>0</v>
      </c>
      <c r="G32" s="320">
        <f>'Supply planning data'!I30</f>
        <v>0</v>
      </c>
      <c r="H32" s="105">
        <f>'Supply planning data'!J30</f>
        <v>0</v>
      </c>
      <c r="I32" s="320">
        <f>'Supply planning data'!K30</f>
        <v>0</v>
      </c>
      <c r="J32" s="177" t="str">
        <f>'Supply planning data'!L30</f>
        <v/>
      </c>
      <c r="K32" s="105">
        <f>'Supply planning data'!M30</f>
        <v>0</v>
      </c>
      <c r="L32" s="321">
        <f>'Supply planning data'!N30+'Supply planning data'!P30</f>
        <v>0</v>
      </c>
      <c r="M32" s="342">
        <f>'Supply planning data'!O30</f>
        <v>0</v>
      </c>
      <c r="N32" s="321">
        <f>'Supply planning data'!P30</f>
        <v>0</v>
      </c>
      <c r="O32" s="342">
        <f>'Supply planning data'!Q30</f>
        <v>0</v>
      </c>
      <c r="P32" s="111">
        <f>'Supply planning data'!R30</f>
        <v>0</v>
      </c>
      <c r="Q32" s="111">
        <f>'Supply planning data'!S30</f>
        <v>0</v>
      </c>
      <c r="R32" s="111">
        <f>'Supply planning data'!T30</f>
        <v>0</v>
      </c>
      <c r="S32" s="111">
        <f>'Supply planning data'!U30</f>
        <v>0</v>
      </c>
      <c r="T32" s="111">
        <f>'Supply planning data'!V30</f>
        <v>0</v>
      </c>
      <c r="U32" s="323">
        <f>'Supply planning data'!W30</f>
        <v>0</v>
      </c>
      <c r="V32" s="111">
        <f>'Supply planning data'!X30</f>
        <v>0</v>
      </c>
      <c r="W32" s="321">
        <f>'Supply planning data'!Y30</f>
        <v>0</v>
      </c>
      <c r="X32" s="329">
        <f>'Supply planning data'!Z30</f>
        <v>0</v>
      </c>
      <c r="Y32" s="111">
        <f>'Supply planning data'!AA30</f>
        <v>0</v>
      </c>
      <c r="Z32" s="111">
        <f>'Supply planning data'!AB30</f>
        <v>0</v>
      </c>
      <c r="AA32" s="111">
        <f>'Supply planning data'!AC30</f>
        <v>0</v>
      </c>
      <c r="AB32" s="111">
        <f>'Supply planning data'!AD30</f>
        <v>0</v>
      </c>
      <c r="AC32" s="111">
        <f>'Supply planning data'!AE30</f>
        <v>0</v>
      </c>
      <c r="AD32" s="323" t="str">
        <f>'Supply planning data'!AF30</f>
        <v/>
      </c>
      <c r="AE32" s="111">
        <f>'Supply planning data'!AG30</f>
        <v>0</v>
      </c>
      <c r="AF32" s="321">
        <f>'Supply planning data'!AH30</f>
        <v>0</v>
      </c>
      <c r="AG32" s="349">
        <f>'Supply planning data'!AI30</f>
        <v>0</v>
      </c>
      <c r="AH32" s="111">
        <f>'Supply planning data'!AJ30</f>
        <v>0</v>
      </c>
      <c r="AI32" s="111">
        <f>'Supply planning data'!AK30</f>
        <v>0</v>
      </c>
      <c r="AJ32" s="111">
        <f>'Supply planning data'!AL30</f>
        <v>0</v>
      </c>
      <c r="AK32" s="111">
        <f>'Supply planning data'!AM30</f>
        <v>0</v>
      </c>
      <c r="AL32" s="111">
        <f>'Supply planning data'!AN30</f>
        <v>0</v>
      </c>
      <c r="AM32" s="323" t="str">
        <f>'Supply planning data'!AO30</f>
        <v/>
      </c>
    </row>
    <row r="33" spans="1:39" hidden="1" x14ac:dyDescent="0.25">
      <c r="A33" s="109" t="str">
        <f>'Supply planning data'!C31</f>
        <v/>
      </c>
      <c r="B33" s="298">
        <f>'Supply planning data'!D31</f>
        <v>44228</v>
      </c>
      <c r="C33" s="105" t="str">
        <f>'Supply planning data'!E31</f>
        <v>No</v>
      </c>
      <c r="D33" s="105">
        <f>'Supply planning data'!F31</f>
        <v>0</v>
      </c>
      <c r="E33" s="320">
        <f>'Supply planning data'!G31</f>
        <v>0</v>
      </c>
      <c r="F33" s="320">
        <f>'Supply planning data'!H31</f>
        <v>0</v>
      </c>
      <c r="G33" s="320">
        <f>'Supply planning data'!I31</f>
        <v>0</v>
      </c>
      <c r="H33" s="105">
        <f>'Supply planning data'!J31</f>
        <v>0</v>
      </c>
      <c r="I33" s="320">
        <f>'Supply planning data'!K31</f>
        <v>0</v>
      </c>
      <c r="J33" s="177" t="str">
        <f>'Supply planning data'!L31</f>
        <v/>
      </c>
      <c r="K33" s="105">
        <f>'Supply planning data'!M31</f>
        <v>0</v>
      </c>
      <c r="L33" s="321">
        <f>'Supply planning data'!N31+'Supply planning data'!P31</f>
        <v>0</v>
      </c>
      <c r="M33" s="342">
        <f>'Supply planning data'!O31</f>
        <v>0</v>
      </c>
      <c r="N33" s="321">
        <f>'Supply planning data'!P31</f>
        <v>0</v>
      </c>
      <c r="O33" s="342">
        <f>'Supply planning data'!Q31</f>
        <v>0</v>
      </c>
      <c r="P33" s="111">
        <f>'Supply planning data'!R31</f>
        <v>0</v>
      </c>
      <c r="Q33" s="111">
        <f>'Supply planning data'!S31</f>
        <v>0</v>
      </c>
      <c r="R33" s="111">
        <f>'Supply planning data'!T31</f>
        <v>0</v>
      </c>
      <c r="S33" s="111">
        <f>'Supply planning data'!U31</f>
        <v>0</v>
      </c>
      <c r="T33" s="111">
        <f>'Supply planning data'!V31</f>
        <v>0</v>
      </c>
      <c r="U33" s="323">
        <f>'Supply planning data'!W31</f>
        <v>0</v>
      </c>
      <c r="V33" s="111">
        <f>'Supply planning data'!X31</f>
        <v>0</v>
      </c>
      <c r="W33" s="321">
        <f>'Supply planning data'!Y31</f>
        <v>0</v>
      </c>
      <c r="X33" s="329">
        <f>'Supply planning data'!Z31</f>
        <v>0</v>
      </c>
      <c r="Y33" s="111">
        <f>'Supply planning data'!AA31</f>
        <v>0</v>
      </c>
      <c r="Z33" s="111">
        <f>'Supply planning data'!AB31</f>
        <v>0</v>
      </c>
      <c r="AA33" s="111">
        <f>'Supply planning data'!AC31</f>
        <v>0</v>
      </c>
      <c r="AB33" s="111">
        <f>'Supply planning data'!AD31</f>
        <v>0</v>
      </c>
      <c r="AC33" s="111">
        <f>'Supply planning data'!AE31</f>
        <v>0</v>
      </c>
      <c r="AD33" s="323" t="str">
        <f>'Supply planning data'!AF31</f>
        <v/>
      </c>
      <c r="AE33" s="111">
        <f>'Supply planning data'!AG31</f>
        <v>0</v>
      </c>
      <c r="AF33" s="321">
        <f>'Supply planning data'!AH31</f>
        <v>0</v>
      </c>
      <c r="AG33" s="349">
        <f>'Supply planning data'!AI31</f>
        <v>0</v>
      </c>
      <c r="AH33" s="111">
        <f>'Supply planning data'!AJ31</f>
        <v>0</v>
      </c>
      <c r="AI33" s="111">
        <f>'Supply planning data'!AK31</f>
        <v>0</v>
      </c>
      <c r="AJ33" s="111">
        <f>'Supply planning data'!AL31</f>
        <v>0</v>
      </c>
      <c r="AK33" s="111">
        <f>'Supply planning data'!AM31</f>
        <v>0</v>
      </c>
      <c r="AL33" s="111">
        <f>'Supply planning data'!AN31</f>
        <v>0</v>
      </c>
      <c r="AM33" s="323" t="str">
        <f>'Supply planning data'!AO31</f>
        <v/>
      </c>
    </row>
    <row r="34" spans="1:39" hidden="1" x14ac:dyDescent="0.25">
      <c r="A34" s="104" t="str">
        <f>'Supply planning data'!C32</f>
        <v/>
      </c>
      <c r="B34" s="298">
        <f>'Supply planning data'!D32</f>
        <v>44228</v>
      </c>
      <c r="C34" s="105" t="str">
        <f>'Supply planning data'!E32</f>
        <v>No</v>
      </c>
      <c r="D34" s="105">
        <f>'Supply planning data'!F32</f>
        <v>0</v>
      </c>
      <c r="E34" s="320">
        <f>'Supply planning data'!G32</f>
        <v>0</v>
      </c>
      <c r="F34" s="320">
        <f>'Supply planning data'!H32</f>
        <v>0</v>
      </c>
      <c r="G34" s="320">
        <f>'Supply planning data'!I32</f>
        <v>0</v>
      </c>
      <c r="H34" s="105">
        <f>'Supply planning data'!J32</f>
        <v>0</v>
      </c>
      <c r="I34" s="320">
        <f>'Supply planning data'!K32</f>
        <v>0</v>
      </c>
      <c r="J34" s="177" t="str">
        <f>'Supply planning data'!L32</f>
        <v/>
      </c>
      <c r="K34" s="105">
        <f>'Supply planning data'!M32</f>
        <v>0</v>
      </c>
      <c r="L34" s="321">
        <f>'Supply planning data'!N32+'Supply planning data'!P32</f>
        <v>0</v>
      </c>
      <c r="M34" s="342">
        <f>'Supply planning data'!O32</f>
        <v>0</v>
      </c>
      <c r="N34" s="321">
        <f>'Supply planning data'!P32</f>
        <v>0</v>
      </c>
      <c r="O34" s="342">
        <f>'Supply planning data'!Q32</f>
        <v>0</v>
      </c>
      <c r="P34" s="111">
        <f>'Supply planning data'!R32</f>
        <v>0</v>
      </c>
      <c r="Q34" s="111">
        <f>'Supply planning data'!S32</f>
        <v>0</v>
      </c>
      <c r="R34" s="111">
        <f>'Supply planning data'!T32</f>
        <v>0</v>
      </c>
      <c r="S34" s="111">
        <f>'Supply planning data'!U32</f>
        <v>0</v>
      </c>
      <c r="T34" s="111">
        <f>'Supply planning data'!V32</f>
        <v>0</v>
      </c>
      <c r="U34" s="323">
        <f>'Supply planning data'!W32</f>
        <v>0</v>
      </c>
      <c r="V34" s="111">
        <f>'Supply planning data'!X32</f>
        <v>0</v>
      </c>
      <c r="W34" s="321">
        <f>'Supply planning data'!Y32</f>
        <v>0</v>
      </c>
      <c r="X34" s="329">
        <f>'Supply planning data'!Z32</f>
        <v>0</v>
      </c>
      <c r="Y34" s="111">
        <f>'Supply planning data'!AA32</f>
        <v>0</v>
      </c>
      <c r="Z34" s="111">
        <f>'Supply planning data'!AB32</f>
        <v>0</v>
      </c>
      <c r="AA34" s="111">
        <f>'Supply planning data'!AC32</f>
        <v>0</v>
      </c>
      <c r="AB34" s="111">
        <f>'Supply planning data'!AD32</f>
        <v>0</v>
      </c>
      <c r="AC34" s="111">
        <f>'Supply planning data'!AE32</f>
        <v>0</v>
      </c>
      <c r="AD34" s="323" t="str">
        <f>'Supply planning data'!AF32</f>
        <v/>
      </c>
      <c r="AE34" s="111">
        <f>'Supply planning data'!AG32</f>
        <v>0</v>
      </c>
      <c r="AF34" s="321">
        <f>'Supply planning data'!AH32</f>
        <v>0</v>
      </c>
      <c r="AG34" s="349">
        <f>'Supply planning data'!AI32</f>
        <v>0</v>
      </c>
      <c r="AH34" s="111">
        <f>'Supply planning data'!AJ32</f>
        <v>0</v>
      </c>
      <c r="AI34" s="111">
        <f>'Supply planning data'!AK32</f>
        <v>0</v>
      </c>
      <c r="AJ34" s="111">
        <f>'Supply planning data'!AL32</f>
        <v>0</v>
      </c>
      <c r="AK34" s="111">
        <f>'Supply planning data'!AM32</f>
        <v>0</v>
      </c>
      <c r="AL34" s="111">
        <f>'Supply planning data'!AN32</f>
        <v>0</v>
      </c>
      <c r="AM34" s="323" t="str">
        <f>'Supply planning data'!AO32</f>
        <v/>
      </c>
    </row>
    <row r="35" spans="1:39" hidden="1" x14ac:dyDescent="0.25">
      <c r="A35" s="109" t="str">
        <f>'Supply planning data'!C33</f>
        <v/>
      </c>
      <c r="B35" s="298">
        <f>'Supply planning data'!D33</f>
        <v>44228</v>
      </c>
      <c r="C35" s="105" t="str">
        <f>'Supply planning data'!E33</f>
        <v>No</v>
      </c>
      <c r="D35" s="105">
        <f>'Supply planning data'!F33</f>
        <v>0</v>
      </c>
      <c r="E35" s="320">
        <f>'Supply planning data'!G33</f>
        <v>0</v>
      </c>
      <c r="F35" s="320">
        <f>'Supply planning data'!H33</f>
        <v>0</v>
      </c>
      <c r="G35" s="320">
        <f>'Supply planning data'!I33</f>
        <v>0</v>
      </c>
      <c r="H35" s="105">
        <f>'Supply planning data'!J33</f>
        <v>0</v>
      </c>
      <c r="I35" s="320">
        <f>'Supply planning data'!K33</f>
        <v>0</v>
      </c>
      <c r="J35" s="177" t="str">
        <f>'Supply planning data'!L33</f>
        <v/>
      </c>
      <c r="K35" s="105">
        <f>'Supply planning data'!M33</f>
        <v>0</v>
      </c>
      <c r="L35" s="321">
        <f>'Supply planning data'!N33+'Supply planning data'!P33</f>
        <v>0</v>
      </c>
      <c r="M35" s="342">
        <f>'Supply planning data'!O33</f>
        <v>0</v>
      </c>
      <c r="N35" s="321">
        <f>'Supply planning data'!P33</f>
        <v>0</v>
      </c>
      <c r="O35" s="342">
        <f>'Supply planning data'!Q33</f>
        <v>0</v>
      </c>
      <c r="P35" s="111">
        <f>'Supply planning data'!R33</f>
        <v>0</v>
      </c>
      <c r="Q35" s="111">
        <f>'Supply planning data'!S33</f>
        <v>0</v>
      </c>
      <c r="R35" s="111">
        <f>'Supply planning data'!T33</f>
        <v>0</v>
      </c>
      <c r="S35" s="111">
        <f>'Supply planning data'!U33</f>
        <v>0</v>
      </c>
      <c r="T35" s="111">
        <f>'Supply planning data'!V33</f>
        <v>0</v>
      </c>
      <c r="U35" s="323">
        <f>'Supply planning data'!W33</f>
        <v>0</v>
      </c>
      <c r="V35" s="111">
        <f>'Supply planning data'!X33</f>
        <v>0</v>
      </c>
      <c r="W35" s="321">
        <f>'Supply planning data'!Y33</f>
        <v>0</v>
      </c>
      <c r="X35" s="329">
        <f>'Supply planning data'!Z33</f>
        <v>0</v>
      </c>
      <c r="Y35" s="111">
        <f>'Supply planning data'!AA33</f>
        <v>0</v>
      </c>
      <c r="Z35" s="111">
        <f>'Supply planning data'!AB33</f>
        <v>0</v>
      </c>
      <c r="AA35" s="111">
        <f>'Supply planning data'!AC33</f>
        <v>0</v>
      </c>
      <c r="AB35" s="111">
        <f>'Supply planning data'!AD33</f>
        <v>0</v>
      </c>
      <c r="AC35" s="111">
        <f>'Supply planning data'!AE33</f>
        <v>0</v>
      </c>
      <c r="AD35" s="323" t="str">
        <f>'Supply planning data'!AF33</f>
        <v/>
      </c>
      <c r="AE35" s="111">
        <f>'Supply planning data'!AG33</f>
        <v>0</v>
      </c>
      <c r="AF35" s="321">
        <f>'Supply planning data'!AH33</f>
        <v>0</v>
      </c>
      <c r="AG35" s="349">
        <f>'Supply planning data'!AI33</f>
        <v>0</v>
      </c>
      <c r="AH35" s="111">
        <f>'Supply planning data'!AJ33</f>
        <v>0</v>
      </c>
      <c r="AI35" s="111">
        <f>'Supply planning data'!AK33</f>
        <v>0</v>
      </c>
      <c r="AJ35" s="111">
        <f>'Supply planning data'!AL33</f>
        <v>0</v>
      </c>
      <c r="AK35" s="111">
        <f>'Supply planning data'!AM33</f>
        <v>0</v>
      </c>
      <c r="AL35" s="111">
        <f>'Supply planning data'!AN33</f>
        <v>0</v>
      </c>
      <c r="AM35" s="323" t="str">
        <f>'Supply planning data'!AO33</f>
        <v/>
      </c>
    </row>
    <row r="36" spans="1:39" hidden="1" x14ac:dyDescent="0.25">
      <c r="A36" s="104" t="str">
        <f>'Supply planning data'!C34</f>
        <v/>
      </c>
      <c r="B36" s="298">
        <f>'Supply planning data'!D34</f>
        <v>44228</v>
      </c>
      <c r="C36" s="105" t="str">
        <f>'Supply planning data'!E34</f>
        <v>No</v>
      </c>
      <c r="D36" s="105">
        <f>'Supply planning data'!F34</f>
        <v>0</v>
      </c>
      <c r="E36" s="320">
        <f>'Supply planning data'!G34</f>
        <v>0</v>
      </c>
      <c r="F36" s="320">
        <f>'Supply planning data'!H34</f>
        <v>0</v>
      </c>
      <c r="G36" s="320">
        <f>'Supply planning data'!I34</f>
        <v>0</v>
      </c>
      <c r="H36" s="105">
        <f>'Supply planning data'!J34</f>
        <v>0</v>
      </c>
      <c r="I36" s="320">
        <f>'Supply planning data'!K34</f>
        <v>0</v>
      </c>
      <c r="J36" s="177" t="str">
        <f>'Supply planning data'!L34</f>
        <v/>
      </c>
      <c r="K36" s="105">
        <f>'Supply planning data'!M34</f>
        <v>0</v>
      </c>
      <c r="L36" s="321">
        <f>'Supply planning data'!N34+'Supply planning data'!P34</f>
        <v>0</v>
      </c>
      <c r="M36" s="342">
        <f>'Supply planning data'!O34</f>
        <v>0</v>
      </c>
      <c r="N36" s="321">
        <f>'Supply planning data'!P34</f>
        <v>0</v>
      </c>
      <c r="O36" s="342">
        <f>'Supply planning data'!Q34</f>
        <v>0</v>
      </c>
      <c r="P36" s="111">
        <f>'Supply planning data'!R34</f>
        <v>0</v>
      </c>
      <c r="Q36" s="111">
        <f>'Supply planning data'!S34</f>
        <v>0</v>
      </c>
      <c r="R36" s="111">
        <f>'Supply planning data'!T34</f>
        <v>0</v>
      </c>
      <c r="S36" s="111">
        <f>'Supply planning data'!U34</f>
        <v>0</v>
      </c>
      <c r="T36" s="111">
        <f>'Supply planning data'!V34</f>
        <v>0</v>
      </c>
      <c r="U36" s="323">
        <f>'Supply planning data'!W34</f>
        <v>0</v>
      </c>
      <c r="V36" s="111">
        <f>'Supply planning data'!X34</f>
        <v>0</v>
      </c>
      <c r="W36" s="321">
        <f>'Supply planning data'!Y34</f>
        <v>0</v>
      </c>
      <c r="X36" s="329">
        <f>'Supply planning data'!Z34</f>
        <v>0</v>
      </c>
      <c r="Y36" s="111">
        <f>'Supply planning data'!AA34</f>
        <v>0</v>
      </c>
      <c r="Z36" s="111">
        <f>'Supply planning data'!AB34</f>
        <v>0</v>
      </c>
      <c r="AA36" s="111">
        <f>'Supply planning data'!AC34</f>
        <v>0</v>
      </c>
      <c r="AB36" s="111">
        <f>'Supply planning data'!AD34</f>
        <v>0</v>
      </c>
      <c r="AC36" s="111">
        <f>'Supply planning data'!AE34</f>
        <v>0</v>
      </c>
      <c r="AD36" s="323" t="str">
        <f>'Supply planning data'!AF34</f>
        <v/>
      </c>
      <c r="AE36" s="111">
        <f>'Supply planning data'!AG34</f>
        <v>0</v>
      </c>
      <c r="AF36" s="321">
        <f>'Supply planning data'!AH34</f>
        <v>0</v>
      </c>
      <c r="AG36" s="349">
        <f>'Supply planning data'!AI34</f>
        <v>0</v>
      </c>
      <c r="AH36" s="111">
        <f>'Supply planning data'!AJ34</f>
        <v>0</v>
      </c>
      <c r="AI36" s="111">
        <f>'Supply planning data'!AK34</f>
        <v>0</v>
      </c>
      <c r="AJ36" s="111">
        <f>'Supply planning data'!AL34</f>
        <v>0</v>
      </c>
      <c r="AK36" s="111">
        <f>'Supply planning data'!AM34</f>
        <v>0</v>
      </c>
      <c r="AL36" s="111">
        <f>'Supply planning data'!AN34</f>
        <v>0</v>
      </c>
      <c r="AM36" s="323" t="str">
        <f>'Supply planning data'!AO34</f>
        <v/>
      </c>
    </row>
    <row r="37" spans="1:39" x14ac:dyDescent="0.25">
      <c r="A37" s="90" t="str">
        <f>'Supply planning data'!C35</f>
        <v>AstraZeneca</v>
      </c>
      <c r="B37" s="296">
        <f>'Supply planning data'!D35</f>
        <v>44256</v>
      </c>
      <c r="C37" s="92" t="str">
        <f>'Supply planning data'!E35</f>
        <v>Yes</v>
      </c>
      <c r="D37" s="92">
        <f>'Supply planning data'!F35</f>
        <v>0</v>
      </c>
      <c r="E37" s="316">
        <f>'Supply planning data'!G35</f>
        <v>0</v>
      </c>
      <c r="F37" s="316">
        <f>'Supply planning data'!H35</f>
        <v>0</v>
      </c>
      <c r="G37" s="316">
        <f>'Supply planning data'!I35</f>
        <v>0</v>
      </c>
      <c r="H37" s="92">
        <f>'Supply planning data'!J35</f>
        <v>0</v>
      </c>
      <c r="I37" s="316">
        <f>'Supply planning data'!K35</f>
        <v>0</v>
      </c>
      <c r="J37" s="174" t="str">
        <f>'Supply planning data'!L35</f>
        <v/>
      </c>
      <c r="K37" s="92">
        <f>'Supply planning data'!M35</f>
        <v>0</v>
      </c>
      <c r="L37" s="316">
        <f>'Supply planning data'!N35+'Supply planning data'!P35</f>
        <v>0</v>
      </c>
      <c r="M37" s="343">
        <f>'Supply planning data'!O35</f>
        <v>0</v>
      </c>
      <c r="N37" s="316">
        <f>'Supply planning data'!P35</f>
        <v>0</v>
      </c>
      <c r="O37" s="343">
        <f>'Supply planning data'!Q35</f>
        <v>0</v>
      </c>
      <c r="P37" s="92">
        <f>'Supply planning data'!R35</f>
        <v>35000</v>
      </c>
      <c r="Q37" s="92">
        <f>'Supply planning data'!S35</f>
        <v>0</v>
      </c>
      <c r="R37" s="92">
        <f>'Supply planning data'!T35</f>
        <v>0</v>
      </c>
      <c r="S37" s="92">
        <f>'Supply planning data'!U35</f>
        <v>0</v>
      </c>
      <c r="T37" s="92">
        <f>'Supply planning data'!V35</f>
        <v>35000</v>
      </c>
      <c r="U37" s="324" t="str">
        <f>'Supply planning data'!W35</f>
        <v/>
      </c>
      <c r="V37" s="92">
        <f>'Supply planning data'!X35</f>
        <v>0</v>
      </c>
      <c r="W37" s="316">
        <f>'Supply planning data'!Y35</f>
        <v>0</v>
      </c>
      <c r="X37" s="328">
        <f>'Supply planning data'!Z35</f>
        <v>0</v>
      </c>
      <c r="Y37" s="92">
        <f>'Supply planning data'!AA35</f>
        <v>0</v>
      </c>
      <c r="Z37" s="92">
        <f>'Supply planning data'!AB35</f>
        <v>0</v>
      </c>
      <c r="AA37" s="92">
        <f>'Supply planning data'!AC35</f>
        <v>0</v>
      </c>
      <c r="AB37" s="92">
        <f>'Supply planning data'!AD35</f>
        <v>0</v>
      </c>
      <c r="AC37" s="92">
        <f>'Supply planning data'!AE35</f>
        <v>35000</v>
      </c>
      <c r="AD37" s="324" t="str">
        <f>'Supply planning data'!AF35</f>
        <v/>
      </c>
      <c r="AE37" s="92">
        <f>'Supply planning data'!AG35</f>
        <v>0</v>
      </c>
      <c r="AF37" s="316">
        <f>'Supply planning data'!AH35</f>
        <v>0</v>
      </c>
      <c r="AG37" s="174">
        <f>'Supply planning data'!AI35</f>
        <v>0</v>
      </c>
      <c r="AH37" s="92">
        <f>'Supply planning data'!AJ35</f>
        <v>0</v>
      </c>
      <c r="AI37" s="92">
        <f>'Supply planning data'!AK35</f>
        <v>0</v>
      </c>
      <c r="AJ37" s="92">
        <f>'Supply planning data'!AL35</f>
        <v>0</v>
      </c>
      <c r="AK37" s="92">
        <f>'Supply planning data'!AM35</f>
        <v>0</v>
      </c>
      <c r="AL37" s="92">
        <f>'Supply planning data'!AN35</f>
        <v>35000</v>
      </c>
      <c r="AM37" s="324" t="str">
        <f>'Supply planning data'!AO35</f>
        <v/>
      </c>
    </row>
    <row r="38" spans="1:39" x14ac:dyDescent="0.25">
      <c r="A38" s="90" t="str">
        <f>'Supply planning data'!C36</f>
        <v>Jansen</v>
      </c>
      <c r="B38" s="296">
        <f>'Supply planning data'!D36</f>
        <v>44256</v>
      </c>
      <c r="C38" s="92" t="str">
        <f>'Supply planning data'!E36</f>
        <v>Yes</v>
      </c>
      <c r="D38" s="92">
        <f>'Supply planning data'!F36</f>
        <v>0</v>
      </c>
      <c r="E38" s="316">
        <f>'Supply planning data'!G36</f>
        <v>0</v>
      </c>
      <c r="F38" s="317">
        <f>'Supply planning data'!H36</f>
        <v>0</v>
      </c>
      <c r="G38" s="317">
        <f>'Supply planning data'!I36</f>
        <v>0</v>
      </c>
      <c r="H38" s="98">
        <f>'Supply planning data'!J36</f>
        <v>0</v>
      </c>
      <c r="I38" s="317">
        <f>'Supply planning data'!K36</f>
        <v>0</v>
      </c>
      <c r="J38" s="175" t="str">
        <f>'Supply planning data'!L36</f>
        <v/>
      </c>
      <c r="K38" s="98">
        <f>'Supply planning data'!M36</f>
        <v>0</v>
      </c>
      <c r="L38" s="317">
        <f>'Supply planning data'!N36+'Supply planning data'!P36</f>
        <v>0</v>
      </c>
      <c r="M38" s="339">
        <f>'Supply planning data'!O36</f>
        <v>0</v>
      </c>
      <c r="N38" s="317">
        <f>'Supply planning data'!P36</f>
        <v>0</v>
      </c>
      <c r="O38" s="339">
        <f>'Supply planning data'!Q36</f>
        <v>0</v>
      </c>
      <c r="P38" s="98">
        <f>'Supply planning data'!R36</f>
        <v>0</v>
      </c>
      <c r="Q38" s="98">
        <f>'Supply planning data'!S36</f>
        <v>0</v>
      </c>
      <c r="R38" s="98">
        <f>'Supply planning data'!T36</f>
        <v>0</v>
      </c>
      <c r="S38" s="98">
        <f>'Supply planning data'!U36</f>
        <v>0</v>
      </c>
      <c r="T38" s="98">
        <f>'Supply planning data'!V36</f>
        <v>0</v>
      </c>
      <c r="U38" s="325" t="str">
        <f>'Supply planning data'!W36</f>
        <v/>
      </c>
      <c r="V38" s="98">
        <f>'Supply planning data'!X36</f>
        <v>0</v>
      </c>
      <c r="W38" s="317">
        <f>'Supply planning data'!Y36</f>
        <v>0</v>
      </c>
      <c r="X38" s="328">
        <f>'Supply planning data'!Z36</f>
        <v>0</v>
      </c>
      <c r="Y38" s="98">
        <f>'Supply planning data'!AA36</f>
        <v>0</v>
      </c>
      <c r="Z38" s="98">
        <f>'Supply planning data'!AB36</f>
        <v>0</v>
      </c>
      <c r="AA38" s="98">
        <f>'Supply planning data'!AC36</f>
        <v>0</v>
      </c>
      <c r="AB38" s="98">
        <f>'Supply planning data'!AD36</f>
        <v>0</v>
      </c>
      <c r="AC38" s="98">
        <f>'Supply planning data'!AE36</f>
        <v>0</v>
      </c>
      <c r="AD38" s="325" t="str">
        <f>'Supply planning data'!AF36</f>
        <v/>
      </c>
      <c r="AE38" s="98">
        <f>'Supply planning data'!AG36</f>
        <v>0</v>
      </c>
      <c r="AF38" s="317">
        <f>'Supply planning data'!AH36</f>
        <v>0</v>
      </c>
      <c r="AG38" s="175">
        <f>'Supply planning data'!AI36</f>
        <v>0</v>
      </c>
      <c r="AH38" s="98">
        <f>'Supply planning data'!AJ36</f>
        <v>0</v>
      </c>
      <c r="AI38" s="98">
        <f>'Supply planning data'!AK36</f>
        <v>0</v>
      </c>
      <c r="AJ38" s="98">
        <f>'Supply planning data'!AL36</f>
        <v>0</v>
      </c>
      <c r="AK38" s="98">
        <f>'Supply planning data'!AM36</f>
        <v>0</v>
      </c>
      <c r="AL38" s="98">
        <f>'Supply planning data'!AN36</f>
        <v>0</v>
      </c>
      <c r="AM38" s="325" t="str">
        <f>'Supply planning data'!AO36</f>
        <v/>
      </c>
    </row>
    <row r="39" spans="1:39" x14ac:dyDescent="0.25">
      <c r="A39" s="90" t="str">
        <f>'Supply planning data'!C37</f>
        <v>Moderna</v>
      </c>
      <c r="B39" s="296">
        <f>'Supply planning data'!D37</f>
        <v>44256</v>
      </c>
      <c r="C39" s="92" t="str">
        <f>'Supply planning data'!E37</f>
        <v>No</v>
      </c>
      <c r="D39" s="92">
        <f>'Supply planning data'!F37</f>
        <v>0</v>
      </c>
      <c r="E39" s="316">
        <f>'Supply planning data'!G37</f>
        <v>0</v>
      </c>
      <c r="F39" s="317">
        <f>'Supply planning data'!H37</f>
        <v>0</v>
      </c>
      <c r="G39" s="317">
        <f>'Supply planning data'!I37</f>
        <v>0</v>
      </c>
      <c r="H39" s="98">
        <f>'Supply planning data'!J37</f>
        <v>0</v>
      </c>
      <c r="I39" s="317">
        <f>'Supply planning data'!K37</f>
        <v>0</v>
      </c>
      <c r="J39" s="175" t="str">
        <f>'Supply planning data'!L37</f>
        <v/>
      </c>
      <c r="K39" s="98">
        <f>'Supply planning data'!M37</f>
        <v>0</v>
      </c>
      <c r="L39" s="317">
        <f>'Supply planning data'!N37+'Supply planning data'!P37</f>
        <v>0</v>
      </c>
      <c r="M39" s="339">
        <f>'Supply planning data'!O37</f>
        <v>0</v>
      </c>
      <c r="N39" s="317">
        <f>'Supply planning data'!P37</f>
        <v>0</v>
      </c>
      <c r="O39" s="339">
        <f>'Supply planning data'!Q37</f>
        <v>0</v>
      </c>
      <c r="P39" s="98">
        <f>'Supply planning data'!R37</f>
        <v>0</v>
      </c>
      <c r="Q39" s="98">
        <f>'Supply planning data'!S37</f>
        <v>0</v>
      </c>
      <c r="R39" s="98">
        <f>'Supply planning data'!T37</f>
        <v>0</v>
      </c>
      <c r="S39" s="98">
        <f>'Supply planning data'!U37</f>
        <v>0</v>
      </c>
      <c r="T39" s="98">
        <f>'Supply planning data'!V37</f>
        <v>0</v>
      </c>
      <c r="U39" s="325" t="str">
        <f>'Supply planning data'!W37</f>
        <v/>
      </c>
      <c r="V39" s="98">
        <f>'Supply planning data'!X37</f>
        <v>0</v>
      </c>
      <c r="W39" s="317">
        <f>'Supply planning data'!Y37</f>
        <v>0</v>
      </c>
      <c r="X39" s="328">
        <f>'Supply planning data'!Z37</f>
        <v>0</v>
      </c>
      <c r="Y39" s="98">
        <f>'Supply planning data'!AA37</f>
        <v>0</v>
      </c>
      <c r="Z39" s="98">
        <f>'Supply planning data'!AB37</f>
        <v>0</v>
      </c>
      <c r="AA39" s="98">
        <f>'Supply planning data'!AC37</f>
        <v>0</v>
      </c>
      <c r="AB39" s="98">
        <f>'Supply planning data'!AD37</f>
        <v>0</v>
      </c>
      <c r="AC39" s="98">
        <f>'Supply planning data'!AE37</f>
        <v>0</v>
      </c>
      <c r="AD39" s="325" t="str">
        <f>'Supply planning data'!AF37</f>
        <v/>
      </c>
      <c r="AE39" s="98">
        <f>'Supply planning data'!AG37</f>
        <v>0</v>
      </c>
      <c r="AF39" s="317">
        <f>'Supply planning data'!AH37</f>
        <v>0</v>
      </c>
      <c r="AG39" s="175">
        <f>'Supply planning data'!AI37</f>
        <v>0</v>
      </c>
      <c r="AH39" s="98">
        <f>'Supply planning data'!AJ37</f>
        <v>0</v>
      </c>
      <c r="AI39" s="98">
        <f>'Supply planning data'!AK37</f>
        <v>0</v>
      </c>
      <c r="AJ39" s="98">
        <f>'Supply planning data'!AL37</f>
        <v>0</v>
      </c>
      <c r="AK39" s="98">
        <f>'Supply planning data'!AM37</f>
        <v>0</v>
      </c>
      <c r="AL39" s="98">
        <f>'Supply planning data'!AN37</f>
        <v>0</v>
      </c>
      <c r="AM39" s="325" t="str">
        <f>'Supply planning data'!AO37</f>
        <v/>
      </c>
    </row>
    <row r="40" spans="1:39" x14ac:dyDescent="0.25">
      <c r="A40" s="90" t="str">
        <f>'Supply planning data'!C38</f>
        <v>Pfizer</v>
      </c>
      <c r="B40" s="296">
        <f>'Supply planning data'!D38</f>
        <v>44256</v>
      </c>
      <c r="C40" s="92" t="str">
        <f>'Supply planning data'!E38</f>
        <v>Yes</v>
      </c>
      <c r="D40" s="92">
        <f>'Supply planning data'!F38</f>
        <v>0</v>
      </c>
      <c r="E40" s="316">
        <f>'Supply planning data'!G38</f>
        <v>0</v>
      </c>
      <c r="F40" s="317">
        <f>'Supply planning data'!H38</f>
        <v>0</v>
      </c>
      <c r="G40" s="317">
        <f>'Supply planning data'!I38</f>
        <v>0</v>
      </c>
      <c r="H40" s="98">
        <f>'Supply planning data'!J38</f>
        <v>0</v>
      </c>
      <c r="I40" s="317">
        <f>'Supply planning data'!K38</f>
        <v>0</v>
      </c>
      <c r="J40" s="175" t="str">
        <f>'Supply planning data'!L38</f>
        <v/>
      </c>
      <c r="K40" s="98">
        <f>'Supply planning data'!M38</f>
        <v>0</v>
      </c>
      <c r="L40" s="317">
        <f>'Supply planning data'!N38+'Supply planning data'!P38</f>
        <v>0</v>
      </c>
      <c r="M40" s="339">
        <f>'Supply planning data'!O38</f>
        <v>0</v>
      </c>
      <c r="N40" s="317">
        <f>'Supply planning data'!P38</f>
        <v>0</v>
      </c>
      <c r="O40" s="339">
        <f>'Supply planning data'!Q38</f>
        <v>0</v>
      </c>
      <c r="P40" s="98">
        <f>'Supply planning data'!R38</f>
        <v>0</v>
      </c>
      <c r="Q40" s="98">
        <f>'Supply planning data'!S38</f>
        <v>0</v>
      </c>
      <c r="R40" s="98">
        <f>'Supply planning data'!T38</f>
        <v>0</v>
      </c>
      <c r="S40" s="98">
        <f>'Supply planning data'!U38</f>
        <v>0</v>
      </c>
      <c r="T40" s="98">
        <f>'Supply planning data'!V38</f>
        <v>0</v>
      </c>
      <c r="U40" s="325" t="str">
        <f>'Supply planning data'!W38</f>
        <v/>
      </c>
      <c r="V40" s="98">
        <f>'Supply planning data'!X38</f>
        <v>0</v>
      </c>
      <c r="W40" s="317">
        <f>'Supply planning data'!Y38</f>
        <v>0</v>
      </c>
      <c r="X40" s="328">
        <f>'Supply planning data'!Z38</f>
        <v>0</v>
      </c>
      <c r="Y40" s="98">
        <f>'Supply planning data'!AA38</f>
        <v>0</v>
      </c>
      <c r="Z40" s="98">
        <f>'Supply planning data'!AB38</f>
        <v>0</v>
      </c>
      <c r="AA40" s="98">
        <f>'Supply planning data'!AC38</f>
        <v>0</v>
      </c>
      <c r="AB40" s="98">
        <f>'Supply planning data'!AD38</f>
        <v>0</v>
      </c>
      <c r="AC40" s="98">
        <f>'Supply planning data'!AE38</f>
        <v>0</v>
      </c>
      <c r="AD40" s="325" t="str">
        <f>'Supply planning data'!AF38</f>
        <v/>
      </c>
      <c r="AE40" s="98">
        <f>'Supply planning data'!AG38</f>
        <v>0</v>
      </c>
      <c r="AF40" s="317">
        <f>'Supply planning data'!AH38</f>
        <v>0</v>
      </c>
      <c r="AG40" s="175">
        <f>'Supply planning data'!AI38</f>
        <v>0</v>
      </c>
      <c r="AH40" s="98">
        <f>'Supply planning data'!AJ38</f>
        <v>0</v>
      </c>
      <c r="AI40" s="98">
        <f>'Supply planning data'!AK38</f>
        <v>0</v>
      </c>
      <c r="AJ40" s="98">
        <f>'Supply planning data'!AL38</f>
        <v>0</v>
      </c>
      <c r="AK40" s="98">
        <f>'Supply planning data'!AM38</f>
        <v>0</v>
      </c>
      <c r="AL40" s="98">
        <f>'Supply planning data'!AN38</f>
        <v>0</v>
      </c>
      <c r="AM40" s="325" t="str">
        <f>'Supply planning data'!AO38</f>
        <v/>
      </c>
    </row>
    <row r="41" spans="1:39" x14ac:dyDescent="0.25">
      <c r="A41" s="90" t="str">
        <f>'Supply planning data'!C39</f>
        <v>Sinovac</v>
      </c>
      <c r="B41" s="296">
        <f>'Supply planning data'!D39</f>
        <v>44256</v>
      </c>
      <c r="C41" s="92" t="str">
        <f>'Supply planning data'!E39</f>
        <v>No</v>
      </c>
      <c r="D41" s="92">
        <f>'Supply planning data'!F39</f>
        <v>0</v>
      </c>
      <c r="E41" s="316">
        <f>'Supply planning data'!G39</f>
        <v>0</v>
      </c>
      <c r="F41" s="317">
        <f>'Supply planning data'!H39</f>
        <v>0</v>
      </c>
      <c r="G41" s="317">
        <f>'Supply planning data'!I39</f>
        <v>0</v>
      </c>
      <c r="H41" s="98">
        <f>'Supply planning data'!J39</f>
        <v>0</v>
      </c>
      <c r="I41" s="317">
        <f>'Supply planning data'!K39</f>
        <v>0</v>
      </c>
      <c r="J41" s="175" t="str">
        <f>'Supply planning data'!L39</f>
        <v/>
      </c>
      <c r="K41" s="98">
        <f>'Supply planning data'!M39</f>
        <v>0</v>
      </c>
      <c r="L41" s="317">
        <f>'Supply planning data'!N39+'Supply planning data'!P39</f>
        <v>0</v>
      </c>
      <c r="M41" s="339">
        <f>'Supply planning data'!O39</f>
        <v>0</v>
      </c>
      <c r="N41" s="317">
        <f>'Supply planning data'!P39</f>
        <v>0</v>
      </c>
      <c r="O41" s="339">
        <f>'Supply planning data'!Q39</f>
        <v>0</v>
      </c>
      <c r="P41" s="98">
        <f>'Supply planning data'!R39</f>
        <v>0</v>
      </c>
      <c r="Q41" s="98">
        <f>'Supply planning data'!S39</f>
        <v>0</v>
      </c>
      <c r="R41" s="98">
        <f>'Supply planning data'!T39</f>
        <v>0</v>
      </c>
      <c r="S41" s="98">
        <f>'Supply planning data'!U39</f>
        <v>0</v>
      </c>
      <c r="T41" s="98">
        <f>'Supply planning data'!V39</f>
        <v>0</v>
      </c>
      <c r="U41" s="325" t="str">
        <f>'Supply planning data'!W39</f>
        <v/>
      </c>
      <c r="V41" s="98">
        <f>'Supply planning data'!X39</f>
        <v>0</v>
      </c>
      <c r="W41" s="317">
        <f>'Supply planning data'!Y39</f>
        <v>0</v>
      </c>
      <c r="X41" s="328">
        <f>'Supply planning data'!Z39</f>
        <v>0</v>
      </c>
      <c r="Y41" s="98">
        <f>'Supply planning data'!AA39</f>
        <v>0</v>
      </c>
      <c r="Z41" s="98">
        <f>'Supply planning data'!AB39</f>
        <v>0</v>
      </c>
      <c r="AA41" s="98">
        <f>'Supply planning data'!AC39</f>
        <v>0</v>
      </c>
      <c r="AB41" s="98">
        <f>'Supply planning data'!AD39</f>
        <v>0</v>
      </c>
      <c r="AC41" s="98">
        <f>'Supply planning data'!AE39</f>
        <v>0</v>
      </c>
      <c r="AD41" s="325" t="str">
        <f>'Supply planning data'!AF39</f>
        <v/>
      </c>
      <c r="AE41" s="98">
        <f>'Supply planning data'!AG39</f>
        <v>0</v>
      </c>
      <c r="AF41" s="317">
        <f>'Supply planning data'!AH39</f>
        <v>0</v>
      </c>
      <c r="AG41" s="175">
        <f>'Supply planning data'!AI39</f>
        <v>0</v>
      </c>
      <c r="AH41" s="98">
        <f>'Supply planning data'!AJ39</f>
        <v>0</v>
      </c>
      <c r="AI41" s="98">
        <f>'Supply planning data'!AK39</f>
        <v>0</v>
      </c>
      <c r="AJ41" s="98">
        <f>'Supply planning data'!AL39</f>
        <v>0</v>
      </c>
      <c r="AK41" s="98">
        <f>'Supply planning data'!AM39</f>
        <v>0</v>
      </c>
      <c r="AL41" s="98">
        <f>'Supply planning data'!AN39</f>
        <v>0</v>
      </c>
      <c r="AM41" s="325" t="str">
        <f>'Supply planning data'!AO39</f>
        <v/>
      </c>
    </row>
    <row r="42" spans="1:39" hidden="1" x14ac:dyDescent="0.25">
      <c r="A42" s="90" t="str">
        <f>'Supply planning data'!C40</f>
        <v/>
      </c>
      <c r="B42" s="296">
        <f>'Supply planning data'!D40</f>
        <v>44256</v>
      </c>
      <c r="C42" s="92" t="str">
        <f>'Supply planning data'!E40</f>
        <v>No</v>
      </c>
      <c r="D42" s="92">
        <f>'Supply planning data'!F40</f>
        <v>0</v>
      </c>
      <c r="E42" s="316">
        <f>'Supply planning data'!G40</f>
        <v>0</v>
      </c>
      <c r="F42" s="317">
        <f>'Supply planning data'!H40</f>
        <v>0</v>
      </c>
      <c r="G42" s="317">
        <f>'Supply planning data'!I40</f>
        <v>0</v>
      </c>
      <c r="H42" s="98">
        <f>'Supply planning data'!J40</f>
        <v>0</v>
      </c>
      <c r="I42" s="317">
        <f>'Supply planning data'!K40</f>
        <v>0</v>
      </c>
      <c r="J42" s="175" t="str">
        <f>'Supply planning data'!L40</f>
        <v/>
      </c>
      <c r="K42" s="98">
        <f>'Supply planning data'!M40</f>
        <v>0</v>
      </c>
      <c r="L42" s="317">
        <f>'Supply planning data'!N40+'Supply planning data'!P40</f>
        <v>0</v>
      </c>
      <c r="M42" s="339">
        <f>'Supply planning data'!O40</f>
        <v>0</v>
      </c>
      <c r="N42" s="317">
        <f>'Supply planning data'!P40</f>
        <v>0</v>
      </c>
      <c r="O42" s="339">
        <f>'Supply planning data'!Q40</f>
        <v>0</v>
      </c>
      <c r="P42" s="98">
        <f>'Supply planning data'!R40</f>
        <v>0</v>
      </c>
      <c r="Q42" s="98">
        <f>'Supply planning data'!S40</f>
        <v>0</v>
      </c>
      <c r="R42" s="98">
        <f>'Supply planning data'!T40</f>
        <v>0</v>
      </c>
      <c r="S42" s="98">
        <f>'Supply planning data'!U40</f>
        <v>0</v>
      </c>
      <c r="T42" s="98">
        <f>'Supply planning data'!V40</f>
        <v>0</v>
      </c>
      <c r="U42" s="325" t="str">
        <f>'Supply planning data'!W40</f>
        <v/>
      </c>
      <c r="V42" s="98">
        <f>'Supply planning data'!X40</f>
        <v>0</v>
      </c>
      <c r="W42" s="317">
        <f>'Supply planning data'!Y40</f>
        <v>0</v>
      </c>
      <c r="X42" s="328">
        <f>'Supply planning data'!Z40</f>
        <v>0</v>
      </c>
      <c r="Y42" s="98">
        <f>'Supply planning data'!AA40</f>
        <v>0</v>
      </c>
      <c r="Z42" s="98">
        <f>'Supply planning data'!AB40</f>
        <v>0</v>
      </c>
      <c r="AA42" s="98">
        <f>'Supply planning data'!AC40</f>
        <v>0</v>
      </c>
      <c r="AB42" s="98">
        <f>'Supply planning data'!AD40</f>
        <v>0</v>
      </c>
      <c r="AC42" s="98">
        <f>'Supply planning data'!AE40</f>
        <v>0</v>
      </c>
      <c r="AD42" s="325" t="str">
        <f>'Supply planning data'!AF40</f>
        <v/>
      </c>
      <c r="AE42" s="98">
        <f>'Supply planning data'!AG40</f>
        <v>0</v>
      </c>
      <c r="AF42" s="317">
        <f>'Supply planning data'!AH40</f>
        <v>0</v>
      </c>
      <c r="AG42" s="175">
        <f>'Supply planning data'!AI40</f>
        <v>0</v>
      </c>
      <c r="AH42" s="98">
        <f>'Supply planning data'!AJ40</f>
        <v>0</v>
      </c>
      <c r="AI42" s="98">
        <f>'Supply planning data'!AK40</f>
        <v>0</v>
      </c>
      <c r="AJ42" s="98">
        <f>'Supply planning data'!AL40</f>
        <v>0</v>
      </c>
      <c r="AK42" s="98">
        <f>'Supply planning data'!AM40</f>
        <v>0</v>
      </c>
      <c r="AL42" s="98">
        <f>'Supply planning data'!AN40</f>
        <v>0</v>
      </c>
      <c r="AM42" s="325" t="str">
        <f>'Supply planning data'!AO40</f>
        <v/>
      </c>
    </row>
    <row r="43" spans="1:39" hidden="1" x14ac:dyDescent="0.25">
      <c r="A43" s="90" t="str">
        <f>'Supply planning data'!C41</f>
        <v/>
      </c>
      <c r="B43" s="296">
        <f>'Supply planning data'!D41</f>
        <v>44256</v>
      </c>
      <c r="C43" s="92" t="str">
        <f>'Supply planning data'!E41</f>
        <v>No</v>
      </c>
      <c r="D43" s="92">
        <f>'Supply planning data'!F41</f>
        <v>0</v>
      </c>
      <c r="E43" s="316">
        <f>'Supply planning data'!G41</f>
        <v>0</v>
      </c>
      <c r="F43" s="317">
        <f>'Supply planning data'!H41</f>
        <v>0</v>
      </c>
      <c r="G43" s="317">
        <f>'Supply planning data'!I41</f>
        <v>0</v>
      </c>
      <c r="H43" s="98">
        <f>'Supply planning data'!J41</f>
        <v>0</v>
      </c>
      <c r="I43" s="317">
        <f>'Supply planning data'!K41</f>
        <v>0</v>
      </c>
      <c r="J43" s="175" t="str">
        <f>'Supply planning data'!L41</f>
        <v/>
      </c>
      <c r="K43" s="98">
        <f>'Supply planning data'!M41</f>
        <v>0</v>
      </c>
      <c r="L43" s="317">
        <f>'Supply planning data'!N41+'Supply planning data'!P41</f>
        <v>0</v>
      </c>
      <c r="M43" s="339">
        <f>'Supply planning data'!O41</f>
        <v>0</v>
      </c>
      <c r="N43" s="317">
        <f>'Supply planning data'!P41</f>
        <v>0</v>
      </c>
      <c r="O43" s="339">
        <f>'Supply planning data'!Q41</f>
        <v>0</v>
      </c>
      <c r="P43" s="98">
        <f>'Supply planning data'!R41</f>
        <v>0</v>
      </c>
      <c r="Q43" s="98">
        <f>'Supply planning data'!S41</f>
        <v>0</v>
      </c>
      <c r="R43" s="98">
        <f>'Supply planning data'!T41</f>
        <v>0</v>
      </c>
      <c r="S43" s="98">
        <f>'Supply planning data'!U41</f>
        <v>0</v>
      </c>
      <c r="T43" s="98">
        <f>'Supply planning data'!V41</f>
        <v>0</v>
      </c>
      <c r="U43" s="325" t="str">
        <f>'Supply planning data'!W41</f>
        <v/>
      </c>
      <c r="V43" s="98">
        <f>'Supply planning data'!X41</f>
        <v>0</v>
      </c>
      <c r="W43" s="317">
        <f>'Supply planning data'!Y41</f>
        <v>0</v>
      </c>
      <c r="X43" s="328">
        <f>'Supply planning data'!Z41</f>
        <v>0</v>
      </c>
      <c r="Y43" s="98">
        <f>'Supply planning data'!AA41</f>
        <v>0</v>
      </c>
      <c r="Z43" s="98">
        <f>'Supply planning data'!AB41</f>
        <v>0</v>
      </c>
      <c r="AA43" s="98">
        <f>'Supply planning data'!AC41</f>
        <v>0</v>
      </c>
      <c r="AB43" s="98">
        <f>'Supply planning data'!AD41</f>
        <v>0</v>
      </c>
      <c r="AC43" s="98">
        <f>'Supply planning data'!AE41</f>
        <v>0</v>
      </c>
      <c r="AD43" s="325" t="str">
        <f>'Supply planning data'!AF41</f>
        <v/>
      </c>
      <c r="AE43" s="98">
        <f>'Supply planning data'!AG41</f>
        <v>0</v>
      </c>
      <c r="AF43" s="317">
        <f>'Supply planning data'!AH41</f>
        <v>0</v>
      </c>
      <c r="AG43" s="175">
        <f>'Supply planning data'!AI41</f>
        <v>0</v>
      </c>
      <c r="AH43" s="98">
        <f>'Supply planning data'!AJ41</f>
        <v>0</v>
      </c>
      <c r="AI43" s="98">
        <f>'Supply planning data'!AK41</f>
        <v>0</v>
      </c>
      <c r="AJ43" s="98">
        <f>'Supply planning data'!AL41</f>
        <v>0</v>
      </c>
      <c r="AK43" s="98">
        <f>'Supply planning data'!AM41</f>
        <v>0</v>
      </c>
      <c r="AL43" s="98">
        <f>'Supply planning data'!AN41</f>
        <v>0</v>
      </c>
      <c r="AM43" s="325" t="str">
        <f>'Supply planning data'!AO41</f>
        <v/>
      </c>
    </row>
    <row r="44" spans="1:39" hidden="1" x14ac:dyDescent="0.25">
      <c r="A44" s="90" t="str">
        <f>'Supply planning data'!C42</f>
        <v/>
      </c>
      <c r="B44" s="296">
        <f>'Supply planning data'!D42</f>
        <v>44256</v>
      </c>
      <c r="C44" s="92" t="str">
        <f>'Supply planning data'!E42</f>
        <v>No</v>
      </c>
      <c r="D44" s="92">
        <f>'Supply planning data'!F42</f>
        <v>0</v>
      </c>
      <c r="E44" s="316">
        <f>'Supply planning data'!G42</f>
        <v>0</v>
      </c>
      <c r="F44" s="317">
        <f>'Supply planning data'!H42</f>
        <v>0</v>
      </c>
      <c r="G44" s="317">
        <f>'Supply planning data'!I42</f>
        <v>0</v>
      </c>
      <c r="H44" s="98">
        <f>'Supply planning data'!J42</f>
        <v>0</v>
      </c>
      <c r="I44" s="317">
        <f>'Supply planning data'!K42</f>
        <v>0</v>
      </c>
      <c r="J44" s="175" t="str">
        <f>'Supply planning data'!L42</f>
        <v/>
      </c>
      <c r="K44" s="98">
        <f>'Supply planning data'!M42</f>
        <v>0</v>
      </c>
      <c r="L44" s="317">
        <f>'Supply planning data'!N42+'Supply planning data'!P42</f>
        <v>0</v>
      </c>
      <c r="M44" s="339">
        <f>'Supply planning data'!O42</f>
        <v>0</v>
      </c>
      <c r="N44" s="317">
        <f>'Supply planning data'!P42</f>
        <v>0</v>
      </c>
      <c r="O44" s="339">
        <f>'Supply planning data'!Q42</f>
        <v>0</v>
      </c>
      <c r="P44" s="98">
        <f>'Supply planning data'!R42</f>
        <v>0</v>
      </c>
      <c r="Q44" s="98">
        <f>'Supply planning data'!S42</f>
        <v>0</v>
      </c>
      <c r="R44" s="98">
        <f>'Supply planning data'!T42</f>
        <v>0</v>
      </c>
      <c r="S44" s="98">
        <f>'Supply planning data'!U42</f>
        <v>0</v>
      </c>
      <c r="T44" s="98">
        <f>'Supply planning data'!V42</f>
        <v>0</v>
      </c>
      <c r="U44" s="325" t="str">
        <f>'Supply planning data'!W42</f>
        <v/>
      </c>
      <c r="V44" s="98">
        <f>'Supply planning data'!X42</f>
        <v>0</v>
      </c>
      <c r="W44" s="317">
        <f>'Supply planning data'!Y42</f>
        <v>0</v>
      </c>
      <c r="X44" s="328">
        <f>'Supply planning data'!Z42</f>
        <v>0</v>
      </c>
      <c r="Y44" s="98">
        <f>'Supply planning data'!AA42</f>
        <v>0</v>
      </c>
      <c r="Z44" s="98">
        <f>'Supply planning data'!AB42</f>
        <v>0</v>
      </c>
      <c r="AA44" s="98">
        <f>'Supply planning data'!AC42</f>
        <v>0</v>
      </c>
      <c r="AB44" s="98">
        <f>'Supply planning data'!AD42</f>
        <v>0</v>
      </c>
      <c r="AC44" s="98">
        <f>'Supply planning data'!AE42</f>
        <v>0</v>
      </c>
      <c r="AD44" s="325" t="str">
        <f>'Supply planning data'!AF42</f>
        <v/>
      </c>
      <c r="AE44" s="98">
        <f>'Supply planning data'!AG42</f>
        <v>0</v>
      </c>
      <c r="AF44" s="317">
        <f>'Supply planning data'!AH42</f>
        <v>0</v>
      </c>
      <c r="AG44" s="175">
        <f>'Supply planning data'!AI42</f>
        <v>0</v>
      </c>
      <c r="AH44" s="98">
        <f>'Supply planning data'!AJ42</f>
        <v>0</v>
      </c>
      <c r="AI44" s="98">
        <f>'Supply planning data'!AK42</f>
        <v>0</v>
      </c>
      <c r="AJ44" s="98">
        <f>'Supply planning data'!AL42</f>
        <v>0</v>
      </c>
      <c r="AK44" s="98">
        <f>'Supply planning data'!AM42</f>
        <v>0</v>
      </c>
      <c r="AL44" s="98">
        <f>'Supply planning data'!AN42</f>
        <v>0</v>
      </c>
      <c r="AM44" s="325" t="str">
        <f>'Supply planning data'!AO42</f>
        <v/>
      </c>
    </row>
    <row r="45" spans="1:39" hidden="1" x14ac:dyDescent="0.25">
      <c r="A45" s="90" t="str">
        <f>'Supply planning data'!C43</f>
        <v/>
      </c>
      <c r="B45" s="296">
        <f>'Supply planning data'!D43</f>
        <v>44256</v>
      </c>
      <c r="C45" s="92" t="str">
        <f>'Supply planning data'!E43</f>
        <v>No</v>
      </c>
      <c r="D45" s="92">
        <f>'Supply planning data'!F43</f>
        <v>0</v>
      </c>
      <c r="E45" s="316">
        <f>'Supply planning data'!G43</f>
        <v>0</v>
      </c>
      <c r="F45" s="317">
        <f>'Supply planning data'!H43</f>
        <v>0</v>
      </c>
      <c r="G45" s="317">
        <f>'Supply planning data'!I43</f>
        <v>0</v>
      </c>
      <c r="H45" s="98">
        <f>'Supply planning data'!J43</f>
        <v>0</v>
      </c>
      <c r="I45" s="317">
        <f>'Supply planning data'!K43</f>
        <v>0</v>
      </c>
      <c r="J45" s="175" t="str">
        <f>'Supply planning data'!L43</f>
        <v/>
      </c>
      <c r="K45" s="98">
        <f>'Supply planning data'!M43</f>
        <v>0</v>
      </c>
      <c r="L45" s="317">
        <f>'Supply planning data'!N43+'Supply planning data'!P43</f>
        <v>0</v>
      </c>
      <c r="M45" s="339">
        <f>'Supply planning data'!O43</f>
        <v>0</v>
      </c>
      <c r="N45" s="317">
        <f>'Supply planning data'!P43</f>
        <v>0</v>
      </c>
      <c r="O45" s="339">
        <f>'Supply planning data'!Q43</f>
        <v>0</v>
      </c>
      <c r="P45" s="98">
        <f>'Supply planning data'!R43</f>
        <v>0</v>
      </c>
      <c r="Q45" s="98">
        <f>'Supply planning data'!S43</f>
        <v>0</v>
      </c>
      <c r="R45" s="98">
        <f>'Supply planning data'!T43</f>
        <v>0</v>
      </c>
      <c r="S45" s="98">
        <f>'Supply planning data'!U43</f>
        <v>0</v>
      </c>
      <c r="T45" s="98">
        <f>'Supply planning data'!V43</f>
        <v>0</v>
      </c>
      <c r="U45" s="325" t="str">
        <f>'Supply planning data'!W43</f>
        <v/>
      </c>
      <c r="V45" s="98">
        <f>'Supply planning data'!X43</f>
        <v>0</v>
      </c>
      <c r="W45" s="317">
        <f>'Supply planning data'!Y43</f>
        <v>0</v>
      </c>
      <c r="X45" s="328">
        <f>'Supply planning data'!Z43</f>
        <v>0</v>
      </c>
      <c r="Y45" s="98">
        <f>'Supply planning data'!AA43</f>
        <v>0</v>
      </c>
      <c r="Z45" s="98">
        <f>'Supply planning data'!AB43</f>
        <v>0</v>
      </c>
      <c r="AA45" s="98">
        <f>'Supply planning data'!AC43</f>
        <v>0</v>
      </c>
      <c r="AB45" s="98">
        <f>'Supply planning data'!AD43</f>
        <v>0</v>
      </c>
      <c r="AC45" s="98">
        <f>'Supply planning data'!AE43</f>
        <v>0</v>
      </c>
      <c r="AD45" s="325" t="str">
        <f>'Supply planning data'!AF43</f>
        <v/>
      </c>
      <c r="AE45" s="98">
        <f>'Supply planning data'!AG43</f>
        <v>0</v>
      </c>
      <c r="AF45" s="317">
        <f>'Supply planning data'!AH43</f>
        <v>0</v>
      </c>
      <c r="AG45" s="175">
        <f>'Supply planning data'!AI43</f>
        <v>0</v>
      </c>
      <c r="AH45" s="98">
        <f>'Supply planning data'!AJ43</f>
        <v>0</v>
      </c>
      <c r="AI45" s="98">
        <f>'Supply planning data'!AK43</f>
        <v>0</v>
      </c>
      <c r="AJ45" s="98">
        <f>'Supply planning data'!AL43</f>
        <v>0</v>
      </c>
      <c r="AK45" s="98">
        <f>'Supply planning data'!AM43</f>
        <v>0</v>
      </c>
      <c r="AL45" s="98">
        <f>'Supply planning data'!AN43</f>
        <v>0</v>
      </c>
      <c r="AM45" s="325" t="str">
        <f>'Supply planning data'!AO43</f>
        <v/>
      </c>
    </row>
    <row r="46" spans="1:39" hidden="1" x14ac:dyDescent="0.25">
      <c r="A46" s="90" t="str">
        <f>'Supply planning data'!C44</f>
        <v/>
      </c>
      <c r="B46" s="296">
        <f>'Supply planning data'!D44</f>
        <v>44256</v>
      </c>
      <c r="C46" s="92" t="str">
        <f>'Supply planning data'!E44</f>
        <v>No</v>
      </c>
      <c r="D46" s="92">
        <f>'Supply planning data'!F44</f>
        <v>0</v>
      </c>
      <c r="E46" s="316">
        <f>'Supply planning data'!G44</f>
        <v>0</v>
      </c>
      <c r="F46" s="317">
        <f>'Supply planning data'!H44</f>
        <v>0</v>
      </c>
      <c r="G46" s="317">
        <f>'Supply planning data'!I44</f>
        <v>0</v>
      </c>
      <c r="H46" s="98">
        <f>'Supply planning data'!J44</f>
        <v>0</v>
      </c>
      <c r="I46" s="317">
        <f>'Supply planning data'!K44</f>
        <v>0</v>
      </c>
      <c r="J46" s="175" t="str">
        <f>'Supply planning data'!L44</f>
        <v/>
      </c>
      <c r="K46" s="98">
        <f>'Supply planning data'!M44</f>
        <v>0</v>
      </c>
      <c r="L46" s="317">
        <f>'Supply planning data'!N44+'Supply planning data'!P44</f>
        <v>0</v>
      </c>
      <c r="M46" s="339">
        <f>'Supply planning data'!O44</f>
        <v>0</v>
      </c>
      <c r="N46" s="317">
        <f>'Supply planning data'!P44</f>
        <v>0</v>
      </c>
      <c r="O46" s="339">
        <f>'Supply planning data'!Q44</f>
        <v>0</v>
      </c>
      <c r="P46" s="98">
        <f>'Supply planning data'!R44</f>
        <v>0</v>
      </c>
      <c r="Q46" s="98">
        <f>'Supply planning data'!S44</f>
        <v>0</v>
      </c>
      <c r="R46" s="98">
        <f>'Supply planning data'!T44</f>
        <v>0</v>
      </c>
      <c r="S46" s="98">
        <f>'Supply planning data'!U44</f>
        <v>0</v>
      </c>
      <c r="T46" s="98">
        <f>'Supply planning data'!V44</f>
        <v>0</v>
      </c>
      <c r="U46" s="325" t="str">
        <f>'Supply planning data'!W44</f>
        <v/>
      </c>
      <c r="V46" s="98">
        <f>'Supply planning data'!X44</f>
        <v>0</v>
      </c>
      <c r="W46" s="317">
        <f>'Supply planning data'!Y44</f>
        <v>0</v>
      </c>
      <c r="X46" s="328">
        <f>'Supply planning data'!Z44</f>
        <v>0</v>
      </c>
      <c r="Y46" s="98">
        <f>'Supply planning data'!AA44</f>
        <v>0</v>
      </c>
      <c r="Z46" s="98">
        <f>'Supply planning data'!AB44</f>
        <v>0</v>
      </c>
      <c r="AA46" s="98">
        <f>'Supply planning data'!AC44</f>
        <v>0</v>
      </c>
      <c r="AB46" s="98">
        <f>'Supply planning data'!AD44</f>
        <v>0</v>
      </c>
      <c r="AC46" s="98">
        <f>'Supply planning data'!AE44</f>
        <v>0</v>
      </c>
      <c r="AD46" s="325" t="str">
        <f>'Supply planning data'!AF44</f>
        <v/>
      </c>
      <c r="AE46" s="98">
        <f>'Supply planning data'!AG44</f>
        <v>0</v>
      </c>
      <c r="AF46" s="317">
        <f>'Supply planning data'!AH44</f>
        <v>0</v>
      </c>
      <c r="AG46" s="175">
        <f>'Supply planning data'!AI44</f>
        <v>0</v>
      </c>
      <c r="AH46" s="98">
        <f>'Supply planning data'!AJ44</f>
        <v>0</v>
      </c>
      <c r="AI46" s="98">
        <f>'Supply planning data'!AK44</f>
        <v>0</v>
      </c>
      <c r="AJ46" s="98">
        <f>'Supply planning data'!AL44</f>
        <v>0</v>
      </c>
      <c r="AK46" s="98">
        <f>'Supply planning data'!AM44</f>
        <v>0</v>
      </c>
      <c r="AL46" s="98">
        <f>'Supply planning data'!AN44</f>
        <v>0</v>
      </c>
      <c r="AM46" s="325" t="str">
        <f>'Supply planning data'!AO44</f>
        <v/>
      </c>
    </row>
    <row r="47" spans="1:39" hidden="1" x14ac:dyDescent="0.25">
      <c r="A47" s="90" t="str">
        <f>'Supply planning data'!C45</f>
        <v/>
      </c>
      <c r="B47" s="296">
        <f>'Supply planning data'!D45</f>
        <v>44256</v>
      </c>
      <c r="C47" s="92" t="str">
        <f>'Supply planning data'!E45</f>
        <v>No</v>
      </c>
      <c r="D47" s="92">
        <f>'Supply planning data'!F45</f>
        <v>0</v>
      </c>
      <c r="E47" s="316">
        <f>'Supply planning data'!G45</f>
        <v>0</v>
      </c>
      <c r="F47" s="317">
        <f>'Supply planning data'!H45</f>
        <v>0</v>
      </c>
      <c r="G47" s="317">
        <f>'Supply planning data'!I45</f>
        <v>0</v>
      </c>
      <c r="H47" s="98">
        <f>'Supply planning data'!J45</f>
        <v>0</v>
      </c>
      <c r="I47" s="317">
        <f>'Supply planning data'!K45</f>
        <v>0</v>
      </c>
      <c r="J47" s="175" t="str">
        <f>'Supply planning data'!L45</f>
        <v/>
      </c>
      <c r="K47" s="98">
        <f>'Supply planning data'!M45</f>
        <v>0</v>
      </c>
      <c r="L47" s="317">
        <f>'Supply planning data'!N45+'Supply planning data'!P45</f>
        <v>0</v>
      </c>
      <c r="M47" s="339">
        <f>'Supply planning data'!O45</f>
        <v>0</v>
      </c>
      <c r="N47" s="317">
        <f>'Supply planning data'!P45</f>
        <v>0</v>
      </c>
      <c r="O47" s="339">
        <f>'Supply planning data'!Q45</f>
        <v>0</v>
      </c>
      <c r="P47" s="98">
        <f>'Supply planning data'!R45</f>
        <v>0</v>
      </c>
      <c r="Q47" s="98">
        <f>'Supply planning data'!S45</f>
        <v>0</v>
      </c>
      <c r="R47" s="98">
        <f>'Supply planning data'!T45</f>
        <v>0</v>
      </c>
      <c r="S47" s="98">
        <f>'Supply planning data'!U45</f>
        <v>0</v>
      </c>
      <c r="T47" s="98">
        <f>'Supply planning data'!V45</f>
        <v>0</v>
      </c>
      <c r="U47" s="325" t="str">
        <f>'Supply planning data'!W45</f>
        <v/>
      </c>
      <c r="V47" s="98">
        <f>'Supply planning data'!X45</f>
        <v>0</v>
      </c>
      <c r="W47" s="317">
        <f>'Supply planning data'!Y45</f>
        <v>0</v>
      </c>
      <c r="X47" s="328">
        <f>'Supply planning data'!Z45</f>
        <v>0</v>
      </c>
      <c r="Y47" s="98">
        <f>'Supply planning data'!AA45</f>
        <v>0</v>
      </c>
      <c r="Z47" s="98">
        <f>'Supply planning data'!AB45</f>
        <v>0</v>
      </c>
      <c r="AA47" s="98">
        <f>'Supply planning data'!AC45</f>
        <v>0</v>
      </c>
      <c r="AB47" s="98">
        <f>'Supply planning data'!AD45</f>
        <v>0</v>
      </c>
      <c r="AC47" s="98">
        <f>'Supply planning data'!AE45</f>
        <v>0</v>
      </c>
      <c r="AD47" s="325" t="str">
        <f>'Supply planning data'!AF45</f>
        <v/>
      </c>
      <c r="AE47" s="98">
        <f>'Supply planning data'!AG45</f>
        <v>0</v>
      </c>
      <c r="AF47" s="317">
        <f>'Supply planning data'!AH45</f>
        <v>0</v>
      </c>
      <c r="AG47" s="175">
        <f>'Supply planning data'!AI45</f>
        <v>0</v>
      </c>
      <c r="AH47" s="98">
        <f>'Supply planning data'!AJ45</f>
        <v>0</v>
      </c>
      <c r="AI47" s="98">
        <f>'Supply planning data'!AK45</f>
        <v>0</v>
      </c>
      <c r="AJ47" s="98">
        <f>'Supply planning data'!AL45</f>
        <v>0</v>
      </c>
      <c r="AK47" s="98">
        <f>'Supply planning data'!AM45</f>
        <v>0</v>
      </c>
      <c r="AL47" s="98">
        <f>'Supply planning data'!AN45</f>
        <v>0</v>
      </c>
      <c r="AM47" s="325" t="str">
        <f>'Supply planning data'!AO45</f>
        <v/>
      </c>
    </row>
    <row r="48" spans="1:39" hidden="1" x14ac:dyDescent="0.25">
      <c r="A48" s="90" t="str">
        <f>'Supply planning data'!C46</f>
        <v/>
      </c>
      <c r="B48" s="296">
        <f>'Supply planning data'!D46</f>
        <v>44256</v>
      </c>
      <c r="C48" s="92" t="str">
        <f>'Supply planning data'!E46</f>
        <v>No</v>
      </c>
      <c r="D48" s="92">
        <f>'Supply planning data'!F46</f>
        <v>0</v>
      </c>
      <c r="E48" s="316">
        <f>'Supply planning data'!G46</f>
        <v>0</v>
      </c>
      <c r="F48" s="317">
        <f>'Supply planning data'!H46</f>
        <v>0</v>
      </c>
      <c r="G48" s="317">
        <f>'Supply planning data'!I46</f>
        <v>0</v>
      </c>
      <c r="H48" s="98">
        <f>'Supply planning data'!J46</f>
        <v>0</v>
      </c>
      <c r="I48" s="317">
        <f>'Supply planning data'!K46</f>
        <v>0</v>
      </c>
      <c r="J48" s="175" t="str">
        <f>'Supply planning data'!L46</f>
        <v/>
      </c>
      <c r="K48" s="98">
        <f>'Supply planning data'!M46</f>
        <v>0</v>
      </c>
      <c r="L48" s="317">
        <f>'Supply planning data'!N46+'Supply planning data'!P46</f>
        <v>0</v>
      </c>
      <c r="M48" s="339">
        <f>'Supply planning data'!O46</f>
        <v>0</v>
      </c>
      <c r="N48" s="317">
        <f>'Supply planning data'!P46</f>
        <v>0</v>
      </c>
      <c r="O48" s="339">
        <f>'Supply planning data'!Q46</f>
        <v>0</v>
      </c>
      <c r="P48" s="98">
        <f>'Supply planning data'!R46</f>
        <v>0</v>
      </c>
      <c r="Q48" s="98">
        <f>'Supply planning data'!S46</f>
        <v>0</v>
      </c>
      <c r="R48" s="98">
        <f>'Supply planning data'!T46</f>
        <v>0</v>
      </c>
      <c r="S48" s="98">
        <f>'Supply planning data'!U46</f>
        <v>0</v>
      </c>
      <c r="T48" s="98">
        <f>'Supply planning data'!V46</f>
        <v>0</v>
      </c>
      <c r="U48" s="325" t="str">
        <f>'Supply planning data'!W46</f>
        <v/>
      </c>
      <c r="V48" s="98">
        <f>'Supply planning data'!X46</f>
        <v>0</v>
      </c>
      <c r="W48" s="317">
        <f>'Supply planning data'!Y46</f>
        <v>0</v>
      </c>
      <c r="X48" s="328">
        <f>'Supply planning data'!Z46</f>
        <v>0</v>
      </c>
      <c r="Y48" s="98">
        <f>'Supply planning data'!AA46</f>
        <v>0</v>
      </c>
      <c r="Z48" s="98">
        <f>'Supply planning data'!AB46</f>
        <v>0</v>
      </c>
      <c r="AA48" s="98">
        <f>'Supply planning data'!AC46</f>
        <v>0</v>
      </c>
      <c r="AB48" s="98">
        <f>'Supply planning data'!AD46</f>
        <v>0</v>
      </c>
      <c r="AC48" s="98">
        <f>'Supply planning data'!AE46</f>
        <v>0</v>
      </c>
      <c r="AD48" s="325" t="str">
        <f>'Supply planning data'!AF46</f>
        <v/>
      </c>
      <c r="AE48" s="98">
        <f>'Supply planning data'!AG46</f>
        <v>0</v>
      </c>
      <c r="AF48" s="317">
        <f>'Supply planning data'!AH46</f>
        <v>0</v>
      </c>
      <c r="AG48" s="175">
        <f>'Supply planning data'!AI46</f>
        <v>0</v>
      </c>
      <c r="AH48" s="98">
        <f>'Supply planning data'!AJ46</f>
        <v>0</v>
      </c>
      <c r="AI48" s="98">
        <f>'Supply planning data'!AK46</f>
        <v>0</v>
      </c>
      <c r="AJ48" s="98">
        <f>'Supply planning data'!AL46</f>
        <v>0</v>
      </c>
      <c r="AK48" s="98">
        <f>'Supply planning data'!AM46</f>
        <v>0</v>
      </c>
      <c r="AL48" s="98">
        <f>'Supply planning data'!AN46</f>
        <v>0</v>
      </c>
      <c r="AM48" s="325" t="str">
        <f>'Supply planning data'!AO46</f>
        <v/>
      </c>
    </row>
    <row r="49" spans="1:39" hidden="1" x14ac:dyDescent="0.25">
      <c r="A49" s="90" t="str">
        <f>'Supply planning data'!C47</f>
        <v/>
      </c>
      <c r="B49" s="296">
        <f>'Supply planning data'!D47</f>
        <v>44256</v>
      </c>
      <c r="C49" s="92" t="str">
        <f>'Supply planning data'!E47</f>
        <v>No</v>
      </c>
      <c r="D49" s="92">
        <f>'Supply planning data'!F47</f>
        <v>0</v>
      </c>
      <c r="E49" s="316">
        <f>'Supply planning data'!G47</f>
        <v>0</v>
      </c>
      <c r="F49" s="317">
        <f>'Supply planning data'!H47</f>
        <v>0</v>
      </c>
      <c r="G49" s="317">
        <f>'Supply planning data'!I47</f>
        <v>0</v>
      </c>
      <c r="H49" s="98">
        <f>'Supply planning data'!J47</f>
        <v>0</v>
      </c>
      <c r="I49" s="317">
        <f>'Supply planning data'!K47</f>
        <v>0</v>
      </c>
      <c r="J49" s="175" t="str">
        <f>'Supply planning data'!L47</f>
        <v/>
      </c>
      <c r="K49" s="98">
        <f>'Supply planning data'!M47</f>
        <v>0</v>
      </c>
      <c r="L49" s="317">
        <f>'Supply planning data'!N47+'Supply planning data'!P47</f>
        <v>0</v>
      </c>
      <c r="M49" s="339">
        <f>'Supply planning data'!O47</f>
        <v>0</v>
      </c>
      <c r="N49" s="317">
        <f>'Supply planning data'!P47</f>
        <v>0</v>
      </c>
      <c r="O49" s="339">
        <f>'Supply planning data'!Q47</f>
        <v>0</v>
      </c>
      <c r="P49" s="98">
        <f>'Supply planning data'!R47</f>
        <v>0</v>
      </c>
      <c r="Q49" s="98">
        <f>'Supply planning data'!S47</f>
        <v>0</v>
      </c>
      <c r="R49" s="98">
        <f>'Supply planning data'!T47</f>
        <v>0</v>
      </c>
      <c r="S49" s="98">
        <f>'Supply planning data'!U47</f>
        <v>0</v>
      </c>
      <c r="T49" s="98">
        <f>'Supply planning data'!V47</f>
        <v>0</v>
      </c>
      <c r="U49" s="325" t="str">
        <f>'Supply planning data'!W47</f>
        <v/>
      </c>
      <c r="V49" s="98">
        <f>'Supply planning data'!X47</f>
        <v>0</v>
      </c>
      <c r="W49" s="317">
        <f>'Supply planning data'!Y47</f>
        <v>0</v>
      </c>
      <c r="X49" s="328">
        <f>'Supply planning data'!Z47</f>
        <v>0</v>
      </c>
      <c r="Y49" s="98">
        <f>'Supply planning data'!AA47</f>
        <v>0</v>
      </c>
      <c r="Z49" s="98">
        <f>'Supply planning data'!AB47</f>
        <v>0</v>
      </c>
      <c r="AA49" s="98">
        <f>'Supply planning data'!AC47</f>
        <v>0</v>
      </c>
      <c r="AB49" s="98">
        <f>'Supply planning data'!AD47</f>
        <v>0</v>
      </c>
      <c r="AC49" s="98">
        <f>'Supply planning data'!AE47</f>
        <v>0</v>
      </c>
      <c r="AD49" s="325" t="str">
        <f>'Supply planning data'!AF47</f>
        <v/>
      </c>
      <c r="AE49" s="98">
        <f>'Supply planning data'!AG47</f>
        <v>0</v>
      </c>
      <c r="AF49" s="317">
        <f>'Supply planning data'!AH47</f>
        <v>0</v>
      </c>
      <c r="AG49" s="175">
        <f>'Supply planning data'!AI47</f>
        <v>0</v>
      </c>
      <c r="AH49" s="98">
        <f>'Supply planning data'!AJ47</f>
        <v>0</v>
      </c>
      <c r="AI49" s="98">
        <f>'Supply planning data'!AK47</f>
        <v>0</v>
      </c>
      <c r="AJ49" s="98">
        <f>'Supply planning data'!AL47</f>
        <v>0</v>
      </c>
      <c r="AK49" s="98">
        <f>'Supply planning data'!AM47</f>
        <v>0</v>
      </c>
      <c r="AL49" s="98">
        <f>'Supply planning data'!AN47</f>
        <v>0</v>
      </c>
      <c r="AM49" s="325" t="str">
        <f>'Supply planning data'!AO47</f>
        <v/>
      </c>
    </row>
    <row r="50" spans="1:39" hidden="1" x14ac:dyDescent="0.25">
      <c r="A50" s="90" t="str">
        <f>'Supply planning data'!C48</f>
        <v/>
      </c>
      <c r="B50" s="296">
        <f>'Supply planning data'!D48</f>
        <v>44256</v>
      </c>
      <c r="C50" s="92" t="str">
        <f>'Supply planning data'!E48</f>
        <v>No</v>
      </c>
      <c r="D50" s="92">
        <f>'Supply planning data'!F48</f>
        <v>0</v>
      </c>
      <c r="E50" s="316">
        <f>'Supply planning data'!G48</f>
        <v>0</v>
      </c>
      <c r="F50" s="317">
        <f>'Supply planning data'!H48</f>
        <v>0</v>
      </c>
      <c r="G50" s="317">
        <f>'Supply planning data'!I48</f>
        <v>0</v>
      </c>
      <c r="H50" s="98">
        <f>'Supply planning data'!J48</f>
        <v>0</v>
      </c>
      <c r="I50" s="317">
        <f>'Supply planning data'!K48</f>
        <v>0</v>
      </c>
      <c r="J50" s="175" t="str">
        <f>'Supply planning data'!L48</f>
        <v/>
      </c>
      <c r="K50" s="98">
        <f>'Supply planning data'!M48</f>
        <v>0</v>
      </c>
      <c r="L50" s="317">
        <f>'Supply planning data'!N48+'Supply planning data'!P48</f>
        <v>0</v>
      </c>
      <c r="M50" s="339">
        <f>'Supply planning data'!O48</f>
        <v>0</v>
      </c>
      <c r="N50" s="317">
        <f>'Supply planning data'!P48</f>
        <v>0</v>
      </c>
      <c r="O50" s="339">
        <f>'Supply planning data'!Q48</f>
        <v>0</v>
      </c>
      <c r="P50" s="98">
        <f>'Supply planning data'!R48</f>
        <v>0</v>
      </c>
      <c r="Q50" s="98">
        <f>'Supply planning data'!S48</f>
        <v>0</v>
      </c>
      <c r="R50" s="98">
        <f>'Supply planning data'!T48</f>
        <v>0</v>
      </c>
      <c r="S50" s="98">
        <f>'Supply planning data'!U48</f>
        <v>0</v>
      </c>
      <c r="T50" s="98">
        <f>'Supply planning data'!V48</f>
        <v>0</v>
      </c>
      <c r="U50" s="325" t="str">
        <f>'Supply planning data'!W48</f>
        <v/>
      </c>
      <c r="V50" s="98">
        <f>'Supply planning data'!X48</f>
        <v>0</v>
      </c>
      <c r="W50" s="317">
        <f>'Supply planning data'!Y48</f>
        <v>0</v>
      </c>
      <c r="X50" s="328">
        <f>'Supply planning data'!Z48</f>
        <v>0</v>
      </c>
      <c r="Y50" s="98">
        <f>'Supply planning data'!AA48</f>
        <v>0</v>
      </c>
      <c r="Z50" s="98">
        <f>'Supply planning data'!AB48</f>
        <v>0</v>
      </c>
      <c r="AA50" s="98">
        <f>'Supply planning data'!AC48</f>
        <v>0</v>
      </c>
      <c r="AB50" s="98">
        <f>'Supply planning data'!AD48</f>
        <v>0</v>
      </c>
      <c r="AC50" s="98">
        <f>'Supply planning data'!AE48</f>
        <v>0</v>
      </c>
      <c r="AD50" s="325" t="str">
        <f>'Supply planning data'!AF48</f>
        <v/>
      </c>
      <c r="AE50" s="98">
        <f>'Supply planning data'!AG48</f>
        <v>0</v>
      </c>
      <c r="AF50" s="317">
        <f>'Supply planning data'!AH48</f>
        <v>0</v>
      </c>
      <c r="AG50" s="175">
        <f>'Supply planning data'!AI48</f>
        <v>0</v>
      </c>
      <c r="AH50" s="98">
        <f>'Supply planning data'!AJ48</f>
        <v>0</v>
      </c>
      <c r="AI50" s="98">
        <f>'Supply planning data'!AK48</f>
        <v>0</v>
      </c>
      <c r="AJ50" s="98">
        <f>'Supply planning data'!AL48</f>
        <v>0</v>
      </c>
      <c r="AK50" s="98">
        <f>'Supply planning data'!AM48</f>
        <v>0</v>
      </c>
      <c r="AL50" s="98">
        <f>'Supply planning data'!AN48</f>
        <v>0</v>
      </c>
      <c r="AM50" s="325" t="str">
        <f>'Supply planning data'!AO48</f>
        <v/>
      </c>
    </row>
    <row r="51" spans="1:39" hidden="1" x14ac:dyDescent="0.25">
      <c r="A51" s="90" t="str">
        <f>'Supply planning data'!C49</f>
        <v/>
      </c>
      <c r="B51" s="296">
        <f>'Supply planning data'!D49</f>
        <v>44256</v>
      </c>
      <c r="C51" s="92" t="str">
        <f>'Supply planning data'!E49</f>
        <v>No</v>
      </c>
      <c r="D51" s="92">
        <f>'Supply planning data'!F49</f>
        <v>0</v>
      </c>
      <c r="E51" s="316">
        <f>'Supply planning data'!G49</f>
        <v>0</v>
      </c>
      <c r="F51" s="317">
        <f>'Supply planning data'!H49</f>
        <v>0</v>
      </c>
      <c r="G51" s="317">
        <f>'Supply planning data'!I49</f>
        <v>0</v>
      </c>
      <c r="H51" s="98">
        <f>'Supply planning data'!J49</f>
        <v>0</v>
      </c>
      <c r="I51" s="317">
        <f>'Supply planning data'!K49</f>
        <v>0</v>
      </c>
      <c r="J51" s="175" t="str">
        <f>'Supply planning data'!L49</f>
        <v/>
      </c>
      <c r="K51" s="98">
        <f>'Supply planning data'!M49</f>
        <v>0</v>
      </c>
      <c r="L51" s="317">
        <f>'Supply planning data'!N49+'Supply planning data'!P49</f>
        <v>0</v>
      </c>
      <c r="M51" s="339">
        <f>'Supply planning data'!O49</f>
        <v>0</v>
      </c>
      <c r="N51" s="317">
        <f>'Supply planning data'!P49</f>
        <v>0</v>
      </c>
      <c r="O51" s="339">
        <f>'Supply planning data'!Q49</f>
        <v>0</v>
      </c>
      <c r="P51" s="98">
        <f>'Supply planning data'!R49</f>
        <v>0</v>
      </c>
      <c r="Q51" s="98">
        <f>'Supply planning data'!S49</f>
        <v>0</v>
      </c>
      <c r="R51" s="98">
        <f>'Supply planning data'!T49</f>
        <v>0</v>
      </c>
      <c r="S51" s="98">
        <f>'Supply planning data'!U49</f>
        <v>0</v>
      </c>
      <c r="T51" s="98">
        <f>'Supply planning data'!V49</f>
        <v>0</v>
      </c>
      <c r="U51" s="325" t="str">
        <f>'Supply planning data'!W49</f>
        <v/>
      </c>
      <c r="V51" s="98">
        <f>'Supply planning data'!X49</f>
        <v>0</v>
      </c>
      <c r="W51" s="317">
        <f>'Supply planning data'!Y49</f>
        <v>0</v>
      </c>
      <c r="X51" s="328">
        <f>'Supply planning data'!Z49</f>
        <v>0</v>
      </c>
      <c r="Y51" s="98">
        <f>'Supply planning data'!AA49</f>
        <v>0</v>
      </c>
      <c r="Z51" s="98">
        <f>'Supply planning data'!AB49</f>
        <v>0</v>
      </c>
      <c r="AA51" s="98">
        <f>'Supply planning data'!AC49</f>
        <v>0</v>
      </c>
      <c r="AB51" s="98">
        <f>'Supply planning data'!AD49</f>
        <v>0</v>
      </c>
      <c r="AC51" s="98">
        <f>'Supply planning data'!AE49</f>
        <v>0</v>
      </c>
      <c r="AD51" s="325" t="str">
        <f>'Supply planning data'!AF49</f>
        <v/>
      </c>
      <c r="AE51" s="98">
        <f>'Supply planning data'!AG49</f>
        <v>0</v>
      </c>
      <c r="AF51" s="317">
        <f>'Supply planning data'!AH49</f>
        <v>0</v>
      </c>
      <c r="AG51" s="175">
        <f>'Supply planning data'!AI49</f>
        <v>0</v>
      </c>
      <c r="AH51" s="98">
        <f>'Supply planning data'!AJ49</f>
        <v>0</v>
      </c>
      <c r="AI51" s="98">
        <f>'Supply planning data'!AK49</f>
        <v>0</v>
      </c>
      <c r="AJ51" s="98">
        <f>'Supply planning data'!AL49</f>
        <v>0</v>
      </c>
      <c r="AK51" s="98">
        <f>'Supply planning data'!AM49</f>
        <v>0</v>
      </c>
      <c r="AL51" s="98">
        <f>'Supply planning data'!AN49</f>
        <v>0</v>
      </c>
      <c r="AM51" s="325" t="str">
        <f>'Supply planning data'!AO49</f>
        <v/>
      </c>
    </row>
    <row r="52" spans="1:39" x14ac:dyDescent="0.25">
      <c r="A52" s="104" t="str">
        <f>'Supply planning data'!C50</f>
        <v>AstraZeneca</v>
      </c>
      <c r="B52" s="298">
        <f>'Supply planning data'!D50</f>
        <v>44287</v>
      </c>
      <c r="C52" s="105" t="str">
        <f>'Supply planning data'!E50</f>
        <v>Yes</v>
      </c>
      <c r="D52" s="105">
        <f>'Supply planning data'!F50</f>
        <v>35000</v>
      </c>
      <c r="E52" s="320">
        <f>'Supply planning data'!G50</f>
        <v>0</v>
      </c>
      <c r="F52" s="320">
        <f>'Supply planning data'!H50</f>
        <v>0</v>
      </c>
      <c r="G52" s="320">
        <f>'Supply planning data'!I50</f>
        <v>0</v>
      </c>
      <c r="H52" s="105">
        <f>'Supply planning data'!J50</f>
        <v>0</v>
      </c>
      <c r="I52" s="320">
        <f>'Supply planning data'!K50</f>
        <v>0</v>
      </c>
      <c r="J52" s="177" t="str">
        <f>'Supply planning data'!L50</f>
        <v/>
      </c>
      <c r="K52" s="105">
        <f>'Supply planning data'!M50</f>
        <v>0</v>
      </c>
      <c r="L52" s="320">
        <f>'Supply planning data'!N50+'Supply planning data'!P50</f>
        <v>0</v>
      </c>
      <c r="M52" s="341">
        <f>'Supply planning data'!O50</f>
        <v>0</v>
      </c>
      <c r="N52" s="320">
        <f>'Supply planning data'!P50</f>
        <v>0</v>
      </c>
      <c r="O52" s="341">
        <f>'Supply planning data'!Q50</f>
        <v>0</v>
      </c>
      <c r="P52" s="105">
        <f>'Supply planning data'!R50</f>
        <v>355300</v>
      </c>
      <c r="Q52" s="105">
        <f>'Supply planning data'!S50</f>
        <v>0</v>
      </c>
      <c r="R52" s="105">
        <f>'Supply planning data'!T50</f>
        <v>0</v>
      </c>
      <c r="S52" s="105">
        <f>'Supply planning data'!U50</f>
        <v>0</v>
      </c>
      <c r="T52" s="105">
        <f>'Supply planning data'!V50</f>
        <v>390300</v>
      </c>
      <c r="U52" s="326" t="str">
        <f>'Supply planning data'!W50</f>
        <v/>
      </c>
      <c r="V52" s="105">
        <f>'Supply planning data'!X50</f>
        <v>35000</v>
      </c>
      <c r="W52" s="320">
        <f>'Supply planning data'!Y50</f>
        <v>0</v>
      </c>
      <c r="X52" s="329">
        <f>'Supply planning data'!Z50</f>
        <v>0</v>
      </c>
      <c r="Y52" s="105">
        <f>'Supply planning data'!AA50</f>
        <v>0</v>
      </c>
      <c r="Z52" s="105">
        <f>'Supply planning data'!AB50</f>
        <v>0</v>
      </c>
      <c r="AA52" s="105">
        <f>'Supply planning data'!AC50</f>
        <v>0</v>
      </c>
      <c r="AB52" s="105">
        <f>'Supply planning data'!AD50</f>
        <v>0</v>
      </c>
      <c r="AC52" s="105">
        <f>'Supply planning data'!AE50</f>
        <v>390300</v>
      </c>
      <c r="AD52" s="326" t="str">
        <f>'Supply planning data'!AF50</f>
        <v/>
      </c>
      <c r="AE52" s="105">
        <f>'Supply planning data'!AG50</f>
        <v>35000</v>
      </c>
      <c r="AF52" s="320">
        <f>'Supply planning data'!AH50</f>
        <v>0</v>
      </c>
      <c r="AG52" s="177">
        <f>'Supply planning data'!AI50</f>
        <v>0</v>
      </c>
      <c r="AH52" s="105">
        <f>'Supply planning data'!AJ50</f>
        <v>0</v>
      </c>
      <c r="AI52" s="105">
        <f>'Supply planning data'!AK50</f>
        <v>0</v>
      </c>
      <c r="AJ52" s="105">
        <f>'Supply planning data'!AL50</f>
        <v>0</v>
      </c>
      <c r="AK52" s="105">
        <f>'Supply planning data'!AM50</f>
        <v>0</v>
      </c>
      <c r="AL52" s="105">
        <f>'Supply planning data'!AN50</f>
        <v>390300</v>
      </c>
      <c r="AM52" s="326" t="str">
        <f>'Supply planning data'!AO50</f>
        <v/>
      </c>
    </row>
    <row r="53" spans="1:39" x14ac:dyDescent="0.25">
      <c r="A53" s="109" t="str">
        <f>'Supply planning data'!C51</f>
        <v>Jansen</v>
      </c>
      <c r="B53" s="298">
        <f>'Supply planning data'!D51</f>
        <v>44287</v>
      </c>
      <c r="C53" s="105" t="str">
        <f>'Supply planning data'!E51</f>
        <v>Yes</v>
      </c>
      <c r="D53" s="105">
        <f>'Supply planning data'!F51</f>
        <v>0</v>
      </c>
      <c r="E53" s="320">
        <f>'Supply planning data'!G51</f>
        <v>0</v>
      </c>
      <c r="F53" s="320">
        <f>'Supply planning data'!H51</f>
        <v>0</v>
      </c>
      <c r="G53" s="320">
        <f>'Supply planning data'!I51</f>
        <v>0</v>
      </c>
      <c r="H53" s="105">
        <f>'Supply planning data'!J51</f>
        <v>0</v>
      </c>
      <c r="I53" s="320">
        <f>'Supply planning data'!K51</f>
        <v>0</v>
      </c>
      <c r="J53" s="177" t="str">
        <f>'Supply planning data'!L51</f>
        <v/>
      </c>
      <c r="K53" s="105">
        <f>'Supply planning data'!M51</f>
        <v>0</v>
      </c>
      <c r="L53" s="321">
        <f>'Supply planning data'!N51+'Supply planning data'!P51</f>
        <v>0</v>
      </c>
      <c r="M53" s="342">
        <f>'Supply planning data'!O51</f>
        <v>0</v>
      </c>
      <c r="N53" s="321">
        <f>'Supply planning data'!P51</f>
        <v>0</v>
      </c>
      <c r="O53" s="342">
        <f>'Supply planning data'!Q51</f>
        <v>0</v>
      </c>
      <c r="P53" s="111">
        <f>'Supply planning data'!R51</f>
        <v>0</v>
      </c>
      <c r="Q53" s="111">
        <f>'Supply planning data'!S51</f>
        <v>0</v>
      </c>
      <c r="R53" s="111">
        <f>'Supply planning data'!T51</f>
        <v>0</v>
      </c>
      <c r="S53" s="111">
        <f>'Supply planning data'!U51</f>
        <v>0</v>
      </c>
      <c r="T53" s="111">
        <f>'Supply planning data'!V51</f>
        <v>0</v>
      </c>
      <c r="U53" s="327" t="str">
        <f>'Supply planning data'!W51</f>
        <v/>
      </c>
      <c r="V53" s="111">
        <f>'Supply planning data'!X51</f>
        <v>0</v>
      </c>
      <c r="W53" s="321">
        <f>'Supply planning data'!Y51</f>
        <v>0</v>
      </c>
      <c r="X53" s="329">
        <f>'Supply planning data'!Z51</f>
        <v>0</v>
      </c>
      <c r="Y53" s="111">
        <f>'Supply planning data'!AA51</f>
        <v>0</v>
      </c>
      <c r="Z53" s="111">
        <f>'Supply planning data'!AB51</f>
        <v>0</v>
      </c>
      <c r="AA53" s="111">
        <f>'Supply planning data'!AC51</f>
        <v>0</v>
      </c>
      <c r="AB53" s="111">
        <f>'Supply planning data'!AD51</f>
        <v>0</v>
      </c>
      <c r="AC53" s="111">
        <f>'Supply planning data'!AE51</f>
        <v>0</v>
      </c>
      <c r="AD53" s="327" t="str">
        <f>'Supply planning data'!AF51</f>
        <v/>
      </c>
      <c r="AE53" s="111">
        <f>'Supply planning data'!AG51</f>
        <v>0</v>
      </c>
      <c r="AF53" s="321">
        <f>'Supply planning data'!AH51</f>
        <v>0</v>
      </c>
      <c r="AG53" s="349">
        <f>'Supply planning data'!AI51</f>
        <v>0</v>
      </c>
      <c r="AH53" s="111">
        <f>'Supply planning data'!AJ51</f>
        <v>0</v>
      </c>
      <c r="AI53" s="111">
        <f>'Supply planning data'!AK51</f>
        <v>0</v>
      </c>
      <c r="AJ53" s="111">
        <f>'Supply planning data'!AL51</f>
        <v>0</v>
      </c>
      <c r="AK53" s="111">
        <f>'Supply planning data'!AM51</f>
        <v>0</v>
      </c>
      <c r="AL53" s="111">
        <f>'Supply planning data'!AN51</f>
        <v>0</v>
      </c>
      <c r="AM53" s="327" t="str">
        <f>'Supply planning data'!AO51</f>
        <v/>
      </c>
    </row>
    <row r="54" spans="1:39" x14ac:dyDescent="0.25">
      <c r="A54" s="104" t="str">
        <f>'Supply planning data'!C52</f>
        <v>Moderna</v>
      </c>
      <c r="B54" s="298">
        <f>'Supply planning data'!D52</f>
        <v>44287</v>
      </c>
      <c r="C54" s="105" t="str">
        <f>'Supply planning data'!E52</f>
        <v>No</v>
      </c>
      <c r="D54" s="105">
        <f>'Supply planning data'!F52</f>
        <v>0</v>
      </c>
      <c r="E54" s="320">
        <f>'Supply planning data'!G52</f>
        <v>0</v>
      </c>
      <c r="F54" s="320">
        <f>'Supply planning data'!H52</f>
        <v>0</v>
      </c>
      <c r="G54" s="320">
        <f>'Supply planning data'!I52</f>
        <v>0</v>
      </c>
      <c r="H54" s="105">
        <f>'Supply planning data'!J52</f>
        <v>0</v>
      </c>
      <c r="I54" s="320">
        <f>'Supply planning data'!K52</f>
        <v>0</v>
      </c>
      <c r="J54" s="177" t="str">
        <f>'Supply planning data'!L52</f>
        <v/>
      </c>
      <c r="K54" s="105">
        <f>'Supply planning data'!M52</f>
        <v>0</v>
      </c>
      <c r="L54" s="321">
        <f>'Supply planning data'!N52+'Supply planning data'!P52</f>
        <v>0</v>
      </c>
      <c r="M54" s="342">
        <f>'Supply planning data'!O52</f>
        <v>0</v>
      </c>
      <c r="N54" s="321">
        <f>'Supply planning data'!P52</f>
        <v>0</v>
      </c>
      <c r="O54" s="342">
        <f>'Supply planning data'!Q52</f>
        <v>0</v>
      </c>
      <c r="P54" s="111">
        <f>'Supply planning data'!R52</f>
        <v>0</v>
      </c>
      <c r="Q54" s="111">
        <f>'Supply planning data'!S52</f>
        <v>0</v>
      </c>
      <c r="R54" s="111">
        <f>'Supply planning data'!T52</f>
        <v>0</v>
      </c>
      <c r="S54" s="111">
        <f>'Supply planning data'!U52</f>
        <v>0</v>
      </c>
      <c r="T54" s="111">
        <f>'Supply planning data'!V52</f>
        <v>0</v>
      </c>
      <c r="U54" s="327" t="str">
        <f>'Supply planning data'!W52</f>
        <v/>
      </c>
      <c r="V54" s="111">
        <f>'Supply planning data'!X52</f>
        <v>0</v>
      </c>
      <c r="W54" s="321">
        <f>'Supply planning data'!Y52</f>
        <v>0</v>
      </c>
      <c r="X54" s="329">
        <f>'Supply planning data'!Z52</f>
        <v>0</v>
      </c>
      <c r="Y54" s="111">
        <f>'Supply planning data'!AA52</f>
        <v>0</v>
      </c>
      <c r="Z54" s="111">
        <f>'Supply planning data'!AB52</f>
        <v>0</v>
      </c>
      <c r="AA54" s="111">
        <f>'Supply planning data'!AC52</f>
        <v>0</v>
      </c>
      <c r="AB54" s="111">
        <f>'Supply planning data'!AD52</f>
        <v>0</v>
      </c>
      <c r="AC54" s="111">
        <f>'Supply planning data'!AE52</f>
        <v>0</v>
      </c>
      <c r="AD54" s="327" t="str">
        <f>'Supply planning data'!AF52</f>
        <v/>
      </c>
      <c r="AE54" s="111">
        <f>'Supply planning data'!AG52</f>
        <v>0</v>
      </c>
      <c r="AF54" s="321">
        <f>'Supply planning data'!AH52</f>
        <v>0</v>
      </c>
      <c r="AG54" s="349">
        <f>'Supply planning data'!AI52</f>
        <v>0</v>
      </c>
      <c r="AH54" s="111">
        <f>'Supply planning data'!AJ52</f>
        <v>0</v>
      </c>
      <c r="AI54" s="111">
        <f>'Supply planning data'!AK52</f>
        <v>0</v>
      </c>
      <c r="AJ54" s="111">
        <f>'Supply planning data'!AL52</f>
        <v>0</v>
      </c>
      <c r="AK54" s="111">
        <f>'Supply planning data'!AM52</f>
        <v>0</v>
      </c>
      <c r="AL54" s="111">
        <f>'Supply planning data'!AN52</f>
        <v>0</v>
      </c>
      <c r="AM54" s="327" t="str">
        <f>'Supply planning data'!AO52</f>
        <v/>
      </c>
    </row>
    <row r="55" spans="1:39" x14ac:dyDescent="0.25">
      <c r="A55" s="109" t="str">
        <f>'Supply planning data'!C53</f>
        <v>Pfizer</v>
      </c>
      <c r="B55" s="298">
        <f>'Supply planning data'!D53</f>
        <v>44287</v>
      </c>
      <c r="C55" s="105" t="str">
        <f>'Supply planning data'!E53</f>
        <v>Yes</v>
      </c>
      <c r="D55" s="105">
        <f>'Supply planning data'!F53</f>
        <v>0</v>
      </c>
      <c r="E55" s="320">
        <f>'Supply planning data'!G53</f>
        <v>0</v>
      </c>
      <c r="F55" s="320">
        <f>'Supply planning data'!H53</f>
        <v>0</v>
      </c>
      <c r="G55" s="320">
        <f>'Supply planning data'!I53</f>
        <v>0</v>
      </c>
      <c r="H55" s="105">
        <f>'Supply planning data'!J53</f>
        <v>0</v>
      </c>
      <c r="I55" s="320">
        <f>'Supply planning data'!K53</f>
        <v>0</v>
      </c>
      <c r="J55" s="177" t="str">
        <f>'Supply planning data'!L53</f>
        <v/>
      </c>
      <c r="K55" s="105">
        <f>'Supply planning data'!M53</f>
        <v>0</v>
      </c>
      <c r="L55" s="321">
        <f>'Supply planning data'!N53+'Supply planning data'!P53</f>
        <v>0</v>
      </c>
      <c r="M55" s="342">
        <f>'Supply planning data'!O53</f>
        <v>0</v>
      </c>
      <c r="N55" s="321">
        <f>'Supply planning data'!P53</f>
        <v>0</v>
      </c>
      <c r="O55" s="342">
        <f>'Supply planning data'!Q53</f>
        <v>0</v>
      </c>
      <c r="P55" s="111">
        <f>'Supply planning data'!R53</f>
        <v>0</v>
      </c>
      <c r="Q55" s="111">
        <f>'Supply planning data'!S53</f>
        <v>0</v>
      </c>
      <c r="R55" s="111">
        <f>'Supply planning data'!T53</f>
        <v>0</v>
      </c>
      <c r="S55" s="111">
        <f>'Supply planning data'!U53</f>
        <v>0</v>
      </c>
      <c r="T55" s="111">
        <f>'Supply planning data'!V53</f>
        <v>0</v>
      </c>
      <c r="U55" s="327" t="str">
        <f>'Supply planning data'!W53</f>
        <v/>
      </c>
      <c r="V55" s="111">
        <f>'Supply planning data'!X53</f>
        <v>0</v>
      </c>
      <c r="W55" s="321">
        <f>'Supply planning data'!Y53</f>
        <v>0</v>
      </c>
      <c r="X55" s="329">
        <f>'Supply planning data'!Z53</f>
        <v>0</v>
      </c>
      <c r="Y55" s="111">
        <f>'Supply planning data'!AA53</f>
        <v>0</v>
      </c>
      <c r="Z55" s="111">
        <f>'Supply planning data'!AB53</f>
        <v>0</v>
      </c>
      <c r="AA55" s="111">
        <f>'Supply planning data'!AC53</f>
        <v>0</v>
      </c>
      <c r="AB55" s="111">
        <f>'Supply planning data'!AD53</f>
        <v>0</v>
      </c>
      <c r="AC55" s="111">
        <f>'Supply planning data'!AE53</f>
        <v>0</v>
      </c>
      <c r="AD55" s="327" t="str">
        <f>'Supply planning data'!AF53</f>
        <v/>
      </c>
      <c r="AE55" s="111">
        <f>'Supply planning data'!AG53</f>
        <v>0</v>
      </c>
      <c r="AF55" s="321">
        <f>'Supply planning data'!AH53</f>
        <v>0</v>
      </c>
      <c r="AG55" s="349">
        <f>'Supply planning data'!AI53</f>
        <v>0</v>
      </c>
      <c r="AH55" s="111">
        <f>'Supply planning data'!AJ53</f>
        <v>0</v>
      </c>
      <c r="AI55" s="111">
        <f>'Supply planning data'!AK53</f>
        <v>0</v>
      </c>
      <c r="AJ55" s="111">
        <f>'Supply planning data'!AL53</f>
        <v>0</v>
      </c>
      <c r="AK55" s="111">
        <f>'Supply planning data'!AM53</f>
        <v>0</v>
      </c>
      <c r="AL55" s="111">
        <f>'Supply planning data'!AN53</f>
        <v>0</v>
      </c>
      <c r="AM55" s="327" t="str">
        <f>'Supply planning data'!AO53</f>
        <v/>
      </c>
    </row>
    <row r="56" spans="1:39" x14ac:dyDescent="0.25">
      <c r="A56" s="104" t="str">
        <f>'Supply planning data'!C54</f>
        <v>Sinovac</v>
      </c>
      <c r="B56" s="298">
        <f>'Supply planning data'!D54</f>
        <v>44287</v>
      </c>
      <c r="C56" s="105" t="str">
        <f>'Supply planning data'!E54</f>
        <v>No</v>
      </c>
      <c r="D56" s="105">
        <f>'Supply planning data'!F54</f>
        <v>0</v>
      </c>
      <c r="E56" s="320">
        <f>'Supply planning data'!G54</f>
        <v>0</v>
      </c>
      <c r="F56" s="320">
        <f>'Supply planning data'!H54</f>
        <v>0</v>
      </c>
      <c r="G56" s="320">
        <f>'Supply planning data'!I54</f>
        <v>0</v>
      </c>
      <c r="H56" s="105">
        <f>'Supply planning data'!J54</f>
        <v>0</v>
      </c>
      <c r="I56" s="320">
        <f>'Supply planning data'!K54</f>
        <v>0</v>
      </c>
      <c r="J56" s="177" t="str">
        <f>'Supply planning data'!L54</f>
        <v/>
      </c>
      <c r="K56" s="105">
        <f>'Supply planning data'!M54</f>
        <v>0</v>
      </c>
      <c r="L56" s="321">
        <f>'Supply planning data'!N54+'Supply planning data'!P54</f>
        <v>0</v>
      </c>
      <c r="M56" s="342">
        <f>'Supply planning data'!O54</f>
        <v>0</v>
      </c>
      <c r="N56" s="321">
        <f>'Supply planning data'!P54</f>
        <v>0</v>
      </c>
      <c r="O56" s="342">
        <f>'Supply planning data'!Q54</f>
        <v>0</v>
      </c>
      <c r="P56" s="111">
        <f>'Supply planning data'!R54</f>
        <v>0</v>
      </c>
      <c r="Q56" s="111">
        <f>'Supply planning data'!S54</f>
        <v>0</v>
      </c>
      <c r="R56" s="111">
        <f>'Supply planning data'!T54</f>
        <v>0</v>
      </c>
      <c r="S56" s="111">
        <f>'Supply planning data'!U54</f>
        <v>0</v>
      </c>
      <c r="T56" s="111">
        <f>'Supply planning data'!V54</f>
        <v>0</v>
      </c>
      <c r="U56" s="327" t="str">
        <f>'Supply planning data'!W54</f>
        <v/>
      </c>
      <c r="V56" s="111">
        <f>'Supply planning data'!X54</f>
        <v>0</v>
      </c>
      <c r="W56" s="321">
        <f>'Supply planning data'!Y54</f>
        <v>0</v>
      </c>
      <c r="X56" s="329">
        <f>'Supply planning data'!Z54</f>
        <v>0</v>
      </c>
      <c r="Y56" s="111">
        <f>'Supply planning data'!AA54</f>
        <v>0</v>
      </c>
      <c r="Z56" s="111">
        <f>'Supply planning data'!AB54</f>
        <v>0</v>
      </c>
      <c r="AA56" s="111">
        <f>'Supply planning data'!AC54</f>
        <v>0</v>
      </c>
      <c r="AB56" s="111">
        <f>'Supply planning data'!AD54</f>
        <v>0</v>
      </c>
      <c r="AC56" s="111">
        <f>'Supply planning data'!AE54</f>
        <v>0</v>
      </c>
      <c r="AD56" s="327" t="str">
        <f>'Supply planning data'!AF54</f>
        <v/>
      </c>
      <c r="AE56" s="111">
        <f>'Supply planning data'!AG54</f>
        <v>0</v>
      </c>
      <c r="AF56" s="321">
        <f>'Supply planning data'!AH54</f>
        <v>0</v>
      </c>
      <c r="AG56" s="349">
        <f>'Supply planning data'!AI54</f>
        <v>0</v>
      </c>
      <c r="AH56" s="111">
        <f>'Supply planning data'!AJ54</f>
        <v>0</v>
      </c>
      <c r="AI56" s="111">
        <f>'Supply planning data'!AK54</f>
        <v>0</v>
      </c>
      <c r="AJ56" s="111">
        <f>'Supply planning data'!AL54</f>
        <v>0</v>
      </c>
      <c r="AK56" s="111">
        <f>'Supply planning data'!AM54</f>
        <v>0</v>
      </c>
      <c r="AL56" s="111">
        <f>'Supply planning data'!AN54</f>
        <v>0</v>
      </c>
      <c r="AM56" s="327" t="str">
        <f>'Supply planning data'!AO54</f>
        <v/>
      </c>
    </row>
    <row r="57" spans="1:39" hidden="1" x14ac:dyDescent="0.25">
      <c r="A57" s="109" t="str">
        <f>'Supply planning data'!C55</f>
        <v/>
      </c>
      <c r="B57" s="298">
        <f>'Supply planning data'!D55</f>
        <v>44287</v>
      </c>
      <c r="C57" s="105" t="str">
        <f>'Supply planning data'!E55</f>
        <v>No</v>
      </c>
      <c r="D57" s="105">
        <f>'Supply planning data'!F55</f>
        <v>0</v>
      </c>
      <c r="E57" s="320">
        <f>'Supply planning data'!G55</f>
        <v>0</v>
      </c>
      <c r="F57" s="320">
        <f>'Supply planning data'!H55</f>
        <v>0</v>
      </c>
      <c r="G57" s="320">
        <f>'Supply planning data'!I55</f>
        <v>0</v>
      </c>
      <c r="H57" s="105">
        <f>'Supply planning data'!J55</f>
        <v>0</v>
      </c>
      <c r="I57" s="320">
        <f>'Supply planning data'!K55</f>
        <v>0</v>
      </c>
      <c r="J57" s="177" t="str">
        <f>'Supply planning data'!L55</f>
        <v/>
      </c>
      <c r="K57" s="105">
        <f>'Supply planning data'!M55</f>
        <v>0</v>
      </c>
      <c r="L57" s="321">
        <f>'Supply planning data'!N55+'Supply planning data'!P55</f>
        <v>0</v>
      </c>
      <c r="M57" s="342">
        <f>'Supply planning data'!O55</f>
        <v>0</v>
      </c>
      <c r="N57" s="321">
        <f>'Supply planning data'!P55</f>
        <v>0</v>
      </c>
      <c r="O57" s="342">
        <f>'Supply planning data'!Q55</f>
        <v>0</v>
      </c>
      <c r="P57" s="111">
        <f>'Supply planning data'!R55</f>
        <v>0</v>
      </c>
      <c r="Q57" s="111">
        <f>'Supply planning data'!S55</f>
        <v>0</v>
      </c>
      <c r="R57" s="111">
        <f>'Supply planning data'!T55</f>
        <v>0</v>
      </c>
      <c r="S57" s="111">
        <f>'Supply planning data'!U55</f>
        <v>0</v>
      </c>
      <c r="T57" s="111">
        <f>'Supply planning data'!V55</f>
        <v>0</v>
      </c>
      <c r="U57" s="327" t="str">
        <f>'Supply planning data'!W55</f>
        <v/>
      </c>
      <c r="V57" s="111">
        <f>'Supply planning data'!X55</f>
        <v>0</v>
      </c>
      <c r="W57" s="321">
        <f>'Supply planning data'!Y55</f>
        <v>0</v>
      </c>
      <c r="X57" s="329">
        <f>'Supply planning data'!Z55</f>
        <v>0</v>
      </c>
      <c r="Y57" s="111">
        <f>'Supply planning data'!AA55</f>
        <v>0</v>
      </c>
      <c r="Z57" s="111">
        <f>'Supply planning data'!AB55</f>
        <v>0</v>
      </c>
      <c r="AA57" s="111">
        <f>'Supply planning data'!AC55</f>
        <v>0</v>
      </c>
      <c r="AB57" s="111">
        <f>'Supply planning data'!AD55</f>
        <v>0</v>
      </c>
      <c r="AC57" s="111">
        <f>'Supply planning data'!AE55</f>
        <v>0</v>
      </c>
      <c r="AD57" s="327" t="str">
        <f>'Supply planning data'!AF55</f>
        <v/>
      </c>
      <c r="AE57" s="111">
        <f>'Supply planning data'!AG55</f>
        <v>0</v>
      </c>
      <c r="AF57" s="321">
        <f>'Supply planning data'!AH55</f>
        <v>0</v>
      </c>
      <c r="AG57" s="349">
        <f>'Supply planning data'!AI55</f>
        <v>0</v>
      </c>
      <c r="AH57" s="111">
        <f>'Supply planning data'!AJ55</f>
        <v>0</v>
      </c>
      <c r="AI57" s="111">
        <f>'Supply planning data'!AK55</f>
        <v>0</v>
      </c>
      <c r="AJ57" s="111">
        <f>'Supply planning data'!AL55</f>
        <v>0</v>
      </c>
      <c r="AK57" s="111">
        <f>'Supply planning data'!AM55</f>
        <v>0</v>
      </c>
      <c r="AL57" s="111">
        <f>'Supply planning data'!AN55</f>
        <v>0</v>
      </c>
      <c r="AM57" s="327" t="str">
        <f>'Supply planning data'!AO55</f>
        <v/>
      </c>
    </row>
    <row r="58" spans="1:39" hidden="1" x14ac:dyDescent="0.25">
      <c r="A58" s="104" t="str">
        <f>'Supply planning data'!C56</f>
        <v/>
      </c>
      <c r="B58" s="298">
        <f>'Supply planning data'!D56</f>
        <v>44287</v>
      </c>
      <c r="C58" s="105" t="str">
        <f>'Supply planning data'!E56</f>
        <v>No</v>
      </c>
      <c r="D58" s="105">
        <f>'Supply planning data'!F56</f>
        <v>0</v>
      </c>
      <c r="E58" s="320">
        <f>'Supply planning data'!G56</f>
        <v>0</v>
      </c>
      <c r="F58" s="320">
        <f>'Supply planning data'!H56</f>
        <v>0</v>
      </c>
      <c r="G58" s="320">
        <f>'Supply planning data'!I56</f>
        <v>0</v>
      </c>
      <c r="H58" s="105">
        <f>'Supply planning data'!J56</f>
        <v>0</v>
      </c>
      <c r="I58" s="320">
        <f>'Supply planning data'!K56</f>
        <v>0</v>
      </c>
      <c r="J58" s="177" t="str">
        <f>'Supply planning data'!L56</f>
        <v/>
      </c>
      <c r="K58" s="105">
        <f>'Supply planning data'!M56</f>
        <v>0</v>
      </c>
      <c r="L58" s="321">
        <f>'Supply planning data'!N56+'Supply planning data'!P56</f>
        <v>0</v>
      </c>
      <c r="M58" s="342">
        <f>'Supply planning data'!O56</f>
        <v>0</v>
      </c>
      <c r="N58" s="321">
        <f>'Supply planning data'!P56</f>
        <v>0</v>
      </c>
      <c r="O58" s="342">
        <f>'Supply planning data'!Q56</f>
        <v>0</v>
      </c>
      <c r="P58" s="111">
        <f>'Supply planning data'!R56</f>
        <v>0</v>
      </c>
      <c r="Q58" s="111">
        <f>'Supply planning data'!S56</f>
        <v>0</v>
      </c>
      <c r="R58" s="111">
        <f>'Supply planning data'!T56</f>
        <v>0</v>
      </c>
      <c r="S58" s="111">
        <f>'Supply planning data'!U56</f>
        <v>0</v>
      </c>
      <c r="T58" s="111">
        <f>'Supply planning data'!V56</f>
        <v>0</v>
      </c>
      <c r="U58" s="327" t="str">
        <f>'Supply planning data'!W56</f>
        <v/>
      </c>
      <c r="V58" s="111">
        <f>'Supply planning data'!X56</f>
        <v>0</v>
      </c>
      <c r="W58" s="321">
        <f>'Supply planning data'!Y56</f>
        <v>0</v>
      </c>
      <c r="X58" s="329">
        <f>'Supply planning data'!Z56</f>
        <v>0</v>
      </c>
      <c r="Y58" s="111">
        <f>'Supply planning data'!AA56</f>
        <v>0</v>
      </c>
      <c r="Z58" s="111">
        <f>'Supply planning data'!AB56</f>
        <v>0</v>
      </c>
      <c r="AA58" s="111">
        <f>'Supply planning data'!AC56</f>
        <v>0</v>
      </c>
      <c r="AB58" s="111">
        <f>'Supply planning data'!AD56</f>
        <v>0</v>
      </c>
      <c r="AC58" s="111">
        <f>'Supply planning data'!AE56</f>
        <v>0</v>
      </c>
      <c r="AD58" s="327" t="str">
        <f>'Supply planning data'!AF56</f>
        <v/>
      </c>
      <c r="AE58" s="111">
        <f>'Supply planning data'!AG56</f>
        <v>0</v>
      </c>
      <c r="AF58" s="321">
        <f>'Supply planning data'!AH56</f>
        <v>0</v>
      </c>
      <c r="AG58" s="349">
        <f>'Supply planning data'!AI56</f>
        <v>0</v>
      </c>
      <c r="AH58" s="111">
        <f>'Supply planning data'!AJ56</f>
        <v>0</v>
      </c>
      <c r="AI58" s="111">
        <f>'Supply planning data'!AK56</f>
        <v>0</v>
      </c>
      <c r="AJ58" s="111">
        <f>'Supply planning data'!AL56</f>
        <v>0</v>
      </c>
      <c r="AK58" s="111">
        <f>'Supply planning data'!AM56</f>
        <v>0</v>
      </c>
      <c r="AL58" s="111">
        <f>'Supply planning data'!AN56</f>
        <v>0</v>
      </c>
      <c r="AM58" s="327" t="str">
        <f>'Supply planning data'!AO56</f>
        <v/>
      </c>
    </row>
    <row r="59" spans="1:39" hidden="1" x14ac:dyDescent="0.25">
      <c r="A59" s="109" t="str">
        <f>'Supply planning data'!C57</f>
        <v/>
      </c>
      <c r="B59" s="298">
        <f>'Supply planning data'!D57</f>
        <v>44287</v>
      </c>
      <c r="C59" s="105" t="str">
        <f>'Supply planning data'!E57</f>
        <v>No</v>
      </c>
      <c r="D59" s="105">
        <f>'Supply planning data'!F57</f>
        <v>0</v>
      </c>
      <c r="E59" s="320">
        <f>'Supply planning data'!G57</f>
        <v>0</v>
      </c>
      <c r="F59" s="320">
        <f>'Supply planning data'!H57</f>
        <v>0</v>
      </c>
      <c r="G59" s="320">
        <f>'Supply planning data'!I57</f>
        <v>0</v>
      </c>
      <c r="H59" s="105">
        <f>'Supply planning data'!J57</f>
        <v>0</v>
      </c>
      <c r="I59" s="320">
        <f>'Supply planning data'!K57</f>
        <v>0</v>
      </c>
      <c r="J59" s="177" t="str">
        <f>'Supply planning data'!L57</f>
        <v/>
      </c>
      <c r="K59" s="105">
        <f>'Supply planning data'!M57</f>
        <v>0</v>
      </c>
      <c r="L59" s="321">
        <f>'Supply planning data'!N57+'Supply planning data'!P57</f>
        <v>0</v>
      </c>
      <c r="M59" s="342">
        <f>'Supply planning data'!O57</f>
        <v>0</v>
      </c>
      <c r="N59" s="321">
        <f>'Supply planning data'!P57</f>
        <v>0</v>
      </c>
      <c r="O59" s="342">
        <f>'Supply planning data'!Q57</f>
        <v>0</v>
      </c>
      <c r="P59" s="111">
        <f>'Supply planning data'!R57</f>
        <v>0</v>
      </c>
      <c r="Q59" s="111">
        <f>'Supply planning data'!S57</f>
        <v>0</v>
      </c>
      <c r="R59" s="111">
        <f>'Supply planning data'!T57</f>
        <v>0</v>
      </c>
      <c r="S59" s="111">
        <f>'Supply planning data'!U57</f>
        <v>0</v>
      </c>
      <c r="T59" s="111">
        <f>'Supply planning data'!V57</f>
        <v>0</v>
      </c>
      <c r="U59" s="327" t="str">
        <f>'Supply planning data'!W57</f>
        <v/>
      </c>
      <c r="V59" s="111">
        <f>'Supply planning data'!X57</f>
        <v>0</v>
      </c>
      <c r="W59" s="321">
        <f>'Supply planning data'!Y57</f>
        <v>0</v>
      </c>
      <c r="X59" s="329">
        <f>'Supply planning data'!Z57</f>
        <v>0</v>
      </c>
      <c r="Y59" s="111">
        <f>'Supply planning data'!AA57</f>
        <v>0</v>
      </c>
      <c r="Z59" s="111">
        <f>'Supply planning data'!AB57</f>
        <v>0</v>
      </c>
      <c r="AA59" s="111">
        <f>'Supply planning data'!AC57</f>
        <v>0</v>
      </c>
      <c r="AB59" s="111">
        <f>'Supply planning data'!AD57</f>
        <v>0</v>
      </c>
      <c r="AC59" s="111">
        <f>'Supply planning data'!AE57</f>
        <v>0</v>
      </c>
      <c r="AD59" s="327" t="str">
        <f>'Supply planning data'!AF57</f>
        <v/>
      </c>
      <c r="AE59" s="111">
        <f>'Supply planning data'!AG57</f>
        <v>0</v>
      </c>
      <c r="AF59" s="321">
        <f>'Supply planning data'!AH57</f>
        <v>0</v>
      </c>
      <c r="AG59" s="349">
        <f>'Supply planning data'!AI57</f>
        <v>0</v>
      </c>
      <c r="AH59" s="111">
        <f>'Supply planning data'!AJ57</f>
        <v>0</v>
      </c>
      <c r="AI59" s="111">
        <f>'Supply planning data'!AK57</f>
        <v>0</v>
      </c>
      <c r="AJ59" s="111">
        <f>'Supply planning data'!AL57</f>
        <v>0</v>
      </c>
      <c r="AK59" s="111">
        <f>'Supply planning data'!AM57</f>
        <v>0</v>
      </c>
      <c r="AL59" s="111">
        <f>'Supply planning data'!AN57</f>
        <v>0</v>
      </c>
      <c r="AM59" s="327" t="str">
        <f>'Supply planning data'!AO57</f>
        <v/>
      </c>
    </row>
    <row r="60" spans="1:39" hidden="1" x14ac:dyDescent="0.25">
      <c r="A60" s="104" t="str">
        <f>'Supply planning data'!C58</f>
        <v/>
      </c>
      <c r="B60" s="298">
        <f>'Supply planning data'!D58</f>
        <v>44287</v>
      </c>
      <c r="C60" s="105" t="str">
        <f>'Supply planning data'!E58</f>
        <v>No</v>
      </c>
      <c r="D60" s="105">
        <f>'Supply planning data'!F58</f>
        <v>0</v>
      </c>
      <c r="E60" s="320">
        <f>'Supply planning data'!G58</f>
        <v>0</v>
      </c>
      <c r="F60" s="320">
        <f>'Supply planning data'!H58</f>
        <v>0</v>
      </c>
      <c r="G60" s="320">
        <f>'Supply planning data'!I58</f>
        <v>0</v>
      </c>
      <c r="H60" s="105">
        <f>'Supply planning data'!J58</f>
        <v>0</v>
      </c>
      <c r="I60" s="320">
        <f>'Supply planning data'!K58</f>
        <v>0</v>
      </c>
      <c r="J60" s="177" t="str">
        <f>'Supply planning data'!L58</f>
        <v/>
      </c>
      <c r="K60" s="105">
        <f>'Supply planning data'!M58</f>
        <v>0</v>
      </c>
      <c r="L60" s="321">
        <f>'Supply planning data'!N58+'Supply planning data'!P58</f>
        <v>0</v>
      </c>
      <c r="M60" s="342">
        <f>'Supply planning data'!O58</f>
        <v>0</v>
      </c>
      <c r="N60" s="321">
        <f>'Supply planning data'!P58</f>
        <v>0</v>
      </c>
      <c r="O60" s="342">
        <f>'Supply planning data'!Q58</f>
        <v>0</v>
      </c>
      <c r="P60" s="111">
        <f>'Supply planning data'!R58</f>
        <v>0</v>
      </c>
      <c r="Q60" s="111">
        <f>'Supply planning data'!S58</f>
        <v>0</v>
      </c>
      <c r="R60" s="111">
        <f>'Supply planning data'!T58</f>
        <v>0</v>
      </c>
      <c r="S60" s="111">
        <f>'Supply planning data'!U58</f>
        <v>0</v>
      </c>
      <c r="T60" s="111">
        <f>'Supply planning data'!V58</f>
        <v>0</v>
      </c>
      <c r="U60" s="327" t="str">
        <f>'Supply planning data'!W58</f>
        <v/>
      </c>
      <c r="V60" s="111">
        <f>'Supply planning data'!X58</f>
        <v>0</v>
      </c>
      <c r="W60" s="321">
        <f>'Supply planning data'!Y58</f>
        <v>0</v>
      </c>
      <c r="X60" s="329">
        <f>'Supply planning data'!Z58</f>
        <v>0</v>
      </c>
      <c r="Y60" s="111">
        <f>'Supply planning data'!AA58</f>
        <v>0</v>
      </c>
      <c r="Z60" s="111">
        <f>'Supply planning data'!AB58</f>
        <v>0</v>
      </c>
      <c r="AA60" s="111">
        <f>'Supply planning data'!AC58</f>
        <v>0</v>
      </c>
      <c r="AB60" s="111">
        <f>'Supply planning data'!AD58</f>
        <v>0</v>
      </c>
      <c r="AC60" s="111">
        <f>'Supply planning data'!AE58</f>
        <v>0</v>
      </c>
      <c r="AD60" s="327" t="str">
        <f>'Supply planning data'!AF58</f>
        <v/>
      </c>
      <c r="AE60" s="111">
        <f>'Supply planning data'!AG58</f>
        <v>0</v>
      </c>
      <c r="AF60" s="321">
        <f>'Supply planning data'!AH58</f>
        <v>0</v>
      </c>
      <c r="AG60" s="349">
        <f>'Supply planning data'!AI58</f>
        <v>0</v>
      </c>
      <c r="AH60" s="111">
        <f>'Supply planning data'!AJ58</f>
        <v>0</v>
      </c>
      <c r="AI60" s="111">
        <f>'Supply planning data'!AK58</f>
        <v>0</v>
      </c>
      <c r="AJ60" s="111">
        <f>'Supply planning data'!AL58</f>
        <v>0</v>
      </c>
      <c r="AK60" s="111">
        <f>'Supply planning data'!AM58</f>
        <v>0</v>
      </c>
      <c r="AL60" s="111">
        <f>'Supply planning data'!AN58</f>
        <v>0</v>
      </c>
      <c r="AM60" s="327" t="str">
        <f>'Supply planning data'!AO58</f>
        <v/>
      </c>
    </row>
    <row r="61" spans="1:39" hidden="1" x14ac:dyDescent="0.25">
      <c r="A61" s="109" t="str">
        <f>'Supply planning data'!C59</f>
        <v/>
      </c>
      <c r="B61" s="298">
        <f>'Supply planning data'!D59</f>
        <v>44287</v>
      </c>
      <c r="C61" s="105" t="str">
        <f>'Supply planning data'!E59</f>
        <v>No</v>
      </c>
      <c r="D61" s="105">
        <f>'Supply planning data'!F59</f>
        <v>0</v>
      </c>
      <c r="E61" s="320">
        <f>'Supply planning data'!G59</f>
        <v>0</v>
      </c>
      <c r="F61" s="320">
        <f>'Supply planning data'!H59</f>
        <v>0</v>
      </c>
      <c r="G61" s="320">
        <f>'Supply planning data'!I59</f>
        <v>0</v>
      </c>
      <c r="H61" s="105">
        <f>'Supply planning data'!J59</f>
        <v>0</v>
      </c>
      <c r="I61" s="320">
        <f>'Supply planning data'!K59</f>
        <v>0</v>
      </c>
      <c r="J61" s="177" t="str">
        <f>'Supply planning data'!L59</f>
        <v/>
      </c>
      <c r="K61" s="105">
        <f>'Supply planning data'!M59</f>
        <v>0</v>
      </c>
      <c r="L61" s="321">
        <f>'Supply planning data'!N59+'Supply planning data'!P59</f>
        <v>0</v>
      </c>
      <c r="M61" s="342">
        <f>'Supply planning data'!O59</f>
        <v>0</v>
      </c>
      <c r="N61" s="321">
        <f>'Supply planning data'!P59</f>
        <v>0</v>
      </c>
      <c r="O61" s="342">
        <f>'Supply planning data'!Q59</f>
        <v>0</v>
      </c>
      <c r="P61" s="111">
        <f>'Supply planning data'!R59</f>
        <v>0</v>
      </c>
      <c r="Q61" s="111">
        <f>'Supply planning data'!S59</f>
        <v>0</v>
      </c>
      <c r="R61" s="111">
        <f>'Supply planning data'!T59</f>
        <v>0</v>
      </c>
      <c r="S61" s="111">
        <f>'Supply planning data'!U59</f>
        <v>0</v>
      </c>
      <c r="T61" s="111">
        <f>'Supply planning data'!V59</f>
        <v>0</v>
      </c>
      <c r="U61" s="327" t="str">
        <f>'Supply planning data'!W59</f>
        <v/>
      </c>
      <c r="V61" s="111">
        <f>'Supply planning data'!X59</f>
        <v>0</v>
      </c>
      <c r="W61" s="321">
        <f>'Supply planning data'!Y59</f>
        <v>0</v>
      </c>
      <c r="X61" s="329">
        <f>'Supply planning data'!Z59</f>
        <v>0</v>
      </c>
      <c r="Y61" s="111">
        <f>'Supply planning data'!AA59</f>
        <v>0</v>
      </c>
      <c r="Z61" s="111">
        <f>'Supply planning data'!AB59</f>
        <v>0</v>
      </c>
      <c r="AA61" s="111">
        <f>'Supply planning data'!AC59</f>
        <v>0</v>
      </c>
      <c r="AB61" s="111">
        <f>'Supply planning data'!AD59</f>
        <v>0</v>
      </c>
      <c r="AC61" s="111">
        <f>'Supply planning data'!AE59</f>
        <v>0</v>
      </c>
      <c r="AD61" s="327" t="str">
        <f>'Supply planning data'!AF59</f>
        <v/>
      </c>
      <c r="AE61" s="111">
        <f>'Supply planning data'!AG59</f>
        <v>0</v>
      </c>
      <c r="AF61" s="321">
        <f>'Supply planning data'!AH59</f>
        <v>0</v>
      </c>
      <c r="AG61" s="349">
        <f>'Supply planning data'!AI59</f>
        <v>0</v>
      </c>
      <c r="AH61" s="111">
        <f>'Supply planning data'!AJ59</f>
        <v>0</v>
      </c>
      <c r="AI61" s="111">
        <f>'Supply planning data'!AK59</f>
        <v>0</v>
      </c>
      <c r="AJ61" s="111">
        <f>'Supply planning data'!AL59</f>
        <v>0</v>
      </c>
      <c r="AK61" s="111">
        <f>'Supply planning data'!AM59</f>
        <v>0</v>
      </c>
      <c r="AL61" s="111">
        <f>'Supply planning data'!AN59</f>
        <v>0</v>
      </c>
      <c r="AM61" s="327" t="str">
        <f>'Supply planning data'!AO59</f>
        <v/>
      </c>
    </row>
    <row r="62" spans="1:39" hidden="1" x14ac:dyDescent="0.25">
      <c r="A62" s="104" t="str">
        <f>'Supply planning data'!C60</f>
        <v/>
      </c>
      <c r="B62" s="298">
        <f>'Supply planning data'!D60</f>
        <v>44287</v>
      </c>
      <c r="C62" s="105" t="str">
        <f>'Supply planning data'!E60</f>
        <v>No</v>
      </c>
      <c r="D62" s="105">
        <f>'Supply planning data'!F60</f>
        <v>0</v>
      </c>
      <c r="E62" s="320">
        <f>'Supply planning data'!G60</f>
        <v>0</v>
      </c>
      <c r="F62" s="320">
        <f>'Supply planning data'!H60</f>
        <v>0</v>
      </c>
      <c r="G62" s="320">
        <f>'Supply planning data'!I60</f>
        <v>0</v>
      </c>
      <c r="H62" s="105">
        <f>'Supply planning data'!J60</f>
        <v>0</v>
      </c>
      <c r="I62" s="320">
        <f>'Supply planning data'!K60</f>
        <v>0</v>
      </c>
      <c r="J62" s="177" t="str">
        <f>'Supply planning data'!L60</f>
        <v/>
      </c>
      <c r="K62" s="105">
        <f>'Supply planning data'!M60</f>
        <v>0</v>
      </c>
      <c r="L62" s="321">
        <f>'Supply planning data'!N60+'Supply planning data'!P60</f>
        <v>0</v>
      </c>
      <c r="M62" s="342">
        <f>'Supply planning data'!O60</f>
        <v>0</v>
      </c>
      <c r="N62" s="321">
        <f>'Supply planning data'!P60</f>
        <v>0</v>
      </c>
      <c r="O62" s="342">
        <f>'Supply planning data'!Q60</f>
        <v>0</v>
      </c>
      <c r="P62" s="111">
        <f>'Supply planning data'!R60</f>
        <v>0</v>
      </c>
      <c r="Q62" s="111">
        <f>'Supply planning data'!S60</f>
        <v>0</v>
      </c>
      <c r="R62" s="111">
        <f>'Supply planning data'!T60</f>
        <v>0</v>
      </c>
      <c r="S62" s="111">
        <f>'Supply planning data'!U60</f>
        <v>0</v>
      </c>
      <c r="T62" s="111">
        <f>'Supply planning data'!V60</f>
        <v>0</v>
      </c>
      <c r="U62" s="327" t="str">
        <f>'Supply planning data'!W60</f>
        <v/>
      </c>
      <c r="V62" s="111">
        <f>'Supply planning data'!X60</f>
        <v>0</v>
      </c>
      <c r="W62" s="321">
        <f>'Supply planning data'!Y60</f>
        <v>0</v>
      </c>
      <c r="X62" s="329">
        <f>'Supply planning data'!Z60</f>
        <v>0</v>
      </c>
      <c r="Y62" s="111">
        <f>'Supply planning data'!AA60</f>
        <v>0</v>
      </c>
      <c r="Z62" s="111">
        <f>'Supply planning data'!AB60</f>
        <v>0</v>
      </c>
      <c r="AA62" s="111">
        <f>'Supply planning data'!AC60</f>
        <v>0</v>
      </c>
      <c r="AB62" s="111">
        <f>'Supply planning data'!AD60</f>
        <v>0</v>
      </c>
      <c r="AC62" s="111">
        <f>'Supply planning data'!AE60</f>
        <v>0</v>
      </c>
      <c r="AD62" s="327" t="str">
        <f>'Supply planning data'!AF60</f>
        <v/>
      </c>
      <c r="AE62" s="111">
        <f>'Supply planning data'!AG60</f>
        <v>0</v>
      </c>
      <c r="AF62" s="321">
        <f>'Supply planning data'!AH60</f>
        <v>0</v>
      </c>
      <c r="AG62" s="349">
        <f>'Supply planning data'!AI60</f>
        <v>0</v>
      </c>
      <c r="AH62" s="111">
        <f>'Supply planning data'!AJ60</f>
        <v>0</v>
      </c>
      <c r="AI62" s="111">
        <f>'Supply planning data'!AK60</f>
        <v>0</v>
      </c>
      <c r="AJ62" s="111">
        <f>'Supply planning data'!AL60</f>
        <v>0</v>
      </c>
      <c r="AK62" s="111">
        <f>'Supply planning data'!AM60</f>
        <v>0</v>
      </c>
      <c r="AL62" s="111">
        <f>'Supply planning data'!AN60</f>
        <v>0</v>
      </c>
      <c r="AM62" s="327" t="str">
        <f>'Supply planning data'!AO60</f>
        <v/>
      </c>
    </row>
    <row r="63" spans="1:39" hidden="1" x14ac:dyDescent="0.25">
      <c r="A63" s="109" t="str">
        <f>'Supply planning data'!C61</f>
        <v/>
      </c>
      <c r="B63" s="298">
        <f>'Supply planning data'!D61</f>
        <v>44287</v>
      </c>
      <c r="C63" s="105" t="str">
        <f>'Supply planning data'!E61</f>
        <v>No</v>
      </c>
      <c r="D63" s="105">
        <f>'Supply planning data'!F61</f>
        <v>0</v>
      </c>
      <c r="E63" s="320">
        <f>'Supply planning data'!G61</f>
        <v>0</v>
      </c>
      <c r="F63" s="320">
        <f>'Supply planning data'!H61</f>
        <v>0</v>
      </c>
      <c r="G63" s="320">
        <f>'Supply planning data'!I61</f>
        <v>0</v>
      </c>
      <c r="H63" s="105">
        <f>'Supply planning data'!J61</f>
        <v>0</v>
      </c>
      <c r="I63" s="320">
        <f>'Supply planning data'!K61</f>
        <v>0</v>
      </c>
      <c r="J63" s="177" t="str">
        <f>'Supply planning data'!L61</f>
        <v/>
      </c>
      <c r="K63" s="105">
        <f>'Supply planning data'!M61</f>
        <v>0</v>
      </c>
      <c r="L63" s="321">
        <f>'Supply planning data'!N61+'Supply planning data'!P61</f>
        <v>0</v>
      </c>
      <c r="M63" s="342">
        <f>'Supply planning data'!O61</f>
        <v>0</v>
      </c>
      <c r="N63" s="321">
        <f>'Supply planning data'!P61</f>
        <v>0</v>
      </c>
      <c r="O63" s="342">
        <f>'Supply planning data'!Q61</f>
        <v>0</v>
      </c>
      <c r="P63" s="111">
        <f>'Supply planning data'!R61</f>
        <v>0</v>
      </c>
      <c r="Q63" s="111">
        <f>'Supply planning data'!S61</f>
        <v>0</v>
      </c>
      <c r="R63" s="111">
        <f>'Supply planning data'!T61</f>
        <v>0</v>
      </c>
      <c r="S63" s="111">
        <f>'Supply planning data'!U61</f>
        <v>0</v>
      </c>
      <c r="T63" s="111">
        <f>'Supply planning data'!V61</f>
        <v>0</v>
      </c>
      <c r="U63" s="327" t="str">
        <f>'Supply planning data'!W61</f>
        <v/>
      </c>
      <c r="V63" s="111">
        <f>'Supply planning data'!X61</f>
        <v>0</v>
      </c>
      <c r="W63" s="321">
        <f>'Supply planning data'!Y61</f>
        <v>0</v>
      </c>
      <c r="X63" s="329">
        <f>'Supply planning data'!Z61</f>
        <v>0</v>
      </c>
      <c r="Y63" s="111">
        <f>'Supply planning data'!AA61</f>
        <v>0</v>
      </c>
      <c r="Z63" s="111">
        <f>'Supply planning data'!AB61</f>
        <v>0</v>
      </c>
      <c r="AA63" s="111">
        <f>'Supply planning data'!AC61</f>
        <v>0</v>
      </c>
      <c r="AB63" s="111">
        <f>'Supply planning data'!AD61</f>
        <v>0</v>
      </c>
      <c r="AC63" s="111">
        <f>'Supply planning data'!AE61</f>
        <v>0</v>
      </c>
      <c r="AD63" s="327" t="str">
        <f>'Supply planning data'!AF61</f>
        <v/>
      </c>
      <c r="AE63" s="111">
        <f>'Supply planning data'!AG61</f>
        <v>0</v>
      </c>
      <c r="AF63" s="321">
        <f>'Supply planning data'!AH61</f>
        <v>0</v>
      </c>
      <c r="AG63" s="349">
        <f>'Supply planning data'!AI61</f>
        <v>0</v>
      </c>
      <c r="AH63" s="111">
        <f>'Supply planning data'!AJ61</f>
        <v>0</v>
      </c>
      <c r="AI63" s="111">
        <f>'Supply planning data'!AK61</f>
        <v>0</v>
      </c>
      <c r="AJ63" s="111">
        <f>'Supply planning data'!AL61</f>
        <v>0</v>
      </c>
      <c r="AK63" s="111">
        <f>'Supply planning data'!AM61</f>
        <v>0</v>
      </c>
      <c r="AL63" s="111">
        <f>'Supply planning data'!AN61</f>
        <v>0</v>
      </c>
      <c r="AM63" s="327" t="str">
        <f>'Supply planning data'!AO61</f>
        <v/>
      </c>
    </row>
    <row r="64" spans="1:39" hidden="1" x14ac:dyDescent="0.25">
      <c r="A64" s="104" t="str">
        <f>'Supply planning data'!C62</f>
        <v/>
      </c>
      <c r="B64" s="298">
        <f>'Supply planning data'!D62</f>
        <v>44287</v>
      </c>
      <c r="C64" s="105" t="str">
        <f>'Supply planning data'!E62</f>
        <v>No</v>
      </c>
      <c r="D64" s="105">
        <f>'Supply planning data'!F62</f>
        <v>0</v>
      </c>
      <c r="E64" s="320">
        <f>'Supply planning data'!G62</f>
        <v>0</v>
      </c>
      <c r="F64" s="320">
        <f>'Supply planning data'!H62</f>
        <v>0</v>
      </c>
      <c r="G64" s="320">
        <f>'Supply planning data'!I62</f>
        <v>0</v>
      </c>
      <c r="H64" s="105">
        <f>'Supply planning data'!J62</f>
        <v>0</v>
      </c>
      <c r="I64" s="320">
        <f>'Supply planning data'!K62</f>
        <v>0</v>
      </c>
      <c r="J64" s="177" t="str">
        <f>'Supply planning data'!L62</f>
        <v/>
      </c>
      <c r="K64" s="105">
        <f>'Supply planning data'!M62</f>
        <v>0</v>
      </c>
      <c r="L64" s="321">
        <f>'Supply planning data'!N62+'Supply planning data'!P62</f>
        <v>0</v>
      </c>
      <c r="M64" s="342">
        <f>'Supply planning data'!O62</f>
        <v>0</v>
      </c>
      <c r="N64" s="321">
        <f>'Supply planning data'!P62</f>
        <v>0</v>
      </c>
      <c r="O64" s="342">
        <f>'Supply planning data'!Q62</f>
        <v>0</v>
      </c>
      <c r="P64" s="111">
        <f>'Supply planning data'!R62</f>
        <v>0</v>
      </c>
      <c r="Q64" s="111">
        <f>'Supply planning data'!S62</f>
        <v>0</v>
      </c>
      <c r="R64" s="111">
        <f>'Supply planning data'!T62</f>
        <v>0</v>
      </c>
      <c r="S64" s="111">
        <f>'Supply planning data'!U62</f>
        <v>0</v>
      </c>
      <c r="T64" s="111">
        <f>'Supply planning data'!V62</f>
        <v>0</v>
      </c>
      <c r="U64" s="327" t="str">
        <f>'Supply planning data'!W62</f>
        <v/>
      </c>
      <c r="V64" s="111">
        <f>'Supply planning data'!X62</f>
        <v>0</v>
      </c>
      <c r="W64" s="321">
        <f>'Supply planning data'!Y62</f>
        <v>0</v>
      </c>
      <c r="X64" s="329">
        <f>'Supply planning data'!Z62</f>
        <v>0</v>
      </c>
      <c r="Y64" s="111">
        <f>'Supply planning data'!AA62</f>
        <v>0</v>
      </c>
      <c r="Z64" s="111">
        <f>'Supply planning data'!AB62</f>
        <v>0</v>
      </c>
      <c r="AA64" s="111">
        <f>'Supply planning data'!AC62</f>
        <v>0</v>
      </c>
      <c r="AB64" s="111">
        <f>'Supply planning data'!AD62</f>
        <v>0</v>
      </c>
      <c r="AC64" s="111">
        <f>'Supply planning data'!AE62</f>
        <v>0</v>
      </c>
      <c r="AD64" s="327" t="str">
        <f>'Supply planning data'!AF62</f>
        <v/>
      </c>
      <c r="AE64" s="111">
        <f>'Supply planning data'!AG62</f>
        <v>0</v>
      </c>
      <c r="AF64" s="321">
        <f>'Supply planning data'!AH62</f>
        <v>0</v>
      </c>
      <c r="AG64" s="349">
        <f>'Supply planning data'!AI62</f>
        <v>0</v>
      </c>
      <c r="AH64" s="111">
        <f>'Supply planning data'!AJ62</f>
        <v>0</v>
      </c>
      <c r="AI64" s="111">
        <f>'Supply planning data'!AK62</f>
        <v>0</v>
      </c>
      <c r="AJ64" s="111">
        <f>'Supply planning data'!AL62</f>
        <v>0</v>
      </c>
      <c r="AK64" s="111">
        <f>'Supply planning data'!AM62</f>
        <v>0</v>
      </c>
      <c r="AL64" s="111">
        <f>'Supply planning data'!AN62</f>
        <v>0</v>
      </c>
      <c r="AM64" s="327" t="str">
        <f>'Supply planning data'!AO62</f>
        <v/>
      </c>
    </row>
    <row r="65" spans="1:39" hidden="1" x14ac:dyDescent="0.25">
      <c r="A65" s="109" t="str">
        <f>'Supply planning data'!C63</f>
        <v/>
      </c>
      <c r="B65" s="298">
        <f>'Supply planning data'!D63</f>
        <v>44287</v>
      </c>
      <c r="C65" s="105" t="str">
        <f>'Supply planning data'!E63</f>
        <v>No</v>
      </c>
      <c r="D65" s="105">
        <f>'Supply planning data'!F63</f>
        <v>0</v>
      </c>
      <c r="E65" s="320">
        <f>'Supply planning data'!G63</f>
        <v>0</v>
      </c>
      <c r="F65" s="320">
        <f>'Supply planning data'!H63</f>
        <v>0</v>
      </c>
      <c r="G65" s="320">
        <f>'Supply planning data'!I63</f>
        <v>0</v>
      </c>
      <c r="H65" s="105">
        <f>'Supply planning data'!J63</f>
        <v>0</v>
      </c>
      <c r="I65" s="320">
        <f>'Supply planning data'!K63</f>
        <v>0</v>
      </c>
      <c r="J65" s="177" t="str">
        <f>'Supply planning data'!L63</f>
        <v/>
      </c>
      <c r="K65" s="105">
        <f>'Supply planning data'!M63</f>
        <v>0</v>
      </c>
      <c r="L65" s="321">
        <f>'Supply planning data'!N63+'Supply planning data'!P63</f>
        <v>0</v>
      </c>
      <c r="M65" s="342">
        <f>'Supply planning data'!O63</f>
        <v>0</v>
      </c>
      <c r="N65" s="321">
        <f>'Supply planning data'!P63</f>
        <v>0</v>
      </c>
      <c r="O65" s="342">
        <f>'Supply planning data'!Q63</f>
        <v>0</v>
      </c>
      <c r="P65" s="111">
        <f>'Supply planning data'!R63</f>
        <v>0</v>
      </c>
      <c r="Q65" s="111">
        <f>'Supply planning data'!S63</f>
        <v>0</v>
      </c>
      <c r="R65" s="111">
        <f>'Supply planning data'!T63</f>
        <v>0</v>
      </c>
      <c r="S65" s="111">
        <f>'Supply planning data'!U63</f>
        <v>0</v>
      </c>
      <c r="T65" s="111">
        <f>'Supply planning data'!V63</f>
        <v>0</v>
      </c>
      <c r="U65" s="327" t="str">
        <f>'Supply planning data'!W63</f>
        <v/>
      </c>
      <c r="V65" s="111">
        <f>'Supply planning data'!X63</f>
        <v>0</v>
      </c>
      <c r="W65" s="321">
        <f>'Supply planning data'!Y63</f>
        <v>0</v>
      </c>
      <c r="X65" s="329">
        <f>'Supply planning data'!Z63</f>
        <v>0</v>
      </c>
      <c r="Y65" s="111">
        <f>'Supply planning data'!AA63</f>
        <v>0</v>
      </c>
      <c r="Z65" s="111">
        <f>'Supply planning data'!AB63</f>
        <v>0</v>
      </c>
      <c r="AA65" s="111">
        <f>'Supply planning data'!AC63</f>
        <v>0</v>
      </c>
      <c r="AB65" s="111">
        <f>'Supply planning data'!AD63</f>
        <v>0</v>
      </c>
      <c r="AC65" s="111">
        <f>'Supply planning data'!AE63</f>
        <v>0</v>
      </c>
      <c r="AD65" s="327" t="str">
        <f>'Supply planning data'!AF63</f>
        <v/>
      </c>
      <c r="AE65" s="111">
        <f>'Supply planning data'!AG63</f>
        <v>0</v>
      </c>
      <c r="AF65" s="321">
        <f>'Supply planning data'!AH63</f>
        <v>0</v>
      </c>
      <c r="AG65" s="349">
        <f>'Supply planning data'!AI63</f>
        <v>0</v>
      </c>
      <c r="AH65" s="111">
        <f>'Supply planning data'!AJ63</f>
        <v>0</v>
      </c>
      <c r="AI65" s="111">
        <f>'Supply planning data'!AK63</f>
        <v>0</v>
      </c>
      <c r="AJ65" s="111">
        <f>'Supply planning data'!AL63</f>
        <v>0</v>
      </c>
      <c r="AK65" s="111">
        <f>'Supply planning data'!AM63</f>
        <v>0</v>
      </c>
      <c r="AL65" s="111">
        <f>'Supply planning data'!AN63</f>
        <v>0</v>
      </c>
      <c r="AM65" s="327" t="str">
        <f>'Supply planning data'!AO63</f>
        <v/>
      </c>
    </row>
    <row r="66" spans="1:39" hidden="1" x14ac:dyDescent="0.25">
      <c r="A66" s="104" t="str">
        <f>'Supply planning data'!C64</f>
        <v/>
      </c>
      <c r="B66" s="298">
        <f>'Supply planning data'!D64</f>
        <v>44287</v>
      </c>
      <c r="C66" s="105" t="str">
        <f>'Supply planning data'!E64</f>
        <v>No</v>
      </c>
      <c r="D66" s="105">
        <f>'Supply planning data'!F64</f>
        <v>0</v>
      </c>
      <c r="E66" s="320">
        <f>'Supply planning data'!G64</f>
        <v>0</v>
      </c>
      <c r="F66" s="320">
        <f>'Supply planning data'!H64</f>
        <v>0</v>
      </c>
      <c r="G66" s="320">
        <f>'Supply planning data'!I64</f>
        <v>0</v>
      </c>
      <c r="H66" s="105">
        <f>'Supply planning data'!J64</f>
        <v>0</v>
      </c>
      <c r="I66" s="320">
        <f>'Supply planning data'!K64</f>
        <v>0</v>
      </c>
      <c r="J66" s="177" t="str">
        <f>'Supply planning data'!L64</f>
        <v/>
      </c>
      <c r="K66" s="105">
        <f>'Supply planning data'!M64</f>
        <v>0</v>
      </c>
      <c r="L66" s="321">
        <f>'Supply planning data'!N64+'Supply planning data'!P64</f>
        <v>0</v>
      </c>
      <c r="M66" s="342">
        <f>'Supply planning data'!O64</f>
        <v>0</v>
      </c>
      <c r="N66" s="321">
        <f>'Supply planning data'!P64</f>
        <v>0</v>
      </c>
      <c r="O66" s="342">
        <f>'Supply planning data'!Q64</f>
        <v>0</v>
      </c>
      <c r="P66" s="111">
        <f>'Supply planning data'!R64</f>
        <v>0</v>
      </c>
      <c r="Q66" s="111">
        <f>'Supply planning data'!S64</f>
        <v>0</v>
      </c>
      <c r="R66" s="111">
        <f>'Supply planning data'!T64</f>
        <v>0</v>
      </c>
      <c r="S66" s="111">
        <f>'Supply planning data'!U64</f>
        <v>0</v>
      </c>
      <c r="T66" s="111">
        <f>'Supply planning data'!V64</f>
        <v>0</v>
      </c>
      <c r="U66" s="327" t="str">
        <f>'Supply planning data'!W64</f>
        <v/>
      </c>
      <c r="V66" s="111">
        <f>'Supply planning data'!X64</f>
        <v>0</v>
      </c>
      <c r="W66" s="321">
        <f>'Supply planning data'!Y64</f>
        <v>0</v>
      </c>
      <c r="X66" s="329">
        <f>'Supply planning data'!Z64</f>
        <v>0</v>
      </c>
      <c r="Y66" s="111">
        <f>'Supply planning data'!AA64</f>
        <v>0</v>
      </c>
      <c r="Z66" s="111">
        <f>'Supply planning data'!AB64</f>
        <v>0</v>
      </c>
      <c r="AA66" s="111">
        <f>'Supply planning data'!AC64</f>
        <v>0</v>
      </c>
      <c r="AB66" s="111">
        <f>'Supply planning data'!AD64</f>
        <v>0</v>
      </c>
      <c r="AC66" s="111">
        <f>'Supply planning data'!AE64</f>
        <v>0</v>
      </c>
      <c r="AD66" s="327" t="str">
        <f>'Supply planning data'!AF64</f>
        <v/>
      </c>
      <c r="AE66" s="111">
        <f>'Supply planning data'!AG64</f>
        <v>0</v>
      </c>
      <c r="AF66" s="321">
        <f>'Supply planning data'!AH64</f>
        <v>0</v>
      </c>
      <c r="AG66" s="349">
        <f>'Supply planning data'!AI64</f>
        <v>0</v>
      </c>
      <c r="AH66" s="111">
        <f>'Supply planning data'!AJ64</f>
        <v>0</v>
      </c>
      <c r="AI66" s="111">
        <f>'Supply planning data'!AK64</f>
        <v>0</v>
      </c>
      <c r="AJ66" s="111">
        <f>'Supply planning data'!AL64</f>
        <v>0</v>
      </c>
      <c r="AK66" s="111">
        <f>'Supply planning data'!AM64</f>
        <v>0</v>
      </c>
      <c r="AL66" s="111">
        <f>'Supply planning data'!AN64</f>
        <v>0</v>
      </c>
      <c r="AM66" s="327" t="str">
        <f>'Supply planning data'!AO64</f>
        <v/>
      </c>
    </row>
    <row r="67" spans="1:39" x14ac:dyDescent="0.25">
      <c r="A67" s="90" t="str">
        <f>'Supply planning data'!C65</f>
        <v>AstraZeneca</v>
      </c>
      <c r="B67" s="296">
        <f>'Supply planning data'!D65</f>
        <v>44317</v>
      </c>
      <c r="C67" s="92" t="str">
        <f>'Supply planning data'!E65</f>
        <v>Yes</v>
      </c>
      <c r="D67" s="92">
        <f>'Supply planning data'!F65</f>
        <v>390300</v>
      </c>
      <c r="E67" s="316">
        <f>'Supply planning data'!G65</f>
        <v>42440</v>
      </c>
      <c r="F67" s="316">
        <f>'Supply planning data'!H65</f>
        <v>5</v>
      </c>
      <c r="G67" s="316">
        <f>'Supply planning data'!I65</f>
        <v>0</v>
      </c>
      <c r="H67" s="92">
        <f>'Supply planning data'!J65</f>
        <v>42445</v>
      </c>
      <c r="I67" s="316">
        <f>'Supply planning data'!K65</f>
        <v>0</v>
      </c>
      <c r="J67" s="174">
        <f>'Supply planning data'!L65</f>
        <v>0</v>
      </c>
      <c r="K67" s="92">
        <f>'Supply planning data'!M65</f>
        <v>42445</v>
      </c>
      <c r="L67" s="316">
        <f>'Supply planning data'!N65+'Supply planning data'!P65</f>
        <v>0</v>
      </c>
      <c r="M67" s="343">
        <f>'Supply planning data'!O65</f>
        <v>0</v>
      </c>
      <c r="N67" s="316">
        <f>'Supply planning data'!P65</f>
        <v>0</v>
      </c>
      <c r="O67" s="343">
        <f>'Supply planning data'!Q65</f>
        <v>0</v>
      </c>
      <c r="P67" s="92">
        <f>'Supply planning data'!R65</f>
        <v>0</v>
      </c>
      <c r="Q67" s="92">
        <f>'Supply planning data'!S65</f>
        <v>0</v>
      </c>
      <c r="R67" s="92">
        <f>'Supply planning data'!T65</f>
        <v>0</v>
      </c>
      <c r="S67" s="92">
        <f>'Supply planning data'!U65</f>
        <v>0</v>
      </c>
      <c r="T67" s="92">
        <f>'Supply planning data'!V65</f>
        <v>347855</v>
      </c>
      <c r="U67" s="324">
        <f>'Supply planning data'!W65</f>
        <v>24.586288137589822</v>
      </c>
      <c r="V67" s="92">
        <f>'Supply planning data'!X65</f>
        <v>390300</v>
      </c>
      <c r="W67" s="316">
        <f>'Supply planning data'!Y65</f>
        <v>0</v>
      </c>
      <c r="X67" s="328">
        <f>'Supply planning data'!Z65</f>
        <v>0</v>
      </c>
      <c r="Y67" s="92">
        <f>'Supply planning data'!AA65</f>
        <v>0</v>
      </c>
      <c r="Z67" s="92">
        <f>'Supply planning data'!AB65</f>
        <v>0</v>
      </c>
      <c r="AA67" s="92">
        <f>'Supply planning data'!AC65</f>
        <v>0</v>
      </c>
      <c r="AB67" s="92">
        <f>'Supply planning data'!AD65</f>
        <v>0</v>
      </c>
      <c r="AC67" s="92">
        <f>'Supply planning data'!AE65</f>
        <v>347855</v>
      </c>
      <c r="AD67" s="324">
        <f>'Supply planning data'!AF65</f>
        <v>5.2929853925745585</v>
      </c>
      <c r="AE67" s="92">
        <f>'Supply planning data'!AG65</f>
        <v>390300</v>
      </c>
      <c r="AF67" s="316">
        <f>'Supply planning data'!AH65</f>
        <v>0</v>
      </c>
      <c r="AG67" s="174">
        <f>'Supply planning data'!AI65</f>
        <v>0</v>
      </c>
      <c r="AH67" s="92">
        <f>'Supply planning data'!AJ65</f>
        <v>0</v>
      </c>
      <c r="AI67" s="92">
        <f>'Supply planning data'!AK65</f>
        <v>0</v>
      </c>
      <c r="AJ67" s="92">
        <f>'Supply planning data'!AL65</f>
        <v>0</v>
      </c>
      <c r="AK67" s="92">
        <f>'Supply planning data'!AM65</f>
        <v>0</v>
      </c>
      <c r="AL67" s="92">
        <f>'Supply planning data'!AN65</f>
        <v>347855</v>
      </c>
      <c r="AM67" s="324">
        <f>'Supply planning data'!AO65</f>
        <v>5.2929853925745585</v>
      </c>
    </row>
    <row r="68" spans="1:39" x14ac:dyDescent="0.25">
      <c r="A68" s="90" t="str">
        <f>'Supply planning data'!C66</f>
        <v>Jansen</v>
      </c>
      <c r="B68" s="296">
        <f>'Supply planning data'!D66</f>
        <v>44317</v>
      </c>
      <c r="C68" s="92" t="str">
        <f>'Supply planning data'!E66</f>
        <v>Yes</v>
      </c>
      <c r="D68" s="92">
        <f>'Supply planning data'!F66</f>
        <v>0</v>
      </c>
      <c r="E68" s="316">
        <f>'Supply planning data'!G66</f>
        <v>0</v>
      </c>
      <c r="F68" s="317">
        <f>'Supply planning data'!H66</f>
        <v>0</v>
      </c>
      <c r="G68" s="317">
        <f>'Supply planning data'!I66</f>
        <v>0</v>
      </c>
      <c r="H68" s="98">
        <f>'Supply planning data'!J66</f>
        <v>0</v>
      </c>
      <c r="I68" s="317">
        <f>'Supply planning data'!K66</f>
        <v>0</v>
      </c>
      <c r="J68" s="175" t="str">
        <f>'Supply planning data'!L66</f>
        <v/>
      </c>
      <c r="K68" s="98">
        <f>'Supply planning data'!M66</f>
        <v>0</v>
      </c>
      <c r="L68" s="317">
        <f>'Supply planning data'!N66+'Supply planning data'!P66</f>
        <v>0</v>
      </c>
      <c r="M68" s="339">
        <f>'Supply planning data'!O66</f>
        <v>0</v>
      </c>
      <c r="N68" s="317">
        <f>'Supply planning data'!P66</f>
        <v>0</v>
      </c>
      <c r="O68" s="339">
        <f>'Supply planning data'!Q66</f>
        <v>0</v>
      </c>
      <c r="P68" s="98">
        <f>'Supply planning data'!R66</f>
        <v>0</v>
      </c>
      <c r="Q68" s="98">
        <f>'Supply planning data'!S66</f>
        <v>0</v>
      </c>
      <c r="R68" s="98">
        <f>'Supply planning data'!T66</f>
        <v>0</v>
      </c>
      <c r="S68" s="98">
        <f>'Supply planning data'!U66</f>
        <v>0</v>
      </c>
      <c r="T68" s="98">
        <f>'Supply planning data'!V66</f>
        <v>0</v>
      </c>
      <c r="U68" s="325" t="str">
        <f>'Supply planning data'!W66</f>
        <v/>
      </c>
      <c r="V68" s="98">
        <f>'Supply planning data'!X66</f>
        <v>0</v>
      </c>
      <c r="W68" s="317">
        <f>'Supply planning data'!Y66</f>
        <v>0</v>
      </c>
      <c r="X68" s="328">
        <f>'Supply planning data'!Z66</f>
        <v>0</v>
      </c>
      <c r="Y68" s="98">
        <f>'Supply planning data'!AA66</f>
        <v>0</v>
      </c>
      <c r="Z68" s="98">
        <f>'Supply planning data'!AB66</f>
        <v>0</v>
      </c>
      <c r="AA68" s="98">
        <f>'Supply planning data'!AC66</f>
        <v>0</v>
      </c>
      <c r="AB68" s="98">
        <f>'Supply planning data'!AD66</f>
        <v>0</v>
      </c>
      <c r="AC68" s="98">
        <f>'Supply planning data'!AE66</f>
        <v>0</v>
      </c>
      <c r="AD68" s="325" t="str">
        <f>'Supply planning data'!AF66</f>
        <v/>
      </c>
      <c r="AE68" s="98">
        <f>'Supply planning data'!AG66</f>
        <v>0</v>
      </c>
      <c r="AF68" s="317">
        <f>'Supply planning data'!AH66</f>
        <v>0</v>
      </c>
      <c r="AG68" s="175">
        <f>'Supply planning data'!AI66</f>
        <v>0</v>
      </c>
      <c r="AH68" s="98">
        <f>'Supply planning data'!AJ66</f>
        <v>0</v>
      </c>
      <c r="AI68" s="98">
        <f>'Supply planning data'!AK66</f>
        <v>0</v>
      </c>
      <c r="AJ68" s="98">
        <f>'Supply planning data'!AL66</f>
        <v>0</v>
      </c>
      <c r="AK68" s="98">
        <f>'Supply planning data'!AM66</f>
        <v>0</v>
      </c>
      <c r="AL68" s="98">
        <f>'Supply planning data'!AN66</f>
        <v>0</v>
      </c>
      <c r="AM68" s="325" t="str">
        <f>'Supply planning data'!AO66</f>
        <v/>
      </c>
    </row>
    <row r="69" spans="1:39" x14ac:dyDescent="0.25">
      <c r="A69" s="90" t="str">
        <f>'Supply planning data'!C67</f>
        <v>Moderna</v>
      </c>
      <c r="B69" s="296">
        <f>'Supply planning data'!D67</f>
        <v>44317</v>
      </c>
      <c r="C69" s="92" t="str">
        <f>'Supply planning data'!E67</f>
        <v>No</v>
      </c>
      <c r="D69" s="92">
        <f>'Supply planning data'!F67</f>
        <v>0</v>
      </c>
      <c r="E69" s="316">
        <f>'Supply planning data'!G67</f>
        <v>0</v>
      </c>
      <c r="F69" s="317">
        <f>'Supply planning data'!H67</f>
        <v>0</v>
      </c>
      <c r="G69" s="317">
        <f>'Supply planning data'!I67</f>
        <v>0</v>
      </c>
      <c r="H69" s="98">
        <f>'Supply planning data'!J67</f>
        <v>0</v>
      </c>
      <c r="I69" s="317">
        <f>'Supply planning data'!K67</f>
        <v>0</v>
      </c>
      <c r="J69" s="175" t="str">
        <f>'Supply planning data'!L67</f>
        <v/>
      </c>
      <c r="K69" s="98">
        <f>'Supply planning data'!M67</f>
        <v>0</v>
      </c>
      <c r="L69" s="317">
        <f>'Supply planning data'!N67+'Supply planning data'!P67</f>
        <v>0</v>
      </c>
      <c r="M69" s="339">
        <f>'Supply planning data'!O67</f>
        <v>0</v>
      </c>
      <c r="N69" s="317">
        <f>'Supply planning data'!P67</f>
        <v>0</v>
      </c>
      <c r="O69" s="339">
        <f>'Supply planning data'!Q67</f>
        <v>0</v>
      </c>
      <c r="P69" s="98">
        <f>'Supply planning data'!R67</f>
        <v>0</v>
      </c>
      <c r="Q69" s="98">
        <f>'Supply planning data'!S67</f>
        <v>0</v>
      </c>
      <c r="R69" s="98">
        <f>'Supply planning data'!T67</f>
        <v>0</v>
      </c>
      <c r="S69" s="98">
        <f>'Supply planning data'!U67</f>
        <v>0</v>
      </c>
      <c r="T69" s="98">
        <f>'Supply planning data'!V67</f>
        <v>0</v>
      </c>
      <c r="U69" s="325" t="str">
        <f>'Supply planning data'!W67</f>
        <v/>
      </c>
      <c r="V69" s="98">
        <f>'Supply planning data'!X67</f>
        <v>0</v>
      </c>
      <c r="W69" s="317">
        <f>'Supply planning data'!Y67</f>
        <v>0</v>
      </c>
      <c r="X69" s="328">
        <f>'Supply planning data'!Z67</f>
        <v>0</v>
      </c>
      <c r="Y69" s="98">
        <f>'Supply planning data'!AA67</f>
        <v>0</v>
      </c>
      <c r="Z69" s="98">
        <f>'Supply planning data'!AB67</f>
        <v>0</v>
      </c>
      <c r="AA69" s="98">
        <f>'Supply planning data'!AC67</f>
        <v>0</v>
      </c>
      <c r="AB69" s="98">
        <f>'Supply planning data'!AD67</f>
        <v>0</v>
      </c>
      <c r="AC69" s="98">
        <f>'Supply planning data'!AE67</f>
        <v>0</v>
      </c>
      <c r="AD69" s="325" t="str">
        <f>'Supply planning data'!AF67</f>
        <v/>
      </c>
      <c r="AE69" s="98">
        <f>'Supply planning data'!AG67</f>
        <v>0</v>
      </c>
      <c r="AF69" s="317">
        <f>'Supply planning data'!AH67</f>
        <v>0</v>
      </c>
      <c r="AG69" s="175">
        <f>'Supply planning data'!AI67</f>
        <v>0</v>
      </c>
      <c r="AH69" s="98">
        <f>'Supply planning data'!AJ67</f>
        <v>0</v>
      </c>
      <c r="AI69" s="98">
        <f>'Supply planning data'!AK67</f>
        <v>0</v>
      </c>
      <c r="AJ69" s="98">
        <f>'Supply planning data'!AL67</f>
        <v>0</v>
      </c>
      <c r="AK69" s="98">
        <f>'Supply planning data'!AM67</f>
        <v>0</v>
      </c>
      <c r="AL69" s="98">
        <f>'Supply planning data'!AN67</f>
        <v>0</v>
      </c>
      <c r="AM69" s="325" t="str">
        <f>'Supply planning data'!AO67</f>
        <v/>
      </c>
    </row>
    <row r="70" spans="1:39" x14ac:dyDescent="0.25">
      <c r="A70" s="90" t="str">
        <f>'Supply planning data'!C68</f>
        <v>Pfizer</v>
      </c>
      <c r="B70" s="296">
        <f>'Supply planning data'!D68</f>
        <v>44317</v>
      </c>
      <c r="C70" s="92" t="str">
        <f>'Supply planning data'!E68</f>
        <v>Yes</v>
      </c>
      <c r="D70" s="92">
        <f>'Supply planning data'!F68</f>
        <v>0</v>
      </c>
      <c r="E70" s="316">
        <f>'Supply planning data'!G68</f>
        <v>0</v>
      </c>
      <c r="F70" s="317">
        <f>'Supply planning data'!H68</f>
        <v>0</v>
      </c>
      <c r="G70" s="317">
        <f>'Supply planning data'!I68</f>
        <v>0</v>
      </c>
      <c r="H70" s="98">
        <f>'Supply planning data'!J68</f>
        <v>0</v>
      </c>
      <c r="I70" s="317">
        <f>'Supply planning data'!K68</f>
        <v>0</v>
      </c>
      <c r="J70" s="175" t="str">
        <f>'Supply planning data'!L68</f>
        <v/>
      </c>
      <c r="K70" s="98">
        <f>'Supply planning data'!M68</f>
        <v>0</v>
      </c>
      <c r="L70" s="317">
        <f>'Supply planning data'!N68+'Supply planning data'!P68</f>
        <v>0</v>
      </c>
      <c r="M70" s="339">
        <f>'Supply planning data'!O68</f>
        <v>0</v>
      </c>
      <c r="N70" s="317">
        <f>'Supply planning data'!P68</f>
        <v>0</v>
      </c>
      <c r="O70" s="339">
        <f>'Supply planning data'!Q68</f>
        <v>0</v>
      </c>
      <c r="P70" s="98">
        <f>'Supply planning data'!R68</f>
        <v>0</v>
      </c>
      <c r="Q70" s="98">
        <f>'Supply planning data'!S68</f>
        <v>0</v>
      </c>
      <c r="R70" s="98">
        <f>'Supply planning data'!T68</f>
        <v>0</v>
      </c>
      <c r="S70" s="98">
        <f>'Supply planning data'!U68</f>
        <v>0</v>
      </c>
      <c r="T70" s="98">
        <f>'Supply planning data'!V68</f>
        <v>0</v>
      </c>
      <c r="U70" s="325" t="str">
        <f>'Supply planning data'!W68</f>
        <v/>
      </c>
      <c r="V70" s="98">
        <f>'Supply planning data'!X68</f>
        <v>0</v>
      </c>
      <c r="W70" s="317">
        <f>'Supply planning data'!Y68</f>
        <v>0</v>
      </c>
      <c r="X70" s="328">
        <f>'Supply planning data'!Z68</f>
        <v>0</v>
      </c>
      <c r="Y70" s="98">
        <f>'Supply planning data'!AA68</f>
        <v>0</v>
      </c>
      <c r="Z70" s="98">
        <f>'Supply planning data'!AB68</f>
        <v>0</v>
      </c>
      <c r="AA70" s="98">
        <f>'Supply planning data'!AC68</f>
        <v>0</v>
      </c>
      <c r="AB70" s="98">
        <f>'Supply planning data'!AD68</f>
        <v>0</v>
      </c>
      <c r="AC70" s="98">
        <f>'Supply planning data'!AE68</f>
        <v>0</v>
      </c>
      <c r="AD70" s="325" t="str">
        <f>'Supply planning data'!AF68</f>
        <v/>
      </c>
      <c r="AE70" s="98">
        <f>'Supply planning data'!AG68</f>
        <v>0</v>
      </c>
      <c r="AF70" s="317">
        <f>'Supply planning data'!AH68</f>
        <v>0</v>
      </c>
      <c r="AG70" s="175">
        <f>'Supply planning data'!AI68</f>
        <v>0</v>
      </c>
      <c r="AH70" s="98">
        <f>'Supply planning data'!AJ68</f>
        <v>0</v>
      </c>
      <c r="AI70" s="98">
        <f>'Supply planning data'!AK68</f>
        <v>0</v>
      </c>
      <c r="AJ70" s="98">
        <f>'Supply planning data'!AL68</f>
        <v>0</v>
      </c>
      <c r="AK70" s="98">
        <f>'Supply planning data'!AM68</f>
        <v>0</v>
      </c>
      <c r="AL70" s="98">
        <f>'Supply planning data'!AN68</f>
        <v>0</v>
      </c>
      <c r="AM70" s="325" t="str">
        <f>'Supply planning data'!AO68</f>
        <v/>
      </c>
    </row>
    <row r="71" spans="1:39" x14ac:dyDescent="0.25">
      <c r="A71" s="90" t="str">
        <f>'Supply planning data'!C69</f>
        <v>Sinovac</v>
      </c>
      <c r="B71" s="296">
        <f>'Supply planning data'!D69</f>
        <v>44317</v>
      </c>
      <c r="C71" s="92" t="str">
        <f>'Supply planning data'!E69</f>
        <v>No</v>
      </c>
      <c r="D71" s="92">
        <f>'Supply planning data'!F69</f>
        <v>0</v>
      </c>
      <c r="E71" s="316">
        <f>'Supply planning data'!G69</f>
        <v>0</v>
      </c>
      <c r="F71" s="317">
        <f>'Supply planning data'!H69</f>
        <v>0</v>
      </c>
      <c r="G71" s="317">
        <f>'Supply planning data'!I69</f>
        <v>0</v>
      </c>
      <c r="H71" s="98">
        <f>'Supply planning data'!J69</f>
        <v>0</v>
      </c>
      <c r="I71" s="317">
        <f>'Supply planning data'!K69</f>
        <v>0</v>
      </c>
      <c r="J71" s="175" t="str">
        <f>'Supply planning data'!L69</f>
        <v/>
      </c>
      <c r="K71" s="98">
        <f>'Supply planning data'!M69</f>
        <v>0</v>
      </c>
      <c r="L71" s="317">
        <f>'Supply planning data'!N69+'Supply planning data'!P69</f>
        <v>0</v>
      </c>
      <c r="M71" s="339">
        <f>'Supply planning data'!O69</f>
        <v>0</v>
      </c>
      <c r="N71" s="317">
        <f>'Supply planning data'!P69</f>
        <v>0</v>
      </c>
      <c r="O71" s="339">
        <f>'Supply planning data'!Q69</f>
        <v>0</v>
      </c>
      <c r="P71" s="98">
        <f>'Supply planning data'!R69</f>
        <v>0</v>
      </c>
      <c r="Q71" s="98">
        <f>'Supply planning data'!S69</f>
        <v>0</v>
      </c>
      <c r="R71" s="98">
        <f>'Supply planning data'!T69</f>
        <v>0</v>
      </c>
      <c r="S71" s="98">
        <f>'Supply planning data'!U69</f>
        <v>0</v>
      </c>
      <c r="T71" s="98">
        <f>'Supply planning data'!V69</f>
        <v>0</v>
      </c>
      <c r="U71" s="325" t="str">
        <f>'Supply planning data'!W69</f>
        <v/>
      </c>
      <c r="V71" s="98">
        <f>'Supply planning data'!X69</f>
        <v>0</v>
      </c>
      <c r="W71" s="317">
        <f>'Supply planning data'!Y69</f>
        <v>0</v>
      </c>
      <c r="X71" s="328">
        <f>'Supply planning data'!Z69</f>
        <v>0</v>
      </c>
      <c r="Y71" s="98">
        <f>'Supply planning data'!AA69</f>
        <v>0</v>
      </c>
      <c r="Z71" s="98">
        <f>'Supply planning data'!AB69</f>
        <v>0</v>
      </c>
      <c r="AA71" s="98">
        <f>'Supply planning data'!AC69</f>
        <v>0</v>
      </c>
      <c r="AB71" s="98">
        <f>'Supply planning data'!AD69</f>
        <v>0</v>
      </c>
      <c r="AC71" s="98">
        <f>'Supply planning data'!AE69</f>
        <v>0</v>
      </c>
      <c r="AD71" s="325" t="str">
        <f>'Supply planning data'!AF69</f>
        <v/>
      </c>
      <c r="AE71" s="98">
        <f>'Supply planning data'!AG69</f>
        <v>0</v>
      </c>
      <c r="AF71" s="317">
        <f>'Supply planning data'!AH69</f>
        <v>0</v>
      </c>
      <c r="AG71" s="175">
        <f>'Supply planning data'!AI69</f>
        <v>0</v>
      </c>
      <c r="AH71" s="98">
        <f>'Supply planning data'!AJ69</f>
        <v>0</v>
      </c>
      <c r="AI71" s="98">
        <f>'Supply planning data'!AK69</f>
        <v>0</v>
      </c>
      <c r="AJ71" s="98">
        <f>'Supply planning data'!AL69</f>
        <v>0</v>
      </c>
      <c r="AK71" s="98">
        <f>'Supply planning data'!AM69</f>
        <v>0</v>
      </c>
      <c r="AL71" s="98">
        <f>'Supply planning data'!AN69</f>
        <v>0</v>
      </c>
      <c r="AM71" s="325" t="str">
        <f>'Supply planning data'!AO69</f>
        <v/>
      </c>
    </row>
    <row r="72" spans="1:39" hidden="1" x14ac:dyDescent="0.25">
      <c r="A72" s="90" t="str">
        <f>'Supply planning data'!C70</f>
        <v/>
      </c>
      <c r="B72" s="296">
        <f>'Supply planning data'!D70</f>
        <v>44317</v>
      </c>
      <c r="C72" s="92" t="str">
        <f>'Supply planning data'!E70</f>
        <v>No</v>
      </c>
      <c r="D72" s="92">
        <f>'Supply planning data'!F70</f>
        <v>0</v>
      </c>
      <c r="E72" s="316">
        <f>'Supply planning data'!G70</f>
        <v>0</v>
      </c>
      <c r="F72" s="317">
        <f>'Supply planning data'!H70</f>
        <v>0</v>
      </c>
      <c r="G72" s="317">
        <f>'Supply planning data'!I70</f>
        <v>0</v>
      </c>
      <c r="H72" s="98">
        <f>'Supply planning data'!J70</f>
        <v>0</v>
      </c>
      <c r="I72" s="317">
        <f>'Supply planning data'!K70</f>
        <v>0</v>
      </c>
      <c r="J72" s="175" t="str">
        <f>'Supply planning data'!L70</f>
        <v/>
      </c>
      <c r="K72" s="98">
        <f>'Supply planning data'!M70</f>
        <v>0</v>
      </c>
      <c r="L72" s="317">
        <f>'Supply planning data'!N70+'Supply planning data'!P70</f>
        <v>0</v>
      </c>
      <c r="M72" s="339">
        <f>'Supply planning data'!O70</f>
        <v>0</v>
      </c>
      <c r="N72" s="317">
        <f>'Supply planning data'!P70</f>
        <v>0</v>
      </c>
      <c r="O72" s="339">
        <f>'Supply planning data'!Q70</f>
        <v>0</v>
      </c>
      <c r="P72" s="98">
        <f>'Supply planning data'!R70</f>
        <v>0</v>
      </c>
      <c r="Q72" s="98">
        <f>'Supply planning data'!S70</f>
        <v>0</v>
      </c>
      <c r="R72" s="98">
        <f>'Supply planning data'!T70</f>
        <v>0</v>
      </c>
      <c r="S72" s="98">
        <f>'Supply planning data'!U70</f>
        <v>0</v>
      </c>
      <c r="T72" s="98">
        <f>'Supply planning data'!V70</f>
        <v>0</v>
      </c>
      <c r="U72" s="325" t="str">
        <f>'Supply planning data'!W70</f>
        <v/>
      </c>
      <c r="V72" s="98">
        <f>'Supply planning data'!X70</f>
        <v>0</v>
      </c>
      <c r="W72" s="317">
        <f>'Supply planning data'!Y70</f>
        <v>0</v>
      </c>
      <c r="X72" s="328">
        <f>'Supply planning data'!Z70</f>
        <v>0</v>
      </c>
      <c r="Y72" s="98">
        <f>'Supply planning data'!AA70</f>
        <v>0</v>
      </c>
      <c r="Z72" s="98">
        <f>'Supply planning data'!AB70</f>
        <v>0</v>
      </c>
      <c r="AA72" s="98">
        <f>'Supply planning data'!AC70</f>
        <v>0</v>
      </c>
      <c r="AB72" s="98">
        <f>'Supply planning data'!AD70</f>
        <v>0</v>
      </c>
      <c r="AC72" s="98">
        <f>'Supply planning data'!AE70</f>
        <v>0</v>
      </c>
      <c r="AD72" s="325" t="str">
        <f>'Supply planning data'!AF70</f>
        <v/>
      </c>
      <c r="AE72" s="98">
        <f>'Supply planning data'!AG70</f>
        <v>0</v>
      </c>
      <c r="AF72" s="317">
        <f>'Supply planning data'!AH70</f>
        <v>0</v>
      </c>
      <c r="AG72" s="175">
        <f>'Supply planning data'!AI70</f>
        <v>0</v>
      </c>
      <c r="AH72" s="98">
        <f>'Supply planning data'!AJ70</f>
        <v>0</v>
      </c>
      <c r="AI72" s="98">
        <f>'Supply planning data'!AK70</f>
        <v>0</v>
      </c>
      <c r="AJ72" s="98">
        <f>'Supply planning data'!AL70</f>
        <v>0</v>
      </c>
      <c r="AK72" s="98">
        <f>'Supply planning data'!AM70</f>
        <v>0</v>
      </c>
      <c r="AL72" s="98">
        <f>'Supply planning data'!AN70</f>
        <v>0</v>
      </c>
      <c r="AM72" s="325" t="str">
        <f>'Supply planning data'!AO70</f>
        <v/>
      </c>
    </row>
    <row r="73" spans="1:39" hidden="1" x14ac:dyDescent="0.25">
      <c r="A73" s="90" t="str">
        <f>'Supply planning data'!C71</f>
        <v/>
      </c>
      <c r="B73" s="296">
        <f>'Supply planning data'!D71</f>
        <v>44317</v>
      </c>
      <c r="C73" s="92" t="str">
        <f>'Supply planning data'!E71</f>
        <v>No</v>
      </c>
      <c r="D73" s="92">
        <f>'Supply planning data'!F71</f>
        <v>0</v>
      </c>
      <c r="E73" s="316">
        <f>'Supply planning data'!G71</f>
        <v>0</v>
      </c>
      <c r="F73" s="317">
        <f>'Supply planning data'!H71</f>
        <v>0</v>
      </c>
      <c r="G73" s="317">
        <f>'Supply planning data'!I71</f>
        <v>0</v>
      </c>
      <c r="H73" s="98">
        <f>'Supply planning data'!J71</f>
        <v>0</v>
      </c>
      <c r="I73" s="317">
        <f>'Supply planning data'!K71</f>
        <v>0</v>
      </c>
      <c r="J73" s="175" t="str">
        <f>'Supply planning data'!L71</f>
        <v/>
      </c>
      <c r="K73" s="98">
        <f>'Supply planning data'!M71</f>
        <v>0</v>
      </c>
      <c r="L73" s="317">
        <f>'Supply planning data'!N71+'Supply planning data'!P71</f>
        <v>0</v>
      </c>
      <c r="M73" s="339">
        <f>'Supply planning data'!O71</f>
        <v>0</v>
      </c>
      <c r="N73" s="317">
        <f>'Supply planning data'!P71</f>
        <v>0</v>
      </c>
      <c r="O73" s="339">
        <f>'Supply planning data'!Q71</f>
        <v>0</v>
      </c>
      <c r="P73" s="98">
        <f>'Supply planning data'!R71</f>
        <v>0</v>
      </c>
      <c r="Q73" s="98">
        <f>'Supply planning data'!S71</f>
        <v>0</v>
      </c>
      <c r="R73" s="98">
        <f>'Supply planning data'!T71</f>
        <v>0</v>
      </c>
      <c r="S73" s="98">
        <f>'Supply planning data'!U71</f>
        <v>0</v>
      </c>
      <c r="T73" s="98">
        <f>'Supply planning data'!V71</f>
        <v>0</v>
      </c>
      <c r="U73" s="325" t="str">
        <f>'Supply planning data'!W71</f>
        <v/>
      </c>
      <c r="V73" s="98">
        <f>'Supply planning data'!X71</f>
        <v>0</v>
      </c>
      <c r="W73" s="317">
        <f>'Supply planning data'!Y71</f>
        <v>0</v>
      </c>
      <c r="X73" s="328">
        <f>'Supply planning data'!Z71</f>
        <v>0</v>
      </c>
      <c r="Y73" s="98">
        <f>'Supply planning data'!AA71</f>
        <v>0</v>
      </c>
      <c r="Z73" s="98">
        <f>'Supply planning data'!AB71</f>
        <v>0</v>
      </c>
      <c r="AA73" s="98">
        <f>'Supply planning data'!AC71</f>
        <v>0</v>
      </c>
      <c r="AB73" s="98">
        <f>'Supply planning data'!AD71</f>
        <v>0</v>
      </c>
      <c r="AC73" s="98">
        <f>'Supply planning data'!AE71</f>
        <v>0</v>
      </c>
      <c r="AD73" s="325" t="str">
        <f>'Supply planning data'!AF71</f>
        <v/>
      </c>
      <c r="AE73" s="98">
        <f>'Supply planning data'!AG71</f>
        <v>0</v>
      </c>
      <c r="AF73" s="317">
        <f>'Supply planning data'!AH71</f>
        <v>0</v>
      </c>
      <c r="AG73" s="175">
        <f>'Supply planning data'!AI71</f>
        <v>0</v>
      </c>
      <c r="AH73" s="98">
        <f>'Supply planning data'!AJ71</f>
        <v>0</v>
      </c>
      <c r="AI73" s="98">
        <f>'Supply planning data'!AK71</f>
        <v>0</v>
      </c>
      <c r="AJ73" s="98">
        <f>'Supply planning data'!AL71</f>
        <v>0</v>
      </c>
      <c r="AK73" s="98">
        <f>'Supply planning data'!AM71</f>
        <v>0</v>
      </c>
      <c r="AL73" s="98">
        <f>'Supply planning data'!AN71</f>
        <v>0</v>
      </c>
      <c r="AM73" s="325" t="str">
        <f>'Supply planning data'!AO71</f>
        <v/>
      </c>
    </row>
    <row r="74" spans="1:39" hidden="1" x14ac:dyDescent="0.25">
      <c r="A74" s="90" t="str">
        <f>'Supply planning data'!C72</f>
        <v/>
      </c>
      <c r="B74" s="296">
        <f>'Supply planning data'!D72</f>
        <v>44317</v>
      </c>
      <c r="C74" s="92" t="str">
        <f>'Supply planning data'!E72</f>
        <v>No</v>
      </c>
      <c r="D74" s="92">
        <f>'Supply planning data'!F72</f>
        <v>0</v>
      </c>
      <c r="E74" s="316">
        <f>'Supply planning data'!G72</f>
        <v>0</v>
      </c>
      <c r="F74" s="317">
        <f>'Supply planning data'!H72</f>
        <v>0</v>
      </c>
      <c r="G74" s="317">
        <f>'Supply planning data'!I72</f>
        <v>0</v>
      </c>
      <c r="H74" s="98">
        <f>'Supply planning data'!J72</f>
        <v>0</v>
      </c>
      <c r="I74" s="317">
        <f>'Supply planning data'!K72</f>
        <v>0</v>
      </c>
      <c r="J74" s="175" t="str">
        <f>'Supply planning data'!L72</f>
        <v/>
      </c>
      <c r="K74" s="98">
        <f>'Supply planning data'!M72</f>
        <v>0</v>
      </c>
      <c r="L74" s="317">
        <f>'Supply planning data'!N72+'Supply planning data'!P72</f>
        <v>0</v>
      </c>
      <c r="M74" s="339">
        <f>'Supply planning data'!O72</f>
        <v>0</v>
      </c>
      <c r="N74" s="317">
        <f>'Supply planning data'!P72</f>
        <v>0</v>
      </c>
      <c r="O74" s="339">
        <f>'Supply planning data'!Q72</f>
        <v>0</v>
      </c>
      <c r="P74" s="98">
        <f>'Supply planning data'!R72</f>
        <v>0</v>
      </c>
      <c r="Q74" s="98">
        <f>'Supply planning data'!S72</f>
        <v>0</v>
      </c>
      <c r="R74" s="98">
        <f>'Supply planning data'!T72</f>
        <v>0</v>
      </c>
      <c r="S74" s="98">
        <f>'Supply planning data'!U72</f>
        <v>0</v>
      </c>
      <c r="T74" s="98">
        <f>'Supply planning data'!V72</f>
        <v>0</v>
      </c>
      <c r="U74" s="325" t="str">
        <f>'Supply planning data'!W72</f>
        <v/>
      </c>
      <c r="V74" s="98">
        <f>'Supply planning data'!X72</f>
        <v>0</v>
      </c>
      <c r="W74" s="317">
        <f>'Supply planning data'!Y72</f>
        <v>0</v>
      </c>
      <c r="X74" s="328">
        <f>'Supply planning data'!Z72</f>
        <v>0</v>
      </c>
      <c r="Y74" s="98">
        <f>'Supply planning data'!AA72</f>
        <v>0</v>
      </c>
      <c r="Z74" s="98">
        <f>'Supply planning data'!AB72</f>
        <v>0</v>
      </c>
      <c r="AA74" s="98">
        <f>'Supply planning data'!AC72</f>
        <v>0</v>
      </c>
      <c r="AB74" s="98">
        <f>'Supply planning data'!AD72</f>
        <v>0</v>
      </c>
      <c r="AC74" s="98">
        <f>'Supply planning data'!AE72</f>
        <v>0</v>
      </c>
      <c r="AD74" s="325" t="str">
        <f>'Supply planning data'!AF72</f>
        <v/>
      </c>
      <c r="AE74" s="98">
        <f>'Supply planning data'!AG72</f>
        <v>0</v>
      </c>
      <c r="AF74" s="317">
        <f>'Supply planning data'!AH72</f>
        <v>0</v>
      </c>
      <c r="AG74" s="175">
        <f>'Supply planning data'!AI72</f>
        <v>0</v>
      </c>
      <c r="AH74" s="98">
        <f>'Supply planning data'!AJ72</f>
        <v>0</v>
      </c>
      <c r="AI74" s="98">
        <f>'Supply planning data'!AK72</f>
        <v>0</v>
      </c>
      <c r="AJ74" s="98">
        <f>'Supply planning data'!AL72</f>
        <v>0</v>
      </c>
      <c r="AK74" s="98">
        <f>'Supply planning data'!AM72</f>
        <v>0</v>
      </c>
      <c r="AL74" s="98">
        <f>'Supply planning data'!AN72</f>
        <v>0</v>
      </c>
      <c r="AM74" s="325" t="str">
        <f>'Supply planning data'!AO72</f>
        <v/>
      </c>
    </row>
    <row r="75" spans="1:39" hidden="1" x14ac:dyDescent="0.25">
      <c r="A75" s="90" t="str">
        <f>'Supply planning data'!C73</f>
        <v/>
      </c>
      <c r="B75" s="296">
        <f>'Supply planning data'!D73</f>
        <v>44317</v>
      </c>
      <c r="C75" s="92" t="str">
        <f>'Supply planning data'!E73</f>
        <v>No</v>
      </c>
      <c r="D75" s="92">
        <f>'Supply planning data'!F73</f>
        <v>0</v>
      </c>
      <c r="E75" s="316">
        <f>'Supply planning data'!G73</f>
        <v>0</v>
      </c>
      <c r="F75" s="317">
        <f>'Supply planning data'!H73</f>
        <v>0</v>
      </c>
      <c r="G75" s="317">
        <f>'Supply planning data'!I73</f>
        <v>0</v>
      </c>
      <c r="H75" s="98">
        <f>'Supply planning data'!J73</f>
        <v>0</v>
      </c>
      <c r="I75" s="317">
        <f>'Supply planning data'!K73</f>
        <v>0</v>
      </c>
      <c r="J75" s="175" t="str">
        <f>'Supply planning data'!L73</f>
        <v/>
      </c>
      <c r="K75" s="98">
        <f>'Supply planning data'!M73</f>
        <v>0</v>
      </c>
      <c r="L75" s="317">
        <f>'Supply planning data'!N73+'Supply planning data'!P73</f>
        <v>0</v>
      </c>
      <c r="M75" s="339">
        <f>'Supply planning data'!O73</f>
        <v>0</v>
      </c>
      <c r="N75" s="317">
        <f>'Supply planning data'!P73</f>
        <v>0</v>
      </c>
      <c r="O75" s="339">
        <f>'Supply planning data'!Q73</f>
        <v>0</v>
      </c>
      <c r="P75" s="98">
        <f>'Supply planning data'!R73</f>
        <v>0</v>
      </c>
      <c r="Q75" s="98">
        <f>'Supply planning data'!S73</f>
        <v>0</v>
      </c>
      <c r="R75" s="98">
        <f>'Supply planning data'!T73</f>
        <v>0</v>
      </c>
      <c r="S75" s="98">
        <f>'Supply planning data'!U73</f>
        <v>0</v>
      </c>
      <c r="T75" s="98">
        <f>'Supply planning data'!V73</f>
        <v>0</v>
      </c>
      <c r="U75" s="325" t="str">
        <f>'Supply planning data'!W73</f>
        <v/>
      </c>
      <c r="V75" s="98">
        <f>'Supply planning data'!X73</f>
        <v>0</v>
      </c>
      <c r="W75" s="317">
        <f>'Supply planning data'!Y73</f>
        <v>0</v>
      </c>
      <c r="X75" s="328">
        <f>'Supply planning data'!Z73</f>
        <v>0</v>
      </c>
      <c r="Y75" s="98">
        <f>'Supply planning data'!AA73</f>
        <v>0</v>
      </c>
      <c r="Z75" s="98">
        <f>'Supply planning data'!AB73</f>
        <v>0</v>
      </c>
      <c r="AA75" s="98">
        <f>'Supply planning data'!AC73</f>
        <v>0</v>
      </c>
      <c r="AB75" s="98">
        <f>'Supply planning data'!AD73</f>
        <v>0</v>
      </c>
      <c r="AC75" s="98">
        <f>'Supply planning data'!AE73</f>
        <v>0</v>
      </c>
      <c r="AD75" s="325" t="str">
        <f>'Supply planning data'!AF73</f>
        <v/>
      </c>
      <c r="AE75" s="98">
        <f>'Supply planning data'!AG73</f>
        <v>0</v>
      </c>
      <c r="AF75" s="317">
        <f>'Supply planning data'!AH73</f>
        <v>0</v>
      </c>
      <c r="AG75" s="175">
        <f>'Supply planning data'!AI73</f>
        <v>0</v>
      </c>
      <c r="AH75" s="98">
        <f>'Supply planning data'!AJ73</f>
        <v>0</v>
      </c>
      <c r="AI75" s="98">
        <f>'Supply planning data'!AK73</f>
        <v>0</v>
      </c>
      <c r="AJ75" s="98">
        <f>'Supply planning data'!AL73</f>
        <v>0</v>
      </c>
      <c r="AK75" s="98">
        <f>'Supply planning data'!AM73</f>
        <v>0</v>
      </c>
      <c r="AL75" s="98">
        <f>'Supply planning data'!AN73</f>
        <v>0</v>
      </c>
      <c r="AM75" s="325" t="str">
        <f>'Supply planning data'!AO73</f>
        <v/>
      </c>
    </row>
    <row r="76" spans="1:39" hidden="1" x14ac:dyDescent="0.25">
      <c r="A76" s="90" t="str">
        <f>'Supply planning data'!C74</f>
        <v/>
      </c>
      <c r="B76" s="296">
        <f>'Supply planning data'!D74</f>
        <v>44317</v>
      </c>
      <c r="C76" s="92" t="str">
        <f>'Supply planning data'!E74</f>
        <v>No</v>
      </c>
      <c r="D76" s="92">
        <f>'Supply planning data'!F74</f>
        <v>0</v>
      </c>
      <c r="E76" s="316">
        <f>'Supply planning data'!G74</f>
        <v>0</v>
      </c>
      <c r="F76" s="317">
        <f>'Supply planning data'!H74</f>
        <v>0</v>
      </c>
      <c r="G76" s="317">
        <f>'Supply planning data'!I74</f>
        <v>0</v>
      </c>
      <c r="H76" s="98">
        <f>'Supply planning data'!J74</f>
        <v>0</v>
      </c>
      <c r="I76" s="317">
        <f>'Supply planning data'!K74</f>
        <v>0</v>
      </c>
      <c r="J76" s="175" t="str">
        <f>'Supply planning data'!L74</f>
        <v/>
      </c>
      <c r="K76" s="98">
        <f>'Supply planning data'!M74</f>
        <v>0</v>
      </c>
      <c r="L76" s="317">
        <f>'Supply planning data'!N74+'Supply planning data'!P74</f>
        <v>0</v>
      </c>
      <c r="M76" s="339">
        <f>'Supply planning data'!O74</f>
        <v>0</v>
      </c>
      <c r="N76" s="317">
        <f>'Supply planning data'!P74</f>
        <v>0</v>
      </c>
      <c r="O76" s="339">
        <f>'Supply planning data'!Q74</f>
        <v>0</v>
      </c>
      <c r="P76" s="98">
        <f>'Supply planning data'!R74</f>
        <v>0</v>
      </c>
      <c r="Q76" s="98">
        <f>'Supply planning data'!S74</f>
        <v>0</v>
      </c>
      <c r="R76" s="98">
        <f>'Supply planning data'!T74</f>
        <v>0</v>
      </c>
      <c r="S76" s="98">
        <f>'Supply planning data'!U74</f>
        <v>0</v>
      </c>
      <c r="T76" s="98">
        <f>'Supply planning data'!V74</f>
        <v>0</v>
      </c>
      <c r="U76" s="325" t="str">
        <f>'Supply planning data'!W74</f>
        <v/>
      </c>
      <c r="V76" s="98">
        <f>'Supply planning data'!X74</f>
        <v>0</v>
      </c>
      <c r="W76" s="317">
        <f>'Supply planning data'!Y74</f>
        <v>0</v>
      </c>
      <c r="X76" s="328">
        <f>'Supply planning data'!Z74</f>
        <v>0</v>
      </c>
      <c r="Y76" s="98">
        <f>'Supply planning data'!AA74</f>
        <v>0</v>
      </c>
      <c r="Z76" s="98">
        <f>'Supply planning data'!AB74</f>
        <v>0</v>
      </c>
      <c r="AA76" s="98">
        <f>'Supply planning data'!AC74</f>
        <v>0</v>
      </c>
      <c r="AB76" s="98">
        <f>'Supply planning data'!AD74</f>
        <v>0</v>
      </c>
      <c r="AC76" s="98">
        <f>'Supply planning data'!AE74</f>
        <v>0</v>
      </c>
      <c r="AD76" s="325" t="str">
        <f>'Supply planning data'!AF74</f>
        <v/>
      </c>
      <c r="AE76" s="98">
        <f>'Supply planning data'!AG74</f>
        <v>0</v>
      </c>
      <c r="AF76" s="317">
        <f>'Supply planning data'!AH74</f>
        <v>0</v>
      </c>
      <c r="AG76" s="175">
        <f>'Supply planning data'!AI74</f>
        <v>0</v>
      </c>
      <c r="AH76" s="98">
        <f>'Supply planning data'!AJ74</f>
        <v>0</v>
      </c>
      <c r="AI76" s="98">
        <f>'Supply planning data'!AK74</f>
        <v>0</v>
      </c>
      <c r="AJ76" s="98">
        <f>'Supply planning data'!AL74</f>
        <v>0</v>
      </c>
      <c r="AK76" s="98">
        <f>'Supply planning data'!AM74</f>
        <v>0</v>
      </c>
      <c r="AL76" s="98">
        <f>'Supply planning data'!AN74</f>
        <v>0</v>
      </c>
      <c r="AM76" s="325" t="str">
        <f>'Supply planning data'!AO74</f>
        <v/>
      </c>
    </row>
    <row r="77" spans="1:39" hidden="1" x14ac:dyDescent="0.25">
      <c r="A77" s="90" t="str">
        <f>'Supply planning data'!C75</f>
        <v/>
      </c>
      <c r="B77" s="296">
        <f>'Supply planning data'!D75</f>
        <v>44317</v>
      </c>
      <c r="C77" s="92" t="str">
        <f>'Supply planning data'!E75</f>
        <v>No</v>
      </c>
      <c r="D77" s="92">
        <f>'Supply planning data'!F75</f>
        <v>0</v>
      </c>
      <c r="E77" s="316">
        <f>'Supply planning data'!G75</f>
        <v>0</v>
      </c>
      <c r="F77" s="317">
        <f>'Supply planning data'!H75</f>
        <v>0</v>
      </c>
      <c r="G77" s="317">
        <f>'Supply planning data'!I75</f>
        <v>0</v>
      </c>
      <c r="H77" s="98">
        <f>'Supply planning data'!J75</f>
        <v>0</v>
      </c>
      <c r="I77" s="317">
        <f>'Supply planning data'!K75</f>
        <v>0</v>
      </c>
      <c r="J77" s="175" t="str">
        <f>'Supply planning data'!L75</f>
        <v/>
      </c>
      <c r="K77" s="98">
        <f>'Supply planning data'!M75</f>
        <v>0</v>
      </c>
      <c r="L77" s="317">
        <f>'Supply planning data'!N75+'Supply planning data'!P75</f>
        <v>0</v>
      </c>
      <c r="M77" s="339">
        <f>'Supply planning data'!O75</f>
        <v>0</v>
      </c>
      <c r="N77" s="317">
        <f>'Supply planning data'!P75</f>
        <v>0</v>
      </c>
      <c r="O77" s="339">
        <f>'Supply planning data'!Q75</f>
        <v>0</v>
      </c>
      <c r="P77" s="98">
        <f>'Supply planning data'!R75</f>
        <v>0</v>
      </c>
      <c r="Q77" s="98">
        <f>'Supply planning data'!S75</f>
        <v>0</v>
      </c>
      <c r="R77" s="98">
        <f>'Supply planning data'!T75</f>
        <v>0</v>
      </c>
      <c r="S77" s="98">
        <f>'Supply planning data'!U75</f>
        <v>0</v>
      </c>
      <c r="T77" s="98">
        <f>'Supply planning data'!V75</f>
        <v>0</v>
      </c>
      <c r="U77" s="325" t="str">
        <f>'Supply planning data'!W75</f>
        <v/>
      </c>
      <c r="V77" s="98">
        <f>'Supply planning data'!X75</f>
        <v>0</v>
      </c>
      <c r="W77" s="317">
        <f>'Supply planning data'!Y75</f>
        <v>0</v>
      </c>
      <c r="X77" s="328">
        <f>'Supply planning data'!Z75</f>
        <v>0</v>
      </c>
      <c r="Y77" s="98">
        <f>'Supply planning data'!AA75</f>
        <v>0</v>
      </c>
      <c r="Z77" s="98">
        <f>'Supply planning data'!AB75</f>
        <v>0</v>
      </c>
      <c r="AA77" s="98">
        <f>'Supply planning data'!AC75</f>
        <v>0</v>
      </c>
      <c r="AB77" s="98">
        <f>'Supply planning data'!AD75</f>
        <v>0</v>
      </c>
      <c r="AC77" s="98">
        <f>'Supply planning data'!AE75</f>
        <v>0</v>
      </c>
      <c r="AD77" s="325" t="str">
        <f>'Supply planning data'!AF75</f>
        <v/>
      </c>
      <c r="AE77" s="98">
        <f>'Supply planning data'!AG75</f>
        <v>0</v>
      </c>
      <c r="AF77" s="317">
        <f>'Supply planning data'!AH75</f>
        <v>0</v>
      </c>
      <c r="AG77" s="175">
        <f>'Supply planning data'!AI75</f>
        <v>0</v>
      </c>
      <c r="AH77" s="98">
        <f>'Supply planning data'!AJ75</f>
        <v>0</v>
      </c>
      <c r="AI77" s="98">
        <f>'Supply planning data'!AK75</f>
        <v>0</v>
      </c>
      <c r="AJ77" s="98">
        <f>'Supply planning data'!AL75</f>
        <v>0</v>
      </c>
      <c r="AK77" s="98">
        <f>'Supply planning data'!AM75</f>
        <v>0</v>
      </c>
      <c r="AL77" s="98">
        <f>'Supply planning data'!AN75</f>
        <v>0</v>
      </c>
      <c r="AM77" s="325" t="str">
        <f>'Supply planning data'!AO75</f>
        <v/>
      </c>
    </row>
    <row r="78" spans="1:39" hidden="1" x14ac:dyDescent="0.25">
      <c r="A78" s="90" t="str">
        <f>'Supply planning data'!C76</f>
        <v/>
      </c>
      <c r="B78" s="296">
        <f>'Supply planning data'!D76</f>
        <v>44317</v>
      </c>
      <c r="C78" s="92" t="str">
        <f>'Supply planning data'!E76</f>
        <v>No</v>
      </c>
      <c r="D78" s="92">
        <f>'Supply planning data'!F76</f>
        <v>0</v>
      </c>
      <c r="E78" s="316">
        <f>'Supply planning data'!G76</f>
        <v>0</v>
      </c>
      <c r="F78" s="317">
        <f>'Supply planning data'!H76</f>
        <v>0</v>
      </c>
      <c r="G78" s="317">
        <f>'Supply planning data'!I76</f>
        <v>0</v>
      </c>
      <c r="H78" s="98">
        <f>'Supply planning data'!J76</f>
        <v>0</v>
      </c>
      <c r="I78" s="317">
        <f>'Supply planning data'!K76</f>
        <v>0</v>
      </c>
      <c r="J78" s="175" t="str">
        <f>'Supply planning data'!L76</f>
        <v/>
      </c>
      <c r="K78" s="98">
        <f>'Supply planning data'!M76</f>
        <v>0</v>
      </c>
      <c r="L78" s="317">
        <f>'Supply planning data'!N76+'Supply planning data'!P76</f>
        <v>0</v>
      </c>
      <c r="M78" s="339">
        <f>'Supply planning data'!O76</f>
        <v>0</v>
      </c>
      <c r="N78" s="317">
        <f>'Supply planning data'!P76</f>
        <v>0</v>
      </c>
      <c r="O78" s="339">
        <f>'Supply planning data'!Q76</f>
        <v>0</v>
      </c>
      <c r="P78" s="98">
        <f>'Supply planning data'!R76</f>
        <v>0</v>
      </c>
      <c r="Q78" s="98">
        <f>'Supply planning data'!S76</f>
        <v>0</v>
      </c>
      <c r="R78" s="98">
        <f>'Supply planning data'!T76</f>
        <v>0</v>
      </c>
      <c r="S78" s="98">
        <f>'Supply planning data'!U76</f>
        <v>0</v>
      </c>
      <c r="T78" s="98">
        <f>'Supply planning data'!V76</f>
        <v>0</v>
      </c>
      <c r="U78" s="325" t="str">
        <f>'Supply planning data'!W76</f>
        <v/>
      </c>
      <c r="V78" s="98">
        <f>'Supply planning data'!X76</f>
        <v>0</v>
      </c>
      <c r="W78" s="317">
        <f>'Supply planning data'!Y76</f>
        <v>0</v>
      </c>
      <c r="X78" s="328">
        <f>'Supply planning data'!Z76</f>
        <v>0</v>
      </c>
      <c r="Y78" s="98">
        <f>'Supply planning data'!AA76</f>
        <v>0</v>
      </c>
      <c r="Z78" s="98">
        <f>'Supply planning data'!AB76</f>
        <v>0</v>
      </c>
      <c r="AA78" s="98">
        <f>'Supply planning data'!AC76</f>
        <v>0</v>
      </c>
      <c r="AB78" s="98">
        <f>'Supply planning data'!AD76</f>
        <v>0</v>
      </c>
      <c r="AC78" s="98">
        <f>'Supply planning data'!AE76</f>
        <v>0</v>
      </c>
      <c r="AD78" s="325" t="str">
        <f>'Supply planning data'!AF76</f>
        <v/>
      </c>
      <c r="AE78" s="98">
        <f>'Supply planning data'!AG76</f>
        <v>0</v>
      </c>
      <c r="AF78" s="317">
        <f>'Supply planning data'!AH76</f>
        <v>0</v>
      </c>
      <c r="AG78" s="175">
        <f>'Supply planning data'!AI76</f>
        <v>0</v>
      </c>
      <c r="AH78" s="98">
        <f>'Supply planning data'!AJ76</f>
        <v>0</v>
      </c>
      <c r="AI78" s="98">
        <f>'Supply planning data'!AK76</f>
        <v>0</v>
      </c>
      <c r="AJ78" s="98">
        <f>'Supply planning data'!AL76</f>
        <v>0</v>
      </c>
      <c r="AK78" s="98">
        <f>'Supply planning data'!AM76</f>
        <v>0</v>
      </c>
      <c r="AL78" s="98">
        <f>'Supply planning data'!AN76</f>
        <v>0</v>
      </c>
      <c r="AM78" s="325" t="str">
        <f>'Supply planning data'!AO76</f>
        <v/>
      </c>
    </row>
    <row r="79" spans="1:39" hidden="1" x14ac:dyDescent="0.25">
      <c r="A79" s="90" t="str">
        <f>'Supply planning data'!C77</f>
        <v/>
      </c>
      <c r="B79" s="296">
        <f>'Supply planning data'!D77</f>
        <v>44317</v>
      </c>
      <c r="C79" s="92" t="str">
        <f>'Supply planning data'!E77</f>
        <v>No</v>
      </c>
      <c r="D79" s="92">
        <f>'Supply planning data'!F77</f>
        <v>0</v>
      </c>
      <c r="E79" s="316">
        <f>'Supply planning data'!G77</f>
        <v>0</v>
      </c>
      <c r="F79" s="317">
        <f>'Supply planning data'!H77</f>
        <v>0</v>
      </c>
      <c r="G79" s="317">
        <f>'Supply planning data'!I77</f>
        <v>0</v>
      </c>
      <c r="H79" s="98">
        <f>'Supply planning data'!J77</f>
        <v>0</v>
      </c>
      <c r="I79" s="317">
        <f>'Supply planning data'!K77</f>
        <v>0</v>
      </c>
      <c r="J79" s="175" t="str">
        <f>'Supply planning data'!L77</f>
        <v/>
      </c>
      <c r="K79" s="98">
        <f>'Supply planning data'!M77</f>
        <v>0</v>
      </c>
      <c r="L79" s="317">
        <f>'Supply planning data'!N77+'Supply planning data'!P77</f>
        <v>0</v>
      </c>
      <c r="M79" s="339">
        <f>'Supply planning data'!O77</f>
        <v>0</v>
      </c>
      <c r="N79" s="317">
        <f>'Supply planning data'!P77</f>
        <v>0</v>
      </c>
      <c r="O79" s="339">
        <f>'Supply planning data'!Q77</f>
        <v>0</v>
      </c>
      <c r="P79" s="98">
        <f>'Supply planning data'!R77</f>
        <v>0</v>
      </c>
      <c r="Q79" s="98">
        <f>'Supply planning data'!S77</f>
        <v>0</v>
      </c>
      <c r="R79" s="98">
        <f>'Supply planning data'!T77</f>
        <v>0</v>
      </c>
      <c r="S79" s="98">
        <f>'Supply planning data'!U77</f>
        <v>0</v>
      </c>
      <c r="T79" s="98">
        <f>'Supply planning data'!V77</f>
        <v>0</v>
      </c>
      <c r="U79" s="325" t="str">
        <f>'Supply planning data'!W77</f>
        <v/>
      </c>
      <c r="V79" s="98">
        <f>'Supply planning data'!X77</f>
        <v>0</v>
      </c>
      <c r="W79" s="317">
        <f>'Supply planning data'!Y77</f>
        <v>0</v>
      </c>
      <c r="X79" s="328">
        <f>'Supply planning data'!Z77</f>
        <v>0</v>
      </c>
      <c r="Y79" s="98">
        <f>'Supply planning data'!AA77</f>
        <v>0</v>
      </c>
      <c r="Z79" s="98">
        <f>'Supply planning data'!AB77</f>
        <v>0</v>
      </c>
      <c r="AA79" s="98">
        <f>'Supply planning data'!AC77</f>
        <v>0</v>
      </c>
      <c r="AB79" s="98">
        <f>'Supply planning data'!AD77</f>
        <v>0</v>
      </c>
      <c r="AC79" s="98">
        <f>'Supply planning data'!AE77</f>
        <v>0</v>
      </c>
      <c r="AD79" s="325" t="str">
        <f>'Supply planning data'!AF77</f>
        <v/>
      </c>
      <c r="AE79" s="98">
        <f>'Supply planning data'!AG77</f>
        <v>0</v>
      </c>
      <c r="AF79" s="317">
        <f>'Supply planning data'!AH77</f>
        <v>0</v>
      </c>
      <c r="AG79" s="175">
        <f>'Supply planning data'!AI77</f>
        <v>0</v>
      </c>
      <c r="AH79" s="98">
        <f>'Supply planning data'!AJ77</f>
        <v>0</v>
      </c>
      <c r="AI79" s="98">
        <f>'Supply planning data'!AK77</f>
        <v>0</v>
      </c>
      <c r="AJ79" s="98">
        <f>'Supply planning data'!AL77</f>
        <v>0</v>
      </c>
      <c r="AK79" s="98">
        <f>'Supply planning data'!AM77</f>
        <v>0</v>
      </c>
      <c r="AL79" s="98">
        <f>'Supply planning data'!AN77</f>
        <v>0</v>
      </c>
      <c r="AM79" s="325" t="str">
        <f>'Supply planning data'!AO77</f>
        <v/>
      </c>
    </row>
    <row r="80" spans="1:39" hidden="1" x14ac:dyDescent="0.25">
      <c r="A80" s="90" t="str">
        <f>'Supply planning data'!C78</f>
        <v/>
      </c>
      <c r="B80" s="296">
        <f>'Supply planning data'!D78</f>
        <v>44317</v>
      </c>
      <c r="C80" s="92" t="str">
        <f>'Supply planning data'!E78</f>
        <v>No</v>
      </c>
      <c r="D80" s="92">
        <f>'Supply planning data'!F78</f>
        <v>0</v>
      </c>
      <c r="E80" s="316">
        <f>'Supply planning data'!G78</f>
        <v>0</v>
      </c>
      <c r="F80" s="317">
        <f>'Supply planning data'!H78</f>
        <v>0</v>
      </c>
      <c r="G80" s="317">
        <f>'Supply planning data'!I78</f>
        <v>0</v>
      </c>
      <c r="H80" s="98">
        <f>'Supply planning data'!J78</f>
        <v>0</v>
      </c>
      <c r="I80" s="317">
        <f>'Supply planning data'!K78</f>
        <v>0</v>
      </c>
      <c r="J80" s="175" t="str">
        <f>'Supply planning data'!L78</f>
        <v/>
      </c>
      <c r="K80" s="98">
        <f>'Supply planning data'!M78</f>
        <v>0</v>
      </c>
      <c r="L80" s="317">
        <f>'Supply planning data'!N78+'Supply planning data'!P78</f>
        <v>0</v>
      </c>
      <c r="M80" s="339">
        <f>'Supply planning data'!O78</f>
        <v>0</v>
      </c>
      <c r="N80" s="317">
        <f>'Supply planning data'!P78</f>
        <v>0</v>
      </c>
      <c r="O80" s="339">
        <f>'Supply planning data'!Q78</f>
        <v>0</v>
      </c>
      <c r="P80" s="98">
        <f>'Supply planning data'!R78</f>
        <v>0</v>
      </c>
      <c r="Q80" s="98">
        <f>'Supply planning data'!S78</f>
        <v>0</v>
      </c>
      <c r="R80" s="98">
        <f>'Supply planning data'!T78</f>
        <v>0</v>
      </c>
      <c r="S80" s="98">
        <f>'Supply planning data'!U78</f>
        <v>0</v>
      </c>
      <c r="T80" s="98">
        <f>'Supply planning data'!V78</f>
        <v>0</v>
      </c>
      <c r="U80" s="325" t="str">
        <f>'Supply planning data'!W78</f>
        <v/>
      </c>
      <c r="V80" s="98">
        <f>'Supply planning data'!X78</f>
        <v>0</v>
      </c>
      <c r="W80" s="317">
        <f>'Supply planning data'!Y78</f>
        <v>0</v>
      </c>
      <c r="X80" s="328">
        <f>'Supply planning data'!Z78</f>
        <v>0</v>
      </c>
      <c r="Y80" s="98">
        <f>'Supply planning data'!AA78</f>
        <v>0</v>
      </c>
      <c r="Z80" s="98">
        <f>'Supply planning data'!AB78</f>
        <v>0</v>
      </c>
      <c r="AA80" s="98">
        <f>'Supply planning data'!AC78</f>
        <v>0</v>
      </c>
      <c r="AB80" s="98">
        <f>'Supply planning data'!AD78</f>
        <v>0</v>
      </c>
      <c r="AC80" s="98">
        <f>'Supply planning data'!AE78</f>
        <v>0</v>
      </c>
      <c r="AD80" s="325" t="str">
        <f>'Supply planning data'!AF78</f>
        <v/>
      </c>
      <c r="AE80" s="98">
        <f>'Supply planning data'!AG78</f>
        <v>0</v>
      </c>
      <c r="AF80" s="317">
        <f>'Supply planning data'!AH78</f>
        <v>0</v>
      </c>
      <c r="AG80" s="175">
        <f>'Supply planning data'!AI78</f>
        <v>0</v>
      </c>
      <c r="AH80" s="98">
        <f>'Supply planning data'!AJ78</f>
        <v>0</v>
      </c>
      <c r="AI80" s="98">
        <f>'Supply planning data'!AK78</f>
        <v>0</v>
      </c>
      <c r="AJ80" s="98">
        <f>'Supply planning data'!AL78</f>
        <v>0</v>
      </c>
      <c r="AK80" s="98">
        <f>'Supply planning data'!AM78</f>
        <v>0</v>
      </c>
      <c r="AL80" s="98">
        <f>'Supply planning data'!AN78</f>
        <v>0</v>
      </c>
      <c r="AM80" s="325" t="str">
        <f>'Supply planning data'!AO78</f>
        <v/>
      </c>
    </row>
    <row r="81" spans="1:39" hidden="1" x14ac:dyDescent="0.25">
      <c r="A81" s="90" t="str">
        <f>'Supply planning data'!C79</f>
        <v/>
      </c>
      <c r="B81" s="296">
        <f>'Supply planning data'!D79</f>
        <v>44317</v>
      </c>
      <c r="C81" s="92" t="str">
        <f>'Supply planning data'!E79</f>
        <v>No</v>
      </c>
      <c r="D81" s="92">
        <f>'Supply planning data'!F79</f>
        <v>0</v>
      </c>
      <c r="E81" s="316">
        <f>'Supply planning data'!G79</f>
        <v>0</v>
      </c>
      <c r="F81" s="317">
        <f>'Supply planning data'!H79</f>
        <v>0</v>
      </c>
      <c r="G81" s="317">
        <f>'Supply planning data'!I79</f>
        <v>0</v>
      </c>
      <c r="H81" s="98">
        <f>'Supply planning data'!J79</f>
        <v>0</v>
      </c>
      <c r="I81" s="317">
        <f>'Supply planning data'!K79</f>
        <v>0</v>
      </c>
      <c r="J81" s="175" t="str">
        <f>'Supply planning data'!L79</f>
        <v/>
      </c>
      <c r="K81" s="98">
        <f>'Supply planning data'!M79</f>
        <v>0</v>
      </c>
      <c r="L81" s="317">
        <f>'Supply planning data'!N79+'Supply planning data'!P79</f>
        <v>0</v>
      </c>
      <c r="M81" s="339">
        <f>'Supply planning data'!O79</f>
        <v>0</v>
      </c>
      <c r="N81" s="317">
        <f>'Supply planning data'!P79</f>
        <v>0</v>
      </c>
      <c r="O81" s="339">
        <f>'Supply planning data'!Q79</f>
        <v>0</v>
      </c>
      <c r="P81" s="98">
        <f>'Supply planning data'!R79</f>
        <v>0</v>
      </c>
      <c r="Q81" s="98">
        <f>'Supply planning data'!S79</f>
        <v>0</v>
      </c>
      <c r="R81" s="98">
        <f>'Supply planning data'!T79</f>
        <v>0</v>
      </c>
      <c r="S81" s="98">
        <f>'Supply planning data'!U79</f>
        <v>0</v>
      </c>
      <c r="T81" s="98">
        <f>'Supply planning data'!V79</f>
        <v>0</v>
      </c>
      <c r="U81" s="325" t="str">
        <f>'Supply planning data'!W79</f>
        <v/>
      </c>
      <c r="V81" s="98">
        <f>'Supply planning data'!X79</f>
        <v>0</v>
      </c>
      <c r="W81" s="317">
        <f>'Supply planning data'!Y79</f>
        <v>0</v>
      </c>
      <c r="X81" s="328">
        <f>'Supply planning data'!Z79</f>
        <v>0</v>
      </c>
      <c r="Y81" s="98">
        <f>'Supply planning data'!AA79</f>
        <v>0</v>
      </c>
      <c r="Z81" s="98">
        <f>'Supply planning data'!AB79</f>
        <v>0</v>
      </c>
      <c r="AA81" s="98">
        <f>'Supply planning data'!AC79</f>
        <v>0</v>
      </c>
      <c r="AB81" s="98">
        <f>'Supply planning data'!AD79</f>
        <v>0</v>
      </c>
      <c r="AC81" s="98">
        <f>'Supply planning data'!AE79</f>
        <v>0</v>
      </c>
      <c r="AD81" s="325" t="str">
        <f>'Supply planning data'!AF79</f>
        <v/>
      </c>
      <c r="AE81" s="98">
        <f>'Supply planning data'!AG79</f>
        <v>0</v>
      </c>
      <c r="AF81" s="317">
        <f>'Supply planning data'!AH79</f>
        <v>0</v>
      </c>
      <c r="AG81" s="175">
        <f>'Supply planning data'!AI79</f>
        <v>0</v>
      </c>
      <c r="AH81" s="98">
        <f>'Supply planning data'!AJ79</f>
        <v>0</v>
      </c>
      <c r="AI81" s="98">
        <f>'Supply planning data'!AK79</f>
        <v>0</v>
      </c>
      <c r="AJ81" s="98">
        <f>'Supply planning data'!AL79</f>
        <v>0</v>
      </c>
      <c r="AK81" s="98">
        <f>'Supply planning data'!AM79</f>
        <v>0</v>
      </c>
      <c r="AL81" s="98">
        <f>'Supply planning data'!AN79</f>
        <v>0</v>
      </c>
      <c r="AM81" s="325" t="str">
        <f>'Supply planning data'!AO79</f>
        <v/>
      </c>
    </row>
    <row r="82" spans="1:39" x14ac:dyDescent="0.25">
      <c r="A82" s="104" t="str">
        <f>'Supply planning data'!C80</f>
        <v>AstraZeneca</v>
      </c>
      <c r="B82" s="298">
        <f>'Supply planning data'!D80</f>
        <v>44348</v>
      </c>
      <c r="C82" s="105" t="str">
        <f>'Supply planning data'!E80</f>
        <v>Yes</v>
      </c>
      <c r="D82" s="105">
        <f>'Supply planning data'!F80</f>
        <v>347855</v>
      </c>
      <c r="E82" s="320">
        <f>'Supply planning data'!G80</f>
        <v>84087</v>
      </c>
      <c r="F82" s="320">
        <f>'Supply planning data'!H80</f>
        <v>788</v>
      </c>
      <c r="G82" s="320">
        <f>'Supply planning data'!I80</f>
        <v>0</v>
      </c>
      <c r="H82" s="105">
        <f>'Supply planning data'!J80</f>
        <v>84875</v>
      </c>
      <c r="I82" s="320">
        <f>'Supply planning data'!K80</f>
        <v>0</v>
      </c>
      <c r="J82" s="177">
        <f>'Supply planning data'!L80</f>
        <v>0</v>
      </c>
      <c r="K82" s="105">
        <f>'Supply planning data'!M80</f>
        <v>84875</v>
      </c>
      <c r="L82" s="320">
        <f>'Supply planning data'!N80+'Supply planning data'!P80</f>
        <v>0</v>
      </c>
      <c r="M82" s="341">
        <f>'Supply planning data'!O80</f>
        <v>0</v>
      </c>
      <c r="N82" s="320">
        <f>'Supply planning data'!P80</f>
        <v>0</v>
      </c>
      <c r="O82" s="341">
        <f>'Supply planning data'!Q80</f>
        <v>0</v>
      </c>
      <c r="P82" s="105">
        <f>'Supply planning data'!R80</f>
        <v>0</v>
      </c>
      <c r="Q82" s="105">
        <f>'Supply planning data'!S80</f>
        <v>0</v>
      </c>
      <c r="R82" s="105">
        <f>'Supply planning data'!T80</f>
        <v>0</v>
      </c>
      <c r="S82" s="105">
        <f>'Supply planning data'!U80</f>
        <v>0</v>
      </c>
      <c r="T82" s="105">
        <f>'Supply planning data'!V80</f>
        <v>262980</v>
      </c>
      <c r="U82" s="326">
        <f>'Supply planning data'!W80</f>
        <v>6.1965127238454292</v>
      </c>
      <c r="V82" s="105">
        <f>'Supply planning data'!X80</f>
        <v>347855</v>
      </c>
      <c r="W82" s="320">
        <f>'Supply planning data'!Y80</f>
        <v>0</v>
      </c>
      <c r="X82" s="329">
        <f>'Supply planning data'!Z80</f>
        <v>0</v>
      </c>
      <c r="Y82" s="105">
        <f>'Supply planning data'!AA80</f>
        <v>0</v>
      </c>
      <c r="Z82" s="105">
        <f>'Supply planning data'!AB80</f>
        <v>0</v>
      </c>
      <c r="AA82" s="105">
        <f>'Supply planning data'!AC80</f>
        <v>0</v>
      </c>
      <c r="AB82" s="105">
        <f>'Supply planning data'!AD80</f>
        <v>0</v>
      </c>
      <c r="AC82" s="105">
        <f>'Supply planning data'!AE80</f>
        <v>262980</v>
      </c>
      <c r="AD82" s="326">
        <f>'Supply planning data'!AF80</f>
        <v>5.099311637527066</v>
      </c>
      <c r="AE82" s="105">
        <f>'Supply planning data'!AG80</f>
        <v>347855</v>
      </c>
      <c r="AF82" s="320">
        <f>'Supply planning data'!AH80</f>
        <v>0</v>
      </c>
      <c r="AG82" s="177">
        <f>'Supply planning data'!AI80</f>
        <v>0</v>
      </c>
      <c r="AH82" s="105">
        <f>'Supply planning data'!AJ80</f>
        <v>0</v>
      </c>
      <c r="AI82" s="105">
        <f>'Supply planning data'!AK80</f>
        <v>0</v>
      </c>
      <c r="AJ82" s="105">
        <f>'Supply planning data'!AL80</f>
        <v>0</v>
      </c>
      <c r="AK82" s="105">
        <f>'Supply planning data'!AM80</f>
        <v>0</v>
      </c>
      <c r="AL82" s="105">
        <f>'Supply planning data'!AN80</f>
        <v>262980</v>
      </c>
      <c r="AM82" s="326">
        <f>'Supply planning data'!AO80</f>
        <v>5.099311637527066</v>
      </c>
    </row>
    <row r="83" spans="1:39" x14ac:dyDescent="0.25">
      <c r="A83" s="109" t="str">
        <f>'Supply planning data'!C81</f>
        <v>Jansen</v>
      </c>
      <c r="B83" s="298">
        <f>'Supply planning data'!D81</f>
        <v>44348</v>
      </c>
      <c r="C83" s="105" t="str">
        <f>'Supply planning data'!E81</f>
        <v>Yes</v>
      </c>
      <c r="D83" s="105">
        <f>'Supply planning data'!F81</f>
        <v>0</v>
      </c>
      <c r="E83" s="320">
        <f>'Supply planning data'!G81</f>
        <v>0</v>
      </c>
      <c r="F83" s="320">
        <f>'Supply planning data'!H81</f>
        <v>0</v>
      </c>
      <c r="G83" s="320">
        <f>'Supply planning data'!I81</f>
        <v>0</v>
      </c>
      <c r="H83" s="105">
        <f>'Supply planning data'!J81</f>
        <v>0</v>
      </c>
      <c r="I83" s="320">
        <f>'Supply planning data'!K81</f>
        <v>0</v>
      </c>
      <c r="J83" s="177" t="str">
        <f>'Supply planning data'!L81</f>
        <v/>
      </c>
      <c r="K83" s="105">
        <f>'Supply planning data'!M81</f>
        <v>0</v>
      </c>
      <c r="L83" s="321">
        <f>'Supply planning data'!N81+'Supply planning data'!P81</f>
        <v>0</v>
      </c>
      <c r="M83" s="342">
        <f>'Supply planning data'!O81</f>
        <v>0</v>
      </c>
      <c r="N83" s="321">
        <f>'Supply planning data'!P81</f>
        <v>0</v>
      </c>
      <c r="O83" s="342">
        <f>'Supply planning data'!Q81</f>
        <v>0</v>
      </c>
      <c r="P83" s="111">
        <f>'Supply planning data'!R81</f>
        <v>0</v>
      </c>
      <c r="Q83" s="111">
        <f>'Supply planning data'!S81</f>
        <v>0</v>
      </c>
      <c r="R83" s="111">
        <f>'Supply planning data'!T81</f>
        <v>0</v>
      </c>
      <c r="S83" s="111">
        <f>'Supply planning data'!U81</f>
        <v>0</v>
      </c>
      <c r="T83" s="111">
        <f>'Supply planning data'!V81</f>
        <v>0</v>
      </c>
      <c r="U83" s="327" t="str">
        <f>'Supply planning data'!W81</f>
        <v/>
      </c>
      <c r="V83" s="111">
        <f>'Supply planning data'!X81</f>
        <v>0</v>
      </c>
      <c r="W83" s="321">
        <f>'Supply planning data'!Y81</f>
        <v>0</v>
      </c>
      <c r="X83" s="329">
        <f>'Supply planning data'!Z81</f>
        <v>0</v>
      </c>
      <c r="Y83" s="111">
        <f>'Supply planning data'!AA81</f>
        <v>0</v>
      </c>
      <c r="Z83" s="111">
        <f>'Supply planning data'!AB81</f>
        <v>0</v>
      </c>
      <c r="AA83" s="111">
        <f>'Supply planning data'!AC81</f>
        <v>0</v>
      </c>
      <c r="AB83" s="111">
        <f>'Supply planning data'!AD81</f>
        <v>0</v>
      </c>
      <c r="AC83" s="111">
        <f>'Supply planning data'!AE81</f>
        <v>0</v>
      </c>
      <c r="AD83" s="327" t="str">
        <f>'Supply planning data'!AF81</f>
        <v/>
      </c>
      <c r="AE83" s="111">
        <f>'Supply planning data'!AG81</f>
        <v>0</v>
      </c>
      <c r="AF83" s="321">
        <f>'Supply planning data'!AH81</f>
        <v>0</v>
      </c>
      <c r="AG83" s="349">
        <f>'Supply planning data'!AI81</f>
        <v>0</v>
      </c>
      <c r="AH83" s="111">
        <f>'Supply planning data'!AJ81</f>
        <v>0</v>
      </c>
      <c r="AI83" s="111">
        <f>'Supply planning data'!AK81</f>
        <v>0</v>
      </c>
      <c r="AJ83" s="111">
        <f>'Supply planning data'!AL81</f>
        <v>0</v>
      </c>
      <c r="AK83" s="111">
        <f>'Supply planning data'!AM81</f>
        <v>0</v>
      </c>
      <c r="AL83" s="111">
        <f>'Supply planning data'!AN81</f>
        <v>0</v>
      </c>
      <c r="AM83" s="327" t="str">
        <f>'Supply planning data'!AO81</f>
        <v/>
      </c>
    </row>
    <row r="84" spans="1:39" x14ac:dyDescent="0.25">
      <c r="A84" s="104" t="str">
        <f>'Supply planning data'!C82</f>
        <v>Moderna</v>
      </c>
      <c r="B84" s="298">
        <f>'Supply planning data'!D82</f>
        <v>44348</v>
      </c>
      <c r="C84" s="105" t="str">
        <f>'Supply planning data'!E82</f>
        <v>No</v>
      </c>
      <c r="D84" s="105">
        <f>'Supply planning data'!F82</f>
        <v>0</v>
      </c>
      <c r="E84" s="320">
        <f>'Supply planning data'!G82</f>
        <v>0</v>
      </c>
      <c r="F84" s="320">
        <f>'Supply planning data'!H82</f>
        <v>0</v>
      </c>
      <c r="G84" s="320">
        <f>'Supply planning data'!I82</f>
        <v>0</v>
      </c>
      <c r="H84" s="105">
        <f>'Supply planning data'!J82</f>
        <v>0</v>
      </c>
      <c r="I84" s="320">
        <f>'Supply planning data'!K82</f>
        <v>0</v>
      </c>
      <c r="J84" s="177" t="str">
        <f>'Supply planning data'!L82</f>
        <v/>
      </c>
      <c r="K84" s="105">
        <f>'Supply planning data'!M82</f>
        <v>0</v>
      </c>
      <c r="L84" s="321">
        <f>'Supply planning data'!N82+'Supply planning data'!P82</f>
        <v>0</v>
      </c>
      <c r="M84" s="342">
        <f>'Supply planning data'!O82</f>
        <v>0</v>
      </c>
      <c r="N84" s="321">
        <f>'Supply planning data'!P82</f>
        <v>0</v>
      </c>
      <c r="O84" s="342">
        <f>'Supply planning data'!Q82</f>
        <v>0</v>
      </c>
      <c r="P84" s="111">
        <f>'Supply planning data'!R82</f>
        <v>0</v>
      </c>
      <c r="Q84" s="111">
        <f>'Supply planning data'!S82</f>
        <v>0</v>
      </c>
      <c r="R84" s="111">
        <f>'Supply planning data'!T82</f>
        <v>0</v>
      </c>
      <c r="S84" s="111">
        <f>'Supply planning data'!U82</f>
        <v>0</v>
      </c>
      <c r="T84" s="111">
        <f>'Supply planning data'!V82</f>
        <v>0</v>
      </c>
      <c r="U84" s="327" t="str">
        <f>'Supply planning data'!W82</f>
        <v/>
      </c>
      <c r="V84" s="111">
        <f>'Supply planning data'!X82</f>
        <v>0</v>
      </c>
      <c r="W84" s="321">
        <f>'Supply planning data'!Y82</f>
        <v>0</v>
      </c>
      <c r="X84" s="329">
        <f>'Supply planning data'!Z82</f>
        <v>0</v>
      </c>
      <c r="Y84" s="111">
        <f>'Supply planning data'!AA82</f>
        <v>0</v>
      </c>
      <c r="Z84" s="111">
        <f>'Supply planning data'!AB82</f>
        <v>0</v>
      </c>
      <c r="AA84" s="111">
        <f>'Supply planning data'!AC82</f>
        <v>0</v>
      </c>
      <c r="AB84" s="111">
        <f>'Supply planning data'!AD82</f>
        <v>0</v>
      </c>
      <c r="AC84" s="111">
        <f>'Supply planning data'!AE82</f>
        <v>0</v>
      </c>
      <c r="AD84" s="327" t="str">
        <f>'Supply planning data'!AF82</f>
        <v/>
      </c>
      <c r="AE84" s="111">
        <f>'Supply planning data'!AG82</f>
        <v>0</v>
      </c>
      <c r="AF84" s="321">
        <f>'Supply planning data'!AH82</f>
        <v>0</v>
      </c>
      <c r="AG84" s="349">
        <f>'Supply planning data'!AI82</f>
        <v>0</v>
      </c>
      <c r="AH84" s="111">
        <f>'Supply planning data'!AJ82</f>
        <v>0</v>
      </c>
      <c r="AI84" s="111">
        <f>'Supply planning data'!AK82</f>
        <v>0</v>
      </c>
      <c r="AJ84" s="111">
        <f>'Supply planning data'!AL82</f>
        <v>0</v>
      </c>
      <c r="AK84" s="111">
        <f>'Supply planning data'!AM82</f>
        <v>0</v>
      </c>
      <c r="AL84" s="111">
        <f>'Supply planning data'!AN82</f>
        <v>0</v>
      </c>
      <c r="AM84" s="327" t="str">
        <f>'Supply planning data'!AO82</f>
        <v/>
      </c>
    </row>
    <row r="85" spans="1:39" x14ac:dyDescent="0.25">
      <c r="A85" s="109" t="str">
        <f>'Supply planning data'!C83</f>
        <v>Pfizer</v>
      </c>
      <c r="B85" s="298">
        <f>'Supply planning data'!D83</f>
        <v>44348</v>
      </c>
      <c r="C85" s="105" t="str">
        <f>'Supply planning data'!E83</f>
        <v>Yes</v>
      </c>
      <c r="D85" s="105">
        <f>'Supply planning data'!F83</f>
        <v>0</v>
      </c>
      <c r="E85" s="320">
        <f>'Supply planning data'!G83</f>
        <v>0</v>
      </c>
      <c r="F85" s="320">
        <f>'Supply planning data'!H83</f>
        <v>0</v>
      </c>
      <c r="G85" s="320">
        <f>'Supply planning data'!I83</f>
        <v>0</v>
      </c>
      <c r="H85" s="105">
        <f>'Supply planning data'!J83</f>
        <v>0</v>
      </c>
      <c r="I85" s="320">
        <f>'Supply planning data'!K83</f>
        <v>0</v>
      </c>
      <c r="J85" s="177" t="str">
        <f>'Supply planning data'!L83</f>
        <v/>
      </c>
      <c r="K85" s="105">
        <f>'Supply planning data'!M83</f>
        <v>0</v>
      </c>
      <c r="L85" s="321">
        <f>'Supply planning data'!N83+'Supply planning data'!P83</f>
        <v>0</v>
      </c>
      <c r="M85" s="342">
        <f>'Supply planning data'!O83</f>
        <v>0</v>
      </c>
      <c r="N85" s="321">
        <f>'Supply planning data'!P83</f>
        <v>0</v>
      </c>
      <c r="O85" s="342">
        <f>'Supply planning data'!Q83</f>
        <v>0</v>
      </c>
      <c r="P85" s="111">
        <f>'Supply planning data'!R83</f>
        <v>0</v>
      </c>
      <c r="Q85" s="111">
        <f>'Supply planning data'!S83</f>
        <v>0</v>
      </c>
      <c r="R85" s="111">
        <f>'Supply planning data'!T83</f>
        <v>0</v>
      </c>
      <c r="S85" s="111">
        <f>'Supply planning data'!U83</f>
        <v>0</v>
      </c>
      <c r="T85" s="111">
        <f>'Supply planning data'!V83</f>
        <v>0</v>
      </c>
      <c r="U85" s="327" t="str">
        <f>'Supply planning data'!W83</f>
        <v/>
      </c>
      <c r="V85" s="111">
        <f>'Supply planning data'!X83</f>
        <v>0</v>
      </c>
      <c r="W85" s="321">
        <f>'Supply planning data'!Y83</f>
        <v>0</v>
      </c>
      <c r="X85" s="329">
        <f>'Supply planning data'!Z83</f>
        <v>0</v>
      </c>
      <c r="Y85" s="111">
        <f>'Supply planning data'!AA83</f>
        <v>0</v>
      </c>
      <c r="Z85" s="111">
        <f>'Supply planning data'!AB83</f>
        <v>0</v>
      </c>
      <c r="AA85" s="111">
        <f>'Supply planning data'!AC83</f>
        <v>0</v>
      </c>
      <c r="AB85" s="111">
        <f>'Supply planning data'!AD83</f>
        <v>0</v>
      </c>
      <c r="AC85" s="111">
        <f>'Supply planning data'!AE83</f>
        <v>0</v>
      </c>
      <c r="AD85" s="327" t="str">
        <f>'Supply planning data'!AF83</f>
        <v/>
      </c>
      <c r="AE85" s="111">
        <f>'Supply planning data'!AG83</f>
        <v>0</v>
      </c>
      <c r="AF85" s="321">
        <f>'Supply planning data'!AH83</f>
        <v>0</v>
      </c>
      <c r="AG85" s="349">
        <f>'Supply planning data'!AI83</f>
        <v>0</v>
      </c>
      <c r="AH85" s="111">
        <f>'Supply planning data'!AJ83</f>
        <v>0</v>
      </c>
      <c r="AI85" s="111">
        <f>'Supply planning data'!AK83</f>
        <v>0</v>
      </c>
      <c r="AJ85" s="111">
        <f>'Supply planning data'!AL83</f>
        <v>0</v>
      </c>
      <c r="AK85" s="111">
        <f>'Supply planning data'!AM83</f>
        <v>0</v>
      </c>
      <c r="AL85" s="111">
        <f>'Supply planning data'!AN83</f>
        <v>0</v>
      </c>
      <c r="AM85" s="327" t="str">
        <f>'Supply planning data'!AO83</f>
        <v/>
      </c>
    </row>
    <row r="86" spans="1:39" x14ac:dyDescent="0.25">
      <c r="A86" s="104" t="str">
        <f>'Supply planning data'!C84</f>
        <v>Sinovac</v>
      </c>
      <c r="B86" s="298">
        <f>'Supply planning data'!D84</f>
        <v>44348</v>
      </c>
      <c r="C86" s="105" t="str">
        <f>'Supply planning data'!E84</f>
        <v>No</v>
      </c>
      <c r="D86" s="105">
        <f>'Supply planning data'!F84</f>
        <v>0</v>
      </c>
      <c r="E86" s="320">
        <f>'Supply planning data'!G84</f>
        <v>0</v>
      </c>
      <c r="F86" s="320">
        <f>'Supply planning data'!H84</f>
        <v>0</v>
      </c>
      <c r="G86" s="320">
        <f>'Supply planning data'!I84</f>
        <v>0</v>
      </c>
      <c r="H86" s="105">
        <f>'Supply planning data'!J84</f>
        <v>0</v>
      </c>
      <c r="I86" s="320">
        <f>'Supply planning data'!K84</f>
        <v>0</v>
      </c>
      <c r="J86" s="177" t="str">
        <f>'Supply planning data'!L84</f>
        <v/>
      </c>
      <c r="K86" s="105">
        <f>'Supply planning data'!M84</f>
        <v>0</v>
      </c>
      <c r="L86" s="321">
        <f>'Supply planning data'!N84+'Supply planning data'!P84</f>
        <v>0</v>
      </c>
      <c r="M86" s="342">
        <f>'Supply planning data'!O84</f>
        <v>0</v>
      </c>
      <c r="N86" s="321">
        <f>'Supply planning data'!P84</f>
        <v>0</v>
      </c>
      <c r="O86" s="342">
        <f>'Supply planning data'!Q84</f>
        <v>0</v>
      </c>
      <c r="P86" s="111">
        <f>'Supply planning data'!R84</f>
        <v>0</v>
      </c>
      <c r="Q86" s="111">
        <f>'Supply planning data'!S84</f>
        <v>0</v>
      </c>
      <c r="R86" s="111">
        <f>'Supply planning data'!T84</f>
        <v>0</v>
      </c>
      <c r="S86" s="111">
        <f>'Supply planning data'!U84</f>
        <v>0</v>
      </c>
      <c r="T86" s="111">
        <f>'Supply planning data'!V84</f>
        <v>0</v>
      </c>
      <c r="U86" s="327" t="str">
        <f>'Supply planning data'!W84</f>
        <v/>
      </c>
      <c r="V86" s="111">
        <f>'Supply planning data'!X84</f>
        <v>0</v>
      </c>
      <c r="W86" s="321">
        <f>'Supply planning data'!Y84</f>
        <v>0</v>
      </c>
      <c r="X86" s="329">
        <f>'Supply planning data'!Z84</f>
        <v>0</v>
      </c>
      <c r="Y86" s="111">
        <f>'Supply planning data'!AA84</f>
        <v>0</v>
      </c>
      <c r="Z86" s="111">
        <f>'Supply planning data'!AB84</f>
        <v>0</v>
      </c>
      <c r="AA86" s="111">
        <f>'Supply planning data'!AC84</f>
        <v>0</v>
      </c>
      <c r="AB86" s="111">
        <f>'Supply planning data'!AD84</f>
        <v>0</v>
      </c>
      <c r="AC86" s="111">
        <f>'Supply planning data'!AE84</f>
        <v>0</v>
      </c>
      <c r="AD86" s="327" t="str">
        <f>'Supply planning data'!AF84</f>
        <v/>
      </c>
      <c r="AE86" s="111">
        <f>'Supply planning data'!AG84</f>
        <v>0</v>
      </c>
      <c r="AF86" s="321">
        <f>'Supply planning data'!AH84</f>
        <v>0</v>
      </c>
      <c r="AG86" s="349">
        <f>'Supply planning data'!AI84</f>
        <v>0</v>
      </c>
      <c r="AH86" s="111">
        <f>'Supply planning data'!AJ84</f>
        <v>0</v>
      </c>
      <c r="AI86" s="111">
        <f>'Supply planning data'!AK84</f>
        <v>0</v>
      </c>
      <c r="AJ86" s="111">
        <f>'Supply planning data'!AL84</f>
        <v>0</v>
      </c>
      <c r="AK86" s="111">
        <f>'Supply planning data'!AM84</f>
        <v>0</v>
      </c>
      <c r="AL86" s="111">
        <f>'Supply planning data'!AN84</f>
        <v>0</v>
      </c>
      <c r="AM86" s="327" t="str">
        <f>'Supply planning data'!AO84</f>
        <v/>
      </c>
    </row>
    <row r="87" spans="1:39" hidden="1" x14ac:dyDescent="0.25">
      <c r="A87" s="109" t="str">
        <f>'Supply planning data'!C85</f>
        <v/>
      </c>
      <c r="B87" s="298">
        <f>'Supply planning data'!D85</f>
        <v>44348</v>
      </c>
      <c r="C87" s="105" t="str">
        <f>'Supply planning data'!E85</f>
        <v>No</v>
      </c>
      <c r="D87" s="105">
        <f>'Supply planning data'!F85</f>
        <v>0</v>
      </c>
      <c r="E87" s="320">
        <f>'Supply planning data'!G85</f>
        <v>0</v>
      </c>
      <c r="F87" s="320">
        <f>'Supply planning data'!H85</f>
        <v>0</v>
      </c>
      <c r="G87" s="320">
        <f>'Supply planning data'!I85</f>
        <v>0</v>
      </c>
      <c r="H87" s="105">
        <f>'Supply planning data'!J85</f>
        <v>0</v>
      </c>
      <c r="I87" s="320">
        <f>'Supply planning data'!K85</f>
        <v>0</v>
      </c>
      <c r="J87" s="177" t="str">
        <f>'Supply planning data'!L85</f>
        <v/>
      </c>
      <c r="K87" s="105">
        <f>'Supply planning data'!M85</f>
        <v>0</v>
      </c>
      <c r="L87" s="321">
        <f>'Supply planning data'!N85+'Supply planning data'!P85</f>
        <v>0</v>
      </c>
      <c r="M87" s="342">
        <f>'Supply planning data'!O85</f>
        <v>0</v>
      </c>
      <c r="N87" s="321">
        <f>'Supply planning data'!P85</f>
        <v>0</v>
      </c>
      <c r="O87" s="342">
        <f>'Supply planning data'!Q85</f>
        <v>0</v>
      </c>
      <c r="P87" s="111">
        <f>'Supply planning data'!R85</f>
        <v>0</v>
      </c>
      <c r="Q87" s="111">
        <f>'Supply planning data'!S85</f>
        <v>0</v>
      </c>
      <c r="R87" s="111">
        <f>'Supply planning data'!T85</f>
        <v>0</v>
      </c>
      <c r="S87" s="111">
        <f>'Supply planning data'!U85</f>
        <v>0</v>
      </c>
      <c r="T87" s="111">
        <f>'Supply planning data'!V85</f>
        <v>0</v>
      </c>
      <c r="U87" s="327" t="str">
        <f>'Supply planning data'!W85</f>
        <v/>
      </c>
      <c r="V87" s="111">
        <f>'Supply planning data'!X85</f>
        <v>0</v>
      </c>
      <c r="W87" s="321">
        <f>'Supply planning data'!Y85</f>
        <v>0</v>
      </c>
      <c r="X87" s="329">
        <f>'Supply planning data'!Z85</f>
        <v>0</v>
      </c>
      <c r="Y87" s="111">
        <f>'Supply planning data'!AA85</f>
        <v>0</v>
      </c>
      <c r="Z87" s="111">
        <f>'Supply planning data'!AB85</f>
        <v>0</v>
      </c>
      <c r="AA87" s="111">
        <f>'Supply planning data'!AC85</f>
        <v>0</v>
      </c>
      <c r="AB87" s="111">
        <f>'Supply planning data'!AD85</f>
        <v>0</v>
      </c>
      <c r="AC87" s="111">
        <f>'Supply planning data'!AE85</f>
        <v>0</v>
      </c>
      <c r="AD87" s="327" t="str">
        <f>'Supply planning data'!AF85</f>
        <v/>
      </c>
      <c r="AE87" s="111">
        <f>'Supply planning data'!AG85</f>
        <v>0</v>
      </c>
      <c r="AF87" s="321">
        <f>'Supply planning data'!AH85</f>
        <v>0</v>
      </c>
      <c r="AG87" s="349">
        <f>'Supply planning data'!AI85</f>
        <v>0</v>
      </c>
      <c r="AH87" s="111">
        <f>'Supply planning data'!AJ85</f>
        <v>0</v>
      </c>
      <c r="AI87" s="111">
        <f>'Supply planning data'!AK85</f>
        <v>0</v>
      </c>
      <c r="AJ87" s="111">
        <f>'Supply planning data'!AL85</f>
        <v>0</v>
      </c>
      <c r="AK87" s="111">
        <f>'Supply planning data'!AM85</f>
        <v>0</v>
      </c>
      <c r="AL87" s="111">
        <f>'Supply planning data'!AN85</f>
        <v>0</v>
      </c>
      <c r="AM87" s="327" t="str">
        <f>'Supply planning data'!AO85</f>
        <v/>
      </c>
    </row>
    <row r="88" spans="1:39" hidden="1" x14ac:dyDescent="0.25">
      <c r="A88" s="104" t="str">
        <f>'Supply planning data'!C86</f>
        <v/>
      </c>
      <c r="B88" s="298">
        <f>'Supply planning data'!D86</f>
        <v>44348</v>
      </c>
      <c r="C88" s="105" t="str">
        <f>'Supply planning data'!E86</f>
        <v>No</v>
      </c>
      <c r="D88" s="105">
        <f>'Supply planning data'!F86</f>
        <v>0</v>
      </c>
      <c r="E88" s="320">
        <f>'Supply planning data'!G86</f>
        <v>0</v>
      </c>
      <c r="F88" s="320">
        <f>'Supply planning data'!H86</f>
        <v>0</v>
      </c>
      <c r="G88" s="320">
        <f>'Supply planning data'!I86</f>
        <v>0</v>
      </c>
      <c r="H88" s="105">
        <f>'Supply planning data'!J86</f>
        <v>0</v>
      </c>
      <c r="I88" s="320">
        <f>'Supply planning data'!K86</f>
        <v>0</v>
      </c>
      <c r="J88" s="177" t="str">
        <f>'Supply planning data'!L86</f>
        <v/>
      </c>
      <c r="K88" s="105">
        <f>'Supply planning data'!M86</f>
        <v>0</v>
      </c>
      <c r="L88" s="321">
        <f>'Supply planning data'!N86+'Supply planning data'!P86</f>
        <v>0</v>
      </c>
      <c r="M88" s="342">
        <f>'Supply planning data'!O86</f>
        <v>0</v>
      </c>
      <c r="N88" s="321">
        <f>'Supply planning data'!P86</f>
        <v>0</v>
      </c>
      <c r="O88" s="342">
        <f>'Supply planning data'!Q86</f>
        <v>0</v>
      </c>
      <c r="P88" s="111">
        <f>'Supply planning data'!R86</f>
        <v>0</v>
      </c>
      <c r="Q88" s="111">
        <f>'Supply planning data'!S86</f>
        <v>0</v>
      </c>
      <c r="R88" s="111">
        <f>'Supply planning data'!T86</f>
        <v>0</v>
      </c>
      <c r="S88" s="111">
        <f>'Supply planning data'!U86</f>
        <v>0</v>
      </c>
      <c r="T88" s="111">
        <f>'Supply planning data'!V86</f>
        <v>0</v>
      </c>
      <c r="U88" s="327" t="str">
        <f>'Supply planning data'!W86</f>
        <v/>
      </c>
      <c r="V88" s="111">
        <f>'Supply planning data'!X86</f>
        <v>0</v>
      </c>
      <c r="W88" s="321">
        <f>'Supply planning data'!Y86</f>
        <v>0</v>
      </c>
      <c r="X88" s="329">
        <f>'Supply planning data'!Z86</f>
        <v>0</v>
      </c>
      <c r="Y88" s="111">
        <f>'Supply planning data'!AA86</f>
        <v>0</v>
      </c>
      <c r="Z88" s="111">
        <f>'Supply planning data'!AB86</f>
        <v>0</v>
      </c>
      <c r="AA88" s="111">
        <f>'Supply planning data'!AC86</f>
        <v>0</v>
      </c>
      <c r="AB88" s="111">
        <f>'Supply planning data'!AD86</f>
        <v>0</v>
      </c>
      <c r="AC88" s="111">
        <f>'Supply planning data'!AE86</f>
        <v>0</v>
      </c>
      <c r="AD88" s="327" t="str">
        <f>'Supply planning data'!AF86</f>
        <v/>
      </c>
      <c r="AE88" s="111">
        <f>'Supply planning data'!AG86</f>
        <v>0</v>
      </c>
      <c r="AF88" s="321">
        <f>'Supply planning data'!AH86</f>
        <v>0</v>
      </c>
      <c r="AG88" s="349">
        <f>'Supply planning data'!AI86</f>
        <v>0</v>
      </c>
      <c r="AH88" s="111">
        <f>'Supply planning data'!AJ86</f>
        <v>0</v>
      </c>
      <c r="AI88" s="111">
        <f>'Supply planning data'!AK86</f>
        <v>0</v>
      </c>
      <c r="AJ88" s="111">
        <f>'Supply planning data'!AL86</f>
        <v>0</v>
      </c>
      <c r="AK88" s="111">
        <f>'Supply planning data'!AM86</f>
        <v>0</v>
      </c>
      <c r="AL88" s="111">
        <f>'Supply planning data'!AN86</f>
        <v>0</v>
      </c>
      <c r="AM88" s="327" t="str">
        <f>'Supply planning data'!AO86</f>
        <v/>
      </c>
    </row>
    <row r="89" spans="1:39" hidden="1" x14ac:dyDescent="0.25">
      <c r="A89" s="109" t="str">
        <f>'Supply planning data'!C87</f>
        <v/>
      </c>
      <c r="B89" s="298">
        <f>'Supply planning data'!D87</f>
        <v>44348</v>
      </c>
      <c r="C89" s="105" t="str">
        <f>'Supply planning data'!E87</f>
        <v>No</v>
      </c>
      <c r="D89" s="105">
        <f>'Supply planning data'!F87</f>
        <v>0</v>
      </c>
      <c r="E89" s="320">
        <f>'Supply planning data'!G87</f>
        <v>0</v>
      </c>
      <c r="F89" s="320">
        <f>'Supply planning data'!H87</f>
        <v>0</v>
      </c>
      <c r="G89" s="320">
        <f>'Supply planning data'!I87</f>
        <v>0</v>
      </c>
      <c r="H89" s="105">
        <f>'Supply planning data'!J87</f>
        <v>0</v>
      </c>
      <c r="I89" s="320">
        <f>'Supply planning data'!K87</f>
        <v>0</v>
      </c>
      <c r="J89" s="177" t="str">
        <f>'Supply planning data'!L87</f>
        <v/>
      </c>
      <c r="K89" s="105">
        <f>'Supply planning data'!M87</f>
        <v>0</v>
      </c>
      <c r="L89" s="321">
        <f>'Supply planning data'!N87+'Supply planning data'!P87</f>
        <v>0</v>
      </c>
      <c r="M89" s="342">
        <f>'Supply planning data'!O87</f>
        <v>0</v>
      </c>
      <c r="N89" s="321">
        <f>'Supply planning data'!P87</f>
        <v>0</v>
      </c>
      <c r="O89" s="342">
        <f>'Supply planning data'!Q87</f>
        <v>0</v>
      </c>
      <c r="P89" s="111">
        <f>'Supply planning data'!R87</f>
        <v>0</v>
      </c>
      <c r="Q89" s="111">
        <f>'Supply planning data'!S87</f>
        <v>0</v>
      </c>
      <c r="R89" s="111">
        <f>'Supply planning data'!T87</f>
        <v>0</v>
      </c>
      <c r="S89" s="111">
        <f>'Supply planning data'!U87</f>
        <v>0</v>
      </c>
      <c r="T89" s="111">
        <f>'Supply planning data'!V87</f>
        <v>0</v>
      </c>
      <c r="U89" s="327" t="str">
        <f>'Supply planning data'!W87</f>
        <v/>
      </c>
      <c r="V89" s="111">
        <f>'Supply planning data'!X87</f>
        <v>0</v>
      </c>
      <c r="W89" s="321">
        <f>'Supply planning data'!Y87</f>
        <v>0</v>
      </c>
      <c r="X89" s="329">
        <f>'Supply planning data'!Z87</f>
        <v>0</v>
      </c>
      <c r="Y89" s="111">
        <f>'Supply planning data'!AA87</f>
        <v>0</v>
      </c>
      <c r="Z89" s="111">
        <f>'Supply planning data'!AB87</f>
        <v>0</v>
      </c>
      <c r="AA89" s="111">
        <f>'Supply planning data'!AC87</f>
        <v>0</v>
      </c>
      <c r="AB89" s="111">
        <f>'Supply planning data'!AD87</f>
        <v>0</v>
      </c>
      <c r="AC89" s="111">
        <f>'Supply planning data'!AE87</f>
        <v>0</v>
      </c>
      <c r="AD89" s="327" t="str">
        <f>'Supply planning data'!AF87</f>
        <v/>
      </c>
      <c r="AE89" s="111">
        <f>'Supply planning data'!AG87</f>
        <v>0</v>
      </c>
      <c r="AF89" s="321">
        <f>'Supply planning data'!AH87</f>
        <v>0</v>
      </c>
      <c r="AG89" s="349">
        <f>'Supply planning data'!AI87</f>
        <v>0</v>
      </c>
      <c r="AH89" s="111">
        <f>'Supply planning data'!AJ87</f>
        <v>0</v>
      </c>
      <c r="AI89" s="111">
        <f>'Supply planning data'!AK87</f>
        <v>0</v>
      </c>
      <c r="AJ89" s="111">
        <f>'Supply planning data'!AL87</f>
        <v>0</v>
      </c>
      <c r="AK89" s="111">
        <f>'Supply planning data'!AM87</f>
        <v>0</v>
      </c>
      <c r="AL89" s="111">
        <f>'Supply planning data'!AN87</f>
        <v>0</v>
      </c>
      <c r="AM89" s="327" t="str">
        <f>'Supply planning data'!AO87</f>
        <v/>
      </c>
    </row>
    <row r="90" spans="1:39" hidden="1" x14ac:dyDescent="0.25">
      <c r="A90" s="104" t="str">
        <f>'Supply planning data'!C88</f>
        <v/>
      </c>
      <c r="B90" s="298">
        <f>'Supply planning data'!D88</f>
        <v>44348</v>
      </c>
      <c r="C90" s="105" t="str">
        <f>'Supply planning data'!E88</f>
        <v>No</v>
      </c>
      <c r="D90" s="105">
        <f>'Supply planning data'!F88</f>
        <v>0</v>
      </c>
      <c r="E90" s="320">
        <f>'Supply planning data'!G88</f>
        <v>0</v>
      </c>
      <c r="F90" s="320">
        <f>'Supply planning data'!H88</f>
        <v>0</v>
      </c>
      <c r="G90" s="320">
        <f>'Supply planning data'!I88</f>
        <v>0</v>
      </c>
      <c r="H90" s="105">
        <f>'Supply planning data'!J88</f>
        <v>0</v>
      </c>
      <c r="I90" s="320">
        <f>'Supply planning data'!K88</f>
        <v>0</v>
      </c>
      <c r="J90" s="177" t="str">
        <f>'Supply planning data'!L88</f>
        <v/>
      </c>
      <c r="K90" s="105">
        <f>'Supply planning data'!M88</f>
        <v>0</v>
      </c>
      <c r="L90" s="321">
        <f>'Supply planning data'!N88+'Supply planning data'!P88</f>
        <v>0</v>
      </c>
      <c r="M90" s="342">
        <f>'Supply planning data'!O88</f>
        <v>0</v>
      </c>
      <c r="N90" s="321">
        <f>'Supply planning data'!P88</f>
        <v>0</v>
      </c>
      <c r="O90" s="342">
        <f>'Supply planning data'!Q88</f>
        <v>0</v>
      </c>
      <c r="P90" s="111">
        <f>'Supply planning data'!R88</f>
        <v>0</v>
      </c>
      <c r="Q90" s="111">
        <f>'Supply planning data'!S88</f>
        <v>0</v>
      </c>
      <c r="R90" s="111">
        <f>'Supply planning data'!T88</f>
        <v>0</v>
      </c>
      <c r="S90" s="111">
        <f>'Supply planning data'!U88</f>
        <v>0</v>
      </c>
      <c r="T90" s="111">
        <f>'Supply planning data'!V88</f>
        <v>0</v>
      </c>
      <c r="U90" s="327" t="str">
        <f>'Supply planning data'!W88</f>
        <v/>
      </c>
      <c r="V90" s="111">
        <f>'Supply planning data'!X88</f>
        <v>0</v>
      </c>
      <c r="W90" s="321">
        <f>'Supply planning data'!Y88</f>
        <v>0</v>
      </c>
      <c r="X90" s="329">
        <f>'Supply planning data'!Z88</f>
        <v>0</v>
      </c>
      <c r="Y90" s="111">
        <f>'Supply planning data'!AA88</f>
        <v>0</v>
      </c>
      <c r="Z90" s="111">
        <f>'Supply planning data'!AB88</f>
        <v>0</v>
      </c>
      <c r="AA90" s="111">
        <f>'Supply planning data'!AC88</f>
        <v>0</v>
      </c>
      <c r="AB90" s="111">
        <f>'Supply planning data'!AD88</f>
        <v>0</v>
      </c>
      <c r="AC90" s="111">
        <f>'Supply planning data'!AE88</f>
        <v>0</v>
      </c>
      <c r="AD90" s="327" t="str">
        <f>'Supply planning data'!AF88</f>
        <v/>
      </c>
      <c r="AE90" s="111">
        <f>'Supply planning data'!AG88</f>
        <v>0</v>
      </c>
      <c r="AF90" s="321">
        <f>'Supply planning data'!AH88</f>
        <v>0</v>
      </c>
      <c r="AG90" s="349">
        <f>'Supply planning data'!AI88</f>
        <v>0</v>
      </c>
      <c r="AH90" s="111">
        <f>'Supply planning data'!AJ88</f>
        <v>0</v>
      </c>
      <c r="AI90" s="111">
        <f>'Supply planning data'!AK88</f>
        <v>0</v>
      </c>
      <c r="AJ90" s="111">
        <f>'Supply planning data'!AL88</f>
        <v>0</v>
      </c>
      <c r="AK90" s="111">
        <f>'Supply planning data'!AM88</f>
        <v>0</v>
      </c>
      <c r="AL90" s="111">
        <f>'Supply planning data'!AN88</f>
        <v>0</v>
      </c>
      <c r="AM90" s="327" t="str">
        <f>'Supply planning data'!AO88</f>
        <v/>
      </c>
    </row>
    <row r="91" spans="1:39" hidden="1" x14ac:dyDescent="0.25">
      <c r="A91" s="109" t="str">
        <f>'Supply planning data'!C89</f>
        <v/>
      </c>
      <c r="B91" s="298">
        <f>'Supply planning data'!D89</f>
        <v>44348</v>
      </c>
      <c r="C91" s="105" t="str">
        <f>'Supply planning data'!E89</f>
        <v>No</v>
      </c>
      <c r="D91" s="105">
        <f>'Supply planning data'!F89</f>
        <v>0</v>
      </c>
      <c r="E91" s="320">
        <f>'Supply planning data'!G89</f>
        <v>0</v>
      </c>
      <c r="F91" s="320">
        <f>'Supply planning data'!H89</f>
        <v>0</v>
      </c>
      <c r="G91" s="320">
        <f>'Supply planning data'!I89</f>
        <v>0</v>
      </c>
      <c r="H91" s="105">
        <f>'Supply planning data'!J89</f>
        <v>0</v>
      </c>
      <c r="I91" s="320">
        <f>'Supply planning data'!K89</f>
        <v>0</v>
      </c>
      <c r="J91" s="177" t="str">
        <f>'Supply planning data'!L89</f>
        <v/>
      </c>
      <c r="K91" s="105">
        <f>'Supply planning data'!M89</f>
        <v>0</v>
      </c>
      <c r="L91" s="321">
        <f>'Supply planning data'!N89+'Supply planning data'!P89</f>
        <v>0</v>
      </c>
      <c r="M91" s="342">
        <f>'Supply planning data'!O89</f>
        <v>0</v>
      </c>
      <c r="N91" s="321">
        <f>'Supply planning data'!P89</f>
        <v>0</v>
      </c>
      <c r="O91" s="342">
        <f>'Supply planning data'!Q89</f>
        <v>0</v>
      </c>
      <c r="P91" s="111">
        <f>'Supply planning data'!R89</f>
        <v>0</v>
      </c>
      <c r="Q91" s="111">
        <f>'Supply planning data'!S89</f>
        <v>0</v>
      </c>
      <c r="R91" s="111">
        <f>'Supply planning data'!T89</f>
        <v>0</v>
      </c>
      <c r="S91" s="111">
        <f>'Supply planning data'!U89</f>
        <v>0</v>
      </c>
      <c r="T91" s="111">
        <f>'Supply planning data'!V89</f>
        <v>0</v>
      </c>
      <c r="U91" s="327" t="str">
        <f>'Supply planning data'!W89</f>
        <v/>
      </c>
      <c r="V91" s="111">
        <f>'Supply planning data'!X89</f>
        <v>0</v>
      </c>
      <c r="W91" s="321">
        <f>'Supply planning data'!Y89</f>
        <v>0</v>
      </c>
      <c r="X91" s="329">
        <f>'Supply planning data'!Z89</f>
        <v>0</v>
      </c>
      <c r="Y91" s="111">
        <f>'Supply planning data'!AA89</f>
        <v>0</v>
      </c>
      <c r="Z91" s="111">
        <f>'Supply planning data'!AB89</f>
        <v>0</v>
      </c>
      <c r="AA91" s="111">
        <f>'Supply planning data'!AC89</f>
        <v>0</v>
      </c>
      <c r="AB91" s="111">
        <f>'Supply planning data'!AD89</f>
        <v>0</v>
      </c>
      <c r="AC91" s="111">
        <f>'Supply planning data'!AE89</f>
        <v>0</v>
      </c>
      <c r="AD91" s="327" t="str">
        <f>'Supply planning data'!AF89</f>
        <v/>
      </c>
      <c r="AE91" s="111">
        <f>'Supply planning data'!AG89</f>
        <v>0</v>
      </c>
      <c r="AF91" s="321">
        <f>'Supply planning data'!AH89</f>
        <v>0</v>
      </c>
      <c r="AG91" s="349">
        <f>'Supply planning data'!AI89</f>
        <v>0</v>
      </c>
      <c r="AH91" s="111">
        <f>'Supply planning data'!AJ89</f>
        <v>0</v>
      </c>
      <c r="AI91" s="111">
        <f>'Supply planning data'!AK89</f>
        <v>0</v>
      </c>
      <c r="AJ91" s="111">
        <f>'Supply planning data'!AL89</f>
        <v>0</v>
      </c>
      <c r="AK91" s="111">
        <f>'Supply planning data'!AM89</f>
        <v>0</v>
      </c>
      <c r="AL91" s="111">
        <f>'Supply planning data'!AN89</f>
        <v>0</v>
      </c>
      <c r="AM91" s="327" t="str">
        <f>'Supply planning data'!AO89</f>
        <v/>
      </c>
    </row>
    <row r="92" spans="1:39" hidden="1" x14ac:dyDescent="0.25">
      <c r="A92" s="104" t="str">
        <f>'Supply planning data'!C90</f>
        <v/>
      </c>
      <c r="B92" s="298">
        <f>'Supply planning data'!D90</f>
        <v>44348</v>
      </c>
      <c r="C92" s="105" t="str">
        <f>'Supply planning data'!E90</f>
        <v>No</v>
      </c>
      <c r="D92" s="105">
        <f>'Supply planning data'!F90</f>
        <v>0</v>
      </c>
      <c r="E92" s="320">
        <f>'Supply planning data'!G90</f>
        <v>0</v>
      </c>
      <c r="F92" s="320">
        <f>'Supply planning data'!H90</f>
        <v>0</v>
      </c>
      <c r="G92" s="320">
        <f>'Supply planning data'!I90</f>
        <v>0</v>
      </c>
      <c r="H92" s="105">
        <f>'Supply planning data'!J90</f>
        <v>0</v>
      </c>
      <c r="I92" s="320">
        <f>'Supply planning data'!K90</f>
        <v>0</v>
      </c>
      <c r="J92" s="177" t="str">
        <f>'Supply planning data'!L90</f>
        <v/>
      </c>
      <c r="K92" s="105">
        <f>'Supply planning data'!M90</f>
        <v>0</v>
      </c>
      <c r="L92" s="321">
        <f>'Supply planning data'!N90+'Supply planning data'!P90</f>
        <v>0</v>
      </c>
      <c r="M92" s="342">
        <f>'Supply planning data'!O90</f>
        <v>0</v>
      </c>
      <c r="N92" s="321">
        <f>'Supply planning data'!P90</f>
        <v>0</v>
      </c>
      <c r="O92" s="342">
        <f>'Supply planning data'!Q90</f>
        <v>0</v>
      </c>
      <c r="P92" s="111">
        <f>'Supply planning data'!R90</f>
        <v>0</v>
      </c>
      <c r="Q92" s="111">
        <f>'Supply planning data'!S90</f>
        <v>0</v>
      </c>
      <c r="R92" s="111">
        <f>'Supply planning data'!T90</f>
        <v>0</v>
      </c>
      <c r="S92" s="111">
        <f>'Supply planning data'!U90</f>
        <v>0</v>
      </c>
      <c r="T92" s="111">
        <f>'Supply planning data'!V90</f>
        <v>0</v>
      </c>
      <c r="U92" s="327" t="str">
        <f>'Supply planning data'!W90</f>
        <v/>
      </c>
      <c r="V92" s="111">
        <f>'Supply planning data'!X90</f>
        <v>0</v>
      </c>
      <c r="W92" s="321">
        <f>'Supply planning data'!Y90</f>
        <v>0</v>
      </c>
      <c r="X92" s="329">
        <f>'Supply planning data'!Z90</f>
        <v>0</v>
      </c>
      <c r="Y92" s="111">
        <f>'Supply planning data'!AA90</f>
        <v>0</v>
      </c>
      <c r="Z92" s="111">
        <f>'Supply planning data'!AB90</f>
        <v>0</v>
      </c>
      <c r="AA92" s="111">
        <f>'Supply planning data'!AC90</f>
        <v>0</v>
      </c>
      <c r="AB92" s="111">
        <f>'Supply planning data'!AD90</f>
        <v>0</v>
      </c>
      <c r="AC92" s="111">
        <f>'Supply planning data'!AE90</f>
        <v>0</v>
      </c>
      <c r="AD92" s="327" t="str">
        <f>'Supply planning data'!AF90</f>
        <v/>
      </c>
      <c r="AE92" s="111">
        <f>'Supply planning data'!AG90</f>
        <v>0</v>
      </c>
      <c r="AF92" s="321">
        <f>'Supply planning data'!AH90</f>
        <v>0</v>
      </c>
      <c r="AG92" s="349">
        <f>'Supply planning data'!AI90</f>
        <v>0</v>
      </c>
      <c r="AH92" s="111">
        <f>'Supply planning data'!AJ90</f>
        <v>0</v>
      </c>
      <c r="AI92" s="111">
        <f>'Supply planning data'!AK90</f>
        <v>0</v>
      </c>
      <c r="AJ92" s="111">
        <f>'Supply planning data'!AL90</f>
        <v>0</v>
      </c>
      <c r="AK92" s="111">
        <f>'Supply planning data'!AM90</f>
        <v>0</v>
      </c>
      <c r="AL92" s="111">
        <f>'Supply planning data'!AN90</f>
        <v>0</v>
      </c>
      <c r="AM92" s="327" t="str">
        <f>'Supply planning data'!AO90</f>
        <v/>
      </c>
    </row>
    <row r="93" spans="1:39" hidden="1" x14ac:dyDescent="0.25">
      <c r="A93" s="109" t="str">
        <f>'Supply planning data'!C91</f>
        <v/>
      </c>
      <c r="B93" s="298">
        <f>'Supply planning data'!D91</f>
        <v>44348</v>
      </c>
      <c r="C93" s="105" t="str">
        <f>'Supply planning data'!E91</f>
        <v>No</v>
      </c>
      <c r="D93" s="105">
        <f>'Supply planning data'!F91</f>
        <v>0</v>
      </c>
      <c r="E93" s="320">
        <f>'Supply planning data'!G91</f>
        <v>0</v>
      </c>
      <c r="F93" s="320">
        <f>'Supply planning data'!H91</f>
        <v>0</v>
      </c>
      <c r="G93" s="320">
        <f>'Supply planning data'!I91</f>
        <v>0</v>
      </c>
      <c r="H93" s="105">
        <f>'Supply planning data'!J91</f>
        <v>0</v>
      </c>
      <c r="I93" s="320">
        <f>'Supply planning data'!K91</f>
        <v>0</v>
      </c>
      <c r="J93" s="177" t="str">
        <f>'Supply planning data'!L91</f>
        <v/>
      </c>
      <c r="K93" s="105">
        <f>'Supply planning data'!M91</f>
        <v>0</v>
      </c>
      <c r="L93" s="321">
        <f>'Supply planning data'!N91+'Supply planning data'!P91</f>
        <v>0</v>
      </c>
      <c r="M93" s="342">
        <f>'Supply planning data'!O91</f>
        <v>0</v>
      </c>
      <c r="N93" s="321">
        <f>'Supply planning data'!P91</f>
        <v>0</v>
      </c>
      <c r="O93" s="342">
        <f>'Supply planning data'!Q91</f>
        <v>0</v>
      </c>
      <c r="P93" s="111">
        <f>'Supply planning data'!R91</f>
        <v>0</v>
      </c>
      <c r="Q93" s="111">
        <f>'Supply planning data'!S91</f>
        <v>0</v>
      </c>
      <c r="R93" s="111">
        <f>'Supply planning data'!T91</f>
        <v>0</v>
      </c>
      <c r="S93" s="111">
        <f>'Supply planning data'!U91</f>
        <v>0</v>
      </c>
      <c r="T93" s="111">
        <f>'Supply planning data'!V91</f>
        <v>0</v>
      </c>
      <c r="U93" s="327" t="str">
        <f>'Supply planning data'!W91</f>
        <v/>
      </c>
      <c r="V93" s="111">
        <f>'Supply planning data'!X91</f>
        <v>0</v>
      </c>
      <c r="W93" s="321">
        <f>'Supply planning data'!Y91</f>
        <v>0</v>
      </c>
      <c r="X93" s="329">
        <f>'Supply planning data'!Z91</f>
        <v>0</v>
      </c>
      <c r="Y93" s="111">
        <f>'Supply planning data'!AA91</f>
        <v>0</v>
      </c>
      <c r="Z93" s="111">
        <f>'Supply planning data'!AB91</f>
        <v>0</v>
      </c>
      <c r="AA93" s="111">
        <f>'Supply planning data'!AC91</f>
        <v>0</v>
      </c>
      <c r="AB93" s="111">
        <f>'Supply planning data'!AD91</f>
        <v>0</v>
      </c>
      <c r="AC93" s="111">
        <f>'Supply planning data'!AE91</f>
        <v>0</v>
      </c>
      <c r="AD93" s="327" t="str">
        <f>'Supply planning data'!AF91</f>
        <v/>
      </c>
      <c r="AE93" s="111">
        <f>'Supply planning data'!AG91</f>
        <v>0</v>
      </c>
      <c r="AF93" s="321">
        <f>'Supply planning data'!AH91</f>
        <v>0</v>
      </c>
      <c r="AG93" s="349">
        <f>'Supply planning data'!AI91</f>
        <v>0</v>
      </c>
      <c r="AH93" s="111">
        <f>'Supply planning data'!AJ91</f>
        <v>0</v>
      </c>
      <c r="AI93" s="111">
        <f>'Supply planning data'!AK91</f>
        <v>0</v>
      </c>
      <c r="AJ93" s="111">
        <f>'Supply planning data'!AL91</f>
        <v>0</v>
      </c>
      <c r="AK93" s="111">
        <f>'Supply planning data'!AM91</f>
        <v>0</v>
      </c>
      <c r="AL93" s="111">
        <f>'Supply planning data'!AN91</f>
        <v>0</v>
      </c>
      <c r="AM93" s="327" t="str">
        <f>'Supply planning data'!AO91</f>
        <v/>
      </c>
    </row>
    <row r="94" spans="1:39" hidden="1" x14ac:dyDescent="0.25">
      <c r="A94" s="104" t="str">
        <f>'Supply planning data'!C92</f>
        <v/>
      </c>
      <c r="B94" s="298">
        <f>'Supply planning data'!D92</f>
        <v>44348</v>
      </c>
      <c r="C94" s="105" t="str">
        <f>'Supply planning data'!E92</f>
        <v>No</v>
      </c>
      <c r="D94" s="105">
        <f>'Supply planning data'!F92</f>
        <v>0</v>
      </c>
      <c r="E94" s="320">
        <f>'Supply planning data'!G92</f>
        <v>0</v>
      </c>
      <c r="F94" s="320">
        <f>'Supply planning data'!H92</f>
        <v>0</v>
      </c>
      <c r="G94" s="320">
        <f>'Supply planning data'!I92</f>
        <v>0</v>
      </c>
      <c r="H94" s="105">
        <f>'Supply planning data'!J92</f>
        <v>0</v>
      </c>
      <c r="I94" s="320">
        <f>'Supply planning data'!K92</f>
        <v>0</v>
      </c>
      <c r="J94" s="177" t="str">
        <f>'Supply planning data'!L92</f>
        <v/>
      </c>
      <c r="K94" s="105">
        <f>'Supply planning data'!M92</f>
        <v>0</v>
      </c>
      <c r="L94" s="321">
        <f>'Supply planning data'!N92+'Supply planning data'!P92</f>
        <v>0</v>
      </c>
      <c r="M94" s="342">
        <f>'Supply planning data'!O92</f>
        <v>0</v>
      </c>
      <c r="N94" s="321">
        <f>'Supply planning data'!P92</f>
        <v>0</v>
      </c>
      <c r="O94" s="342">
        <f>'Supply planning data'!Q92</f>
        <v>0</v>
      </c>
      <c r="P94" s="111">
        <f>'Supply planning data'!R92</f>
        <v>0</v>
      </c>
      <c r="Q94" s="111">
        <f>'Supply planning data'!S92</f>
        <v>0</v>
      </c>
      <c r="R94" s="111">
        <f>'Supply planning data'!T92</f>
        <v>0</v>
      </c>
      <c r="S94" s="111">
        <f>'Supply planning data'!U92</f>
        <v>0</v>
      </c>
      <c r="T94" s="111">
        <f>'Supply planning data'!V92</f>
        <v>0</v>
      </c>
      <c r="U94" s="327" t="str">
        <f>'Supply planning data'!W92</f>
        <v/>
      </c>
      <c r="V94" s="111">
        <f>'Supply planning data'!X92</f>
        <v>0</v>
      </c>
      <c r="W94" s="321">
        <f>'Supply planning data'!Y92</f>
        <v>0</v>
      </c>
      <c r="X94" s="329">
        <f>'Supply planning data'!Z92</f>
        <v>0</v>
      </c>
      <c r="Y94" s="111">
        <f>'Supply planning data'!AA92</f>
        <v>0</v>
      </c>
      <c r="Z94" s="111">
        <f>'Supply planning data'!AB92</f>
        <v>0</v>
      </c>
      <c r="AA94" s="111">
        <f>'Supply planning data'!AC92</f>
        <v>0</v>
      </c>
      <c r="AB94" s="111">
        <f>'Supply planning data'!AD92</f>
        <v>0</v>
      </c>
      <c r="AC94" s="111">
        <f>'Supply planning data'!AE92</f>
        <v>0</v>
      </c>
      <c r="AD94" s="327" t="str">
        <f>'Supply planning data'!AF92</f>
        <v/>
      </c>
      <c r="AE94" s="111">
        <f>'Supply planning data'!AG92</f>
        <v>0</v>
      </c>
      <c r="AF94" s="321">
        <f>'Supply planning data'!AH92</f>
        <v>0</v>
      </c>
      <c r="AG94" s="349">
        <f>'Supply planning data'!AI92</f>
        <v>0</v>
      </c>
      <c r="AH94" s="111">
        <f>'Supply planning data'!AJ92</f>
        <v>0</v>
      </c>
      <c r="AI94" s="111">
        <f>'Supply planning data'!AK92</f>
        <v>0</v>
      </c>
      <c r="AJ94" s="111">
        <f>'Supply planning data'!AL92</f>
        <v>0</v>
      </c>
      <c r="AK94" s="111">
        <f>'Supply planning data'!AM92</f>
        <v>0</v>
      </c>
      <c r="AL94" s="111">
        <f>'Supply planning data'!AN92</f>
        <v>0</v>
      </c>
      <c r="AM94" s="327" t="str">
        <f>'Supply planning data'!AO92</f>
        <v/>
      </c>
    </row>
    <row r="95" spans="1:39" hidden="1" x14ac:dyDescent="0.25">
      <c r="A95" s="109" t="str">
        <f>'Supply planning data'!C93</f>
        <v/>
      </c>
      <c r="B95" s="298">
        <f>'Supply planning data'!D93</f>
        <v>44348</v>
      </c>
      <c r="C95" s="105" t="str">
        <f>'Supply planning data'!E93</f>
        <v>No</v>
      </c>
      <c r="D95" s="105">
        <f>'Supply planning data'!F93</f>
        <v>0</v>
      </c>
      <c r="E95" s="320">
        <f>'Supply planning data'!G93</f>
        <v>0</v>
      </c>
      <c r="F95" s="320">
        <f>'Supply planning data'!H93</f>
        <v>0</v>
      </c>
      <c r="G95" s="320">
        <f>'Supply planning data'!I93</f>
        <v>0</v>
      </c>
      <c r="H95" s="105">
        <f>'Supply planning data'!J93</f>
        <v>0</v>
      </c>
      <c r="I95" s="320">
        <f>'Supply planning data'!K93</f>
        <v>0</v>
      </c>
      <c r="J95" s="177" t="str">
        <f>'Supply planning data'!L93</f>
        <v/>
      </c>
      <c r="K95" s="105">
        <f>'Supply planning data'!M93</f>
        <v>0</v>
      </c>
      <c r="L95" s="321">
        <f>'Supply planning data'!N93+'Supply planning data'!P93</f>
        <v>0</v>
      </c>
      <c r="M95" s="342">
        <f>'Supply planning data'!O93</f>
        <v>0</v>
      </c>
      <c r="N95" s="321">
        <f>'Supply planning data'!P93</f>
        <v>0</v>
      </c>
      <c r="O95" s="342">
        <f>'Supply planning data'!Q93</f>
        <v>0</v>
      </c>
      <c r="P95" s="111">
        <f>'Supply planning data'!R93</f>
        <v>0</v>
      </c>
      <c r="Q95" s="111">
        <f>'Supply planning data'!S93</f>
        <v>0</v>
      </c>
      <c r="R95" s="111">
        <f>'Supply planning data'!T93</f>
        <v>0</v>
      </c>
      <c r="S95" s="111">
        <f>'Supply planning data'!U93</f>
        <v>0</v>
      </c>
      <c r="T95" s="111">
        <f>'Supply planning data'!V93</f>
        <v>0</v>
      </c>
      <c r="U95" s="327" t="str">
        <f>'Supply planning data'!W93</f>
        <v/>
      </c>
      <c r="V95" s="111">
        <f>'Supply planning data'!X93</f>
        <v>0</v>
      </c>
      <c r="W95" s="321">
        <f>'Supply planning data'!Y93</f>
        <v>0</v>
      </c>
      <c r="X95" s="329">
        <f>'Supply planning data'!Z93</f>
        <v>0</v>
      </c>
      <c r="Y95" s="111">
        <f>'Supply planning data'!AA93</f>
        <v>0</v>
      </c>
      <c r="Z95" s="111">
        <f>'Supply planning data'!AB93</f>
        <v>0</v>
      </c>
      <c r="AA95" s="111">
        <f>'Supply planning data'!AC93</f>
        <v>0</v>
      </c>
      <c r="AB95" s="111">
        <f>'Supply planning data'!AD93</f>
        <v>0</v>
      </c>
      <c r="AC95" s="111">
        <f>'Supply planning data'!AE93</f>
        <v>0</v>
      </c>
      <c r="AD95" s="327" t="str">
        <f>'Supply planning data'!AF93</f>
        <v/>
      </c>
      <c r="AE95" s="111">
        <f>'Supply planning data'!AG93</f>
        <v>0</v>
      </c>
      <c r="AF95" s="321">
        <f>'Supply planning data'!AH93</f>
        <v>0</v>
      </c>
      <c r="AG95" s="349">
        <f>'Supply planning data'!AI93</f>
        <v>0</v>
      </c>
      <c r="AH95" s="111">
        <f>'Supply planning data'!AJ93</f>
        <v>0</v>
      </c>
      <c r="AI95" s="111">
        <f>'Supply planning data'!AK93</f>
        <v>0</v>
      </c>
      <c r="AJ95" s="111">
        <f>'Supply planning data'!AL93</f>
        <v>0</v>
      </c>
      <c r="AK95" s="111">
        <f>'Supply planning data'!AM93</f>
        <v>0</v>
      </c>
      <c r="AL95" s="111">
        <f>'Supply planning data'!AN93</f>
        <v>0</v>
      </c>
      <c r="AM95" s="327" t="str">
        <f>'Supply planning data'!AO93</f>
        <v/>
      </c>
    </row>
    <row r="96" spans="1:39" hidden="1" x14ac:dyDescent="0.25">
      <c r="A96" s="104" t="str">
        <f>'Supply planning data'!C94</f>
        <v/>
      </c>
      <c r="B96" s="298">
        <f>'Supply planning data'!D94</f>
        <v>44348</v>
      </c>
      <c r="C96" s="105" t="str">
        <f>'Supply planning data'!E94</f>
        <v>No</v>
      </c>
      <c r="D96" s="105">
        <f>'Supply planning data'!F94</f>
        <v>0</v>
      </c>
      <c r="E96" s="320">
        <f>'Supply planning data'!G94</f>
        <v>0</v>
      </c>
      <c r="F96" s="320">
        <f>'Supply planning data'!H94</f>
        <v>0</v>
      </c>
      <c r="G96" s="320">
        <f>'Supply planning data'!I94</f>
        <v>0</v>
      </c>
      <c r="H96" s="105">
        <f>'Supply planning data'!J94</f>
        <v>0</v>
      </c>
      <c r="I96" s="320">
        <f>'Supply planning data'!K94</f>
        <v>0</v>
      </c>
      <c r="J96" s="177" t="str">
        <f>'Supply planning data'!L94</f>
        <v/>
      </c>
      <c r="K96" s="105">
        <f>'Supply planning data'!M94</f>
        <v>0</v>
      </c>
      <c r="L96" s="321">
        <f>'Supply planning data'!N94+'Supply planning data'!P94</f>
        <v>0</v>
      </c>
      <c r="M96" s="342">
        <f>'Supply planning data'!O94</f>
        <v>0</v>
      </c>
      <c r="N96" s="321">
        <f>'Supply planning data'!P94</f>
        <v>0</v>
      </c>
      <c r="O96" s="342">
        <f>'Supply planning data'!Q94</f>
        <v>0</v>
      </c>
      <c r="P96" s="111">
        <f>'Supply planning data'!R94</f>
        <v>0</v>
      </c>
      <c r="Q96" s="111">
        <f>'Supply planning data'!S94</f>
        <v>0</v>
      </c>
      <c r="R96" s="111">
        <f>'Supply planning data'!T94</f>
        <v>0</v>
      </c>
      <c r="S96" s="111">
        <f>'Supply planning data'!U94</f>
        <v>0</v>
      </c>
      <c r="T96" s="111">
        <f>'Supply planning data'!V94</f>
        <v>0</v>
      </c>
      <c r="U96" s="327" t="str">
        <f>'Supply planning data'!W94</f>
        <v/>
      </c>
      <c r="V96" s="111">
        <f>'Supply planning data'!X94</f>
        <v>0</v>
      </c>
      <c r="W96" s="321">
        <f>'Supply planning data'!Y94</f>
        <v>0</v>
      </c>
      <c r="X96" s="329">
        <f>'Supply planning data'!Z94</f>
        <v>0</v>
      </c>
      <c r="Y96" s="111">
        <f>'Supply planning data'!AA94</f>
        <v>0</v>
      </c>
      <c r="Z96" s="111">
        <f>'Supply planning data'!AB94</f>
        <v>0</v>
      </c>
      <c r="AA96" s="111">
        <f>'Supply planning data'!AC94</f>
        <v>0</v>
      </c>
      <c r="AB96" s="111">
        <f>'Supply planning data'!AD94</f>
        <v>0</v>
      </c>
      <c r="AC96" s="111">
        <f>'Supply planning data'!AE94</f>
        <v>0</v>
      </c>
      <c r="AD96" s="327" t="str">
        <f>'Supply planning data'!AF94</f>
        <v/>
      </c>
      <c r="AE96" s="111">
        <f>'Supply planning data'!AG94</f>
        <v>0</v>
      </c>
      <c r="AF96" s="321">
        <f>'Supply planning data'!AH94</f>
        <v>0</v>
      </c>
      <c r="AG96" s="349">
        <f>'Supply planning data'!AI94</f>
        <v>0</v>
      </c>
      <c r="AH96" s="111">
        <f>'Supply planning data'!AJ94</f>
        <v>0</v>
      </c>
      <c r="AI96" s="111">
        <f>'Supply planning data'!AK94</f>
        <v>0</v>
      </c>
      <c r="AJ96" s="111">
        <f>'Supply planning data'!AL94</f>
        <v>0</v>
      </c>
      <c r="AK96" s="111">
        <f>'Supply planning data'!AM94</f>
        <v>0</v>
      </c>
      <c r="AL96" s="111">
        <f>'Supply planning data'!AN94</f>
        <v>0</v>
      </c>
      <c r="AM96" s="327" t="str">
        <f>'Supply planning data'!AO94</f>
        <v/>
      </c>
    </row>
    <row r="97" spans="1:39" x14ac:dyDescent="0.25">
      <c r="A97" s="90" t="str">
        <f>'Supply planning data'!C95</f>
        <v>AstraZeneca</v>
      </c>
      <c r="B97" s="296">
        <f>'Supply planning data'!D95</f>
        <v>44378</v>
      </c>
      <c r="C97" s="92" t="str">
        <f>'Supply planning data'!E95</f>
        <v>Yes</v>
      </c>
      <c r="D97" s="92">
        <f>'Supply planning data'!F95</f>
        <v>262980</v>
      </c>
      <c r="E97" s="316">
        <f>'Supply planning data'!G95</f>
        <v>58240</v>
      </c>
      <c r="F97" s="316">
        <f>'Supply planning data'!H95</f>
        <v>11600</v>
      </c>
      <c r="G97" s="316">
        <f>'Supply planning data'!I95</f>
        <v>0</v>
      </c>
      <c r="H97" s="92">
        <f>'Supply planning data'!J95</f>
        <v>69840</v>
      </c>
      <c r="I97" s="316">
        <f>'Supply planning data'!K95</f>
        <v>0</v>
      </c>
      <c r="J97" s="174">
        <f>'Supply planning data'!L95</f>
        <v>0</v>
      </c>
      <c r="K97" s="92">
        <f>'Supply planning data'!M95</f>
        <v>69840</v>
      </c>
      <c r="L97" s="316">
        <f>'Supply planning data'!N95+'Supply planning data'!P95</f>
        <v>0</v>
      </c>
      <c r="M97" s="343">
        <f>'Supply planning data'!O95</f>
        <v>0</v>
      </c>
      <c r="N97" s="316">
        <f>'Supply planning data'!P95</f>
        <v>0</v>
      </c>
      <c r="O97" s="343">
        <f>'Supply planning data'!Q95</f>
        <v>0</v>
      </c>
      <c r="P97" s="92">
        <f>'Supply planning data'!R95</f>
        <v>0</v>
      </c>
      <c r="Q97" s="92">
        <f>'Supply planning data'!S95</f>
        <v>0</v>
      </c>
      <c r="R97" s="92">
        <f>'Supply planning data'!T95</f>
        <v>0</v>
      </c>
      <c r="S97" s="92">
        <f>'Supply planning data'!U95</f>
        <v>0</v>
      </c>
      <c r="T97" s="92">
        <f>'Supply planning data'!V95</f>
        <v>193140</v>
      </c>
      <c r="U97" s="324">
        <f>'Supply planning data'!W95</f>
        <v>2.9388314059646987</v>
      </c>
      <c r="V97" s="92">
        <f>'Supply planning data'!X95</f>
        <v>262980</v>
      </c>
      <c r="W97" s="316">
        <f>'Supply planning data'!Y95</f>
        <v>0</v>
      </c>
      <c r="X97" s="328">
        <f>'Supply planning data'!Z95</f>
        <v>0</v>
      </c>
      <c r="Y97" s="92">
        <f>'Supply planning data'!AA95</f>
        <v>0</v>
      </c>
      <c r="Z97" s="92">
        <f>'Supply planning data'!AB95</f>
        <v>0</v>
      </c>
      <c r="AA97" s="92">
        <f>'Supply planning data'!AC95</f>
        <v>0</v>
      </c>
      <c r="AB97" s="92">
        <f>'Supply planning data'!AD95</f>
        <v>0</v>
      </c>
      <c r="AC97" s="92">
        <f>'Supply planning data'!AE95</f>
        <v>193140</v>
      </c>
      <c r="AD97" s="324">
        <f>'Supply planning data'!AF95</f>
        <v>1.5666774821544451</v>
      </c>
      <c r="AE97" s="92">
        <f>'Supply planning data'!AG95</f>
        <v>262980</v>
      </c>
      <c r="AF97" s="316">
        <f>'Supply planning data'!AH95</f>
        <v>0</v>
      </c>
      <c r="AG97" s="174">
        <f>'Supply planning data'!AI95</f>
        <v>0</v>
      </c>
      <c r="AH97" s="92">
        <f>'Supply planning data'!AJ95</f>
        <v>0</v>
      </c>
      <c r="AI97" s="92">
        <f>'Supply planning data'!AK95</f>
        <v>0</v>
      </c>
      <c r="AJ97" s="92">
        <f>'Supply planning data'!AL95</f>
        <v>0</v>
      </c>
      <c r="AK97" s="92">
        <f>'Supply planning data'!AM95</f>
        <v>0</v>
      </c>
      <c r="AL97" s="92">
        <f>'Supply planning data'!AN95</f>
        <v>193140</v>
      </c>
      <c r="AM97" s="324">
        <f>'Supply planning data'!AO95</f>
        <v>1.5666774821544451</v>
      </c>
    </row>
    <row r="98" spans="1:39" x14ac:dyDescent="0.25">
      <c r="A98" s="90" t="str">
        <f>'Supply planning data'!C96</f>
        <v>Jansen</v>
      </c>
      <c r="B98" s="296">
        <f>'Supply planning data'!D96</f>
        <v>44378</v>
      </c>
      <c r="C98" s="92" t="str">
        <f>'Supply planning data'!E96</f>
        <v>Yes</v>
      </c>
      <c r="D98" s="92">
        <f>'Supply planning data'!F96</f>
        <v>0</v>
      </c>
      <c r="E98" s="316">
        <f>'Supply planning data'!G96</f>
        <v>0</v>
      </c>
      <c r="F98" s="317">
        <f>'Supply planning data'!H96</f>
        <v>0</v>
      </c>
      <c r="G98" s="317">
        <f>'Supply planning data'!I96</f>
        <v>0</v>
      </c>
      <c r="H98" s="98">
        <f>'Supply planning data'!J96</f>
        <v>0</v>
      </c>
      <c r="I98" s="317">
        <f>'Supply planning data'!K96</f>
        <v>0</v>
      </c>
      <c r="J98" s="175" t="str">
        <f>'Supply planning data'!L96</f>
        <v/>
      </c>
      <c r="K98" s="98">
        <f>'Supply planning data'!M96</f>
        <v>0</v>
      </c>
      <c r="L98" s="317">
        <f>'Supply planning data'!N96+'Supply planning data'!P96</f>
        <v>0</v>
      </c>
      <c r="M98" s="339">
        <f>'Supply planning data'!O96</f>
        <v>0</v>
      </c>
      <c r="N98" s="317">
        <f>'Supply planning data'!P96</f>
        <v>0</v>
      </c>
      <c r="O98" s="339">
        <f>'Supply planning data'!Q96</f>
        <v>0</v>
      </c>
      <c r="P98" s="98">
        <f>'Supply planning data'!R96</f>
        <v>302600</v>
      </c>
      <c r="Q98" s="98">
        <f>'Supply planning data'!S96</f>
        <v>0</v>
      </c>
      <c r="R98" s="98">
        <f>'Supply planning data'!T96</f>
        <v>0</v>
      </c>
      <c r="S98" s="98">
        <f>'Supply planning data'!U96</f>
        <v>0</v>
      </c>
      <c r="T98" s="98">
        <f>'Supply planning data'!V96</f>
        <v>302600</v>
      </c>
      <c r="U98" s="325" t="str">
        <f>'Supply planning data'!W96</f>
        <v/>
      </c>
      <c r="V98" s="98">
        <f>'Supply planning data'!X96</f>
        <v>0</v>
      </c>
      <c r="W98" s="317">
        <f>'Supply planning data'!Y96</f>
        <v>0</v>
      </c>
      <c r="X98" s="328">
        <f>'Supply planning data'!Z96</f>
        <v>0</v>
      </c>
      <c r="Y98" s="98">
        <f>'Supply planning data'!AA96</f>
        <v>0</v>
      </c>
      <c r="Z98" s="98">
        <f>'Supply planning data'!AB96</f>
        <v>0</v>
      </c>
      <c r="AA98" s="98">
        <f>'Supply planning data'!AC96</f>
        <v>0</v>
      </c>
      <c r="AB98" s="98">
        <f>'Supply planning data'!AD96</f>
        <v>0</v>
      </c>
      <c r="AC98" s="98">
        <f>'Supply planning data'!AE96</f>
        <v>302600</v>
      </c>
      <c r="AD98" s="325" t="str">
        <f>'Supply planning data'!AF96</f>
        <v/>
      </c>
      <c r="AE98" s="98">
        <f>'Supply planning data'!AG96</f>
        <v>0</v>
      </c>
      <c r="AF98" s="317">
        <f>'Supply planning data'!AH96</f>
        <v>0</v>
      </c>
      <c r="AG98" s="175">
        <f>'Supply planning data'!AI96</f>
        <v>0</v>
      </c>
      <c r="AH98" s="98">
        <f>'Supply planning data'!AJ96</f>
        <v>0</v>
      </c>
      <c r="AI98" s="98">
        <f>'Supply planning data'!AK96</f>
        <v>0</v>
      </c>
      <c r="AJ98" s="98">
        <f>'Supply planning data'!AL96</f>
        <v>0</v>
      </c>
      <c r="AK98" s="98">
        <f>'Supply planning data'!AM96</f>
        <v>0</v>
      </c>
      <c r="AL98" s="98">
        <f>'Supply planning data'!AN96</f>
        <v>302600</v>
      </c>
      <c r="AM98" s="325" t="str">
        <f>'Supply planning data'!AO96</f>
        <v/>
      </c>
    </row>
    <row r="99" spans="1:39" x14ac:dyDescent="0.25">
      <c r="A99" s="90" t="str">
        <f>'Supply planning data'!C97</f>
        <v>Moderna</v>
      </c>
      <c r="B99" s="296">
        <f>'Supply planning data'!D97</f>
        <v>44378</v>
      </c>
      <c r="C99" s="92" t="str">
        <f>'Supply planning data'!E97</f>
        <v>No</v>
      </c>
      <c r="D99" s="92">
        <f>'Supply planning data'!F97</f>
        <v>0</v>
      </c>
      <c r="E99" s="316">
        <f>'Supply planning data'!G97</f>
        <v>0</v>
      </c>
      <c r="F99" s="317">
        <f>'Supply planning data'!H97</f>
        <v>0</v>
      </c>
      <c r="G99" s="317">
        <f>'Supply planning data'!I97</f>
        <v>0</v>
      </c>
      <c r="H99" s="98">
        <f>'Supply planning data'!J97</f>
        <v>0</v>
      </c>
      <c r="I99" s="317">
        <f>'Supply planning data'!K97</f>
        <v>0</v>
      </c>
      <c r="J99" s="175" t="str">
        <f>'Supply planning data'!L97</f>
        <v/>
      </c>
      <c r="K99" s="98">
        <f>'Supply planning data'!M97</f>
        <v>0</v>
      </c>
      <c r="L99" s="317">
        <f>'Supply planning data'!N97+'Supply planning data'!P97</f>
        <v>0</v>
      </c>
      <c r="M99" s="339">
        <f>'Supply planning data'!O97</f>
        <v>0</v>
      </c>
      <c r="N99" s="317">
        <f>'Supply planning data'!P97</f>
        <v>0</v>
      </c>
      <c r="O99" s="339">
        <f>'Supply planning data'!Q97</f>
        <v>0</v>
      </c>
      <c r="P99" s="98">
        <f>'Supply planning data'!R97</f>
        <v>0</v>
      </c>
      <c r="Q99" s="98">
        <f>'Supply planning data'!S97</f>
        <v>0</v>
      </c>
      <c r="R99" s="98">
        <f>'Supply planning data'!T97</f>
        <v>0</v>
      </c>
      <c r="S99" s="98">
        <f>'Supply planning data'!U97</f>
        <v>0</v>
      </c>
      <c r="T99" s="98">
        <f>'Supply planning data'!V97</f>
        <v>0</v>
      </c>
      <c r="U99" s="325" t="str">
        <f>'Supply planning data'!W97</f>
        <v/>
      </c>
      <c r="V99" s="98">
        <f>'Supply planning data'!X97</f>
        <v>0</v>
      </c>
      <c r="W99" s="317">
        <f>'Supply planning data'!Y97</f>
        <v>0</v>
      </c>
      <c r="X99" s="328">
        <f>'Supply planning data'!Z97</f>
        <v>0</v>
      </c>
      <c r="Y99" s="98">
        <f>'Supply planning data'!AA97</f>
        <v>0</v>
      </c>
      <c r="Z99" s="98">
        <f>'Supply planning data'!AB97</f>
        <v>0</v>
      </c>
      <c r="AA99" s="98">
        <f>'Supply planning data'!AC97</f>
        <v>0</v>
      </c>
      <c r="AB99" s="98">
        <f>'Supply planning data'!AD97</f>
        <v>0</v>
      </c>
      <c r="AC99" s="98">
        <f>'Supply planning data'!AE97</f>
        <v>0</v>
      </c>
      <c r="AD99" s="325" t="str">
        <f>'Supply planning data'!AF97</f>
        <v/>
      </c>
      <c r="AE99" s="98">
        <f>'Supply planning data'!AG97</f>
        <v>0</v>
      </c>
      <c r="AF99" s="317">
        <f>'Supply planning data'!AH97</f>
        <v>0</v>
      </c>
      <c r="AG99" s="175">
        <f>'Supply planning data'!AI97</f>
        <v>0</v>
      </c>
      <c r="AH99" s="98">
        <f>'Supply planning data'!AJ97</f>
        <v>0</v>
      </c>
      <c r="AI99" s="98">
        <f>'Supply planning data'!AK97</f>
        <v>0</v>
      </c>
      <c r="AJ99" s="98">
        <f>'Supply planning data'!AL97</f>
        <v>0</v>
      </c>
      <c r="AK99" s="98">
        <f>'Supply planning data'!AM97</f>
        <v>0</v>
      </c>
      <c r="AL99" s="98">
        <f>'Supply planning data'!AN97</f>
        <v>0</v>
      </c>
      <c r="AM99" s="325" t="str">
        <f>'Supply planning data'!AO97</f>
        <v/>
      </c>
    </row>
    <row r="100" spans="1:39" x14ac:dyDescent="0.25">
      <c r="A100" s="90" t="str">
        <f>'Supply planning data'!C98</f>
        <v>Pfizer</v>
      </c>
      <c r="B100" s="296">
        <f>'Supply planning data'!D98</f>
        <v>44378</v>
      </c>
      <c r="C100" s="92" t="str">
        <f>'Supply planning data'!E98</f>
        <v>Yes</v>
      </c>
      <c r="D100" s="92">
        <f>'Supply planning data'!F98</f>
        <v>0</v>
      </c>
      <c r="E100" s="316">
        <f>'Supply planning data'!G98</f>
        <v>0</v>
      </c>
      <c r="F100" s="317">
        <f>'Supply planning data'!H98</f>
        <v>0</v>
      </c>
      <c r="G100" s="317">
        <f>'Supply planning data'!I98</f>
        <v>0</v>
      </c>
      <c r="H100" s="98">
        <f>'Supply planning data'!J98</f>
        <v>0</v>
      </c>
      <c r="I100" s="317">
        <f>'Supply planning data'!K98</f>
        <v>0</v>
      </c>
      <c r="J100" s="175" t="str">
        <f>'Supply planning data'!L98</f>
        <v/>
      </c>
      <c r="K100" s="98">
        <f>'Supply planning data'!M98</f>
        <v>0</v>
      </c>
      <c r="L100" s="317">
        <f>'Supply planning data'!N98+'Supply planning data'!P98</f>
        <v>0</v>
      </c>
      <c r="M100" s="339">
        <f>'Supply planning data'!O98</f>
        <v>0</v>
      </c>
      <c r="N100" s="317">
        <f>'Supply planning data'!P98</f>
        <v>0</v>
      </c>
      <c r="O100" s="339">
        <f>'Supply planning data'!Q98</f>
        <v>0</v>
      </c>
      <c r="P100" s="98">
        <f>'Supply planning data'!R98</f>
        <v>0</v>
      </c>
      <c r="Q100" s="98">
        <f>'Supply planning data'!S98</f>
        <v>0</v>
      </c>
      <c r="R100" s="98">
        <f>'Supply planning data'!T98</f>
        <v>0</v>
      </c>
      <c r="S100" s="98">
        <f>'Supply planning data'!U98</f>
        <v>0</v>
      </c>
      <c r="T100" s="98">
        <f>'Supply planning data'!V98</f>
        <v>0</v>
      </c>
      <c r="U100" s="325" t="str">
        <f>'Supply planning data'!W98</f>
        <v/>
      </c>
      <c r="V100" s="98">
        <f>'Supply planning data'!X98</f>
        <v>0</v>
      </c>
      <c r="W100" s="317">
        <f>'Supply planning data'!Y98</f>
        <v>0</v>
      </c>
      <c r="X100" s="328">
        <f>'Supply planning data'!Z98</f>
        <v>0</v>
      </c>
      <c r="Y100" s="98">
        <f>'Supply planning data'!AA98</f>
        <v>0</v>
      </c>
      <c r="Z100" s="98">
        <f>'Supply planning data'!AB98</f>
        <v>0</v>
      </c>
      <c r="AA100" s="98">
        <f>'Supply planning data'!AC98</f>
        <v>0</v>
      </c>
      <c r="AB100" s="98">
        <f>'Supply planning data'!AD98</f>
        <v>0</v>
      </c>
      <c r="AC100" s="98">
        <f>'Supply planning data'!AE98</f>
        <v>0</v>
      </c>
      <c r="AD100" s="325" t="str">
        <f>'Supply planning data'!AF98</f>
        <v/>
      </c>
      <c r="AE100" s="98">
        <f>'Supply planning data'!AG98</f>
        <v>0</v>
      </c>
      <c r="AF100" s="317">
        <f>'Supply planning data'!AH98</f>
        <v>0</v>
      </c>
      <c r="AG100" s="175">
        <f>'Supply planning data'!AI98</f>
        <v>0</v>
      </c>
      <c r="AH100" s="98">
        <f>'Supply planning data'!AJ98</f>
        <v>0</v>
      </c>
      <c r="AI100" s="98">
        <f>'Supply planning data'!AK98</f>
        <v>0</v>
      </c>
      <c r="AJ100" s="98">
        <f>'Supply planning data'!AL98</f>
        <v>0</v>
      </c>
      <c r="AK100" s="98">
        <f>'Supply planning data'!AM98</f>
        <v>0</v>
      </c>
      <c r="AL100" s="98">
        <f>'Supply planning data'!AN98</f>
        <v>0</v>
      </c>
      <c r="AM100" s="325" t="str">
        <f>'Supply planning data'!AO98</f>
        <v/>
      </c>
    </row>
    <row r="101" spans="1:39" x14ac:dyDescent="0.25">
      <c r="A101" s="90" t="str">
        <f>'Supply planning data'!C99</f>
        <v>Sinovac</v>
      </c>
      <c r="B101" s="296">
        <f>'Supply planning data'!D99</f>
        <v>44378</v>
      </c>
      <c r="C101" s="92" t="str">
        <f>'Supply planning data'!E99</f>
        <v>No</v>
      </c>
      <c r="D101" s="92">
        <f>'Supply planning data'!F99</f>
        <v>0</v>
      </c>
      <c r="E101" s="316">
        <f>'Supply planning data'!G99</f>
        <v>0</v>
      </c>
      <c r="F101" s="317">
        <f>'Supply planning data'!H99</f>
        <v>0</v>
      </c>
      <c r="G101" s="317">
        <f>'Supply planning data'!I99</f>
        <v>0</v>
      </c>
      <c r="H101" s="98">
        <f>'Supply planning data'!J99</f>
        <v>0</v>
      </c>
      <c r="I101" s="317">
        <f>'Supply planning data'!K99</f>
        <v>0</v>
      </c>
      <c r="J101" s="175" t="str">
        <f>'Supply planning data'!L99</f>
        <v/>
      </c>
      <c r="K101" s="98">
        <f>'Supply planning data'!M99</f>
        <v>0</v>
      </c>
      <c r="L101" s="317">
        <f>'Supply planning data'!N99+'Supply planning data'!P99</f>
        <v>0</v>
      </c>
      <c r="M101" s="339">
        <f>'Supply planning data'!O99</f>
        <v>0</v>
      </c>
      <c r="N101" s="317">
        <f>'Supply planning data'!P99</f>
        <v>0</v>
      </c>
      <c r="O101" s="339">
        <f>'Supply planning data'!Q99</f>
        <v>0</v>
      </c>
      <c r="P101" s="98">
        <f>'Supply planning data'!R99</f>
        <v>0</v>
      </c>
      <c r="Q101" s="98">
        <f>'Supply planning data'!S99</f>
        <v>0</v>
      </c>
      <c r="R101" s="98">
        <f>'Supply planning data'!T99</f>
        <v>0</v>
      </c>
      <c r="S101" s="98">
        <f>'Supply planning data'!U99</f>
        <v>0</v>
      </c>
      <c r="T101" s="98">
        <f>'Supply planning data'!V99</f>
        <v>0</v>
      </c>
      <c r="U101" s="325" t="str">
        <f>'Supply planning data'!W99</f>
        <v/>
      </c>
      <c r="V101" s="98">
        <f>'Supply planning data'!X99</f>
        <v>0</v>
      </c>
      <c r="W101" s="317">
        <f>'Supply planning data'!Y99</f>
        <v>0</v>
      </c>
      <c r="X101" s="328">
        <f>'Supply planning data'!Z99</f>
        <v>0</v>
      </c>
      <c r="Y101" s="98">
        <f>'Supply planning data'!AA99</f>
        <v>0</v>
      </c>
      <c r="Z101" s="98">
        <f>'Supply planning data'!AB99</f>
        <v>0</v>
      </c>
      <c r="AA101" s="98">
        <f>'Supply planning data'!AC99</f>
        <v>0</v>
      </c>
      <c r="AB101" s="98">
        <f>'Supply planning data'!AD99</f>
        <v>0</v>
      </c>
      <c r="AC101" s="98">
        <f>'Supply planning data'!AE99</f>
        <v>0</v>
      </c>
      <c r="AD101" s="325" t="str">
        <f>'Supply planning data'!AF99</f>
        <v/>
      </c>
      <c r="AE101" s="98">
        <f>'Supply planning data'!AG99</f>
        <v>0</v>
      </c>
      <c r="AF101" s="317">
        <f>'Supply planning data'!AH99</f>
        <v>0</v>
      </c>
      <c r="AG101" s="175">
        <f>'Supply planning data'!AI99</f>
        <v>0</v>
      </c>
      <c r="AH101" s="98">
        <f>'Supply planning data'!AJ99</f>
        <v>0</v>
      </c>
      <c r="AI101" s="98">
        <f>'Supply planning data'!AK99</f>
        <v>0</v>
      </c>
      <c r="AJ101" s="98">
        <f>'Supply planning data'!AL99</f>
        <v>0</v>
      </c>
      <c r="AK101" s="98">
        <f>'Supply planning data'!AM99</f>
        <v>0</v>
      </c>
      <c r="AL101" s="98">
        <f>'Supply planning data'!AN99</f>
        <v>0</v>
      </c>
      <c r="AM101" s="325" t="str">
        <f>'Supply planning data'!AO99</f>
        <v/>
      </c>
    </row>
    <row r="102" spans="1:39" hidden="1" x14ac:dyDescent="0.25">
      <c r="A102" s="90" t="str">
        <f>'Supply planning data'!C100</f>
        <v/>
      </c>
      <c r="B102" s="296">
        <f>'Supply planning data'!D100</f>
        <v>44378</v>
      </c>
      <c r="C102" s="92" t="str">
        <f>'Supply planning data'!E100</f>
        <v>No</v>
      </c>
      <c r="D102" s="92">
        <f>'Supply planning data'!F100</f>
        <v>0</v>
      </c>
      <c r="E102" s="316">
        <f>'Supply planning data'!G100</f>
        <v>0</v>
      </c>
      <c r="F102" s="317">
        <f>'Supply planning data'!H100</f>
        <v>0</v>
      </c>
      <c r="G102" s="317">
        <f>'Supply planning data'!I100</f>
        <v>0</v>
      </c>
      <c r="H102" s="98">
        <f>'Supply planning data'!J100</f>
        <v>0</v>
      </c>
      <c r="I102" s="317">
        <f>'Supply planning data'!K100</f>
        <v>0</v>
      </c>
      <c r="J102" s="175" t="str">
        <f>'Supply planning data'!L100</f>
        <v/>
      </c>
      <c r="K102" s="98">
        <f>'Supply planning data'!M100</f>
        <v>0</v>
      </c>
      <c r="L102" s="317">
        <f>'Supply planning data'!N100+'Supply planning data'!P100</f>
        <v>0</v>
      </c>
      <c r="M102" s="339">
        <f>'Supply planning data'!O100</f>
        <v>0</v>
      </c>
      <c r="N102" s="317">
        <f>'Supply planning data'!P100</f>
        <v>0</v>
      </c>
      <c r="O102" s="339">
        <f>'Supply planning data'!Q100</f>
        <v>0</v>
      </c>
      <c r="P102" s="98">
        <f>'Supply planning data'!R100</f>
        <v>0</v>
      </c>
      <c r="Q102" s="98">
        <f>'Supply planning data'!S100</f>
        <v>0</v>
      </c>
      <c r="R102" s="98">
        <f>'Supply planning data'!T100</f>
        <v>0</v>
      </c>
      <c r="S102" s="98">
        <f>'Supply planning data'!U100</f>
        <v>0</v>
      </c>
      <c r="T102" s="98">
        <f>'Supply planning data'!V100</f>
        <v>0</v>
      </c>
      <c r="U102" s="325" t="str">
        <f>'Supply planning data'!W100</f>
        <v/>
      </c>
      <c r="V102" s="98">
        <f>'Supply planning data'!X100</f>
        <v>0</v>
      </c>
      <c r="W102" s="317">
        <f>'Supply planning data'!Y100</f>
        <v>0</v>
      </c>
      <c r="X102" s="328">
        <f>'Supply planning data'!Z100</f>
        <v>0</v>
      </c>
      <c r="Y102" s="98">
        <f>'Supply planning data'!AA100</f>
        <v>0</v>
      </c>
      <c r="Z102" s="98">
        <f>'Supply planning data'!AB100</f>
        <v>0</v>
      </c>
      <c r="AA102" s="98">
        <f>'Supply planning data'!AC100</f>
        <v>0</v>
      </c>
      <c r="AB102" s="98">
        <f>'Supply planning data'!AD100</f>
        <v>0</v>
      </c>
      <c r="AC102" s="98">
        <f>'Supply planning data'!AE100</f>
        <v>0</v>
      </c>
      <c r="AD102" s="325" t="str">
        <f>'Supply planning data'!AF100</f>
        <v/>
      </c>
      <c r="AE102" s="98">
        <f>'Supply planning data'!AG100</f>
        <v>0</v>
      </c>
      <c r="AF102" s="317">
        <f>'Supply planning data'!AH100</f>
        <v>0</v>
      </c>
      <c r="AG102" s="175">
        <f>'Supply planning data'!AI100</f>
        <v>0</v>
      </c>
      <c r="AH102" s="98">
        <f>'Supply planning data'!AJ100</f>
        <v>0</v>
      </c>
      <c r="AI102" s="98">
        <f>'Supply planning data'!AK100</f>
        <v>0</v>
      </c>
      <c r="AJ102" s="98">
        <f>'Supply planning data'!AL100</f>
        <v>0</v>
      </c>
      <c r="AK102" s="98">
        <f>'Supply planning data'!AM100</f>
        <v>0</v>
      </c>
      <c r="AL102" s="98">
        <f>'Supply planning data'!AN100</f>
        <v>0</v>
      </c>
      <c r="AM102" s="325" t="str">
        <f>'Supply planning data'!AO100</f>
        <v/>
      </c>
    </row>
    <row r="103" spans="1:39" hidden="1" x14ac:dyDescent="0.25">
      <c r="A103" s="90" t="str">
        <f>'Supply planning data'!C101</f>
        <v/>
      </c>
      <c r="B103" s="296">
        <f>'Supply planning data'!D101</f>
        <v>44378</v>
      </c>
      <c r="C103" s="92" t="str">
        <f>'Supply planning data'!E101</f>
        <v>No</v>
      </c>
      <c r="D103" s="92">
        <f>'Supply planning data'!F101</f>
        <v>0</v>
      </c>
      <c r="E103" s="316">
        <f>'Supply planning data'!G101</f>
        <v>0</v>
      </c>
      <c r="F103" s="317">
        <f>'Supply planning data'!H101</f>
        <v>0</v>
      </c>
      <c r="G103" s="317">
        <f>'Supply planning data'!I101</f>
        <v>0</v>
      </c>
      <c r="H103" s="98">
        <f>'Supply planning data'!J101</f>
        <v>0</v>
      </c>
      <c r="I103" s="317">
        <f>'Supply planning data'!K101</f>
        <v>0</v>
      </c>
      <c r="J103" s="175" t="str">
        <f>'Supply planning data'!L101</f>
        <v/>
      </c>
      <c r="K103" s="98">
        <f>'Supply planning data'!M101</f>
        <v>0</v>
      </c>
      <c r="L103" s="317">
        <f>'Supply planning data'!N101+'Supply planning data'!P101</f>
        <v>0</v>
      </c>
      <c r="M103" s="339">
        <f>'Supply planning data'!O101</f>
        <v>0</v>
      </c>
      <c r="N103" s="317">
        <f>'Supply planning data'!P101</f>
        <v>0</v>
      </c>
      <c r="O103" s="339">
        <f>'Supply planning data'!Q101</f>
        <v>0</v>
      </c>
      <c r="P103" s="98">
        <f>'Supply planning data'!R101</f>
        <v>0</v>
      </c>
      <c r="Q103" s="98">
        <f>'Supply planning data'!S101</f>
        <v>0</v>
      </c>
      <c r="R103" s="98">
        <f>'Supply planning data'!T101</f>
        <v>0</v>
      </c>
      <c r="S103" s="98">
        <f>'Supply planning data'!U101</f>
        <v>0</v>
      </c>
      <c r="T103" s="98">
        <f>'Supply planning data'!V101</f>
        <v>0</v>
      </c>
      <c r="U103" s="325" t="str">
        <f>'Supply planning data'!W101</f>
        <v/>
      </c>
      <c r="V103" s="98">
        <f>'Supply planning data'!X101</f>
        <v>0</v>
      </c>
      <c r="W103" s="317">
        <f>'Supply planning data'!Y101</f>
        <v>0</v>
      </c>
      <c r="X103" s="328">
        <f>'Supply planning data'!Z101</f>
        <v>0</v>
      </c>
      <c r="Y103" s="98">
        <f>'Supply planning data'!AA101</f>
        <v>0</v>
      </c>
      <c r="Z103" s="98">
        <f>'Supply planning data'!AB101</f>
        <v>0</v>
      </c>
      <c r="AA103" s="98">
        <f>'Supply planning data'!AC101</f>
        <v>0</v>
      </c>
      <c r="AB103" s="98">
        <f>'Supply planning data'!AD101</f>
        <v>0</v>
      </c>
      <c r="AC103" s="98">
        <f>'Supply planning data'!AE101</f>
        <v>0</v>
      </c>
      <c r="AD103" s="325" t="str">
        <f>'Supply planning data'!AF101</f>
        <v/>
      </c>
      <c r="AE103" s="98">
        <f>'Supply planning data'!AG101</f>
        <v>0</v>
      </c>
      <c r="AF103" s="317">
        <f>'Supply planning data'!AH101</f>
        <v>0</v>
      </c>
      <c r="AG103" s="175">
        <f>'Supply planning data'!AI101</f>
        <v>0</v>
      </c>
      <c r="AH103" s="98">
        <f>'Supply planning data'!AJ101</f>
        <v>0</v>
      </c>
      <c r="AI103" s="98">
        <f>'Supply planning data'!AK101</f>
        <v>0</v>
      </c>
      <c r="AJ103" s="98">
        <f>'Supply planning data'!AL101</f>
        <v>0</v>
      </c>
      <c r="AK103" s="98">
        <f>'Supply planning data'!AM101</f>
        <v>0</v>
      </c>
      <c r="AL103" s="98">
        <f>'Supply planning data'!AN101</f>
        <v>0</v>
      </c>
      <c r="AM103" s="325" t="str">
        <f>'Supply planning data'!AO101</f>
        <v/>
      </c>
    </row>
    <row r="104" spans="1:39" hidden="1" x14ac:dyDescent="0.25">
      <c r="A104" s="90" t="str">
        <f>'Supply planning data'!C102</f>
        <v/>
      </c>
      <c r="B104" s="296">
        <f>'Supply planning data'!D102</f>
        <v>44378</v>
      </c>
      <c r="C104" s="92" t="str">
        <f>'Supply planning data'!E102</f>
        <v>No</v>
      </c>
      <c r="D104" s="92">
        <f>'Supply planning data'!F102</f>
        <v>0</v>
      </c>
      <c r="E104" s="316">
        <f>'Supply planning data'!G102</f>
        <v>0</v>
      </c>
      <c r="F104" s="317">
        <f>'Supply planning data'!H102</f>
        <v>0</v>
      </c>
      <c r="G104" s="317">
        <f>'Supply planning data'!I102</f>
        <v>0</v>
      </c>
      <c r="H104" s="98">
        <f>'Supply planning data'!J102</f>
        <v>0</v>
      </c>
      <c r="I104" s="317">
        <f>'Supply planning data'!K102</f>
        <v>0</v>
      </c>
      <c r="J104" s="175" t="str">
        <f>'Supply planning data'!L102</f>
        <v/>
      </c>
      <c r="K104" s="98">
        <f>'Supply planning data'!M102</f>
        <v>0</v>
      </c>
      <c r="L104" s="317">
        <f>'Supply planning data'!N102+'Supply planning data'!P102</f>
        <v>0</v>
      </c>
      <c r="M104" s="339">
        <f>'Supply planning data'!O102</f>
        <v>0</v>
      </c>
      <c r="N104" s="317">
        <f>'Supply planning data'!P102</f>
        <v>0</v>
      </c>
      <c r="O104" s="339">
        <f>'Supply planning data'!Q102</f>
        <v>0</v>
      </c>
      <c r="P104" s="98">
        <f>'Supply planning data'!R102</f>
        <v>0</v>
      </c>
      <c r="Q104" s="98">
        <f>'Supply planning data'!S102</f>
        <v>0</v>
      </c>
      <c r="R104" s="98">
        <f>'Supply planning data'!T102</f>
        <v>0</v>
      </c>
      <c r="S104" s="98">
        <f>'Supply planning data'!U102</f>
        <v>0</v>
      </c>
      <c r="T104" s="98">
        <f>'Supply planning data'!V102</f>
        <v>0</v>
      </c>
      <c r="U104" s="325" t="str">
        <f>'Supply planning data'!W102</f>
        <v/>
      </c>
      <c r="V104" s="98">
        <f>'Supply planning data'!X102</f>
        <v>0</v>
      </c>
      <c r="W104" s="317">
        <f>'Supply planning data'!Y102</f>
        <v>0</v>
      </c>
      <c r="X104" s="328">
        <f>'Supply planning data'!Z102</f>
        <v>0</v>
      </c>
      <c r="Y104" s="98">
        <f>'Supply planning data'!AA102</f>
        <v>0</v>
      </c>
      <c r="Z104" s="98">
        <f>'Supply planning data'!AB102</f>
        <v>0</v>
      </c>
      <c r="AA104" s="98">
        <f>'Supply planning data'!AC102</f>
        <v>0</v>
      </c>
      <c r="AB104" s="98">
        <f>'Supply planning data'!AD102</f>
        <v>0</v>
      </c>
      <c r="AC104" s="98">
        <f>'Supply planning data'!AE102</f>
        <v>0</v>
      </c>
      <c r="AD104" s="325" t="str">
        <f>'Supply planning data'!AF102</f>
        <v/>
      </c>
      <c r="AE104" s="98">
        <f>'Supply planning data'!AG102</f>
        <v>0</v>
      </c>
      <c r="AF104" s="317">
        <f>'Supply planning data'!AH102</f>
        <v>0</v>
      </c>
      <c r="AG104" s="175">
        <f>'Supply planning data'!AI102</f>
        <v>0</v>
      </c>
      <c r="AH104" s="98">
        <f>'Supply planning data'!AJ102</f>
        <v>0</v>
      </c>
      <c r="AI104" s="98">
        <f>'Supply planning data'!AK102</f>
        <v>0</v>
      </c>
      <c r="AJ104" s="98">
        <f>'Supply planning data'!AL102</f>
        <v>0</v>
      </c>
      <c r="AK104" s="98">
        <f>'Supply planning data'!AM102</f>
        <v>0</v>
      </c>
      <c r="AL104" s="98">
        <f>'Supply planning data'!AN102</f>
        <v>0</v>
      </c>
      <c r="AM104" s="325" t="str">
        <f>'Supply planning data'!AO102</f>
        <v/>
      </c>
    </row>
    <row r="105" spans="1:39" hidden="1" x14ac:dyDescent="0.25">
      <c r="A105" s="90" t="str">
        <f>'Supply planning data'!C103</f>
        <v/>
      </c>
      <c r="B105" s="296">
        <f>'Supply planning data'!D103</f>
        <v>44378</v>
      </c>
      <c r="C105" s="92" t="str">
        <f>'Supply planning data'!E103</f>
        <v>No</v>
      </c>
      <c r="D105" s="92">
        <f>'Supply planning data'!F103</f>
        <v>0</v>
      </c>
      <c r="E105" s="316">
        <f>'Supply planning data'!G103</f>
        <v>0</v>
      </c>
      <c r="F105" s="317">
        <f>'Supply planning data'!H103</f>
        <v>0</v>
      </c>
      <c r="G105" s="317">
        <f>'Supply planning data'!I103</f>
        <v>0</v>
      </c>
      <c r="H105" s="98">
        <f>'Supply planning data'!J103</f>
        <v>0</v>
      </c>
      <c r="I105" s="317">
        <f>'Supply planning data'!K103</f>
        <v>0</v>
      </c>
      <c r="J105" s="175" t="str">
        <f>'Supply planning data'!L103</f>
        <v/>
      </c>
      <c r="K105" s="98">
        <f>'Supply planning data'!M103</f>
        <v>0</v>
      </c>
      <c r="L105" s="317">
        <f>'Supply planning data'!N103+'Supply planning data'!P103</f>
        <v>0</v>
      </c>
      <c r="M105" s="339">
        <f>'Supply planning data'!O103</f>
        <v>0</v>
      </c>
      <c r="N105" s="317">
        <f>'Supply planning data'!P103</f>
        <v>0</v>
      </c>
      <c r="O105" s="339">
        <f>'Supply planning data'!Q103</f>
        <v>0</v>
      </c>
      <c r="P105" s="98">
        <f>'Supply planning data'!R103</f>
        <v>0</v>
      </c>
      <c r="Q105" s="98">
        <f>'Supply planning data'!S103</f>
        <v>0</v>
      </c>
      <c r="R105" s="98">
        <f>'Supply planning data'!T103</f>
        <v>0</v>
      </c>
      <c r="S105" s="98">
        <f>'Supply planning data'!U103</f>
        <v>0</v>
      </c>
      <c r="T105" s="98">
        <f>'Supply planning data'!V103</f>
        <v>0</v>
      </c>
      <c r="U105" s="325" t="str">
        <f>'Supply planning data'!W103</f>
        <v/>
      </c>
      <c r="V105" s="98">
        <f>'Supply planning data'!X103</f>
        <v>0</v>
      </c>
      <c r="W105" s="317">
        <f>'Supply planning data'!Y103</f>
        <v>0</v>
      </c>
      <c r="X105" s="328">
        <f>'Supply planning data'!Z103</f>
        <v>0</v>
      </c>
      <c r="Y105" s="98">
        <f>'Supply planning data'!AA103</f>
        <v>0</v>
      </c>
      <c r="Z105" s="98">
        <f>'Supply planning data'!AB103</f>
        <v>0</v>
      </c>
      <c r="AA105" s="98">
        <f>'Supply planning data'!AC103</f>
        <v>0</v>
      </c>
      <c r="AB105" s="98">
        <f>'Supply planning data'!AD103</f>
        <v>0</v>
      </c>
      <c r="AC105" s="98">
        <f>'Supply planning data'!AE103</f>
        <v>0</v>
      </c>
      <c r="AD105" s="325" t="str">
        <f>'Supply planning data'!AF103</f>
        <v/>
      </c>
      <c r="AE105" s="98">
        <f>'Supply planning data'!AG103</f>
        <v>0</v>
      </c>
      <c r="AF105" s="317">
        <f>'Supply planning data'!AH103</f>
        <v>0</v>
      </c>
      <c r="AG105" s="175">
        <f>'Supply planning data'!AI103</f>
        <v>0</v>
      </c>
      <c r="AH105" s="98">
        <f>'Supply planning data'!AJ103</f>
        <v>0</v>
      </c>
      <c r="AI105" s="98">
        <f>'Supply planning data'!AK103</f>
        <v>0</v>
      </c>
      <c r="AJ105" s="98">
        <f>'Supply planning data'!AL103</f>
        <v>0</v>
      </c>
      <c r="AK105" s="98">
        <f>'Supply planning data'!AM103</f>
        <v>0</v>
      </c>
      <c r="AL105" s="98">
        <f>'Supply planning data'!AN103</f>
        <v>0</v>
      </c>
      <c r="AM105" s="325" t="str">
        <f>'Supply planning data'!AO103</f>
        <v/>
      </c>
    </row>
    <row r="106" spans="1:39" hidden="1" x14ac:dyDescent="0.25">
      <c r="A106" s="90" t="str">
        <f>'Supply planning data'!C104</f>
        <v/>
      </c>
      <c r="B106" s="296">
        <f>'Supply planning data'!D104</f>
        <v>44378</v>
      </c>
      <c r="C106" s="92" t="str">
        <f>'Supply planning data'!E104</f>
        <v>No</v>
      </c>
      <c r="D106" s="92">
        <f>'Supply planning data'!F104</f>
        <v>0</v>
      </c>
      <c r="E106" s="316">
        <f>'Supply planning data'!G104</f>
        <v>0</v>
      </c>
      <c r="F106" s="317">
        <f>'Supply planning data'!H104</f>
        <v>0</v>
      </c>
      <c r="G106" s="317">
        <f>'Supply planning data'!I104</f>
        <v>0</v>
      </c>
      <c r="H106" s="98">
        <f>'Supply planning data'!J104</f>
        <v>0</v>
      </c>
      <c r="I106" s="317">
        <f>'Supply planning data'!K104</f>
        <v>0</v>
      </c>
      <c r="J106" s="175" t="str">
        <f>'Supply planning data'!L104</f>
        <v/>
      </c>
      <c r="K106" s="98">
        <f>'Supply planning data'!M104</f>
        <v>0</v>
      </c>
      <c r="L106" s="317">
        <f>'Supply planning data'!N104+'Supply planning data'!P104</f>
        <v>0</v>
      </c>
      <c r="M106" s="339">
        <f>'Supply planning data'!O104</f>
        <v>0</v>
      </c>
      <c r="N106" s="317">
        <f>'Supply planning data'!P104</f>
        <v>0</v>
      </c>
      <c r="O106" s="339">
        <f>'Supply planning data'!Q104</f>
        <v>0</v>
      </c>
      <c r="P106" s="98">
        <f>'Supply planning data'!R104</f>
        <v>0</v>
      </c>
      <c r="Q106" s="98">
        <f>'Supply planning data'!S104</f>
        <v>0</v>
      </c>
      <c r="R106" s="98">
        <f>'Supply planning data'!T104</f>
        <v>0</v>
      </c>
      <c r="S106" s="98">
        <f>'Supply planning data'!U104</f>
        <v>0</v>
      </c>
      <c r="T106" s="98">
        <f>'Supply planning data'!V104</f>
        <v>0</v>
      </c>
      <c r="U106" s="325" t="str">
        <f>'Supply planning data'!W104</f>
        <v/>
      </c>
      <c r="V106" s="98">
        <f>'Supply planning data'!X104</f>
        <v>0</v>
      </c>
      <c r="W106" s="317">
        <f>'Supply planning data'!Y104</f>
        <v>0</v>
      </c>
      <c r="X106" s="328">
        <f>'Supply planning data'!Z104</f>
        <v>0</v>
      </c>
      <c r="Y106" s="98">
        <f>'Supply planning data'!AA104</f>
        <v>0</v>
      </c>
      <c r="Z106" s="98">
        <f>'Supply planning data'!AB104</f>
        <v>0</v>
      </c>
      <c r="AA106" s="98">
        <f>'Supply planning data'!AC104</f>
        <v>0</v>
      </c>
      <c r="AB106" s="98">
        <f>'Supply planning data'!AD104</f>
        <v>0</v>
      </c>
      <c r="AC106" s="98">
        <f>'Supply planning data'!AE104</f>
        <v>0</v>
      </c>
      <c r="AD106" s="325" t="str">
        <f>'Supply planning data'!AF104</f>
        <v/>
      </c>
      <c r="AE106" s="98">
        <f>'Supply planning data'!AG104</f>
        <v>0</v>
      </c>
      <c r="AF106" s="317">
        <f>'Supply planning data'!AH104</f>
        <v>0</v>
      </c>
      <c r="AG106" s="175">
        <f>'Supply planning data'!AI104</f>
        <v>0</v>
      </c>
      <c r="AH106" s="98">
        <f>'Supply planning data'!AJ104</f>
        <v>0</v>
      </c>
      <c r="AI106" s="98">
        <f>'Supply planning data'!AK104</f>
        <v>0</v>
      </c>
      <c r="AJ106" s="98">
        <f>'Supply planning data'!AL104</f>
        <v>0</v>
      </c>
      <c r="AK106" s="98">
        <f>'Supply planning data'!AM104</f>
        <v>0</v>
      </c>
      <c r="AL106" s="98">
        <f>'Supply planning data'!AN104</f>
        <v>0</v>
      </c>
      <c r="AM106" s="325" t="str">
        <f>'Supply planning data'!AO104</f>
        <v/>
      </c>
    </row>
    <row r="107" spans="1:39" hidden="1" x14ac:dyDescent="0.25">
      <c r="A107" s="90" t="str">
        <f>'Supply planning data'!C105</f>
        <v/>
      </c>
      <c r="B107" s="296">
        <f>'Supply planning data'!D105</f>
        <v>44378</v>
      </c>
      <c r="C107" s="92" t="str">
        <f>'Supply planning data'!E105</f>
        <v>No</v>
      </c>
      <c r="D107" s="92">
        <f>'Supply planning data'!F105</f>
        <v>0</v>
      </c>
      <c r="E107" s="316">
        <f>'Supply planning data'!G105</f>
        <v>0</v>
      </c>
      <c r="F107" s="317">
        <f>'Supply planning data'!H105</f>
        <v>0</v>
      </c>
      <c r="G107" s="317">
        <f>'Supply planning data'!I105</f>
        <v>0</v>
      </c>
      <c r="H107" s="98">
        <f>'Supply planning data'!J105</f>
        <v>0</v>
      </c>
      <c r="I107" s="317">
        <f>'Supply planning data'!K105</f>
        <v>0</v>
      </c>
      <c r="J107" s="175" t="str">
        <f>'Supply planning data'!L105</f>
        <v/>
      </c>
      <c r="K107" s="98">
        <f>'Supply planning data'!M105</f>
        <v>0</v>
      </c>
      <c r="L107" s="317">
        <f>'Supply planning data'!N105+'Supply planning data'!P105</f>
        <v>0</v>
      </c>
      <c r="M107" s="339">
        <f>'Supply planning data'!O105</f>
        <v>0</v>
      </c>
      <c r="N107" s="317">
        <f>'Supply planning data'!P105</f>
        <v>0</v>
      </c>
      <c r="O107" s="339">
        <f>'Supply planning data'!Q105</f>
        <v>0</v>
      </c>
      <c r="P107" s="98">
        <f>'Supply planning data'!R105</f>
        <v>0</v>
      </c>
      <c r="Q107" s="98">
        <f>'Supply planning data'!S105</f>
        <v>0</v>
      </c>
      <c r="R107" s="98">
        <f>'Supply planning data'!T105</f>
        <v>0</v>
      </c>
      <c r="S107" s="98">
        <f>'Supply planning data'!U105</f>
        <v>0</v>
      </c>
      <c r="T107" s="98">
        <f>'Supply planning data'!V105</f>
        <v>0</v>
      </c>
      <c r="U107" s="325" t="str">
        <f>'Supply planning data'!W105</f>
        <v/>
      </c>
      <c r="V107" s="98">
        <f>'Supply planning data'!X105</f>
        <v>0</v>
      </c>
      <c r="W107" s="317">
        <f>'Supply planning data'!Y105</f>
        <v>0</v>
      </c>
      <c r="X107" s="328">
        <f>'Supply planning data'!Z105</f>
        <v>0</v>
      </c>
      <c r="Y107" s="98">
        <f>'Supply planning data'!AA105</f>
        <v>0</v>
      </c>
      <c r="Z107" s="98">
        <f>'Supply planning data'!AB105</f>
        <v>0</v>
      </c>
      <c r="AA107" s="98">
        <f>'Supply planning data'!AC105</f>
        <v>0</v>
      </c>
      <c r="AB107" s="98">
        <f>'Supply planning data'!AD105</f>
        <v>0</v>
      </c>
      <c r="AC107" s="98">
        <f>'Supply planning data'!AE105</f>
        <v>0</v>
      </c>
      <c r="AD107" s="325" t="str">
        <f>'Supply planning data'!AF105</f>
        <v/>
      </c>
      <c r="AE107" s="98">
        <f>'Supply planning data'!AG105</f>
        <v>0</v>
      </c>
      <c r="AF107" s="317">
        <f>'Supply planning data'!AH105</f>
        <v>0</v>
      </c>
      <c r="AG107" s="175">
        <f>'Supply planning data'!AI105</f>
        <v>0</v>
      </c>
      <c r="AH107" s="98">
        <f>'Supply planning data'!AJ105</f>
        <v>0</v>
      </c>
      <c r="AI107" s="98">
        <f>'Supply planning data'!AK105</f>
        <v>0</v>
      </c>
      <c r="AJ107" s="98">
        <f>'Supply planning data'!AL105</f>
        <v>0</v>
      </c>
      <c r="AK107" s="98">
        <f>'Supply planning data'!AM105</f>
        <v>0</v>
      </c>
      <c r="AL107" s="98">
        <f>'Supply planning data'!AN105</f>
        <v>0</v>
      </c>
      <c r="AM107" s="325" t="str">
        <f>'Supply planning data'!AO105</f>
        <v/>
      </c>
    </row>
    <row r="108" spans="1:39" hidden="1" x14ac:dyDescent="0.25">
      <c r="A108" s="90" t="str">
        <f>'Supply planning data'!C106</f>
        <v/>
      </c>
      <c r="B108" s="296">
        <f>'Supply planning data'!D106</f>
        <v>44378</v>
      </c>
      <c r="C108" s="92" t="str">
        <f>'Supply planning data'!E106</f>
        <v>No</v>
      </c>
      <c r="D108" s="92">
        <f>'Supply planning data'!F106</f>
        <v>0</v>
      </c>
      <c r="E108" s="316">
        <f>'Supply planning data'!G106</f>
        <v>0</v>
      </c>
      <c r="F108" s="317">
        <f>'Supply planning data'!H106</f>
        <v>0</v>
      </c>
      <c r="G108" s="317">
        <f>'Supply planning data'!I106</f>
        <v>0</v>
      </c>
      <c r="H108" s="98">
        <f>'Supply planning data'!J106</f>
        <v>0</v>
      </c>
      <c r="I108" s="317">
        <f>'Supply planning data'!K106</f>
        <v>0</v>
      </c>
      <c r="J108" s="175" t="str">
        <f>'Supply planning data'!L106</f>
        <v/>
      </c>
      <c r="K108" s="98">
        <f>'Supply planning data'!M106</f>
        <v>0</v>
      </c>
      <c r="L108" s="317">
        <f>'Supply planning data'!N106+'Supply planning data'!P106</f>
        <v>0</v>
      </c>
      <c r="M108" s="339">
        <f>'Supply planning data'!O106</f>
        <v>0</v>
      </c>
      <c r="N108" s="317">
        <f>'Supply planning data'!P106</f>
        <v>0</v>
      </c>
      <c r="O108" s="339">
        <f>'Supply planning data'!Q106</f>
        <v>0</v>
      </c>
      <c r="P108" s="98">
        <f>'Supply planning data'!R106</f>
        <v>0</v>
      </c>
      <c r="Q108" s="98">
        <f>'Supply planning data'!S106</f>
        <v>0</v>
      </c>
      <c r="R108" s="98">
        <f>'Supply planning data'!T106</f>
        <v>0</v>
      </c>
      <c r="S108" s="98">
        <f>'Supply planning data'!U106</f>
        <v>0</v>
      </c>
      <c r="T108" s="98">
        <f>'Supply planning data'!V106</f>
        <v>0</v>
      </c>
      <c r="U108" s="325" t="str">
        <f>'Supply planning data'!W106</f>
        <v/>
      </c>
      <c r="V108" s="98">
        <f>'Supply planning data'!X106</f>
        <v>0</v>
      </c>
      <c r="W108" s="317">
        <f>'Supply planning data'!Y106</f>
        <v>0</v>
      </c>
      <c r="X108" s="328">
        <f>'Supply planning data'!Z106</f>
        <v>0</v>
      </c>
      <c r="Y108" s="98">
        <f>'Supply planning data'!AA106</f>
        <v>0</v>
      </c>
      <c r="Z108" s="98">
        <f>'Supply planning data'!AB106</f>
        <v>0</v>
      </c>
      <c r="AA108" s="98">
        <f>'Supply planning data'!AC106</f>
        <v>0</v>
      </c>
      <c r="AB108" s="98">
        <f>'Supply planning data'!AD106</f>
        <v>0</v>
      </c>
      <c r="AC108" s="98">
        <f>'Supply planning data'!AE106</f>
        <v>0</v>
      </c>
      <c r="AD108" s="325" t="str">
        <f>'Supply planning data'!AF106</f>
        <v/>
      </c>
      <c r="AE108" s="98">
        <f>'Supply planning data'!AG106</f>
        <v>0</v>
      </c>
      <c r="AF108" s="317">
        <f>'Supply planning data'!AH106</f>
        <v>0</v>
      </c>
      <c r="AG108" s="175">
        <f>'Supply planning data'!AI106</f>
        <v>0</v>
      </c>
      <c r="AH108" s="98">
        <f>'Supply planning data'!AJ106</f>
        <v>0</v>
      </c>
      <c r="AI108" s="98">
        <f>'Supply planning data'!AK106</f>
        <v>0</v>
      </c>
      <c r="AJ108" s="98">
        <f>'Supply planning data'!AL106</f>
        <v>0</v>
      </c>
      <c r="AK108" s="98">
        <f>'Supply planning data'!AM106</f>
        <v>0</v>
      </c>
      <c r="AL108" s="98">
        <f>'Supply planning data'!AN106</f>
        <v>0</v>
      </c>
      <c r="AM108" s="325" t="str">
        <f>'Supply planning data'!AO106</f>
        <v/>
      </c>
    </row>
    <row r="109" spans="1:39" hidden="1" x14ac:dyDescent="0.25">
      <c r="A109" s="90" t="str">
        <f>'Supply planning data'!C107</f>
        <v/>
      </c>
      <c r="B109" s="296">
        <f>'Supply planning data'!D107</f>
        <v>44378</v>
      </c>
      <c r="C109" s="92" t="str">
        <f>'Supply planning data'!E107</f>
        <v>No</v>
      </c>
      <c r="D109" s="92">
        <f>'Supply planning data'!F107</f>
        <v>0</v>
      </c>
      <c r="E109" s="316">
        <f>'Supply planning data'!G107</f>
        <v>0</v>
      </c>
      <c r="F109" s="317">
        <f>'Supply planning data'!H107</f>
        <v>0</v>
      </c>
      <c r="G109" s="317">
        <f>'Supply planning data'!I107</f>
        <v>0</v>
      </c>
      <c r="H109" s="98">
        <f>'Supply planning data'!J107</f>
        <v>0</v>
      </c>
      <c r="I109" s="317">
        <f>'Supply planning data'!K107</f>
        <v>0</v>
      </c>
      <c r="J109" s="175" t="str">
        <f>'Supply planning data'!L107</f>
        <v/>
      </c>
      <c r="K109" s="98">
        <f>'Supply planning data'!M107</f>
        <v>0</v>
      </c>
      <c r="L109" s="317">
        <f>'Supply planning data'!N107+'Supply planning data'!P107</f>
        <v>0</v>
      </c>
      <c r="M109" s="339">
        <f>'Supply planning data'!O107</f>
        <v>0</v>
      </c>
      <c r="N109" s="317">
        <f>'Supply planning data'!P107</f>
        <v>0</v>
      </c>
      <c r="O109" s="339">
        <f>'Supply planning data'!Q107</f>
        <v>0</v>
      </c>
      <c r="P109" s="98">
        <f>'Supply planning data'!R107</f>
        <v>0</v>
      </c>
      <c r="Q109" s="98">
        <f>'Supply planning data'!S107</f>
        <v>0</v>
      </c>
      <c r="R109" s="98">
        <f>'Supply planning data'!T107</f>
        <v>0</v>
      </c>
      <c r="S109" s="98">
        <f>'Supply planning data'!U107</f>
        <v>0</v>
      </c>
      <c r="T109" s="98">
        <f>'Supply planning data'!V107</f>
        <v>0</v>
      </c>
      <c r="U109" s="325" t="str">
        <f>'Supply planning data'!W107</f>
        <v/>
      </c>
      <c r="V109" s="98">
        <f>'Supply planning data'!X107</f>
        <v>0</v>
      </c>
      <c r="W109" s="317">
        <f>'Supply planning data'!Y107</f>
        <v>0</v>
      </c>
      <c r="X109" s="328">
        <f>'Supply planning data'!Z107</f>
        <v>0</v>
      </c>
      <c r="Y109" s="98">
        <f>'Supply planning data'!AA107</f>
        <v>0</v>
      </c>
      <c r="Z109" s="98">
        <f>'Supply planning data'!AB107</f>
        <v>0</v>
      </c>
      <c r="AA109" s="98">
        <f>'Supply planning data'!AC107</f>
        <v>0</v>
      </c>
      <c r="AB109" s="98">
        <f>'Supply planning data'!AD107</f>
        <v>0</v>
      </c>
      <c r="AC109" s="98">
        <f>'Supply planning data'!AE107</f>
        <v>0</v>
      </c>
      <c r="AD109" s="325" t="str">
        <f>'Supply planning data'!AF107</f>
        <v/>
      </c>
      <c r="AE109" s="98">
        <f>'Supply planning data'!AG107</f>
        <v>0</v>
      </c>
      <c r="AF109" s="317">
        <f>'Supply planning data'!AH107</f>
        <v>0</v>
      </c>
      <c r="AG109" s="175">
        <f>'Supply planning data'!AI107</f>
        <v>0</v>
      </c>
      <c r="AH109" s="98">
        <f>'Supply planning data'!AJ107</f>
        <v>0</v>
      </c>
      <c r="AI109" s="98">
        <f>'Supply planning data'!AK107</f>
        <v>0</v>
      </c>
      <c r="AJ109" s="98">
        <f>'Supply planning data'!AL107</f>
        <v>0</v>
      </c>
      <c r="AK109" s="98">
        <f>'Supply planning data'!AM107</f>
        <v>0</v>
      </c>
      <c r="AL109" s="98">
        <f>'Supply planning data'!AN107</f>
        <v>0</v>
      </c>
      <c r="AM109" s="325" t="str">
        <f>'Supply planning data'!AO107</f>
        <v/>
      </c>
    </row>
    <row r="110" spans="1:39" hidden="1" x14ac:dyDescent="0.25">
      <c r="A110" s="90" t="str">
        <f>'Supply planning data'!C108</f>
        <v/>
      </c>
      <c r="B110" s="296">
        <f>'Supply planning data'!D108</f>
        <v>44378</v>
      </c>
      <c r="C110" s="92" t="str">
        <f>'Supply planning data'!E108</f>
        <v>No</v>
      </c>
      <c r="D110" s="92">
        <f>'Supply planning data'!F108</f>
        <v>0</v>
      </c>
      <c r="E110" s="316">
        <f>'Supply planning data'!G108</f>
        <v>0</v>
      </c>
      <c r="F110" s="317">
        <f>'Supply planning data'!H108</f>
        <v>0</v>
      </c>
      <c r="G110" s="317">
        <f>'Supply planning data'!I108</f>
        <v>0</v>
      </c>
      <c r="H110" s="98">
        <f>'Supply planning data'!J108</f>
        <v>0</v>
      </c>
      <c r="I110" s="317">
        <f>'Supply planning data'!K108</f>
        <v>0</v>
      </c>
      <c r="J110" s="175" t="str">
        <f>'Supply planning data'!L108</f>
        <v/>
      </c>
      <c r="K110" s="98">
        <f>'Supply planning data'!M108</f>
        <v>0</v>
      </c>
      <c r="L110" s="317">
        <f>'Supply planning data'!N108+'Supply planning data'!P108</f>
        <v>0</v>
      </c>
      <c r="M110" s="339">
        <f>'Supply planning data'!O108</f>
        <v>0</v>
      </c>
      <c r="N110" s="317">
        <f>'Supply planning data'!P108</f>
        <v>0</v>
      </c>
      <c r="O110" s="339">
        <f>'Supply planning data'!Q108</f>
        <v>0</v>
      </c>
      <c r="P110" s="98">
        <f>'Supply planning data'!R108</f>
        <v>0</v>
      </c>
      <c r="Q110" s="98">
        <f>'Supply planning data'!S108</f>
        <v>0</v>
      </c>
      <c r="R110" s="98">
        <f>'Supply planning data'!T108</f>
        <v>0</v>
      </c>
      <c r="S110" s="98">
        <f>'Supply planning data'!U108</f>
        <v>0</v>
      </c>
      <c r="T110" s="98">
        <f>'Supply planning data'!V108</f>
        <v>0</v>
      </c>
      <c r="U110" s="325" t="str">
        <f>'Supply planning data'!W108</f>
        <v/>
      </c>
      <c r="V110" s="98">
        <f>'Supply planning data'!X108</f>
        <v>0</v>
      </c>
      <c r="W110" s="317">
        <f>'Supply planning data'!Y108</f>
        <v>0</v>
      </c>
      <c r="X110" s="328">
        <f>'Supply planning data'!Z108</f>
        <v>0</v>
      </c>
      <c r="Y110" s="98">
        <f>'Supply planning data'!AA108</f>
        <v>0</v>
      </c>
      <c r="Z110" s="98">
        <f>'Supply planning data'!AB108</f>
        <v>0</v>
      </c>
      <c r="AA110" s="98">
        <f>'Supply planning data'!AC108</f>
        <v>0</v>
      </c>
      <c r="AB110" s="98">
        <f>'Supply planning data'!AD108</f>
        <v>0</v>
      </c>
      <c r="AC110" s="98">
        <f>'Supply planning data'!AE108</f>
        <v>0</v>
      </c>
      <c r="AD110" s="325" t="str">
        <f>'Supply planning data'!AF108</f>
        <v/>
      </c>
      <c r="AE110" s="98">
        <f>'Supply planning data'!AG108</f>
        <v>0</v>
      </c>
      <c r="AF110" s="317">
        <f>'Supply planning data'!AH108</f>
        <v>0</v>
      </c>
      <c r="AG110" s="175">
        <f>'Supply planning data'!AI108</f>
        <v>0</v>
      </c>
      <c r="AH110" s="98">
        <f>'Supply planning data'!AJ108</f>
        <v>0</v>
      </c>
      <c r="AI110" s="98">
        <f>'Supply planning data'!AK108</f>
        <v>0</v>
      </c>
      <c r="AJ110" s="98">
        <f>'Supply planning data'!AL108</f>
        <v>0</v>
      </c>
      <c r="AK110" s="98">
        <f>'Supply planning data'!AM108</f>
        <v>0</v>
      </c>
      <c r="AL110" s="98">
        <f>'Supply planning data'!AN108</f>
        <v>0</v>
      </c>
      <c r="AM110" s="325" t="str">
        <f>'Supply planning data'!AO108</f>
        <v/>
      </c>
    </row>
    <row r="111" spans="1:39" hidden="1" x14ac:dyDescent="0.25">
      <c r="A111" s="90" t="str">
        <f>'Supply planning data'!C109</f>
        <v/>
      </c>
      <c r="B111" s="296">
        <f>'Supply planning data'!D109</f>
        <v>44378</v>
      </c>
      <c r="C111" s="92" t="str">
        <f>'Supply planning data'!E109</f>
        <v>No</v>
      </c>
      <c r="D111" s="92">
        <f>'Supply planning data'!F109</f>
        <v>0</v>
      </c>
      <c r="E111" s="316">
        <f>'Supply planning data'!G109</f>
        <v>0</v>
      </c>
      <c r="F111" s="317">
        <f>'Supply planning data'!H109</f>
        <v>0</v>
      </c>
      <c r="G111" s="317">
        <f>'Supply planning data'!I109</f>
        <v>0</v>
      </c>
      <c r="H111" s="98">
        <f>'Supply planning data'!J109</f>
        <v>0</v>
      </c>
      <c r="I111" s="317">
        <f>'Supply planning data'!K109</f>
        <v>0</v>
      </c>
      <c r="J111" s="175" t="str">
        <f>'Supply planning data'!L109</f>
        <v/>
      </c>
      <c r="K111" s="98">
        <f>'Supply planning data'!M109</f>
        <v>0</v>
      </c>
      <c r="L111" s="317">
        <f>'Supply planning data'!N109+'Supply planning data'!P109</f>
        <v>0</v>
      </c>
      <c r="M111" s="339">
        <f>'Supply planning data'!O109</f>
        <v>0</v>
      </c>
      <c r="N111" s="317">
        <f>'Supply planning data'!P109</f>
        <v>0</v>
      </c>
      <c r="O111" s="339">
        <f>'Supply planning data'!Q109</f>
        <v>0</v>
      </c>
      <c r="P111" s="98">
        <f>'Supply planning data'!R109</f>
        <v>0</v>
      </c>
      <c r="Q111" s="98">
        <f>'Supply planning data'!S109</f>
        <v>0</v>
      </c>
      <c r="R111" s="98">
        <f>'Supply planning data'!T109</f>
        <v>0</v>
      </c>
      <c r="S111" s="98">
        <f>'Supply planning data'!U109</f>
        <v>0</v>
      </c>
      <c r="T111" s="98">
        <f>'Supply planning data'!V109</f>
        <v>0</v>
      </c>
      <c r="U111" s="325" t="str">
        <f>'Supply planning data'!W109</f>
        <v/>
      </c>
      <c r="V111" s="98">
        <f>'Supply planning data'!X109</f>
        <v>0</v>
      </c>
      <c r="W111" s="317">
        <f>'Supply planning data'!Y109</f>
        <v>0</v>
      </c>
      <c r="X111" s="328">
        <f>'Supply planning data'!Z109</f>
        <v>0</v>
      </c>
      <c r="Y111" s="98">
        <f>'Supply planning data'!AA109</f>
        <v>0</v>
      </c>
      <c r="Z111" s="98">
        <f>'Supply planning data'!AB109</f>
        <v>0</v>
      </c>
      <c r="AA111" s="98">
        <f>'Supply planning data'!AC109</f>
        <v>0</v>
      </c>
      <c r="AB111" s="98">
        <f>'Supply planning data'!AD109</f>
        <v>0</v>
      </c>
      <c r="AC111" s="98">
        <f>'Supply planning data'!AE109</f>
        <v>0</v>
      </c>
      <c r="AD111" s="325" t="str">
        <f>'Supply planning data'!AF109</f>
        <v/>
      </c>
      <c r="AE111" s="98">
        <f>'Supply planning data'!AG109</f>
        <v>0</v>
      </c>
      <c r="AF111" s="317">
        <f>'Supply planning data'!AH109</f>
        <v>0</v>
      </c>
      <c r="AG111" s="175">
        <f>'Supply planning data'!AI109</f>
        <v>0</v>
      </c>
      <c r="AH111" s="98">
        <f>'Supply planning data'!AJ109</f>
        <v>0</v>
      </c>
      <c r="AI111" s="98">
        <f>'Supply planning data'!AK109</f>
        <v>0</v>
      </c>
      <c r="AJ111" s="98">
        <f>'Supply planning data'!AL109</f>
        <v>0</v>
      </c>
      <c r="AK111" s="98">
        <f>'Supply planning data'!AM109</f>
        <v>0</v>
      </c>
      <c r="AL111" s="98">
        <f>'Supply planning data'!AN109</f>
        <v>0</v>
      </c>
      <c r="AM111" s="325" t="str">
        <f>'Supply planning data'!AO109</f>
        <v/>
      </c>
    </row>
    <row r="112" spans="1:39" x14ac:dyDescent="0.25">
      <c r="A112" s="104" t="str">
        <f>'Supply planning data'!C110</f>
        <v>AstraZeneca</v>
      </c>
      <c r="B112" s="298">
        <f>'Supply planning data'!D110</f>
        <v>44409</v>
      </c>
      <c r="C112" s="105" t="str">
        <f>'Supply planning data'!E110</f>
        <v>Yes</v>
      </c>
      <c r="D112" s="105">
        <f>'Supply planning data'!F110</f>
        <v>193140</v>
      </c>
      <c r="E112" s="320">
        <f>'Supply planning data'!G110</f>
        <v>0</v>
      </c>
      <c r="F112" s="320">
        <f>'Supply planning data'!H110</f>
        <v>0</v>
      </c>
      <c r="G112" s="320">
        <f>'Supply planning data'!I110</f>
        <v>0</v>
      </c>
      <c r="H112" s="105">
        <f>'Supply planning data'!J110</f>
        <v>0</v>
      </c>
      <c r="I112" s="320">
        <f>'Supply planning data'!K110</f>
        <v>0</v>
      </c>
      <c r="J112" s="177" t="str">
        <f>'Supply planning data'!L110</f>
        <v/>
      </c>
      <c r="K112" s="105">
        <f>'Supply planning data'!M110</f>
        <v>0</v>
      </c>
      <c r="L112" s="320">
        <f>'Supply planning data'!N110+'Supply planning data'!P110</f>
        <v>-193140</v>
      </c>
      <c r="M112" s="341" t="str">
        <f>'Supply planning data'!O110</f>
        <v>Expiry</v>
      </c>
      <c r="N112" s="320">
        <f>'Supply planning data'!P110</f>
        <v>0</v>
      </c>
      <c r="O112" s="341">
        <f>'Supply planning data'!Q110</f>
        <v>0</v>
      </c>
      <c r="P112" s="105">
        <f>'Supply planning data'!R110</f>
        <v>0</v>
      </c>
      <c r="Q112" s="105">
        <f>'Supply planning data'!S110</f>
        <v>0</v>
      </c>
      <c r="R112" s="105">
        <f>'Supply planning data'!T110</f>
        <v>0</v>
      </c>
      <c r="S112" s="105">
        <f>'Supply planning data'!U110</f>
        <v>0</v>
      </c>
      <c r="T112" s="105">
        <f>'Supply planning data'!V110</f>
        <v>0</v>
      </c>
      <c r="U112" s="326" t="str">
        <f>'Supply planning data'!W110</f>
        <v/>
      </c>
      <c r="V112" s="105">
        <f>'Supply planning data'!X110</f>
        <v>193140</v>
      </c>
      <c r="W112" s="320">
        <f>'Supply planning data'!Y110</f>
        <v>0</v>
      </c>
      <c r="X112" s="329">
        <f>'Supply planning data'!Z110</f>
        <v>0</v>
      </c>
      <c r="Y112" s="105">
        <f>'Supply planning data'!AA110</f>
        <v>0</v>
      </c>
      <c r="Z112" s="105">
        <f>'Supply planning data'!AB110</f>
        <v>1000000</v>
      </c>
      <c r="AA112" s="105">
        <f>'Supply planning data'!AC110</f>
        <v>0</v>
      </c>
      <c r="AB112" s="105">
        <f>'Supply planning data'!AD110</f>
        <v>0</v>
      </c>
      <c r="AC112" s="105">
        <f>'Supply planning data'!AE110</f>
        <v>1000000</v>
      </c>
      <c r="AD112" s="326" t="str">
        <f>'Supply planning data'!AF110</f>
        <v/>
      </c>
      <c r="AE112" s="105">
        <f>'Supply planning data'!AG110</f>
        <v>193140</v>
      </c>
      <c r="AF112" s="320">
        <f>'Supply planning data'!AH110</f>
        <v>0</v>
      </c>
      <c r="AG112" s="177">
        <f>'Supply planning data'!AI110</f>
        <v>0</v>
      </c>
      <c r="AH112" s="105">
        <f>'Supply planning data'!AJ110</f>
        <v>0</v>
      </c>
      <c r="AI112" s="105">
        <f>'Supply planning data'!AK110</f>
        <v>0</v>
      </c>
      <c r="AJ112" s="105">
        <f>'Supply planning data'!AL110</f>
        <v>0</v>
      </c>
      <c r="AK112" s="105">
        <f>'Supply planning data'!AM110</f>
        <v>0</v>
      </c>
      <c r="AL112" s="105">
        <f>'Supply planning data'!AN110</f>
        <v>0</v>
      </c>
      <c r="AM112" s="326" t="str">
        <f>'Supply planning data'!AO110</f>
        <v/>
      </c>
    </row>
    <row r="113" spans="1:39" x14ac:dyDescent="0.25">
      <c r="A113" s="109" t="str">
        <f>'Supply planning data'!C111</f>
        <v>Jansen</v>
      </c>
      <c r="B113" s="298">
        <f>'Supply planning data'!D111</f>
        <v>44409</v>
      </c>
      <c r="C113" s="105" t="str">
        <f>'Supply planning data'!E111</f>
        <v>Yes</v>
      </c>
      <c r="D113" s="105">
        <f>'Supply planning data'!F111</f>
        <v>302600</v>
      </c>
      <c r="E113" s="320">
        <f>'Supply planning data'!G111</f>
        <v>1653</v>
      </c>
      <c r="F113" s="320">
        <f>'Supply planning data'!H111</f>
        <v>0</v>
      </c>
      <c r="G113" s="320">
        <f>'Supply planning data'!I111</f>
        <v>0</v>
      </c>
      <c r="H113" s="105">
        <f>'Supply planning data'!J111</f>
        <v>1653</v>
      </c>
      <c r="I113" s="320">
        <f>'Supply planning data'!K111</f>
        <v>0</v>
      </c>
      <c r="J113" s="177">
        <f>'Supply planning data'!L111</f>
        <v>0</v>
      </c>
      <c r="K113" s="105">
        <f>'Supply planning data'!M111</f>
        <v>1653</v>
      </c>
      <c r="L113" s="321">
        <f>'Supply planning data'!N111+'Supply planning data'!P111</f>
        <v>0</v>
      </c>
      <c r="M113" s="342">
        <f>'Supply planning data'!O111</f>
        <v>0</v>
      </c>
      <c r="N113" s="321">
        <f>'Supply planning data'!P111</f>
        <v>0</v>
      </c>
      <c r="O113" s="342">
        <f>'Supply planning data'!Q111</f>
        <v>0</v>
      </c>
      <c r="P113" s="111">
        <f>'Supply planning data'!R111</f>
        <v>0</v>
      </c>
      <c r="Q113" s="111">
        <f>'Supply planning data'!S111</f>
        <v>0</v>
      </c>
      <c r="R113" s="111">
        <f>'Supply planning data'!T111</f>
        <v>0</v>
      </c>
      <c r="S113" s="111">
        <f>'Supply planning data'!U111</f>
        <v>0</v>
      </c>
      <c r="T113" s="111">
        <f>'Supply planning data'!V111</f>
        <v>300947</v>
      </c>
      <c r="U113" s="327">
        <f>'Supply planning data'!W111</f>
        <v>546.18330308529949</v>
      </c>
      <c r="V113" s="111">
        <f>'Supply planning data'!X111</f>
        <v>302600</v>
      </c>
      <c r="W113" s="321">
        <f>'Supply planning data'!Y111</f>
        <v>0</v>
      </c>
      <c r="X113" s="329">
        <f>'Supply planning data'!Z111</f>
        <v>0</v>
      </c>
      <c r="Y113" s="111">
        <f>'Supply planning data'!AA111</f>
        <v>0</v>
      </c>
      <c r="Z113" s="111">
        <f>'Supply planning data'!AB111</f>
        <v>0</v>
      </c>
      <c r="AA113" s="111">
        <f>'Supply planning data'!AC111</f>
        <v>0</v>
      </c>
      <c r="AB113" s="111">
        <f>'Supply planning data'!AD111</f>
        <v>0</v>
      </c>
      <c r="AC113" s="111">
        <f>'Supply planning data'!AE111</f>
        <v>300947</v>
      </c>
      <c r="AD113" s="327">
        <f>'Supply planning data'!AF111</f>
        <v>4.0538680172959571</v>
      </c>
      <c r="AE113" s="111">
        <f>'Supply planning data'!AG111</f>
        <v>302600</v>
      </c>
      <c r="AF113" s="321">
        <f>'Supply planning data'!AH111</f>
        <v>0</v>
      </c>
      <c r="AG113" s="349">
        <f>'Supply planning data'!AI111</f>
        <v>0</v>
      </c>
      <c r="AH113" s="111">
        <f>'Supply planning data'!AJ111</f>
        <v>0</v>
      </c>
      <c r="AI113" s="111">
        <f>'Supply planning data'!AK111</f>
        <v>0</v>
      </c>
      <c r="AJ113" s="111">
        <f>'Supply planning data'!AL111</f>
        <v>0</v>
      </c>
      <c r="AK113" s="111">
        <f>'Supply planning data'!AM111</f>
        <v>0</v>
      </c>
      <c r="AL113" s="111">
        <f>'Supply planning data'!AN111</f>
        <v>300947</v>
      </c>
      <c r="AM113" s="327">
        <f>'Supply planning data'!AO111</f>
        <v>4.0538680172959571</v>
      </c>
    </row>
    <row r="114" spans="1:39" x14ac:dyDescent="0.25">
      <c r="A114" s="104" t="str">
        <f>'Supply planning data'!C112</f>
        <v>Moderna</v>
      </c>
      <c r="B114" s="298">
        <f>'Supply planning data'!D112</f>
        <v>44409</v>
      </c>
      <c r="C114" s="105" t="str">
        <f>'Supply planning data'!E112</f>
        <v>No</v>
      </c>
      <c r="D114" s="105">
        <f>'Supply planning data'!F112</f>
        <v>0</v>
      </c>
      <c r="E114" s="320">
        <f>'Supply planning data'!G112</f>
        <v>0</v>
      </c>
      <c r="F114" s="320">
        <f>'Supply planning data'!H112</f>
        <v>0</v>
      </c>
      <c r="G114" s="320">
        <f>'Supply planning data'!I112</f>
        <v>0</v>
      </c>
      <c r="H114" s="105">
        <f>'Supply planning data'!J112</f>
        <v>0</v>
      </c>
      <c r="I114" s="320">
        <f>'Supply planning data'!K112</f>
        <v>0</v>
      </c>
      <c r="J114" s="177" t="str">
        <f>'Supply planning data'!L112</f>
        <v/>
      </c>
      <c r="K114" s="105">
        <f>'Supply planning data'!M112</f>
        <v>0</v>
      </c>
      <c r="L114" s="321">
        <f>'Supply planning data'!N112+'Supply planning data'!P112</f>
        <v>0</v>
      </c>
      <c r="M114" s="342">
        <f>'Supply planning data'!O112</f>
        <v>0</v>
      </c>
      <c r="N114" s="321">
        <f>'Supply planning data'!P112</f>
        <v>0</v>
      </c>
      <c r="O114" s="342">
        <f>'Supply planning data'!Q112</f>
        <v>0</v>
      </c>
      <c r="P114" s="111">
        <f>'Supply planning data'!R112</f>
        <v>0</v>
      </c>
      <c r="Q114" s="111">
        <f>'Supply planning data'!S112</f>
        <v>0</v>
      </c>
      <c r="R114" s="111">
        <f>'Supply planning data'!T112</f>
        <v>0</v>
      </c>
      <c r="S114" s="111">
        <f>'Supply planning data'!U112</f>
        <v>0</v>
      </c>
      <c r="T114" s="111">
        <f>'Supply planning data'!V112</f>
        <v>0</v>
      </c>
      <c r="U114" s="327" t="str">
        <f>'Supply planning data'!W112</f>
        <v/>
      </c>
      <c r="V114" s="111">
        <f>'Supply planning data'!X112</f>
        <v>0</v>
      </c>
      <c r="W114" s="321">
        <f>'Supply planning data'!Y112</f>
        <v>0</v>
      </c>
      <c r="X114" s="329">
        <f>'Supply planning data'!Z112</f>
        <v>0</v>
      </c>
      <c r="Y114" s="111">
        <f>'Supply planning data'!AA112</f>
        <v>0</v>
      </c>
      <c r="Z114" s="111">
        <f>'Supply planning data'!AB112</f>
        <v>0</v>
      </c>
      <c r="AA114" s="111">
        <f>'Supply planning data'!AC112</f>
        <v>0</v>
      </c>
      <c r="AB114" s="111">
        <f>'Supply planning data'!AD112</f>
        <v>0</v>
      </c>
      <c r="AC114" s="111">
        <f>'Supply planning data'!AE112</f>
        <v>0</v>
      </c>
      <c r="AD114" s="327" t="str">
        <f>'Supply planning data'!AF112</f>
        <v/>
      </c>
      <c r="AE114" s="111">
        <f>'Supply planning data'!AG112</f>
        <v>0</v>
      </c>
      <c r="AF114" s="321">
        <f>'Supply planning data'!AH112</f>
        <v>0</v>
      </c>
      <c r="AG114" s="349">
        <f>'Supply planning data'!AI112</f>
        <v>0</v>
      </c>
      <c r="AH114" s="111">
        <f>'Supply planning data'!AJ112</f>
        <v>0</v>
      </c>
      <c r="AI114" s="111">
        <f>'Supply planning data'!AK112</f>
        <v>0</v>
      </c>
      <c r="AJ114" s="111">
        <f>'Supply planning data'!AL112</f>
        <v>0</v>
      </c>
      <c r="AK114" s="111">
        <f>'Supply planning data'!AM112</f>
        <v>0</v>
      </c>
      <c r="AL114" s="111">
        <f>'Supply planning data'!AN112</f>
        <v>0</v>
      </c>
      <c r="AM114" s="327" t="str">
        <f>'Supply planning data'!AO112</f>
        <v/>
      </c>
    </row>
    <row r="115" spans="1:39" x14ac:dyDescent="0.25">
      <c r="A115" s="109" t="str">
        <f>'Supply planning data'!C113</f>
        <v>Pfizer</v>
      </c>
      <c r="B115" s="298">
        <f>'Supply planning data'!D113</f>
        <v>44409</v>
      </c>
      <c r="C115" s="105" t="str">
        <f>'Supply planning data'!E113</f>
        <v>Yes</v>
      </c>
      <c r="D115" s="105">
        <f>'Supply planning data'!F113</f>
        <v>0</v>
      </c>
      <c r="E115" s="320">
        <f>'Supply planning data'!G113</f>
        <v>0</v>
      </c>
      <c r="F115" s="320">
        <f>'Supply planning data'!H113</f>
        <v>0</v>
      </c>
      <c r="G115" s="320">
        <f>'Supply planning data'!I113</f>
        <v>0</v>
      </c>
      <c r="H115" s="105">
        <f>'Supply planning data'!J113</f>
        <v>0</v>
      </c>
      <c r="I115" s="320">
        <f>'Supply planning data'!K113</f>
        <v>0</v>
      </c>
      <c r="J115" s="177" t="str">
        <f>'Supply planning data'!L113</f>
        <v/>
      </c>
      <c r="K115" s="105">
        <f>'Supply planning data'!M113</f>
        <v>0</v>
      </c>
      <c r="L115" s="321">
        <f>'Supply planning data'!N113+'Supply planning data'!P113</f>
        <v>0</v>
      </c>
      <c r="M115" s="342">
        <f>'Supply planning data'!O113</f>
        <v>0</v>
      </c>
      <c r="N115" s="321">
        <f>'Supply planning data'!P113</f>
        <v>0</v>
      </c>
      <c r="O115" s="342">
        <f>'Supply planning data'!Q113</f>
        <v>0</v>
      </c>
      <c r="P115" s="111">
        <f>'Supply planning data'!R113</f>
        <v>0</v>
      </c>
      <c r="Q115" s="111">
        <f>'Supply planning data'!S113</f>
        <v>0</v>
      </c>
      <c r="R115" s="111">
        <f>'Supply planning data'!T113</f>
        <v>0</v>
      </c>
      <c r="S115" s="111">
        <f>'Supply planning data'!U113</f>
        <v>0</v>
      </c>
      <c r="T115" s="111">
        <f>'Supply planning data'!V113</f>
        <v>0</v>
      </c>
      <c r="U115" s="327" t="str">
        <f>'Supply planning data'!W113</f>
        <v/>
      </c>
      <c r="V115" s="111">
        <f>'Supply planning data'!X113</f>
        <v>0</v>
      </c>
      <c r="W115" s="321">
        <f>'Supply planning data'!Y113</f>
        <v>0</v>
      </c>
      <c r="X115" s="329">
        <f>'Supply planning data'!Z113</f>
        <v>0</v>
      </c>
      <c r="Y115" s="111">
        <f>'Supply planning data'!AA113</f>
        <v>0</v>
      </c>
      <c r="Z115" s="111">
        <f>'Supply planning data'!AB113</f>
        <v>0</v>
      </c>
      <c r="AA115" s="111">
        <f>'Supply planning data'!AC113</f>
        <v>0</v>
      </c>
      <c r="AB115" s="111">
        <f>'Supply planning data'!AD113</f>
        <v>0</v>
      </c>
      <c r="AC115" s="111">
        <f>'Supply planning data'!AE113</f>
        <v>0</v>
      </c>
      <c r="AD115" s="327" t="str">
        <f>'Supply planning data'!AF113</f>
        <v/>
      </c>
      <c r="AE115" s="111">
        <f>'Supply planning data'!AG113</f>
        <v>0</v>
      </c>
      <c r="AF115" s="321">
        <f>'Supply planning data'!AH113</f>
        <v>0</v>
      </c>
      <c r="AG115" s="349">
        <f>'Supply planning data'!AI113</f>
        <v>0</v>
      </c>
      <c r="AH115" s="111">
        <f>'Supply planning data'!AJ113</f>
        <v>0</v>
      </c>
      <c r="AI115" s="111">
        <f>'Supply planning data'!AK113</f>
        <v>0</v>
      </c>
      <c r="AJ115" s="111">
        <f>'Supply planning data'!AL113</f>
        <v>0</v>
      </c>
      <c r="AK115" s="111">
        <f>'Supply planning data'!AM113</f>
        <v>0</v>
      </c>
      <c r="AL115" s="111">
        <f>'Supply planning data'!AN113</f>
        <v>0</v>
      </c>
      <c r="AM115" s="327" t="str">
        <f>'Supply planning data'!AO113</f>
        <v/>
      </c>
    </row>
    <row r="116" spans="1:39" x14ac:dyDescent="0.25">
      <c r="A116" s="104" t="str">
        <f>'Supply planning data'!C114</f>
        <v>Sinovac</v>
      </c>
      <c r="B116" s="298">
        <f>'Supply planning data'!D114</f>
        <v>44409</v>
      </c>
      <c r="C116" s="105" t="str">
        <f>'Supply planning data'!E114</f>
        <v>No</v>
      </c>
      <c r="D116" s="105">
        <f>'Supply planning data'!F114</f>
        <v>0</v>
      </c>
      <c r="E116" s="320">
        <f>'Supply planning data'!G114</f>
        <v>0</v>
      </c>
      <c r="F116" s="320">
        <f>'Supply planning data'!H114</f>
        <v>0</v>
      </c>
      <c r="G116" s="320">
        <f>'Supply planning data'!I114</f>
        <v>0</v>
      </c>
      <c r="H116" s="105">
        <f>'Supply planning data'!J114</f>
        <v>0</v>
      </c>
      <c r="I116" s="320">
        <f>'Supply planning data'!K114</f>
        <v>0</v>
      </c>
      <c r="J116" s="177" t="str">
        <f>'Supply planning data'!L114</f>
        <v/>
      </c>
      <c r="K116" s="105">
        <f>'Supply planning data'!M114</f>
        <v>0</v>
      </c>
      <c r="L116" s="321">
        <f>'Supply planning data'!N114+'Supply planning data'!P114</f>
        <v>0</v>
      </c>
      <c r="M116" s="342">
        <f>'Supply planning data'!O114</f>
        <v>0</v>
      </c>
      <c r="N116" s="321">
        <f>'Supply planning data'!P114</f>
        <v>0</v>
      </c>
      <c r="O116" s="342">
        <f>'Supply planning data'!Q114</f>
        <v>0</v>
      </c>
      <c r="P116" s="111">
        <f>'Supply planning data'!R114</f>
        <v>0</v>
      </c>
      <c r="Q116" s="111">
        <f>'Supply planning data'!S114</f>
        <v>0</v>
      </c>
      <c r="R116" s="111">
        <f>'Supply planning data'!T114</f>
        <v>0</v>
      </c>
      <c r="S116" s="111">
        <f>'Supply planning data'!U114</f>
        <v>0</v>
      </c>
      <c r="T116" s="111">
        <f>'Supply planning data'!V114</f>
        <v>0</v>
      </c>
      <c r="U116" s="327" t="str">
        <f>'Supply planning data'!W114</f>
        <v/>
      </c>
      <c r="V116" s="111">
        <f>'Supply planning data'!X114</f>
        <v>0</v>
      </c>
      <c r="W116" s="321">
        <f>'Supply planning data'!Y114</f>
        <v>0</v>
      </c>
      <c r="X116" s="329">
        <f>'Supply planning data'!Z114</f>
        <v>0</v>
      </c>
      <c r="Y116" s="111">
        <f>'Supply planning data'!AA114</f>
        <v>0</v>
      </c>
      <c r="Z116" s="111">
        <f>'Supply planning data'!AB114</f>
        <v>0</v>
      </c>
      <c r="AA116" s="111">
        <f>'Supply planning data'!AC114</f>
        <v>0</v>
      </c>
      <c r="AB116" s="111">
        <f>'Supply planning data'!AD114</f>
        <v>0</v>
      </c>
      <c r="AC116" s="111">
        <f>'Supply planning data'!AE114</f>
        <v>0</v>
      </c>
      <c r="AD116" s="327" t="str">
        <f>'Supply planning data'!AF114</f>
        <v/>
      </c>
      <c r="AE116" s="111">
        <f>'Supply planning data'!AG114</f>
        <v>0</v>
      </c>
      <c r="AF116" s="321">
        <f>'Supply planning data'!AH114</f>
        <v>0</v>
      </c>
      <c r="AG116" s="349">
        <f>'Supply planning data'!AI114</f>
        <v>0</v>
      </c>
      <c r="AH116" s="111">
        <f>'Supply planning data'!AJ114</f>
        <v>0</v>
      </c>
      <c r="AI116" s="111">
        <f>'Supply planning data'!AK114</f>
        <v>0</v>
      </c>
      <c r="AJ116" s="111">
        <f>'Supply planning data'!AL114</f>
        <v>0</v>
      </c>
      <c r="AK116" s="111">
        <f>'Supply planning data'!AM114</f>
        <v>0</v>
      </c>
      <c r="AL116" s="111">
        <f>'Supply planning data'!AN114</f>
        <v>0</v>
      </c>
      <c r="AM116" s="327" t="str">
        <f>'Supply planning data'!AO114</f>
        <v/>
      </c>
    </row>
    <row r="117" spans="1:39" hidden="1" x14ac:dyDescent="0.25">
      <c r="A117" s="109" t="str">
        <f>'Supply planning data'!C115</f>
        <v/>
      </c>
      <c r="B117" s="298">
        <f>'Supply planning data'!D115</f>
        <v>44409</v>
      </c>
      <c r="C117" s="105" t="str">
        <f>'Supply planning data'!E115</f>
        <v>No</v>
      </c>
      <c r="D117" s="105">
        <f>'Supply planning data'!F115</f>
        <v>0</v>
      </c>
      <c r="E117" s="320">
        <f>'Supply planning data'!G115</f>
        <v>0</v>
      </c>
      <c r="F117" s="320">
        <f>'Supply planning data'!H115</f>
        <v>0</v>
      </c>
      <c r="G117" s="320">
        <f>'Supply planning data'!I115</f>
        <v>0</v>
      </c>
      <c r="H117" s="105">
        <f>'Supply planning data'!J115</f>
        <v>0</v>
      </c>
      <c r="I117" s="320">
        <f>'Supply planning data'!K115</f>
        <v>0</v>
      </c>
      <c r="J117" s="177" t="str">
        <f>'Supply planning data'!L115</f>
        <v/>
      </c>
      <c r="K117" s="105">
        <f>'Supply planning data'!M115</f>
        <v>0</v>
      </c>
      <c r="L117" s="321">
        <f>'Supply planning data'!N115+'Supply planning data'!P115</f>
        <v>0</v>
      </c>
      <c r="M117" s="342">
        <f>'Supply planning data'!O115</f>
        <v>0</v>
      </c>
      <c r="N117" s="321">
        <f>'Supply planning data'!P115</f>
        <v>0</v>
      </c>
      <c r="O117" s="342">
        <f>'Supply planning data'!Q115</f>
        <v>0</v>
      </c>
      <c r="P117" s="111">
        <f>'Supply planning data'!R115</f>
        <v>0</v>
      </c>
      <c r="Q117" s="111">
        <f>'Supply planning data'!S115</f>
        <v>0</v>
      </c>
      <c r="R117" s="111">
        <f>'Supply planning data'!T115</f>
        <v>0</v>
      </c>
      <c r="S117" s="111">
        <f>'Supply planning data'!U115</f>
        <v>0</v>
      </c>
      <c r="T117" s="111">
        <f>'Supply planning data'!V115</f>
        <v>0</v>
      </c>
      <c r="U117" s="327" t="str">
        <f>'Supply planning data'!W115</f>
        <v/>
      </c>
      <c r="V117" s="111">
        <f>'Supply planning data'!X115</f>
        <v>0</v>
      </c>
      <c r="W117" s="321">
        <f>'Supply planning data'!Y115</f>
        <v>0</v>
      </c>
      <c r="X117" s="329">
        <f>'Supply planning data'!Z115</f>
        <v>0</v>
      </c>
      <c r="Y117" s="111">
        <f>'Supply planning data'!AA115</f>
        <v>0</v>
      </c>
      <c r="Z117" s="111">
        <f>'Supply planning data'!AB115</f>
        <v>0</v>
      </c>
      <c r="AA117" s="111">
        <f>'Supply planning data'!AC115</f>
        <v>0</v>
      </c>
      <c r="AB117" s="111">
        <f>'Supply planning data'!AD115</f>
        <v>0</v>
      </c>
      <c r="AC117" s="111">
        <f>'Supply planning data'!AE115</f>
        <v>0</v>
      </c>
      <c r="AD117" s="327" t="str">
        <f>'Supply planning data'!AF115</f>
        <v/>
      </c>
      <c r="AE117" s="111">
        <f>'Supply planning data'!AG115</f>
        <v>0</v>
      </c>
      <c r="AF117" s="321">
        <f>'Supply planning data'!AH115</f>
        <v>0</v>
      </c>
      <c r="AG117" s="349">
        <f>'Supply planning data'!AI115</f>
        <v>0</v>
      </c>
      <c r="AH117" s="111">
        <f>'Supply planning data'!AJ115</f>
        <v>0</v>
      </c>
      <c r="AI117" s="111">
        <f>'Supply planning data'!AK115</f>
        <v>0</v>
      </c>
      <c r="AJ117" s="111">
        <f>'Supply planning data'!AL115</f>
        <v>0</v>
      </c>
      <c r="AK117" s="111">
        <f>'Supply planning data'!AM115</f>
        <v>0</v>
      </c>
      <c r="AL117" s="111">
        <f>'Supply planning data'!AN115</f>
        <v>0</v>
      </c>
      <c r="AM117" s="327" t="str">
        <f>'Supply planning data'!AO115</f>
        <v/>
      </c>
    </row>
    <row r="118" spans="1:39" hidden="1" x14ac:dyDescent="0.25">
      <c r="A118" s="104" t="str">
        <f>'Supply planning data'!C116</f>
        <v/>
      </c>
      <c r="B118" s="298">
        <f>'Supply planning data'!D116</f>
        <v>44409</v>
      </c>
      <c r="C118" s="105" t="str">
        <f>'Supply planning data'!E116</f>
        <v>No</v>
      </c>
      <c r="D118" s="105">
        <f>'Supply planning data'!F116</f>
        <v>0</v>
      </c>
      <c r="E118" s="320">
        <f>'Supply planning data'!G116</f>
        <v>0</v>
      </c>
      <c r="F118" s="320">
        <f>'Supply planning data'!H116</f>
        <v>0</v>
      </c>
      <c r="G118" s="320">
        <f>'Supply planning data'!I116</f>
        <v>0</v>
      </c>
      <c r="H118" s="105">
        <f>'Supply planning data'!J116</f>
        <v>0</v>
      </c>
      <c r="I118" s="320">
        <f>'Supply planning data'!K116</f>
        <v>0</v>
      </c>
      <c r="J118" s="177" t="str">
        <f>'Supply planning data'!L116</f>
        <v/>
      </c>
      <c r="K118" s="105">
        <f>'Supply planning data'!M116</f>
        <v>0</v>
      </c>
      <c r="L118" s="321">
        <f>'Supply planning data'!N116+'Supply planning data'!P116</f>
        <v>0</v>
      </c>
      <c r="M118" s="342">
        <f>'Supply planning data'!O116</f>
        <v>0</v>
      </c>
      <c r="N118" s="321">
        <f>'Supply planning data'!P116</f>
        <v>0</v>
      </c>
      <c r="O118" s="342">
        <f>'Supply planning data'!Q116</f>
        <v>0</v>
      </c>
      <c r="P118" s="111">
        <f>'Supply planning data'!R116</f>
        <v>0</v>
      </c>
      <c r="Q118" s="111">
        <f>'Supply planning data'!S116</f>
        <v>0</v>
      </c>
      <c r="R118" s="111">
        <f>'Supply planning data'!T116</f>
        <v>0</v>
      </c>
      <c r="S118" s="111">
        <f>'Supply planning data'!U116</f>
        <v>0</v>
      </c>
      <c r="T118" s="111">
        <f>'Supply planning data'!V116</f>
        <v>0</v>
      </c>
      <c r="U118" s="327" t="str">
        <f>'Supply planning data'!W116</f>
        <v/>
      </c>
      <c r="V118" s="111">
        <f>'Supply planning data'!X116</f>
        <v>0</v>
      </c>
      <c r="W118" s="321">
        <f>'Supply planning data'!Y116</f>
        <v>0</v>
      </c>
      <c r="X118" s="329">
        <f>'Supply planning data'!Z116</f>
        <v>0</v>
      </c>
      <c r="Y118" s="111">
        <f>'Supply planning data'!AA116</f>
        <v>0</v>
      </c>
      <c r="Z118" s="111">
        <f>'Supply planning data'!AB116</f>
        <v>0</v>
      </c>
      <c r="AA118" s="111">
        <f>'Supply planning data'!AC116</f>
        <v>0</v>
      </c>
      <c r="AB118" s="111">
        <f>'Supply planning data'!AD116</f>
        <v>0</v>
      </c>
      <c r="AC118" s="111">
        <f>'Supply planning data'!AE116</f>
        <v>0</v>
      </c>
      <c r="AD118" s="327" t="str">
        <f>'Supply planning data'!AF116</f>
        <v/>
      </c>
      <c r="AE118" s="111">
        <f>'Supply planning data'!AG116</f>
        <v>0</v>
      </c>
      <c r="AF118" s="321">
        <f>'Supply planning data'!AH116</f>
        <v>0</v>
      </c>
      <c r="AG118" s="349">
        <f>'Supply planning data'!AI116</f>
        <v>0</v>
      </c>
      <c r="AH118" s="111">
        <f>'Supply planning data'!AJ116</f>
        <v>0</v>
      </c>
      <c r="AI118" s="111">
        <f>'Supply planning data'!AK116</f>
        <v>0</v>
      </c>
      <c r="AJ118" s="111">
        <f>'Supply planning data'!AL116</f>
        <v>0</v>
      </c>
      <c r="AK118" s="111">
        <f>'Supply planning data'!AM116</f>
        <v>0</v>
      </c>
      <c r="AL118" s="111">
        <f>'Supply planning data'!AN116</f>
        <v>0</v>
      </c>
      <c r="AM118" s="327" t="str">
        <f>'Supply planning data'!AO116</f>
        <v/>
      </c>
    </row>
    <row r="119" spans="1:39" hidden="1" x14ac:dyDescent="0.25">
      <c r="A119" s="109" t="str">
        <f>'Supply planning data'!C117</f>
        <v/>
      </c>
      <c r="B119" s="298">
        <f>'Supply planning data'!D117</f>
        <v>44409</v>
      </c>
      <c r="C119" s="105" t="str">
        <f>'Supply planning data'!E117</f>
        <v>No</v>
      </c>
      <c r="D119" s="105">
        <f>'Supply planning data'!F117</f>
        <v>0</v>
      </c>
      <c r="E119" s="320">
        <f>'Supply planning data'!G117</f>
        <v>0</v>
      </c>
      <c r="F119" s="320">
        <f>'Supply planning data'!H117</f>
        <v>0</v>
      </c>
      <c r="G119" s="320">
        <f>'Supply planning data'!I117</f>
        <v>0</v>
      </c>
      <c r="H119" s="105">
        <f>'Supply planning data'!J117</f>
        <v>0</v>
      </c>
      <c r="I119" s="320">
        <f>'Supply planning data'!K117</f>
        <v>0</v>
      </c>
      <c r="J119" s="177" t="str">
        <f>'Supply planning data'!L117</f>
        <v/>
      </c>
      <c r="K119" s="105">
        <f>'Supply planning data'!M117</f>
        <v>0</v>
      </c>
      <c r="L119" s="321">
        <f>'Supply planning data'!N117+'Supply planning data'!P117</f>
        <v>0</v>
      </c>
      <c r="M119" s="342">
        <f>'Supply planning data'!O117</f>
        <v>0</v>
      </c>
      <c r="N119" s="321">
        <f>'Supply planning data'!P117</f>
        <v>0</v>
      </c>
      <c r="O119" s="342">
        <f>'Supply planning data'!Q117</f>
        <v>0</v>
      </c>
      <c r="P119" s="111">
        <f>'Supply planning data'!R117</f>
        <v>0</v>
      </c>
      <c r="Q119" s="111">
        <f>'Supply planning data'!S117</f>
        <v>0</v>
      </c>
      <c r="R119" s="111">
        <f>'Supply planning data'!T117</f>
        <v>0</v>
      </c>
      <c r="S119" s="111">
        <f>'Supply planning data'!U117</f>
        <v>0</v>
      </c>
      <c r="T119" s="111">
        <f>'Supply planning data'!V117</f>
        <v>0</v>
      </c>
      <c r="U119" s="327" t="str">
        <f>'Supply planning data'!W117</f>
        <v/>
      </c>
      <c r="V119" s="111">
        <f>'Supply planning data'!X117</f>
        <v>0</v>
      </c>
      <c r="W119" s="321">
        <f>'Supply planning data'!Y117</f>
        <v>0</v>
      </c>
      <c r="X119" s="329">
        <f>'Supply planning data'!Z117</f>
        <v>0</v>
      </c>
      <c r="Y119" s="111">
        <f>'Supply planning data'!AA117</f>
        <v>0</v>
      </c>
      <c r="Z119" s="111">
        <f>'Supply planning data'!AB117</f>
        <v>0</v>
      </c>
      <c r="AA119" s="111">
        <f>'Supply planning data'!AC117</f>
        <v>0</v>
      </c>
      <c r="AB119" s="111">
        <f>'Supply planning data'!AD117</f>
        <v>0</v>
      </c>
      <c r="AC119" s="111">
        <f>'Supply planning data'!AE117</f>
        <v>0</v>
      </c>
      <c r="AD119" s="327" t="str">
        <f>'Supply planning data'!AF117</f>
        <v/>
      </c>
      <c r="AE119" s="111">
        <f>'Supply planning data'!AG117</f>
        <v>0</v>
      </c>
      <c r="AF119" s="321">
        <f>'Supply planning data'!AH117</f>
        <v>0</v>
      </c>
      <c r="AG119" s="349">
        <f>'Supply planning data'!AI117</f>
        <v>0</v>
      </c>
      <c r="AH119" s="111">
        <f>'Supply planning data'!AJ117</f>
        <v>0</v>
      </c>
      <c r="AI119" s="111">
        <f>'Supply planning data'!AK117</f>
        <v>0</v>
      </c>
      <c r="AJ119" s="111">
        <f>'Supply planning data'!AL117</f>
        <v>0</v>
      </c>
      <c r="AK119" s="111">
        <f>'Supply planning data'!AM117</f>
        <v>0</v>
      </c>
      <c r="AL119" s="111">
        <f>'Supply planning data'!AN117</f>
        <v>0</v>
      </c>
      <c r="AM119" s="327" t="str">
        <f>'Supply planning data'!AO117</f>
        <v/>
      </c>
    </row>
    <row r="120" spans="1:39" hidden="1" x14ac:dyDescent="0.25">
      <c r="A120" s="104" t="str">
        <f>'Supply planning data'!C118</f>
        <v/>
      </c>
      <c r="B120" s="298">
        <f>'Supply planning data'!D118</f>
        <v>44409</v>
      </c>
      <c r="C120" s="105" t="str">
        <f>'Supply planning data'!E118</f>
        <v>No</v>
      </c>
      <c r="D120" s="105">
        <f>'Supply planning data'!F118</f>
        <v>0</v>
      </c>
      <c r="E120" s="320">
        <f>'Supply planning data'!G118</f>
        <v>0</v>
      </c>
      <c r="F120" s="320">
        <f>'Supply planning data'!H118</f>
        <v>0</v>
      </c>
      <c r="G120" s="320">
        <f>'Supply planning data'!I118</f>
        <v>0</v>
      </c>
      <c r="H120" s="105">
        <f>'Supply planning data'!J118</f>
        <v>0</v>
      </c>
      <c r="I120" s="320">
        <f>'Supply planning data'!K118</f>
        <v>0</v>
      </c>
      <c r="J120" s="177" t="str">
        <f>'Supply planning data'!L118</f>
        <v/>
      </c>
      <c r="K120" s="105">
        <f>'Supply planning data'!M118</f>
        <v>0</v>
      </c>
      <c r="L120" s="321">
        <f>'Supply planning data'!N118+'Supply planning data'!P118</f>
        <v>0</v>
      </c>
      <c r="M120" s="342">
        <f>'Supply planning data'!O118</f>
        <v>0</v>
      </c>
      <c r="N120" s="321">
        <f>'Supply planning data'!P118</f>
        <v>0</v>
      </c>
      <c r="O120" s="342">
        <f>'Supply planning data'!Q118</f>
        <v>0</v>
      </c>
      <c r="P120" s="111">
        <f>'Supply planning data'!R118</f>
        <v>0</v>
      </c>
      <c r="Q120" s="111">
        <f>'Supply planning data'!S118</f>
        <v>0</v>
      </c>
      <c r="R120" s="111">
        <f>'Supply planning data'!T118</f>
        <v>0</v>
      </c>
      <c r="S120" s="111">
        <f>'Supply planning data'!U118</f>
        <v>0</v>
      </c>
      <c r="T120" s="111">
        <f>'Supply planning data'!V118</f>
        <v>0</v>
      </c>
      <c r="U120" s="327" t="str">
        <f>'Supply planning data'!W118</f>
        <v/>
      </c>
      <c r="V120" s="111">
        <f>'Supply planning data'!X118</f>
        <v>0</v>
      </c>
      <c r="W120" s="321">
        <f>'Supply planning data'!Y118</f>
        <v>0</v>
      </c>
      <c r="X120" s="329">
        <f>'Supply planning data'!Z118</f>
        <v>0</v>
      </c>
      <c r="Y120" s="111">
        <f>'Supply planning data'!AA118</f>
        <v>0</v>
      </c>
      <c r="Z120" s="111">
        <f>'Supply planning data'!AB118</f>
        <v>0</v>
      </c>
      <c r="AA120" s="111">
        <f>'Supply planning data'!AC118</f>
        <v>0</v>
      </c>
      <c r="AB120" s="111">
        <f>'Supply planning data'!AD118</f>
        <v>0</v>
      </c>
      <c r="AC120" s="111">
        <f>'Supply planning data'!AE118</f>
        <v>0</v>
      </c>
      <c r="AD120" s="327" t="str">
        <f>'Supply planning data'!AF118</f>
        <v/>
      </c>
      <c r="AE120" s="111">
        <f>'Supply planning data'!AG118</f>
        <v>0</v>
      </c>
      <c r="AF120" s="321">
        <f>'Supply planning data'!AH118</f>
        <v>0</v>
      </c>
      <c r="AG120" s="349">
        <f>'Supply planning data'!AI118</f>
        <v>0</v>
      </c>
      <c r="AH120" s="111">
        <f>'Supply planning data'!AJ118</f>
        <v>0</v>
      </c>
      <c r="AI120" s="111">
        <f>'Supply planning data'!AK118</f>
        <v>0</v>
      </c>
      <c r="AJ120" s="111">
        <f>'Supply planning data'!AL118</f>
        <v>0</v>
      </c>
      <c r="AK120" s="111">
        <f>'Supply planning data'!AM118</f>
        <v>0</v>
      </c>
      <c r="AL120" s="111">
        <f>'Supply planning data'!AN118</f>
        <v>0</v>
      </c>
      <c r="AM120" s="327" t="str">
        <f>'Supply planning data'!AO118</f>
        <v/>
      </c>
    </row>
    <row r="121" spans="1:39" hidden="1" x14ac:dyDescent="0.25">
      <c r="A121" s="109" t="str">
        <f>'Supply planning data'!C119</f>
        <v/>
      </c>
      <c r="B121" s="298">
        <f>'Supply planning data'!D119</f>
        <v>44409</v>
      </c>
      <c r="C121" s="105" t="str">
        <f>'Supply planning data'!E119</f>
        <v>No</v>
      </c>
      <c r="D121" s="105">
        <f>'Supply planning data'!F119</f>
        <v>0</v>
      </c>
      <c r="E121" s="320">
        <f>'Supply planning data'!G119</f>
        <v>0</v>
      </c>
      <c r="F121" s="320">
        <f>'Supply planning data'!H119</f>
        <v>0</v>
      </c>
      <c r="G121" s="320">
        <f>'Supply planning data'!I119</f>
        <v>0</v>
      </c>
      <c r="H121" s="105">
        <f>'Supply planning data'!J119</f>
        <v>0</v>
      </c>
      <c r="I121" s="320">
        <f>'Supply planning data'!K119</f>
        <v>0</v>
      </c>
      <c r="J121" s="177" t="str">
        <f>'Supply planning data'!L119</f>
        <v/>
      </c>
      <c r="K121" s="105">
        <f>'Supply planning data'!M119</f>
        <v>0</v>
      </c>
      <c r="L121" s="321">
        <f>'Supply planning data'!N119+'Supply planning data'!P119</f>
        <v>0</v>
      </c>
      <c r="M121" s="342">
        <f>'Supply planning data'!O119</f>
        <v>0</v>
      </c>
      <c r="N121" s="321">
        <f>'Supply planning data'!P119</f>
        <v>0</v>
      </c>
      <c r="O121" s="342">
        <f>'Supply planning data'!Q119</f>
        <v>0</v>
      </c>
      <c r="P121" s="111">
        <f>'Supply planning data'!R119</f>
        <v>0</v>
      </c>
      <c r="Q121" s="111">
        <f>'Supply planning data'!S119</f>
        <v>0</v>
      </c>
      <c r="R121" s="111">
        <f>'Supply planning data'!T119</f>
        <v>0</v>
      </c>
      <c r="S121" s="111">
        <f>'Supply planning data'!U119</f>
        <v>0</v>
      </c>
      <c r="T121" s="111">
        <f>'Supply planning data'!V119</f>
        <v>0</v>
      </c>
      <c r="U121" s="327" t="str">
        <f>'Supply planning data'!W119</f>
        <v/>
      </c>
      <c r="V121" s="111">
        <f>'Supply planning data'!X119</f>
        <v>0</v>
      </c>
      <c r="W121" s="321">
        <f>'Supply planning data'!Y119</f>
        <v>0</v>
      </c>
      <c r="X121" s="329">
        <f>'Supply planning data'!Z119</f>
        <v>0</v>
      </c>
      <c r="Y121" s="111">
        <f>'Supply planning data'!AA119</f>
        <v>0</v>
      </c>
      <c r="Z121" s="111">
        <f>'Supply planning data'!AB119</f>
        <v>0</v>
      </c>
      <c r="AA121" s="111">
        <f>'Supply planning data'!AC119</f>
        <v>0</v>
      </c>
      <c r="AB121" s="111">
        <f>'Supply planning data'!AD119</f>
        <v>0</v>
      </c>
      <c r="AC121" s="111">
        <f>'Supply planning data'!AE119</f>
        <v>0</v>
      </c>
      <c r="AD121" s="327" t="str">
        <f>'Supply planning data'!AF119</f>
        <v/>
      </c>
      <c r="AE121" s="111">
        <f>'Supply planning data'!AG119</f>
        <v>0</v>
      </c>
      <c r="AF121" s="321">
        <f>'Supply planning data'!AH119</f>
        <v>0</v>
      </c>
      <c r="AG121" s="349">
        <f>'Supply planning data'!AI119</f>
        <v>0</v>
      </c>
      <c r="AH121" s="111">
        <f>'Supply planning data'!AJ119</f>
        <v>0</v>
      </c>
      <c r="AI121" s="111">
        <f>'Supply planning data'!AK119</f>
        <v>0</v>
      </c>
      <c r="AJ121" s="111">
        <f>'Supply planning data'!AL119</f>
        <v>0</v>
      </c>
      <c r="AK121" s="111">
        <f>'Supply planning data'!AM119</f>
        <v>0</v>
      </c>
      <c r="AL121" s="111">
        <f>'Supply planning data'!AN119</f>
        <v>0</v>
      </c>
      <c r="AM121" s="327" t="str">
        <f>'Supply planning data'!AO119</f>
        <v/>
      </c>
    </row>
    <row r="122" spans="1:39" hidden="1" x14ac:dyDescent="0.25">
      <c r="A122" s="104" t="str">
        <f>'Supply planning data'!C120</f>
        <v/>
      </c>
      <c r="B122" s="298">
        <f>'Supply planning data'!D120</f>
        <v>44409</v>
      </c>
      <c r="C122" s="105" t="str">
        <f>'Supply planning data'!E120</f>
        <v>No</v>
      </c>
      <c r="D122" s="105">
        <f>'Supply planning data'!F120</f>
        <v>0</v>
      </c>
      <c r="E122" s="320">
        <f>'Supply planning data'!G120</f>
        <v>0</v>
      </c>
      <c r="F122" s="320">
        <f>'Supply planning data'!H120</f>
        <v>0</v>
      </c>
      <c r="G122" s="320">
        <f>'Supply planning data'!I120</f>
        <v>0</v>
      </c>
      <c r="H122" s="105">
        <f>'Supply planning data'!J120</f>
        <v>0</v>
      </c>
      <c r="I122" s="320">
        <f>'Supply planning data'!K120</f>
        <v>0</v>
      </c>
      <c r="J122" s="177" t="str">
        <f>'Supply planning data'!L120</f>
        <v/>
      </c>
      <c r="K122" s="105">
        <f>'Supply planning data'!M120</f>
        <v>0</v>
      </c>
      <c r="L122" s="321">
        <f>'Supply planning data'!N120+'Supply planning data'!P120</f>
        <v>0</v>
      </c>
      <c r="M122" s="342">
        <f>'Supply planning data'!O120</f>
        <v>0</v>
      </c>
      <c r="N122" s="321">
        <f>'Supply planning data'!P120</f>
        <v>0</v>
      </c>
      <c r="O122" s="342">
        <f>'Supply planning data'!Q120</f>
        <v>0</v>
      </c>
      <c r="P122" s="111">
        <f>'Supply planning data'!R120</f>
        <v>0</v>
      </c>
      <c r="Q122" s="111">
        <f>'Supply planning data'!S120</f>
        <v>0</v>
      </c>
      <c r="R122" s="111">
        <f>'Supply planning data'!T120</f>
        <v>0</v>
      </c>
      <c r="S122" s="111">
        <f>'Supply planning data'!U120</f>
        <v>0</v>
      </c>
      <c r="T122" s="111">
        <f>'Supply planning data'!V120</f>
        <v>0</v>
      </c>
      <c r="U122" s="327" t="str">
        <f>'Supply planning data'!W120</f>
        <v/>
      </c>
      <c r="V122" s="111">
        <f>'Supply planning data'!X120</f>
        <v>0</v>
      </c>
      <c r="W122" s="321">
        <f>'Supply planning data'!Y120</f>
        <v>0</v>
      </c>
      <c r="X122" s="329">
        <f>'Supply planning data'!Z120</f>
        <v>0</v>
      </c>
      <c r="Y122" s="111">
        <f>'Supply planning data'!AA120</f>
        <v>0</v>
      </c>
      <c r="Z122" s="111">
        <f>'Supply planning data'!AB120</f>
        <v>0</v>
      </c>
      <c r="AA122" s="111">
        <f>'Supply planning data'!AC120</f>
        <v>0</v>
      </c>
      <c r="AB122" s="111">
        <f>'Supply planning data'!AD120</f>
        <v>0</v>
      </c>
      <c r="AC122" s="111">
        <f>'Supply planning data'!AE120</f>
        <v>0</v>
      </c>
      <c r="AD122" s="327" t="str">
        <f>'Supply planning data'!AF120</f>
        <v/>
      </c>
      <c r="AE122" s="111">
        <f>'Supply planning data'!AG120</f>
        <v>0</v>
      </c>
      <c r="AF122" s="321">
        <f>'Supply planning data'!AH120</f>
        <v>0</v>
      </c>
      <c r="AG122" s="349">
        <f>'Supply planning data'!AI120</f>
        <v>0</v>
      </c>
      <c r="AH122" s="111">
        <f>'Supply planning data'!AJ120</f>
        <v>0</v>
      </c>
      <c r="AI122" s="111">
        <f>'Supply planning data'!AK120</f>
        <v>0</v>
      </c>
      <c r="AJ122" s="111">
        <f>'Supply planning data'!AL120</f>
        <v>0</v>
      </c>
      <c r="AK122" s="111">
        <f>'Supply planning data'!AM120</f>
        <v>0</v>
      </c>
      <c r="AL122" s="111">
        <f>'Supply planning data'!AN120</f>
        <v>0</v>
      </c>
      <c r="AM122" s="327" t="str">
        <f>'Supply planning data'!AO120</f>
        <v/>
      </c>
    </row>
    <row r="123" spans="1:39" hidden="1" x14ac:dyDescent="0.25">
      <c r="A123" s="109" t="str">
        <f>'Supply planning data'!C121</f>
        <v/>
      </c>
      <c r="B123" s="298">
        <f>'Supply planning data'!D121</f>
        <v>44409</v>
      </c>
      <c r="C123" s="105" t="str">
        <f>'Supply planning data'!E121</f>
        <v>No</v>
      </c>
      <c r="D123" s="105">
        <f>'Supply planning data'!F121</f>
        <v>0</v>
      </c>
      <c r="E123" s="320">
        <f>'Supply planning data'!G121</f>
        <v>0</v>
      </c>
      <c r="F123" s="320">
        <f>'Supply planning data'!H121</f>
        <v>0</v>
      </c>
      <c r="G123" s="320">
        <f>'Supply planning data'!I121</f>
        <v>0</v>
      </c>
      <c r="H123" s="105">
        <f>'Supply planning data'!J121</f>
        <v>0</v>
      </c>
      <c r="I123" s="320">
        <f>'Supply planning data'!K121</f>
        <v>0</v>
      </c>
      <c r="J123" s="177" t="str">
        <f>'Supply planning data'!L121</f>
        <v/>
      </c>
      <c r="K123" s="105">
        <f>'Supply planning data'!M121</f>
        <v>0</v>
      </c>
      <c r="L123" s="321">
        <f>'Supply planning data'!N121+'Supply planning data'!P121</f>
        <v>0</v>
      </c>
      <c r="M123" s="342">
        <f>'Supply planning data'!O121</f>
        <v>0</v>
      </c>
      <c r="N123" s="321">
        <f>'Supply planning data'!P121</f>
        <v>0</v>
      </c>
      <c r="O123" s="342">
        <f>'Supply planning data'!Q121</f>
        <v>0</v>
      </c>
      <c r="P123" s="111">
        <f>'Supply planning data'!R121</f>
        <v>0</v>
      </c>
      <c r="Q123" s="111">
        <f>'Supply planning data'!S121</f>
        <v>0</v>
      </c>
      <c r="R123" s="111">
        <f>'Supply planning data'!T121</f>
        <v>0</v>
      </c>
      <c r="S123" s="111">
        <f>'Supply planning data'!U121</f>
        <v>0</v>
      </c>
      <c r="T123" s="111">
        <f>'Supply planning data'!V121</f>
        <v>0</v>
      </c>
      <c r="U123" s="327" t="str">
        <f>'Supply planning data'!W121</f>
        <v/>
      </c>
      <c r="V123" s="111">
        <f>'Supply planning data'!X121</f>
        <v>0</v>
      </c>
      <c r="W123" s="321">
        <f>'Supply planning data'!Y121</f>
        <v>0</v>
      </c>
      <c r="X123" s="329">
        <f>'Supply planning data'!Z121</f>
        <v>0</v>
      </c>
      <c r="Y123" s="111">
        <f>'Supply planning data'!AA121</f>
        <v>0</v>
      </c>
      <c r="Z123" s="111">
        <f>'Supply planning data'!AB121</f>
        <v>0</v>
      </c>
      <c r="AA123" s="111">
        <f>'Supply planning data'!AC121</f>
        <v>0</v>
      </c>
      <c r="AB123" s="111">
        <f>'Supply planning data'!AD121</f>
        <v>0</v>
      </c>
      <c r="AC123" s="111">
        <f>'Supply planning data'!AE121</f>
        <v>0</v>
      </c>
      <c r="AD123" s="327" t="str">
        <f>'Supply planning data'!AF121</f>
        <v/>
      </c>
      <c r="AE123" s="111">
        <f>'Supply planning data'!AG121</f>
        <v>0</v>
      </c>
      <c r="AF123" s="321">
        <f>'Supply planning data'!AH121</f>
        <v>0</v>
      </c>
      <c r="AG123" s="349">
        <f>'Supply planning data'!AI121</f>
        <v>0</v>
      </c>
      <c r="AH123" s="111">
        <f>'Supply planning data'!AJ121</f>
        <v>0</v>
      </c>
      <c r="AI123" s="111">
        <f>'Supply planning data'!AK121</f>
        <v>0</v>
      </c>
      <c r="AJ123" s="111">
        <f>'Supply planning data'!AL121</f>
        <v>0</v>
      </c>
      <c r="AK123" s="111">
        <f>'Supply planning data'!AM121</f>
        <v>0</v>
      </c>
      <c r="AL123" s="111">
        <f>'Supply planning data'!AN121</f>
        <v>0</v>
      </c>
      <c r="AM123" s="327" t="str">
        <f>'Supply planning data'!AO121</f>
        <v/>
      </c>
    </row>
    <row r="124" spans="1:39" hidden="1" x14ac:dyDescent="0.25">
      <c r="A124" s="104" t="str">
        <f>'Supply planning data'!C122</f>
        <v/>
      </c>
      <c r="B124" s="298">
        <f>'Supply planning data'!D122</f>
        <v>44409</v>
      </c>
      <c r="C124" s="105" t="str">
        <f>'Supply planning data'!E122</f>
        <v>No</v>
      </c>
      <c r="D124" s="105">
        <f>'Supply planning data'!F122</f>
        <v>0</v>
      </c>
      <c r="E124" s="320">
        <f>'Supply planning data'!G122</f>
        <v>0</v>
      </c>
      <c r="F124" s="320">
        <f>'Supply planning data'!H122</f>
        <v>0</v>
      </c>
      <c r="G124" s="320">
        <f>'Supply planning data'!I122</f>
        <v>0</v>
      </c>
      <c r="H124" s="105">
        <f>'Supply planning data'!J122</f>
        <v>0</v>
      </c>
      <c r="I124" s="320">
        <f>'Supply planning data'!K122</f>
        <v>0</v>
      </c>
      <c r="J124" s="177" t="str">
        <f>'Supply planning data'!L122</f>
        <v/>
      </c>
      <c r="K124" s="105">
        <f>'Supply planning data'!M122</f>
        <v>0</v>
      </c>
      <c r="L124" s="321">
        <f>'Supply planning data'!N122+'Supply planning data'!P122</f>
        <v>0</v>
      </c>
      <c r="M124" s="342">
        <f>'Supply planning data'!O122</f>
        <v>0</v>
      </c>
      <c r="N124" s="321">
        <f>'Supply planning data'!P122</f>
        <v>0</v>
      </c>
      <c r="O124" s="342">
        <f>'Supply planning data'!Q122</f>
        <v>0</v>
      </c>
      <c r="P124" s="111">
        <f>'Supply planning data'!R122</f>
        <v>0</v>
      </c>
      <c r="Q124" s="111">
        <f>'Supply planning data'!S122</f>
        <v>0</v>
      </c>
      <c r="R124" s="111">
        <f>'Supply planning data'!T122</f>
        <v>0</v>
      </c>
      <c r="S124" s="111">
        <f>'Supply planning data'!U122</f>
        <v>0</v>
      </c>
      <c r="T124" s="111">
        <f>'Supply planning data'!V122</f>
        <v>0</v>
      </c>
      <c r="U124" s="327" t="str">
        <f>'Supply planning data'!W122</f>
        <v/>
      </c>
      <c r="V124" s="111">
        <f>'Supply planning data'!X122</f>
        <v>0</v>
      </c>
      <c r="W124" s="321">
        <f>'Supply planning data'!Y122</f>
        <v>0</v>
      </c>
      <c r="X124" s="329">
        <f>'Supply planning data'!Z122</f>
        <v>0</v>
      </c>
      <c r="Y124" s="111">
        <f>'Supply planning data'!AA122</f>
        <v>0</v>
      </c>
      <c r="Z124" s="111">
        <f>'Supply planning data'!AB122</f>
        <v>0</v>
      </c>
      <c r="AA124" s="111">
        <f>'Supply planning data'!AC122</f>
        <v>0</v>
      </c>
      <c r="AB124" s="111">
        <f>'Supply planning data'!AD122</f>
        <v>0</v>
      </c>
      <c r="AC124" s="111">
        <f>'Supply planning data'!AE122</f>
        <v>0</v>
      </c>
      <c r="AD124" s="327" t="str">
        <f>'Supply planning data'!AF122</f>
        <v/>
      </c>
      <c r="AE124" s="111">
        <f>'Supply planning data'!AG122</f>
        <v>0</v>
      </c>
      <c r="AF124" s="321">
        <f>'Supply planning data'!AH122</f>
        <v>0</v>
      </c>
      <c r="AG124" s="349">
        <f>'Supply planning data'!AI122</f>
        <v>0</v>
      </c>
      <c r="AH124" s="111">
        <f>'Supply planning data'!AJ122</f>
        <v>0</v>
      </c>
      <c r="AI124" s="111">
        <f>'Supply planning data'!AK122</f>
        <v>0</v>
      </c>
      <c r="AJ124" s="111">
        <f>'Supply planning data'!AL122</f>
        <v>0</v>
      </c>
      <c r="AK124" s="111">
        <f>'Supply planning data'!AM122</f>
        <v>0</v>
      </c>
      <c r="AL124" s="111">
        <f>'Supply planning data'!AN122</f>
        <v>0</v>
      </c>
      <c r="AM124" s="327" t="str">
        <f>'Supply planning data'!AO122</f>
        <v/>
      </c>
    </row>
    <row r="125" spans="1:39" hidden="1" x14ac:dyDescent="0.25">
      <c r="A125" s="109" t="str">
        <f>'Supply planning data'!C123</f>
        <v/>
      </c>
      <c r="B125" s="298">
        <f>'Supply planning data'!D123</f>
        <v>44409</v>
      </c>
      <c r="C125" s="105" t="str">
        <f>'Supply planning data'!E123</f>
        <v>No</v>
      </c>
      <c r="D125" s="105">
        <f>'Supply planning data'!F123</f>
        <v>0</v>
      </c>
      <c r="E125" s="320">
        <f>'Supply planning data'!G123</f>
        <v>0</v>
      </c>
      <c r="F125" s="320">
        <f>'Supply planning data'!H123</f>
        <v>0</v>
      </c>
      <c r="G125" s="320">
        <f>'Supply planning data'!I123</f>
        <v>0</v>
      </c>
      <c r="H125" s="105">
        <f>'Supply planning data'!J123</f>
        <v>0</v>
      </c>
      <c r="I125" s="320">
        <f>'Supply planning data'!K123</f>
        <v>0</v>
      </c>
      <c r="J125" s="177" t="str">
        <f>'Supply planning data'!L123</f>
        <v/>
      </c>
      <c r="K125" s="105">
        <f>'Supply planning data'!M123</f>
        <v>0</v>
      </c>
      <c r="L125" s="321">
        <f>'Supply planning data'!N123+'Supply planning data'!P123</f>
        <v>0</v>
      </c>
      <c r="M125" s="342">
        <f>'Supply planning data'!O123</f>
        <v>0</v>
      </c>
      <c r="N125" s="321">
        <f>'Supply planning data'!P123</f>
        <v>0</v>
      </c>
      <c r="O125" s="342">
        <f>'Supply planning data'!Q123</f>
        <v>0</v>
      </c>
      <c r="P125" s="111">
        <f>'Supply planning data'!R123</f>
        <v>0</v>
      </c>
      <c r="Q125" s="111">
        <f>'Supply planning data'!S123</f>
        <v>0</v>
      </c>
      <c r="R125" s="111">
        <f>'Supply planning data'!T123</f>
        <v>0</v>
      </c>
      <c r="S125" s="111">
        <f>'Supply planning data'!U123</f>
        <v>0</v>
      </c>
      <c r="T125" s="111">
        <f>'Supply planning data'!V123</f>
        <v>0</v>
      </c>
      <c r="U125" s="327" t="str">
        <f>'Supply planning data'!W123</f>
        <v/>
      </c>
      <c r="V125" s="111">
        <f>'Supply planning data'!X123</f>
        <v>0</v>
      </c>
      <c r="W125" s="321">
        <f>'Supply planning data'!Y123</f>
        <v>0</v>
      </c>
      <c r="X125" s="329">
        <f>'Supply planning data'!Z123</f>
        <v>0</v>
      </c>
      <c r="Y125" s="111">
        <f>'Supply planning data'!AA123</f>
        <v>0</v>
      </c>
      <c r="Z125" s="111">
        <f>'Supply planning data'!AB123</f>
        <v>0</v>
      </c>
      <c r="AA125" s="111">
        <f>'Supply planning data'!AC123</f>
        <v>0</v>
      </c>
      <c r="AB125" s="111">
        <f>'Supply planning data'!AD123</f>
        <v>0</v>
      </c>
      <c r="AC125" s="111">
        <f>'Supply planning data'!AE123</f>
        <v>0</v>
      </c>
      <c r="AD125" s="327" t="str">
        <f>'Supply planning data'!AF123</f>
        <v/>
      </c>
      <c r="AE125" s="111">
        <f>'Supply planning data'!AG123</f>
        <v>0</v>
      </c>
      <c r="AF125" s="321">
        <f>'Supply planning data'!AH123</f>
        <v>0</v>
      </c>
      <c r="AG125" s="349">
        <f>'Supply planning data'!AI123</f>
        <v>0</v>
      </c>
      <c r="AH125" s="111">
        <f>'Supply planning data'!AJ123</f>
        <v>0</v>
      </c>
      <c r="AI125" s="111">
        <f>'Supply planning data'!AK123</f>
        <v>0</v>
      </c>
      <c r="AJ125" s="111">
        <f>'Supply planning data'!AL123</f>
        <v>0</v>
      </c>
      <c r="AK125" s="111">
        <f>'Supply planning data'!AM123</f>
        <v>0</v>
      </c>
      <c r="AL125" s="111">
        <f>'Supply planning data'!AN123</f>
        <v>0</v>
      </c>
      <c r="AM125" s="327" t="str">
        <f>'Supply planning data'!AO123</f>
        <v/>
      </c>
    </row>
    <row r="126" spans="1:39" hidden="1" x14ac:dyDescent="0.25">
      <c r="A126" s="104" t="str">
        <f>'Supply planning data'!C124</f>
        <v/>
      </c>
      <c r="B126" s="298">
        <f>'Supply planning data'!D124</f>
        <v>44409</v>
      </c>
      <c r="C126" s="105" t="str">
        <f>'Supply planning data'!E124</f>
        <v>No</v>
      </c>
      <c r="D126" s="105">
        <f>'Supply planning data'!F124</f>
        <v>0</v>
      </c>
      <c r="E126" s="320">
        <f>'Supply planning data'!G124</f>
        <v>0</v>
      </c>
      <c r="F126" s="320">
        <f>'Supply planning data'!H124</f>
        <v>0</v>
      </c>
      <c r="G126" s="320">
        <f>'Supply planning data'!I124</f>
        <v>0</v>
      </c>
      <c r="H126" s="105">
        <f>'Supply planning data'!J124</f>
        <v>0</v>
      </c>
      <c r="I126" s="320">
        <f>'Supply planning data'!K124</f>
        <v>0</v>
      </c>
      <c r="J126" s="177" t="str">
        <f>'Supply planning data'!L124</f>
        <v/>
      </c>
      <c r="K126" s="105">
        <f>'Supply planning data'!M124</f>
        <v>0</v>
      </c>
      <c r="L126" s="321">
        <f>'Supply planning data'!N124+'Supply planning data'!P124</f>
        <v>0</v>
      </c>
      <c r="M126" s="342">
        <f>'Supply planning data'!O124</f>
        <v>0</v>
      </c>
      <c r="N126" s="321">
        <f>'Supply planning data'!P124</f>
        <v>0</v>
      </c>
      <c r="O126" s="342">
        <f>'Supply planning data'!Q124</f>
        <v>0</v>
      </c>
      <c r="P126" s="111">
        <f>'Supply planning data'!R124</f>
        <v>0</v>
      </c>
      <c r="Q126" s="111">
        <f>'Supply planning data'!S124</f>
        <v>0</v>
      </c>
      <c r="R126" s="111">
        <f>'Supply planning data'!T124</f>
        <v>0</v>
      </c>
      <c r="S126" s="111">
        <f>'Supply planning data'!U124</f>
        <v>0</v>
      </c>
      <c r="T126" s="111">
        <f>'Supply planning data'!V124</f>
        <v>0</v>
      </c>
      <c r="U126" s="327" t="str">
        <f>'Supply planning data'!W124</f>
        <v/>
      </c>
      <c r="V126" s="111">
        <f>'Supply planning data'!X124</f>
        <v>0</v>
      </c>
      <c r="W126" s="321">
        <f>'Supply planning data'!Y124</f>
        <v>0</v>
      </c>
      <c r="X126" s="329">
        <f>'Supply planning data'!Z124</f>
        <v>0</v>
      </c>
      <c r="Y126" s="111">
        <f>'Supply planning data'!AA124</f>
        <v>0</v>
      </c>
      <c r="Z126" s="111">
        <f>'Supply planning data'!AB124</f>
        <v>0</v>
      </c>
      <c r="AA126" s="111">
        <f>'Supply planning data'!AC124</f>
        <v>0</v>
      </c>
      <c r="AB126" s="111">
        <f>'Supply planning data'!AD124</f>
        <v>0</v>
      </c>
      <c r="AC126" s="111">
        <f>'Supply planning data'!AE124</f>
        <v>0</v>
      </c>
      <c r="AD126" s="327" t="str">
        <f>'Supply planning data'!AF124</f>
        <v/>
      </c>
      <c r="AE126" s="111">
        <f>'Supply planning data'!AG124</f>
        <v>0</v>
      </c>
      <c r="AF126" s="321">
        <f>'Supply planning data'!AH124</f>
        <v>0</v>
      </c>
      <c r="AG126" s="349">
        <f>'Supply planning data'!AI124</f>
        <v>0</v>
      </c>
      <c r="AH126" s="111">
        <f>'Supply planning data'!AJ124</f>
        <v>0</v>
      </c>
      <c r="AI126" s="111">
        <f>'Supply planning data'!AK124</f>
        <v>0</v>
      </c>
      <c r="AJ126" s="111">
        <f>'Supply planning data'!AL124</f>
        <v>0</v>
      </c>
      <c r="AK126" s="111">
        <f>'Supply planning data'!AM124</f>
        <v>0</v>
      </c>
      <c r="AL126" s="111">
        <f>'Supply planning data'!AN124</f>
        <v>0</v>
      </c>
      <c r="AM126" s="327" t="str">
        <f>'Supply planning data'!AO124</f>
        <v/>
      </c>
    </row>
    <row r="127" spans="1:39" x14ac:dyDescent="0.25">
      <c r="A127" s="90" t="str">
        <f>'Supply planning data'!C125</f>
        <v>AstraZeneca</v>
      </c>
      <c r="B127" s="296">
        <f>'Supply planning data'!D125</f>
        <v>44440</v>
      </c>
      <c r="C127" s="92" t="str">
        <f>'Supply planning data'!E125</f>
        <v>Yes</v>
      </c>
      <c r="D127" s="92">
        <f>'Supply planning data'!F125</f>
        <v>0</v>
      </c>
      <c r="E127" s="316">
        <f>'Supply planning data'!G125</f>
        <v>300000</v>
      </c>
      <c r="F127" s="316">
        <f>'Supply planning data'!H125</f>
        <v>0</v>
      </c>
      <c r="G127" s="316">
        <f>'Supply planning data'!I125</f>
        <v>0</v>
      </c>
      <c r="H127" s="92">
        <f>'Supply planning data'!J125</f>
        <v>300000</v>
      </c>
      <c r="I127" s="316">
        <f>'Supply planning data'!K125</f>
        <v>0</v>
      </c>
      <c r="J127" s="174">
        <f>'Supply planning data'!L125</f>
        <v>0</v>
      </c>
      <c r="K127" s="92">
        <f>'Supply planning data'!M125</f>
        <v>300000</v>
      </c>
      <c r="L127" s="316">
        <f>'Supply planning data'!N125+'Supply planning data'!P125</f>
        <v>0</v>
      </c>
      <c r="M127" s="343">
        <f>'Supply planning data'!O125</f>
        <v>0</v>
      </c>
      <c r="N127" s="316">
        <f>'Supply planning data'!P125</f>
        <v>0</v>
      </c>
      <c r="O127" s="343">
        <f>'Supply planning data'!Q125</f>
        <v>0</v>
      </c>
      <c r="P127" s="92">
        <f>'Supply planning data'!R125</f>
        <v>206400</v>
      </c>
      <c r="Q127" s="92">
        <f>'Supply planning data'!S125</f>
        <v>0</v>
      </c>
      <c r="R127" s="92">
        <f>'Supply planning data'!T125</f>
        <v>0</v>
      </c>
      <c r="S127" s="92">
        <f>'Supply planning data'!U125</f>
        <v>0</v>
      </c>
      <c r="T127" s="92">
        <f>'Supply planning data'!V125</f>
        <v>0</v>
      </c>
      <c r="U127" s="324">
        <f>'Supply planning data'!W125</f>
        <v>0</v>
      </c>
      <c r="V127" s="92">
        <f>'Supply planning data'!X125</f>
        <v>1000000</v>
      </c>
      <c r="W127" s="316">
        <f>'Supply planning data'!Y125</f>
        <v>0</v>
      </c>
      <c r="X127" s="328">
        <f>'Supply planning data'!Z125</f>
        <v>0</v>
      </c>
      <c r="Y127" s="92">
        <f>'Supply planning data'!AA125</f>
        <v>0</v>
      </c>
      <c r="Z127" s="92">
        <f>'Supply planning data'!AB125</f>
        <v>0</v>
      </c>
      <c r="AA127" s="92">
        <f>'Supply planning data'!AC125</f>
        <v>0</v>
      </c>
      <c r="AB127" s="92">
        <f>'Supply planning data'!AD125</f>
        <v>0</v>
      </c>
      <c r="AC127" s="92">
        <f>'Supply planning data'!AE125</f>
        <v>906400</v>
      </c>
      <c r="AD127" s="324">
        <f>'Supply planning data'!AF125</f>
        <v>6.0101583877427425</v>
      </c>
      <c r="AE127" s="92">
        <f>'Supply planning data'!AG125</f>
        <v>0</v>
      </c>
      <c r="AF127" s="316">
        <f>'Supply planning data'!AH125</f>
        <v>0</v>
      </c>
      <c r="AG127" s="174">
        <f>'Supply planning data'!AI125</f>
        <v>0</v>
      </c>
      <c r="AH127" s="92">
        <f>'Supply planning data'!AJ125</f>
        <v>0</v>
      </c>
      <c r="AI127" s="92">
        <f>'Supply planning data'!AK125</f>
        <v>0</v>
      </c>
      <c r="AJ127" s="92">
        <f>'Supply planning data'!AL125</f>
        <v>0</v>
      </c>
      <c r="AK127" s="92">
        <f>'Supply planning data'!AM125</f>
        <v>0</v>
      </c>
      <c r="AL127" s="92">
        <f>'Supply planning data'!AN125</f>
        <v>0</v>
      </c>
      <c r="AM127" s="324">
        <f>'Supply planning data'!AO125</f>
        <v>0</v>
      </c>
    </row>
    <row r="128" spans="1:39" x14ac:dyDescent="0.25">
      <c r="A128" s="90" t="str">
        <f>'Supply planning data'!C126</f>
        <v>Jansen</v>
      </c>
      <c r="B128" s="296">
        <f>'Supply planning data'!D126</f>
        <v>44440</v>
      </c>
      <c r="C128" s="92" t="str">
        <f>'Supply planning data'!E126</f>
        <v>Yes</v>
      </c>
      <c r="D128" s="92">
        <f>'Supply planning data'!F126</f>
        <v>300947</v>
      </c>
      <c r="E128" s="316">
        <f>'Supply planning data'!G126</f>
        <v>54830</v>
      </c>
      <c r="F128" s="317">
        <f>'Supply planning data'!H126</f>
        <v>0</v>
      </c>
      <c r="G128" s="317">
        <f>'Supply planning data'!I126</f>
        <v>0</v>
      </c>
      <c r="H128" s="98">
        <f>'Supply planning data'!J126</f>
        <v>54830</v>
      </c>
      <c r="I128" s="317">
        <f>'Supply planning data'!K126</f>
        <v>0</v>
      </c>
      <c r="J128" s="175">
        <f>'Supply planning data'!L126</f>
        <v>0</v>
      </c>
      <c r="K128" s="98">
        <f>'Supply planning data'!M126</f>
        <v>54830</v>
      </c>
      <c r="L128" s="317">
        <f>'Supply planning data'!N126+'Supply planning data'!P126</f>
        <v>0</v>
      </c>
      <c r="M128" s="339">
        <f>'Supply planning data'!O126</f>
        <v>0</v>
      </c>
      <c r="N128" s="317">
        <f>'Supply planning data'!P126</f>
        <v>0</v>
      </c>
      <c r="O128" s="339">
        <f>'Supply planning data'!Q126</f>
        <v>0</v>
      </c>
      <c r="P128" s="98">
        <f>'Supply planning data'!R126</f>
        <v>0</v>
      </c>
      <c r="Q128" s="98">
        <f>'Supply planning data'!S126</f>
        <v>0</v>
      </c>
      <c r="R128" s="98">
        <f>'Supply planning data'!T126</f>
        <v>0</v>
      </c>
      <c r="S128" s="98">
        <f>'Supply planning data'!U126</f>
        <v>0</v>
      </c>
      <c r="T128" s="98">
        <f>'Supply planning data'!V126</f>
        <v>246117</v>
      </c>
      <c r="U128" s="325">
        <f>'Supply planning data'!W126</f>
        <v>13.072092488005239</v>
      </c>
      <c r="V128" s="98">
        <f>'Supply planning data'!X126</f>
        <v>300947</v>
      </c>
      <c r="W128" s="317">
        <f>'Supply planning data'!Y126</f>
        <v>0</v>
      </c>
      <c r="X128" s="328">
        <f>'Supply planning data'!Z126</f>
        <v>0</v>
      </c>
      <c r="Y128" s="98">
        <f>'Supply planning data'!AA126</f>
        <v>0</v>
      </c>
      <c r="Z128" s="98">
        <f>'Supply planning data'!AB126</f>
        <v>0</v>
      </c>
      <c r="AA128" s="98">
        <f>'Supply planning data'!AC126</f>
        <v>0</v>
      </c>
      <c r="AB128" s="98">
        <f>'Supply planning data'!AD126</f>
        <v>0</v>
      </c>
      <c r="AC128" s="98">
        <f>'Supply planning data'!AE126</f>
        <v>246117</v>
      </c>
      <c r="AD128" s="325">
        <f>'Supply planning data'!AF126</f>
        <v>1.2593850368169421</v>
      </c>
      <c r="AE128" s="98">
        <f>'Supply planning data'!AG126</f>
        <v>300947</v>
      </c>
      <c r="AF128" s="317">
        <f>'Supply planning data'!AH126</f>
        <v>0</v>
      </c>
      <c r="AG128" s="175">
        <f>'Supply planning data'!AI126</f>
        <v>0</v>
      </c>
      <c r="AH128" s="98">
        <f>'Supply planning data'!AJ126</f>
        <v>0</v>
      </c>
      <c r="AI128" s="98">
        <f>'Supply planning data'!AK126</f>
        <v>0</v>
      </c>
      <c r="AJ128" s="98">
        <f>'Supply planning data'!AL126</f>
        <v>0</v>
      </c>
      <c r="AK128" s="98">
        <f>'Supply planning data'!AM126</f>
        <v>0</v>
      </c>
      <c r="AL128" s="98">
        <f>'Supply planning data'!AN126</f>
        <v>246117</v>
      </c>
      <c r="AM128" s="325">
        <f>'Supply planning data'!AO126</f>
        <v>1.2593850368169421</v>
      </c>
    </row>
    <row r="129" spans="1:39" x14ac:dyDescent="0.25">
      <c r="A129" s="90" t="str">
        <f>'Supply planning data'!C127</f>
        <v>Moderna</v>
      </c>
      <c r="B129" s="296">
        <f>'Supply planning data'!D127</f>
        <v>44440</v>
      </c>
      <c r="C129" s="92" t="str">
        <f>'Supply planning data'!E127</f>
        <v>No</v>
      </c>
      <c r="D129" s="92">
        <f>'Supply planning data'!F127</f>
        <v>0</v>
      </c>
      <c r="E129" s="316">
        <f>'Supply planning data'!G127</f>
        <v>0</v>
      </c>
      <c r="F129" s="317">
        <f>'Supply planning data'!H127</f>
        <v>0</v>
      </c>
      <c r="G129" s="317">
        <f>'Supply planning data'!I127</f>
        <v>0</v>
      </c>
      <c r="H129" s="98">
        <f>'Supply planning data'!J127</f>
        <v>0</v>
      </c>
      <c r="I129" s="317">
        <f>'Supply planning data'!K127</f>
        <v>0</v>
      </c>
      <c r="J129" s="175" t="str">
        <f>'Supply planning data'!L127</f>
        <v/>
      </c>
      <c r="K129" s="98">
        <f>'Supply planning data'!M127</f>
        <v>0</v>
      </c>
      <c r="L129" s="317">
        <f>'Supply planning data'!N127+'Supply planning data'!P127</f>
        <v>0</v>
      </c>
      <c r="M129" s="339">
        <f>'Supply planning data'!O127</f>
        <v>0</v>
      </c>
      <c r="N129" s="317">
        <f>'Supply planning data'!P127</f>
        <v>0</v>
      </c>
      <c r="O129" s="339">
        <f>'Supply planning data'!Q127</f>
        <v>0</v>
      </c>
      <c r="P129" s="98">
        <f>'Supply planning data'!R127</f>
        <v>0</v>
      </c>
      <c r="Q129" s="98">
        <f>'Supply planning data'!S127</f>
        <v>0</v>
      </c>
      <c r="R129" s="98">
        <f>'Supply planning data'!T127</f>
        <v>0</v>
      </c>
      <c r="S129" s="98">
        <f>'Supply planning data'!U127</f>
        <v>0</v>
      </c>
      <c r="T129" s="98">
        <f>'Supply planning data'!V127</f>
        <v>0</v>
      </c>
      <c r="U129" s="325" t="str">
        <f>'Supply planning data'!W127</f>
        <v/>
      </c>
      <c r="V129" s="98">
        <f>'Supply planning data'!X127</f>
        <v>0</v>
      </c>
      <c r="W129" s="317">
        <f>'Supply planning data'!Y127</f>
        <v>0</v>
      </c>
      <c r="X129" s="328">
        <f>'Supply planning data'!Z127</f>
        <v>0</v>
      </c>
      <c r="Y129" s="98">
        <f>'Supply planning data'!AA127</f>
        <v>0</v>
      </c>
      <c r="Z129" s="98">
        <f>'Supply planning data'!AB127</f>
        <v>0</v>
      </c>
      <c r="AA129" s="98">
        <f>'Supply planning data'!AC127</f>
        <v>0</v>
      </c>
      <c r="AB129" s="98">
        <f>'Supply planning data'!AD127</f>
        <v>0</v>
      </c>
      <c r="AC129" s="98">
        <f>'Supply planning data'!AE127</f>
        <v>0</v>
      </c>
      <c r="AD129" s="325" t="str">
        <f>'Supply planning data'!AF127</f>
        <v/>
      </c>
      <c r="AE129" s="98">
        <f>'Supply planning data'!AG127</f>
        <v>0</v>
      </c>
      <c r="AF129" s="317">
        <f>'Supply planning data'!AH127</f>
        <v>0</v>
      </c>
      <c r="AG129" s="175">
        <f>'Supply planning data'!AI127</f>
        <v>0</v>
      </c>
      <c r="AH129" s="98">
        <f>'Supply planning data'!AJ127</f>
        <v>0</v>
      </c>
      <c r="AI129" s="98">
        <f>'Supply planning data'!AK127</f>
        <v>0</v>
      </c>
      <c r="AJ129" s="98">
        <f>'Supply planning data'!AL127</f>
        <v>0</v>
      </c>
      <c r="AK129" s="98">
        <f>'Supply planning data'!AM127</f>
        <v>0</v>
      </c>
      <c r="AL129" s="98">
        <f>'Supply planning data'!AN127</f>
        <v>0</v>
      </c>
      <c r="AM129" s="325" t="str">
        <f>'Supply planning data'!AO127</f>
        <v/>
      </c>
    </row>
    <row r="130" spans="1:39" x14ac:dyDescent="0.25">
      <c r="A130" s="90" t="str">
        <f>'Supply planning data'!C128</f>
        <v>Pfizer</v>
      </c>
      <c r="B130" s="296">
        <f>'Supply planning data'!D128</f>
        <v>44440</v>
      </c>
      <c r="C130" s="92" t="str">
        <f>'Supply planning data'!E128</f>
        <v>Yes</v>
      </c>
      <c r="D130" s="92">
        <f>'Supply planning data'!F128</f>
        <v>0</v>
      </c>
      <c r="E130" s="316">
        <f>'Supply planning data'!G128</f>
        <v>0</v>
      </c>
      <c r="F130" s="317">
        <f>'Supply planning data'!H128</f>
        <v>0</v>
      </c>
      <c r="G130" s="317">
        <f>'Supply planning data'!I128</f>
        <v>0</v>
      </c>
      <c r="H130" s="98">
        <f>'Supply planning data'!J128</f>
        <v>0</v>
      </c>
      <c r="I130" s="317">
        <f>'Supply planning data'!K128</f>
        <v>0</v>
      </c>
      <c r="J130" s="175" t="str">
        <f>'Supply planning data'!L128</f>
        <v/>
      </c>
      <c r="K130" s="98">
        <f>'Supply planning data'!M128</f>
        <v>0</v>
      </c>
      <c r="L130" s="317">
        <f>'Supply planning data'!N128+'Supply planning data'!P128</f>
        <v>0</v>
      </c>
      <c r="M130" s="339">
        <f>'Supply planning data'!O128</f>
        <v>0</v>
      </c>
      <c r="N130" s="317">
        <f>'Supply planning data'!P128</f>
        <v>0</v>
      </c>
      <c r="O130" s="339">
        <f>'Supply planning data'!Q128</f>
        <v>0</v>
      </c>
      <c r="P130" s="98">
        <f>'Supply planning data'!R128</f>
        <v>0</v>
      </c>
      <c r="Q130" s="98">
        <f>'Supply planning data'!S128</f>
        <v>0</v>
      </c>
      <c r="R130" s="98">
        <f>'Supply planning data'!T128</f>
        <v>0</v>
      </c>
      <c r="S130" s="98">
        <f>'Supply planning data'!U128</f>
        <v>0</v>
      </c>
      <c r="T130" s="98">
        <f>'Supply planning data'!V128</f>
        <v>0</v>
      </c>
      <c r="U130" s="325" t="str">
        <f>'Supply planning data'!W128</f>
        <v/>
      </c>
      <c r="V130" s="98">
        <f>'Supply planning data'!X128</f>
        <v>0</v>
      </c>
      <c r="W130" s="317">
        <f>'Supply planning data'!Y128</f>
        <v>0</v>
      </c>
      <c r="X130" s="328">
        <f>'Supply planning data'!Z128</f>
        <v>0</v>
      </c>
      <c r="Y130" s="98">
        <f>'Supply planning data'!AA128</f>
        <v>0</v>
      </c>
      <c r="Z130" s="98">
        <f>'Supply planning data'!AB128</f>
        <v>0</v>
      </c>
      <c r="AA130" s="98">
        <f>'Supply planning data'!AC128</f>
        <v>0</v>
      </c>
      <c r="AB130" s="98">
        <f>'Supply planning data'!AD128</f>
        <v>0</v>
      </c>
      <c r="AC130" s="98">
        <f>'Supply planning data'!AE128</f>
        <v>0</v>
      </c>
      <c r="AD130" s="325" t="str">
        <f>'Supply planning data'!AF128</f>
        <v/>
      </c>
      <c r="AE130" s="98">
        <f>'Supply planning data'!AG128</f>
        <v>0</v>
      </c>
      <c r="AF130" s="317">
        <f>'Supply planning data'!AH128</f>
        <v>0</v>
      </c>
      <c r="AG130" s="175">
        <f>'Supply planning data'!AI128</f>
        <v>0</v>
      </c>
      <c r="AH130" s="98">
        <f>'Supply planning data'!AJ128</f>
        <v>0</v>
      </c>
      <c r="AI130" s="98">
        <f>'Supply planning data'!AK128</f>
        <v>0</v>
      </c>
      <c r="AJ130" s="98">
        <f>'Supply planning data'!AL128</f>
        <v>0</v>
      </c>
      <c r="AK130" s="98">
        <f>'Supply planning data'!AM128</f>
        <v>0</v>
      </c>
      <c r="AL130" s="98">
        <f>'Supply planning data'!AN128</f>
        <v>0</v>
      </c>
      <c r="AM130" s="325" t="str">
        <f>'Supply planning data'!AO128</f>
        <v/>
      </c>
    </row>
    <row r="131" spans="1:39" x14ac:dyDescent="0.25">
      <c r="A131" s="90" t="str">
        <f>'Supply planning data'!C129</f>
        <v>Sinovac</v>
      </c>
      <c r="B131" s="296">
        <f>'Supply planning data'!D129</f>
        <v>44440</v>
      </c>
      <c r="C131" s="92" t="str">
        <f>'Supply planning data'!E129</f>
        <v>No</v>
      </c>
      <c r="D131" s="92">
        <f>'Supply planning data'!F129</f>
        <v>0</v>
      </c>
      <c r="E131" s="316">
        <f>'Supply planning data'!G129</f>
        <v>0</v>
      </c>
      <c r="F131" s="317">
        <f>'Supply planning data'!H129</f>
        <v>0</v>
      </c>
      <c r="G131" s="317">
        <f>'Supply planning data'!I129</f>
        <v>0</v>
      </c>
      <c r="H131" s="98">
        <f>'Supply planning data'!J129</f>
        <v>0</v>
      </c>
      <c r="I131" s="317">
        <f>'Supply planning data'!K129</f>
        <v>0</v>
      </c>
      <c r="J131" s="175" t="str">
        <f>'Supply planning data'!L129</f>
        <v/>
      </c>
      <c r="K131" s="98">
        <f>'Supply planning data'!M129</f>
        <v>0</v>
      </c>
      <c r="L131" s="317">
        <f>'Supply planning data'!N129+'Supply planning data'!P129</f>
        <v>0</v>
      </c>
      <c r="M131" s="339">
        <f>'Supply planning data'!O129</f>
        <v>0</v>
      </c>
      <c r="N131" s="317">
        <f>'Supply planning data'!P129</f>
        <v>0</v>
      </c>
      <c r="O131" s="339">
        <f>'Supply planning data'!Q129</f>
        <v>0</v>
      </c>
      <c r="P131" s="98">
        <f>'Supply planning data'!R129</f>
        <v>0</v>
      </c>
      <c r="Q131" s="98">
        <f>'Supply planning data'!S129</f>
        <v>0</v>
      </c>
      <c r="R131" s="98">
        <f>'Supply planning data'!T129</f>
        <v>0</v>
      </c>
      <c r="S131" s="98">
        <f>'Supply planning data'!U129</f>
        <v>0</v>
      </c>
      <c r="T131" s="98">
        <f>'Supply planning data'!V129</f>
        <v>0</v>
      </c>
      <c r="U131" s="325" t="str">
        <f>'Supply planning data'!W129</f>
        <v/>
      </c>
      <c r="V131" s="98">
        <f>'Supply planning data'!X129</f>
        <v>0</v>
      </c>
      <c r="W131" s="317">
        <f>'Supply planning data'!Y129</f>
        <v>0</v>
      </c>
      <c r="X131" s="328">
        <f>'Supply planning data'!Z129</f>
        <v>0</v>
      </c>
      <c r="Y131" s="98">
        <f>'Supply planning data'!AA129</f>
        <v>0</v>
      </c>
      <c r="Z131" s="98">
        <f>'Supply planning data'!AB129</f>
        <v>0</v>
      </c>
      <c r="AA131" s="98">
        <f>'Supply planning data'!AC129</f>
        <v>0</v>
      </c>
      <c r="AB131" s="98">
        <f>'Supply planning data'!AD129</f>
        <v>0</v>
      </c>
      <c r="AC131" s="98">
        <f>'Supply planning data'!AE129</f>
        <v>0</v>
      </c>
      <c r="AD131" s="325" t="str">
        <f>'Supply planning data'!AF129</f>
        <v/>
      </c>
      <c r="AE131" s="98">
        <f>'Supply planning data'!AG129</f>
        <v>0</v>
      </c>
      <c r="AF131" s="317">
        <f>'Supply planning data'!AH129</f>
        <v>0</v>
      </c>
      <c r="AG131" s="175">
        <f>'Supply planning data'!AI129</f>
        <v>0</v>
      </c>
      <c r="AH131" s="98">
        <f>'Supply planning data'!AJ129</f>
        <v>0</v>
      </c>
      <c r="AI131" s="98">
        <f>'Supply planning data'!AK129</f>
        <v>0</v>
      </c>
      <c r="AJ131" s="98">
        <f>'Supply planning data'!AL129</f>
        <v>0</v>
      </c>
      <c r="AK131" s="98">
        <f>'Supply planning data'!AM129</f>
        <v>0</v>
      </c>
      <c r="AL131" s="98">
        <f>'Supply planning data'!AN129</f>
        <v>0</v>
      </c>
      <c r="AM131" s="325" t="str">
        <f>'Supply planning data'!AO129</f>
        <v/>
      </c>
    </row>
    <row r="132" spans="1:39" hidden="1" x14ac:dyDescent="0.25">
      <c r="A132" s="90" t="str">
        <f>'Supply planning data'!C130</f>
        <v/>
      </c>
      <c r="B132" s="296">
        <f>'Supply planning data'!D130</f>
        <v>44440</v>
      </c>
      <c r="C132" s="92" t="str">
        <f>'Supply planning data'!E130</f>
        <v>No</v>
      </c>
      <c r="D132" s="92">
        <f>'Supply planning data'!F130</f>
        <v>0</v>
      </c>
      <c r="E132" s="316">
        <f>'Supply planning data'!G130</f>
        <v>0</v>
      </c>
      <c r="F132" s="317">
        <f>'Supply planning data'!H130</f>
        <v>0</v>
      </c>
      <c r="G132" s="317">
        <f>'Supply planning data'!I130</f>
        <v>0</v>
      </c>
      <c r="H132" s="98">
        <f>'Supply planning data'!J130</f>
        <v>0</v>
      </c>
      <c r="I132" s="317">
        <f>'Supply planning data'!K130</f>
        <v>0</v>
      </c>
      <c r="J132" s="175" t="str">
        <f>'Supply planning data'!L130</f>
        <v/>
      </c>
      <c r="K132" s="98">
        <f>'Supply planning data'!M130</f>
        <v>0</v>
      </c>
      <c r="L132" s="317">
        <f>'Supply planning data'!N130+'Supply planning data'!P130</f>
        <v>0</v>
      </c>
      <c r="M132" s="339">
        <f>'Supply planning data'!O130</f>
        <v>0</v>
      </c>
      <c r="N132" s="317">
        <f>'Supply planning data'!P130</f>
        <v>0</v>
      </c>
      <c r="O132" s="339">
        <f>'Supply planning data'!Q130</f>
        <v>0</v>
      </c>
      <c r="P132" s="98">
        <f>'Supply planning data'!R130</f>
        <v>0</v>
      </c>
      <c r="Q132" s="98">
        <f>'Supply planning data'!S130</f>
        <v>0</v>
      </c>
      <c r="R132" s="98">
        <f>'Supply planning data'!T130</f>
        <v>0</v>
      </c>
      <c r="S132" s="98">
        <f>'Supply planning data'!U130</f>
        <v>0</v>
      </c>
      <c r="T132" s="98">
        <f>'Supply planning data'!V130</f>
        <v>0</v>
      </c>
      <c r="U132" s="325" t="str">
        <f>'Supply planning data'!W130</f>
        <v/>
      </c>
      <c r="V132" s="98">
        <f>'Supply planning data'!X130</f>
        <v>0</v>
      </c>
      <c r="W132" s="317">
        <f>'Supply planning data'!Y130</f>
        <v>0</v>
      </c>
      <c r="X132" s="328">
        <f>'Supply planning data'!Z130</f>
        <v>0</v>
      </c>
      <c r="Y132" s="98">
        <f>'Supply planning data'!AA130</f>
        <v>0</v>
      </c>
      <c r="Z132" s="98">
        <f>'Supply planning data'!AB130</f>
        <v>0</v>
      </c>
      <c r="AA132" s="98">
        <f>'Supply planning data'!AC130</f>
        <v>0</v>
      </c>
      <c r="AB132" s="98">
        <f>'Supply planning data'!AD130</f>
        <v>0</v>
      </c>
      <c r="AC132" s="98">
        <f>'Supply planning data'!AE130</f>
        <v>0</v>
      </c>
      <c r="AD132" s="325" t="str">
        <f>'Supply planning data'!AF130</f>
        <v/>
      </c>
      <c r="AE132" s="98">
        <f>'Supply planning data'!AG130</f>
        <v>0</v>
      </c>
      <c r="AF132" s="317">
        <f>'Supply planning data'!AH130</f>
        <v>0</v>
      </c>
      <c r="AG132" s="175">
        <f>'Supply planning data'!AI130</f>
        <v>0</v>
      </c>
      <c r="AH132" s="98">
        <f>'Supply planning data'!AJ130</f>
        <v>0</v>
      </c>
      <c r="AI132" s="98">
        <f>'Supply planning data'!AK130</f>
        <v>0</v>
      </c>
      <c r="AJ132" s="98">
        <f>'Supply planning data'!AL130</f>
        <v>0</v>
      </c>
      <c r="AK132" s="98">
        <f>'Supply planning data'!AM130</f>
        <v>0</v>
      </c>
      <c r="AL132" s="98">
        <f>'Supply planning data'!AN130</f>
        <v>0</v>
      </c>
      <c r="AM132" s="325" t="str">
        <f>'Supply planning data'!AO130</f>
        <v/>
      </c>
    </row>
    <row r="133" spans="1:39" hidden="1" x14ac:dyDescent="0.25">
      <c r="A133" s="90" t="str">
        <f>'Supply planning data'!C131</f>
        <v/>
      </c>
      <c r="B133" s="296">
        <f>'Supply planning data'!D131</f>
        <v>44440</v>
      </c>
      <c r="C133" s="92" t="str">
        <f>'Supply planning data'!E131</f>
        <v>No</v>
      </c>
      <c r="D133" s="92">
        <f>'Supply planning data'!F131</f>
        <v>0</v>
      </c>
      <c r="E133" s="316">
        <f>'Supply planning data'!G131</f>
        <v>0</v>
      </c>
      <c r="F133" s="317">
        <f>'Supply planning data'!H131</f>
        <v>0</v>
      </c>
      <c r="G133" s="317">
        <f>'Supply planning data'!I131</f>
        <v>0</v>
      </c>
      <c r="H133" s="98">
        <f>'Supply planning data'!J131</f>
        <v>0</v>
      </c>
      <c r="I133" s="317">
        <f>'Supply planning data'!K131</f>
        <v>0</v>
      </c>
      <c r="J133" s="175" t="str">
        <f>'Supply planning data'!L131</f>
        <v/>
      </c>
      <c r="K133" s="98">
        <f>'Supply planning data'!M131</f>
        <v>0</v>
      </c>
      <c r="L133" s="317">
        <f>'Supply planning data'!N131+'Supply planning data'!P131</f>
        <v>0</v>
      </c>
      <c r="M133" s="339">
        <f>'Supply planning data'!O131</f>
        <v>0</v>
      </c>
      <c r="N133" s="317">
        <f>'Supply planning data'!P131</f>
        <v>0</v>
      </c>
      <c r="O133" s="339">
        <f>'Supply planning data'!Q131</f>
        <v>0</v>
      </c>
      <c r="P133" s="98">
        <f>'Supply planning data'!R131</f>
        <v>0</v>
      </c>
      <c r="Q133" s="98">
        <f>'Supply planning data'!S131</f>
        <v>0</v>
      </c>
      <c r="R133" s="98">
        <f>'Supply planning data'!T131</f>
        <v>0</v>
      </c>
      <c r="S133" s="98">
        <f>'Supply planning data'!U131</f>
        <v>0</v>
      </c>
      <c r="T133" s="98">
        <f>'Supply planning data'!V131</f>
        <v>0</v>
      </c>
      <c r="U133" s="325" t="str">
        <f>'Supply planning data'!W131</f>
        <v/>
      </c>
      <c r="V133" s="98">
        <f>'Supply planning data'!X131</f>
        <v>0</v>
      </c>
      <c r="W133" s="317">
        <f>'Supply planning data'!Y131</f>
        <v>0</v>
      </c>
      <c r="X133" s="328">
        <f>'Supply planning data'!Z131</f>
        <v>0</v>
      </c>
      <c r="Y133" s="98">
        <f>'Supply planning data'!AA131</f>
        <v>0</v>
      </c>
      <c r="Z133" s="98">
        <f>'Supply planning data'!AB131</f>
        <v>0</v>
      </c>
      <c r="AA133" s="98">
        <f>'Supply planning data'!AC131</f>
        <v>0</v>
      </c>
      <c r="AB133" s="98">
        <f>'Supply planning data'!AD131</f>
        <v>0</v>
      </c>
      <c r="AC133" s="98">
        <f>'Supply planning data'!AE131</f>
        <v>0</v>
      </c>
      <c r="AD133" s="325" t="str">
        <f>'Supply planning data'!AF131</f>
        <v/>
      </c>
      <c r="AE133" s="98">
        <f>'Supply planning data'!AG131</f>
        <v>0</v>
      </c>
      <c r="AF133" s="317">
        <f>'Supply planning data'!AH131</f>
        <v>0</v>
      </c>
      <c r="AG133" s="175">
        <f>'Supply planning data'!AI131</f>
        <v>0</v>
      </c>
      <c r="AH133" s="98">
        <f>'Supply planning data'!AJ131</f>
        <v>0</v>
      </c>
      <c r="AI133" s="98">
        <f>'Supply planning data'!AK131</f>
        <v>0</v>
      </c>
      <c r="AJ133" s="98">
        <f>'Supply planning data'!AL131</f>
        <v>0</v>
      </c>
      <c r="AK133" s="98">
        <f>'Supply planning data'!AM131</f>
        <v>0</v>
      </c>
      <c r="AL133" s="98">
        <f>'Supply planning data'!AN131</f>
        <v>0</v>
      </c>
      <c r="AM133" s="325" t="str">
        <f>'Supply planning data'!AO131</f>
        <v/>
      </c>
    </row>
    <row r="134" spans="1:39" hidden="1" x14ac:dyDescent="0.25">
      <c r="A134" s="90" t="str">
        <f>'Supply planning data'!C132</f>
        <v/>
      </c>
      <c r="B134" s="296">
        <f>'Supply planning data'!D132</f>
        <v>44440</v>
      </c>
      <c r="C134" s="92" t="str">
        <f>'Supply planning data'!E132</f>
        <v>No</v>
      </c>
      <c r="D134" s="92">
        <f>'Supply planning data'!F132</f>
        <v>0</v>
      </c>
      <c r="E134" s="316">
        <f>'Supply planning data'!G132</f>
        <v>0</v>
      </c>
      <c r="F134" s="317">
        <f>'Supply planning data'!H132</f>
        <v>0</v>
      </c>
      <c r="G134" s="317">
        <f>'Supply planning data'!I132</f>
        <v>0</v>
      </c>
      <c r="H134" s="98">
        <f>'Supply planning data'!J132</f>
        <v>0</v>
      </c>
      <c r="I134" s="317">
        <f>'Supply planning data'!K132</f>
        <v>0</v>
      </c>
      <c r="J134" s="175" t="str">
        <f>'Supply planning data'!L132</f>
        <v/>
      </c>
      <c r="K134" s="98">
        <f>'Supply planning data'!M132</f>
        <v>0</v>
      </c>
      <c r="L134" s="317">
        <f>'Supply planning data'!N132+'Supply planning data'!P132</f>
        <v>0</v>
      </c>
      <c r="M134" s="339">
        <f>'Supply planning data'!O132</f>
        <v>0</v>
      </c>
      <c r="N134" s="317">
        <f>'Supply planning data'!P132</f>
        <v>0</v>
      </c>
      <c r="O134" s="339">
        <f>'Supply planning data'!Q132</f>
        <v>0</v>
      </c>
      <c r="P134" s="98">
        <f>'Supply planning data'!R132</f>
        <v>0</v>
      </c>
      <c r="Q134" s="98">
        <f>'Supply planning data'!S132</f>
        <v>0</v>
      </c>
      <c r="R134" s="98">
        <f>'Supply planning data'!T132</f>
        <v>0</v>
      </c>
      <c r="S134" s="98">
        <f>'Supply planning data'!U132</f>
        <v>0</v>
      </c>
      <c r="T134" s="98">
        <f>'Supply planning data'!V132</f>
        <v>0</v>
      </c>
      <c r="U134" s="325" t="str">
        <f>'Supply planning data'!W132</f>
        <v/>
      </c>
      <c r="V134" s="98">
        <f>'Supply planning data'!X132</f>
        <v>0</v>
      </c>
      <c r="W134" s="317">
        <f>'Supply planning data'!Y132</f>
        <v>0</v>
      </c>
      <c r="X134" s="328">
        <f>'Supply planning data'!Z132</f>
        <v>0</v>
      </c>
      <c r="Y134" s="98">
        <f>'Supply planning data'!AA132</f>
        <v>0</v>
      </c>
      <c r="Z134" s="98">
        <f>'Supply planning data'!AB132</f>
        <v>0</v>
      </c>
      <c r="AA134" s="98">
        <f>'Supply planning data'!AC132</f>
        <v>0</v>
      </c>
      <c r="AB134" s="98">
        <f>'Supply planning data'!AD132</f>
        <v>0</v>
      </c>
      <c r="AC134" s="98">
        <f>'Supply planning data'!AE132</f>
        <v>0</v>
      </c>
      <c r="AD134" s="325" t="str">
        <f>'Supply planning data'!AF132</f>
        <v/>
      </c>
      <c r="AE134" s="98">
        <f>'Supply planning data'!AG132</f>
        <v>0</v>
      </c>
      <c r="AF134" s="317">
        <f>'Supply planning data'!AH132</f>
        <v>0</v>
      </c>
      <c r="AG134" s="175">
        <f>'Supply planning data'!AI132</f>
        <v>0</v>
      </c>
      <c r="AH134" s="98">
        <f>'Supply planning data'!AJ132</f>
        <v>0</v>
      </c>
      <c r="AI134" s="98">
        <f>'Supply planning data'!AK132</f>
        <v>0</v>
      </c>
      <c r="AJ134" s="98">
        <f>'Supply planning data'!AL132</f>
        <v>0</v>
      </c>
      <c r="AK134" s="98">
        <f>'Supply planning data'!AM132</f>
        <v>0</v>
      </c>
      <c r="AL134" s="98">
        <f>'Supply planning data'!AN132</f>
        <v>0</v>
      </c>
      <c r="AM134" s="325" t="str">
        <f>'Supply planning data'!AO132</f>
        <v/>
      </c>
    </row>
    <row r="135" spans="1:39" hidden="1" x14ac:dyDescent="0.25">
      <c r="A135" s="90" t="str">
        <f>'Supply planning data'!C133</f>
        <v/>
      </c>
      <c r="B135" s="296">
        <f>'Supply planning data'!D133</f>
        <v>44440</v>
      </c>
      <c r="C135" s="92" t="str">
        <f>'Supply planning data'!E133</f>
        <v>No</v>
      </c>
      <c r="D135" s="92">
        <f>'Supply planning data'!F133</f>
        <v>0</v>
      </c>
      <c r="E135" s="316">
        <f>'Supply planning data'!G133</f>
        <v>0</v>
      </c>
      <c r="F135" s="317">
        <f>'Supply planning data'!H133</f>
        <v>0</v>
      </c>
      <c r="G135" s="317">
        <f>'Supply planning data'!I133</f>
        <v>0</v>
      </c>
      <c r="H135" s="98">
        <f>'Supply planning data'!J133</f>
        <v>0</v>
      </c>
      <c r="I135" s="317">
        <f>'Supply planning data'!K133</f>
        <v>0</v>
      </c>
      <c r="J135" s="175" t="str">
        <f>'Supply planning data'!L133</f>
        <v/>
      </c>
      <c r="K135" s="98">
        <f>'Supply planning data'!M133</f>
        <v>0</v>
      </c>
      <c r="L135" s="317">
        <f>'Supply planning data'!N133+'Supply planning data'!P133</f>
        <v>0</v>
      </c>
      <c r="M135" s="339">
        <f>'Supply planning data'!O133</f>
        <v>0</v>
      </c>
      <c r="N135" s="317">
        <f>'Supply planning data'!P133</f>
        <v>0</v>
      </c>
      <c r="O135" s="339">
        <f>'Supply planning data'!Q133</f>
        <v>0</v>
      </c>
      <c r="P135" s="98">
        <f>'Supply planning data'!R133</f>
        <v>0</v>
      </c>
      <c r="Q135" s="98">
        <f>'Supply planning data'!S133</f>
        <v>0</v>
      </c>
      <c r="R135" s="98">
        <f>'Supply planning data'!T133</f>
        <v>0</v>
      </c>
      <c r="S135" s="98">
        <f>'Supply planning data'!U133</f>
        <v>0</v>
      </c>
      <c r="T135" s="98">
        <f>'Supply planning data'!V133</f>
        <v>0</v>
      </c>
      <c r="U135" s="325" t="str">
        <f>'Supply planning data'!W133</f>
        <v/>
      </c>
      <c r="V135" s="98">
        <f>'Supply planning data'!X133</f>
        <v>0</v>
      </c>
      <c r="W135" s="317">
        <f>'Supply planning data'!Y133</f>
        <v>0</v>
      </c>
      <c r="X135" s="328">
        <f>'Supply planning data'!Z133</f>
        <v>0</v>
      </c>
      <c r="Y135" s="98">
        <f>'Supply planning data'!AA133</f>
        <v>0</v>
      </c>
      <c r="Z135" s="98">
        <f>'Supply planning data'!AB133</f>
        <v>0</v>
      </c>
      <c r="AA135" s="98">
        <f>'Supply planning data'!AC133</f>
        <v>0</v>
      </c>
      <c r="AB135" s="98">
        <f>'Supply planning data'!AD133</f>
        <v>0</v>
      </c>
      <c r="AC135" s="98">
        <f>'Supply planning data'!AE133</f>
        <v>0</v>
      </c>
      <c r="AD135" s="325" t="str">
        <f>'Supply planning data'!AF133</f>
        <v/>
      </c>
      <c r="AE135" s="98">
        <f>'Supply planning data'!AG133</f>
        <v>0</v>
      </c>
      <c r="AF135" s="317">
        <f>'Supply planning data'!AH133</f>
        <v>0</v>
      </c>
      <c r="AG135" s="175">
        <f>'Supply planning data'!AI133</f>
        <v>0</v>
      </c>
      <c r="AH135" s="98">
        <f>'Supply planning data'!AJ133</f>
        <v>0</v>
      </c>
      <c r="AI135" s="98">
        <f>'Supply planning data'!AK133</f>
        <v>0</v>
      </c>
      <c r="AJ135" s="98">
        <f>'Supply planning data'!AL133</f>
        <v>0</v>
      </c>
      <c r="AK135" s="98">
        <f>'Supply planning data'!AM133</f>
        <v>0</v>
      </c>
      <c r="AL135" s="98">
        <f>'Supply planning data'!AN133</f>
        <v>0</v>
      </c>
      <c r="AM135" s="325" t="str">
        <f>'Supply planning data'!AO133</f>
        <v/>
      </c>
    </row>
    <row r="136" spans="1:39" hidden="1" x14ac:dyDescent="0.25">
      <c r="A136" s="90" t="str">
        <f>'Supply planning data'!C134</f>
        <v/>
      </c>
      <c r="B136" s="296">
        <f>'Supply planning data'!D134</f>
        <v>44440</v>
      </c>
      <c r="C136" s="92" t="str">
        <f>'Supply planning data'!E134</f>
        <v>No</v>
      </c>
      <c r="D136" s="92">
        <f>'Supply planning data'!F134</f>
        <v>0</v>
      </c>
      <c r="E136" s="316">
        <f>'Supply planning data'!G134</f>
        <v>0</v>
      </c>
      <c r="F136" s="317">
        <f>'Supply planning data'!H134</f>
        <v>0</v>
      </c>
      <c r="G136" s="317">
        <f>'Supply planning data'!I134</f>
        <v>0</v>
      </c>
      <c r="H136" s="98">
        <f>'Supply planning data'!J134</f>
        <v>0</v>
      </c>
      <c r="I136" s="317">
        <f>'Supply planning data'!K134</f>
        <v>0</v>
      </c>
      <c r="J136" s="175" t="str">
        <f>'Supply planning data'!L134</f>
        <v/>
      </c>
      <c r="K136" s="98">
        <f>'Supply planning data'!M134</f>
        <v>0</v>
      </c>
      <c r="L136" s="317">
        <f>'Supply planning data'!N134+'Supply planning data'!P134</f>
        <v>0</v>
      </c>
      <c r="M136" s="339">
        <f>'Supply planning data'!O134</f>
        <v>0</v>
      </c>
      <c r="N136" s="317">
        <f>'Supply planning data'!P134</f>
        <v>0</v>
      </c>
      <c r="O136" s="339">
        <f>'Supply planning data'!Q134</f>
        <v>0</v>
      </c>
      <c r="P136" s="98">
        <f>'Supply planning data'!R134</f>
        <v>0</v>
      </c>
      <c r="Q136" s="98">
        <f>'Supply planning data'!S134</f>
        <v>0</v>
      </c>
      <c r="R136" s="98">
        <f>'Supply planning data'!T134</f>
        <v>0</v>
      </c>
      <c r="S136" s="98">
        <f>'Supply planning data'!U134</f>
        <v>0</v>
      </c>
      <c r="T136" s="98">
        <f>'Supply planning data'!V134</f>
        <v>0</v>
      </c>
      <c r="U136" s="325" t="str">
        <f>'Supply planning data'!W134</f>
        <v/>
      </c>
      <c r="V136" s="98">
        <f>'Supply planning data'!X134</f>
        <v>0</v>
      </c>
      <c r="W136" s="317">
        <f>'Supply planning data'!Y134</f>
        <v>0</v>
      </c>
      <c r="X136" s="328">
        <f>'Supply planning data'!Z134</f>
        <v>0</v>
      </c>
      <c r="Y136" s="98">
        <f>'Supply planning data'!AA134</f>
        <v>0</v>
      </c>
      <c r="Z136" s="98">
        <f>'Supply planning data'!AB134</f>
        <v>0</v>
      </c>
      <c r="AA136" s="98">
        <f>'Supply planning data'!AC134</f>
        <v>0</v>
      </c>
      <c r="AB136" s="98">
        <f>'Supply planning data'!AD134</f>
        <v>0</v>
      </c>
      <c r="AC136" s="98">
        <f>'Supply planning data'!AE134</f>
        <v>0</v>
      </c>
      <c r="AD136" s="325" t="str">
        <f>'Supply planning data'!AF134</f>
        <v/>
      </c>
      <c r="AE136" s="98">
        <f>'Supply planning data'!AG134</f>
        <v>0</v>
      </c>
      <c r="AF136" s="317">
        <f>'Supply planning data'!AH134</f>
        <v>0</v>
      </c>
      <c r="AG136" s="175">
        <f>'Supply planning data'!AI134</f>
        <v>0</v>
      </c>
      <c r="AH136" s="98">
        <f>'Supply planning data'!AJ134</f>
        <v>0</v>
      </c>
      <c r="AI136" s="98">
        <f>'Supply planning data'!AK134</f>
        <v>0</v>
      </c>
      <c r="AJ136" s="98">
        <f>'Supply planning data'!AL134</f>
        <v>0</v>
      </c>
      <c r="AK136" s="98">
        <f>'Supply planning data'!AM134</f>
        <v>0</v>
      </c>
      <c r="AL136" s="98">
        <f>'Supply planning data'!AN134</f>
        <v>0</v>
      </c>
      <c r="AM136" s="325" t="str">
        <f>'Supply planning data'!AO134</f>
        <v/>
      </c>
    </row>
    <row r="137" spans="1:39" hidden="1" x14ac:dyDescent="0.25">
      <c r="A137" s="90" t="str">
        <f>'Supply planning data'!C135</f>
        <v/>
      </c>
      <c r="B137" s="296">
        <f>'Supply planning data'!D135</f>
        <v>44440</v>
      </c>
      <c r="C137" s="92" t="str">
        <f>'Supply planning data'!E135</f>
        <v>No</v>
      </c>
      <c r="D137" s="92">
        <f>'Supply planning data'!F135</f>
        <v>0</v>
      </c>
      <c r="E137" s="316">
        <f>'Supply planning data'!G135</f>
        <v>0</v>
      </c>
      <c r="F137" s="317">
        <f>'Supply planning data'!H135</f>
        <v>0</v>
      </c>
      <c r="G137" s="317">
        <f>'Supply planning data'!I135</f>
        <v>0</v>
      </c>
      <c r="H137" s="98">
        <f>'Supply planning data'!J135</f>
        <v>0</v>
      </c>
      <c r="I137" s="317">
        <f>'Supply planning data'!K135</f>
        <v>0</v>
      </c>
      <c r="J137" s="175" t="str">
        <f>'Supply planning data'!L135</f>
        <v/>
      </c>
      <c r="K137" s="98">
        <f>'Supply planning data'!M135</f>
        <v>0</v>
      </c>
      <c r="L137" s="317">
        <f>'Supply planning data'!N135+'Supply planning data'!P135</f>
        <v>0</v>
      </c>
      <c r="M137" s="339">
        <f>'Supply planning data'!O135</f>
        <v>0</v>
      </c>
      <c r="N137" s="317">
        <f>'Supply planning data'!P135</f>
        <v>0</v>
      </c>
      <c r="O137" s="339">
        <f>'Supply planning data'!Q135</f>
        <v>0</v>
      </c>
      <c r="P137" s="98">
        <f>'Supply planning data'!R135</f>
        <v>0</v>
      </c>
      <c r="Q137" s="98">
        <f>'Supply planning data'!S135</f>
        <v>0</v>
      </c>
      <c r="R137" s="98">
        <f>'Supply planning data'!T135</f>
        <v>0</v>
      </c>
      <c r="S137" s="98">
        <f>'Supply planning data'!U135</f>
        <v>0</v>
      </c>
      <c r="T137" s="98">
        <f>'Supply planning data'!V135</f>
        <v>0</v>
      </c>
      <c r="U137" s="325" t="str">
        <f>'Supply planning data'!W135</f>
        <v/>
      </c>
      <c r="V137" s="98">
        <f>'Supply planning data'!X135</f>
        <v>0</v>
      </c>
      <c r="W137" s="317">
        <f>'Supply planning data'!Y135</f>
        <v>0</v>
      </c>
      <c r="X137" s="328">
        <f>'Supply planning data'!Z135</f>
        <v>0</v>
      </c>
      <c r="Y137" s="98">
        <f>'Supply planning data'!AA135</f>
        <v>0</v>
      </c>
      <c r="Z137" s="98">
        <f>'Supply planning data'!AB135</f>
        <v>0</v>
      </c>
      <c r="AA137" s="98">
        <f>'Supply planning data'!AC135</f>
        <v>0</v>
      </c>
      <c r="AB137" s="98">
        <f>'Supply planning data'!AD135</f>
        <v>0</v>
      </c>
      <c r="AC137" s="98">
        <f>'Supply planning data'!AE135</f>
        <v>0</v>
      </c>
      <c r="AD137" s="325" t="str">
        <f>'Supply planning data'!AF135</f>
        <v/>
      </c>
      <c r="AE137" s="98">
        <f>'Supply planning data'!AG135</f>
        <v>0</v>
      </c>
      <c r="AF137" s="317">
        <f>'Supply planning data'!AH135</f>
        <v>0</v>
      </c>
      <c r="AG137" s="175">
        <f>'Supply planning data'!AI135</f>
        <v>0</v>
      </c>
      <c r="AH137" s="98">
        <f>'Supply planning data'!AJ135</f>
        <v>0</v>
      </c>
      <c r="AI137" s="98">
        <f>'Supply planning data'!AK135</f>
        <v>0</v>
      </c>
      <c r="AJ137" s="98">
        <f>'Supply planning data'!AL135</f>
        <v>0</v>
      </c>
      <c r="AK137" s="98">
        <f>'Supply planning data'!AM135</f>
        <v>0</v>
      </c>
      <c r="AL137" s="98">
        <f>'Supply planning data'!AN135</f>
        <v>0</v>
      </c>
      <c r="AM137" s="325" t="str">
        <f>'Supply planning data'!AO135</f>
        <v/>
      </c>
    </row>
    <row r="138" spans="1:39" hidden="1" x14ac:dyDescent="0.25">
      <c r="A138" s="90" t="str">
        <f>'Supply planning data'!C136</f>
        <v/>
      </c>
      <c r="B138" s="296">
        <f>'Supply planning data'!D136</f>
        <v>44440</v>
      </c>
      <c r="C138" s="92" t="str">
        <f>'Supply planning data'!E136</f>
        <v>No</v>
      </c>
      <c r="D138" s="92">
        <f>'Supply planning data'!F136</f>
        <v>0</v>
      </c>
      <c r="E138" s="316">
        <f>'Supply planning data'!G136</f>
        <v>0</v>
      </c>
      <c r="F138" s="317">
        <f>'Supply planning data'!H136</f>
        <v>0</v>
      </c>
      <c r="G138" s="317">
        <f>'Supply planning data'!I136</f>
        <v>0</v>
      </c>
      <c r="H138" s="98">
        <f>'Supply planning data'!J136</f>
        <v>0</v>
      </c>
      <c r="I138" s="317">
        <f>'Supply planning data'!K136</f>
        <v>0</v>
      </c>
      <c r="J138" s="175" t="str">
        <f>'Supply planning data'!L136</f>
        <v/>
      </c>
      <c r="K138" s="98">
        <f>'Supply planning data'!M136</f>
        <v>0</v>
      </c>
      <c r="L138" s="317">
        <f>'Supply planning data'!N136+'Supply planning data'!P136</f>
        <v>0</v>
      </c>
      <c r="M138" s="339">
        <f>'Supply planning data'!O136</f>
        <v>0</v>
      </c>
      <c r="N138" s="317">
        <f>'Supply planning data'!P136</f>
        <v>0</v>
      </c>
      <c r="O138" s="339">
        <f>'Supply planning data'!Q136</f>
        <v>0</v>
      </c>
      <c r="P138" s="98">
        <f>'Supply planning data'!R136</f>
        <v>0</v>
      </c>
      <c r="Q138" s="98">
        <f>'Supply planning data'!S136</f>
        <v>0</v>
      </c>
      <c r="R138" s="98">
        <f>'Supply planning data'!T136</f>
        <v>0</v>
      </c>
      <c r="S138" s="98">
        <f>'Supply planning data'!U136</f>
        <v>0</v>
      </c>
      <c r="T138" s="98">
        <f>'Supply planning data'!V136</f>
        <v>0</v>
      </c>
      <c r="U138" s="325" t="str">
        <f>'Supply planning data'!W136</f>
        <v/>
      </c>
      <c r="V138" s="98">
        <f>'Supply planning data'!X136</f>
        <v>0</v>
      </c>
      <c r="W138" s="317">
        <f>'Supply planning data'!Y136</f>
        <v>0</v>
      </c>
      <c r="X138" s="328">
        <f>'Supply planning data'!Z136</f>
        <v>0</v>
      </c>
      <c r="Y138" s="98">
        <f>'Supply planning data'!AA136</f>
        <v>0</v>
      </c>
      <c r="Z138" s="98">
        <f>'Supply planning data'!AB136</f>
        <v>0</v>
      </c>
      <c r="AA138" s="98">
        <f>'Supply planning data'!AC136</f>
        <v>0</v>
      </c>
      <c r="AB138" s="98">
        <f>'Supply planning data'!AD136</f>
        <v>0</v>
      </c>
      <c r="AC138" s="98">
        <f>'Supply planning data'!AE136</f>
        <v>0</v>
      </c>
      <c r="AD138" s="325" t="str">
        <f>'Supply planning data'!AF136</f>
        <v/>
      </c>
      <c r="AE138" s="98">
        <f>'Supply planning data'!AG136</f>
        <v>0</v>
      </c>
      <c r="AF138" s="317">
        <f>'Supply planning data'!AH136</f>
        <v>0</v>
      </c>
      <c r="AG138" s="175">
        <f>'Supply planning data'!AI136</f>
        <v>0</v>
      </c>
      <c r="AH138" s="98">
        <f>'Supply planning data'!AJ136</f>
        <v>0</v>
      </c>
      <c r="AI138" s="98">
        <f>'Supply planning data'!AK136</f>
        <v>0</v>
      </c>
      <c r="AJ138" s="98">
        <f>'Supply planning data'!AL136</f>
        <v>0</v>
      </c>
      <c r="AK138" s="98">
        <f>'Supply planning data'!AM136</f>
        <v>0</v>
      </c>
      <c r="AL138" s="98">
        <f>'Supply planning data'!AN136</f>
        <v>0</v>
      </c>
      <c r="AM138" s="325" t="str">
        <f>'Supply planning data'!AO136</f>
        <v/>
      </c>
    </row>
    <row r="139" spans="1:39" hidden="1" x14ac:dyDescent="0.25">
      <c r="A139" s="90" t="str">
        <f>'Supply planning data'!C137</f>
        <v/>
      </c>
      <c r="B139" s="296">
        <f>'Supply planning data'!D137</f>
        <v>44440</v>
      </c>
      <c r="C139" s="92" t="str">
        <f>'Supply planning data'!E137</f>
        <v>No</v>
      </c>
      <c r="D139" s="92">
        <f>'Supply planning data'!F137</f>
        <v>0</v>
      </c>
      <c r="E139" s="316">
        <f>'Supply planning data'!G137</f>
        <v>0</v>
      </c>
      <c r="F139" s="317">
        <f>'Supply planning data'!H137</f>
        <v>0</v>
      </c>
      <c r="G139" s="317">
        <f>'Supply planning data'!I137</f>
        <v>0</v>
      </c>
      <c r="H139" s="98">
        <f>'Supply planning data'!J137</f>
        <v>0</v>
      </c>
      <c r="I139" s="317">
        <f>'Supply planning data'!K137</f>
        <v>0</v>
      </c>
      <c r="J139" s="175" t="str">
        <f>'Supply planning data'!L137</f>
        <v/>
      </c>
      <c r="K139" s="98">
        <f>'Supply planning data'!M137</f>
        <v>0</v>
      </c>
      <c r="L139" s="317">
        <f>'Supply planning data'!N137+'Supply planning data'!P137</f>
        <v>0</v>
      </c>
      <c r="M139" s="339">
        <f>'Supply planning data'!O137</f>
        <v>0</v>
      </c>
      <c r="N139" s="317">
        <f>'Supply planning data'!P137</f>
        <v>0</v>
      </c>
      <c r="O139" s="339">
        <f>'Supply planning data'!Q137</f>
        <v>0</v>
      </c>
      <c r="P139" s="98">
        <f>'Supply planning data'!R137</f>
        <v>0</v>
      </c>
      <c r="Q139" s="98">
        <f>'Supply planning data'!S137</f>
        <v>0</v>
      </c>
      <c r="R139" s="98">
        <f>'Supply planning data'!T137</f>
        <v>0</v>
      </c>
      <c r="S139" s="98">
        <f>'Supply planning data'!U137</f>
        <v>0</v>
      </c>
      <c r="T139" s="98">
        <f>'Supply planning data'!V137</f>
        <v>0</v>
      </c>
      <c r="U139" s="325" t="str">
        <f>'Supply planning data'!W137</f>
        <v/>
      </c>
      <c r="V139" s="98">
        <f>'Supply planning data'!X137</f>
        <v>0</v>
      </c>
      <c r="W139" s="317">
        <f>'Supply planning data'!Y137</f>
        <v>0</v>
      </c>
      <c r="X139" s="328">
        <f>'Supply planning data'!Z137</f>
        <v>0</v>
      </c>
      <c r="Y139" s="98">
        <f>'Supply planning data'!AA137</f>
        <v>0</v>
      </c>
      <c r="Z139" s="98">
        <f>'Supply planning data'!AB137</f>
        <v>0</v>
      </c>
      <c r="AA139" s="98">
        <f>'Supply planning data'!AC137</f>
        <v>0</v>
      </c>
      <c r="AB139" s="98">
        <f>'Supply planning data'!AD137</f>
        <v>0</v>
      </c>
      <c r="AC139" s="98">
        <f>'Supply planning data'!AE137</f>
        <v>0</v>
      </c>
      <c r="AD139" s="325" t="str">
        <f>'Supply planning data'!AF137</f>
        <v/>
      </c>
      <c r="AE139" s="98">
        <f>'Supply planning data'!AG137</f>
        <v>0</v>
      </c>
      <c r="AF139" s="317">
        <f>'Supply planning data'!AH137</f>
        <v>0</v>
      </c>
      <c r="AG139" s="175">
        <f>'Supply planning data'!AI137</f>
        <v>0</v>
      </c>
      <c r="AH139" s="98">
        <f>'Supply planning data'!AJ137</f>
        <v>0</v>
      </c>
      <c r="AI139" s="98">
        <f>'Supply planning data'!AK137</f>
        <v>0</v>
      </c>
      <c r="AJ139" s="98">
        <f>'Supply planning data'!AL137</f>
        <v>0</v>
      </c>
      <c r="AK139" s="98">
        <f>'Supply planning data'!AM137</f>
        <v>0</v>
      </c>
      <c r="AL139" s="98">
        <f>'Supply planning data'!AN137</f>
        <v>0</v>
      </c>
      <c r="AM139" s="325" t="str">
        <f>'Supply planning data'!AO137</f>
        <v/>
      </c>
    </row>
    <row r="140" spans="1:39" hidden="1" x14ac:dyDescent="0.25">
      <c r="A140" s="90" t="str">
        <f>'Supply planning data'!C138</f>
        <v/>
      </c>
      <c r="B140" s="296">
        <f>'Supply planning data'!D138</f>
        <v>44440</v>
      </c>
      <c r="C140" s="92" t="str">
        <f>'Supply planning data'!E138</f>
        <v>No</v>
      </c>
      <c r="D140" s="92">
        <f>'Supply planning data'!F138</f>
        <v>0</v>
      </c>
      <c r="E140" s="316">
        <f>'Supply planning data'!G138</f>
        <v>0</v>
      </c>
      <c r="F140" s="317">
        <f>'Supply planning data'!H138</f>
        <v>0</v>
      </c>
      <c r="G140" s="317">
        <f>'Supply planning data'!I138</f>
        <v>0</v>
      </c>
      <c r="H140" s="98">
        <f>'Supply planning data'!J138</f>
        <v>0</v>
      </c>
      <c r="I140" s="317">
        <f>'Supply planning data'!K138</f>
        <v>0</v>
      </c>
      <c r="J140" s="175" t="str">
        <f>'Supply planning data'!L138</f>
        <v/>
      </c>
      <c r="K140" s="98">
        <f>'Supply planning data'!M138</f>
        <v>0</v>
      </c>
      <c r="L140" s="317">
        <f>'Supply planning data'!N138+'Supply planning data'!P138</f>
        <v>0</v>
      </c>
      <c r="M140" s="339">
        <f>'Supply planning data'!O138</f>
        <v>0</v>
      </c>
      <c r="N140" s="317">
        <f>'Supply planning data'!P138</f>
        <v>0</v>
      </c>
      <c r="O140" s="339">
        <f>'Supply planning data'!Q138</f>
        <v>0</v>
      </c>
      <c r="P140" s="98">
        <f>'Supply planning data'!R138</f>
        <v>0</v>
      </c>
      <c r="Q140" s="98">
        <f>'Supply planning data'!S138</f>
        <v>0</v>
      </c>
      <c r="R140" s="98">
        <f>'Supply planning data'!T138</f>
        <v>0</v>
      </c>
      <c r="S140" s="98">
        <f>'Supply planning data'!U138</f>
        <v>0</v>
      </c>
      <c r="T140" s="98">
        <f>'Supply planning data'!V138</f>
        <v>0</v>
      </c>
      <c r="U140" s="325" t="str">
        <f>'Supply planning data'!W138</f>
        <v/>
      </c>
      <c r="V140" s="98">
        <f>'Supply planning data'!X138</f>
        <v>0</v>
      </c>
      <c r="W140" s="317">
        <f>'Supply planning data'!Y138</f>
        <v>0</v>
      </c>
      <c r="X140" s="328">
        <f>'Supply planning data'!Z138</f>
        <v>0</v>
      </c>
      <c r="Y140" s="98">
        <f>'Supply planning data'!AA138</f>
        <v>0</v>
      </c>
      <c r="Z140" s="98">
        <f>'Supply planning data'!AB138</f>
        <v>0</v>
      </c>
      <c r="AA140" s="98">
        <f>'Supply planning data'!AC138</f>
        <v>0</v>
      </c>
      <c r="AB140" s="98">
        <f>'Supply planning data'!AD138</f>
        <v>0</v>
      </c>
      <c r="AC140" s="98">
        <f>'Supply planning data'!AE138</f>
        <v>0</v>
      </c>
      <c r="AD140" s="325" t="str">
        <f>'Supply planning data'!AF138</f>
        <v/>
      </c>
      <c r="AE140" s="98">
        <f>'Supply planning data'!AG138</f>
        <v>0</v>
      </c>
      <c r="AF140" s="317">
        <f>'Supply planning data'!AH138</f>
        <v>0</v>
      </c>
      <c r="AG140" s="175">
        <f>'Supply planning data'!AI138</f>
        <v>0</v>
      </c>
      <c r="AH140" s="98">
        <f>'Supply planning data'!AJ138</f>
        <v>0</v>
      </c>
      <c r="AI140" s="98">
        <f>'Supply planning data'!AK138</f>
        <v>0</v>
      </c>
      <c r="AJ140" s="98">
        <f>'Supply planning data'!AL138</f>
        <v>0</v>
      </c>
      <c r="AK140" s="98">
        <f>'Supply planning data'!AM138</f>
        <v>0</v>
      </c>
      <c r="AL140" s="98">
        <f>'Supply planning data'!AN138</f>
        <v>0</v>
      </c>
      <c r="AM140" s="325" t="str">
        <f>'Supply planning data'!AO138</f>
        <v/>
      </c>
    </row>
    <row r="141" spans="1:39" hidden="1" x14ac:dyDescent="0.25">
      <c r="A141" s="90" t="str">
        <f>'Supply planning data'!C139</f>
        <v/>
      </c>
      <c r="B141" s="296">
        <f>'Supply planning data'!D139</f>
        <v>44440</v>
      </c>
      <c r="C141" s="92" t="str">
        <f>'Supply planning data'!E139</f>
        <v>No</v>
      </c>
      <c r="D141" s="92">
        <f>'Supply planning data'!F139</f>
        <v>0</v>
      </c>
      <c r="E141" s="316">
        <f>'Supply planning data'!G139</f>
        <v>0</v>
      </c>
      <c r="F141" s="317">
        <f>'Supply planning data'!H139</f>
        <v>0</v>
      </c>
      <c r="G141" s="317">
        <f>'Supply planning data'!I139</f>
        <v>0</v>
      </c>
      <c r="H141" s="98">
        <f>'Supply planning data'!J139</f>
        <v>0</v>
      </c>
      <c r="I141" s="317">
        <f>'Supply planning data'!K139</f>
        <v>0</v>
      </c>
      <c r="J141" s="175" t="str">
        <f>'Supply planning data'!L139</f>
        <v/>
      </c>
      <c r="K141" s="98">
        <f>'Supply planning data'!M139</f>
        <v>0</v>
      </c>
      <c r="L141" s="317">
        <f>'Supply planning data'!N139+'Supply planning data'!P139</f>
        <v>0</v>
      </c>
      <c r="M141" s="339">
        <f>'Supply planning data'!O139</f>
        <v>0</v>
      </c>
      <c r="N141" s="317">
        <f>'Supply planning data'!P139</f>
        <v>0</v>
      </c>
      <c r="O141" s="339">
        <f>'Supply planning data'!Q139</f>
        <v>0</v>
      </c>
      <c r="P141" s="98">
        <f>'Supply planning data'!R139</f>
        <v>0</v>
      </c>
      <c r="Q141" s="98">
        <f>'Supply planning data'!S139</f>
        <v>0</v>
      </c>
      <c r="R141" s="98">
        <f>'Supply planning data'!T139</f>
        <v>0</v>
      </c>
      <c r="S141" s="98">
        <f>'Supply planning data'!U139</f>
        <v>0</v>
      </c>
      <c r="T141" s="98">
        <f>'Supply planning data'!V139</f>
        <v>0</v>
      </c>
      <c r="U141" s="325" t="str">
        <f>'Supply planning data'!W139</f>
        <v/>
      </c>
      <c r="V141" s="98">
        <f>'Supply planning data'!X139</f>
        <v>0</v>
      </c>
      <c r="W141" s="317">
        <f>'Supply planning data'!Y139</f>
        <v>0</v>
      </c>
      <c r="X141" s="328">
        <f>'Supply planning data'!Z139</f>
        <v>0</v>
      </c>
      <c r="Y141" s="98">
        <f>'Supply planning data'!AA139</f>
        <v>0</v>
      </c>
      <c r="Z141" s="98">
        <f>'Supply planning data'!AB139</f>
        <v>0</v>
      </c>
      <c r="AA141" s="98">
        <f>'Supply planning data'!AC139</f>
        <v>0</v>
      </c>
      <c r="AB141" s="98">
        <f>'Supply planning data'!AD139</f>
        <v>0</v>
      </c>
      <c r="AC141" s="98">
        <f>'Supply planning data'!AE139</f>
        <v>0</v>
      </c>
      <c r="AD141" s="325" t="str">
        <f>'Supply planning data'!AF139</f>
        <v/>
      </c>
      <c r="AE141" s="98">
        <f>'Supply planning data'!AG139</f>
        <v>0</v>
      </c>
      <c r="AF141" s="317">
        <f>'Supply planning data'!AH139</f>
        <v>0</v>
      </c>
      <c r="AG141" s="175">
        <f>'Supply planning data'!AI139</f>
        <v>0</v>
      </c>
      <c r="AH141" s="98">
        <f>'Supply planning data'!AJ139</f>
        <v>0</v>
      </c>
      <c r="AI141" s="98">
        <f>'Supply planning data'!AK139</f>
        <v>0</v>
      </c>
      <c r="AJ141" s="98">
        <f>'Supply planning data'!AL139</f>
        <v>0</v>
      </c>
      <c r="AK141" s="98">
        <f>'Supply planning data'!AM139</f>
        <v>0</v>
      </c>
      <c r="AL141" s="98">
        <f>'Supply planning data'!AN139</f>
        <v>0</v>
      </c>
      <c r="AM141" s="325" t="str">
        <f>'Supply planning data'!AO139</f>
        <v/>
      </c>
    </row>
    <row r="142" spans="1:39" x14ac:dyDescent="0.25">
      <c r="A142" s="104" t="str">
        <f>'Supply planning data'!C140</f>
        <v>AstraZeneca</v>
      </c>
      <c r="B142" s="298">
        <f>'Supply planning data'!D140</f>
        <v>44470</v>
      </c>
      <c r="C142" s="105" t="str">
        <f>'Supply planning data'!E140</f>
        <v>Yes</v>
      </c>
      <c r="D142" s="105">
        <f>'Supply planning data'!F140</f>
        <v>0</v>
      </c>
      <c r="E142" s="320">
        <f>'Supply planning data'!G140</f>
        <v>59096</v>
      </c>
      <c r="F142" s="320">
        <f>'Supply planning data'!H140</f>
        <v>56984</v>
      </c>
      <c r="G142" s="320">
        <f>'Supply planning data'!I140</f>
        <v>0</v>
      </c>
      <c r="H142" s="105">
        <f>'Supply planning data'!J140</f>
        <v>116080</v>
      </c>
      <c r="I142" s="320">
        <f>'Supply planning data'!K140</f>
        <v>0</v>
      </c>
      <c r="J142" s="177">
        <f>'Supply planning data'!L140</f>
        <v>0</v>
      </c>
      <c r="K142" s="105">
        <f>'Supply planning data'!M140</f>
        <v>116080</v>
      </c>
      <c r="L142" s="320">
        <f>'Supply planning data'!N140+'Supply planning data'!P140</f>
        <v>0</v>
      </c>
      <c r="M142" s="341">
        <f>'Supply planning data'!O140</f>
        <v>0</v>
      </c>
      <c r="N142" s="320">
        <f>'Supply planning data'!P140</f>
        <v>0</v>
      </c>
      <c r="O142" s="341">
        <f>'Supply planning data'!Q140</f>
        <v>0</v>
      </c>
      <c r="P142" s="105">
        <f>'Supply planning data'!R140</f>
        <v>0</v>
      </c>
      <c r="Q142" s="105">
        <f>'Supply planning data'!S140</f>
        <v>0</v>
      </c>
      <c r="R142" s="105">
        <f>'Supply planning data'!T140</f>
        <v>0</v>
      </c>
      <c r="S142" s="105">
        <f>'Supply planning data'!U140</f>
        <v>0</v>
      </c>
      <c r="T142" s="105">
        <f>'Supply planning data'!V140</f>
        <v>0</v>
      </c>
      <c r="U142" s="326">
        <f>'Supply planning data'!W140</f>
        <v>0</v>
      </c>
      <c r="V142" s="105">
        <f>'Supply planning data'!X140</f>
        <v>906400</v>
      </c>
      <c r="W142" s="320">
        <f>'Supply planning data'!Y140</f>
        <v>0</v>
      </c>
      <c r="X142" s="329">
        <f>'Supply planning data'!Z140</f>
        <v>0</v>
      </c>
      <c r="Y142" s="105">
        <f>'Supply planning data'!AA140</f>
        <v>0</v>
      </c>
      <c r="Z142" s="105">
        <f>'Supply planning data'!AB140</f>
        <v>0</v>
      </c>
      <c r="AA142" s="105">
        <f>'Supply planning data'!AC140</f>
        <v>0</v>
      </c>
      <c r="AB142" s="105">
        <f>'Supply planning data'!AD140</f>
        <v>0</v>
      </c>
      <c r="AC142" s="105">
        <f>'Supply planning data'!AE140</f>
        <v>790320</v>
      </c>
      <c r="AD142" s="326">
        <f>'Supply planning data'!AF140</f>
        <v>6.9979870486355029</v>
      </c>
      <c r="AE142" s="105">
        <f>'Supply planning data'!AG140</f>
        <v>0</v>
      </c>
      <c r="AF142" s="320">
        <f>'Supply planning data'!AH140</f>
        <v>0</v>
      </c>
      <c r="AG142" s="177">
        <f>'Supply planning data'!AI140</f>
        <v>0</v>
      </c>
      <c r="AH142" s="105">
        <f>'Supply planning data'!AJ140</f>
        <v>0</v>
      </c>
      <c r="AI142" s="105">
        <f>'Supply planning data'!AK140</f>
        <v>0</v>
      </c>
      <c r="AJ142" s="105">
        <f>'Supply planning data'!AL140</f>
        <v>0</v>
      </c>
      <c r="AK142" s="105">
        <f>'Supply planning data'!AM140</f>
        <v>0</v>
      </c>
      <c r="AL142" s="105">
        <f>'Supply planning data'!AN140</f>
        <v>0</v>
      </c>
      <c r="AM142" s="326">
        <f>'Supply planning data'!AO140</f>
        <v>0</v>
      </c>
    </row>
    <row r="143" spans="1:39" x14ac:dyDescent="0.25">
      <c r="A143" s="109" t="str">
        <f>'Supply planning data'!C141</f>
        <v>Jansen</v>
      </c>
      <c r="B143" s="298">
        <f>'Supply planning data'!D141</f>
        <v>44470</v>
      </c>
      <c r="C143" s="105" t="str">
        <f>'Supply planning data'!E141</f>
        <v>Yes</v>
      </c>
      <c r="D143" s="105">
        <f>'Supply planning data'!F141</f>
        <v>246117</v>
      </c>
      <c r="E143" s="320">
        <f>'Supply planning data'!G141</f>
        <v>166228</v>
      </c>
      <c r="F143" s="320">
        <f>'Supply planning data'!H141</f>
        <v>0</v>
      </c>
      <c r="G143" s="320">
        <f>'Supply planning data'!I141</f>
        <v>0</v>
      </c>
      <c r="H143" s="105">
        <f>'Supply planning data'!J141</f>
        <v>166228</v>
      </c>
      <c r="I143" s="320">
        <f>'Supply planning data'!K141</f>
        <v>0</v>
      </c>
      <c r="J143" s="177">
        <f>'Supply planning data'!L141</f>
        <v>0</v>
      </c>
      <c r="K143" s="105">
        <f>'Supply planning data'!M141</f>
        <v>166228</v>
      </c>
      <c r="L143" s="321">
        <f>'Supply planning data'!N141+'Supply planning data'!P141</f>
        <v>0</v>
      </c>
      <c r="M143" s="342">
        <f>'Supply planning data'!O141</f>
        <v>0</v>
      </c>
      <c r="N143" s="321">
        <f>'Supply planning data'!P141</f>
        <v>0</v>
      </c>
      <c r="O143" s="342">
        <f>'Supply planning data'!Q141</f>
        <v>0</v>
      </c>
      <c r="P143" s="111">
        <f>'Supply planning data'!R141</f>
        <v>0</v>
      </c>
      <c r="Q143" s="111">
        <f>'Supply planning data'!S141</f>
        <v>0</v>
      </c>
      <c r="R143" s="111">
        <f>'Supply planning data'!T141</f>
        <v>0</v>
      </c>
      <c r="S143" s="111">
        <f>'Supply planning data'!U141</f>
        <v>0</v>
      </c>
      <c r="T143" s="111">
        <f>'Supply planning data'!V141</f>
        <v>79889</v>
      </c>
      <c r="U143" s="327">
        <f>'Supply planning data'!W141</f>
        <v>1.0761345420747066</v>
      </c>
      <c r="V143" s="111">
        <f>'Supply planning data'!X141</f>
        <v>246117</v>
      </c>
      <c r="W143" s="321">
        <f>'Supply planning data'!Y141</f>
        <v>0</v>
      </c>
      <c r="X143" s="329">
        <f>'Supply planning data'!Z141</f>
        <v>0</v>
      </c>
      <c r="Y143" s="111">
        <f>'Supply planning data'!AA141</f>
        <v>0</v>
      </c>
      <c r="Z143" s="111">
        <f>'Supply planning data'!AB141</f>
        <v>0</v>
      </c>
      <c r="AA143" s="111">
        <f>'Supply planning data'!AC141</f>
        <v>0</v>
      </c>
      <c r="AB143" s="111">
        <f>'Supply planning data'!AD141</f>
        <v>0</v>
      </c>
      <c r="AC143" s="111">
        <f>'Supply planning data'!AE141</f>
        <v>79889</v>
      </c>
      <c r="AD143" s="327">
        <f>'Supply planning data'!AF141</f>
        <v>0.25809887290999434</v>
      </c>
      <c r="AE143" s="111">
        <f>'Supply planning data'!AG141</f>
        <v>246117</v>
      </c>
      <c r="AF143" s="321">
        <f>'Supply planning data'!AH141</f>
        <v>0</v>
      </c>
      <c r="AG143" s="349">
        <f>'Supply planning data'!AI141</f>
        <v>0</v>
      </c>
      <c r="AH143" s="111">
        <f>'Supply planning data'!AJ141</f>
        <v>0</v>
      </c>
      <c r="AI143" s="111">
        <f>'Supply planning data'!AK141</f>
        <v>0</v>
      </c>
      <c r="AJ143" s="111">
        <f>'Supply planning data'!AL141</f>
        <v>0</v>
      </c>
      <c r="AK143" s="111">
        <f>'Supply planning data'!AM141</f>
        <v>0</v>
      </c>
      <c r="AL143" s="111">
        <f>'Supply planning data'!AN141</f>
        <v>79889</v>
      </c>
      <c r="AM143" s="327">
        <f>'Supply planning data'!AO141</f>
        <v>0.25809887290999434</v>
      </c>
    </row>
    <row r="144" spans="1:39" x14ac:dyDescent="0.25">
      <c r="A144" s="104" t="str">
        <f>'Supply planning data'!C142</f>
        <v>Moderna</v>
      </c>
      <c r="B144" s="298">
        <f>'Supply planning data'!D142</f>
        <v>44470</v>
      </c>
      <c r="C144" s="105" t="str">
        <f>'Supply planning data'!E142</f>
        <v>No</v>
      </c>
      <c r="D144" s="105">
        <f>'Supply planning data'!F142</f>
        <v>0</v>
      </c>
      <c r="E144" s="320">
        <f>'Supply planning data'!G142</f>
        <v>0</v>
      </c>
      <c r="F144" s="320">
        <f>'Supply planning data'!H142</f>
        <v>0</v>
      </c>
      <c r="G144" s="320">
        <f>'Supply planning data'!I142</f>
        <v>0</v>
      </c>
      <c r="H144" s="105">
        <f>'Supply planning data'!J142</f>
        <v>0</v>
      </c>
      <c r="I144" s="320">
        <f>'Supply planning data'!K142</f>
        <v>0</v>
      </c>
      <c r="J144" s="177" t="str">
        <f>'Supply planning data'!L142</f>
        <v/>
      </c>
      <c r="K144" s="105">
        <f>'Supply planning data'!M142</f>
        <v>0</v>
      </c>
      <c r="L144" s="321">
        <f>'Supply planning data'!N142+'Supply planning data'!P142</f>
        <v>0</v>
      </c>
      <c r="M144" s="342">
        <f>'Supply planning data'!O142</f>
        <v>0</v>
      </c>
      <c r="N144" s="321">
        <f>'Supply planning data'!P142</f>
        <v>0</v>
      </c>
      <c r="O144" s="342">
        <f>'Supply planning data'!Q142</f>
        <v>0</v>
      </c>
      <c r="P144" s="111">
        <f>'Supply planning data'!R142</f>
        <v>0</v>
      </c>
      <c r="Q144" s="111">
        <f>'Supply planning data'!S142</f>
        <v>0</v>
      </c>
      <c r="R144" s="111">
        <f>'Supply planning data'!T142</f>
        <v>0</v>
      </c>
      <c r="S144" s="111">
        <f>'Supply planning data'!U142</f>
        <v>0</v>
      </c>
      <c r="T144" s="111">
        <f>'Supply planning data'!V142</f>
        <v>0</v>
      </c>
      <c r="U144" s="327" t="str">
        <f>'Supply planning data'!W142</f>
        <v/>
      </c>
      <c r="V144" s="111">
        <f>'Supply planning data'!X142</f>
        <v>0</v>
      </c>
      <c r="W144" s="321">
        <f>'Supply planning data'!Y142</f>
        <v>0</v>
      </c>
      <c r="X144" s="329">
        <f>'Supply planning data'!Z142</f>
        <v>0</v>
      </c>
      <c r="Y144" s="111">
        <f>'Supply planning data'!AA142</f>
        <v>0</v>
      </c>
      <c r="Z144" s="111">
        <f>'Supply planning data'!AB142</f>
        <v>0</v>
      </c>
      <c r="AA144" s="111">
        <f>'Supply planning data'!AC142</f>
        <v>0</v>
      </c>
      <c r="AB144" s="111">
        <f>'Supply planning data'!AD142</f>
        <v>0</v>
      </c>
      <c r="AC144" s="111">
        <f>'Supply planning data'!AE142</f>
        <v>0</v>
      </c>
      <c r="AD144" s="327" t="str">
        <f>'Supply planning data'!AF142</f>
        <v/>
      </c>
      <c r="AE144" s="111">
        <f>'Supply planning data'!AG142</f>
        <v>0</v>
      </c>
      <c r="AF144" s="321">
        <f>'Supply planning data'!AH142</f>
        <v>0</v>
      </c>
      <c r="AG144" s="349">
        <f>'Supply planning data'!AI142</f>
        <v>0</v>
      </c>
      <c r="AH144" s="111">
        <f>'Supply planning data'!AJ142</f>
        <v>0</v>
      </c>
      <c r="AI144" s="111">
        <f>'Supply planning data'!AK142</f>
        <v>0</v>
      </c>
      <c r="AJ144" s="111">
        <f>'Supply planning data'!AL142</f>
        <v>0</v>
      </c>
      <c r="AK144" s="111">
        <f>'Supply planning data'!AM142</f>
        <v>0</v>
      </c>
      <c r="AL144" s="111">
        <f>'Supply planning data'!AN142</f>
        <v>0</v>
      </c>
      <c r="AM144" s="327" t="str">
        <f>'Supply planning data'!AO142</f>
        <v/>
      </c>
    </row>
    <row r="145" spans="1:39" x14ac:dyDescent="0.25">
      <c r="A145" s="109" t="str">
        <f>'Supply planning data'!C143</f>
        <v>Pfizer</v>
      </c>
      <c r="B145" s="298">
        <f>'Supply planning data'!D143</f>
        <v>44470</v>
      </c>
      <c r="C145" s="105" t="str">
        <f>'Supply planning data'!E143</f>
        <v>Yes</v>
      </c>
      <c r="D145" s="105">
        <f>'Supply planning data'!F143</f>
        <v>0</v>
      </c>
      <c r="E145" s="320">
        <f>'Supply planning data'!G143</f>
        <v>0</v>
      </c>
      <c r="F145" s="320">
        <f>'Supply planning data'!H143</f>
        <v>0</v>
      </c>
      <c r="G145" s="320">
        <f>'Supply planning data'!I143</f>
        <v>0</v>
      </c>
      <c r="H145" s="105">
        <f>'Supply planning data'!J143</f>
        <v>0</v>
      </c>
      <c r="I145" s="320">
        <f>'Supply planning data'!K143</f>
        <v>0</v>
      </c>
      <c r="J145" s="177" t="str">
        <f>'Supply planning data'!L143</f>
        <v/>
      </c>
      <c r="K145" s="105">
        <f>'Supply planning data'!M143</f>
        <v>0</v>
      </c>
      <c r="L145" s="321">
        <f>'Supply planning data'!N143+'Supply planning data'!P143</f>
        <v>0</v>
      </c>
      <c r="M145" s="342">
        <f>'Supply planning data'!O143</f>
        <v>0</v>
      </c>
      <c r="N145" s="321">
        <f>'Supply planning data'!P143</f>
        <v>0</v>
      </c>
      <c r="O145" s="342">
        <f>'Supply planning data'!Q143</f>
        <v>0</v>
      </c>
      <c r="P145" s="111">
        <f>'Supply planning data'!R143</f>
        <v>0</v>
      </c>
      <c r="Q145" s="111">
        <f>'Supply planning data'!S143</f>
        <v>0</v>
      </c>
      <c r="R145" s="111">
        <f>'Supply planning data'!T143</f>
        <v>0</v>
      </c>
      <c r="S145" s="111">
        <f>'Supply planning data'!U143</f>
        <v>0</v>
      </c>
      <c r="T145" s="111">
        <f>'Supply planning data'!V143</f>
        <v>0</v>
      </c>
      <c r="U145" s="327" t="str">
        <f>'Supply planning data'!W143</f>
        <v/>
      </c>
      <c r="V145" s="111">
        <f>'Supply planning data'!X143</f>
        <v>0</v>
      </c>
      <c r="W145" s="321">
        <f>'Supply planning data'!Y143</f>
        <v>0</v>
      </c>
      <c r="X145" s="329">
        <f>'Supply planning data'!Z143</f>
        <v>0</v>
      </c>
      <c r="Y145" s="111">
        <f>'Supply planning data'!AA143</f>
        <v>0</v>
      </c>
      <c r="Z145" s="111">
        <f>'Supply planning data'!AB143</f>
        <v>0</v>
      </c>
      <c r="AA145" s="111">
        <f>'Supply planning data'!AC143</f>
        <v>0</v>
      </c>
      <c r="AB145" s="111">
        <f>'Supply planning data'!AD143</f>
        <v>0</v>
      </c>
      <c r="AC145" s="111">
        <f>'Supply planning data'!AE143</f>
        <v>0</v>
      </c>
      <c r="AD145" s="327" t="str">
        <f>'Supply planning data'!AF143</f>
        <v/>
      </c>
      <c r="AE145" s="111">
        <f>'Supply planning data'!AG143</f>
        <v>0</v>
      </c>
      <c r="AF145" s="321">
        <f>'Supply planning data'!AH143</f>
        <v>0</v>
      </c>
      <c r="AG145" s="349">
        <f>'Supply planning data'!AI143</f>
        <v>0</v>
      </c>
      <c r="AH145" s="111">
        <f>'Supply planning data'!AJ143</f>
        <v>0</v>
      </c>
      <c r="AI145" s="111">
        <f>'Supply planning data'!AK143</f>
        <v>0</v>
      </c>
      <c r="AJ145" s="111">
        <f>'Supply planning data'!AL143</f>
        <v>0</v>
      </c>
      <c r="AK145" s="111">
        <f>'Supply planning data'!AM143</f>
        <v>0</v>
      </c>
      <c r="AL145" s="111">
        <f>'Supply planning data'!AN143</f>
        <v>0</v>
      </c>
      <c r="AM145" s="327" t="str">
        <f>'Supply planning data'!AO143</f>
        <v/>
      </c>
    </row>
    <row r="146" spans="1:39" x14ac:dyDescent="0.25">
      <c r="A146" s="104" t="str">
        <f>'Supply planning data'!C144</f>
        <v>Sinovac</v>
      </c>
      <c r="B146" s="298">
        <f>'Supply planning data'!D144</f>
        <v>44470</v>
      </c>
      <c r="C146" s="105" t="str">
        <f>'Supply planning data'!E144</f>
        <v>No</v>
      </c>
      <c r="D146" s="105">
        <f>'Supply planning data'!F144</f>
        <v>0</v>
      </c>
      <c r="E146" s="320">
        <f>'Supply planning data'!G144</f>
        <v>0</v>
      </c>
      <c r="F146" s="320">
        <f>'Supply planning data'!H144</f>
        <v>0</v>
      </c>
      <c r="G146" s="320">
        <f>'Supply planning data'!I144</f>
        <v>0</v>
      </c>
      <c r="H146" s="105">
        <f>'Supply planning data'!J144</f>
        <v>0</v>
      </c>
      <c r="I146" s="320">
        <f>'Supply planning data'!K144</f>
        <v>0</v>
      </c>
      <c r="J146" s="177" t="str">
        <f>'Supply planning data'!L144</f>
        <v/>
      </c>
      <c r="K146" s="105">
        <f>'Supply planning data'!M144</f>
        <v>0</v>
      </c>
      <c r="L146" s="321">
        <f>'Supply planning data'!N144+'Supply planning data'!P144</f>
        <v>0</v>
      </c>
      <c r="M146" s="342">
        <f>'Supply planning data'!O144</f>
        <v>0</v>
      </c>
      <c r="N146" s="321">
        <f>'Supply planning data'!P144</f>
        <v>0</v>
      </c>
      <c r="O146" s="342">
        <f>'Supply planning data'!Q144</f>
        <v>0</v>
      </c>
      <c r="P146" s="111">
        <f>'Supply planning data'!R144</f>
        <v>0</v>
      </c>
      <c r="Q146" s="111">
        <f>'Supply planning data'!S144</f>
        <v>0</v>
      </c>
      <c r="R146" s="111">
        <f>'Supply planning data'!T144</f>
        <v>0</v>
      </c>
      <c r="S146" s="111">
        <f>'Supply planning data'!U144</f>
        <v>0</v>
      </c>
      <c r="T146" s="111">
        <f>'Supply planning data'!V144</f>
        <v>0</v>
      </c>
      <c r="U146" s="327" t="str">
        <f>'Supply planning data'!W144</f>
        <v/>
      </c>
      <c r="V146" s="111">
        <f>'Supply planning data'!X144</f>
        <v>0</v>
      </c>
      <c r="W146" s="321">
        <f>'Supply planning data'!Y144</f>
        <v>0</v>
      </c>
      <c r="X146" s="329">
        <f>'Supply planning data'!Z144</f>
        <v>0</v>
      </c>
      <c r="Y146" s="111">
        <f>'Supply planning data'!AA144</f>
        <v>0</v>
      </c>
      <c r="Z146" s="111">
        <f>'Supply planning data'!AB144</f>
        <v>0</v>
      </c>
      <c r="AA146" s="111">
        <f>'Supply planning data'!AC144</f>
        <v>0</v>
      </c>
      <c r="AB146" s="111">
        <f>'Supply planning data'!AD144</f>
        <v>0</v>
      </c>
      <c r="AC146" s="111">
        <f>'Supply planning data'!AE144</f>
        <v>0</v>
      </c>
      <c r="AD146" s="327" t="str">
        <f>'Supply planning data'!AF144</f>
        <v/>
      </c>
      <c r="AE146" s="111">
        <f>'Supply planning data'!AG144</f>
        <v>0</v>
      </c>
      <c r="AF146" s="321">
        <f>'Supply planning data'!AH144</f>
        <v>0</v>
      </c>
      <c r="AG146" s="349">
        <f>'Supply planning data'!AI144</f>
        <v>0</v>
      </c>
      <c r="AH146" s="111">
        <f>'Supply planning data'!AJ144</f>
        <v>0</v>
      </c>
      <c r="AI146" s="111">
        <f>'Supply planning data'!AK144</f>
        <v>0</v>
      </c>
      <c r="AJ146" s="111">
        <f>'Supply planning data'!AL144</f>
        <v>0</v>
      </c>
      <c r="AK146" s="111">
        <f>'Supply planning data'!AM144</f>
        <v>0</v>
      </c>
      <c r="AL146" s="111">
        <f>'Supply planning data'!AN144</f>
        <v>0</v>
      </c>
      <c r="AM146" s="327" t="str">
        <f>'Supply planning data'!AO144</f>
        <v/>
      </c>
    </row>
    <row r="147" spans="1:39" hidden="1" x14ac:dyDescent="0.25">
      <c r="A147" s="109" t="str">
        <f>'Supply planning data'!C145</f>
        <v/>
      </c>
      <c r="B147" s="298">
        <f>'Supply planning data'!D145</f>
        <v>44470</v>
      </c>
      <c r="C147" s="105" t="str">
        <f>'Supply planning data'!E145</f>
        <v>No</v>
      </c>
      <c r="D147" s="105">
        <f>'Supply planning data'!F145</f>
        <v>0</v>
      </c>
      <c r="E147" s="320">
        <f>'Supply planning data'!G145</f>
        <v>0</v>
      </c>
      <c r="F147" s="320">
        <f>'Supply planning data'!H145</f>
        <v>0</v>
      </c>
      <c r="G147" s="320">
        <f>'Supply planning data'!I145</f>
        <v>0</v>
      </c>
      <c r="H147" s="105">
        <f>'Supply planning data'!J145</f>
        <v>0</v>
      </c>
      <c r="I147" s="320">
        <f>'Supply planning data'!K145</f>
        <v>0</v>
      </c>
      <c r="J147" s="177" t="str">
        <f>'Supply planning data'!L145</f>
        <v/>
      </c>
      <c r="K147" s="105">
        <f>'Supply planning data'!M145</f>
        <v>0</v>
      </c>
      <c r="L147" s="321">
        <f>'Supply planning data'!N145+'Supply planning data'!P145</f>
        <v>0</v>
      </c>
      <c r="M147" s="342">
        <f>'Supply planning data'!O145</f>
        <v>0</v>
      </c>
      <c r="N147" s="321">
        <f>'Supply planning data'!P145</f>
        <v>0</v>
      </c>
      <c r="O147" s="342">
        <f>'Supply planning data'!Q145</f>
        <v>0</v>
      </c>
      <c r="P147" s="111">
        <f>'Supply planning data'!R145</f>
        <v>0</v>
      </c>
      <c r="Q147" s="111">
        <f>'Supply planning data'!S145</f>
        <v>0</v>
      </c>
      <c r="R147" s="111">
        <f>'Supply planning data'!T145</f>
        <v>0</v>
      </c>
      <c r="S147" s="111">
        <f>'Supply planning data'!U145</f>
        <v>0</v>
      </c>
      <c r="T147" s="111">
        <f>'Supply planning data'!V145</f>
        <v>0</v>
      </c>
      <c r="U147" s="327" t="str">
        <f>'Supply planning data'!W145</f>
        <v/>
      </c>
      <c r="V147" s="111">
        <f>'Supply planning data'!X145</f>
        <v>0</v>
      </c>
      <c r="W147" s="321">
        <f>'Supply planning data'!Y145</f>
        <v>0</v>
      </c>
      <c r="X147" s="329">
        <f>'Supply planning data'!Z145</f>
        <v>0</v>
      </c>
      <c r="Y147" s="111">
        <f>'Supply planning data'!AA145</f>
        <v>0</v>
      </c>
      <c r="Z147" s="111">
        <f>'Supply planning data'!AB145</f>
        <v>0</v>
      </c>
      <c r="AA147" s="111">
        <f>'Supply planning data'!AC145</f>
        <v>0</v>
      </c>
      <c r="AB147" s="111">
        <f>'Supply planning data'!AD145</f>
        <v>0</v>
      </c>
      <c r="AC147" s="111">
        <f>'Supply planning data'!AE145</f>
        <v>0</v>
      </c>
      <c r="AD147" s="327" t="str">
        <f>'Supply planning data'!AF145</f>
        <v/>
      </c>
      <c r="AE147" s="111">
        <f>'Supply planning data'!AG145</f>
        <v>0</v>
      </c>
      <c r="AF147" s="321">
        <f>'Supply planning data'!AH145</f>
        <v>0</v>
      </c>
      <c r="AG147" s="349">
        <f>'Supply planning data'!AI145</f>
        <v>0</v>
      </c>
      <c r="AH147" s="111">
        <f>'Supply planning data'!AJ145</f>
        <v>0</v>
      </c>
      <c r="AI147" s="111">
        <f>'Supply planning data'!AK145</f>
        <v>0</v>
      </c>
      <c r="AJ147" s="111">
        <f>'Supply planning data'!AL145</f>
        <v>0</v>
      </c>
      <c r="AK147" s="111">
        <f>'Supply planning data'!AM145</f>
        <v>0</v>
      </c>
      <c r="AL147" s="111">
        <f>'Supply planning data'!AN145</f>
        <v>0</v>
      </c>
      <c r="AM147" s="327" t="str">
        <f>'Supply planning data'!AO145</f>
        <v/>
      </c>
    </row>
    <row r="148" spans="1:39" hidden="1" x14ac:dyDescent="0.25">
      <c r="A148" s="104" t="str">
        <f>'Supply planning data'!C146</f>
        <v/>
      </c>
      <c r="B148" s="298">
        <f>'Supply planning data'!D146</f>
        <v>44470</v>
      </c>
      <c r="C148" s="105" t="str">
        <f>'Supply planning data'!E146</f>
        <v>No</v>
      </c>
      <c r="D148" s="105">
        <f>'Supply planning data'!F146</f>
        <v>0</v>
      </c>
      <c r="E148" s="320">
        <f>'Supply planning data'!G146</f>
        <v>0</v>
      </c>
      <c r="F148" s="320">
        <f>'Supply planning data'!H146</f>
        <v>0</v>
      </c>
      <c r="G148" s="320">
        <f>'Supply planning data'!I146</f>
        <v>0</v>
      </c>
      <c r="H148" s="105">
        <f>'Supply planning data'!J146</f>
        <v>0</v>
      </c>
      <c r="I148" s="320">
        <f>'Supply planning data'!K146</f>
        <v>0</v>
      </c>
      <c r="J148" s="177" t="str">
        <f>'Supply planning data'!L146</f>
        <v/>
      </c>
      <c r="K148" s="105">
        <f>'Supply planning data'!M146</f>
        <v>0</v>
      </c>
      <c r="L148" s="321">
        <f>'Supply planning data'!N146+'Supply planning data'!P146</f>
        <v>0</v>
      </c>
      <c r="M148" s="342">
        <f>'Supply planning data'!O146</f>
        <v>0</v>
      </c>
      <c r="N148" s="321">
        <f>'Supply planning data'!P146</f>
        <v>0</v>
      </c>
      <c r="O148" s="342">
        <f>'Supply planning data'!Q146</f>
        <v>0</v>
      </c>
      <c r="P148" s="111">
        <f>'Supply planning data'!R146</f>
        <v>0</v>
      </c>
      <c r="Q148" s="111">
        <f>'Supply planning data'!S146</f>
        <v>0</v>
      </c>
      <c r="R148" s="111">
        <f>'Supply planning data'!T146</f>
        <v>0</v>
      </c>
      <c r="S148" s="111">
        <f>'Supply planning data'!U146</f>
        <v>0</v>
      </c>
      <c r="T148" s="111">
        <f>'Supply planning data'!V146</f>
        <v>0</v>
      </c>
      <c r="U148" s="327" t="str">
        <f>'Supply planning data'!W146</f>
        <v/>
      </c>
      <c r="V148" s="111">
        <f>'Supply planning data'!X146</f>
        <v>0</v>
      </c>
      <c r="W148" s="321">
        <f>'Supply planning data'!Y146</f>
        <v>0</v>
      </c>
      <c r="X148" s="329">
        <f>'Supply planning data'!Z146</f>
        <v>0</v>
      </c>
      <c r="Y148" s="111">
        <f>'Supply planning data'!AA146</f>
        <v>0</v>
      </c>
      <c r="Z148" s="111">
        <f>'Supply planning data'!AB146</f>
        <v>0</v>
      </c>
      <c r="AA148" s="111">
        <f>'Supply planning data'!AC146</f>
        <v>0</v>
      </c>
      <c r="AB148" s="111">
        <f>'Supply planning data'!AD146</f>
        <v>0</v>
      </c>
      <c r="AC148" s="111">
        <f>'Supply planning data'!AE146</f>
        <v>0</v>
      </c>
      <c r="AD148" s="327" t="str">
        <f>'Supply planning data'!AF146</f>
        <v/>
      </c>
      <c r="AE148" s="111">
        <f>'Supply planning data'!AG146</f>
        <v>0</v>
      </c>
      <c r="AF148" s="321">
        <f>'Supply planning data'!AH146</f>
        <v>0</v>
      </c>
      <c r="AG148" s="349">
        <f>'Supply planning data'!AI146</f>
        <v>0</v>
      </c>
      <c r="AH148" s="111">
        <f>'Supply planning data'!AJ146</f>
        <v>0</v>
      </c>
      <c r="AI148" s="111">
        <f>'Supply planning data'!AK146</f>
        <v>0</v>
      </c>
      <c r="AJ148" s="111">
        <f>'Supply planning data'!AL146</f>
        <v>0</v>
      </c>
      <c r="AK148" s="111">
        <f>'Supply planning data'!AM146</f>
        <v>0</v>
      </c>
      <c r="AL148" s="111">
        <f>'Supply planning data'!AN146</f>
        <v>0</v>
      </c>
      <c r="AM148" s="327" t="str">
        <f>'Supply planning data'!AO146</f>
        <v/>
      </c>
    </row>
    <row r="149" spans="1:39" hidden="1" x14ac:dyDescent="0.25">
      <c r="A149" s="109" t="str">
        <f>'Supply planning data'!C147</f>
        <v/>
      </c>
      <c r="B149" s="298">
        <f>'Supply planning data'!D147</f>
        <v>44470</v>
      </c>
      <c r="C149" s="105" t="str">
        <f>'Supply planning data'!E147</f>
        <v>No</v>
      </c>
      <c r="D149" s="105">
        <f>'Supply planning data'!F147</f>
        <v>0</v>
      </c>
      <c r="E149" s="320">
        <f>'Supply planning data'!G147</f>
        <v>0</v>
      </c>
      <c r="F149" s="320">
        <f>'Supply planning data'!H147</f>
        <v>0</v>
      </c>
      <c r="G149" s="320">
        <f>'Supply planning data'!I147</f>
        <v>0</v>
      </c>
      <c r="H149" s="105">
        <f>'Supply planning data'!J147</f>
        <v>0</v>
      </c>
      <c r="I149" s="320">
        <f>'Supply planning data'!K147</f>
        <v>0</v>
      </c>
      <c r="J149" s="177" t="str">
        <f>'Supply planning data'!L147</f>
        <v/>
      </c>
      <c r="K149" s="105">
        <f>'Supply planning data'!M147</f>
        <v>0</v>
      </c>
      <c r="L149" s="321">
        <f>'Supply planning data'!N147+'Supply planning data'!P147</f>
        <v>0</v>
      </c>
      <c r="M149" s="342">
        <f>'Supply planning data'!O147</f>
        <v>0</v>
      </c>
      <c r="N149" s="321">
        <f>'Supply planning data'!P147</f>
        <v>0</v>
      </c>
      <c r="O149" s="342">
        <f>'Supply planning data'!Q147</f>
        <v>0</v>
      </c>
      <c r="P149" s="111">
        <f>'Supply planning data'!R147</f>
        <v>0</v>
      </c>
      <c r="Q149" s="111">
        <f>'Supply planning data'!S147</f>
        <v>0</v>
      </c>
      <c r="R149" s="111">
        <f>'Supply planning data'!T147</f>
        <v>0</v>
      </c>
      <c r="S149" s="111">
        <f>'Supply planning data'!U147</f>
        <v>0</v>
      </c>
      <c r="T149" s="111">
        <f>'Supply planning data'!V147</f>
        <v>0</v>
      </c>
      <c r="U149" s="327" t="str">
        <f>'Supply planning data'!W147</f>
        <v/>
      </c>
      <c r="V149" s="111">
        <f>'Supply planning data'!X147</f>
        <v>0</v>
      </c>
      <c r="W149" s="321">
        <f>'Supply planning data'!Y147</f>
        <v>0</v>
      </c>
      <c r="X149" s="329">
        <f>'Supply planning data'!Z147</f>
        <v>0</v>
      </c>
      <c r="Y149" s="111">
        <f>'Supply planning data'!AA147</f>
        <v>0</v>
      </c>
      <c r="Z149" s="111">
        <f>'Supply planning data'!AB147</f>
        <v>0</v>
      </c>
      <c r="AA149" s="111">
        <f>'Supply planning data'!AC147</f>
        <v>0</v>
      </c>
      <c r="AB149" s="111">
        <f>'Supply planning data'!AD147</f>
        <v>0</v>
      </c>
      <c r="AC149" s="111">
        <f>'Supply planning data'!AE147</f>
        <v>0</v>
      </c>
      <c r="AD149" s="327" t="str">
        <f>'Supply planning data'!AF147</f>
        <v/>
      </c>
      <c r="AE149" s="111">
        <f>'Supply planning data'!AG147</f>
        <v>0</v>
      </c>
      <c r="AF149" s="321">
        <f>'Supply planning data'!AH147</f>
        <v>0</v>
      </c>
      <c r="AG149" s="349">
        <f>'Supply planning data'!AI147</f>
        <v>0</v>
      </c>
      <c r="AH149" s="111">
        <f>'Supply planning data'!AJ147</f>
        <v>0</v>
      </c>
      <c r="AI149" s="111">
        <f>'Supply planning data'!AK147</f>
        <v>0</v>
      </c>
      <c r="AJ149" s="111">
        <f>'Supply planning data'!AL147</f>
        <v>0</v>
      </c>
      <c r="AK149" s="111">
        <f>'Supply planning data'!AM147</f>
        <v>0</v>
      </c>
      <c r="AL149" s="111">
        <f>'Supply planning data'!AN147</f>
        <v>0</v>
      </c>
      <c r="AM149" s="327" t="str">
        <f>'Supply planning data'!AO147</f>
        <v/>
      </c>
    </row>
    <row r="150" spans="1:39" hidden="1" x14ac:dyDescent="0.25">
      <c r="A150" s="104" t="str">
        <f>'Supply planning data'!C148</f>
        <v/>
      </c>
      <c r="B150" s="298">
        <f>'Supply planning data'!D148</f>
        <v>44470</v>
      </c>
      <c r="C150" s="105" t="str">
        <f>'Supply planning data'!E148</f>
        <v>No</v>
      </c>
      <c r="D150" s="105">
        <f>'Supply planning data'!F148</f>
        <v>0</v>
      </c>
      <c r="E150" s="320">
        <f>'Supply planning data'!G148</f>
        <v>0</v>
      </c>
      <c r="F150" s="320">
        <f>'Supply planning data'!H148</f>
        <v>0</v>
      </c>
      <c r="G150" s="320">
        <f>'Supply planning data'!I148</f>
        <v>0</v>
      </c>
      <c r="H150" s="105">
        <f>'Supply planning data'!J148</f>
        <v>0</v>
      </c>
      <c r="I150" s="320">
        <f>'Supply planning data'!K148</f>
        <v>0</v>
      </c>
      <c r="J150" s="177" t="str">
        <f>'Supply planning data'!L148</f>
        <v/>
      </c>
      <c r="K150" s="105">
        <f>'Supply planning data'!M148</f>
        <v>0</v>
      </c>
      <c r="L150" s="321">
        <f>'Supply planning data'!N148+'Supply planning data'!P148</f>
        <v>0</v>
      </c>
      <c r="M150" s="342">
        <f>'Supply planning data'!O148</f>
        <v>0</v>
      </c>
      <c r="N150" s="321">
        <f>'Supply planning data'!P148</f>
        <v>0</v>
      </c>
      <c r="O150" s="342">
        <f>'Supply planning data'!Q148</f>
        <v>0</v>
      </c>
      <c r="P150" s="111">
        <f>'Supply planning data'!R148</f>
        <v>0</v>
      </c>
      <c r="Q150" s="111">
        <f>'Supply planning data'!S148</f>
        <v>0</v>
      </c>
      <c r="R150" s="111">
        <f>'Supply planning data'!T148</f>
        <v>0</v>
      </c>
      <c r="S150" s="111">
        <f>'Supply planning data'!U148</f>
        <v>0</v>
      </c>
      <c r="T150" s="111">
        <f>'Supply planning data'!V148</f>
        <v>0</v>
      </c>
      <c r="U150" s="327" t="str">
        <f>'Supply planning data'!W148</f>
        <v/>
      </c>
      <c r="V150" s="111">
        <f>'Supply planning data'!X148</f>
        <v>0</v>
      </c>
      <c r="W150" s="321">
        <f>'Supply planning data'!Y148</f>
        <v>0</v>
      </c>
      <c r="X150" s="329">
        <f>'Supply planning data'!Z148</f>
        <v>0</v>
      </c>
      <c r="Y150" s="111">
        <f>'Supply planning data'!AA148</f>
        <v>0</v>
      </c>
      <c r="Z150" s="111">
        <f>'Supply planning data'!AB148</f>
        <v>0</v>
      </c>
      <c r="AA150" s="111">
        <f>'Supply planning data'!AC148</f>
        <v>0</v>
      </c>
      <c r="AB150" s="111">
        <f>'Supply planning data'!AD148</f>
        <v>0</v>
      </c>
      <c r="AC150" s="111">
        <f>'Supply planning data'!AE148</f>
        <v>0</v>
      </c>
      <c r="AD150" s="327" t="str">
        <f>'Supply planning data'!AF148</f>
        <v/>
      </c>
      <c r="AE150" s="111">
        <f>'Supply planning data'!AG148</f>
        <v>0</v>
      </c>
      <c r="AF150" s="321">
        <f>'Supply planning data'!AH148</f>
        <v>0</v>
      </c>
      <c r="AG150" s="349">
        <f>'Supply planning data'!AI148</f>
        <v>0</v>
      </c>
      <c r="AH150" s="111">
        <f>'Supply planning data'!AJ148</f>
        <v>0</v>
      </c>
      <c r="AI150" s="111">
        <f>'Supply planning data'!AK148</f>
        <v>0</v>
      </c>
      <c r="AJ150" s="111">
        <f>'Supply planning data'!AL148</f>
        <v>0</v>
      </c>
      <c r="AK150" s="111">
        <f>'Supply planning data'!AM148</f>
        <v>0</v>
      </c>
      <c r="AL150" s="111">
        <f>'Supply planning data'!AN148</f>
        <v>0</v>
      </c>
      <c r="AM150" s="327" t="str">
        <f>'Supply planning data'!AO148</f>
        <v/>
      </c>
    </row>
    <row r="151" spans="1:39" hidden="1" x14ac:dyDescent="0.25">
      <c r="A151" s="109" t="str">
        <f>'Supply planning data'!C149</f>
        <v/>
      </c>
      <c r="B151" s="298">
        <f>'Supply planning data'!D149</f>
        <v>44470</v>
      </c>
      <c r="C151" s="105" t="str">
        <f>'Supply planning data'!E149</f>
        <v>No</v>
      </c>
      <c r="D151" s="105">
        <f>'Supply planning data'!F149</f>
        <v>0</v>
      </c>
      <c r="E151" s="320">
        <f>'Supply planning data'!G149</f>
        <v>0</v>
      </c>
      <c r="F151" s="320">
        <f>'Supply planning data'!H149</f>
        <v>0</v>
      </c>
      <c r="G151" s="320">
        <f>'Supply planning data'!I149</f>
        <v>0</v>
      </c>
      <c r="H151" s="105">
        <f>'Supply planning data'!J149</f>
        <v>0</v>
      </c>
      <c r="I151" s="320">
        <f>'Supply planning data'!K149</f>
        <v>0</v>
      </c>
      <c r="J151" s="177" t="str">
        <f>'Supply planning data'!L149</f>
        <v/>
      </c>
      <c r="K151" s="105">
        <f>'Supply planning data'!M149</f>
        <v>0</v>
      </c>
      <c r="L151" s="321">
        <f>'Supply planning data'!N149+'Supply planning data'!P149</f>
        <v>0</v>
      </c>
      <c r="M151" s="342">
        <f>'Supply planning data'!O149</f>
        <v>0</v>
      </c>
      <c r="N151" s="321">
        <f>'Supply planning data'!P149</f>
        <v>0</v>
      </c>
      <c r="O151" s="342">
        <f>'Supply planning data'!Q149</f>
        <v>0</v>
      </c>
      <c r="P151" s="111">
        <f>'Supply planning data'!R149</f>
        <v>0</v>
      </c>
      <c r="Q151" s="111">
        <f>'Supply planning data'!S149</f>
        <v>0</v>
      </c>
      <c r="R151" s="111">
        <f>'Supply planning data'!T149</f>
        <v>0</v>
      </c>
      <c r="S151" s="111">
        <f>'Supply planning data'!U149</f>
        <v>0</v>
      </c>
      <c r="T151" s="111">
        <f>'Supply planning data'!V149</f>
        <v>0</v>
      </c>
      <c r="U151" s="327" t="str">
        <f>'Supply planning data'!W149</f>
        <v/>
      </c>
      <c r="V151" s="111">
        <f>'Supply planning data'!X149</f>
        <v>0</v>
      </c>
      <c r="W151" s="321">
        <f>'Supply planning data'!Y149</f>
        <v>0</v>
      </c>
      <c r="X151" s="329">
        <f>'Supply planning data'!Z149</f>
        <v>0</v>
      </c>
      <c r="Y151" s="111">
        <f>'Supply planning data'!AA149</f>
        <v>0</v>
      </c>
      <c r="Z151" s="111">
        <f>'Supply planning data'!AB149</f>
        <v>0</v>
      </c>
      <c r="AA151" s="111">
        <f>'Supply planning data'!AC149</f>
        <v>0</v>
      </c>
      <c r="AB151" s="111">
        <f>'Supply planning data'!AD149</f>
        <v>0</v>
      </c>
      <c r="AC151" s="111">
        <f>'Supply planning data'!AE149</f>
        <v>0</v>
      </c>
      <c r="AD151" s="327" t="str">
        <f>'Supply planning data'!AF149</f>
        <v/>
      </c>
      <c r="AE151" s="111">
        <f>'Supply planning data'!AG149</f>
        <v>0</v>
      </c>
      <c r="AF151" s="321">
        <f>'Supply planning data'!AH149</f>
        <v>0</v>
      </c>
      <c r="AG151" s="349">
        <f>'Supply planning data'!AI149</f>
        <v>0</v>
      </c>
      <c r="AH151" s="111">
        <f>'Supply planning data'!AJ149</f>
        <v>0</v>
      </c>
      <c r="AI151" s="111">
        <f>'Supply planning data'!AK149</f>
        <v>0</v>
      </c>
      <c r="AJ151" s="111">
        <f>'Supply planning data'!AL149</f>
        <v>0</v>
      </c>
      <c r="AK151" s="111">
        <f>'Supply planning data'!AM149</f>
        <v>0</v>
      </c>
      <c r="AL151" s="111">
        <f>'Supply planning data'!AN149</f>
        <v>0</v>
      </c>
      <c r="AM151" s="327" t="str">
        <f>'Supply planning data'!AO149</f>
        <v/>
      </c>
    </row>
    <row r="152" spans="1:39" hidden="1" x14ac:dyDescent="0.25">
      <c r="A152" s="104" t="str">
        <f>'Supply planning data'!C150</f>
        <v/>
      </c>
      <c r="B152" s="298">
        <f>'Supply planning data'!D150</f>
        <v>44470</v>
      </c>
      <c r="C152" s="105" t="str">
        <f>'Supply planning data'!E150</f>
        <v>No</v>
      </c>
      <c r="D152" s="105">
        <f>'Supply planning data'!F150</f>
        <v>0</v>
      </c>
      <c r="E152" s="320">
        <f>'Supply planning data'!G150</f>
        <v>0</v>
      </c>
      <c r="F152" s="320">
        <f>'Supply planning data'!H150</f>
        <v>0</v>
      </c>
      <c r="G152" s="320">
        <f>'Supply planning data'!I150</f>
        <v>0</v>
      </c>
      <c r="H152" s="105">
        <f>'Supply planning data'!J150</f>
        <v>0</v>
      </c>
      <c r="I152" s="320">
        <f>'Supply planning data'!K150</f>
        <v>0</v>
      </c>
      <c r="J152" s="177" t="str">
        <f>'Supply planning data'!L150</f>
        <v/>
      </c>
      <c r="K152" s="105">
        <f>'Supply planning data'!M150</f>
        <v>0</v>
      </c>
      <c r="L152" s="321">
        <f>'Supply planning data'!N150+'Supply planning data'!P150</f>
        <v>0</v>
      </c>
      <c r="M152" s="342">
        <f>'Supply planning data'!O150</f>
        <v>0</v>
      </c>
      <c r="N152" s="321">
        <f>'Supply planning data'!P150</f>
        <v>0</v>
      </c>
      <c r="O152" s="342">
        <f>'Supply planning data'!Q150</f>
        <v>0</v>
      </c>
      <c r="P152" s="111">
        <f>'Supply planning data'!R150</f>
        <v>0</v>
      </c>
      <c r="Q152" s="111">
        <f>'Supply planning data'!S150</f>
        <v>0</v>
      </c>
      <c r="R152" s="111">
        <f>'Supply planning data'!T150</f>
        <v>0</v>
      </c>
      <c r="S152" s="111">
        <f>'Supply planning data'!U150</f>
        <v>0</v>
      </c>
      <c r="T152" s="111">
        <f>'Supply planning data'!V150</f>
        <v>0</v>
      </c>
      <c r="U152" s="327" t="str">
        <f>'Supply planning data'!W150</f>
        <v/>
      </c>
      <c r="V152" s="111">
        <f>'Supply planning data'!X150</f>
        <v>0</v>
      </c>
      <c r="W152" s="321">
        <f>'Supply planning data'!Y150</f>
        <v>0</v>
      </c>
      <c r="X152" s="329">
        <f>'Supply planning data'!Z150</f>
        <v>0</v>
      </c>
      <c r="Y152" s="111">
        <f>'Supply planning data'!AA150</f>
        <v>0</v>
      </c>
      <c r="Z152" s="111">
        <f>'Supply planning data'!AB150</f>
        <v>0</v>
      </c>
      <c r="AA152" s="111">
        <f>'Supply planning data'!AC150</f>
        <v>0</v>
      </c>
      <c r="AB152" s="111">
        <f>'Supply planning data'!AD150</f>
        <v>0</v>
      </c>
      <c r="AC152" s="111">
        <f>'Supply planning data'!AE150</f>
        <v>0</v>
      </c>
      <c r="AD152" s="327" t="str">
        <f>'Supply planning data'!AF150</f>
        <v/>
      </c>
      <c r="AE152" s="111">
        <f>'Supply planning data'!AG150</f>
        <v>0</v>
      </c>
      <c r="AF152" s="321">
        <f>'Supply planning data'!AH150</f>
        <v>0</v>
      </c>
      <c r="AG152" s="349">
        <f>'Supply planning data'!AI150</f>
        <v>0</v>
      </c>
      <c r="AH152" s="111">
        <f>'Supply planning data'!AJ150</f>
        <v>0</v>
      </c>
      <c r="AI152" s="111">
        <f>'Supply planning data'!AK150</f>
        <v>0</v>
      </c>
      <c r="AJ152" s="111">
        <f>'Supply planning data'!AL150</f>
        <v>0</v>
      </c>
      <c r="AK152" s="111">
        <f>'Supply planning data'!AM150</f>
        <v>0</v>
      </c>
      <c r="AL152" s="111">
        <f>'Supply planning data'!AN150</f>
        <v>0</v>
      </c>
      <c r="AM152" s="327" t="str">
        <f>'Supply planning data'!AO150</f>
        <v/>
      </c>
    </row>
    <row r="153" spans="1:39" hidden="1" x14ac:dyDescent="0.25">
      <c r="A153" s="109" t="str">
        <f>'Supply planning data'!C151</f>
        <v/>
      </c>
      <c r="B153" s="298">
        <f>'Supply planning data'!D151</f>
        <v>44470</v>
      </c>
      <c r="C153" s="105" t="str">
        <f>'Supply planning data'!E151</f>
        <v>No</v>
      </c>
      <c r="D153" s="105">
        <f>'Supply planning data'!F151</f>
        <v>0</v>
      </c>
      <c r="E153" s="320">
        <f>'Supply planning data'!G151</f>
        <v>0</v>
      </c>
      <c r="F153" s="320">
        <f>'Supply planning data'!H151</f>
        <v>0</v>
      </c>
      <c r="G153" s="320">
        <f>'Supply planning data'!I151</f>
        <v>0</v>
      </c>
      <c r="H153" s="105">
        <f>'Supply planning data'!J151</f>
        <v>0</v>
      </c>
      <c r="I153" s="320">
        <f>'Supply planning data'!K151</f>
        <v>0</v>
      </c>
      <c r="J153" s="177" t="str">
        <f>'Supply planning data'!L151</f>
        <v/>
      </c>
      <c r="K153" s="105">
        <f>'Supply planning data'!M151</f>
        <v>0</v>
      </c>
      <c r="L153" s="321">
        <f>'Supply planning data'!N151+'Supply planning data'!P151</f>
        <v>0</v>
      </c>
      <c r="M153" s="342">
        <f>'Supply planning data'!O151</f>
        <v>0</v>
      </c>
      <c r="N153" s="321">
        <f>'Supply planning data'!P151</f>
        <v>0</v>
      </c>
      <c r="O153" s="342">
        <f>'Supply planning data'!Q151</f>
        <v>0</v>
      </c>
      <c r="P153" s="111">
        <f>'Supply planning data'!R151</f>
        <v>0</v>
      </c>
      <c r="Q153" s="111">
        <f>'Supply planning data'!S151</f>
        <v>0</v>
      </c>
      <c r="R153" s="111">
        <f>'Supply planning data'!T151</f>
        <v>0</v>
      </c>
      <c r="S153" s="111">
        <f>'Supply planning data'!U151</f>
        <v>0</v>
      </c>
      <c r="T153" s="111">
        <f>'Supply planning data'!V151</f>
        <v>0</v>
      </c>
      <c r="U153" s="327" t="str">
        <f>'Supply planning data'!W151</f>
        <v/>
      </c>
      <c r="V153" s="111">
        <f>'Supply planning data'!X151</f>
        <v>0</v>
      </c>
      <c r="W153" s="321">
        <f>'Supply planning data'!Y151</f>
        <v>0</v>
      </c>
      <c r="X153" s="329">
        <f>'Supply planning data'!Z151</f>
        <v>0</v>
      </c>
      <c r="Y153" s="111">
        <f>'Supply planning data'!AA151</f>
        <v>0</v>
      </c>
      <c r="Z153" s="111">
        <f>'Supply planning data'!AB151</f>
        <v>0</v>
      </c>
      <c r="AA153" s="111">
        <f>'Supply planning data'!AC151</f>
        <v>0</v>
      </c>
      <c r="AB153" s="111">
        <f>'Supply planning data'!AD151</f>
        <v>0</v>
      </c>
      <c r="AC153" s="111">
        <f>'Supply planning data'!AE151</f>
        <v>0</v>
      </c>
      <c r="AD153" s="327" t="str">
        <f>'Supply planning data'!AF151</f>
        <v/>
      </c>
      <c r="AE153" s="111">
        <f>'Supply planning data'!AG151</f>
        <v>0</v>
      </c>
      <c r="AF153" s="321">
        <f>'Supply planning data'!AH151</f>
        <v>0</v>
      </c>
      <c r="AG153" s="349">
        <f>'Supply planning data'!AI151</f>
        <v>0</v>
      </c>
      <c r="AH153" s="111">
        <f>'Supply planning data'!AJ151</f>
        <v>0</v>
      </c>
      <c r="AI153" s="111">
        <f>'Supply planning data'!AK151</f>
        <v>0</v>
      </c>
      <c r="AJ153" s="111">
        <f>'Supply planning data'!AL151</f>
        <v>0</v>
      </c>
      <c r="AK153" s="111">
        <f>'Supply planning data'!AM151</f>
        <v>0</v>
      </c>
      <c r="AL153" s="111">
        <f>'Supply planning data'!AN151</f>
        <v>0</v>
      </c>
      <c r="AM153" s="327" t="str">
        <f>'Supply planning data'!AO151</f>
        <v/>
      </c>
    </row>
    <row r="154" spans="1:39" hidden="1" x14ac:dyDescent="0.25">
      <c r="A154" s="104" t="str">
        <f>'Supply planning data'!C152</f>
        <v/>
      </c>
      <c r="B154" s="298">
        <f>'Supply planning data'!D152</f>
        <v>44470</v>
      </c>
      <c r="C154" s="105" t="str">
        <f>'Supply planning data'!E152</f>
        <v>No</v>
      </c>
      <c r="D154" s="105">
        <f>'Supply planning data'!F152</f>
        <v>0</v>
      </c>
      <c r="E154" s="320">
        <f>'Supply planning data'!G152</f>
        <v>0</v>
      </c>
      <c r="F154" s="320">
        <f>'Supply planning data'!H152</f>
        <v>0</v>
      </c>
      <c r="G154" s="320">
        <f>'Supply planning data'!I152</f>
        <v>0</v>
      </c>
      <c r="H154" s="105">
        <f>'Supply planning data'!J152</f>
        <v>0</v>
      </c>
      <c r="I154" s="320">
        <f>'Supply planning data'!K152</f>
        <v>0</v>
      </c>
      <c r="J154" s="177" t="str">
        <f>'Supply planning data'!L152</f>
        <v/>
      </c>
      <c r="K154" s="105">
        <f>'Supply planning data'!M152</f>
        <v>0</v>
      </c>
      <c r="L154" s="321">
        <f>'Supply planning data'!N152+'Supply planning data'!P152</f>
        <v>0</v>
      </c>
      <c r="M154" s="342">
        <f>'Supply planning data'!O152</f>
        <v>0</v>
      </c>
      <c r="N154" s="321">
        <f>'Supply planning data'!P152</f>
        <v>0</v>
      </c>
      <c r="O154" s="342">
        <f>'Supply planning data'!Q152</f>
        <v>0</v>
      </c>
      <c r="P154" s="111">
        <f>'Supply planning data'!R152</f>
        <v>0</v>
      </c>
      <c r="Q154" s="111">
        <f>'Supply planning data'!S152</f>
        <v>0</v>
      </c>
      <c r="R154" s="111">
        <f>'Supply planning data'!T152</f>
        <v>0</v>
      </c>
      <c r="S154" s="111">
        <f>'Supply planning data'!U152</f>
        <v>0</v>
      </c>
      <c r="T154" s="111">
        <f>'Supply planning data'!V152</f>
        <v>0</v>
      </c>
      <c r="U154" s="327" t="str">
        <f>'Supply planning data'!W152</f>
        <v/>
      </c>
      <c r="V154" s="111">
        <f>'Supply planning data'!X152</f>
        <v>0</v>
      </c>
      <c r="W154" s="321">
        <f>'Supply planning data'!Y152</f>
        <v>0</v>
      </c>
      <c r="X154" s="329">
        <f>'Supply planning data'!Z152</f>
        <v>0</v>
      </c>
      <c r="Y154" s="111">
        <f>'Supply planning data'!AA152</f>
        <v>0</v>
      </c>
      <c r="Z154" s="111">
        <f>'Supply planning data'!AB152</f>
        <v>0</v>
      </c>
      <c r="AA154" s="111">
        <f>'Supply planning data'!AC152</f>
        <v>0</v>
      </c>
      <c r="AB154" s="111">
        <f>'Supply planning data'!AD152</f>
        <v>0</v>
      </c>
      <c r="AC154" s="111">
        <f>'Supply planning data'!AE152</f>
        <v>0</v>
      </c>
      <c r="AD154" s="327" t="str">
        <f>'Supply planning data'!AF152</f>
        <v/>
      </c>
      <c r="AE154" s="111">
        <f>'Supply planning data'!AG152</f>
        <v>0</v>
      </c>
      <c r="AF154" s="321">
        <f>'Supply planning data'!AH152</f>
        <v>0</v>
      </c>
      <c r="AG154" s="349">
        <f>'Supply planning data'!AI152</f>
        <v>0</v>
      </c>
      <c r="AH154" s="111">
        <f>'Supply planning data'!AJ152</f>
        <v>0</v>
      </c>
      <c r="AI154" s="111">
        <f>'Supply planning data'!AK152</f>
        <v>0</v>
      </c>
      <c r="AJ154" s="111">
        <f>'Supply planning data'!AL152</f>
        <v>0</v>
      </c>
      <c r="AK154" s="111">
        <f>'Supply planning data'!AM152</f>
        <v>0</v>
      </c>
      <c r="AL154" s="111">
        <f>'Supply planning data'!AN152</f>
        <v>0</v>
      </c>
      <c r="AM154" s="327" t="str">
        <f>'Supply planning data'!AO152</f>
        <v/>
      </c>
    </row>
    <row r="155" spans="1:39" hidden="1" x14ac:dyDescent="0.25">
      <c r="A155" s="109" t="str">
        <f>'Supply planning data'!C153</f>
        <v/>
      </c>
      <c r="B155" s="298">
        <f>'Supply planning data'!D153</f>
        <v>44470</v>
      </c>
      <c r="C155" s="105" t="str">
        <f>'Supply planning data'!E153</f>
        <v>No</v>
      </c>
      <c r="D155" s="105">
        <f>'Supply planning data'!F153</f>
        <v>0</v>
      </c>
      <c r="E155" s="320">
        <f>'Supply planning data'!G153</f>
        <v>0</v>
      </c>
      <c r="F155" s="320">
        <f>'Supply planning data'!H153</f>
        <v>0</v>
      </c>
      <c r="G155" s="320">
        <f>'Supply planning data'!I153</f>
        <v>0</v>
      </c>
      <c r="H155" s="105">
        <f>'Supply planning data'!J153</f>
        <v>0</v>
      </c>
      <c r="I155" s="320">
        <f>'Supply planning data'!K153</f>
        <v>0</v>
      </c>
      <c r="J155" s="177" t="str">
        <f>'Supply planning data'!L153</f>
        <v/>
      </c>
      <c r="K155" s="105">
        <f>'Supply planning data'!M153</f>
        <v>0</v>
      </c>
      <c r="L155" s="321">
        <f>'Supply planning data'!N153+'Supply planning data'!P153</f>
        <v>0</v>
      </c>
      <c r="M155" s="342">
        <f>'Supply planning data'!O153</f>
        <v>0</v>
      </c>
      <c r="N155" s="321">
        <f>'Supply planning data'!P153</f>
        <v>0</v>
      </c>
      <c r="O155" s="342">
        <f>'Supply planning data'!Q153</f>
        <v>0</v>
      </c>
      <c r="P155" s="111">
        <f>'Supply planning data'!R153</f>
        <v>0</v>
      </c>
      <c r="Q155" s="111">
        <f>'Supply planning data'!S153</f>
        <v>0</v>
      </c>
      <c r="R155" s="111">
        <f>'Supply planning data'!T153</f>
        <v>0</v>
      </c>
      <c r="S155" s="111">
        <f>'Supply planning data'!U153</f>
        <v>0</v>
      </c>
      <c r="T155" s="111">
        <f>'Supply planning data'!V153</f>
        <v>0</v>
      </c>
      <c r="U155" s="327" t="str">
        <f>'Supply planning data'!W153</f>
        <v/>
      </c>
      <c r="V155" s="111">
        <f>'Supply planning data'!X153</f>
        <v>0</v>
      </c>
      <c r="W155" s="321">
        <f>'Supply planning data'!Y153</f>
        <v>0</v>
      </c>
      <c r="X155" s="329">
        <f>'Supply planning data'!Z153</f>
        <v>0</v>
      </c>
      <c r="Y155" s="111">
        <f>'Supply planning data'!AA153</f>
        <v>0</v>
      </c>
      <c r="Z155" s="111">
        <f>'Supply planning data'!AB153</f>
        <v>0</v>
      </c>
      <c r="AA155" s="111">
        <f>'Supply planning data'!AC153</f>
        <v>0</v>
      </c>
      <c r="AB155" s="111">
        <f>'Supply planning data'!AD153</f>
        <v>0</v>
      </c>
      <c r="AC155" s="111">
        <f>'Supply planning data'!AE153</f>
        <v>0</v>
      </c>
      <c r="AD155" s="327" t="str">
        <f>'Supply planning data'!AF153</f>
        <v/>
      </c>
      <c r="AE155" s="111">
        <f>'Supply planning data'!AG153</f>
        <v>0</v>
      </c>
      <c r="AF155" s="321">
        <f>'Supply planning data'!AH153</f>
        <v>0</v>
      </c>
      <c r="AG155" s="349">
        <f>'Supply planning data'!AI153</f>
        <v>0</v>
      </c>
      <c r="AH155" s="111">
        <f>'Supply planning data'!AJ153</f>
        <v>0</v>
      </c>
      <c r="AI155" s="111">
        <f>'Supply planning data'!AK153</f>
        <v>0</v>
      </c>
      <c r="AJ155" s="111">
        <f>'Supply planning data'!AL153</f>
        <v>0</v>
      </c>
      <c r="AK155" s="111">
        <f>'Supply planning data'!AM153</f>
        <v>0</v>
      </c>
      <c r="AL155" s="111">
        <f>'Supply planning data'!AN153</f>
        <v>0</v>
      </c>
      <c r="AM155" s="327" t="str">
        <f>'Supply planning data'!AO153</f>
        <v/>
      </c>
    </row>
    <row r="156" spans="1:39" hidden="1" x14ac:dyDescent="0.25">
      <c r="A156" s="104" t="str">
        <f>'Supply planning data'!C154</f>
        <v/>
      </c>
      <c r="B156" s="298">
        <f>'Supply planning data'!D154</f>
        <v>44470</v>
      </c>
      <c r="C156" s="105" t="str">
        <f>'Supply planning data'!E154</f>
        <v>No</v>
      </c>
      <c r="D156" s="105">
        <f>'Supply planning data'!F154</f>
        <v>0</v>
      </c>
      <c r="E156" s="320">
        <f>'Supply planning data'!G154</f>
        <v>0</v>
      </c>
      <c r="F156" s="320">
        <f>'Supply planning data'!H154</f>
        <v>0</v>
      </c>
      <c r="G156" s="320">
        <f>'Supply planning data'!I154</f>
        <v>0</v>
      </c>
      <c r="H156" s="105">
        <f>'Supply planning data'!J154</f>
        <v>0</v>
      </c>
      <c r="I156" s="320">
        <f>'Supply planning data'!K154</f>
        <v>0</v>
      </c>
      <c r="J156" s="177" t="str">
        <f>'Supply planning data'!L154</f>
        <v/>
      </c>
      <c r="K156" s="105">
        <f>'Supply planning data'!M154</f>
        <v>0</v>
      </c>
      <c r="L156" s="321">
        <f>'Supply planning data'!N154+'Supply planning data'!P154</f>
        <v>0</v>
      </c>
      <c r="M156" s="342">
        <f>'Supply planning data'!O154</f>
        <v>0</v>
      </c>
      <c r="N156" s="321">
        <f>'Supply planning data'!P154</f>
        <v>0</v>
      </c>
      <c r="O156" s="342">
        <f>'Supply planning data'!Q154</f>
        <v>0</v>
      </c>
      <c r="P156" s="111">
        <f>'Supply planning data'!R154</f>
        <v>0</v>
      </c>
      <c r="Q156" s="111">
        <f>'Supply planning data'!S154</f>
        <v>0</v>
      </c>
      <c r="R156" s="111">
        <f>'Supply planning data'!T154</f>
        <v>0</v>
      </c>
      <c r="S156" s="111">
        <f>'Supply planning data'!U154</f>
        <v>0</v>
      </c>
      <c r="T156" s="111">
        <f>'Supply planning data'!V154</f>
        <v>0</v>
      </c>
      <c r="U156" s="327" t="str">
        <f>'Supply planning data'!W154</f>
        <v/>
      </c>
      <c r="V156" s="111">
        <f>'Supply planning data'!X154</f>
        <v>0</v>
      </c>
      <c r="W156" s="321">
        <f>'Supply planning data'!Y154</f>
        <v>0</v>
      </c>
      <c r="X156" s="329">
        <f>'Supply planning data'!Z154</f>
        <v>0</v>
      </c>
      <c r="Y156" s="111">
        <f>'Supply planning data'!AA154</f>
        <v>0</v>
      </c>
      <c r="Z156" s="111">
        <f>'Supply planning data'!AB154</f>
        <v>0</v>
      </c>
      <c r="AA156" s="111">
        <f>'Supply planning data'!AC154</f>
        <v>0</v>
      </c>
      <c r="AB156" s="111">
        <f>'Supply planning data'!AD154</f>
        <v>0</v>
      </c>
      <c r="AC156" s="111">
        <f>'Supply planning data'!AE154</f>
        <v>0</v>
      </c>
      <c r="AD156" s="327" t="str">
        <f>'Supply planning data'!AF154</f>
        <v/>
      </c>
      <c r="AE156" s="111">
        <f>'Supply planning data'!AG154</f>
        <v>0</v>
      </c>
      <c r="AF156" s="321">
        <f>'Supply planning data'!AH154</f>
        <v>0</v>
      </c>
      <c r="AG156" s="349">
        <f>'Supply planning data'!AI154</f>
        <v>0</v>
      </c>
      <c r="AH156" s="111">
        <f>'Supply planning data'!AJ154</f>
        <v>0</v>
      </c>
      <c r="AI156" s="111">
        <f>'Supply planning data'!AK154</f>
        <v>0</v>
      </c>
      <c r="AJ156" s="111">
        <f>'Supply planning data'!AL154</f>
        <v>0</v>
      </c>
      <c r="AK156" s="111">
        <f>'Supply planning data'!AM154</f>
        <v>0</v>
      </c>
      <c r="AL156" s="111">
        <f>'Supply planning data'!AN154</f>
        <v>0</v>
      </c>
      <c r="AM156" s="327" t="str">
        <f>'Supply planning data'!AO154</f>
        <v/>
      </c>
    </row>
    <row r="157" spans="1:39" x14ac:dyDescent="0.25">
      <c r="A157" s="90" t="str">
        <f>'Supply planning data'!C155</f>
        <v>AstraZeneca</v>
      </c>
      <c r="B157" s="296">
        <f>'Supply planning data'!D155</f>
        <v>44501</v>
      </c>
      <c r="C157" s="92" t="str">
        <f>'Supply planning data'!E155</f>
        <v>Yes</v>
      </c>
      <c r="D157" s="92">
        <f>'Supply planning data'!F155</f>
        <v>0</v>
      </c>
      <c r="E157" s="316">
        <f>'Supply planning data'!G155</f>
        <v>17980</v>
      </c>
      <c r="F157" s="316">
        <f>'Supply planning data'!H155</f>
        <v>18374</v>
      </c>
      <c r="G157" s="316">
        <f>'Supply planning data'!I155</f>
        <v>0</v>
      </c>
      <c r="H157" s="92">
        <f>'Supply planning data'!J155</f>
        <v>36354</v>
      </c>
      <c r="I157" s="316">
        <f>'Supply planning data'!K155</f>
        <v>0</v>
      </c>
      <c r="J157" s="174">
        <f>'Supply planning data'!L155</f>
        <v>0</v>
      </c>
      <c r="K157" s="92">
        <f>'Supply planning data'!M155</f>
        <v>36354</v>
      </c>
      <c r="L157" s="316">
        <f>'Supply planning data'!N155+'Supply planning data'!P155</f>
        <v>0</v>
      </c>
      <c r="M157" s="343">
        <f>'Supply planning data'!O155</f>
        <v>0</v>
      </c>
      <c r="N157" s="316">
        <f>'Supply planning data'!P155</f>
        <v>0</v>
      </c>
      <c r="O157" s="343">
        <f>'Supply planning data'!Q155</f>
        <v>0</v>
      </c>
      <c r="P157" s="92">
        <f>'Supply planning data'!R155</f>
        <v>354400</v>
      </c>
      <c r="Q157" s="92">
        <f>'Supply planning data'!S155</f>
        <v>0</v>
      </c>
      <c r="R157" s="92">
        <f>'Supply planning data'!T155</f>
        <v>0</v>
      </c>
      <c r="S157" s="92">
        <f>'Supply planning data'!U155</f>
        <v>0</v>
      </c>
      <c r="T157" s="92">
        <f>'Supply planning data'!V155</f>
        <v>318046</v>
      </c>
      <c r="U157" s="324">
        <f>'Supply planning data'!W155</f>
        <v>2.1088998616372772</v>
      </c>
      <c r="V157" s="92">
        <f>'Supply planning data'!X155</f>
        <v>790320</v>
      </c>
      <c r="W157" s="316">
        <f>'Supply planning data'!Y155</f>
        <v>0</v>
      </c>
      <c r="X157" s="328">
        <f>'Supply planning data'!Z155</f>
        <v>0</v>
      </c>
      <c r="Y157" s="92">
        <f>'Supply planning data'!AA155</f>
        <v>0</v>
      </c>
      <c r="Z157" s="92">
        <f>'Supply planning data'!AB155</f>
        <v>0</v>
      </c>
      <c r="AA157" s="92">
        <f>'Supply planning data'!AC155</f>
        <v>0</v>
      </c>
      <c r="AB157" s="92">
        <f>'Supply planning data'!AD155</f>
        <v>0</v>
      </c>
      <c r="AC157" s="92">
        <f>'Supply planning data'!AE155</f>
        <v>1108366</v>
      </c>
      <c r="AD157" s="324">
        <f>'Supply planning data'!AF155</f>
        <v>13.825081492815327</v>
      </c>
      <c r="AE157" s="92">
        <f>'Supply planning data'!AG155</f>
        <v>0</v>
      </c>
      <c r="AF157" s="316">
        <f>'Supply planning data'!AH155</f>
        <v>0</v>
      </c>
      <c r="AG157" s="174">
        <f>'Supply planning data'!AI155</f>
        <v>0</v>
      </c>
      <c r="AH157" s="92">
        <f>'Supply planning data'!AJ155</f>
        <v>0</v>
      </c>
      <c r="AI157" s="92">
        <f>'Supply planning data'!AK155</f>
        <v>0</v>
      </c>
      <c r="AJ157" s="92">
        <f>'Supply planning data'!AL155</f>
        <v>0</v>
      </c>
      <c r="AK157" s="92">
        <f>'Supply planning data'!AM155</f>
        <v>0</v>
      </c>
      <c r="AL157" s="92">
        <f>'Supply planning data'!AN155</f>
        <v>318046</v>
      </c>
      <c r="AM157" s="324">
        <f>'Supply planning data'!AO155</f>
        <v>3.967111828100053</v>
      </c>
    </row>
    <row r="158" spans="1:39" x14ac:dyDescent="0.25">
      <c r="A158" s="90" t="str">
        <f>'Supply planning data'!C156</f>
        <v>Jansen</v>
      </c>
      <c r="B158" s="296">
        <f>'Supply planning data'!D156</f>
        <v>44501</v>
      </c>
      <c r="C158" s="92" t="str">
        <f>'Supply planning data'!E156</f>
        <v>Yes</v>
      </c>
      <c r="D158" s="92">
        <f>'Supply planning data'!F156</f>
        <v>79889</v>
      </c>
      <c r="E158" s="316">
        <f>'Supply planning data'!G156</f>
        <v>364621</v>
      </c>
      <c r="F158" s="317">
        <f>'Supply planning data'!H156</f>
        <v>0</v>
      </c>
      <c r="G158" s="317">
        <f>'Supply planning data'!I156</f>
        <v>0</v>
      </c>
      <c r="H158" s="98">
        <f>'Supply planning data'!J156</f>
        <v>364621</v>
      </c>
      <c r="I158" s="317">
        <f>'Supply planning data'!K156</f>
        <v>600</v>
      </c>
      <c r="J158" s="175">
        <f>'Supply planning data'!L156</f>
        <v>1.6455442774826463E-3</v>
      </c>
      <c r="K158" s="98">
        <f>'Supply planning data'!M156</f>
        <v>365221</v>
      </c>
      <c r="L158" s="317">
        <f>'Supply planning data'!N156+'Supply planning data'!P156</f>
        <v>0</v>
      </c>
      <c r="M158" s="339">
        <f>'Supply planning data'!O156</f>
        <v>0</v>
      </c>
      <c r="N158" s="317">
        <f>'Supply planning data'!P156</f>
        <v>0</v>
      </c>
      <c r="O158" s="339">
        <f>'Supply planning data'!Q156</f>
        <v>0</v>
      </c>
      <c r="P158" s="98">
        <f>'Supply planning data'!R156</f>
        <v>1000800</v>
      </c>
      <c r="Q158" s="98">
        <f>'Supply planning data'!S156</f>
        <v>0</v>
      </c>
      <c r="R158" s="98">
        <f>'Supply planning data'!T156</f>
        <v>0</v>
      </c>
      <c r="S158" s="98">
        <f>'Supply planning data'!U156</f>
        <v>0</v>
      </c>
      <c r="T158" s="98">
        <f>'Supply planning data'!V156</f>
        <v>715468</v>
      </c>
      <c r="U158" s="325">
        <f>'Supply planning data'!W156</f>
        <v>3.6610623952077423</v>
      </c>
      <c r="V158" s="98">
        <f>'Supply planning data'!X156</f>
        <v>79889</v>
      </c>
      <c r="W158" s="317">
        <f>'Supply planning data'!Y156</f>
        <v>0</v>
      </c>
      <c r="X158" s="328">
        <f>'Supply planning data'!Z156</f>
        <v>0</v>
      </c>
      <c r="Y158" s="98">
        <f>'Supply planning data'!AA156</f>
        <v>0</v>
      </c>
      <c r="Z158" s="98">
        <f>'Supply planning data'!AB156</f>
        <v>0</v>
      </c>
      <c r="AA158" s="98">
        <f>'Supply planning data'!AC156</f>
        <v>0</v>
      </c>
      <c r="AB158" s="98">
        <f>'Supply planning data'!AD156</f>
        <v>0</v>
      </c>
      <c r="AC158" s="98">
        <f>'Supply planning data'!AE156</f>
        <v>715468</v>
      </c>
      <c r="AD158" s="325">
        <f>'Supply planning data'!AF156</f>
        <v>2.3883936569260951</v>
      </c>
      <c r="AE158" s="98">
        <f>'Supply planning data'!AG156</f>
        <v>79889</v>
      </c>
      <c r="AF158" s="317">
        <f>'Supply planning data'!AH156</f>
        <v>0</v>
      </c>
      <c r="AG158" s="175">
        <f>'Supply planning data'!AI156</f>
        <v>0</v>
      </c>
      <c r="AH158" s="98">
        <f>'Supply planning data'!AJ156</f>
        <v>0</v>
      </c>
      <c r="AI158" s="98">
        <f>'Supply planning data'!AK156</f>
        <v>0</v>
      </c>
      <c r="AJ158" s="98">
        <f>'Supply planning data'!AL156</f>
        <v>0</v>
      </c>
      <c r="AK158" s="98">
        <f>'Supply planning data'!AM156</f>
        <v>0</v>
      </c>
      <c r="AL158" s="98">
        <f>'Supply planning data'!AN156</f>
        <v>715468</v>
      </c>
      <c r="AM158" s="325">
        <f>'Supply planning data'!AO156</f>
        <v>2.3883936569260951</v>
      </c>
    </row>
    <row r="159" spans="1:39" x14ac:dyDescent="0.25">
      <c r="A159" s="90" t="str">
        <f>'Supply planning data'!C157</f>
        <v>Moderna</v>
      </c>
      <c r="B159" s="296">
        <f>'Supply planning data'!D157</f>
        <v>44501</v>
      </c>
      <c r="C159" s="92" t="str">
        <f>'Supply planning data'!E157</f>
        <v>No</v>
      </c>
      <c r="D159" s="92">
        <f>'Supply planning data'!F157</f>
        <v>0</v>
      </c>
      <c r="E159" s="316">
        <f>'Supply planning data'!G157</f>
        <v>0</v>
      </c>
      <c r="F159" s="317">
        <f>'Supply planning data'!H157</f>
        <v>0</v>
      </c>
      <c r="G159" s="317">
        <f>'Supply planning data'!I157</f>
        <v>0</v>
      </c>
      <c r="H159" s="98">
        <f>'Supply planning data'!J157</f>
        <v>0</v>
      </c>
      <c r="I159" s="317">
        <f>'Supply planning data'!K157</f>
        <v>0</v>
      </c>
      <c r="J159" s="175" t="str">
        <f>'Supply planning data'!L157</f>
        <v/>
      </c>
      <c r="K159" s="98">
        <f>'Supply planning data'!M157</f>
        <v>0</v>
      </c>
      <c r="L159" s="317">
        <f>'Supply planning data'!N157+'Supply planning data'!P157</f>
        <v>0</v>
      </c>
      <c r="M159" s="339">
        <f>'Supply planning data'!O157</f>
        <v>0</v>
      </c>
      <c r="N159" s="317">
        <f>'Supply planning data'!P157</f>
        <v>0</v>
      </c>
      <c r="O159" s="339">
        <f>'Supply planning data'!Q157</f>
        <v>0</v>
      </c>
      <c r="P159" s="98">
        <f>'Supply planning data'!R157</f>
        <v>0</v>
      </c>
      <c r="Q159" s="98">
        <f>'Supply planning data'!S157</f>
        <v>0</v>
      </c>
      <c r="R159" s="98">
        <f>'Supply planning data'!T157</f>
        <v>0</v>
      </c>
      <c r="S159" s="98">
        <f>'Supply planning data'!U157</f>
        <v>0</v>
      </c>
      <c r="T159" s="98">
        <f>'Supply planning data'!V157</f>
        <v>0</v>
      </c>
      <c r="U159" s="325" t="str">
        <f>'Supply planning data'!W157</f>
        <v/>
      </c>
      <c r="V159" s="98">
        <f>'Supply planning data'!X157</f>
        <v>0</v>
      </c>
      <c r="W159" s="317">
        <f>'Supply planning data'!Y157</f>
        <v>0</v>
      </c>
      <c r="X159" s="328">
        <f>'Supply planning data'!Z157</f>
        <v>0</v>
      </c>
      <c r="Y159" s="98">
        <f>'Supply planning data'!AA157</f>
        <v>0</v>
      </c>
      <c r="Z159" s="98">
        <f>'Supply planning data'!AB157</f>
        <v>0</v>
      </c>
      <c r="AA159" s="98">
        <f>'Supply planning data'!AC157</f>
        <v>0</v>
      </c>
      <c r="AB159" s="98">
        <f>'Supply planning data'!AD157</f>
        <v>0</v>
      </c>
      <c r="AC159" s="98">
        <f>'Supply planning data'!AE157</f>
        <v>0</v>
      </c>
      <c r="AD159" s="325" t="str">
        <f>'Supply planning data'!AF157</f>
        <v/>
      </c>
      <c r="AE159" s="98">
        <f>'Supply planning data'!AG157</f>
        <v>0</v>
      </c>
      <c r="AF159" s="317">
        <f>'Supply planning data'!AH157</f>
        <v>0</v>
      </c>
      <c r="AG159" s="175">
        <f>'Supply planning data'!AI157</f>
        <v>0</v>
      </c>
      <c r="AH159" s="98">
        <f>'Supply planning data'!AJ157</f>
        <v>0</v>
      </c>
      <c r="AI159" s="98">
        <f>'Supply planning data'!AK157</f>
        <v>0</v>
      </c>
      <c r="AJ159" s="98">
        <f>'Supply planning data'!AL157</f>
        <v>0</v>
      </c>
      <c r="AK159" s="98">
        <f>'Supply planning data'!AM157</f>
        <v>0</v>
      </c>
      <c r="AL159" s="98">
        <f>'Supply planning data'!AN157</f>
        <v>0</v>
      </c>
      <c r="AM159" s="325" t="str">
        <f>'Supply planning data'!AO157</f>
        <v/>
      </c>
    </row>
    <row r="160" spans="1:39" x14ac:dyDescent="0.25">
      <c r="A160" s="90" t="str">
        <f>'Supply planning data'!C158</f>
        <v>Pfizer</v>
      </c>
      <c r="B160" s="296">
        <f>'Supply planning data'!D158</f>
        <v>44501</v>
      </c>
      <c r="C160" s="92" t="str">
        <f>'Supply planning data'!E158</f>
        <v>Yes</v>
      </c>
      <c r="D160" s="92">
        <f>'Supply planning data'!F158</f>
        <v>0</v>
      </c>
      <c r="E160" s="316">
        <f>'Supply planning data'!G158</f>
        <v>0</v>
      </c>
      <c r="F160" s="317">
        <f>'Supply planning data'!H158</f>
        <v>0</v>
      </c>
      <c r="G160" s="317">
        <f>'Supply planning data'!I158</f>
        <v>0</v>
      </c>
      <c r="H160" s="98">
        <f>'Supply planning data'!J158</f>
        <v>0</v>
      </c>
      <c r="I160" s="317">
        <f>'Supply planning data'!K158</f>
        <v>0</v>
      </c>
      <c r="J160" s="175" t="str">
        <f>'Supply planning data'!L158</f>
        <v/>
      </c>
      <c r="K160" s="98">
        <f>'Supply planning data'!M158</f>
        <v>0</v>
      </c>
      <c r="L160" s="317">
        <f>'Supply planning data'!N158+'Supply planning data'!P158</f>
        <v>0</v>
      </c>
      <c r="M160" s="339">
        <f>'Supply planning data'!O158</f>
        <v>0</v>
      </c>
      <c r="N160" s="317">
        <f>'Supply planning data'!P158</f>
        <v>0</v>
      </c>
      <c r="O160" s="339">
        <f>'Supply planning data'!Q158</f>
        <v>0</v>
      </c>
      <c r="P160" s="98">
        <f>'Supply planning data'!R158</f>
        <v>0</v>
      </c>
      <c r="Q160" s="98">
        <f>'Supply planning data'!S158</f>
        <v>0</v>
      </c>
      <c r="R160" s="98">
        <f>'Supply planning data'!T158</f>
        <v>0</v>
      </c>
      <c r="S160" s="98">
        <f>'Supply planning data'!U158</f>
        <v>0</v>
      </c>
      <c r="T160" s="98">
        <f>'Supply planning data'!V158</f>
        <v>0</v>
      </c>
      <c r="U160" s="325" t="str">
        <f>'Supply planning data'!W158</f>
        <v/>
      </c>
      <c r="V160" s="98">
        <f>'Supply planning data'!X158</f>
        <v>0</v>
      </c>
      <c r="W160" s="317">
        <f>'Supply planning data'!Y158</f>
        <v>0</v>
      </c>
      <c r="X160" s="328">
        <f>'Supply planning data'!Z158</f>
        <v>0</v>
      </c>
      <c r="Y160" s="98">
        <f>'Supply planning data'!AA158</f>
        <v>0</v>
      </c>
      <c r="Z160" s="98">
        <f>'Supply planning data'!AB158</f>
        <v>0</v>
      </c>
      <c r="AA160" s="98">
        <f>'Supply planning data'!AC158</f>
        <v>0</v>
      </c>
      <c r="AB160" s="98">
        <f>'Supply planning data'!AD158</f>
        <v>0</v>
      </c>
      <c r="AC160" s="98">
        <f>'Supply planning data'!AE158</f>
        <v>0</v>
      </c>
      <c r="AD160" s="325" t="str">
        <f>'Supply planning data'!AF158</f>
        <v/>
      </c>
      <c r="AE160" s="98">
        <f>'Supply planning data'!AG158</f>
        <v>0</v>
      </c>
      <c r="AF160" s="317">
        <f>'Supply planning data'!AH158</f>
        <v>0</v>
      </c>
      <c r="AG160" s="175">
        <f>'Supply planning data'!AI158</f>
        <v>0</v>
      </c>
      <c r="AH160" s="98">
        <f>'Supply planning data'!AJ158</f>
        <v>0</v>
      </c>
      <c r="AI160" s="98">
        <f>'Supply planning data'!AK158</f>
        <v>0</v>
      </c>
      <c r="AJ160" s="98">
        <f>'Supply planning data'!AL158</f>
        <v>0</v>
      </c>
      <c r="AK160" s="98">
        <f>'Supply planning data'!AM158</f>
        <v>0</v>
      </c>
      <c r="AL160" s="98">
        <f>'Supply planning data'!AN158</f>
        <v>0</v>
      </c>
      <c r="AM160" s="325" t="str">
        <f>'Supply planning data'!AO158</f>
        <v/>
      </c>
    </row>
    <row r="161" spans="1:39" x14ac:dyDescent="0.25">
      <c r="A161" s="90" t="str">
        <f>'Supply planning data'!C159</f>
        <v>Sinovac</v>
      </c>
      <c r="B161" s="296">
        <f>'Supply planning data'!D159</f>
        <v>44501</v>
      </c>
      <c r="C161" s="92" t="str">
        <f>'Supply planning data'!E159</f>
        <v>No</v>
      </c>
      <c r="D161" s="92">
        <f>'Supply planning data'!F159</f>
        <v>0</v>
      </c>
      <c r="E161" s="316">
        <f>'Supply planning data'!G159</f>
        <v>0</v>
      </c>
      <c r="F161" s="317">
        <f>'Supply planning data'!H159</f>
        <v>0</v>
      </c>
      <c r="G161" s="317">
        <f>'Supply planning data'!I159</f>
        <v>0</v>
      </c>
      <c r="H161" s="98">
        <f>'Supply planning data'!J159</f>
        <v>0</v>
      </c>
      <c r="I161" s="317">
        <f>'Supply planning data'!K159</f>
        <v>0</v>
      </c>
      <c r="J161" s="175" t="str">
        <f>'Supply planning data'!L159</f>
        <v/>
      </c>
      <c r="K161" s="98">
        <f>'Supply planning data'!M159</f>
        <v>0</v>
      </c>
      <c r="L161" s="317">
        <f>'Supply planning data'!N159+'Supply planning data'!P159</f>
        <v>0</v>
      </c>
      <c r="M161" s="339">
        <f>'Supply planning data'!O159</f>
        <v>0</v>
      </c>
      <c r="N161" s="317">
        <f>'Supply planning data'!P159</f>
        <v>0</v>
      </c>
      <c r="O161" s="339">
        <f>'Supply planning data'!Q159</f>
        <v>0</v>
      </c>
      <c r="P161" s="98">
        <f>'Supply planning data'!R159</f>
        <v>0</v>
      </c>
      <c r="Q161" s="98">
        <f>'Supply planning data'!S159</f>
        <v>0</v>
      </c>
      <c r="R161" s="98">
        <f>'Supply planning data'!T159</f>
        <v>0</v>
      </c>
      <c r="S161" s="98">
        <f>'Supply planning data'!U159</f>
        <v>0</v>
      </c>
      <c r="T161" s="98">
        <f>'Supply planning data'!V159</f>
        <v>0</v>
      </c>
      <c r="U161" s="325" t="str">
        <f>'Supply planning data'!W159</f>
        <v/>
      </c>
      <c r="V161" s="98">
        <f>'Supply planning data'!X159</f>
        <v>0</v>
      </c>
      <c r="W161" s="317">
        <f>'Supply planning data'!Y159</f>
        <v>0</v>
      </c>
      <c r="X161" s="328">
        <f>'Supply planning data'!Z159</f>
        <v>0</v>
      </c>
      <c r="Y161" s="98">
        <f>'Supply planning data'!AA159</f>
        <v>0</v>
      </c>
      <c r="Z161" s="98">
        <f>'Supply planning data'!AB159</f>
        <v>0</v>
      </c>
      <c r="AA161" s="98">
        <f>'Supply planning data'!AC159</f>
        <v>0</v>
      </c>
      <c r="AB161" s="98">
        <f>'Supply planning data'!AD159</f>
        <v>0</v>
      </c>
      <c r="AC161" s="98">
        <f>'Supply planning data'!AE159</f>
        <v>0</v>
      </c>
      <c r="AD161" s="325" t="str">
        <f>'Supply planning data'!AF159</f>
        <v/>
      </c>
      <c r="AE161" s="98">
        <f>'Supply planning data'!AG159</f>
        <v>0</v>
      </c>
      <c r="AF161" s="317">
        <f>'Supply planning data'!AH159</f>
        <v>0</v>
      </c>
      <c r="AG161" s="175">
        <f>'Supply planning data'!AI159</f>
        <v>0</v>
      </c>
      <c r="AH161" s="98">
        <f>'Supply planning data'!AJ159</f>
        <v>0</v>
      </c>
      <c r="AI161" s="98">
        <f>'Supply planning data'!AK159</f>
        <v>0</v>
      </c>
      <c r="AJ161" s="98">
        <f>'Supply planning data'!AL159</f>
        <v>0</v>
      </c>
      <c r="AK161" s="98">
        <f>'Supply planning data'!AM159</f>
        <v>0</v>
      </c>
      <c r="AL161" s="98">
        <f>'Supply planning data'!AN159</f>
        <v>0</v>
      </c>
      <c r="AM161" s="325" t="str">
        <f>'Supply planning data'!AO159</f>
        <v/>
      </c>
    </row>
    <row r="162" spans="1:39" hidden="1" x14ac:dyDescent="0.25">
      <c r="A162" s="90" t="str">
        <f>'Supply planning data'!C160</f>
        <v/>
      </c>
      <c r="B162" s="296">
        <f>'Supply planning data'!D160</f>
        <v>44501</v>
      </c>
      <c r="C162" s="92" t="str">
        <f>'Supply planning data'!E160</f>
        <v>No</v>
      </c>
      <c r="D162" s="92">
        <f>'Supply planning data'!F160</f>
        <v>0</v>
      </c>
      <c r="E162" s="316">
        <f>'Supply planning data'!G160</f>
        <v>0</v>
      </c>
      <c r="F162" s="317">
        <f>'Supply planning data'!H160</f>
        <v>0</v>
      </c>
      <c r="G162" s="317">
        <f>'Supply planning data'!I160</f>
        <v>0</v>
      </c>
      <c r="H162" s="98">
        <f>'Supply planning data'!J160</f>
        <v>0</v>
      </c>
      <c r="I162" s="317">
        <f>'Supply planning data'!K160</f>
        <v>0</v>
      </c>
      <c r="J162" s="175" t="str">
        <f>'Supply planning data'!L160</f>
        <v/>
      </c>
      <c r="K162" s="98">
        <f>'Supply planning data'!M160</f>
        <v>0</v>
      </c>
      <c r="L162" s="317">
        <f>'Supply planning data'!N160+'Supply planning data'!P160</f>
        <v>0</v>
      </c>
      <c r="M162" s="339">
        <f>'Supply planning data'!O160</f>
        <v>0</v>
      </c>
      <c r="N162" s="317">
        <f>'Supply planning data'!P160</f>
        <v>0</v>
      </c>
      <c r="O162" s="339">
        <f>'Supply planning data'!Q160</f>
        <v>0</v>
      </c>
      <c r="P162" s="98">
        <f>'Supply planning data'!R160</f>
        <v>0</v>
      </c>
      <c r="Q162" s="98">
        <f>'Supply planning data'!S160</f>
        <v>0</v>
      </c>
      <c r="R162" s="98">
        <f>'Supply planning data'!T160</f>
        <v>0</v>
      </c>
      <c r="S162" s="98">
        <f>'Supply planning data'!U160</f>
        <v>0</v>
      </c>
      <c r="T162" s="98">
        <f>'Supply planning data'!V160</f>
        <v>0</v>
      </c>
      <c r="U162" s="325" t="str">
        <f>'Supply planning data'!W160</f>
        <v/>
      </c>
      <c r="V162" s="98">
        <f>'Supply planning data'!X160</f>
        <v>0</v>
      </c>
      <c r="W162" s="317">
        <f>'Supply planning data'!Y160</f>
        <v>0</v>
      </c>
      <c r="X162" s="328">
        <f>'Supply planning data'!Z160</f>
        <v>0</v>
      </c>
      <c r="Y162" s="98">
        <f>'Supply planning data'!AA160</f>
        <v>0</v>
      </c>
      <c r="Z162" s="98">
        <f>'Supply planning data'!AB160</f>
        <v>0</v>
      </c>
      <c r="AA162" s="98">
        <f>'Supply planning data'!AC160</f>
        <v>0</v>
      </c>
      <c r="AB162" s="98">
        <f>'Supply planning data'!AD160</f>
        <v>0</v>
      </c>
      <c r="AC162" s="98">
        <f>'Supply planning data'!AE160</f>
        <v>0</v>
      </c>
      <c r="AD162" s="325" t="str">
        <f>'Supply planning data'!AF160</f>
        <v/>
      </c>
      <c r="AE162" s="98">
        <f>'Supply planning data'!AG160</f>
        <v>0</v>
      </c>
      <c r="AF162" s="317">
        <f>'Supply planning data'!AH160</f>
        <v>0</v>
      </c>
      <c r="AG162" s="175">
        <f>'Supply planning data'!AI160</f>
        <v>0</v>
      </c>
      <c r="AH162" s="98">
        <f>'Supply planning data'!AJ160</f>
        <v>0</v>
      </c>
      <c r="AI162" s="98">
        <f>'Supply planning data'!AK160</f>
        <v>0</v>
      </c>
      <c r="AJ162" s="98">
        <f>'Supply planning data'!AL160</f>
        <v>0</v>
      </c>
      <c r="AK162" s="98">
        <f>'Supply planning data'!AM160</f>
        <v>0</v>
      </c>
      <c r="AL162" s="98">
        <f>'Supply planning data'!AN160</f>
        <v>0</v>
      </c>
      <c r="AM162" s="325" t="str">
        <f>'Supply planning data'!AO160</f>
        <v/>
      </c>
    </row>
    <row r="163" spans="1:39" hidden="1" x14ac:dyDescent="0.25">
      <c r="A163" s="90" t="str">
        <f>'Supply planning data'!C161</f>
        <v/>
      </c>
      <c r="B163" s="296">
        <f>'Supply planning data'!D161</f>
        <v>44501</v>
      </c>
      <c r="C163" s="92" t="str">
        <f>'Supply planning data'!E161</f>
        <v>No</v>
      </c>
      <c r="D163" s="92">
        <f>'Supply planning data'!F161</f>
        <v>0</v>
      </c>
      <c r="E163" s="316">
        <f>'Supply planning data'!G161</f>
        <v>0</v>
      </c>
      <c r="F163" s="317">
        <f>'Supply planning data'!H161</f>
        <v>0</v>
      </c>
      <c r="G163" s="317">
        <f>'Supply planning data'!I161</f>
        <v>0</v>
      </c>
      <c r="H163" s="98">
        <f>'Supply planning data'!J161</f>
        <v>0</v>
      </c>
      <c r="I163" s="317">
        <f>'Supply planning data'!K161</f>
        <v>0</v>
      </c>
      <c r="J163" s="175" t="str">
        <f>'Supply planning data'!L161</f>
        <v/>
      </c>
      <c r="K163" s="98">
        <f>'Supply planning data'!M161</f>
        <v>0</v>
      </c>
      <c r="L163" s="317">
        <f>'Supply planning data'!N161+'Supply planning data'!P161</f>
        <v>0</v>
      </c>
      <c r="M163" s="339">
        <f>'Supply planning data'!O161</f>
        <v>0</v>
      </c>
      <c r="N163" s="317">
        <f>'Supply planning data'!P161</f>
        <v>0</v>
      </c>
      <c r="O163" s="339">
        <f>'Supply planning data'!Q161</f>
        <v>0</v>
      </c>
      <c r="P163" s="98">
        <f>'Supply planning data'!R161</f>
        <v>0</v>
      </c>
      <c r="Q163" s="98">
        <f>'Supply planning data'!S161</f>
        <v>0</v>
      </c>
      <c r="R163" s="98">
        <f>'Supply planning data'!T161</f>
        <v>0</v>
      </c>
      <c r="S163" s="98">
        <f>'Supply planning data'!U161</f>
        <v>0</v>
      </c>
      <c r="T163" s="98">
        <f>'Supply planning data'!V161</f>
        <v>0</v>
      </c>
      <c r="U163" s="325" t="str">
        <f>'Supply planning data'!W161</f>
        <v/>
      </c>
      <c r="V163" s="98">
        <f>'Supply planning data'!X161</f>
        <v>0</v>
      </c>
      <c r="W163" s="317">
        <f>'Supply planning data'!Y161</f>
        <v>0</v>
      </c>
      <c r="X163" s="328">
        <f>'Supply planning data'!Z161</f>
        <v>0</v>
      </c>
      <c r="Y163" s="98">
        <f>'Supply planning data'!AA161</f>
        <v>0</v>
      </c>
      <c r="Z163" s="98">
        <f>'Supply planning data'!AB161</f>
        <v>0</v>
      </c>
      <c r="AA163" s="98">
        <f>'Supply planning data'!AC161</f>
        <v>0</v>
      </c>
      <c r="AB163" s="98">
        <f>'Supply planning data'!AD161</f>
        <v>0</v>
      </c>
      <c r="AC163" s="98">
        <f>'Supply planning data'!AE161</f>
        <v>0</v>
      </c>
      <c r="AD163" s="325" t="str">
        <f>'Supply planning data'!AF161</f>
        <v/>
      </c>
      <c r="AE163" s="98">
        <f>'Supply planning data'!AG161</f>
        <v>0</v>
      </c>
      <c r="AF163" s="317">
        <f>'Supply planning data'!AH161</f>
        <v>0</v>
      </c>
      <c r="AG163" s="175">
        <f>'Supply planning data'!AI161</f>
        <v>0</v>
      </c>
      <c r="AH163" s="98">
        <f>'Supply planning data'!AJ161</f>
        <v>0</v>
      </c>
      <c r="AI163" s="98">
        <f>'Supply planning data'!AK161</f>
        <v>0</v>
      </c>
      <c r="AJ163" s="98">
        <f>'Supply planning data'!AL161</f>
        <v>0</v>
      </c>
      <c r="AK163" s="98">
        <f>'Supply planning data'!AM161</f>
        <v>0</v>
      </c>
      <c r="AL163" s="98">
        <f>'Supply planning data'!AN161</f>
        <v>0</v>
      </c>
      <c r="AM163" s="325" t="str">
        <f>'Supply planning data'!AO161</f>
        <v/>
      </c>
    </row>
    <row r="164" spans="1:39" hidden="1" x14ac:dyDescent="0.25">
      <c r="A164" s="90" t="str">
        <f>'Supply planning data'!C162</f>
        <v/>
      </c>
      <c r="B164" s="296">
        <f>'Supply planning data'!D162</f>
        <v>44501</v>
      </c>
      <c r="C164" s="92" t="str">
        <f>'Supply planning data'!E162</f>
        <v>No</v>
      </c>
      <c r="D164" s="92">
        <f>'Supply planning data'!F162</f>
        <v>0</v>
      </c>
      <c r="E164" s="316">
        <f>'Supply planning data'!G162</f>
        <v>0</v>
      </c>
      <c r="F164" s="317">
        <f>'Supply planning data'!H162</f>
        <v>0</v>
      </c>
      <c r="G164" s="317">
        <f>'Supply planning data'!I162</f>
        <v>0</v>
      </c>
      <c r="H164" s="98">
        <f>'Supply planning data'!J162</f>
        <v>0</v>
      </c>
      <c r="I164" s="317">
        <f>'Supply planning data'!K162</f>
        <v>0</v>
      </c>
      <c r="J164" s="175" t="str">
        <f>'Supply planning data'!L162</f>
        <v/>
      </c>
      <c r="K164" s="98">
        <f>'Supply planning data'!M162</f>
        <v>0</v>
      </c>
      <c r="L164" s="317">
        <f>'Supply planning data'!N162+'Supply planning data'!P162</f>
        <v>0</v>
      </c>
      <c r="M164" s="339">
        <f>'Supply planning data'!O162</f>
        <v>0</v>
      </c>
      <c r="N164" s="317">
        <f>'Supply planning data'!P162</f>
        <v>0</v>
      </c>
      <c r="O164" s="339">
        <f>'Supply planning data'!Q162</f>
        <v>0</v>
      </c>
      <c r="P164" s="98">
        <f>'Supply planning data'!R162</f>
        <v>0</v>
      </c>
      <c r="Q164" s="98">
        <f>'Supply planning data'!S162</f>
        <v>0</v>
      </c>
      <c r="R164" s="98">
        <f>'Supply planning data'!T162</f>
        <v>0</v>
      </c>
      <c r="S164" s="98">
        <f>'Supply planning data'!U162</f>
        <v>0</v>
      </c>
      <c r="T164" s="98">
        <f>'Supply planning data'!V162</f>
        <v>0</v>
      </c>
      <c r="U164" s="325" t="str">
        <f>'Supply planning data'!W162</f>
        <v/>
      </c>
      <c r="V164" s="98">
        <f>'Supply planning data'!X162</f>
        <v>0</v>
      </c>
      <c r="W164" s="317">
        <f>'Supply planning data'!Y162</f>
        <v>0</v>
      </c>
      <c r="X164" s="328">
        <f>'Supply planning data'!Z162</f>
        <v>0</v>
      </c>
      <c r="Y164" s="98">
        <f>'Supply planning data'!AA162</f>
        <v>0</v>
      </c>
      <c r="Z164" s="98">
        <f>'Supply planning data'!AB162</f>
        <v>0</v>
      </c>
      <c r="AA164" s="98">
        <f>'Supply planning data'!AC162</f>
        <v>0</v>
      </c>
      <c r="AB164" s="98">
        <f>'Supply planning data'!AD162</f>
        <v>0</v>
      </c>
      <c r="AC164" s="98">
        <f>'Supply planning data'!AE162</f>
        <v>0</v>
      </c>
      <c r="AD164" s="325" t="str">
        <f>'Supply planning data'!AF162</f>
        <v/>
      </c>
      <c r="AE164" s="98">
        <f>'Supply planning data'!AG162</f>
        <v>0</v>
      </c>
      <c r="AF164" s="317">
        <f>'Supply planning data'!AH162</f>
        <v>0</v>
      </c>
      <c r="AG164" s="175">
        <f>'Supply planning data'!AI162</f>
        <v>0</v>
      </c>
      <c r="AH164" s="98">
        <f>'Supply planning data'!AJ162</f>
        <v>0</v>
      </c>
      <c r="AI164" s="98">
        <f>'Supply planning data'!AK162</f>
        <v>0</v>
      </c>
      <c r="AJ164" s="98">
        <f>'Supply planning data'!AL162</f>
        <v>0</v>
      </c>
      <c r="AK164" s="98">
        <f>'Supply planning data'!AM162</f>
        <v>0</v>
      </c>
      <c r="AL164" s="98">
        <f>'Supply planning data'!AN162</f>
        <v>0</v>
      </c>
      <c r="AM164" s="325" t="str">
        <f>'Supply planning data'!AO162</f>
        <v/>
      </c>
    </row>
    <row r="165" spans="1:39" hidden="1" x14ac:dyDescent="0.25">
      <c r="A165" s="90" t="str">
        <f>'Supply planning data'!C163</f>
        <v/>
      </c>
      <c r="B165" s="296">
        <f>'Supply planning data'!D163</f>
        <v>44501</v>
      </c>
      <c r="C165" s="92" t="str">
        <f>'Supply planning data'!E163</f>
        <v>No</v>
      </c>
      <c r="D165" s="92">
        <f>'Supply planning data'!F163</f>
        <v>0</v>
      </c>
      <c r="E165" s="316">
        <f>'Supply planning data'!G163</f>
        <v>0</v>
      </c>
      <c r="F165" s="317">
        <f>'Supply planning data'!H163</f>
        <v>0</v>
      </c>
      <c r="G165" s="317">
        <f>'Supply planning data'!I163</f>
        <v>0</v>
      </c>
      <c r="H165" s="98">
        <f>'Supply planning data'!J163</f>
        <v>0</v>
      </c>
      <c r="I165" s="317">
        <f>'Supply planning data'!K163</f>
        <v>0</v>
      </c>
      <c r="J165" s="175" t="str">
        <f>'Supply planning data'!L163</f>
        <v/>
      </c>
      <c r="K165" s="98">
        <f>'Supply planning data'!M163</f>
        <v>0</v>
      </c>
      <c r="L165" s="317">
        <f>'Supply planning data'!N163+'Supply planning data'!P163</f>
        <v>0</v>
      </c>
      <c r="M165" s="339">
        <f>'Supply planning data'!O163</f>
        <v>0</v>
      </c>
      <c r="N165" s="317">
        <f>'Supply planning data'!P163</f>
        <v>0</v>
      </c>
      <c r="O165" s="339">
        <f>'Supply planning data'!Q163</f>
        <v>0</v>
      </c>
      <c r="P165" s="98">
        <f>'Supply planning data'!R163</f>
        <v>0</v>
      </c>
      <c r="Q165" s="98">
        <f>'Supply planning data'!S163</f>
        <v>0</v>
      </c>
      <c r="R165" s="98">
        <f>'Supply planning data'!T163</f>
        <v>0</v>
      </c>
      <c r="S165" s="98">
        <f>'Supply planning data'!U163</f>
        <v>0</v>
      </c>
      <c r="T165" s="98">
        <f>'Supply planning data'!V163</f>
        <v>0</v>
      </c>
      <c r="U165" s="325" t="str">
        <f>'Supply planning data'!W163</f>
        <v/>
      </c>
      <c r="V165" s="98">
        <f>'Supply planning data'!X163</f>
        <v>0</v>
      </c>
      <c r="W165" s="317">
        <f>'Supply planning data'!Y163</f>
        <v>0</v>
      </c>
      <c r="X165" s="328">
        <f>'Supply planning data'!Z163</f>
        <v>0</v>
      </c>
      <c r="Y165" s="98">
        <f>'Supply planning data'!AA163</f>
        <v>0</v>
      </c>
      <c r="Z165" s="98">
        <f>'Supply planning data'!AB163</f>
        <v>0</v>
      </c>
      <c r="AA165" s="98">
        <f>'Supply planning data'!AC163</f>
        <v>0</v>
      </c>
      <c r="AB165" s="98">
        <f>'Supply planning data'!AD163</f>
        <v>0</v>
      </c>
      <c r="AC165" s="98">
        <f>'Supply planning data'!AE163</f>
        <v>0</v>
      </c>
      <c r="AD165" s="325" t="str">
        <f>'Supply planning data'!AF163</f>
        <v/>
      </c>
      <c r="AE165" s="98">
        <f>'Supply planning data'!AG163</f>
        <v>0</v>
      </c>
      <c r="AF165" s="317">
        <f>'Supply planning data'!AH163</f>
        <v>0</v>
      </c>
      <c r="AG165" s="175">
        <f>'Supply planning data'!AI163</f>
        <v>0</v>
      </c>
      <c r="AH165" s="98">
        <f>'Supply planning data'!AJ163</f>
        <v>0</v>
      </c>
      <c r="AI165" s="98">
        <f>'Supply planning data'!AK163</f>
        <v>0</v>
      </c>
      <c r="AJ165" s="98">
        <f>'Supply planning data'!AL163</f>
        <v>0</v>
      </c>
      <c r="AK165" s="98">
        <f>'Supply planning data'!AM163</f>
        <v>0</v>
      </c>
      <c r="AL165" s="98">
        <f>'Supply planning data'!AN163</f>
        <v>0</v>
      </c>
      <c r="AM165" s="325" t="str">
        <f>'Supply planning data'!AO163</f>
        <v/>
      </c>
    </row>
    <row r="166" spans="1:39" hidden="1" x14ac:dyDescent="0.25">
      <c r="A166" s="90" t="str">
        <f>'Supply planning data'!C164</f>
        <v/>
      </c>
      <c r="B166" s="296">
        <f>'Supply planning data'!D164</f>
        <v>44501</v>
      </c>
      <c r="C166" s="92" t="str">
        <f>'Supply planning data'!E164</f>
        <v>No</v>
      </c>
      <c r="D166" s="92">
        <f>'Supply planning data'!F164</f>
        <v>0</v>
      </c>
      <c r="E166" s="316">
        <f>'Supply planning data'!G164</f>
        <v>0</v>
      </c>
      <c r="F166" s="317">
        <f>'Supply planning data'!H164</f>
        <v>0</v>
      </c>
      <c r="G166" s="317">
        <f>'Supply planning data'!I164</f>
        <v>0</v>
      </c>
      <c r="H166" s="98">
        <f>'Supply planning data'!J164</f>
        <v>0</v>
      </c>
      <c r="I166" s="317">
        <f>'Supply planning data'!K164</f>
        <v>0</v>
      </c>
      <c r="J166" s="175" t="str">
        <f>'Supply planning data'!L164</f>
        <v/>
      </c>
      <c r="K166" s="98">
        <f>'Supply planning data'!M164</f>
        <v>0</v>
      </c>
      <c r="L166" s="317">
        <f>'Supply planning data'!N164+'Supply planning data'!P164</f>
        <v>0</v>
      </c>
      <c r="M166" s="339">
        <f>'Supply planning data'!O164</f>
        <v>0</v>
      </c>
      <c r="N166" s="317">
        <f>'Supply planning data'!P164</f>
        <v>0</v>
      </c>
      <c r="O166" s="339">
        <f>'Supply planning data'!Q164</f>
        <v>0</v>
      </c>
      <c r="P166" s="98">
        <f>'Supply planning data'!R164</f>
        <v>0</v>
      </c>
      <c r="Q166" s="98">
        <f>'Supply planning data'!S164</f>
        <v>0</v>
      </c>
      <c r="R166" s="98">
        <f>'Supply planning data'!T164</f>
        <v>0</v>
      </c>
      <c r="S166" s="98">
        <f>'Supply planning data'!U164</f>
        <v>0</v>
      </c>
      <c r="T166" s="98">
        <f>'Supply planning data'!V164</f>
        <v>0</v>
      </c>
      <c r="U166" s="325" t="str">
        <f>'Supply planning data'!W164</f>
        <v/>
      </c>
      <c r="V166" s="98">
        <f>'Supply planning data'!X164</f>
        <v>0</v>
      </c>
      <c r="W166" s="317">
        <f>'Supply planning data'!Y164</f>
        <v>0</v>
      </c>
      <c r="X166" s="328">
        <f>'Supply planning data'!Z164</f>
        <v>0</v>
      </c>
      <c r="Y166" s="98">
        <f>'Supply planning data'!AA164</f>
        <v>0</v>
      </c>
      <c r="Z166" s="98">
        <f>'Supply planning data'!AB164</f>
        <v>0</v>
      </c>
      <c r="AA166" s="98">
        <f>'Supply planning data'!AC164</f>
        <v>0</v>
      </c>
      <c r="AB166" s="98">
        <f>'Supply planning data'!AD164</f>
        <v>0</v>
      </c>
      <c r="AC166" s="98">
        <f>'Supply planning data'!AE164</f>
        <v>0</v>
      </c>
      <c r="AD166" s="325" t="str">
        <f>'Supply planning data'!AF164</f>
        <v/>
      </c>
      <c r="AE166" s="98">
        <f>'Supply planning data'!AG164</f>
        <v>0</v>
      </c>
      <c r="AF166" s="317">
        <f>'Supply planning data'!AH164</f>
        <v>0</v>
      </c>
      <c r="AG166" s="175">
        <f>'Supply planning data'!AI164</f>
        <v>0</v>
      </c>
      <c r="AH166" s="98">
        <f>'Supply planning data'!AJ164</f>
        <v>0</v>
      </c>
      <c r="AI166" s="98">
        <f>'Supply planning data'!AK164</f>
        <v>0</v>
      </c>
      <c r="AJ166" s="98">
        <f>'Supply planning data'!AL164</f>
        <v>0</v>
      </c>
      <c r="AK166" s="98">
        <f>'Supply planning data'!AM164</f>
        <v>0</v>
      </c>
      <c r="AL166" s="98">
        <f>'Supply planning data'!AN164</f>
        <v>0</v>
      </c>
      <c r="AM166" s="325" t="str">
        <f>'Supply planning data'!AO164</f>
        <v/>
      </c>
    </row>
    <row r="167" spans="1:39" hidden="1" x14ac:dyDescent="0.25">
      <c r="A167" s="90" t="str">
        <f>'Supply planning data'!C165</f>
        <v/>
      </c>
      <c r="B167" s="296">
        <f>'Supply planning data'!D165</f>
        <v>44501</v>
      </c>
      <c r="C167" s="92" t="str">
        <f>'Supply planning data'!E165</f>
        <v>No</v>
      </c>
      <c r="D167" s="92">
        <f>'Supply planning data'!F165</f>
        <v>0</v>
      </c>
      <c r="E167" s="316">
        <f>'Supply planning data'!G165</f>
        <v>0</v>
      </c>
      <c r="F167" s="317">
        <f>'Supply planning data'!H165</f>
        <v>0</v>
      </c>
      <c r="G167" s="317">
        <f>'Supply planning data'!I165</f>
        <v>0</v>
      </c>
      <c r="H167" s="98">
        <f>'Supply planning data'!J165</f>
        <v>0</v>
      </c>
      <c r="I167" s="317">
        <f>'Supply planning data'!K165</f>
        <v>0</v>
      </c>
      <c r="J167" s="175" t="str">
        <f>'Supply planning data'!L165</f>
        <v/>
      </c>
      <c r="K167" s="98">
        <f>'Supply planning data'!M165</f>
        <v>0</v>
      </c>
      <c r="L167" s="317">
        <f>'Supply planning data'!N165+'Supply planning data'!P165</f>
        <v>0</v>
      </c>
      <c r="M167" s="339">
        <f>'Supply planning data'!O165</f>
        <v>0</v>
      </c>
      <c r="N167" s="317">
        <f>'Supply planning data'!P165</f>
        <v>0</v>
      </c>
      <c r="O167" s="339">
        <f>'Supply planning data'!Q165</f>
        <v>0</v>
      </c>
      <c r="P167" s="98">
        <f>'Supply planning data'!R165</f>
        <v>0</v>
      </c>
      <c r="Q167" s="98">
        <f>'Supply planning data'!S165</f>
        <v>0</v>
      </c>
      <c r="R167" s="98">
        <f>'Supply planning data'!T165</f>
        <v>0</v>
      </c>
      <c r="S167" s="98">
        <f>'Supply planning data'!U165</f>
        <v>0</v>
      </c>
      <c r="T167" s="98">
        <f>'Supply planning data'!V165</f>
        <v>0</v>
      </c>
      <c r="U167" s="325" t="str">
        <f>'Supply planning data'!W165</f>
        <v/>
      </c>
      <c r="V167" s="98">
        <f>'Supply planning data'!X165</f>
        <v>0</v>
      </c>
      <c r="W167" s="317">
        <f>'Supply planning data'!Y165</f>
        <v>0</v>
      </c>
      <c r="X167" s="328">
        <f>'Supply planning data'!Z165</f>
        <v>0</v>
      </c>
      <c r="Y167" s="98">
        <f>'Supply planning data'!AA165</f>
        <v>0</v>
      </c>
      <c r="Z167" s="98">
        <f>'Supply planning data'!AB165</f>
        <v>0</v>
      </c>
      <c r="AA167" s="98">
        <f>'Supply planning data'!AC165</f>
        <v>0</v>
      </c>
      <c r="AB167" s="98">
        <f>'Supply planning data'!AD165</f>
        <v>0</v>
      </c>
      <c r="AC167" s="98">
        <f>'Supply planning data'!AE165</f>
        <v>0</v>
      </c>
      <c r="AD167" s="325" t="str">
        <f>'Supply planning data'!AF165</f>
        <v/>
      </c>
      <c r="AE167" s="98">
        <f>'Supply planning data'!AG165</f>
        <v>0</v>
      </c>
      <c r="AF167" s="317">
        <f>'Supply planning data'!AH165</f>
        <v>0</v>
      </c>
      <c r="AG167" s="175">
        <f>'Supply planning data'!AI165</f>
        <v>0</v>
      </c>
      <c r="AH167" s="98">
        <f>'Supply planning data'!AJ165</f>
        <v>0</v>
      </c>
      <c r="AI167" s="98">
        <f>'Supply planning data'!AK165</f>
        <v>0</v>
      </c>
      <c r="AJ167" s="98">
        <f>'Supply planning data'!AL165</f>
        <v>0</v>
      </c>
      <c r="AK167" s="98">
        <f>'Supply planning data'!AM165</f>
        <v>0</v>
      </c>
      <c r="AL167" s="98">
        <f>'Supply planning data'!AN165</f>
        <v>0</v>
      </c>
      <c r="AM167" s="325" t="str">
        <f>'Supply planning data'!AO165</f>
        <v/>
      </c>
    </row>
    <row r="168" spans="1:39" hidden="1" x14ac:dyDescent="0.25">
      <c r="A168" s="90" t="str">
        <f>'Supply planning data'!C166</f>
        <v/>
      </c>
      <c r="B168" s="296">
        <f>'Supply planning data'!D166</f>
        <v>44501</v>
      </c>
      <c r="C168" s="92" t="str">
        <f>'Supply planning data'!E166</f>
        <v>No</v>
      </c>
      <c r="D168" s="92">
        <f>'Supply planning data'!F166</f>
        <v>0</v>
      </c>
      <c r="E168" s="316">
        <f>'Supply planning data'!G166</f>
        <v>0</v>
      </c>
      <c r="F168" s="317">
        <f>'Supply planning data'!H166</f>
        <v>0</v>
      </c>
      <c r="G168" s="317">
        <f>'Supply planning data'!I166</f>
        <v>0</v>
      </c>
      <c r="H168" s="98">
        <f>'Supply planning data'!J166</f>
        <v>0</v>
      </c>
      <c r="I168" s="317">
        <f>'Supply planning data'!K166</f>
        <v>0</v>
      </c>
      <c r="J168" s="175" t="str">
        <f>'Supply planning data'!L166</f>
        <v/>
      </c>
      <c r="K168" s="98">
        <f>'Supply planning data'!M166</f>
        <v>0</v>
      </c>
      <c r="L168" s="317">
        <f>'Supply planning data'!N166+'Supply planning data'!P166</f>
        <v>0</v>
      </c>
      <c r="M168" s="339">
        <f>'Supply planning data'!O166</f>
        <v>0</v>
      </c>
      <c r="N168" s="317">
        <f>'Supply planning data'!P166</f>
        <v>0</v>
      </c>
      <c r="O168" s="339">
        <f>'Supply planning data'!Q166</f>
        <v>0</v>
      </c>
      <c r="P168" s="98">
        <f>'Supply planning data'!R166</f>
        <v>0</v>
      </c>
      <c r="Q168" s="98">
        <f>'Supply planning data'!S166</f>
        <v>0</v>
      </c>
      <c r="R168" s="98">
        <f>'Supply planning data'!T166</f>
        <v>0</v>
      </c>
      <c r="S168" s="98">
        <f>'Supply planning data'!U166</f>
        <v>0</v>
      </c>
      <c r="T168" s="98">
        <f>'Supply planning data'!V166</f>
        <v>0</v>
      </c>
      <c r="U168" s="325" t="str">
        <f>'Supply planning data'!W166</f>
        <v/>
      </c>
      <c r="V168" s="98">
        <f>'Supply planning data'!X166</f>
        <v>0</v>
      </c>
      <c r="W168" s="317">
        <f>'Supply planning data'!Y166</f>
        <v>0</v>
      </c>
      <c r="X168" s="328">
        <f>'Supply planning data'!Z166</f>
        <v>0</v>
      </c>
      <c r="Y168" s="98">
        <f>'Supply planning data'!AA166</f>
        <v>0</v>
      </c>
      <c r="Z168" s="98">
        <f>'Supply planning data'!AB166</f>
        <v>0</v>
      </c>
      <c r="AA168" s="98">
        <f>'Supply planning data'!AC166</f>
        <v>0</v>
      </c>
      <c r="AB168" s="98">
        <f>'Supply planning data'!AD166</f>
        <v>0</v>
      </c>
      <c r="AC168" s="98">
        <f>'Supply planning data'!AE166</f>
        <v>0</v>
      </c>
      <c r="AD168" s="325" t="str">
        <f>'Supply planning data'!AF166</f>
        <v/>
      </c>
      <c r="AE168" s="98">
        <f>'Supply planning data'!AG166</f>
        <v>0</v>
      </c>
      <c r="AF168" s="317">
        <f>'Supply planning data'!AH166</f>
        <v>0</v>
      </c>
      <c r="AG168" s="175">
        <f>'Supply planning data'!AI166</f>
        <v>0</v>
      </c>
      <c r="AH168" s="98">
        <f>'Supply planning data'!AJ166</f>
        <v>0</v>
      </c>
      <c r="AI168" s="98">
        <f>'Supply planning data'!AK166</f>
        <v>0</v>
      </c>
      <c r="AJ168" s="98">
        <f>'Supply planning data'!AL166</f>
        <v>0</v>
      </c>
      <c r="AK168" s="98">
        <f>'Supply planning data'!AM166</f>
        <v>0</v>
      </c>
      <c r="AL168" s="98">
        <f>'Supply planning data'!AN166</f>
        <v>0</v>
      </c>
      <c r="AM168" s="325" t="str">
        <f>'Supply planning data'!AO166</f>
        <v/>
      </c>
    </row>
    <row r="169" spans="1:39" hidden="1" x14ac:dyDescent="0.25">
      <c r="A169" s="90" t="str">
        <f>'Supply planning data'!C167</f>
        <v/>
      </c>
      <c r="B169" s="296">
        <f>'Supply planning data'!D167</f>
        <v>44501</v>
      </c>
      <c r="C169" s="92" t="str">
        <f>'Supply planning data'!E167</f>
        <v>No</v>
      </c>
      <c r="D169" s="92">
        <f>'Supply planning data'!F167</f>
        <v>0</v>
      </c>
      <c r="E169" s="316">
        <f>'Supply planning data'!G167</f>
        <v>0</v>
      </c>
      <c r="F169" s="317">
        <f>'Supply planning data'!H167</f>
        <v>0</v>
      </c>
      <c r="G169" s="317">
        <f>'Supply planning data'!I167</f>
        <v>0</v>
      </c>
      <c r="H169" s="98">
        <f>'Supply planning data'!J167</f>
        <v>0</v>
      </c>
      <c r="I169" s="317">
        <f>'Supply planning data'!K167</f>
        <v>0</v>
      </c>
      <c r="J169" s="175" t="str">
        <f>'Supply planning data'!L167</f>
        <v/>
      </c>
      <c r="K169" s="98">
        <f>'Supply planning data'!M167</f>
        <v>0</v>
      </c>
      <c r="L169" s="317">
        <f>'Supply planning data'!N167+'Supply planning data'!P167</f>
        <v>0</v>
      </c>
      <c r="M169" s="339">
        <f>'Supply planning data'!O167</f>
        <v>0</v>
      </c>
      <c r="N169" s="317">
        <f>'Supply planning data'!P167</f>
        <v>0</v>
      </c>
      <c r="O169" s="339">
        <f>'Supply planning data'!Q167</f>
        <v>0</v>
      </c>
      <c r="P169" s="98">
        <f>'Supply planning data'!R167</f>
        <v>0</v>
      </c>
      <c r="Q169" s="98">
        <f>'Supply planning data'!S167</f>
        <v>0</v>
      </c>
      <c r="R169" s="98">
        <f>'Supply planning data'!T167</f>
        <v>0</v>
      </c>
      <c r="S169" s="98">
        <f>'Supply planning data'!U167</f>
        <v>0</v>
      </c>
      <c r="T169" s="98">
        <f>'Supply planning data'!V167</f>
        <v>0</v>
      </c>
      <c r="U169" s="325" t="str">
        <f>'Supply planning data'!W167</f>
        <v/>
      </c>
      <c r="V169" s="98">
        <f>'Supply planning data'!X167</f>
        <v>0</v>
      </c>
      <c r="W169" s="317">
        <f>'Supply planning data'!Y167</f>
        <v>0</v>
      </c>
      <c r="X169" s="328">
        <f>'Supply planning data'!Z167</f>
        <v>0</v>
      </c>
      <c r="Y169" s="98">
        <f>'Supply planning data'!AA167</f>
        <v>0</v>
      </c>
      <c r="Z169" s="98">
        <f>'Supply planning data'!AB167</f>
        <v>0</v>
      </c>
      <c r="AA169" s="98">
        <f>'Supply planning data'!AC167</f>
        <v>0</v>
      </c>
      <c r="AB169" s="98">
        <f>'Supply planning data'!AD167</f>
        <v>0</v>
      </c>
      <c r="AC169" s="98">
        <f>'Supply planning data'!AE167</f>
        <v>0</v>
      </c>
      <c r="AD169" s="325" t="str">
        <f>'Supply planning data'!AF167</f>
        <v/>
      </c>
      <c r="AE169" s="98">
        <f>'Supply planning data'!AG167</f>
        <v>0</v>
      </c>
      <c r="AF169" s="317">
        <f>'Supply planning data'!AH167</f>
        <v>0</v>
      </c>
      <c r="AG169" s="175">
        <f>'Supply planning data'!AI167</f>
        <v>0</v>
      </c>
      <c r="AH169" s="98">
        <f>'Supply planning data'!AJ167</f>
        <v>0</v>
      </c>
      <c r="AI169" s="98">
        <f>'Supply planning data'!AK167</f>
        <v>0</v>
      </c>
      <c r="AJ169" s="98">
        <f>'Supply planning data'!AL167</f>
        <v>0</v>
      </c>
      <c r="AK169" s="98">
        <f>'Supply planning data'!AM167</f>
        <v>0</v>
      </c>
      <c r="AL169" s="98">
        <f>'Supply planning data'!AN167</f>
        <v>0</v>
      </c>
      <c r="AM169" s="325" t="str">
        <f>'Supply planning data'!AO167</f>
        <v/>
      </c>
    </row>
    <row r="170" spans="1:39" hidden="1" x14ac:dyDescent="0.25">
      <c r="A170" s="90" t="str">
        <f>'Supply planning data'!C168</f>
        <v/>
      </c>
      <c r="B170" s="296">
        <f>'Supply planning data'!D168</f>
        <v>44501</v>
      </c>
      <c r="C170" s="92" t="str">
        <f>'Supply planning data'!E168</f>
        <v>No</v>
      </c>
      <c r="D170" s="92">
        <f>'Supply planning data'!F168</f>
        <v>0</v>
      </c>
      <c r="E170" s="316">
        <f>'Supply planning data'!G168</f>
        <v>0</v>
      </c>
      <c r="F170" s="317">
        <f>'Supply planning data'!H168</f>
        <v>0</v>
      </c>
      <c r="G170" s="317">
        <f>'Supply planning data'!I168</f>
        <v>0</v>
      </c>
      <c r="H170" s="98">
        <f>'Supply planning data'!J168</f>
        <v>0</v>
      </c>
      <c r="I170" s="317">
        <f>'Supply planning data'!K168</f>
        <v>0</v>
      </c>
      <c r="J170" s="175" t="str">
        <f>'Supply planning data'!L168</f>
        <v/>
      </c>
      <c r="K170" s="98">
        <f>'Supply planning data'!M168</f>
        <v>0</v>
      </c>
      <c r="L170" s="317">
        <f>'Supply planning data'!N168+'Supply planning data'!P168</f>
        <v>0</v>
      </c>
      <c r="M170" s="339">
        <f>'Supply planning data'!O168</f>
        <v>0</v>
      </c>
      <c r="N170" s="317">
        <f>'Supply planning data'!P168</f>
        <v>0</v>
      </c>
      <c r="O170" s="339">
        <f>'Supply planning data'!Q168</f>
        <v>0</v>
      </c>
      <c r="P170" s="98">
        <f>'Supply planning data'!R168</f>
        <v>0</v>
      </c>
      <c r="Q170" s="98">
        <f>'Supply planning data'!S168</f>
        <v>0</v>
      </c>
      <c r="R170" s="98">
        <f>'Supply planning data'!T168</f>
        <v>0</v>
      </c>
      <c r="S170" s="98">
        <f>'Supply planning data'!U168</f>
        <v>0</v>
      </c>
      <c r="T170" s="98">
        <f>'Supply planning data'!V168</f>
        <v>0</v>
      </c>
      <c r="U170" s="325" t="str">
        <f>'Supply planning data'!W168</f>
        <v/>
      </c>
      <c r="V170" s="98">
        <f>'Supply planning data'!X168</f>
        <v>0</v>
      </c>
      <c r="W170" s="317">
        <f>'Supply planning data'!Y168</f>
        <v>0</v>
      </c>
      <c r="X170" s="328">
        <f>'Supply planning data'!Z168</f>
        <v>0</v>
      </c>
      <c r="Y170" s="98">
        <f>'Supply planning data'!AA168</f>
        <v>0</v>
      </c>
      <c r="Z170" s="98">
        <f>'Supply planning data'!AB168</f>
        <v>0</v>
      </c>
      <c r="AA170" s="98">
        <f>'Supply planning data'!AC168</f>
        <v>0</v>
      </c>
      <c r="AB170" s="98">
        <f>'Supply planning data'!AD168</f>
        <v>0</v>
      </c>
      <c r="AC170" s="98">
        <f>'Supply planning data'!AE168</f>
        <v>0</v>
      </c>
      <c r="AD170" s="325" t="str">
        <f>'Supply planning data'!AF168</f>
        <v/>
      </c>
      <c r="AE170" s="98">
        <f>'Supply planning data'!AG168</f>
        <v>0</v>
      </c>
      <c r="AF170" s="317">
        <f>'Supply planning data'!AH168</f>
        <v>0</v>
      </c>
      <c r="AG170" s="175">
        <f>'Supply planning data'!AI168</f>
        <v>0</v>
      </c>
      <c r="AH170" s="98">
        <f>'Supply planning data'!AJ168</f>
        <v>0</v>
      </c>
      <c r="AI170" s="98">
        <f>'Supply planning data'!AK168</f>
        <v>0</v>
      </c>
      <c r="AJ170" s="98">
        <f>'Supply planning data'!AL168</f>
        <v>0</v>
      </c>
      <c r="AK170" s="98">
        <f>'Supply planning data'!AM168</f>
        <v>0</v>
      </c>
      <c r="AL170" s="98">
        <f>'Supply planning data'!AN168</f>
        <v>0</v>
      </c>
      <c r="AM170" s="325" t="str">
        <f>'Supply planning data'!AO168</f>
        <v/>
      </c>
    </row>
    <row r="171" spans="1:39" hidden="1" x14ac:dyDescent="0.25">
      <c r="A171" s="90" t="str">
        <f>'Supply planning data'!C169</f>
        <v/>
      </c>
      <c r="B171" s="296">
        <f>'Supply planning data'!D169</f>
        <v>44501</v>
      </c>
      <c r="C171" s="92" t="str">
        <f>'Supply planning data'!E169</f>
        <v>No</v>
      </c>
      <c r="D171" s="92">
        <f>'Supply planning data'!F169</f>
        <v>0</v>
      </c>
      <c r="E171" s="316">
        <f>'Supply planning data'!G169</f>
        <v>0</v>
      </c>
      <c r="F171" s="317">
        <f>'Supply planning data'!H169</f>
        <v>0</v>
      </c>
      <c r="G171" s="317">
        <f>'Supply planning data'!I169</f>
        <v>0</v>
      </c>
      <c r="H171" s="98">
        <f>'Supply planning data'!J169</f>
        <v>0</v>
      </c>
      <c r="I171" s="317">
        <f>'Supply planning data'!K169</f>
        <v>0</v>
      </c>
      <c r="J171" s="175" t="str">
        <f>'Supply planning data'!L169</f>
        <v/>
      </c>
      <c r="K171" s="98">
        <f>'Supply planning data'!M169</f>
        <v>0</v>
      </c>
      <c r="L171" s="317">
        <f>'Supply planning data'!N169+'Supply planning data'!P169</f>
        <v>0</v>
      </c>
      <c r="M171" s="339">
        <f>'Supply planning data'!O169</f>
        <v>0</v>
      </c>
      <c r="N171" s="317">
        <f>'Supply planning data'!P169</f>
        <v>0</v>
      </c>
      <c r="O171" s="339">
        <f>'Supply planning data'!Q169</f>
        <v>0</v>
      </c>
      <c r="P171" s="98">
        <f>'Supply planning data'!R169</f>
        <v>0</v>
      </c>
      <c r="Q171" s="98">
        <f>'Supply planning data'!S169</f>
        <v>0</v>
      </c>
      <c r="R171" s="98">
        <f>'Supply planning data'!T169</f>
        <v>0</v>
      </c>
      <c r="S171" s="98">
        <f>'Supply planning data'!U169</f>
        <v>0</v>
      </c>
      <c r="T171" s="98">
        <f>'Supply planning data'!V169</f>
        <v>0</v>
      </c>
      <c r="U171" s="325" t="str">
        <f>'Supply planning data'!W169</f>
        <v/>
      </c>
      <c r="V171" s="98">
        <f>'Supply planning data'!X169</f>
        <v>0</v>
      </c>
      <c r="W171" s="317">
        <f>'Supply planning data'!Y169</f>
        <v>0</v>
      </c>
      <c r="X171" s="328">
        <f>'Supply planning data'!Z169</f>
        <v>0</v>
      </c>
      <c r="Y171" s="98">
        <f>'Supply planning data'!AA169</f>
        <v>0</v>
      </c>
      <c r="Z171" s="98">
        <f>'Supply planning data'!AB169</f>
        <v>0</v>
      </c>
      <c r="AA171" s="98">
        <f>'Supply planning data'!AC169</f>
        <v>0</v>
      </c>
      <c r="AB171" s="98">
        <f>'Supply planning data'!AD169</f>
        <v>0</v>
      </c>
      <c r="AC171" s="98">
        <f>'Supply planning data'!AE169</f>
        <v>0</v>
      </c>
      <c r="AD171" s="325" t="str">
        <f>'Supply planning data'!AF169</f>
        <v/>
      </c>
      <c r="AE171" s="98">
        <f>'Supply planning data'!AG169</f>
        <v>0</v>
      </c>
      <c r="AF171" s="317">
        <f>'Supply planning data'!AH169</f>
        <v>0</v>
      </c>
      <c r="AG171" s="175">
        <f>'Supply planning data'!AI169</f>
        <v>0</v>
      </c>
      <c r="AH171" s="98">
        <f>'Supply planning data'!AJ169</f>
        <v>0</v>
      </c>
      <c r="AI171" s="98">
        <f>'Supply planning data'!AK169</f>
        <v>0</v>
      </c>
      <c r="AJ171" s="98">
        <f>'Supply planning data'!AL169</f>
        <v>0</v>
      </c>
      <c r="AK171" s="98">
        <f>'Supply planning data'!AM169</f>
        <v>0</v>
      </c>
      <c r="AL171" s="98">
        <f>'Supply planning data'!AN169</f>
        <v>0</v>
      </c>
      <c r="AM171" s="325" t="str">
        <f>'Supply planning data'!AO169</f>
        <v/>
      </c>
    </row>
    <row r="172" spans="1:39" x14ac:dyDescent="0.25">
      <c r="A172" s="104" t="str">
        <f>'Supply planning data'!C170</f>
        <v>AstraZeneca</v>
      </c>
      <c r="B172" s="298">
        <f>'Supply planning data'!D170</f>
        <v>44531</v>
      </c>
      <c r="C172" s="105" t="str">
        <f>'Supply planning data'!E170</f>
        <v>Yes</v>
      </c>
      <c r="D172" s="105">
        <f>'Supply planning data'!F170</f>
        <v>318046</v>
      </c>
      <c r="E172" s="320">
        <f>'Supply planning data'!G170</f>
        <v>118681</v>
      </c>
      <c r="F172" s="320">
        <f>'Supply planning data'!H170</f>
        <v>67691</v>
      </c>
      <c r="G172" s="320">
        <f>'Supply planning data'!I170</f>
        <v>0</v>
      </c>
      <c r="H172" s="105">
        <f>'Supply planning data'!J170</f>
        <v>186372</v>
      </c>
      <c r="I172" s="320">
        <f>'Supply planning data'!K170</f>
        <v>0</v>
      </c>
      <c r="J172" s="177">
        <f>'Supply planning data'!L170</f>
        <v>0</v>
      </c>
      <c r="K172" s="105">
        <f>'Supply planning data'!M170</f>
        <v>186372</v>
      </c>
      <c r="L172" s="320">
        <f>'Supply planning data'!N170+'Supply planning data'!P170</f>
        <v>0</v>
      </c>
      <c r="M172" s="341">
        <f>'Supply planning data'!O170</f>
        <v>0</v>
      </c>
      <c r="N172" s="320">
        <f>'Supply planning data'!P170</f>
        <v>0</v>
      </c>
      <c r="O172" s="341">
        <f>'Supply planning data'!Q170</f>
        <v>0</v>
      </c>
      <c r="P172" s="105">
        <f>'Supply planning data'!R170</f>
        <v>0</v>
      </c>
      <c r="Q172" s="105">
        <f>'Supply planning data'!S170</f>
        <v>0</v>
      </c>
      <c r="R172" s="105">
        <f>'Supply planning data'!T170</f>
        <v>0</v>
      </c>
      <c r="S172" s="105">
        <f>'Supply planning data'!U170</f>
        <v>0</v>
      </c>
      <c r="T172" s="105">
        <f>'Supply planning data'!V170</f>
        <v>131674</v>
      </c>
      <c r="U172" s="326">
        <f>'Supply planning data'!W170</f>
        <v>1.16592386203314</v>
      </c>
      <c r="V172" s="105">
        <f>'Supply planning data'!X170</f>
        <v>1108366</v>
      </c>
      <c r="W172" s="320">
        <f>'Supply planning data'!Y170</f>
        <v>0</v>
      </c>
      <c r="X172" s="329">
        <f>'Supply planning data'!Z170</f>
        <v>0</v>
      </c>
      <c r="Y172" s="105">
        <f>'Supply planning data'!AA170</f>
        <v>0</v>
      </c>
      <c r="Z172" s="105">
        <f>'Supply planning data'!AB170</f>
        <v>0</v>
      </c>
      <c r="AA172" s="105">
        <f>'Supply planning data'!AC170</f>
        <v>0</v>
      </c>
      <c r="AB172" s="105">
        <f>'Supply planning data'!AD170</f>
        <v>0</v>
      </c>
      <c r="AC172" s="105">
        <f>'Supply planning data'!AE170</f>
        <v>921994</v>
      </c>
      <c r="AD172" s="326">
        <f>'Supply planning data'!AF170</f>
        <v>11.883509911581987</v>
      </c>
      <c r="AE172" s="105">
        <f>'Supply planning data'!AG170</f>
        <v>318046</v>
      </c>
      <c r="AF172" s="320">
        <f>'Supply planning data'!AH170</f>
        <v>0</v>
      </c>
      <c r="AG172" s="177">
        <f>'Supply planning data'!AI170</f>
        <v>0</v>
      </c>
      <c r="AH172" s="105">
        <f>'Supply planning data'!AJ170</f>
        <v>0</v>
      </c>
      <c r="AI172" s="105">
        <f>'Supply planning data'!AK170</f>
        <v>0</v>
      </c>
      <c r="AJ172" s="105">
        <f>'Supply planning data'!AL170</f>
        <v>0</v>
      </c>
      <c r="AK172" s="105">
        <f>'Supply planning data'!AM170</f>
        <v>0</v>
      </c>
      <c r="AL172" s="105">
        <f>'Supply planning data'!AN170</f>
        <v>131674</v>
      </c>
      <c r="AM172" s="326">
        <f>'Supply planning data'!AO170</f>
        <v>1.6971360812517722</v>
      </c>
    </row>
    <row r="173" spans="1:39" x14ac:dyDescent="0.25">
      <c r="A173" s="109" t="str">
        <f>'Supply planning data'!C171</f>
        <v>Jansen</v>
      </c>
      <c r="B173" s="298">
        <f>'Supply planning data'!D171</f>
        <v>44531</v>
      </c>
      <c r="C173" s="105" t="str">
        <f>'Supply planning data'!E171</f>
        <v>Yes</v>
      </c>
      <c r="D173" s="105">
        <f>'Supply planning data'!F171</f>
        <v>715468</v>
      </c>
      <c r="E173" s="320">
        <f>'Supply planning data'!G171</f>
        <v>396897</v>
      </c>
      <c r="F173" s="320">
        <f>'Supply planning data'!H171</f>
        <v>0</v>
      </c>
      <c r="G173" s="320">
        <f>'Supply planning data'!I171</f>
        <v>0</v>
      </c>
      <c r="H173" s="105">
        <f>'Supply planning data'!J171</f>
        <v>396897</v>
      </c>
      <c r="I173" s="320">
        <f>'Supply planning data'!K171</f>
        <v>240</v>
      </c>
      <c r="J173" s="177">
        <f>'Supply planning data'!L171</f>
        <v>6.0469088957588492E-4</v>
      </c>
      <c r="K173" s="105">
        <f>'Supply planning data'!M171</f>
        <v>397137</v>
      </c>
      <c r="L173" s="321">
        <f>'Supply planning data'!N171+'Supply planning data'!P171</f>
        <v>0</v>
      </c>
      <c r="M173" s="342">
        <f>'Supply planning data'!O171</f>
        <v>0</v>
      </c>
      <c r="N173" s="321">
        <f>'Supply planning data'!P171</f>
        <v>0</v>
      </c>
      <c r="O173" s="342">
        <f>'Supply planning data'!Q171</f>
        <v>0</v>
      </c>
      <c r="P173" s="111">
        <f>'Supply planning data'!R171</f>
        <v>0</v>
      </c>
      <c r="Q173" s="111">
        <f>'Supply planning data'!S171</f>
        <v>0</v>
      </c>
      <c r="R173" s="111">
        <f>'Supply planning data'!T171</f>
        <v>0</v>
      </c>
      <c r="S173" s="111">
        <f>'Supply planning data'!U171</f>
        <v>0</v>
      </c>
      <c r="T173" s="111">
        <f>'Supply planning data'!V171</f>
        <v>318331</v>
      </c>
      <c r="U173" s="327">
        <f>'Supply planning data'!W171</f>
        <v>1.0284378614366358</v>
      </c>
      <c r="V173" s="111">
        <f>'Supply planning data'!X171</f>
        <v>715468</v>
      </c>
      <c r="W173" s="321">
        <f>'Supply planning data'!Y171</f>
        <v>0</v>
      </c>
      <c r="X173" s="329">
        <f>'Supply planning data'!Z171</f>
        <v>0</v>
      </c>
      <c r="Y173" s="111">
        <f>'Supply planning data'!AA171</f>
        <v>0</v>
      </c>
      <c r="Z173" s="111">
        <f>'Supply planning data'!AB171</f>
        <v>0</v>
      </c>
      <c r="AA173" s="111">
        <f>'Supply planning data'!AC171</f>
        <v>0</v>
      </c>
      <c r="AB173" s="111">
        <f>'Supply planning data'!AD171</f>
        <v>0</v>
      </c>
      <c r="AC173" s="111">
        <f>'Supply planning data'!AE171</f>
        <v>318331</v>
      </c>
      <c r="AD173" s="327">
        <f>'Supply planning data'!AF171</f>
        <v>1.223592313990183</v>
      </c>
      <c r="AE173" s="111">
        <f>'Supply planning data'!AG171</f>
        <v>715468</v>
      </c>
      <c r="AF173" s="321">
        <f>'Supply planning data'!AH171</f>
        <v>0</v>
      </c>
      <c r="AG173" s="349">
        <f>'Supply planning data'!AI171</f>
        <v>0</v>
      </c>
      <c r="AH173" s="111">
        <f>'Supply planning data'!AJ171</f>
        <v>0</v>
      </c>
      <c r="AI173" s="111">
        <f>'Supply planning data'!AK171</f>
        <v>0</v>
      </c>
      <c r="AJ173" s="111">
        <f>'Supply planning data'!AL171</f>
        <v>0</v>
      </c>
      <c r="AK173" s="111">
        <f>'Supply planning data'!AM171</f>
        <v>0</v>
      </c>
      <c r="AL173" s="111">
        <f>'Supply planning data'!AN171</f>
        <v>318331</v>
      </c>
      <c r="AM173" s="327">
        <f>'Supply planning data'!AO171</f>
        <v>1.223592313990183</v>
      </c>
    </row>
    <row r="174" spans="1:39" x14ac:dyDescent="0.25">
      <c r="A174" s="104" t="str">
        <f>'Supply planning data'!C172</f>
        <v>Moderna</v>
      </c>
      <c r="B174" s="298">
        <f>'Supply planning data'!D172</f>
        <v>44531</v>
      </c>
      <c r="C174" s="105" t="str">
        <f>'Supply planning data'!E172</f>
        <v>No</v>
      </c>
      <c r="D174" s="105">
        <f>'Supply planning data'!F172</f>
        <v>0</v>
      </c>
      <c r="E174" s="320">
        <f>'Supply planning data'!G172</f>
        <v>0</v>
      </c>
      <c r="F174" s="320">
        <f>'Supply planning data'!H172</f>
        <v>0</v>
      </c>
      <c r="G174" s="320">
        <f>'Supply planning data'!I172</f>
        <v>0</v>
      </c>
      <c r="H174" s="105">
        <f>'Supply planning data'!J172</f>
        <v>0</v>
      </c>
      <c r="I174" s="320">
        <f>'Supply planning data'!K172</f>
        <v>0</v>
      </c>
      <c r="J174" s="177" t="str">
        <f>'Supply planning data'!L172</f>
        <v/>
      </c>
      <c r="K174" s="105">
        <f>'Supply planning data'!M172</f>
        <v>0</v>
      </c>
      <c r="L174" s="321">
        <f>'Supply planning data'!N172+'Supply planning data'!P172</f>
        <v>0</v>
      </c>
      <c r="M174" s="342">
        <f>'Supply planning data'!O172</f>
        <v>0</v>
      </c>
      <c r="N174" s="321">
        <f>'Supply planning data'!P172</f>
        <v>0</v>
      </c>
      <c r="O174" s="342">
        <f>'Supply planning data'!Q172</f>
        <v>0</v>
      </c>
      <c r="P174" s="111">
        <f>'Supply planning data'!R172</f>
        <v>0</v>
      </c>
      <c r="Q174" s="111">
        <f>'Supply planning data'!S172</f>
        <v>0</v>
      </c>
      <c r="R174" s="111">
        <f>'Supply planning data'!T172</f>
        <v>0</v>
      </c>
      <c r="S174" s="111">
        <f>'Supply planning data'!U172</f>
        <v>0</v>
      </c>
      <c r="T174" s="111">
        <f>'Supply planning data'!V172</f>
        <v>0</v>
      </c>
      <c r="U174" s="327" t="str">
        <f>'Supply planning data'!W172</f>
        <v/>
      </c>
      <c r="V174" s="111">
        <f>'Supply planning data'!X172</f>
        <v>0</v>
      </c>
      <c r="W174" s="321">
        <f>'Supply planning data'!Y172</f>
        <v>0</v>
      </c>
      <c r="X174" s="329">
        <f>'Supply planning data'!Z172</f>
        <v>0</v>
      </c>
      <c r="Y174" s="111">
        <f>'Supply planning data'!AA172</f>
        <v>0</v>
      </c>
      <c r="Z174" s="111">
        <f>'Supply planning data'!AB172</f>
        <v>0</v>
      </c>
      <c r="AA174" s="111">
        <f>'Supply planning data'!AC172</f>
        <v>0</v>
      </c>
      <c r="AB174" s="111">
        <f>'Supply planning data'!AD172</f>
        <v>0</v>
      </c>
      <c r="AC174" s="111">
        <f>'Supply planning data'!AE172</f>
        <v>0</v>
      </c>
      <c r="AD174" s="327" t="str">
        <f>'Supply planning data'!AF172</f>
        <v/>
      </c>
      <c r="AE174" s="111">
        <f>'Supply planning data'!AG172</f>
        <v>0</v>
      </c>
      <c r="AF174" s="321">
        <f>'Supply planning data'!AH172</f>
        <v>0</v>
      </c>
      <c r="AG174" s="349">
        <f>'Supply planning data'!AI172</f>
        <v>0</v>
      </c>
      <c r="AH174" s="111">
        <f>'Supply planning data'!AJ172</f>
        <v>0</v>
      </c>
      <c r="AI174" s="111">
        <f>'Supply planning data'!AK172</f>
        <v>0</v>
      </c>
      <c r="AJ174" s="111">
        <f>'Supply planning data'!AL172</f>
        <v>0</v>
      </c>
      <c r="AK174" s="111">
        <f>'Supply planning data'!AM172</f>
        <v>0</v>
      </c>
      <c r="AL174" s="111">
        <f>'Supply planning data'!AN172</f>
        <v>0</v>
      </c>
      <c r="AM174" s="327" t="str">
        <f>'Supply planning data'!AO172</f>
        <v/>
      </c>
    </row>
    <row r="175" spans="1:39" x14ac:dyDescent="0.25">
      <c r="A175" s="109" t="str">
        <f>'Supply planning data'!C173</f>
        <v>Pfizer</v>
      </c>
      <c r="B175" s="298">
        <f>'Supply planning data'!D173</f>
        <v>44531</v>
      </c>
      <c r="C175" s="105" t="str">
        <f>'Supply planning data'!E173</f>
        <v>Yes</v>
      </c>
      <c r="D175" s="105">
        <f>'Supply planning data'!F173</f>
        <v>0</v>
      </c>
      <c r="E175" s="320">
        <f>'Supply planning data'!G173</f>
        <v>0</v>
      </c>
      <c r="F175" s="320">
        <f>'Supply planning data'!H173</f>
        <v>0</v>
      </c>
      <c r="G175" s="320">
        <f>'Supply planning data'!I173</f>
        <v>0</v>
      </c>
      <c r="H175" s="105">
        <f>'Supply planning data'!J173</f>
        <v>0</v>
      </c>
      <c r="I175" s="320">
        <f>'Supply planning data'!K173</f>
        <v>0</v>
      </c>
      <c r="J175" s="177" t="str">
        <f>'Supply planning data'!L173</f>
        <v/>
      </c>
      <c r="K175" s="105">
        <f>'Supply planning data'!M173</f>
        <v>0</v>
      </c>
      <c r="L175" s="321">
        <f>'Supply planning data'!N173+'Supply planning data'!P173</f>
        <v>0</v>
      </c>
      <c r="M175" s="342">
        <f>'Supply planning data'!O173</f>
        <v>0</v>
      </c>
      <c r="N175" s="321">
        <f>'Supply planning data'!P173</f>
        <v>0</v>
      </c>
      <c r="O175" s="342">
        <f>'Supply planning data'!Q173</f>
        <v>0</v>
      </c>
      <c r="P175" s="111">
        <f>'Supply planning data'!R173</f>
        <v>0</v>
      </c>
      <c r="Q175" s="111">
        <f>'Supply planning data'!S173</f>
        <v>0</v>
      </c>
      <c r="R175" s="111">
        <f>'Supply planning data'!T173</f>
        <v>0</v>
      </c>
      <c r="S175" s="111">
        <f>'Supply planning data'!U173</f>
        <v>0</v>
      </c>
      <c r="T175" s="111">
        <f>'Supply planning data'!V173</f>
        <v>0</v>
      </c>
      <c r="U175" s="327" t="str">
        <f>'Supply planning data'!W173</f>
        <v/>
      </c>
      <c r="V175" s="111">
        <f>'Supply planning data'!X173</f>
        <v>0</v>
      </c>
      <c r="W175" s="321">
        <f>'Supply planning data'!Y173</f>
        <v>0</v>
      </c>
      <c r="X175" s="329">
        <f>'Supply planning data'!Z173</f>
        <v>0</v>
      </c>
      <c r="Y175" s="111">
        <f>'Supply planning data'!AA173</f>
        <v>0</v>
      </c>
      <c r="Z175" s="111">
        <f>'Supply planning data'!AB173</f>
        <v>0</v>
      </c>
      <c r="AA175" s="111">
        <f>'Supply planning data'!AC173</f>
        <v>0</v>
      </c>
      <c r="AB175" s="111">
        <f>'Supply planning data'!AD173</f>
        <v>0</v>
      </c>
      <c r="AC175" s="111">
        <f>'Supply planning data'!AE173</f>
        <v>0</v>
      </c>
      <c r="AD175" s="327" t="str">
        <f>'Supply planning data'!AF173</f>
        <v/>
      </c>
      <c r="AE175" s="111">
        <f>'Supply planning data'!AG173</f>
        <v>0</v>
      </c>
      <c r="AF175" s="321">
        <f>'Supply planning data'!AH173</f>
        <v>0</v>
      </c>
      <c r="AG175" s="349">
        <f>'Supply planning data'!AI173</f>
        <v>0</v>
      </c>
      <c r="AH175" s="111">
        <f>'Supply planning data'!AJ173</f>
        <v>0</v>
      </c>
      <c r="AI175" s="111">
        <f>'Supply planning data'!AK173</f>
        <v>0</v>
      </c>
      <c r="AJ175" s="111">
        <f>'Supply planning data'!AL173</f>
        <v>0</v>
      </c>
      <c r="AK175" s="111">
        <f>'Supply planning data'!AM173</f>
        <v>0</v>
      </c>
      <c r="AL175" s="111">
        <f>'Supply planning data'!AN173</f>
        <v>0</v>
      </c>
      <c r="AM175" s="327" t="str">
        <f>'Supply planning data'!AO173</f>
        <v/>
      </c>
    </row>
    <row r="176" spans="1:39" x14ac:dyDescent="0.25">
      <c r="A176" s="104" t="str">
        <f>'Supply planning data'!C174</f>
        <v>Sinovac</v>
      </c>
      <c r="B176" s="298">
        <f>'Supply planning data'!D174</f>
        <v>44531</v>
      </c>
      <c r="C176" s="105" t="str">
        <f>'Supply planning data'!E174</f>
        <v>No</v>
      </c>
      <c r="D176" s="105">
        <f>'Supply planning data'!F174</f>
        <v>0</v>
      </c>
      <c r="E176" s="320">
        <f>'Supply planning data'!G174</f>
        <v>0</v>
      </c>
      <c r="F176" s="320">
        <f>'Supply planning data'!H174</f>
        <v>0</v>
      </c>
      <c r="G176" s="320">
        <f>'Supply planning data'!I174</f>
        <v>0</v>
      </c>
      <c r="H176" s="105">
        <f>'Supply planning data'!J174</f>
        <v>0</v>
      </c>
      <c r="I176" s="320">
        <f>'Supply planning data'!K174</f>
        <v>0</v>
      </c>
      <c r="J176" s="177" t="str">
        <f>'Supply planning data'!L174</f>
        <v/>
      </c>
      <c r="K176" s="105">
        <f>'Supply planning data'!M174</f>
        <v>0</v>
      </c>
      <c r="L176" s="321">
        <f>'Supply planning data'!N174+'Supply planning data'!P174</f>
        <v>0</v>
      </c>
      <c r="M176" s="342">
        <f>'Supply planning data'!O174</f>
        <v>0</v>
      </c>
      <c r="N176" s="321">
        <f>'Supply planning data'!P174</f>
        <v>0</v>
      </c>
      <c r="O176" s="342">
        <f>'Supply planning data'!Q174</f>
        <v>0</v>
      </c>
      <c r="P176" s="111">
        <f>'Supply planning data'!R174</f>
        <v>0</v>
      </c>
      <c r="Q176" s="111">
        <f>'Supply planning data'!S174</f>
        <v>0</v>
      </c>
      <c r="R176" s="111">
        <f>'Supply planning data'!T174</f>
        <v>0</v>
      </c>
      <c r="S176" s="111">
        <f>'Supply planning data'!U174</f>
        <v>0</v>
      </c>
      <c r="T176" s="111">
        <f>'Supply planning data'!V174</f>
        <v>0</v>
      </c>
      <c r="U176" s="327" t="str">
        <f>'Supply planning data'!W174</f>
        <v/>
      </c>
      <c r="V176" s="111">
        <f>'Supply planning data'!X174</f>
        <v>0</v>
      </c>
      <c r="W176" s="321">
        <f>'Supply planning data'!Y174</f>
        <v>0</v>
      </c>
      <c r="X176" s="329">
        <f>'Supply planning data'!Z174</f>
        <v>0</v>
      </c>
      <c r="Y176" s="111">
        <f>'Supply planning data'!AA174</f>
        <v>0</v>
      </c>
      <c r="Z176" s="111">
        <f>'Supply planning data'!AB174</f>
        <v>0</v>
      </c>
      <c r="AA176" s="111">
        <f>'Supply planning data'!AC174</f>
        <v>0</v>
      </c>
      <c r="AB176" s="111">
        <f>'Supply planning data'!AD174</f>
        <v>0</v>
      </c>
      <c r="AC176" s="111">
        <f>'Supply planning data'!AE174</f>
        <v>0</v>
      </c>
      <c r="AD176" s="327" t="str">
        <f>'Supply planning data'!AF174</f>
        <v/>
      </c>
      <c r="AE176" s="111">
        <f>'Supply planning data'!AG174</f>
        <v>0</v>
      </c>
      <c r="AF176" s="321">
        <f>'Supply planning data'!AH174</f>
        <v>0</v>
      </c>
      <c r="AG176" s="349">
        <f>'Supply planning data'!AI174</f>
        <v>0</v>
      </c>
      <c r="AH176" s="111">
        <f>'Supply planning data'!AJ174</f>
        <v>0</v>
      </c>
      <c r="AI176" s="111">
        <f>'Supply planning data'!AK174</f>
        <v>0</v>
      </c>
      <c r="AJ176" s="111">
        <f>'Supply planning data'!AL174</f>
        <v>0</v>
      </c>
      <c r="AK176" s="111">
        <f>'Supply planning data'!AM174</f>
        <v>0</v>
      </c>
      <c r="AL176" s="111">
        <f>'Supply planning data'!AN174</f>
        <v>0</v>
      </c>
      <c r="AM176" s="327" t="str">
        <f>'Supply planning data'!AO174</f>
        <v/>
      </c>
    </row>
    <row r="177" spans="1:39" hidden="1" x14ac:dyDescent="0.25">
      <c r="A177" s="109" t="str">
        <f>'Supply planning data'!C175</f>
        <v/>
      </c>
      <c r="B177" s="298">
        <f>'Supply planning data'!D175</f>
        <v>44531</v>
      </c>
      <c r="C177" s="105" t="str">
        <f>'Supply planning data'!E175</f>
        <v>No</v>
      </c>
      <c r="D177" s="105">
        <f>'Supply planning data'!F175</f>
        <v>0</v>
      </c>
      <c r="E177" s="320">
        <f>'Supply planning data'!G175</f>
        <v>0</v>
      </c>
      <c r="F177" s="320">
        <f>'Supply planning data'!H175</f>
        <v>0</v>
      </c>
      <c r="G177" s="320">
        <f>'Supply planning data'!I175</f>
        <v>0</v>
      </c>
      <c r="H177" s="105">
        <f>'Supply planning data'!J175</f>
        <v>0</v>
      </c>
      <c r="I177" s="320">
        <f>'Supply planning data'!K175</f>
        <v>0</v>
      </c>
      <c r="J177" s="177" t="str">
        <f>'Supply planning data'!L175</f>
        <v/>
      </c>
      <c r="K177" s="105">
        <f>'Supply planning data'!M175</f>
        <v>0</v>
      </c>
      <c r="L177" s="321">
        <f>'Supply planning data'!N175+'Supply planning data'!P175</f>
        <v>0</v>
      </c>
      <c r="M177" s="342">
        <f>'Supply planning data'!O175</f>
        <v>0</v>
      </c>
      <c r="N177" s="321">
        <f>'Supply planning data'!P175</f>
        <v>0</v>
      </c>
      <c r="O177" s="342">
        <f>'Supply planning data'!Q175</f>
        <v>0</v>
      </c>
      <c r="P177" s="111">
        <f>'Supply planning data'!R175</f>
        <v>0</v>
      </c>
      <c r="Q177" s="111">
        <f>'Supply planning data'!S175</f>
        <v>0</v>
      </c>
      <c r="R177" s="111">
        <f>'Supply planning data'!T175</f>
        <v>0</v>
      </c>
      <c r="S177" s="111">
        <f>'Supply planning data'!U175</f>
        <v>0</v>
      </c>
      <c r="T177" s="111">
        <f>'Supply planning data'!V175</f>
        <v>0</v>
      </c>
      <c r="U177" s="327" t="str">
        <f>'Supply planning data'!W175</f>
        <v/>
      </c>
      <c r="V177" s="111">
        <f>'Supply planning data'!X175</f>
        <v>0</v>
      </c>
      <c r="W177" s="321">
        <f>'Supply planning data'!Y175</f>
        <v>0</v>
      </c>
      <c r="X177" s="329">
        <f>'Supply planning data'!Z175</f>
        <v>0</v>
      </c>
      <c r="Y177" s="111">
        <f>'Supply planning data'!AA175</f>
        <v>0</v>
      </c>
      <c r="Z177" s="111">
        <f>'Supply planning data'!AB175</f>
        <v>0</v>
      </c>
      <c r="AA177" s="111">
        <f>'Supply planning data'!AC175</f>
        <v>0</v>
      </c>
      <c r="AB177" s="111">
        <f>'Supply planning data'!AD175</f>
        <v>0</v>
      </c>
      <c r="AC177" s="111">
        <f>'Supply planning data'!AE175</f>
        <v>0</v>
      </c>
      <c r="AD177" s="327" t="str">
        <f>'Supply planning data'!AF175</f>
        <v/>
      </c>
      <c r="AE177" s="111">
        <f>'Supply planning data'!AG175</f>
        <v>0</v>
      </c>
      <c r="AF177" s="321">
        <f>'Supply planning data'!AH175</f>
        <v>0</v>
      </c>
      <c r="AG177" s="349">
        <f>'Supply planning data'!AI175</f>
        <v>0</v>
      </c>
      <c r="AH177" s="111">
        <f>'Supply planning data'!AJ175</f>
        <v>0</v>
      </c>
      <c r="AI177" s="111">
        <f>'Supply planning data'!AK175</f>
        <v>0</v>
      </c>
      <c r="AJ177" s="111">
        <f>'Supply planning data'!AL175</f>
        <v>0</v>
      </c>
      <c r="AK177" s="111">
        <f>'Supply planning data'!AM175</f>
        <v>0</v>
      </c>
      <c r="AL177" s="111">
        <f>'Supply planning data'!AN175</f>
        <v>0</v>
      </c>
      <c r="AM177" s="327" t="str">
        <f>'Supply planning data'!AO175</f>
        <v/>
      </c>
    </row>
    <row r="178" spans="1:39" hidden="1" x14ac:dyDescent="0.25">
      <c r="A178" s="104" t="str">
        <f>'Supply planning data'!C176</f>
        <v/>
      </c>
      <c r="B178" s="298">
        <f>'Supply planning data'!D176</f>
        <v>44531</v>
      </c>
      <c r="C178" s="105" t="str">
        <f>'Supply planning data'!E176</f>
        <v>No</v>
      </c>
      <c r="D178" s="105">
        <f>'Supply planning data'!F176</f>
        <v>0</v>
      </c>
      <c r="E178" s="320">
        <f>'Supply planning data'!G176</f>
        <v>0</v>
      </c>
      <c r="F178" s="320">
        <f>'Supply planning data'!H176</f>
        <v>0</v>
      </c>
      <c r="G178" s="320">
        <f>'Supply planning data'!I176</f>
        <v>0</v>
      </c>
      <c r="H178" s="105">
        <f>'Supply planning data'!J176</f>
        <v>0</v>
      </c>
      <c r="I178" s="320">
        <f>'Supply planning data'!K176</f>
        <v>0</v>
      </c>
      <c r="J178" s="177" t="str">
        <f>'Supply planning data'!L176</f>
        <v/>
      </c>
      <c r="K178" s="105">
        <f>'Supply planning data'!M176</f>
        <v>0</v>
      </c>
      <c r="L178" s="321">
        <f>'Supply planning data'!N176+'Supply planning data'!P176</f>
        <v>0</v>
      </c>
      <c r="M178" s="342">
        <f>'Supply planning data'!O176</f>
        <v>0</v>
      </c>
      <c r="N178" s="321">
        <f>'Supply planning data'!P176</f>
        <v>0</v>
      </c>
      <c r="O178" s="342">
        <f>'Supply planning data'!Q176</f>
        <v>0</v>
      </c>
      <c r="P178" s="111">
        <f>'Supply planning data'!R176</f>
        <v>0</v>
      </c>
      <c r="Q178" s="111">
        <f>'Supply planning data'!S176</f>
        <v>0</v>
      </c>
      <c r="R178" s="111">
        <f>'Supply planning data'!T176</f>
        <v>0</v>
      </c>
      <c r="S178" s="111">
        <f>'Supply planning data'!U176</f>
        <v>0</v>
      </c>
      <c r="T178" s="111">
        <f>'Supply planning data'!V176</f>
        <v>0</v>
      </c>
      <c r="U178" s="327" t="str">
        <f>'Supply planning data'!W176</f>
        <v/>
      </c>
      <c r="V178" s="111">
        <f>'Supply planning data'!X176</f>
        <v>0</v>
      </c>
      <c r="W178" s="321">
        <f>'Supply planning data'!Y176</f>
        <v>0</v>
      </c>
      <c r="X178" s="329">
        <f>'Supply planning data'!Z176</f>
        <v>0</v>
      </c>
      <c r="Y178" s="111">
        <f>'Supply planning data'!AA176</f>
        <v>0</v>
      </c>
      <c r="Z178" s="111">
        <f>'Supply planning data'!AB176</f>
        <v>0</v>
      </c>
      <c r="AA178" s="111">
        <f>'Supply planning data'!AC176</f>
        <v>0</v>
      </c>
      <c r="AB178" s="111">
        <f>'Supply planning data'!AD176</f>
        <v>0</v>
      </c>
      <c r="AC178" s="111">
        <f>'Supply planning data'!AE176</f>
        <v>0</v>
      </c>
      <c r="AD178" s="327" t="str">
        <f>'Supply planning data'!AF176</f>
        <v/>
      </c>
      <c r="AE178" s="111">
        <f>'Supply planning data'!AG176</f>
        <v>0</v>
      </c>
      <c r="AF178" s="321">
        <f>'Supply planning data'!AH176</f>
        <v>0</v>
      </c>
      <c r="AG178" s="349">
        <f>'Supply planning data'!AI176</f>
        <v>0</v>
      </c>
      <c r="AH178" s="111">
        <f>'Supply planning data'!AJ176</f>
        <v>0</v>
      </c>
      <c r="AI178" s="111">
        <f>'Supply planning data'!AK176</f>
        <v>0</v>
      </c>
      <c r="AJ178" s="111">
        <f>'Supply planning data'!AL176</f>
        <v>0</v>
      </c>
      <c r="AK178" s="111">
        <f>'Supply planning data'!AM176</f>
        <v>0</v>
      </c>
      <c r="AL178" s="111">
        <f>'Supply planning data'!AN176</f>
        <v>0</v>
      </c>
      <c r="AM178" s="327" t="str">
        <f>'Supply planning data'!AO176</f>
        <v/>
      </c>
    </row>
    <row r="179" spans="1:39" hidden="1" x14ac:dyDescent="0.25">
      <c r="A179" s="109" t="str">
        <f>'Supply planning data'!C177</f>
        <v/>
      </c>
      <c r="B179" s="298">
        <f>'Supply planning data'!D177</f>
        <v>44531</v>
      </c>
      <c r="C179" s="105" t="str">
        <f>'Supply planning data'!E177</f>
        <v>No</v>
      </c>
      <c r="D179" s="105">
        <f>'Supply planning data'!F177</f>
        <v>0</v>
      </c>
      <c r="E179" s="320">
        <f>'Supply planning data'!G177</f>
        <v>0</v>
      </c>
      <c r="F179" s="320">
        <f>'Supply planning data'!H177</f>
        <v>0</v>
      </c>
      <c r="G179" s="320">
        <f>'Supply planning data'!I177</f>
        <v>0</v>
      </c>
      <c r="H179" s="105">
        <f>'Supply planning data'!J177</f>
        <v>0</v>
      </c>
      <c r="I179" s="320">
        <f>'Supply planning data'!K177</f>
        <v>0</v>
      </c>
      <c r="J179" s="177" t="str">
        <f>'Supply planning data'!L177</f>
        <v/>
      </c>
      <c r="K179" s="105">
        <f>'Supply planning data'!M177</f>
        <v>0</v>
      </c>
      <c r="L179" s="321">
        <f>'Supply planning data'!N177+'Supply planning data'!P177</f>
        <v>0</v>
      </c>
      <c r="M179" s="342">
        <f>'Supply planning data'!O177</f>
        <v>0</v>
      </c>
      <c r="N179" s="321">
        <f>'Supply planning data'!P177</f>
        <v>0</v>
      </c>
      <c r="O179" s="342">
        <f>'Supply planning data'!Q177</f>
        <v>0</v>
      </c>
      <c r="P179" s="111">
        <f>'Supply planning data'!R177</f>
        <v>0</v>
      </c>
      <c r="Q179" s="111">
        <f>'Supply planning data'!S177</f>
        <v>0</v>
      </c>
      <c r="R179" s="111">
        <f>'Supply planning data'!T177</f>
        <v>0</v>
      </c>
      <c r="S179" s="111">
        <f>'Supply planning data'!U177</f>
        <v>0</v>
      </c>
      <c r="T179" s="111">
        <f>'Supply planning data'!V177</f>
        <v>0</v>
      </c>
      <c r="U179" s="327" t="str">
        <f>'Supply planning data'!W177</f>
        <v/>
      </c>
      <c r="V179" s="111">
        <f>'Supply planning data'!X177</f>
        <v>0</v>
      </c>
      <c r="W179" s="321">
        <f>'Supply planning data'!Y177</f>
        <v>0</v>
      </c>
      <c r="X179" s="329">
        <f>'Supply planning data'!Z177</f>
        <v>0</v>
      </c>
      <c r="Y179" s="111">
        <f>'Supply planning data'!AA177</f>
        <v>0</v>
      </c>
      <c r="Z179" s="111">
        <f>'Supply planning data'!AB177</f>
        <v>0</v>
      </c>
      <c r="AA179" s="111">
        <f>'Supply planning data'!AC177</f>
        <v>0</v>
      </c>
      <c r="AB179" s="111">
        <f>'Supply planning data'!AD177</f>
        <v>0</v>
      </c>
      <c r="AC179" s="111">
        <f>'Supply planning data'!AE177</f>
        <v>0</v>
      </c>
      <c r="AD179" s="327" t="str">
        <f>'Supply planning data'!AF177</f>
        <v/>
      </c>
      <c r="AE179" s="111">
        <f>'Supply planning data'!AG177</f>
        <v>0</v>
      </c>
      <c r="AF179" s="321">
        <f>'Supply planning data'!AH177</f>
        <v>0</v>
      </c>
      <c r="AG179" s="349">
        <f>'Supply planning data'!AI177</f>
        <v>0</v>
      </c>
      <c r="AH179" s="111">
        <f>'Supply planning data'!AJ177</f>
        <v>0</v>
      </c>
      <c r="AI179" s="111">
        <f>'Supply planning data'!AK177</f>
        <v>0</v>
      </c>
      <c r="AJ179" s="111">
        <f>'Supply planning data'!AL177</f>
        <v>0</v>
      </c>
      <c r="AK179" s="111">
        <f>'Supply planning data'!AM177</f>
        <v>0</v>
      </c>
      <c r="AL179" s="111">
        <f>'Supply planning data'!AN177</f>
        <v>0</v>
      </c>
      <c r="AM179" s="327" t="str">
        <f>'Supply planning data'!AO177</f>
        <v/>
      </c>
    </row>
    <row r="180" spans="1:39" hidden="1" x14ac:dyDescent="0.25">
      <c r="A180" s="104" t="str">
        <f>'Supply planning data'!C178</f>
        <v/>
      </c>
      <c r="B180" s="298">
        <f>'Supply planning data'!D178</f>
        <v>44531</v>
      </c>
      <c r="C180" s="105" t="str">
        <f>'Supply planning data'!E178</f>
        <v>No</v>
      </c>
      <c r="D180" s="105">
        <f>'Supply planning data'!F178</f>
        <v>0</v>
      </c>
      <c r="E180" s="320">
        <f>'Supply planning data'!G178</f>
        <v>0</v>
      </c>
      <c r="F180" s="320">
        <f>'Supply planning data'!H178</f>
        <v>0</v>
      </c>
      <c r="G180" s="320">
        <f>'Supply planning data'!I178</f>
        <v>0</v>
      </c>
      <c r="H180" s="105">
        <f>'Supply planning data'!J178</f>
        <v>0</v>
      </c>
      <c r="I180" s="320">
        <f>'Supply planning data'!K178</f>
        <v>0</v>
      </c>
      <c r="J180" s="177" t="str">
        <f>'Supply planning data'!L178</f>
        <v/>
      </c>
      <c r="K180" s="105">
        <f>'Supply planning data'!M178</f>
        <v>0</v>
      </c>
      <c r="L180" s="321">
        <f>'Supply planning data'!N178+'Supply planning data'!P178</f>
        <v>0</v>
      </c>
      <c r="M180" s="342">
        <f>'Supply planning data'!O178</f>
        <v>0</v>
      </c>
      <c r="N180" s="321">
        <f>'Supply planning data'!P178</f>
        <v>0</v>
      </c>
      <c r="O180" s="342">
        <f>'Supply planning data'!Q178</f>
        <v>0</v>
      </c>
      <c r="P180" s="111">
        <f>'Supply planning data'!R178</f>
        <v>0</v>
      </c>
      <c r="Q180" s="111">
        <f>'Supply planning data'!S178</f>
        <v>0</v>
      </c>
      <c r="R180" s="111">
        <f>'Supply planning data'!T178</f>
        <v>0</v>
      </c>
      <c r="S180" s="111">
        <f>'Supply planning data'!U178</f>
        <v>0</v>
      </c>
      <c r="T180" s="111">
        <f>'Supply planning data'!V178</f>
        <v>0</v>
      </c>
      <c r="U180" s="327" t="str">
        <f>'Supply planning data'!W178</f>
        <v/>
      </c>
      <c r="V180" s="111">
        <f>'Supply planning data'!X178</f>
        <v>0</v>
      </c>
      <c r="W180" s="321">
        <f>'Supply planning data'!Y178</f>
        <v>0</v>
      </c>
      <c r="X180" s="329">
        <f>'Supply planning data'!Z178</f>
        <v>0</v>
      </c>
      <c r="Y180" s="111">
        <f>'Supply planning data'!AA178</f>
        <v>0</v>
      </c>
      <c r="Z180" s="111">
        <f>'Supply planning data'!AB178</f>
        <v>0</v>
      </c>
      <c r="AA180" s="111">
        <f>'Supply planning data'!AC178</f>
        <v>0</v>
      </c>
      <c r="AB180" s="111">
        <f>'Supply planning data'!AD178</f>
        <v>0</v>
      </c>
      <c r="AC180" s="111">
        <f>'Supply planning data'!AE178</f>
        <v>0</v>
      </c>
      <c r="AD180" s="327" t="str">
        <f>'Supply planning data'!AF178</f>
        <v/>
      </c>
      <c r="AE180" s="111">
        <f>'Supply planning data'!AG178</f>
        <v>0</v>
      </c>
      <c r="AF180" s="321">
        <f>'Supply planning data'!AH178</f>
        <v>0</v>
      </c>
      <c r="AG180" s="349">
        <f>'Supply planning data'!AI178</f>
        <v>0</v>
      </c>
      <c r="AH180" s="111">
        <f>'Supply planning data'!AJ178</f>
        <v>0</v>
      </c>
      <c r="AI180" s="111">
        <f>'Supply planning data'!AK178</f>
        <v>0</v>
      </c>
      <c r="AJ180" s="111">
        <f>'Supply planning data'!AL178</f>
        <v>0</v>
      </c>
      <c r="AK180" s="111">
        <f>'Supply planning data'!AM178</f>
        <v>0</v>
      </c>
      <c r="AL180" s="111">
        <f>'Supply planning data'!AN178</f>
        <v>0</v>
      </c>
      <c r="AM180" s="327" t="str">
        <f>'Supply planning data'!AO178</f>
        <v/>
      </c>
    </row>
    <row r="181" spans="1:39" hidden="1" x14ac:dyDescent="0.25">
      <c r="A181" s="109" t="str">
        <f>'Supply planning data'!C179</f>
        <v/>
      </c>
      <c r="B181" s="298">
        <f>'Supply planning data'!D179</f>
        <v>44531</v>
      </c>
      <c r="C181" s="105" t="str">
        <f>'Supply planning data'!E179</f>
        <v>No</v>
      </c>
      <c r="D181" s="105">
        <f>'Supply planning data'!F179</f>
        <v>0</v>
      </c>
      <c r="E181" s="320">
        <f>'Supply planning data'!G179</f>
        <v>0</v>
      </c>
      <c r="F181" s="320">
        <f>'Supply planning data'!H179</f>
        <v>0</v>
      </c>
      <c r="G181" s="320">
        <f>'Supply planning data'!I179</f>
        <v>0</v>
      </c>
      <c r="H181" s="105">
        <f>'Supply planning data'!J179</f>
        <v>0</v>
      </c>
      <c r="I181" s="320">
        <f>'Supply planning data'!K179</f>
        <v>0</v>
      </c>
      <c r="J181" s="177" t="str">
        <f>'Supply planning data'!L179</f>
        <v/>
      </c>
      <c r="K181" s="105">
        <f>'Supply planning data'!M179</f>
        <v>0</v>
      </c>
      <c r="L181" s="321">
        <f>'Supply planning data'!N179+'Supply planning data'!P179</f>
        <v>0</v>
      </c>
      <c r="M181" s="342">
        <f>'Supply planning data'!O179</f>
        <v>0</v>
      </c>
      <c r="N181" s="321">
        <f>'Supply planning data'!P179</f>
        <v>0</v>
      </c>
      <c r="O181" s="342">
        <f>'Supply planning data'!Q179</f>
        <v>0</v>
      </c>
      <c r="P181" s="111">
        <f>'Supply planning data'!R179</f>
        <v>0</v>
      </c>
      <c r="Q181" s="111">
        <f>'Supply planning data'!S179</f>
        <v>0</v>
      </c>
      <c r="R181" s="111">
        <f>'Supply planning data'!T179</f>
        <v>0</v>
      </c>
      <c r="S181" s="111">
        <f>'Supply planning data'!U179</f>
        <v>0</v>
      </c>
      <c r="T181" s="111">
        <f>'Supply planning data'!V179</f>
        <v>0</v>
      </c>
      <c r="U181" s="327" t="str">
        <f>'Supply planning data'!W179</f>
        <v/>
      </c>
      <c r="V181" s="111">
        <f>'Supply planning data'!X179</f>
        <v>0</v>
      </c>
      <c r="W181" s="321">
        <f>'Supply planning data'!Y179</f>
        <v>0</v>
      </c>
      <c r="X181" s="329">
        <f>'Supply planning data'!Z179</f>
        <v>0</v>
      </c>
      <c r="Y181" s="111">
        <f>'Supply planning data'!AA179</f>
        <v>0</v>
      </c>
      <c r="Z181" s="111">
        <f>'Supply planning data'!AB179</f>
        <v>0</v>
      </c>
      <c r="AA181" s="111">
        <f>'Supply planning data'!AC179</f>
        <v>0</v>
      </c>
      <c r="AB181" s="111">
        <f>'Supply planning data'!AD179</f>
        <v>0</v>
      </c>
      <c r="AC181" s="111">
        <f>'Supply planning data'!AE179</f>
        <v>0</v>
      </c>
      <c r="AD181" s="327" t="str">
        <f>'Supply planning data'!AF179</f>
        <v/>
      </c>
      <c r="AE181" s="111">
        <f>'Supply planning data'!AG179</f>
        <v>0</v>
      </c>
      <c r="AF181" s="321">
        <f>'Supply planning data'!AH179</f>
        <v>0</v>
      </c>
      <c r="AG181" s="349">
        <f>'Supply planning data'!AI179</f>
        <v>0</v>
      </c>
      <c r="AH181" s="111">
        <f>'Supply planning data'!AJ179</f>
        <v>0</v>
      </c>
      <c r="AI181" s="111">
        <f>'Supply planning data'!AK179</f>
        <v>0</v>
      </c>
      <c r="AJ181" s="111">
        <f>'Supply planning data'!AL179</f>
        <v>0</v>
      </c>
      <c r="AK181" s="111">
        <f>'Supply planning data'!AM179</f>
        <v>0</v>
      </c>
      <c r="AL181" s="111">
        <f>'Supply planning data'!AN179</f>
        <v>0</v>
      </c>
      <c r="AM181" s="327" t="str">
        <f>'Supply planning data'!AO179</f>
        <v/>
      </c>
    </row>
    <row r="182" spans="1:39" hidden="1" x14ac:dyDescent="0.25">
      <c r="A182" s="104" t="str">
        <f>'Supply planning data'!C180</f>
        <v/>
      </c>
      <c r="B182" s="298">
        <f>'Supply planning data'!D180</f>
        <v>44531</v>
      </c>
      <c r="C182" s="105" t="str">
        <f>'Supply planning data'!E180</f>
        <v>No</v>
      </c>
      <c r="D182" s="105">
        <f>'Supply planning data'!F180</f>
        <v>0</v>
      </c>
      <c r="E182" s="320">
        <f>'Supply planning data'!G180</f>
        <v>0</v>
      </c>
      <c r="F182" s="320">
        <f>'Supply planning data'!H180</f>
        <v>0</v>
      </c>
      <c r="G182" s="320">
        <f>'Supply planning data'!I180</f>
        <v>0</v>
      </c>
      <c r="H182" s="105">
        <f>'Supply planning data'!J180</f>
        <v>0</v>
      </c>
      <c r="I182" s="320">
        <f>'Supply planning data'!K180</f>
        <v>0</v>
      </c>
      <c r="J182" s="177" t="str">
        <f>'Supply planning data'!L180</f>
        <v/>
      </c>
      <c r="K182" s="105">
        <f>'Supply planning data'!M180</f>
        <v>0</v>
      </c>
      <c r="L182" s="321">
        <f>'Supply planning data'!N180+'Supply planning data'!P180</f>
        <v>0</v>
      </c>
      <c r="M182" s="342">
        <f>'Supply planning data'!O180</f>
        <v>0</v>
      </c>
      <c r="N182" s="321">
        <f>'Supply planning data'!P180</f>
        <v>0</v>
      </c>
      <c r="O182" s="342">
        <f>'Supply planning data'!Q180</f>
        <v>0</v>
      </c>
      <c r="P182" s="111">
        <f>'Supply planning data'!R180</f>
        <v>0</v>
      </c>
      <c r="Q182" s="111">
        <f>'Supply planning data'!S180</f>
        <v>0</v>
      </c>
      <c r="R182" s="111">
        <f>'Supply planning data'!T180</f>
        <v>0</v>
      </c>
      <c r="S182" s="111">
        <f>'Supply planning data'!U180</f>
        <v>0</v>
      </c>
      <c r="T182" s="111">
        <f>'Supply planning data'!V180</f>
        <v>0</v>
      </c>
      <c r="U182" s="327" t="str">
        <f>'Supply planning data'!W180</f>
        <v/>
      </c>
      <c r="V182" s="111">
        <f>'Supply planning data'!X180</f>
        <v>0</v>
      </c>
      <c r="W182" s="321">
        <f>'Supply planning data'!Y180</f>
        <v>0</v>
      </c>
      <c r="X182" s="329">
        <f>'Supply planning data'!Z180</f>
        <v>0</v>
      </c>
      <c r="Y182" s="111">
        <f>'Supply planning data'!AA180</f>
        <v>0</v>
      </c>
      <c r="Z182" s="111">
        <f>'Supply planning data'!AB180</f>
        <v>0</v>
      </c>
      <c r="AA182" s="111">
        <f>'Supply planning data'!AC180</f>
        <v>0</v>
      </c>
      <c r="AB182" s="111">
        <f>'Supply planning data'!AD180</f>
        <v>0</v>
      </c>
      <c r="AC182" s="111">
        <f>'Supply planning data'!AE180</f>
        <v>0</v>
      </c>
      <c r="AD182" s="327" t="str">
        <f>'Supply planning data'!AF180</f>
        <v/>
      </c>
      <c r="AE182" s="111">
        <f>'Supply planning data'!AG180</f>
        <v>0</v>
      </c>
      <c r="AF182" s="321">
        <f>'Supply planning data'!AH180</f>
        <v>0</v>
      </c>
      <c r="AG182" s="349">
        <f>'Supply planning data'!AI180</f>
        <v>0</v>
      </c>
      <c r="AH182" s="111">
        <f>'Supply planning data'!AJ180</f>
        <v>0</v>
      </c>
      <c r="AI182" s="111">
        <f>'Supply planning data'!AK180</f>
        <v>0</v>
      </c>
      <c r="AJ182" s="111">
        <f>'Supply planning data'!AL180</f>
        <v>0</v>
      </c>
      <c r="AK182" s="111">
        <f>'Supply planning data'!AM180</f>
        <v>0</v>
      </c>
      <c r="AL182" s="111">
        <f>'Supply planning data'!AN180</f>
        <v>0</v>
      </c>
      <c r="AM182" s="327" t="str">
        <f>'Supply planning data'!AO180</f>
        <v/>
      </c>
    </row>
    <row r="183" spans="1:39" hidden="1" x14ac:dyDescent="0.25">
      <c r="A183" s="109" t="str">
        <f>'Supply planning data'!C181</f>
        <v/>
      </c>
      <c r="B183" s="298">
        <f>'Supply planning data'!D181</f>
        <v>44531</v>
      </c>
      <c r="C183" s="105" t="str">
        <f>'Supply planning data'!E181</f>
        <v>No</v>
      </c>
      <c r="D183" s="105">
        <f>'Supply planning data'!F181</f>
        <v>0</v>
      </c>
      <c r="E183" s="320">
        <f>'Supply planning data'!G181</f>
        <v>0</v>
      </c>
      <c r="F183" s="320">
        <f>'Supply planning data'!H181</f>
        <v>0</v>
      </c>
      <c r="G183" s="320">
        <f>'Supply planning data'!I181</f>
        <v>0</v>
      </c>
      <c r="H183" s="105">
        <f>'Supply planning data'!J181</f>
        <v>0</v>
      </c>
      <c r="I183" s="320">
        <f>'Supply planning data'!K181</f>
        <v>0</v>
      </c>
      <c r="J183" s="177" t="str">
        <f>'Supply planning data'!L181</f>
        <v/>
      </c>
      <c r="K183" s="105">
        <f>'Supply planning data'!M181</f>
        <v>0</v>
      </c>
      <c r="L183" s="321">
        <f>'Supply planning data'!N181+'Supply planning data'!P181</f>
        <v>0</v>
      </c>
      <c r="M183" s="342">
        <f>'Supply planning data'!O181</f>
        <v>0</v>
      </c>
      <c r="N183" s="321">
        <f>'Supply planning data'!P181</f>
        <v>0</v>
      </c>
      <c r="O183" s="342">
        <f>'Supply planning data'!Q181</f>
        <v>0</v>
      </c>
      <c r="P183" s="111">
        <f>'Supply planning data'!R181</f>
        <v>0</v>
      </c>
      <c r="Q183" s="111">
        <f>'Supply planning data'!S181</f>
        <v>0</v>
      </c>
      <c r="R183" s="111">
        <f>'Supply planning data'!T181</f>
        <v>0</v>
      </c>
      <c r="S183" s="111">
        <f>'Supply planning data'!U181</f>
        <v>0</v>
      </c>
      <c r="T183" s="111">
        <f>'Supply planning data'!V181</f>
        <v>0</v>
      </c>
      <c r="U183" s="327" t="str">
        <f>'Supply planning data'!W181</f>
        <v/>
      </c>
      <c r="V183" s="111">
        <f>'Supply planning data'!X181</f>
        <v>0</v>
      </c>
      <c r="W183" s="321">
        <f>'Supply planning data'!Y181</f>
        <v>0</v>
      </c>
      <c r="X183" s="329">
        <f>'Supply planning data'!Z181</f>
        <v>0</v>
      </c>
      <c r="Y183" s="111">
        <f>'Supply planning data'!AA181</f>
        <v>0</v>
      </c>
      <c r="Z183" s="111">
        <f>'Supply planning data'!AB181</f>
        <v>0</v>
      </c>
      <c r="AA183" s="111">
        <f>'Supply planning data'!AC181</f>
        <v>0</v>
      </c>
      <c r="AB183" s="111">
        <f>'Supply planning data'!AD181</f>
        <v>0</v>
      </c>
      <c r="AC183" s="111">
        <f>'Supply planning data'!AE181</f>
        <v>0</v>
      </c>
      <c r="AD183" s="327" t="str">
        <f>'Supply planning data'!AF181</f>
        <v/>
      </c>
      <c r="AE183" s="111">
        <f>'Supply planning data'!AG181</f>
        <v>0</v>
      </c>
      <c r="AF183" s="321">
        <f>'Supply planning data'!AH181</f>
        <v>0</v>
      </c>
      <c r="AG183" s="349">
        <f>'Supply planning data'!AI181</f>
        <v>0</v>
      </c>
      <c r="AH183" s="111">
        <f>'Supply planning data'!AJ181</f>
        <v>0</v>
      </c>
      <c r="AI183" s="111">
        <f>'Supply planning data'!AK181</f>
        <v>0</v>
      </c>
      <c r="AJ183" s="111">
        <f>'Supply planning data'!AL181</f>
        <v>0</v>
      </c>
      <c r="AK183" s="111">
        <f>'Supply planning data'!AM181</f>
        <v>0</v>
      </c>
      <c r="AL183" s="111">
        <f>'Supply planning data'!AN181</f>
        <v>0</v>
      </c>
      <c r="AM183" s="327" t="str">
        <f>'Supply planning data'!AO181</f>
        <v/>
      </c>
    </row>
    <row r="184" spans="1:39" hidden="1" x14ac:dyDescent="0.25">
      <c r="A184" s="104" t="str">
        <f>'Supply planning data'!C182</f>
        <v/>
      </c>
      <c r="B184" s="298">
        <f>'Supply planning data'!D182</f>
        <v>44531</v>
      </c>
      <c r="C184" s="105" t="str">
        <f>'Supply planning data'!E182</f>
        <v>No</v>
      </c>
      <c r="D184" s="105">
        <f>'Supply planning data'!F182</f>
        <v>0</v>
      </c>
      <c r="E184" s="320">
        <f>'Supply planning data'!G182</f>
        <v>0</v>
      </c>
      <c r="F184" s="320">
        <f>'Supply planning data'!H182</f>
        <v>0</v>
      </c>
      <c r="G184" s="320">
        <f>'Supply planning data'!I182</f>
        <v>0</v>
      </c>
      <c r="H184" s="105">
        <f>'Supply planning data'!J182</f>
        <v>0</v>
      </c>
      <c r="I184" s="320">
        <f>'Supply planning data'!K182</f>
        <v>0</v>
      </c>
      <c r="J184" s="177" t="str">
        <f>'Supply planning data'!L182</f>
        <v/>
      </c>
      <c r="K184" s="105">
        <f>'Supply planning data'!M182</f>
        <v>0</v>
      </c>
      <c r="L184" s="321">
        <f>'Supply planning data'!N182+'Supply planning data'!P182</f>
        <v>0</v>
      </c>
      <c r="M184" s="342">
        <f>'Supply planning data'!O182</f>
        <v>0</v>
      </c>
      <c r="N184" s="321">
        <f>'Supply planning data'!P182</f>
        <v>0</v>
      </c>
      <c r="O184" s="342">
        <f>'Supply planning data'!Q182</f>
        <v>0</v>
      </c>
      <c r="P184" s="111">
        <f>'Supply planning data'!R182</f>
        <v>0</v>
      </c>
      <c r="Q184" s="111">
        <f>'Supply planning data'!S182</f>
        <v>0</v>
      </c>
      <c r="R184" s="111">
        <f>'Supply planning data'!T182</f>
        <v>0</v>
      </c>
      <c r="S184" s="111">
        <f>'Supply planning data'!U182</f>
        <v>0</v>
      </c>
      <c r="T184" s="111">
        <f>'Supply planning data'!V182</f>
        <v>0</v>
      </c>
      <c r="U184" s="327" t="str">
        <f>'Supply planning data'!W182</f>
        <v/>
      </c>
      <c r="V184" s="111">
        <f>'Supply planning data'!X182</f>
        <v>0</v>
      </c>
      <c r="W184" s="321">
        <f>'Supply planning data'!Y182</f>
        <v>0</v>
      </c>
      <c r="X184" s="329">
        <f>'Supply planning data'!Z182</f>
        <v>0</v>
      </c>
      <c r="Y184" s="111">
        <f>'Supply planning data'!AA182</f>
        <v>0</v>
      </c>
      <c r="Z184" s="111">
        <f>'Supply planning data'!AB182</f>
        <v>0</v>
      </c>
      <c r="AA184" s="111">
        <f>'Supply planning data'!AC182</f>
        <v>0</v>
      </c>
      <c r="AB184" s="111">
        <f>'Supply planning data'!AD182</f>
        <v>0</v>
      </c>
      <c r="AC184" s="111">
        <f>'Supply planning data'!AE182</f>
        <v>0</v>
      </c>
      <c r="AD184" s="327" t="str">
        <f>'Supply planning data'!AF182</f>
        <v/>
      </c>
      <c r="AE184" s="111">
        <f>'Supply planning data'!AG182</f>
        <v>0</v>
      </c>
      <c r="AF184" s="321">
        <f>'Supply planning data'!AH182</f>
        <v>0</v>
      </c>
      <c r="AG184" s="349">
        <f>'Supply planning data'!AI182</f>
        <v>0</v>
      </c>
      <c r="AH184" s="111">
        <f>'Supply planning data'!AJ182</f>
        <v>0</v>
      </c>
      <c r="AI184" s="111">
        <f>'Supply planning data'!AK182</f>
        <v>0</v>
      </c>
      <c r="AJ184" s="111">
        <f>'Supply planning data'!AL182</f>
        <v>0</v>
      </c>
      <c r="AK184" s="111">
        <f>'Supply planning data'!AM182</f>
        <v>0</v>
      </c>
      <c r="AL184" s="111">
        <f>'Supply planning data'!AN182</f>
        <v>0</v>
      </c>
      <c r="AM184" s="327" t="str">
        <f>'Supply planning data'!AO182</f>
        <v/>
      </c>
    </row>
    <row r="185" spans="1:39" hidden="1" x14ac:dyDescent="0.25">
      <c r="A185" s="109" t="str">
        <f>'Supply planning data'!C183</f>
        <v/>
      </c>
      <c r="B185" s="298">
        <f>'Supply planning data'!D183</f>
        <v>44531</v>
      </c>
      <c r="C185" s="105" t="str">
        <f>'Supply planning data'!E183</f>
        <v>No</v>
      </c>
      <c r="D185" s="105">
        <f>'Supply planning data'!F183</f>
        <v>0</v>
      </c>
      <c r="E185" s="320">
        <f>'Supply planning data'!G183</f>
        <v>0</v>
      </c>
      <c r="F185" s="320">
        <f>'Supply planning data'!H183</f>
        <v>0</v>
      </c>
      <c r="G185" s="320">
        <f>'Supply planning data'!I183</f>
        <v>0</v>
      </c>
      <c r="H185" s="105">
        <f>'Supply planning data'!J183</f>
        <v>0</v>
      </c>
      <c r="I185" s="320">
        <f>'Supply planning data'!K183</f>
        <v>0</v>
      </c>
      <c r="J185" s="177" t="str">
        <f>'Supply planning data'!L183</f>
        <v/>
      </c>
      <c r="K185" s="105">
        <f>'Supply planning data'!M183</f>
        <v>0</v>
      </c>
      <c r="L185" s="321">
        <f>'Supply planning data'!N183+'Supply planning data'!P183</f>
        <v>0</v>
      </c>
      <c r="M185" s="342">
        <f>'Supply planning data'!O183</f>
        <v>0</v>
      </c>
      <c r="N185" s="321">
        <f>'Supply planning data'!P183</f>
        <v>0</v>
      </c>
      <c r="O185" s="342">
        <f>'Supply planning data'!Q183</f>
        <v>0</v>
      </c>
      <c r="P185" s="111">
        <f>'Supply planning data'!R183</f>
        <v>0</v>
      </c>
      <c r="Q185" s="111">
        <f>'Supply planning data'!S183</f>
        <v>0</v>
      </c>
      <c r="R185" s="111">
        <f>'Supply planning data'!T183</f>
        <v>0</v>
      </c>
      <c r="S185" s="111">
        <f>'Supply planning data'!U183</f>
        <v>0</v>
      </c>
      <c r="T185" s="111">
        <f>'Supply planning data'!V183</f>
        <v>0</v>
      </c>
      <c r="U185" s="327" t="str">
        <f>'Supply planning data'!W183</f>
        <v/>
      </c>
      <c r="V185" s="111">
        <f>'Supply planning data'!X183</f>
        <v>0</v>
      </c>
      <c r="W185" s="321">
        <f>'Supply planning data'!Y183</f>
        <v>0</v>
      </c>
      <c r="X185" s="329">
        <f>'Supply planning data'!Z183</f>
        <v>0</v>
      </c>
      <c r="Y185" s="111">
        <f>'Supply planning data'!AA183</f>
        <v>0</v>
      </c>
      <c r="Z185" s="111">
        <f>'Supply planning data'!AB183</f>
        <v>0</v>
      </c>
      <c r="AA185" s="111">
        <f>'Supply planning data'!AC183</f>
        <v>0</v>
      </c>
      <c r="AB185" s="111">
        <f>'Supply planning data'!AD183</f>
        <v>0</v>
      </c>
      <c r="AC185" s="111">
        <f>'Supply planning data'!AE183</f>
        <v>0</v>
      </c>
      <c r="AD185" s="327" t="str">
        <f>'Supply planning data'!AF183</f>
        <v/>
      </c>
      <c r="AE185" s="111">
        <f>'Supply planning data'!AG183</f>
        <v>0</v>
      </c>
      <c r="AF185" s="321">
        <f>'Supply planning data'!AH183</f>
        <v>0</v>
      </c>
      <c r="AG185" s="349">
        <f>'Supply planning data'!AI183</f>
        <v>0</v>
      </c>
      <c r="AH185" s="111">
        <f>'Supply planning data'!AJ183</f>
        <v>0</v>
      </c>
      <c r="AI185" s="111">
        <f>'Supply planning data'!AK183</f>
        <v>0</v>
      </c>
      <c r="AJ185" s="111">
        <f>'Supply planning data'!AL183</f>
        <v>0</v>
      </c>
      <c r="AK185" s="111">
        <f>'Supply planning data'!AM183</f>
        <v>0</v>
      </c>
      <c r="AL185" s="111">
        <f>'Supply planning data'!AN183</f>
        <v>0</v>
      </c>
      <c r="AM185" s="327" t="str">
        <f>'Supply planning data'!AO183</f>
        <v/>
      </c>
    </row>
    <row r="186" spans="1:39" hidden="1" x14ac:dyDescent="0.25">
      <c r="A186" s="104" t="str">
        <f>'Supply planning data'!C184</f>
        <v/>
      </c>
      <c r="B186" s="298">
        <f>'Supply planning data'!D184</f>
        <v>44531</v>
      </c>
      <c r="C186" s="105" t="str">
        <f>'Supply planning data'!E184</f>
        <v>No</v>
      </c>
      <c r="D186" s="105">
        <f>'Supply planning data'!F184</f>
        <v>0</v>
      </c>
      <c r="E186" s="320">
        <f>'Supply planning data'!G184</f>
        <v>0</v>
      </c>
      <c r="F186" s="320">
        <f>'Supply planning data'!H184</f>
        <v>0</v>
      </c>
      <c r="G186" s="320">
        <f>'Supply planning data'!I184</f>
        <v>0</v>
      </c>
      <c r="H186" s="105">
        <f>'Supply planning data'!J184</f>
        <v>0</v>
      </c>
      <c r="I186" s="320">
        <f>'Supply planning data'!K184</f>
        <v>0</v>
      </c>
      <c r="J186" s="177" t="str">
        <f>'Supply planning data'!L184</f>
        <v/>
      </c>
      <c r="K186" s="105">
        <f>'Supply planning data'!M184</f>
        <v>0</v>
      </c>
      <c r="L186" s="321">
        <f>'Supply planning data'!N184+'Supply planning data'!P184</f>
        <v>0</v>
      </c>
      <c r="M186" s="342">
        <f>'Supply planning data'!O184</f>
        <v>0</v>
      </c>
      <c r="N186" s="321">
        <f>'Supply planning data'!P184</f>
        <v>0</v>
      </c>
      <c r="O186" s="342">
        <f>'Supply planning data'!Q184</f>
        <v>0</v>
      </c>
      <c r="P186" s="111">
        <f>'Supply planning data'!R184</f>
        <v>0</v>
      </c>
      <c r="Q186" s="111">
        <f>'Supply planning data'!S184</f>
        <v>0</v>
      </c>
      <c r="R186" s="111">
        <f>'Supply planning data'!T184</f>
        <v>0</v>
      </c>
      <c r="S186" s="111">
        <f>'Supply planning data'!U184</f>
        <v>0</v>
      </c>
      <c r="T186" s="111">
        <f>'Supply planning data'!V184</f>
        <v>0</v>
      </c>
      <c r="U186" s="327" t="str">
        <f>'Supply planning data'!W184</f>
        <v/>
      </c>
      <c r="V186" s="111">
        <f>'Supply planning data'!X184</f>
        <v>0</v>
      </c>
      <c r="W186" s="321">
        <f>'Supply planning data'!Y184</f>
        <v>0</v>
      </c>
      <c r="X186" s="329">
        <f>'Supply planning data'!Z184</f>
        <v>0</v>
      </c>
      <c r="Y186" s="111">
        <f>'Supply planning data'!AA184</f>
        <v>0</v>
      </c>
      <c r="Z186" s="111">
        <f>'Supply planning data'!AB184</f>
        <v>0</v>
      </c>
      <c r="AA186" s="111">
        <f>'Supply planning data'!AC184</f>
        <v>0</v>
      </c>
      <c r="AB186" s="111">
        <f>'Supply planning data'!AD184</f>
        <v>0</v>
      </c>
      <c r="AC186" s="111">
        <f>'Supply planning data'!AE184</f>
        <v>0</v>
      </c>
      <c r="AD186" s="327" t="str">
        <f>'Supply planning data'!AF184</f>
        <v/>
      </c>
      <c r="AE186" s="111">
        <f>'Supply planning data'!AG184</f>
        <v>0</v>
      </c>
      <c r="AF186" s="321">
        <f>'Supply planning data'!AH184</f>
        <v>0</v>
      </c>
      <c r="AG186" s="349">
        <f>'Supply planning data'!AI184</f>
        <v>0</v>
      </c>
      <c r="AH186" s="111">
        <f>'Supply planning data'!AJ184</f>
        <v>0</v>
      </c>
      <c r="AI186" s="111">
        <f>'Supply planning data'!AK184</f>
        <v>0</v>
      </c>
      <c r="AJ186" s="111">
        <f>'Supply planning data'!AL184</f>
        <v>0</v>
      </c>
      <c r="AK186" s="111">
        <f>'Supply planning data'!AM184</f>
        <v>0</v>
      </c>
      <c r="AL186" s="111">
        <f>'Supply planning data'!AN184</f>
        <v>0</v>
      </c>
      <c r="AM186" s="327" t="str">
        <f>'Supply planning data'!AO184</f>
        <v/>
      </c>
    </row>
    <row r="187" spans="1:39" x14ac:dyDescent="0.25">
      <c r="A187" s="90" t="str">
        <f>'Supply planning data'!C185</f>
        <v>AstraZeneca</v>
      </c>
      <c r="B187" s="296">
        <f>'Supply planning data'!D185</f>
        <v>44562</v>
      </c>
      <c r="C187" s="92" t="str">
        <f>'Supply planning data'!E185</f>
        <v>Yes</v>
      </c>
      <c r="D187" s="92">
        <f>'Supply planning data'!F185</f>
        <v>131674</v>
      </c>
      <c r="E187" s="316">
        <f>'Supply planning data'!G185</f>
        <v>16408</v>
      </c>
      <c r="F187" s="316">
        <f>'Supply planning data'!H185</f>
        <v>1378</v>
      </c>
      <c r="G187" s="316">
        <f>'Supply planning data'!I185</f>
        <v>0</v>
      </c>
      <c r="H187" s="92">
        <f>'Supply planning data'!J185</f>
        <v>17786</v>
      </c>
      <c r="I187" s="316">
        <f>'Supply planning data'!K185</f>
        <v>0</v>
      </c>
      <c r="J187" s="174">
        <f>'Supply planning data'!L185</f>
        <v>0</v>
      </c>
      <c r="K187" s="92">
        <f>'Supply planning data'!M185</f>
        <v>17786</v>
      </c>
      <c r="L187" s="316">
        <f>'Supply planning data'!N185+'Supply planning data'!P185</f>
        <v>0</v>
      </c>
      <c r="M187" s="343">
        <f>'Supply planning data'!O185</f>
        <v>0</v>
      </c>
      <c r="N187" s="316">
        <f>'Supply planning data'!P185</f>
        <v>0</v>
      </c>
      <c r="O187" s="343">
        <f>'Supply planning data'!Q185</f>
        <v>0</v>
      </c>
      <c r="P187" s="92">
        <f>'Supply planning data'!R185</f>
        <v>0</v>
      </c>
      <c r="Q187" s="92">
        <f>'Supply planning data'!S185</f>
        <v>0</v>
      </c>
      <c r="R187" s="92">
        <f>'Supply planning data'!T185</f>
        <v>0</v>
      </c>
      <c r="S187" s="92">
        <f>'Supply planning data'!U185</f>
        <v>0</v>
      </c>
      <c r="T187" s="92">
        <f>'Supply planning data'!V185</f>
        <v>113888</v>
      </c>
      <c r="U187" s="324">
        <f>'Supply planning data'!W185</f>
        <v>1.420569451836083</v>
      </c>
      <c r="V187" s="92">
        <f>'Supply planning data'!X185</f>
        <v>921994</v>
      </c>
      <c r="W187" s="316">
        <f>'Supply planning data'!Y185</f>
        <v>0</v>
      </c>
      <c r="X187" s="328">
        <f>'Supply planning data'!Z185</f>
        <v>0</v>
      </c>
      <c r="Y187" s="92">
        <f>'Supply planning data'!AA185</f>
        <v>0</v>
      </c>
      <c r="Z187" s="92">
        <f>'Supply planning data'!AB185</f>
        <v>0</v>
      </c>
      <c r="AA187" s="92">
        <f>'Supply planning data'!AC185</f>
        <v>0</v>
      </c>
      <c r="AB187" s="92">
        <f>'Supply planning data'!AD185</f>
        <v>0</v>
      </c>
      <c r="AC187" s="92">
        <f>'Supply planning data'!AE185</f>
        <v>904208</v>
      </c>
      <c r="AD187" s="324">
        <f>'Supply planning data'!AF185</f>
        <v>34.23474178403756</v>
      </c>
      <c r="AE187" s="92">
        <f>'Supply planning data'!AG185</f>
        <v>131674</v>
      </c>
      <c r="AF187" s="316">
        <f>'Supply planning data'!AH185</f>
        <v>0</v>
      </c>
      <c r="AG187" s="174">
        <f>'Supply planning data'!AI185</f>
        <v>0</v>
      </c>
      <c r="AH187" s="92">
        <f>'Supply planning data'!AJ185</f>
        <v>0</v>
      </c>
      <c r="AI187" s="92">
        <f>'Supply planning data'!AK185</f>
        <v>0</v>
      </c>
      <c r="AJ187" s="92">
        <f>'Supply planning data'!AL185</f>
        <v>0</v>
      </c>
      <c r="AK187" s="92">
        <f>'Supply planning data'!AM185</f>
        <v>0</v>
      </c>
      <c r="AL187" s="92">
        <f>'Supply planning data'!AN185</f>
        <v>113888</v>
      </c>
      <c r="AM187" s="324">
        <f>'Supply planning data'!AO185</f>
        <v>4.31197940330153</v>
      </c>
    </row>
    <row r="188" spans="1:39" x14ac:dyDescent="0.25">
      <c r="A188" s="90" t="str">
        <f>'Supply planning data'!C186</f>
        <v>Jansen</v>
      </c>
      <c r="B188" s="296">
        <f>'Supply planning data'!D186</f>
        <v>44562</v>
      </c>
      <c r="C188" s="92" t="str">
        <f>'Supply planning data'!E186</f>
        <v>Yes</v>
      </c>
      <c r="D188" s="92">
        <f>'Supply planning data'!F186</f>
        <v>318331</v>
      </c>
      <c r="E188" s="316">
        <f>'Supply planning data'!G186</f>
        <v>135563</v>
      </c>
      <c r="F188" s="317">
        <f>'Supply planning data'!H186</f>
        <v>0</v>
      </c>
      <c r="G188" s="317">
        <f>'Supply planning data'!I186</f>
        <v>0</v>
      </c>
      <c r="H188" s="98">
        <f>'Supply planning data'!J186</f>
        <v>135563</v>
      </c>
      <c r="I188" s="317">
        <f>'Supply planning data'!K186</f>
        <v>760</v>
      </c>
      <c r="J188" s="175">
        <f>'Supply planning data'!L186</f>
        <v>5.6062494928557204E-3</v>
      </c>
      <c r="K188" s="98">
        <f>'Supply planning data'!M186</f>
        <v>136323</v>
      </c>
      <c r="L188" s="317">
        <f>'Supply planning data'!N186+'Supply planning data'!P186</f>
        <v>0</v>
      </c>
      <c r="M188" s="339">
        <f>'Supply planning data'!O186</f>
        <v>0</v>
      </c>
      <c r="N188" s="317">
        <f>'Supply planning data'!P186</f>
        <v>0</v>
      </c>
      <c r="O188" s="339">
        <f>'Supply planning data'!Q186</f>
        <v>0</v>
      </c>
      <c r="P188" s="98">
        <f>'Supply planning data'!R186</f>
        <v>396000</v>
      </c>
      <c r="Q188" s="98">
        <f>'Supply planning data'!S186</f>
        <v>0</v>
      </c>
      <c r="R188" s="98">
        <f>'Supply planning data'!T186</f>
        <v>0</v>
      </c>
      <c r="S188" s="98">
        <f>'Supply planning data'!U186</f>
        <v>0</v>
      </c>
      <c r="T188" s="98">
        <f>'Supply planning data'!V186</f>
        <v>578008</v>
      </c>
      <c r="U188" s="325">
        <f>'Supply planning data'!W186</f>
        <v>1.9295211537798174</v>
      </c>
      <c r="V188" s="98">
        <f>'Supply planning data'!X186</f>
        <v>318331</v>
      </c>
      <c r="W188" s="317">
        <f>'Supply planning data'!Y186</f>
        <v>0</v>
      </c>
      <c r="X188" s="328">
        <f>'Supply planning data'!Z186</f>
        <v>0</v>
      </c>
      <c r="Y188" s="98">
        <f>'Supply planning data'!AA186</f>
        <v>0</v>
      </c>
      <c r="Z188" s="98">
        <f>'Supply planning data'!AB186</f>
        <v>0</v>
      </c>
      <c r="AA188" s="98">
        <f>'Supply planning data'!AC186</f>
        <v>0</v>
      </c>
      <c r="AB188" s="98">
        <f>'Supply planning data'!AD186</f>
        <v>0</v>
      </c>
      <c r="AC188" s="98">
        <f>'Supply planning data'!AE186</f>
        <v>578008</v>
      </c>
      <c r="AD188" s="325">
        <f>'Supply planning data'!AF186</f>
        <v>3.2917172883003283</v>
      </c>
      <c r="AE188" s="98">
        <f>'Supply planning data'!AG186</f>
        <v>318331</v>
      </c>
      <c r="AF188" s="317">
        <f>'Supply planning data'!AH186</f>
        <v>0</v>
      </c>
      <c r="AG188" s="175">
        <f>'Supply planning data'!AI186</f>
        <v>0</v>
      </c>
      <c r="AH188" s="98">
        <f>'Supply planning data'!AJ186</f>
        <v>0</v>
      </c>
      <c r="AI188" s="98">
        <f>'Supply planning data'!AK186</f>
        <v>0</v>
      </c>
      <c r="AJ188" s="98">
        <f>'Supply planning data'!AL186</f>
        <v>0</v>
      </c>
      <c r="AK188" s="98">
        <f>'Supply planning data'!AM186</f>
        <v>0</v>
      </c>
      <c r="AL188" s="98">
        <f>'Supply planning data'!AN186</f>
        <v>578008</v>
      </c>
      <c r="AM188" s="325">
        <f>'Supply planning data'!AO186</f>
        <v>3.2917172883003283</v>
      </c>
    </row>
    <row r="189" spans="1:39" x14ac:dyDescent="0.25">
      <c r="A189" s="90" t="str">
        <f>'Supply planning data'!C187</f>
        <v>Moderna</v>
      </c>
      <c r="B189" s="296">
        <f>'Supply planning data'!D187</f>
        <v>44562</v>
      </c>
      <c r="C189" s="92" t="str">
        <f>'Supply planning data'!E187</f>
        <v>No</v>
      </c>
      <c r="D189" s="92">
        <f>'Supply planning data'!F187</f>
        <v>0</v>
      </c>
      <c r="E189" s="316">
        <f>'Supply planning data'!G187</f>
        <v>0</v>
      </c>
      <c r="F189" s="317">
        <f>'Supply planning data'!H187</f>
        <v>0</v>
      </c>
      <c r="G189" s="317">
        <f>'Supply planning data'!I187</f>
        <v>0</v>
      </c>
      <c r="H189" s="98">
        <f>'Supply planning data'!J187</f>
        <v>0</v>
      </c>
      <c r="I189" s="317">
        <f>'Supply planning data'!K187</f>
        <v>5400</v>
      </c>
      <c r="J189" s="175" t="str">
        <f>'Supply planning data'!L187</f>
        <v/>
      </c>
      <c r="K189" s="98">
        <f>'Supply planning data'!M187</f>
        <v>5400</v>
      </c>
      <c r="L189" s="317">
        <f>'Supply planning data'!N187+'Supply planning data'!P187</f>
        <v>0</v>
      </c>
      <c r="M189" s="339">
        <f>'Supply planning data'!O187</f>
        <v>0</v>
      </c>
      <c r="N189" s="317">
        <f>'Supply planning data'!P187</f>
        <v>0</v>
      </c>
      <c r="O189" s="339">
        <f>'Supply planning data'!Q187</f>
        <v>0</v>
      </c>
      <c r="P189" s="98">
        <f>'Supply planning data'!R187</f>
        <v>0</v>
      </c>
      <c r="Q189" s="98">
        <f>'Supply planning data'!S187</f>
        <v>0</v>
      </c>
      <c r="R189" s="98">
        <f>'Supply planning data'!T187</f>
        <v>0</v>
      </c>
      <c r="S189" s="98">
        <f>'Supply planning data'!U187</f>
        <v>0</v>
      </c>
      <c r="T189" s="98">
        <f>'Supply planning data'!V187</f>
        <v>0</v>
      </c>
      <c r="U189" s="325">
        <f>'Supply planning data'!W187</f>
        <v>0</v>
      </c>
      <c r="V189" s="98">
        <f>'Supply planning data'!X187</f>
        <v>0</v>
      </c>
      <c r="W189" s="317">
        <f>'Supply planning data'!Y187</f>
        <v>0</v>
      </c>
      <c r="X189" s="328">
        <f>'Supply planning data'!Z187</f>
        <v>0</v>
      </c>
      <c r="Y189" s="98">
        <f>'Supply planning data'!AA187</f>
        <v>0</v>
      </c>
      <c r="Z189" s="98">
        <f>'Supply planning data'!AB187</f>
        <v>0</v>
      </c>
      <c r="AA189" s="98">
        <f>'Supply planning data'!AC187</f>
        <v>0</v>
      </c>
      <c r="AB189" s="98">
        <f>'Supply planning data'!AD187</f>
        <v>0</v>
      </c>
      <c r="AC189" s="98">
        <f>'Supply planning data'!AE187</f>
        <v>0</v>
      </c>
      <c r="AD189" s="325">
        <f>'Supply planning data'!AF187</f>
        <v>0</v>
      </c>
      <c r="AE189" s="98">
        <f>'Supply planning data'!AG187</f>
        <v>0</v>
      </c>
      <c r="AF189" s="317">
        <f>'Supply planning data'!AH187</f>
        <v>0</v>
      </c>
      <c r="AG189" s="175">
        <f>'Supply planning data'!AI187</f>
        <v>0</v>
      </c>
      <c r="AH189" s="98">
        <f>'Supply planning data'!AJ187</f>
        <v>0</v>
      </c>
      <c r="AI189" s="98">
        <f>'Supply planning data'!AK187</f>
        <v>0</v>
      </c>
      <c r="AJ189" s="98">
        <f>'Supply planning data'!AL187</f>
        <v>0</v>
      </c>
      <c r="AK189" s="98">
        <f>'Supply planning data'!AM187</f>
        <v>0</v>
      </c>
      <c r="AL189" s="98">
        <f>'Supply planning data'!AN187</f>
        <v>0</v>
      </c>
      <c r="AM189" s="325">
        <f>'Supply planning data'!AO187</f>
        <v>0</v>
      </c>
    </row>
    <row r="190" spans="1:39" x14ac:dyDescent="0.25">
      <c r="A190" s="90" t="str">
        <f>'Supply planning data'!C188</f>
        <v>Pfizer</v>
      </c>
      <c r="B190" s="296">
        <f>'Supply planning data'!D188</f>
        <v>44562</v>
      </c>
      <c r="C190" s="92" t="str">
        <f>'Supply planning data'!E188</f>
        <v>Yes</v>
      </c>
      <c r="D190" s="92">
        <f>'Supply planning data'!F188</f>
        <v>0</v>
      </c>
      <c r="E190" s="316">
        <f>'Supply planning data'!G188</f>
        <v>34679</v>
      </c>
      <c r="F190" s="317">
        <f>'Supply planning data'!H188</f>
        <v>2067</v>
      </c>
      <c r="G190" s="317">
        <f>'Supply planning data'!I188</f>
        <v>0</v>
      </c>
      <c r="H190" s="98">
        <f>'Supply planning data'!J188</f>
        <v>36746</v>
      </c>
      <c r="I190" s="317">
        <f>'Supply planning data'!K188</f>
        <v>200</v>
      </c>
      <c r="J190" s="175">
        <f>'Supply planning data'!L188</f>
        <v>5.4427692810101779E-3</v>
      </c>
      <c r="K190" s="98">
        <f>'Supply planning data'!M188</f>
        <v>36946</v>
      </c>
      <c r="L190" s="317">
        <f>'Supply planning data'!N188+'Supply planning data'!P188</f>
        <v>0</v>
      </c>
      <c r="M190" s="339">
        <f>'Supply planning data'!O188</f>
        <v>0</v>
      </c>
      <c r="N190" s="317">
        <f>'Supply planning data'!P188</f>
        <v>0</v>
      </c>
      <c r="O190" s="339">
        <f>'Supply planning data'!Q188</f>
        <v>0</v>
      </c>
      <c r="P190" s="98">
        <f>'Supply planning data'!R188</f>
        <v>398970</v>
      </c>
      <c r="Q190" s="98">
        <f>'Supply planning data'!S188</f>
        <v>0</v>
      </c>
      <c r="R190" s="98">
        <f>'Supply planning data'!T188</f>
        <v>0</v>
      </c>
      <c r="S190" s="98">
        <f>'Supply planning data'!U188</f>
        <v>0</v>
      </c>
      <c r="T190" s="98">
        <f>'Supply planning data'!V188</f>
        <v>362024</v>
      </c>
      <c r="U190" s="325">
        <f>'Supply planning data'!W188</f>
        <v>29.396199859254047</v>
      </c>
      <c r="V190" s="98">
        <f>'Supply planning data'!X188</f>
        <v>0</v>
      </c>
      <c r="W190" s="317">
        <f>'Supply planning data'!Y188</f>
        <v>0</v>
      </c>
      <c r="X190" s="328">
        <f>'Supply planning data'!Z188</f>
        <v>0</v>
      </c>
      <c r="Y190" s="98">
        <f>'Supply planning data'!AA188</f>
        <v>0</v>
      </c>
      <c r="Z190" s="98">
        <f>'Supply planning data'!AB188</f>
        <v>0</v>
      </c>
      <c r="AA190" s="98">
        <f>'Supply planning data'!AC188</f>
        <v>0</v>
      </c>
      <c r="AB190" s="98">
        <f>'Supply planning data'!AD188</f>
        <v>0</v>
      </c>
      <c r="AC190" s="98">
        <f>'Supply planning data'!AE188</f>
        <v>362024</v>
      </c>
      <c r="AD190" s="325">
        <f>'Supply planning data'!AF188</f>
        <v>3.7654351805624895</v>
      </c>
      <c r="AE190" s="98">
        <f>'Supply planning data'!AG188</f>
        <v>0</v>
      </c>
      <c r="AF190" s="317">
        <f>'Supply planning data'!AH188</f>
        <v>0</v>
      </c>
      <c r="AG190" s="175">
        <f>'Supply planning data'!AI188</f>
        <v>0</v>
      </c>
      <c r="AH190" s="98">
        <f>'Supply planning data'!AJ188</f>
        <v>0</v>
      </c>
      <c r="AI190" s="98">
        <f>'Supply planning data'!AK188</f>
        <v>0</v>
      </c>
      <c r="AJ190" s="98">
        <f>'Supply planning data'!AL188</f>
        <v>0</v>
      </c>
      <c r="AK190" s="98">
        <f>'Supply planning data'!AM188</f>
        <v>0</v>
      </c>
      <c r="AL190" s="98">
        <f>'Supply planning data'!AN188</f>
        <v>362024</v>
      </c>
      <c r="AM190" s="325">
        <f>'Supply planning data'!AO188</f>
        <v>3.7654351805624895</v>
      </c>
    </row>
    <row r="191" spans="1:39" x14ac:dyDescent="0.25">
      <c r="A191" s="90" t="str">
        <f>'Supply planning data'!C189</f>
        <v>Sinovac</v>
      </c>
      <c r="B191" s="296">
        <f>'Supply planning data'!D189</f>
        <v>44562</v>
      </c>
      <c r="C191" s="92" t="str">
        <f>'Supply planning data'!E189</f>
        <v>No</v>
      </c>
      <c r="D191" s="92">
        <f>'Supply planning data'!F189</f>
        <v>0</v>
      </c>
      <c r="E191" s="316">
        <f>'Supply planning data'!G189</f>
        <v>0</v>
      </c>
      <c r="F191" s="317">
        <f>'Supply planning data'!H189</f>
        <v>0</v>
      </c>
      <c r="G191" s="317">
        <f>'Supply planning data'!I189</f>
        <v>0</v>
      </c>
      <c r="H191" s="98">
        <f>'Supply planning data'!J189</f>
        <v>0</v>
      </c>
      <c r="I191" s="317">
        <f>'Supply planning data'!K189</f>
        <v>0</v>
      </c>
      <c r="J191" s="175" t="str">
        <f>'Supply planning data'!L189</f>
        <v/>
      </c>
      <c r="K191" s="98">
        <f>'Supply planning data'!M189</f>
        <v>0</v>
      </c>
      <c r="L191" s="317">
        <f>'Supply planning data'!N189+'Supply planning data'!P189</f>
        <v>0</v>
      </c>
      <c r="M191" s="339">
        <f>'Supply planning data'!O189</f>
        <v>0</v>
      </c>
      <c r="N191" s="317">
        <f>'Supply planning data'!P189</f>
        <v>0</v>
      </c>
      <c r="O191" s="339">
        <f>'Supply planning data'!Q189</f>
        <v>0</v>
      </c>
      <c r="P191" s="98">
        <f>'Supply planning data'!R189</f>
        <v>0</v>
      </c>
      <c r="Q191" s="98">
        <f>'Supply planning data'!S189</f>
        <v>0</v>
      </c>
      <c r="R191" s="98">
        <f>'Supply planning data'!T189</f>
        <v>0</v>
      </c>
      <c r="S191" s="98">
        <f>'Supply planning data'!U189</f>
        <v>0</v>
      </c>
      <c r="T191" s="98">
        <f>'Supply planning data'!V189</f>
        <v>0</v>
      </c>
      <c r="U191" s="325" t="str">
        <f>'Supply planning data'!W189</f>
        <v/>
      </c>
      <c r="V191" s="98">
        <f>'Supply planning data'!X189</f>
        <v>0</v>
      </c>
      <c r="W191" s="317">
        <f>'Supply planning data'!Y189</f>
        <v>0</v>
      </c>
      <c r="X191" s="328">
        <f>'Supply planning data'!Z189</f>
        <v>0</v>
      </c>
      <c r="Y191" s="98">
        <f>'Supply planning data'!AA189</f>
        <v>0</v>
      </c>
      <c r="Z191" s="98">
        <f>'Supply planning data'!AB189</f>
        <v>0</v>
      </c>
      <c r="AA191" s="98">
        <f>'Supply planning data'!AC189</f>
        <v>0</v>
      </c>
      <c r="AB191" s="98">
        <f>'Supply planning data'!AD189</f>
        <v>0</v>
      </c>
      <c r="AC191" s="98">
        <f>'Supply planning data'!AE189</f>
        <v>0</v>
      </c>
      <c r="AD191" s="325" t="str">
        <f>'Supply planning data'!AF189</f>
        <v/>
      </c>
      <c r="AE191" s="98">
        <f>'Supply planning data'!AG189</f>
        <v>0</v>
      </c>
      <c r="AF191" s="317">
        <f>'Supply planning data'!AH189</f>
        <v>0</v>
      </c>
      <c r="AG191" s="175">
        <f>'Supply planning data'!AI189</f>
        <v>0</v>
      </c>
      <c r="AH191" s="98">
        <f>'Supply planning data'!AJ189</f>
        <v>0</v>
      </c>
      <c r="AI191" s="98">
        <f>'Supply planning data'!AK189</f>
        <v>0</v>
      </c>
      <c r="AJ191" s="98">
        <f>'Supply planning data'!AL189</f>
        <v>0</v>
      </c>
      <c r="AK191" s="98">
        <f>'Supply planning data'!AM189</f>
        <v>0</v>
      </c>
      <c r="AL191" s="98">
        <f>'Supply planning data'!AN189</f>
        <v>0</v>
      </c>
      <c r="AM191" s="325" t="str">
        <f>'Supply planning data'!AO189</f>
        <v/>
      </c>
    </row>
    <row r="192" spans="1:39" hidden="1" x14ac:dyDescent="0.25">
      <c r="A192" s="90" t="str">
        <f>'Supply planning data'!C190</f>
        <v/>
      </c>
      <c r="B192" s="296">
        <f>'Supply planning data'!D190</f>
        <v>44562</v>
      </c>
      <c r="C192" s="92" t="str">
        <f>'Supply planning data'!E190</f>
        <v>No</v>
      </c>
      <c r="D192" s="92">
        <f>'Supply planning data'!F190</f>
        <v>0</v>
      </c>
      <c r="E192" s="316">
        <f>'Supply planning data'!G190</f>
        <v>0</v>
      </c>
      <c r="F192" s="317">
        <f>'Supply planning data'!H190</f>
        <v>0</v>
      </c>
      <c r="G192" s="317">
        <f>'Supply planning data'!I190</f>
        <v>0</v>
      </c>
      <c r="H192" s="98">
        <f>'Supply planning data'!J190</f>
        <v>0</v>
      </c>
      <c r="I192" s="317">
        <f>'Supply planning data'!K190</f>
        <v>0</v>
      </c>
      <c r="J192" s="175" t="str">
        <f>'Supply planning data'!L190</f>
        <v/>
      </c>
      <c r="K192" s="98">
        <f>'Supply planning data'!M190</f>
        <v>0</v>
      </c>
      <c r="L192" s="317">
        <f>'Supply planning data'!N190+'Supply planning data'!P190</f>
        <v>0</v>
      </c>
      <c r="M192" s="339">
        <f>'Supply planning data'!O190</f>
        <v>0</v>
      </c>
      <c r="N192" s="317">
        <f>'Supply planning data'!P190</f>
        <v>0</v>
      </c>
      <c r="O192" s="339">
        <f>'Supply planning data'!Q190</f>
        <v>0</v>
      </c>
      <c r="P192" s="98">
        <f>'Supply planning data'!R190</f>
        <v>0</v>
      </c>
      <c r="Q192" s="98">
        <f>'Supply planning data'!S190</f>
        <v>0</v>
      </c>
      <c r="R192" s="98">
        <f>'Supply planning data'!T190</f>
        <v>0</v>
      </c>
      <c r="S192" s="98">
        <f>'Supply planning data'!U190</f>
        <v>0</v>
      </c>
      <c r="T192" s="98">
        <f>'Supply planning data'!V190</f>
        <v>0</v>
      </c>
      <c r="U192" s="325" t="str">
        <f>'Supply planning data'!W190</f>
        <v/>
      </c>
      <c r="V192" s="98">
        <f>'Supply planning data'!X190</f>
        <v>0</v>
      </c>
      <c r="W192" s="317">
        <f>'Supply planning data'!Y190</f>
        <v>0</v>
      </c>
      <c r="X192" s="328">
        <f>'Supply planning data'!Z190</f>
        <v>0</v>
      </c>
      <c r="Y192" s="98">
        <f>'Supply planning data'!AA190</f>
        <v>0</v>
      </c>
      <c r="Z192" s="98">
        <f>'Supply planning data'!AB190</f>
        <v>0</v>
      </c>
      <c r="AA192" s="98">
        <f>'Supply planning data'!AC190</f>
        <v>0</v>
      </c>
      <c r="AB192" s="98">
        <f>'Supply planning data'!AD190</f>
        <v>0</v>
      </c>
      <c r="AC192" s="98">
        <f>'Supply planning data'!AE190</f>
        <v>0</v>
      </c>
      <c r="AD192" s="325" t="str">
        <f>'Supply planning data'!AF190</f>
        <v/>
      </c>
      <c r="AE192" s="98">
        <f>'Supply planning data'!AG190</f>
        <v>0</v>
      </c>
      <c r="AF192" s="317">
        <f>'Supply planning data'!AH190</f>
        <v>0</v>
      </c>
      <c r="AG192" s="175">
        <f>'Supply planning data'!AI190</f>
        <v>0</v>
      </c>
      <c r="AH192" s="98">
        <f>'Supply planning data'!AJ190</f>
        <v>0</v>
      </c>
      <c r="AI192" s="98">
        <f>'Supply planning data'!AK190</f>
        <v>0</v>
      </c>
      <c r="AJ192" s="98">
        <f>'Supply planning data'!AL190</f>
        <v>0</v>
      </c>
      <c r="AK192" s="98">
        <f>'Supply planning data'!AM190</f>
        <v>0</v>
      </c>
      <c r="AL192" s="98">
        <f>'Supply planning data'!AN190</f>
        <v>0</v>
      </c>
      <c r="AM192" s="325" t="str">
        <f>'Supply planning data'!AO190</f>
        <v/>
      </c>
    </row>
    <row r="193" spans="1:39" hidden="1" x14ac:dyDescent="0.25">
      <c r="A193" s="90" t="str">
        <f>'Supply planning data'!C191</f>
        <v/>
      </c>
      <c r="B193" s="296">
        <f>'Supply planning data'!D191</f>
        <v>44562</v>
      </c>
      <c r="C193" s="92" t="str">
        <f>'Supply planning data'!E191</f>
        <v>No</v>
      </c>
      <c r="D193" s="92">
        <f>'Supply planning data'!F191</f>
        <v>0</v>
      </c>
      <c r="E193" s="316">
        <f>'Supply planning data'!G191</f>
        <v>0</v>
      </c>
      <c r="F193" s="317">
        <f>'Supply planning data'!H191</f>
        <v>0</v>
      </c>
      <c r="G193" s="317">
        <f>'Supply planning data'!I191</f>
        <v>0</v>
      </c>
      <c r="H193" s="98">
        <f>'Supply planning data'!J191</f>
        <v>0</v>
      </c>
      <c r="I193" s="317">
        <f>'Supply planning data'!K191</f>
        <v>0</v>
      </c>
      <c r="J193" s="175" t="str">
        <f>'Supply planning data'!L191</f>
        <v/>
      </c>
      <c r="K193" s="98">
        <f>'Supply planning data'!M191</f>
        <v>0</v>
      </c>
      <c r="L193" s="317">
        <f>'Supply planning data'!N191+'Supply planning data'!P191</f>
        <v>0</v>
      </c>
      <c r="M193" s="339">
        <f>'Supply planning data'!O191</f>
        <v>0</v>
      </c>
      <c r="N193" s="317">
        <f>'Supply planning data'!P191</f>
        <v>0</v>
      </c>
      <c r="O193" s="339">
        <f>'Supply planning data'!Q191</f>
        <v>0</v>
      </c>
      <c r="P193" s="98">
        <f>'Supply planning data'!R191</f>
        <v>0</v>
      </c>
      <c r="Q193" s="98">
        <f>'Supply planning data'!S191</f>
        <v>0</v>
      </c>
      <c r="R193" s="98">
        <f>'Supply planning data'!T191</f>
        <v>0</v>
      </c>
      <c r="S193" s="98">
        <f>'Supply planning data'!U191</f>
        <v>0</v>
      </c>
      <c r="T193" s="98">
        <f>'Supply planning data'!V191</f>
        <v>0</v>
      </c>
      <c r="U193" s="325" t="str">
        <f>'Supply planning data'!W191</f>
        <v/>
      </c>
      <c r="V193" s="98">
        <f>'Supply planning data'!X191</f>
        <v>0</v>
      </c>
      <c r="W193" s="317">
        <f>'Supply planning data'!Y191</f>
        <v>0</v>
      </c>
      <c r="X193" s="328">
        <f>'Supply planning data'!Z191</f>
        <v>0</v>
      </c>
      <c r="Y193" s="98">
        <f>'Supply planning data'!AA191</f>
        <v>0</v>
      </c>
      <c r="Z193" s="98">
        <f>'Supply planning data'!AB191</f>
        <v>0</v>
      </c>
      <c r="AA193" s="98">
        <f>'Supply planning data'!AC191</f>
        <v>0</v>
      </c>
      <c r="AB193" s="98">
        <f>'Supply planning data'!AD191</f>
        <v>0</v>
      </c>
      <c r="AC193" s="98">
        <f>'Supply planning data'!AE191</f>
        <v>0</v>
      </c>
      <c r="AD193" s="325" t="str">
        <f>'Supply planning data'!AF191</f>
        <v/>
      </c>
      <c r="AE193" s="98">
        <f>'Supply planning data'!AG191</f>
        <v>0</v>
      </c>
      <c r="AF193" s="317">
        <f>'Supply planning data'!AH191</f>
        <v>0</v>
      </c>
      <c r="AG193" s="175">
        <f>'Supply planning data'!AI191</f>
        <v>0</v>
      </c>
      <c r="AH193" s="98">
        <f>'Supply planning data'!AJ191</f>
        <v>0</v>
      </c>
      <c r="AI193" s="98">
        <f>'Supply planning data'!AK191</f>
        <v>0</v>
      </c>
      <c r="AJ193" s="98">
        <f>'Supply planning data'!AL191</f>
        <v>0</v>
      </c>
      <c r="AK193" s="98">
        <f>'Supply planning data'!AM191</f>
        <v>0</v>
      </c>
      <c r="AL193" s="98">
        <f>'Supply planning data'!AN191</f>
        <v>0</v>
      </c>
      <c r="AM193" s="325" t="str">
        <f>'Supply planning data'!AO191</f>
        <v/>
      </c>
    </row>
    <row r="194" spans="1:39" hidden="1" x14ac:dyDescent="0.25">
      <c r="A194" s="90" t="str">
        <f>'Supply planning data'!C192</f>
        <v/>
      </c>
      <c r="B194" s="296">
        <f>'Supply planning data'!D192</f>
        <v>44562</v>
      </c>
      <c r="C194" s="92" t="str">
        <f>'Supply planning data'!E192</f>
        <v>No</v>
      </c>
      <c r="D194" s="92">
        <f>'Supply planning data'!F192</f>
        <v>0</v>
      </c>
      <c r="E194" s="316">
        <f>'Supply planning data'!G192</f>
        <v>0</v>
      </c>
      <c r="F194" s="317">
        <f>'Supply planning data'!H192</f>
        <v>0</v>
      </c>
      <c r="G194" s="317">
        <f>'Supply planning data'!I192</f>
        <v>0</v>
      </c>
      <c r="H194" s="98">
        <f>'Supply planning data'!J192</f>
        <v>0</v>
      </c>
      <c r="I194" s="317">
        <f>'Supply planning data'!K192</f>
        <v>0</v>
      </c>
      <c r="J194" s="175" t="str">
        <f>'Supply planning data'!L192</f>
        <v/>
      </c>
      <c r="K194" s="98">
        <f>'Supply planning data'!M192</f>
        <v>0</v>
      </c>
      <c r="L194" s="317">
        <f>'Supply planning data'!N192+'Supply planning data'!P192</f>
        <v>0</v>
      </c>
      <c r="M194" s="339">
        <f>'Supply planning data'!O192</f>
        <v>0</v>
      </c>
      <c r="N194" s="317">
        <f>'Supply planning data'!P192</f>
        <v>0</v>
      </c>
      <c r="O194" s="339">
        <f>'Supply planning data'!Q192</f>
        <v>0</v>
      </c>
      <c r="P194" s="98">
        <f>'Supply planning data'!R192</f>
        <v>0</v>
      </c>
      <c r="Q194" s="98">
        <f>'Supply planning data'!S192</f>
        <v>0</v>
      </c>
      <c r="R194" s="98">
        <f>'Supply planning data'!T192</f>
        <v>0</v>
      </c>
      <c r="S194" s="98">
        <f>'Supply planning data'!U192</f>
        <v>0</v>
      </c>
      <c r="T194" s="98">
        <f>'Supply planning data'!V192</f>
        <v>0</v>
      </c>
      <c r="U194" s="325" t="str">
        <f>'Supply planning data'!W192</f>
        <v/>
      </c>
      <c r="V194" s="98">
        <f>'Supply planning data'!X192</f>
        <v>0</v>
      </c>
      <c r="W194" s="317">
        <f>'Supply planning data'!Y192</f>
        <v>0</v>
      </c>
      <c r="X194" s="328">
        <f>'Supply planning data'!Z192</f>
        <v>0</v>
      </c>
      <c r="Y194" s="98">
        <f>'Supply planning data'!AA192</f>
        <v>0</v>
      </c>
      <c r="Z194" s="98">
        <f>'Supply planning data'!AB192</f>
        <v>0</v>
      </c>
      <c r="AA194" s="98">
        <f>'Supply planning data'!AC192</f>
        <v>0</v>
      </c>
      <c r="AB194" s="98">
        <f>'Supply planning data'!AD192</f>
        <v>0</v>
      </c>
      <c r="AC194" s="98">
        <f>'Supply planning data'!AE192</f>
        <v>0</v>
      </c>
      <c r="AD194" s="325" t="str">
        <f>'Supply planning data'!AF192</f>
        <v/>
      </c>
      <c r="AE194" s="98">
        <f>'Supply planning data'!AG192</f>
        <v>0</v>
      </c>
      <c r="AF194" s="317">
        <f>'Supply planning data'!AH192</f>
        <v>0</v>
      </c>
      <c r="AG194" s="175">
        <f>'Supply planning data'!AI192</f>
        <v>0</v>
      </c>
      <c r="AH194" s="98">
        <f>'Supply planning data'!AJ192</f>
        <v>0</v>
      </c>
      <c r="AI194" s="98">
        <f>'Supply planning data'!AK192</f>
        <v>0</v>
      </c>
      <c r="AJ194" s="98">
        <f>'Supply planning data'!AL192</f>
        <v>0</v>
      </c>
      <c r="AK194" s="98">
        <f>'Supply planning data'!AM192</f>
        <v>0</v>
      </c>
      <c r="AL194" s="98">
        <f>'Supply planning data'!AN192</f>
        <v>0</v>
      </c>
      <c r="AM194" s="325" t="str">
        <f>'Supply planning data'!AO192</f>
        <v/>
      </c>
    </row>
    <row r="195" spans="1:39" hidden="1" x14ac:dyDescent="0.25">
      <c r="A195" s="90" t="str">
        <f>'Supply planning data'!C193</f>
        <v/>
      </c>
      <c r="B195" s="296">
        <f>'Supply planning data'!D193</f>
        <v>44562</v>
      </c>
      <c r="C195" s="92" t="str">
        <f>'Supply planning data'!E193</f>
        <v>No</v>
      </c>
      <c r="D195" s="92">
        <f>'Supply planning data'!F193</f>
        <v>0</v>
      </c>
      <c r="E195" s="316">
        <f>'Supply planning data'!G193</f>
        <v>0</v>
      </c>
      <c r="F195" s="317">
        <f>'Supply planning data'!H193</f>
        <v>0</v>
      </c>
      <c r="G195" s="317">
        <f>'Supply planning data'!I193</f>
        <v>0</v>
      </c>
      <c r="H195" s="98">
        <f>'Supply planning data'!J193</f>
        <v>0</v>
      </c>
      <c r="I195" s="317">
        <f>'Supply planning data'!K193</f>
        <v>0</v>
      </c>
      <c r="J195" s="175" t="str">
        <f>'Supply planning data'!L193</f>
        <v/>
      </c>
      <c r="K195" s="98">
        <f>'Supply planning data'!M193</f>
        <v>0</v>
      </c>
      <c r="L195" s="317">
        <f>'Supply planning data'!N193+'Supply planning data'!P193</f>
        <v>0</v>
      </c>
      <c r="M195" s="339">
        <f>'Supply planning data'!O193</f>
        <v>0</v>
      </c>
      <c r="N195" s="317">
        <f>'Supply planning data'!P193</f>
        <v>0</v>
      </c>
      <c r="O195" s="339">
        <f>'Supply planning data'!Q193</f>
        <v>0</v>
      </c>
      <c r="P195" s="98">
        <f>'Supply planning data'!R193</f>
        <v>0</v>
      </c>
      <c r="Q195" s="98">
        <f>'Supply planning data'!S193</f>
        <v>0</v>
      </c>
      <c r="R195" s="98">
        <f>'Supply planning data'!T193</f>
        <v>0</v>
      </c>
      <c r="S195" s="98">
        <f>'Supply planning data'!U193</f>
        <v>0</v>
      </c>
      <c r="T195" s="98">
        <f>'Supply planning data'!V193</f>
        <v>0</v>
      </c>
      <c r="U195" s="325" t="str">
        <f>'Supply planning data'!W193</f>
        <v/>
      </c>
      <c r="V195" s="98">
        <f>'Supply planning data'!X193</f>
        <v>0</v>
      </c>
      <c r="W195" s="317">
        <f>'Supply planning data'!Y193</f>
        <v>0</v>
      </c>
      <c r="X195" s="328">
        <f>'Supply planning data'!Z193</f>
        <v>0</v>
      </c>
      <c r="Y195" s="98">
        <f>'Supply planning data'!AA193</f>
        <v>0</v>
      </c>
      <c r="Z195" s="98">
        <f>'Supply planning data'!AB193</f>
        <v>0</v>
      </c>
      <c r="AA195" s="98">
        <f>'Supply planning data'!AC193</f>
        <v>0</v>
      </c>
      <c r="AB195" s="98">
        <f>'Supply planning data'!AD193</f>
        <v>0</v>
      </c>
      <c r="AC195" s="98">
        <f>'Supply planning data'!AE193</f>
        <v>0</v>
      </c>
      <c r="AD195" s="325" t="str">
        <f>'Supply planning data'!AF193</f>
        <v/>
      </c>
      <c r="AE195" s="98">
        <f>'Supply planning data'!AG193</f>
        <v>0</v>
      </c>
      <c r="AF195" s="317">
        <f>'Supply planning data'!AH193</f>
        <v>0</v>
      </c>
      <c r="AG195" s="175">
        <f>'Supply planning data'!AI193</f>
        <v>0</v>
      </c>
      <c r="AH195" s="98">
        <f>'Supply planning data'!AJ193</f>
        <v>0</v>
      </c>
      <c r="AI195" s="98">
        <f>'Supply planning data'!AK193</f>
        <v>0</v>
      </c>
      <c r="AJ195" s="98">
        <f>'Supply planning data'!AL193</f>
        <v>0</v>
      </c>
      <c r="AK195" s="98">
        <f>'Supply planning data'!AM193</f>
        <v>0</v>
      </c>
      <c r="AL195" s="98">
        <f>'Supply planning data'!AN193</f>
        <v>0</v>
      </c>
      <c r="AM195" s="325" t="str">
        <f>'Supply planning data'!AO193</f>
        <v/>
      </c>
    </row>
    <row r="196" spans="1:39" hidden="1" x14ac:dyDescent="0.25">
      <c r="A196" s="90" t="str">
        <f>'Supply planning data'!C194</f>
        <v/>
      </c>
      <c r="B196" s="296">
        <f>'Supply planning data'!D194</f>
        <v>44562</v>
      </c>
      <c r="C196" s="92" t="str">
        <f>'Supply planning data'!E194</f>
        <v>No</v>
      </c>
      <c r="D196" s="92">
        <f>'Supply planning data'!F194</f>
        <v>0</v>
      </c>
      <c r="E196" s="316">
        <f>'Supply planning data'!G194</f>
        <v>0</v>
      </c>
      <c r="F196" s="317">
        <f>'Supply planning data'!H194</f>
        <v>0</v>
      </c>
      <c r="G196" s="317">
        <f>'Supply planning data'!I194</f>
        <v>0</v>
      </c>
      <c r="H196" s="98">
        <f>'Supply planning data'!J194</f>
        <v>0</v>
      </c>
      <c r="I196" s="317">
        <f>'Supply planning data'!K194</f>
        <v>0</v>
      </c>
      <c r="J196" s="175" t="str">
        <f>'Supply planning data'!L194</f>
        <v/>
      </c>
      <c r="K196" s="98">
        <f>'Supply planning data'!M194</f>
        <v>0</v>
      </c>
      <c r="L196" s="317">
        <f>'Supply planning data'!N194+'Supply planning data'!P194</f>
        <v>0</v>
      </c>
      <c r="M196" s="339">
        <f>'Supply planning data'!O194</f>
        <v>0</v>
      </c>
      <c r="N196" s="317">
        <f>'Supply planning data'!P194</f>
        <v>0</v>
      </c>
      <c r="O196" s="339">
        <f>'Supply planning data'!Q194</f>
        <v>0</v>
      </c>
      <c r="P196" s="98">
        <f>'Supply planning data'!R194</f>
        <v>0</v>
      </c>
      <c r="Q196" s="98">
        <f>'Supply planning data'!S194</f>
        <v>0</v>
      </c>
      <c r="R196" s="98">
        <f>'Supply planning data'!T194</f>
        <v>0</v>
      </c>
      <c r="S196" s="98">
        <f>'Supply planning data'!U194</f>
        <v>0</v>
      </c>
      <c r="T196" s="98">
        <f>'Supply planning data'!V194</f>
        <v>0</v>
      </c>
      <c r="U196" s="325" t="str">
        <f>'Supply planning data'!W194</f>
        <v/>
      </c>
      <c r="V196" s="98">
        <f>'Supply planning data'!X194</f>
        <v>0</v>
      </c>
      <c r="W196" s="317">
        <f>'Supply planning data'!Y194</f>
        <v>0</v>
      </c>
      <c r="X196" s="328">
        <f>'Supply planning data'!Z194</f>
        <v>0</v>
      </c>
      <c r="Y196" s="98">
        <f>'Supply planning data'!AA194</f>
        <v>0</v>
      </c>
      <c r="Z196" s="98">
        <f>'Supply planning data'!AB194</f>
        <v>0</v>
      </c>
      <c r="AA196" s="98">
        <f>'Supply planning data'!AC194</f>
        <v>0</v>
      </c>
      <c r="AB196" s="98">
        <f>'Supply planning data'!AD194</f>
        <v>0</v>
      </c>
      <c r="AC196" s="98">
        <f>'Supply planning data'!AE194</f>
        <v>0</v>
      </c>
      <c r="AD196" s="325" t="str">
        <f>'Supply planning data'!AF194</f>
        <v/>
      </c>
      <c r="AE196" s="98">
        <f>'Supply planning data'!AG194</f>
        <v>0</v>
      </c>
      <c r="AF196" s="317">
        <f>'Supply planning data'!AH194</f>
        <v>0</v>
      </c>
      <c r="AG196" s="175">
        <f>'Supply planning data'!AI194</f>
        <v>0</v>
      </c>
      <c r="AH196" s="98">
        <f>'Supply planning data'!AJ194</f>
        <v>0</v>
      </c>
      <c r="AI196" s="98">
        <f>'Supply planning data'!AK194</f>
        <v>0</v>
      </c>
      <c r="AJ196" s="98">
        <f>'Supply planning data'!AL194</f>
        <v>0</v>
      </c>
      <c r="AK196" s="98">
        <f>'Supply planning data'!AM194</f>
        <v>0</v>
      </c>
      <c r="AL196" s="98">
        <f>'Supply planning data'!AN194</f>
        <v>0</v>
      </c>
      <c r="AM196" s="325" t="str">
        <f>'Supply planning data'!AO194</f>
        <v/>
      </c>
    </row>
    <row r="197" spans="1:39" hidden="1" x14ac:dyDescent="0.25">
      <c r="A197" s="90" t="str">
        <f>'Supply planning data'!C195</f>
        <v/>
      </c>
      <c r="B197" s="296">
        <f>'Supply planning data'!D195</f>
        <v>44562</v>
      </c>
      <c r="C197" s="92" t="str">
        <f>'Supply planning data'!E195</f>
        <v>No</v>
      </c>
      <c r="D197" s="92">
        <f>'Supply planning data'!F195</f>
        <v>0</v>
      </c>
      <c r="E197" s="316">
        <f>'Supply planning data'!G195</f>
        <v>0</v>
      </c>
      <c r="F197" s="317">
        <f>'Supply planning data'!H195</f>
        <v>0</v>
      </c>
      <c r="G197" s="317">
        <f>'Supply planning data'!I195</f>
        <v>0</v>
      </c>
      <c r="H197" s="98">
        <f>'Supply planning data'!J195</f>
        <v>0</v>
      </c>
      <c r="I197" s="317">
        <f>'Supply planning data'!K195</f>
        <v>0</v>
      </c>
      <c r="J197" s="175" t="str">
        <f>'Supply planning data'!L195</f>
        <v/>
      </c>
      <c r="K197" s="98">
        <f>'Supply planning data'!M195</f>
        <v>0</v>
      </c>
      <c r="L197" s="317">
        <f>'Supply planning data'!N195+'Supply planning data'!P195</f>
        <v>0</v>
      </c>
      <c r="M197" s="339">
        <f>'Supply planning data'!O195</f>
        <v>0</v>
      </c>
      <c r="N197" s="317">
        <f>'Supply planning data'!P195</f>
        <v>0</v>
      </c>
      <c r="O197" s="339">
        <f>'Supply planning data'!Q195</f>
        <v>0</v>
      </c>
      <c r="P197" s="98">
        <f>'Supply planning data'!R195</f>
        <v>0</v>
      </c>
      <c r="Q197" s="98">
        <f>'Supply planning data'!S195</f>
        <v>0</v>
      </c>
      <c r="R197" s="98">
        <f>'Supply planning data'!T195</f>
        <v>0</v>
      </c>
      <c r="S197" s="98">
        <f>'Supply planning data'!U195</f>
        <v>0</v>
      </c>
      <c r="T197" s="98">
        <f>'Supply planning data'!V195</f>
        <v>0</v>
      </c>
      <c r="U197" s="325" t="str">
        <f>'Supply planning data'!W195</f>
        <v/>
      </c>
      <c r="V197" s="98">
        <f>'Supply planning data'!X195</f>
        <v>0</v>
      </c>
      <c r="W197" s="317">
        <f>'Supply planning data'!Y195</f>
        <v>0</v>
      </c>
      <c r="X197" s="328">
        <f>'Supply planning data'!Z195</f>
        <v>0</v>
      </c>
      <c r="Y197" s="98">
        <f>'Supply planning data'!AA195</f>
        <v>0</v>
      </c>
      <c r="Z197" s="98">
        <f>'Supply planning data'!AB195</f>
        <v>0</v>
      </c>
      <c r="AA197" s="98">
        <f>'Supply planning data'!AC195</f>
        <v>0</v>
      </c>
      <c r="AB197" s="98">
        <f>'Supply planning data'!AD195</f>
        <v>0</v>
      </c>
      <c r="AC197" s="98">
        <f>'Supply planning data'!AE195</f>
        <v>0</v>
      </c>
      <c r="AD197" s="325" t="str">
        <f>'Supply planning data'!AF195</f>
        <v/>
      </c>
      <c r="AE197" s="98">
        <f>'Supply planning data'!AG195</f>
        <v>0</v>
      </c>
      <c r="AF197" s="317">
        <f>'Supply planning data'!AH195</f>
        <v>0</v>
      </c>
      <c r="AG197" s="175">
        <f>'Supply planning data'!AI195</f>
        <v>0</v>
      </c>
      <c r="AH197" s="98">
        <f>'Supply planning data'!AJ195</f>
        <v>0</v>
      </c>
      <c r="AI197" s="98">
        <f>'Supply planning data'!AK195</f>
        <v>0</v>
      </c>
      <c r="AJ197" s="98">
        <f>'Supply planning data'!AL195</f>
        <v>0</v>
      </c>
      <c r="AK197" s="98">
        <f>'Supply planning data'!AM195</f>
        <v>0</v>
      </c>
      <c r="AL197" s="98">
        <f>'Supply planning data'!AN195</f>
        <v>0</v>
      </c>
      <c r="AM197" s="325" t="str">
        <f>'Supply planning data'!AO195</f>
        <v/>
      </c>
    </row>
    <row r="198" spans="1:39" hidden="1" x14ac:dyDescent="0.25">
      <c r="A198" s="90" t="str">
        <f>'Supply planning data'!C196</f>
        <v/>
      </c>
      <c r="B198" s="296">
        <f>'Supply planning data'!D196</f>
        <v>44562</v>
      </c>
      <c r="C198" s="92" t="str">
        <f>'Supply planning data'!E196</f>
        <v>No</v>
      </c>
      <c r="D198" s="92">
        <f>'Supply planning data'!F196</f>
        <v>0</v>
      </c>
      <c r="E198" s="316">
        <f>'Supply planning data'!G196</f>
        <v>0</v>
      </c>
      <c r="F198" s="317">
        <f>'Supply planning data'!H196</f>
        <v>0</v>
      </c>
      <c r="G198" s="317">
        <f>'Supply planning data'!I196</f>
        <v>0</v>
      </c>
      <c r="H198" s="98">
        <f>'Supply planning data'!J196</f>
        <v>0</v>
      </c>
      <c r="I198" s="317">
        <f>'Supply planning data'!K196</f>
        <v>0</v>
      </c>
      <c r="J198" s="175" t="str">
        <f>'Supply planning data'!L196</f>
        <v/>
      </c>
      <c r="K198" s="98">
        <f>'Supply planning data'!M196</f>
        <v>0</v>
      </c>
      <c r="L198" s="317">
        <f>'Supply planning data'!N196+'Supply planning data'!P196</f>
        <v>0</v>
      </c>
      <c r="M198" s="339">
        <f>'Supply planning data'!O196</f>
        <v>0</v>
      </c>
      <c r="N198" s="317">
        <f>'Supply planning data'!P196</f>
        <v>0</v>
      </c>
      <c r="O198" s="339">
        <f>'Supply planning data'!Q196</f>
        <v>0</v>
      </c>
      <c r="P198" s="98">
        <f>'Supply planning data'!R196</f>
        <v>0</v>
      </c>
      <c r="Q198" s="98">
        <f>'Supply planning data'!S196</f>
        <v>0</v>
      </c>
      <c r="R198" s="98">
        <f>'Supply planning data'!T196</f>
        <v>0</v>
      </c>
      <c r="S198" s="98">
        <f>'Supply planning data'!U196</f>
        <v>0</v>
      </c>
      <c r="T198" s="98">
        <f>'Supply planning data'!V196</f>
        <v>0</v>
      </c>
      <c r="U198" s="325" t="str">
        <f>'Supply planning data'!W196</f>
        <v/>
      </c>
      <c r="V198" s="98">
        <f>'Supply planning data'!X196</f>
        <v>0</v>
      </c>
      <c r="W198" s="317">
        <f>'Supply planning data'!Y196</f>
        <v>0</v>
      </c>
      <c r="X198" s="328">
        <f>'Supply planning data'!Z196</f>
        <v>0</v>
      </c>
      <c r="Y198" s="98">
        <f>'Supply planning data'!AA196</f>
        <v>0</v>
      </c>
      <c r="Z198" s="98">
        <f>'Supply planning data'!AB196</f>
        <v>0</v>
      </c>
      <c r="AA198" s="98">
        <f>'Supply planning data'!AC196</f>
        <v>0</v>
      </c>
      <c r="AB198" s="98">
        <f>'Supply planning data'!AD196</f>
        <v>0</v>
      </c>
      <c r="AC198" s="98">
        <f>'Supply planning data'!AE196</f>
        <v>0</v>
      </c>
      <c r="AD198" s="325" t="str">
        <f>'Supply planning data'!AF196</f>
        <v/>
      </c>
      <c r="AE198" s="98">
        <f>'Supply planning data'!AG196</f>
        <v>0</v>
      </c>
      <c r="AF198" s="317">
        <f>'Supply planning data'!AH196</f>
        <v>0</v>
      </c>
      <c r="AG198" s="175">
        <f>'Supply planning data'!AI196</f>
        <v>0</v>
      </c>
      <c r="AH198" s="98">
        <f>'Supply planning data'!AJ196</f>
        <v>0</v>
      </c>
      <c r="AI198" s="98">
        <f>'Supply planning data'!AK196</f>
        <v>0</v>
      </c>
      <c r="AJ198" s="98">
        <f>'Supply planning data'!AL196</f>
        <v>0</v>
      </c>
      <c r="AK198" s="98">
        <f>'Supply planning data'!AM196</f>
        <v>0</v>
      </c>
      <c r="AL198" s="98">
        <f>'Supply planning data'!AN196</f>
        <v>0</v>
      </c>
      <c r="AM198" s="325" t="str">
        <f>'Supply planning data'!AO196</f>
        <v/>
      </c>
    </row>
    <row r="199" spans="1:39" hidden="1" x14ac:dyDescent="0.25">
      <c r="A199" s="90" t="str">
        <f>'Supply planning data'!C197</f>
        <v/>
      </c>
      <c r="B199" s="296">
        <f>'Supply planning data'!D197</f>
        <v>44562</v>
      </c>
      <c r="C199" s="92" t="str">
        <f>'Supply planning data'!E197</f>
        <v>No</v>
      </c>
      <c r="D199" s="92">
        <f>'Supply planning data'!F197</f>
        <v>0</v>
      </c>
      <c r="E199" s="316">
        <f>'Supply planning data'!G197</f>
        <v>0</v>
      </c>
      <c r="F199" s="317">
        <f>'Supply planning data'!H197</f>
        <v>0</v>
      </c>
      <c r="G199" s="317">
        <f>'Supply planning data'!I197</f>
        <v>0</v>
      </c>
      <c r="H199" s="98">
        <f>'Supply planning data'!J197</f>
        <v>0</v>
      </c>
      <c r="I199" s="317">
        <f>'Supply planning data'!K197</f>
        <v>0</v>
      </c>
      <c r="J199" s="175" t="str">
        <f>'Supply planning data'!L197</f>
        <v/>
      </c>
      <c r="K199" s="98">
        <f>'Supply planning data'!M197</f>
        <v>0</v>
      </c>
      <c r="L199" s="317">
        <f>'Supply planning data'!N197+'Supply planning data'!P197</f>
        <v>0</v>
      </c>
      <c r="M199" s="339">
        <f>'Supply planning data'!O197</f>
        <v>0</v>
      </c>
      <c r="N199" s="317">
        <f>'Supply planning data'!P197</f>
        <v>0</v>
      </c>
      <c r="O199" s="339">
        <f>'Supply planning data'!Q197</f>
        <v>0</v>
      </c>
      <c r="P199" s="98">
        <f>'Supply planning data'!R197</f>
        <v>0</v>
      </c>
      <c r="Q199" s="98">
        <f>'Supply planning data'!S197</f>
        <v>0</v>
      </c>
      <c r="R199" s="98">
        <f>'Supply planning data'!T197</f>
        <v>0</v>
      </c>
      <c r="S199" s="98">
        <f>'Supply planning data'!U197</f>
        <v>0</v>
      </c>
      <c r="T199" s="98">
        <f>'Supply planning data'!V197</f>
        <v>0</v>
      </c>
      <c r="U199" s="325" t="str">
        <f>'Supply planning data'!W197</f>
        <v/>
      </c>
      <c r="V199" s="98">
        <f>'Supply planning data'!X197</f>
        <v>0</v>
      </c>
      <c r="W199" s="317">
        <f>'Supply planning data'!Y197</f>
        <v>0</v>
      </c>
      <c r="X199" s="328">
        <f>'Supply planning data'!Z197</f>
        <v>0</v>
      </c>
      <c r="Y199" s="98">
        <f>'Supply planning data'!AA197</f>
        <v>0</v>
      </c>
      <c r="Z199" s="98">
        <f>'Supply planning data'!AB197</f>
        <v>0</v>
      </c>
      <c r="AA199" s="98">
        <f>'Supply planning data'!AC197</f>
        <v>0</v>
      </c>
      <c r="AB199" s="98">
        <f>'Supply planning data'!AD197</f>
        <v>0</v>
      </c>
      <c r="AC199" s="98">
        <f>'Supply planning data'!AE197</f>
        <v>0</v>
      </c>
      <c r="AD199" s="325" t="str">
        <f>'Supply planning data'!AF197</f>
        <v/>
      </c>
      <c r="AE199" s="98">
        <f>'Supply planning data'!AG197</f>
        <v>0</v>
      </c>
      <c r="AF199" s="317">
        <f>'Supply planning data'!AH197</f>
        <v>0</v>
      </c>
      <c r="AG199" s="175">
        <f>'Supply planning data'!AI197</f>
        <v>0</v>
      </c>
      <c r="AH199" s="98">
        <f>'Supply planning data'!AJ197</f>
        <v>0</v>
      </c>
      <c r="AI199" s="98">
        <f>'Supply planning data'!AK197</f>
        <v>0</v>
      </c>
      <c r="AJ199" s="98">
        <f>'Supply planning data'!AL197</f>
        <v>0</v>
      </c>
      <c r="AK199" s="98">
        <f>'Supply planning data'!AM197</f>
        <v>0</v>
      </c>
      <c r="AL199" s="98">
        <f>'Supply planning data'!AN197</f>
        <v>0</v>
      </c>
      <c r="AM199" s="325" t="str">
        <f>'Supply planning data'!AO197</f>
        <v/>
      </c>
    </row>
    <row r="200" spans="1:39" hidden="1" x14ac:dyDescent="0.25">
      <c r="A200" s="90" t="str">
        <f>'Supply planning data'!C198</f>
        <v/>
      </c>
      <c r="B200" s="296">
        <f>'Supply planning data'!D198</f>
        <v>44562</v>
      </c>
      <c r="C200" s="92" t="str">
        <f>'Supply planning data'!E198</f>
        <v>No</v>
      </c>
      <c r="D200" s="92">
        <f>'Supply planning data'!F198</f>
        <v>0</v>
      </c>
      <c r="E200" s="316">
        <f>'Supply planning data'!G198</f>
        <v>0</v>
      </c>
      <c r="F200" s="317">
        <f>'Supply planning data'!H198</f>
        <v>0</v>
      </c>
      <c r="G200" s="317">
        <f>'Supply planning data'!I198</f>
        <v>0</v>
      </c>
      <c r="H200" s="98">
        <f>'Supply planning data'!J198</f>
        <v>0</v>
      </c>
      <c r="I200" s="317">
        <f>'Supply planning data'!K198</f>
        <v>0</v>
      </c>
      <c r="J200" s="175" t="str">
        <f>'Supply planning data'!L198</f>
        <v/>
      </c>
      <c r="K200" s="98">
        <f>'Supply planning data'!M198</f>
        <v>0</v>
      </c>
      <c r="L200" s="317">
        <f>'Supply planning data'!N198+'Supply planning data'!P198</f>
        <v>0</v>
      </c>
      <c r="M200" s="339">
        <f>'Supply planning data'!O198</f>
        <v>0</v>
      </c>
      <c r="N200" s="317">
        <f>'Supply planning data'!P198</f>
        <v>0</v>
      </c>
      <c r="O200" s="339">
        <f>'Supply planning data'!Q198</f>
        <v>0</v>
      </c>
      <c r="P200" s="98">
        <f>'Supply planning data'!R198</f>
        <v>0</v>
      </c>
      <c r="Q200" s="98">
        <f>'Supply planning data'!S198</f>
        <v>0</v>
      </c>
      <c r="R200" s="98">
        <f>'Supply planning data'!T198</f>
        <v>0</v>
      </c>
      <c r="S200" s="98">
        <f>'Supply planning data'!U198</f>
        <v>0</v>
      </c>
      <c r="T200" s="98">
        <f>'Supply planning data'!V198</f>
        <v>0</v>
      </c>
      <c r="U200" s="325" t="str">
        <f>'Supply planning data'!W198</f>
        <v/>
      </c>
      <c r="V200" s="98">
        <f>'Supply planning data'!X198</f>
        <v>0</v>
      </c>
      <c r="W200" s="317">
        <f>'Supply planning data'!Y198</f>
        <v>0</v>
      </c>
      <c r="X200" s="328">
        <f>'Supply planning data'!Z198</f>
        <v>0</v>
      </c>
      <c r="Y200" s="98">
        <f>'Supply planning data'!AA198</f>
        <v>0</v>
      </c>
      <c r="Z200" s="98">
        <f>'Supply planning data'!AB198</f>
        <v>0</v>
      </c>
      <c r="AA200" s="98">
        <f>'Supply planning data'!AC198</f>
        <v>0</v>
      </c>
      <c r="AB200" s="98">
        <f>'Supply planning data'!AD198</f>
        <v>0</v>
      </c>
      <c r="AC200" s="98">
        <f>'Supply planning data'!AE198</f>
        <v>0</v>
      </c>
      <c r="AD200" s="325" t="str">
        <f>'Supply planning data'!AF198</f>
        <v/>
      </c>
      <c r="AE200" s="98">
        <f>'Supply planning data'!AG198</f>
        <v>0</v>
      </c>
      <c r="AF200" s="317">
        <f>'Supply planning data'!AH198</f>
        <v>0</v>
      </c>
      <c r="AG200" s="175">
        <f>'Supply planning data'!AI198</f>
        <v>0</v>
      </c>
      <c r="AH200" s="98">
        <f>'Supply planning data'!AJ198</f>
        <v>0</v>
      </c>
      <c r="AI200" s="98">
        <f>'Supply planning data'!AK198</f>
        <v>0</v>
      </c>
      <c r="AJ200" s="98">
        <f>'Supply planning data'!AL198</f>
        <v>0</v>
      </c>
      <c r="AK200" s="98">
        <f>'Supply planning data'!AM198</f>
        <v>0</v>
      </c>
      <c r="AL200" s="98">
        <f>'Supply planning data'!AN198</f>
        <v>0</v>
      </c>
      <c r="AM200" s="325" t="str">
        <f>'Supply planning data'!AO198</f>
        <v/>
      </c>
    </row>
    <row r="201" spans="1:39" hidden="1" x14ac:dyDescent="0.25">
      <c r="A201" s="90" t="str">
        <f>'Supply planning data'!C199</f>
        <v/>
      </c>
      <c r="B201" s="296">
        <f>'Supply planning data'!D199</f>
        <v>44562</v>
      </c>
      <c r="C201" s="92" t="str">
        <f>'Supply planning data'!E199</f>
        <v>No</v>
      </c>
      <c r="D201" s="92">
        <f>'Supply planning data'!F199</f>
        <v>0</v>
      </c>
      <c r="E201" s="316">
        <f>'Supply planning data'!G199</f>
        <v>0</v>
      </c>
      <c r="F201" s="317">
        <f>'Supply planning data'!H199</f>
        <v>0</v>
      </c>
      <c r="G201" s="317">
        <f>'Supply planning data'!I199</f>
        <v>0</v>
      </c>
      <c r="H201" s="98">
        <f>'Supply planning data'!J199</f>
        <v>0</v>
      </c>
      <c r="I201" s="317">
        <f>'Supply planning data'!K199</f>
        <v>0</v>
      </c>
      <c r="J201" s="175" t="str">
        <f>'Supply planning data'!L199</f>
        <v/>
      </c>
      <c r="K201" s="98">
        <f>'Supply planning data'!M199</f>
        <v>0</v>
      </c>
      <c r="L201" s="317">
        <f>'Supply planning data'!N199+'Supply planning data'!P199</f>
        <v>0</v>
      </c>
      <c r="M201" s="339">
        <f>'Supply planning data'!O199</f>
        <v>0</v>
      </c>
      <c r="N201" s="317">
        <f>'Supply planning data'!P199</f>
        <v>0</v>
      </c>
      <c r="O201" s="339">
        <f>'Supply planning data'!Q199</f>
        <v>0</v>
      </c>
      <c r="P201" s="98">
        <f>'Supply planning data'!R199</f>
        <v>0</v>
      </c>
      <c r="Q201" s="98">
        <f>'Supply planning data'!S199</f>
        <v>0</v>
      </c>
      <c r="R201" s="98">
        <f>'Supply planning data'!T199</f>
        <v>0</v>
      </c>
      <c r="S201" s="98">
        <f>'Supply planning data'!U199</f>
        <v>0</v>
      </c>
      <c r="T201" s="98">
        <f>'Supply planning data'!V199</f>
        <v>0</v>
      </c>
      <c r="U201" s="325" t="str">
        <f>'Supply planning data'!W199</f>
        <v/>
      </c>
      <c r="V201" s="98">
        <f>'Supply planning data'!X199</f>
        <v>0</v>
      </c>
      <c r="W201" s="317">
        <f>'Supply planning data'!Y199</f>
        <v>0</v>
      </c>
      <c r="X201" s="328">
        <f>'Supply planning data'!Z199</f>
        <v>0</v>
      </c>
      <c r="Y201" s="98">
        <f>'Supply planning data'!AA199</f>
        <v>0</v>
      </c>
      <c r="Z201" s="98">
        <f>'Supply planning data'!AB199</f>
        <v>0</v>
      </c>
      <c r="AA201" s="98">
        <f>'Supply planning data'!AC199</f>
        <v>0</v>
      </c>
      <c r="AB201" s="98">
        <f>'Supply planning data'!AD199</f>
        <v>0</v>
      </c>
      <c r="AC201" s="98">
        <f>'Supply planning data'!AE199</f>
        <v>0</v>
      </c>
      <c r="AD201" s="325" t="str">
        <f>'Supply planning data'!AF199</f>
        <v/>
      </c>
      <c r="AE201" s="98">
        <f>'Supply planning data'!AG199</f>
        <v>0</v>
      </c>
      <c r="AF201" s="317">
        <f>'Supply planning data'!AH199</f>
        <v>0</v>
      </c>
      <c r="AG201" s="175">
        <f>'Supply planning data'!AI199</f>
        <v>0</v>
      </c>
      <c r="AH201" s="98">
        <f>'Supply planning data'!AJ199</f>
        <v>0</v>
      </c>
      <c r="AI201" s="98">
        <f>'Supply planning data'!AK199</f>
        <v>0</v>
      </c>
      <c r="AJ201" s="98">
        <f>'Supply planning data'!AL199</f>
        <v>0</v>
      </c>
      <c r="AK201" s="98">
        <f>'Supply planning data'!AM199</f>
        <v>0</v>
      </c>
      <c r="AL201" s="98">
        <f>'Supply planning data'!AN199</f>
        <v>0</v>
      </c>
      <c r="AM201" s="325" t="str">
        <f>'Supply planning data'!AO199</f>
        <v/>
      </c>
    </row>
    <row r="202" spans="1:39" x14ac:dyDescent="0.25">
      <c r="A202" s="104" t="str">
        <f>'Supply planning data'!C200</f>
        <v>AstraZeneca</v>
      </c>
      <c r="B202" s="298">
        <f>'Supply planning data'!D200</f>
        <v>44593</v>
      </c>
      <c r="C202" s="105" t="str">
        <f>'Supply planning data'!E200</f>
        <v>Yes</v>
      </c>
      <c r="D202" s="105">
        <f>'Supply planning data'!F200</f>
        <v>113888</v>
      </c>
      <c r="E202" s="320">
        <f>'Supply planning data'!G200</f>
        <v>25000</v>
      </c>
      <c r="F202" s="320">
        <f>'Supply planning data'!H200</f>
        <v>3600</v>
      </c>
      <c r="G202" s="320">
        <f>'Supply planning data'!I200</f>
        <v>0</v>
      </c>
      <c r="H202" s="105">
        <f>'Supply planning data'!J200</f>
        <v>28600</v>
      </c>
      <c r="I202" s="320">
        <f>'Supply planning data'!K200</f>
        <v>0</v>
      </c>
      <c r="J202" s="177">
        <f>'Supply planning data'!L200</f>
        <v>0</v>
      </c>
      <c r="K202" s="105">
        <f>'Supply planning data'!M200</f>
        <v>28600</v>
      </c>
      <c r="L202" s="320">
        <f>'Supply planning data'!N200+'Supply planning data'!P200</f>
        <v>-128057</v>
      </c>
      <c r="M202" s="341" t="str">
        <f>'Supply planning data'!O200</f>
        <v>Expiry</v>
      </c>
      <c r="N202" s="320">
        <f>'Supply planning data'!P200</f>
        <v>0</v>
      </c>
      <c r="O202" s="341">
        <f>'Supply planning data'!Q200</f>
        <v>0</v>
      </c>
      <c r="P202" s="105">
        <f>'Supply planning data'!R200</f>
        <v>0</v>
      </c>
      <c r="Q202" s="105">
        <f>'Supply planning data'!S200</f>
        <v>0</v>
      </c>
      <c r="R202" s="105">
        <f>'Supply planning data'!T200</f>
        <v>0</v>
      </c>
      <c r="S202" s="105">
        <f>'Supply planning data'!U200</f>
        <v>0</v>
      </c>
      <c r="T202" s="105">
        <f>'Supply planning data'!V200</f>
        <v>0</v>
      </c>
      <c r="U202" s="326">
        <f>'Supply planning data'!W200</f>
        <v>0</v>
      </c>
      <c r="V202" s="105">
        <f>'Supply planning data'!X200</f>
        <v>904208</v>
      </c>
      <c r="W202" s="320">
        <f>'Supply planning data'!Y200</f>
        <v>0</v>
      </c>
      <c r="X202" s="329">
        <f>'Supply planning data'!Z200</f>
        <v>0</v>
      </c>
      <c r="Y202" s="105">
        <f>'Supply planning data'!AA200</f>
        <v>0</v>
      </c>
      <c r="Z202" s="105">
        <f>'Supply planning data'!AB200</f>
        <v>0</v>
      </c>
      <c r="AA202" s="105">
        <f>'Supply planning data'!AC200</f>
        <v>0</v>
      </c>
      <c r="AB202" s="105">
        <f>'Supply planning data'!AD200</f>
        <v>0</v>
      </c>
      <c r="AC202" s="105">
        <f>'Supply planning data'!AE200</f>
        <v>747551</v>
      </c>
      <c r="AD202" s="326">
        <f>'Supply planning data'!AF200</f>
        <v>36.495573637103341</v>
      </c>
      <c r="AE202" s="105">
        <f>'Supply planning data'!AG200</f>
        <v>113888</v>
      </c>
      <c r="AF202" s="320">
        <f>'Supply planning data'!AH200</f>
        <v>0</v>
      </c>
      <c r="AG202" s="177">
        <f>'Supply planning data'!AI200</f>
        <v>0</v>
      </c>
      <c r="AH202" s="105">
        <f>'Supply planning data'!AJ200</f>
        <v>0</v>
      </c>
      <c r="AI202" s="105">
        <f>'Supply planning data'!AK200</f>
        <v>0</v>
      </c>
      <c r="AJ202" s="105">
        <f>'Supply planning data'!AL200</f>
        <v>0</v>
      </c>
      <c r="AK202" s="105">
        <f>'Supply planning data'!AM200</f>
        <v>0</v>
      </c>
      <c r="AL202" s="105">
        <f>'Supply planning data'!AN200</f>
        <v>0</v>
      </c>
      <c r="AM202" s="326">
        <f>'Supply planning data'!AO200</f>
        <v>0</v>
      </c>
    </row>
    <row r="203" spans="1:39" x14ac:dyDescent="0.25">
      <c r="A203" s="109" t="str">
        <f>'Supply planning data'!C201</f>
        <v>Jansen</v>
      </c>
      <c r="B203" s="298">
        <f>'Supply planning data'!D201</f>
        <v>44593</v>
      </c>
      <c r="C203" s="105" t="str">
        <f>'Supply planning data'!E201</f>
        <v>Yes</v>
      </c>
      <c r="D203" s="105">
        <f>'Supply planning data'!F201</f>
        <v>578008</v>
      </c>
      <c r="E203" s="320">
        <f>'Supply planning data'!G201</f>
        <v>246789</v>
      </c>
      <c r="F203" s="320">
        <f>'Supply planning data'!H201</f>
        <v>0</v>
      </c>
      <c r="G203" s="320">
        <f>'Supply planning data'!I201</f>
        <v>0</v>
      </c>
      <c r="H203" s="105">
        <f>'Supply planning data'!J201</f>
        <v>246789</v>
      </c>
      <c r="I203" s="320">
        <f>'Supply planning data'!K201</f>
        <v>234</v>
      </c>
      <c r="J203" s="177">
        <f>'Supply planning data'!L201</f>
        <v>9.4817840341344223E-4</v>
      </c>
      <c r="K203" s="105">
        <f>'Supply planning data'!M201</f>
        <v>247023</v>
      </c>
      <c r="L203" s="321">
        <f>'Supply planning data'!N201+'Supply planning data'!P201</f>
        <v>0</v>
      </c>
      <c r="M203" s="342">
        <f>'Supply planning data'!O201</f>
        <v>0</v>
      </c>
      <c r="N203" s="321">
        <f>'Supply planning data'!P201</f>
        <v>0</v>
      </c>
      <c r="O203" s="342">
        <f>'Supply planning data'!Q201</f>
        <v>0</v>
      </c>
      <c r="P203" s="111">
        <f>'Supply planning data'!R201</f>
        <v>1309600</v>
      </c>
      <c r="Q203" s="111">
        <f>'Supply planning data'!S201</f>
        <v>0</v>
      </c>
      <c r="R203" s="111">
        <f>'Supply planning data'!T201</f>
        <v>0</v>
      </c>
      <c r="S203" s="111">
        <f>'Supply planning data'!U201</f>
        <v>0</v>
      </c>
      <c r="T203" s="111">
        <f>'Supply planning data'!V201</f>
        <v>1640585</v>
      </c>
      <c r="U203" s="327">
        <f>'Supply planning data'!W201</f>
        <v>6.3060374152928382</v>
      </c>
      <c r="V203" s="111">
        <f>'Supply planning data'!X201</f>
        <v>578008</v>
      </c>
      <c r="W203" s="321">
        <f>'Supply planning data'!Y201</f>
        <v>0</v>
      </c>
      <c r="X203" s="329">
        <f>'Supply planning data'!Z201</f>
        <v>0</v>
      </c>
      <c r="Y203" s="111">
        <f>'Supply planning data'!AA201</f>
        <v>0</v>
      </c>
      <c r="Z203" s="111">
        <f>'Supply planning data'!AB201</f>
        <v>0</v>
      </c>
      <c r="AA203" s="111">
        <f>'Supply planning data'!AC201</f>
        <v>0</v>
      </c>
      <c r="AB203" s="111">
        <f>'Supply planning data'!AD201</f>
        <v>0</v>
      </c>
      <c r="AC203" s="111">
        <f>'Supply planning data'!AE201</f>
        <v>1640585</v>
      </c>
      <c r="AD203" s="327">
        <f>'Supply planning data'!AF201</f>
        <v>12.604984876850697</v>
      </c>
      <c r="AE203" s="111">
        <f>'Supply planning data'!AG201</f>
        <v>578008</v>
      </c>
      <c r="AF203" s="321">
        <f>'Supply planning data'!AH201</f>
        <v>0</v>
      </c>
      <c r="AG203" s="349">
        <f>'Supply planning data'!AI201</f>
        <v>0</v>
      </c>
      <c r="AH203" s="111">
        <f>'Supply planning data'!AJ201</f>
        <v>0</v>
      </c>
      <c r="AI203" s="111">
        <f>'Supply planning data'!AK201</f>
        <v>0</v>
      </c>
      <c r="AJ203" s="111">
        <f>'Supply planning data'!AL201</f>
        <v>0</v>
      </c>
      <c r="AK203" s="111">
        <f>'Supply planning data'!AM201</f>
        <v>0</v>
      </c>
      <c r="AL203" s="111">
        <f>'Supply planning data'!AN201</f>
        <v>1640585</v>
      </c>
      <c r="AM203" s="327">
        <f>'Supply planning data'!AO201</f>
        <v>12.604984876850697</v>
      </c>
    </row>
    <row r="204" spans="1:39" x14ac:dyDescent="0.25">
      <c r="A204" s="104" t="str">
        <f>'Supply planning data'!C202</f>
        <v>Moderna</v>
      </c>
      <c r="B204" s="298">
        <f>'Supply planning data'!D202</f>
        <v>44593</v>
      </c>
      <c r="C204" s="105" t="str">
        <f>'Supply planning data'!E202</f>
        <v>No</v>
      </c>
      <c r="D204" s="105">
        <f>'Supply planning data'!F202</f>
        <v>0</v>
      </c>
      <c r="E204" s="320">
        <f>'Supply planning data'!G202</f>
        <v>0</v>
      </c>
      <c r="F204" s="320">
        <f>'Supply planning data'!H202</f>
        <v>0</v>
      </c>
      <c r="G204" s="320">
        <f>'Supply planning data'!I202</f>
        <v>0</v>
      </c>
      <c r="H204" s="105">
        <f>'Supply planning data'!J202</f>
        <v>0</v>
      </c>
      <c r="I204" s="320">
        <f>'Supply planning data'!K202</f>
        <v>0</v>
      </c>
      <c r="J204" s="177" t="str">
        <f>'Supply planning data'!L202</f>
        <v/>
      </c>
      <c r="K204" s="105">
        <f>'Supply planning data'!M202</f>
        <v>0</v>
      </c>
      <c r="L204" s="321">
        <f>'Supply planning data'!N202+'Supply planning data'!P202</f>
        <v>0</v>
      </c>
      <c r="M204" s="342">
        <f>'Supply planning data'!O202</f>
        <v>0</v>
      </c>
      <c r="N204" s="321">
        <f>'Supply planning data'!P202</f>
        <v>0</v>
      </c>
      <c r="O204" s="342">
        <f>'Supply planning data'!Q202</f>
        <v>0</v>
      </c>
      <c r="P204" s="111">
        <f>'Supply planning data'!R202</f>
        <v>0</v>
      </c>
      <c r="Q204" s="111">
        <f>'Supply planning data'!S202</f>
        <v>0</v>
      </c>
      <c r="R204" s="111">
        <f>'Supply planning data'!T202</f>
        <v>0</v>
      </c>
      <c r="S204" s="111">
        <f>'Supply planning data'!U202</f>
        <v>0</v>
      </c>
      <c r="T204" s="111">
        <f>'Supply planning data'!V202</f>
        <v>0</v>
      </c>
      <c r="U204" s="327" t="str">
        <f>'Supply planning data'!W202</f>
        <v/>
      </c>
      <c r="V204" s="111">
        <f>'Supply planning data'!X202</f>
        <v>0</v>
      </c>
      <c r="W204" s="321">
        <f>'Supply planning data'!Y202</f>
        <v>0</v>
      </c>
      <c r="X204" s="329">
        <f>'Supply planning data'!Z202</f>
        <v>0</v>
      </c>
      <c r="Y204" s="111">
        <f>'Supply planning data'!AA202</f>
        <v>0</v>
      </c>
      <c r="Z204" s="111">
        <f>'Supply planning data'!AB202</f>
        <v>0</v>
      </c>
      <c r="AA204" s="111">
        <f>'Supply planning data'!AC202</f>
        <v>0</v>
      </c>
      <c r="AB204" s="111">
        <f>'Supply planning data'!AD202</f>
        <v>0</v>
      </c>
      <c r="AC204" s="111">
        <f>'Supply planning data'!AE202</f>
        <v>0</v>
      </c>
      <c r="AD204" s="327" t="str">
        <f>'Supply planning data'!AF202</f>
        <v/>
      </c>
      <c r="AE204" s="111">
        <f>'Supply planning data'!AG202</f>
        <v>0</v>
      </c>
      <c r="AF204" s="321">
        <f>'Supply planning data'!AH202</f>
        <v>0</v>
      </c>
      <c r="AG204" s="349">
        <f>'Supply planning data'!AI202</f>
        <v>0</v>
      </c>
      <c r="AH204" s="111">
        <f>'Supply planning data'!AJ202</f>
        <v>0</v>
      </c>
      <c r="AI204" s="111">
        <f>'Supply planning data'!AK202</f>
        <v>0</v>
      </c>
      <c r="AJ204" s="111">
        <f>'Supply planning data'!AL202</f>
        <v>0</v>
      </c>
      <c r="AK204" s="111">
        <f>'Supply planning data'!AM202</f>
        <v>0</v>
      </c>
      <c r="AL204" s="111">
        <f>'Supply planning data'!AN202</f>
        <v>0</v>
      </c>
      <c r="AM204" s="327" t="str">
        <f>'Supply planning data'!AO202</f>
        <v/>
      </c>
    </row>
    <row r="205" spans="1:39" x14ac:dyDescent="0.25">
      <c r="A205" s="109" t="str">
        <f>'Supply planning data'!C203</f>
        <v>Pfizer</v>
      </c>
      <c r="B205" s="298">
        <f>'Supply planning data'!D203</f>
        <v>44593</v>
      </c>
      <c r="C205" s="105" t="str">
        <f>'Supply planning data'!E203</f>
        <v>Yes</v>
      </c>
      <c r="D205" s="105">
        <f>'Supply planning data'!F203</f>
        <v>362024</v>
      </c>
      <c r="E205" s="320">
        <f>'Supply planning data'!G203</f>
        <v>131844</v>
      </c>
      <c r="F205" s="320">
        <f>'Supply planning data'!H203</f>
        <v>89193</v>
      </c>
      <c r="G205" s="320">
        <f>'Supply planning data'!I203</f>
        <v>0</v>
      </c>
      <c r="H205" s="105">
        <f>'Supply planning data'!J203</f>
        <v>221037</v>
      </c>
      <c r="I205" s="320">
        <f>'Supply planning data'!K203</f>
        <v>3008</v>
      </c>
      <c r="J205" s="177">
        <f>'Supply planning data'!L203</f>
        <v>1.3608581368730123E-2</v>
      </c>
      <c r="K205" s="105">
        <f>'Supply planning data'!M203</f>
        <v>224045</v>
      </c>
      <c r="L205" s="321">
        <f>'Supply planning data'!N203+'Supply planning data'!P203</f>
        <v>0</v>
      </c>
      <c r="M205" s="342">
        <f>'Supply planning data'!O203</f>
        <v>0</v>
      </c>
      <c r="N205" s="321">
        <f>'Supply planning data'!P203</f>
        <v>0</v>
      </c>
      <c r="O205" s="342">
        <f>'Supply planning data'!Q203</f>
        <v>0</v>
      </c>
      <c r="P205" s="111">
        <f>'Supply planning data'!R203</f>
        <v>0</v>
      </c>
      <c r="Q205" s="111">
        <f>'Supply planning data'!S203</f>
        <v>0</v>
      </c>
      <c r="R205" s="111">
        <f>'Supply planning data'!T203</f>
        <v>0</v>
      </c>
      <c r="S205" s="111">
        <f>'Supply planning data'!U203</f>
        <v>0</v>
      </c>
      <c r="T205" s="111">
        <f>'Supply planning data'!V203</f>
        <v>137979</v>
      </c>
      <c r="U205" s="327">
        <f>'Supply planning data'!W203</f>
        <v>1.5860202075933654</v>
      </c>
      <c r="V205" s="111">
        <f>'Supply planning data'!X203</f>
        <v>362024</v>
      </c>
      <c r="W205" s="321">
        <f>'Supply planning data'!Y203</f>
        <v>0</v>
      </c>
      <c r="X205" s="329">
        <f>'Supply planning data'!Z203</f>
        <v>0</v>
      </c>
      <c r="Y205" s="111">
        <f>'Supply planning data'!AA203</f>
        <v>0</v>
      </c>
      <c r="Z205" s="111">
        <f>'Supply planning data'!AB203</f>
        <v>0</v>
      </c>
      <c r="AA205" s="111">
        <f>'Supply planning data'!AC203</f>
        <v>0</v>
      </c>
      <c r="AB205" s="111">
        <f>'Supply planning data'!AD203</f>
        <v>0</v>
      </c>
      <c r="AC205" s="111">
        <f>'Supply planning data'!AE203</f>
        <v>137979</v>
      </c>
      <c r="AD205" s="327">
        <f>'Supply planning data'!AF203</f>
        <v>1.6459643876796322</v>
      </c>
      <c r="AE205" s="111">
        <f>'Supply planning data'!AG203</f>
        <v>362024</v>
      </c>
      <c r="AF205" s="321">
        <f>'Supply planning data'!AH203</f>
        <v>0</v>
      </c>
      <c r="AG205" s="349">
        <f>'Supply planning data'!AI203</f>
        <v>0</v>
      </c>
      <c r="AH205" s="111">
        <f>'Supply planning data'!AJ203</f>
        <v>0</v>
      </c>
      <c r="AI205" s="111">
        <f>'Supply planning data'!AK203</f>
        <v>0</v>
      </c>
      <c r="AJ205" s="111">
        <f>'Supply planning data'!AL203</f>
        <v>0</v>
      </c>
      <c r="AK205" s="111">
        <f>'Supply planning data'!AM203</f>
        <v>0</v>
      </c>
      <c r="AL205" s="111">
        <f>'Supply planning data'!AN203</f>
        <v>137979</v>
      </c>
      <c r="AM205" s="327">
        <f>'Supply planning data'!AO203</f>
        <v>1.6459643876796322</v>
      </c>
    </row>
    <row r="206" spans="1:39" x14ac:dyDescent="0.25">
      <c r="A206" s="104" t="str">
        <f>'Supply planning data'!C204</f>
        <v>Sinovac</v>
      </c>
      <c r="B206" s="298">
        <f>'Supply planning data'!D204</f>
        <v>44593</v>
      </c>
      <c r="C206" s="105" t="str">
        <f>'Supply planning data'!E204</f>
        <v>No</v>
      </c>
      <c r="D206" s="105">
        <f>'Supply planning data'!F204</f>
        <v>0</v>
      </c>
      <c r="E206" s="320">
        <f>'Supply planning data'!G204</f>
        <v>0</v>
      </c>
      <c r="F206" s="320">
        <f>'Supply planning data'!H204</f>
        <v>0</v>
      </c>
      <c r="G206" s="320">
        <f>'Supply planning data'!I204</f>
        <v>0</v>
      </c>
      <c r="H206" s="105">
        <f>'Supply planning data'!J204</f>
        <v>0</v>
      </c>
      <c r="I206" s="320">
        <f>'Supply planning data'!K204</f>
        <v>0</v>
      </c>
      <c r="J206" s="177" t="str">
        <f>'Supply planning data'!L204</f>
        <v/>
      </c>
      <c r="K206" s="105">
        <f>'Supply planning data'!M204</f>
        <v>0</v>
      </c>
      <c r="L206" s="321">
        <f>'Supply planning data'!N204+'Supply planning data'!P204</f>
        <v>0</v>
      </c>
      <c r="M206" s="342">
        <f>'Supply planning data'!O204</f>
        <v>0</v>
      </c>
      <c r="N206" s="321">
        <f>'Supply planning data'!P204</f>
        <v>0</v>
      </c>
      <c r="O206" s="342">
        <f>'Supply planning data'!Q204</f>
        <v>0</v>
      </c>
      <c r="P206" s="111">
        <f>'Supply planning data'!R204</f>
        <v>0</v>
      </c>
      <c r="Q206" s="111">
        <f>'Supply planning data'!S204</f>
        <v>0</v>
      </c>
      <c r="R206" s="111">
        <f>'Supply planning data'!T204</f>
        <v>0</v>
      </c>
      <c r="S206" s="111">
        <f>'Supply planning data'!U204</f>
        <v>0</v>
      </c>
      <c r="T206" s="111">
        <f>'Supply planning data'!V204</f>
        <v>0</v>
      </c>
      <c r="U206" s="327" t="str">
        <f>'Supply planning data'!W204</f>
        <v/>
      </c>
      <c r="V206" s="111">
        <f>'Supply planning data'!X204</f>
        <v>0</v>
      </c>
      <c r="W206" s="321">
        <f>'Supply planning data'!Y204</f>
        <v>0</v>
      </c>
      <c r="X206" s="329">
        <f>'Supply planning data'!Z204</f>
        <v>0</v>
      </c>
      <c r="Y206" s="111">
        <f>'Supply planning data'!AA204</f>
        <v>0</v>
      </c>
      <c r="Z206" s="111">
        <f>'Supply planning data'!AB204</f>
        <v>0</v>
      </c>
      <c r="AA206" s="111">
        <f>'Supply planning data'!AC204</f>
        <v>0</v>
      </c>
      <c r="AB206" s="111">
        <f>'Supply planning data'!AD204</f>
        <v>0</v>
      </c>
      <c r="AC206" s="111">
        <f>'Supply planning data'!AE204</f>
        <v>0</v>
      </c>
      <c r="AD206" s="327" t="str">
        <f>'Supply planning data'!AF204</f>
        <v/>
      </c>
      <c r="AE206" s="111">
        <f>'Supply planning data'!AG204</f>
        <v>0</v>
      </c>
      <c r="AF206" s="321">
        <f>'Supply planning data'!AH204</f>
        <v>0</v>
      </c>
      <c r="AG206" s="349">
        <f>'Supply planning data'!AI204</f>
        <v>0</v>
      </c>
      <c r="AH206" s="111">
        <f>'Supply planning data'!AJ204</f>
        <v>0</v>
      </c>
      <c r="AI206" s="111">
        <f>'Supply planning data'!AK204</f>
        <v>0</v>
      </c>
      <c r="AJ206" s="111">
        <f>'Supply planning data'!AL204</f>
        <v>0</v>
      </c>
      <c r="AK206" s="111">
        <f>'Supply planning data'!AM204</f>
        <v>0</v>
      </c>
      <c r="AL206" s="111">
        <f>'Supply planning data'!AN204</f>
        <v>0</v>
      </c>
      <c r="AM206" s="327" t="str">
        <f>'Supply planning data'!AO204</f>
        <v/>
      </c>
    </row>
    <row r="207" spans="1:39" hidden="1" x14ac:dyDescent="0.25">
      <c r="A207" s="109" t="str">
        <f>'Supply planning data'!C205</f>
        <v/>
      </c>
      <c r="B207" s="298">
        <f>'Supply planning data'!D205</f>
        <v>44593</v>
      </c>
      <c r="C207" s="105" t="str">
        <f>'Supply planning data'!E205</f>
        <v>No</v>
      </c>
      <c r="D207" s="105">
        <f>'Supply planning data'!F205</f>
        <v>0</v>
      </c>
      <c r="E207" s="320">
        <f>'Supply planning data'!G205</f>
        <v>0</v>
      </c>
      <c r="F207" s="320">
        <f>'Supply planning data'!H205</f>
        <v>0</v>
      </c>
      <c r="G207" s="320">
        <f>'Supply planning data'!I205</f>
        <v>0</v>
      </c>
      <c r="H207" s="105">
        <f>'Supply planning data'!J205</f>
        <v>0</v>
      </c>
      <c r="I207" s="320">
        <f>'Supply planning data'!K205</f>
        <v>0</v>
      </c>
      <c r="J207" s="177" t="str">
        <f>'Supply planning data'!L205</f>
        <v/>
      </c>
      <c r="K207" s="105">
        <f>'Supply planning data'!M205</f>
        <v>0</v>
      </c>
      <c r="L207" s="321">
        <f>'Supply planning data'!N205+'Supply planning data'!P205</f>
        <v>0</v>
      </c>
      <c r="M207" s="342">
        <f>'Supply planning data'!O205</f>
        <v>0</v>
      </c>
      <c r="N207" s="321">
        <f>'Supply planning data'!P205</f>
        <v>0</v>
      </c>
      <c r="O207" s="342">
        <f>'Supply planning data'!Q205</f>
        <v>0</v>
      </c>
      <c r="P207" s="111">
        <f>'Supply planning data'!R205</f>
        <v>0</v>
      </c>
      <c r="Q207" s="111">
        <f>'Supply planning data'!S205</f>
        <v>0</v>
      </c>
      <c r="R207" s="111">
        <f>'Supply planning data'!T205</f>
        <v>0</v>
      </c>
      <c r="S207" s="111">
        <f>'Supply planning data'!U205</f>
        <v>0</v>
      </c>
      <c r="T207" s="111">
        <f>'Supply planning data'!V205</f>
        <v>0</v>
      </c>
      <c r="U207" s="327" t="str">
        <f>'Supply planning data'!W205</f>
        <v/>
      </c>
      <c r="V207" s="111">
        <f>'Supply planning data'!X205</f>
        <v>0</v>
      </c>
      <c r="W207" s="321">
        <f>'Supply planning data'!Y205</f>
        <v>0</v>
      </c>
      <c r="X207" s="329">
        <f>'Supply planning data'!Z205</f>
        <v>0</v>
      </c>
      <c r="Y207" s="111">
        <f>'Supply planning data'!AA205</f>
        <v>0</v>
      </c>
      <c r="Z207" s="111">
        <f>'Supply planning data'!AB205</f>
        <v>0</v>
      </c>
      <c r="AA207" s="111">
        <f>'Supply planning data'!AC205</f>
        <v>0</v>
      </c>
      <c r="AB207" s="111">
        <f>'Supply planning data'!AD205</f>
        <v>0</v>
      </c>
      <c r="AC207" s="111">
        <f>'Supply planning data'!AE205</f>
        <v>0</v>
      </c>
      <c r="AD207" s="327" t="str">
        <f>'Supply planning data'!AF205</f>
        <v/>
      </c>
      <c r="AE207" s="111">
        <f>'Supply planning data'!AG205</f>
        <v>0</v>
      </c>
      <c r="AF207" s="321">
        <f>'Supply planning data'!AH205</f>
        <v>0</v>
      </c>
      <c r="AG207" s="349">
        <f>'Supply planning data'!AI205</f>
        <v>0</v>
      </c>
      <c r="AH207" s="111">
        <f>'Supply planning data'!AJ205</f>
        <v>0</v>
      </c>
      <c r="AI207" s="111">
        <f>'Supply planning data'!AK205</f>
        <v>0</v>
      </c>
      <c r="AJ207" s="111">
        <f>'Supply planning data'!AL205</f>
        <v>0</v>
      </c>
      <c r="AK207" s="111">
        <f>'Supply planning data'!AM205</f>
        <v>0</v>
      </c>
      <c r="AL207" s="111">
        <f>'Supply planning data'!AN205</f>
        <v>0</v>
      </c>
      <c r="AM207" s="327" t="str">
        <f>'Supply planning data'!AO205</f>
        <v/>
      </c>
    </row>
    <row r="208" spans="1:39" hidden="1" x14ac:dyDescent="0.25">
      <c r="A208" s="104" t="str">
        <f>'Supply planning data'!C206</f>
        <v/>
      </c>
      <c r="B208" s="298">
        <f>'Supply planning data'!D206</f>
        <v>44593</v>
      </c>
      <c r="C208" s="105" t="str">
        <f>'Supply planning data'!E206</f>
        <v>No</v>
      </c>
      <c r="D208" s="105">
        <f>'Supply planning data'!F206</f>
        <v>0</v>
      </c>
      <c r="E208" s="320">
        <f>'Supply planning data'!G206</f>
        <v>0</v>
      </c>
      <c r="F208" s="320">
        <f>'Supply planning data'!H206</f>
        <v>0</v>
      </c>
      <c r="G208" s="320">
        <f>'Supply planning data'!I206</f>
        <v>0</v>
      </c>
      <c r="H208" s="105">
        <f>'Supply planning data'!J206</f>
        <v>0</v>
      </c>
      <c r="I208" s="320">
        <f>'Supply planning data'!K206</f>
        <v>0</v>
      </c>
      <c r="J208" s="177" t="str">
        <f>'Supply planning data'!L206</f>
        <v/>
      </c>
      <c r="K208" s="105">
        <f>'Supply planning data'!M206</f>
        <v>0</v>
      </c>
      <c r="L208" s="321">
        <f>'Supply planning data'!N206+'Supply planning data'!P206</f>
        <v>0</v>
      </c>
      <c r="M208" s="342">
        <f>'Supply planning data'!O206</f>
        <v>0</v>
      </c>
      <c r="N208" s="321">
        <f>'Supply planning data'!P206</f>
        <v>0</v>
      </c>
      <c r="O208" s="342">
        <f>'Supply planning data'!Q206</f>
        <v>0</v>
      </c>
      <c r="P208" s="111">
        <f>'Supply planning data'!R206</f>
        <v>0</v>
      </c>
      <c r="Q208" s="111">
        <f>'Supply planning data'!S206</f>
        <v>0</v>
      </c>
      <c r="R208" s="111">
        <f>'Supply planning data'!T206</f>
        <v>0</v>
      </c>
      <c r="S208" s="111">
        <f>'Supply planning data'!U206</f>
        <v>0</v>
      </c>
      <c r="T208" s="111">
        <f>'Supply planning data'!V206</f>
        <v>0</v>
      </c>
      <c r="U208" s="327" t="str">
        <f>'Supply planning data'!W206</f>
        <v/>
      </c>
      <c r="V208" s="111">
        <f>'Supply planning data'!X206</f>
        <v>0</v>
      </c>
      <c r="W208" s="321">
        <f>'Supply planning data'!Y206</f>
        <v>0</v>
      </c>
      <c r="X208" s="329">
        <f>'Supply planning data'!Z206</f>
        <v>0</v>
      </c>
      <c r="Y208" s="111">
        <f>'Supply planning data'!AA206</f>
        <v>0</v>
      </c>
      <c r="Z208" s="111">
        <f>'Supply planning data'!AB206</f>
        <v>0</v>
      </c>
      <c r="AA208" s="111">
        <f>'Supply planning data'!AC206</f>
        <v>0</v>
      </c>
      <c r="AB208" s="111">
        <f>'Supply planning data'!AD206</f>
        <v>0</v>
      </c>
      <c r="AC208" s="111">
        <f>'Supply planning data'!AE206</f>
        <v>0</v>
      </c>
      <c r="AD208" s="327" t="str">
        <f>'Supply planning data'!AF206</f>
        <v/>
      </c>
      <c r="AE208" s="111">
        <f>'Supply planning data'!AG206</f>
        <v>0</v>
      </c>
      <c r="AF208" s="321">
        <f>'Supply planning data'!AH206</f>
        <v>0</v>
      </c>
      <c r="AG208" s="349">
        <f>'Supply planning data'!AI206</f>
        <v>0</v>
      </c>
      <c r="AH208" s="111">
        <f>'Supply planning data'!AJ206</f>
        <v>0</v>
      </c>
      <c r="AI208" s="111">
        <f>'Supply planning data'!AK206</f>
        <v>0</v>
      </c>
      <c r="AJ208" s="111">
        <f>'Supply planning data'!AL206</f>
        <v>0</v>
      </c>
      <c r="AK208" s="111">
        <f>'Supply planning data'!AM206</f>
        <v>0</v>
      </c>
      <c r="AL208" s="111">
        <f>'Supply planning data'!AN206</f>
        <v>0</v>
      </c>
      <c r="AM208" s="327" t="str">
        <f>'Supply planning data'!AO206</f>
        <v/>
      </c>
    </row>
    <row r="209" spans="1:39" hidden="1" x14ac:dyDescent="0.25">
      <c r="A209" s="109" t="str">
        <f>'Supply planning data'!C207</f>
        <v/>
      </c>
      <c r="B209" s="298">
        <f>'Supply planning data'!D207</f>
        <v>44593</v>
      </c>
      <c r="C209" s="105" t="str">
        <f>'Supply planning data'!E207</f>
        <v>No</v>
      </c>
      <c r="D209" s="105">
        <f>'Supply planning data'!F207</f>
        <v>0</v>
      </c>
      <c r="E209" s="320">
        <f>'Supply planning data'!G207</f>
        <v>0</v>
      </c>
      <c r="F209" s="320">
        <f>'Supply planning data'!H207</f>
        <v>0</v>
      </c>
      <c r="G209" s="320">
        <f>'Supply planning data'!I207</f>
        <v>0</v>
      </c>
      <c r="H209" s="105">
        <f>'Supply planning data'!J207</f>
        <v>0</v>
      </c>
      <c r="I209" s="320">
        <f>'Supply planning data'!K207</f>
        <v>0</v>
      </c>
      <c r="J209" s="177" t="str">
        <f>'Supply planning data'!L207</f>
        <v/>
      </c>
      <c r="K209" s="105">
        <f>'Supply planning data'!M207</f>
        <v>0</v>
      </c>
      <c r="L209" s="321">
        <f>'Supply planning data'!N207+'Supply planning data'!P207</f>
        <v>0</v>
      </c>
      <c r="M209" s="342">
        <f>'Supply planning data'!O207</f>
        <v>0</v>
      </c>
      <c r="N209" s="321">
        <f>'Supply planning data'!P207</f>
        <v>0</v>
      </c>
      <c r="O209" s="342">
        <f>'Supply planning data'!Q207</f>
        <v>0</v>
      </c>
      <c r="P209" s="111">
        <f>'Supply planning data'!R207</f>
        <v>0</v>
      </c>
      <c r="Q209" s="111">
        <f>'Supply planning data'!S207</f>
        <v>0</v>
      </c>
      <c r="R209" s="111">
        <f>'Supply planning data'!T207</f>
        <v>0</v>
      </c>
      <c r="S209" s="111">
        <f>'Supply planning data'!U207</f>
        <v>0</v>
      </c>
      <c r="T209" s="111">
        <f>'Supply planning data'!V207</f>
        <v>0</v>
      </c>
      <c r="U209" s="327" t="str">
        <f>'Supply planning data'!W207</f>
        <v/>
      </c>
      <c r="V209" s="111">
        <f>'Supply planning data'!X207</f>
        <v>0</v>
      </c>
      <c r="W209" s="321">
        <f>'Supply planning data'!Y207</f>
        <v>0</v>
      </c>
      <c r="X209" s="329">
        <f>'Supply planning data'!Z207</f>
        <v>0</v>
      </c>
      <c r="Y209" s="111">
        <f>'Supply planning data'!AA207</f>
        <v>0</v>
      </c>
      <c r="Z209" s="111">
        <f>'Supply planning data'!AB207</f>
        <v>0</v>
      </c>
      <c r="AA209" s="111">
        <f>'Supply planning data'!AC207</f>
        <v>0</v>
      </c>
      <c r="AB209" s="111">
        <f>'Supply planning data'!AD207</f>
        <v>0</v>
      </c>
      <c r="AC209" s="111">
        <f>'Supply planning data'!AE207</f>
        <v>0</v>
      </c>
      <c r="AD209" s="327" t="str">
        <f>'Supply planning data'!AF207</f>
        <v/>
      </c>
      <c r="AE209" s="111">
        <f>'Supply planning data'!AG207</f>
        <v>0</v>
      </c>
      <c r="AF209" s="321">
        <f>'Supply planning data'!AH207</f>
        <v>0</v>
      </c>
      <c r="AG209" s="349">
        <f>'Supply planning data'!AI207</f>
        <v>0</v>
      </c>
      <c r="AH209" s="111">
        <f>'Supply planning data'!AJ207</f>
        <v>0</v>
      </c>
      <c r="AI209" s="111">
        <f>'Supply planning data'!AK207</f>
        <v>0</v>
      </c>
      <c r="AJ209" s="111">
        <f>'Supply planning data'!AL207</f>
        <v>0</v>
      </c>
      <c r="AK209" s="111">
        <f>'Supply planning data'!AM207</f>
        <v>0</v>
      </c>
      <c r="AL209" s="111">
        <f>'Supply planning data'!AN207</f>
        <v>0</v>
      </c>
      <c r="AM209" s="327" t="str">
        <f>'Supply planning data'!AO207</f>
        <v/>
      </c>
    </row>
    <row r="210" spans="1:39" hidden="1" x14ac:dyDescent="0.25">
      <c r="A210" s="104" t="str">
        <f>'Supply planning data'!C208</f>
        <v/>
      </c>
      <c r="B210" s="298">
        <f>'Supply planning data'!D208</f>
        <v>44593</v>
      </c>
      <c r="C210" s="105" t="str">
        <f>'Supply planning data'!E208</f>
        <v>No</v>
      </c>
      <c r="D210" s="105">
        <f>'Supply planning data'!F208</f>
        <v>0</v>
      </c>
      <c r="E210" s="320">
        <f>'Supply planning data'!G208</f>
        <v>0</v>
      </c>
      <c r="F210" s="320">
        <f>'Supply planning data'!H208</f>
        <v>0</v>
      </c>
      <c r="G210" s="320">
        <f>'Supply planning data'!I208</f>
        <v>0</v>
      </c>
      <c r="H210" s="105">
        <f>'Supply planning data'!J208</f>
        <v>0</v>
      </c>
      <c r="I210" s="320">
        <f>'Supply planning data'!K208</f>
        <v>0</v>
      </c>
      <c r="J210" s="177" t="str">
        <f>'Supply planning data'!L208</f>
        <v/>
      </c>
      <c r="K210" s="105">
        <f>'Supply planning data'!M208</f>
        <v>0</v>
      </c>
      <c r="L210" s="321">
        <f>'Supply planning data'!N208+'Supply planning data'!P208</f>
        <v>0</v>
      </c>
      <c r="M210" s="342">
        <f>'Supply planning data'!O208</f>
        <v>0</v>
      </c>
      <c r="N210" s="321">
        <f>'Supply planning data'!P208</f>
        <v>0</v>
      </c>
      <c r="O210" s="342">
        <f>'Supply planning data'!Q208</f>
        <v>0</v>
      </c>
      <c r="P210" s="111">
        <f>'Supply planning data'!R208</f>
        <v>0</v>
      </c>
      <c r="Q210" s="111">
        <f>'Supply planning data'!S208</f>
        <v>0</v>
      </c>
      <c r="R210" s="111">
        <f>'Supply planning data'!T208</f>
        <v>0</v>
      </c>
      <c r="S210" s="111">
        <f>'Supply planning data'!U208</f>
        <v>0</v>
      </c>
      <c r="T210" s="111">
        <f>'Supply planning data'!V208</f>
        <v>0</v>
      </c>
      <c r="U210" s="327" t="str">
        <f>'Supply planning data'!W208</f>
        <v/>
      </c>
      <c r="V210" s="111">
        <f>'Supply planning data'!X208</f>
        <v>0</v>
      </c>
      <c r="W210" s="321">
        <f>'Supply planning data'!Y208</f>
        <v>0</v>
      </c>
      <c r="X210" s="329">
        <f>'Supply planning data'!Z208</f>
        <v>0</v>
      </c>
      <c r="Y210" s="111">
        <f>'Supply planning data'!AA208</f>
        <v>0</v>
      </c>
      <c r="Z210" s="111">
        <f>'Supply planning data'!AB208</f>
        <v>0</v>
      </c>
      <c r="AA210" s="111">
        <f>'Supply planning data'!AC208</f>
        <v>0</v>
      </c>
      <c r="AB210" s="111">
        <f>'Supply planning data'!AD208</f>
        <v>0</v>
      </c>
      <c r="AC210" s="111">
        <f>'Supply planning data'!AE208</f>
        <v>0</v>
      </c>
      <c r="AD210" s="327" t="str">
        <f>'Supply planning data'!AF208</f>
        <v/>
      </c>
      <c r="AE210" s="111">
        <f>'Supply planning data'!AG208</f>
        <v>0</v>
      </c>
      <c r="AF210" s="321">
        <f>'Supply planning data'!AH208</f>
        <v>0</v>
      </c>
      <c r="AG210" s="349">
        <f>'Supply planning data'!AI208</f>
        <v>0</v>
      </c>
      <c r="AH210" s="111">
        <f>'Supply planning data'!AJ208</f>
        <v>0</v>
      </c>
      <c r="AI210" s="111">
        <f>'Supply planning data'!AK208</f>
        <v>0</v>
      </c>
      <c r="AJ210" s="111">
        <f>'Supply planning data'!AL208</f>
        <v>0</v>
      </c>
      <c r="AK210" s="111">
        <f>'Supply planning data'!AM208</f>
        <v>0</v>
      </c>
      <c r="AL210" s="111">
        <f>'Supply planning data'!AN208</f>
        <v>0</v>
      </c>
      <c r="AM210" s="327" t="str">
        <f>'Supply planning data'!AO208</f>
        <v/>
      </c>
    </row>
    <row r="211" spans="1:39" hidden="1" x14ac:dyDescent="0.25">
      <c r="A211" s="109" t="str">
        <f>'Supply planning data'!C209</f>
        <v/>
      </c>
      <c r="B211" s="298">
        <f>'Supply planning data'!D209</f>
        <v>44593</v>
      </c>
      <c r="C211" s="105" t="str">
        <f>'Supply planning data'!E209</f>
        <v>No</v>
      </c>
      <c r="D211" s="105">
        <f>'Supply planning data'!F209</f>
        <v>0</v>
      </c>
      <c r="E211" s="320">
        <f>'Supply planning data'!G209</f>
        <v>0</v>
      </c>
      <c r="F211" s="320">
        <f>'Supply planning data'!H209</f>
        <v>0</v>
      </c>
      <c r="G211" s="320">
        <f>'Supply planning data'!I209</f>
        <v>0</v>
      </c>
      <c r="H211" s="105">
        <f>'Supply planning data'!J209</f>
        <v>0</v>
      </c>
      <c r="I211" s="320">
        <f>'Supply planning data'!K209</f>
        <v>0</v>
      </c>
      <c r="J211" s="177" t="str">
        <f>'Supply planning data'!L209</f>
        <v/>
      </c>
      <c r="K211" s="105">
        <f>'Supply planning data'!M209</f>
        <v>0</v>
      </c>
      <c r="L211" s="321">
        <f>'Supply planning data'!N209+'Supply planning data'!P209</f>
        <v>0</v>
      </c>
      <c r="M211" s="342">
        <f>'Supply planning data'!O209</f>
        <v>0</v>
      </c>
      <c r="N211" s="321">
        <f>'Supply planning data'!P209</f>
        <v>0</v>
      </c>
      <c r="O211" s="342">
        <f>'Supply planning data'!Q209</f>
        <v>0</v>
      </c>
      <c r="P211" s="111">
        <f>'Supply planning data'!R209</f>
        <v>0</v>
      </c>
      <c r="Q211" s="111">
        <f>'Supply planning data'!S209</f>
        <v>0</v>
      </c>
      <c r="R211" s="111">
        <f>'Supply planning data'!T209</f>
        <v>0</v>
      </c>
      <c r="S211" s="111">
        <f>'Supply planning data'!U209</f>
        <v>0</v>
      </c>
      <c r="T211" s="111">
        <f>'Supply planning data'!V209</f>
        <v>0</v>
      </c>
      <c r="U211" s="327" t="str">
        <f>'Supply planning data'!W209</f>
        <v/>
      </c>
      <c r="V211" s="111">
        <f>'Supply planning data'!X209</f>
        <v>0</v>
      </c>
      <c r="W211" s="321">
        <f>'Supply planning data'!Y209</f>
        <v>0</v>
      </c>
      <c r="X211" s="329">
        <f>'Supply planning data'!Z209</f>
        <v>0</v>
      </c>
      <c r="Y211" s="111">
        <f>'Supply planning data'!AA209</f>
        <v>0</v>
      </c>
      <c r="Z211" s="111">
        <f>'Supply planning data'!AB209</f>
        <v>0</v>
      </c>
      <c r="AA211" s="111">
        <f>'Supply planning data'!AC209</f>
        <v>0</v>
      </c>
      <c r="AB211" s="111">
        <f>'Supply planning data'!AD209</f>
        <v>0</v>
      </c>
      <c r="AC211" s="111">
        <f>'Supply planning data'!AE209</f>
        <v>0</v>
      </c>
      <c r="AD211" s="327" t="str">
        <f>'Supply planning data'!AF209</f>
        <v/>
      </c>
      <c r="AE211" s="111">
        <f>'Supply planning data'!AG209</f>
        <v>0</v>
      </c>
      <c r="AF211" s="321">
        <f>'Supply planning data'!AH209</f>
        <v>0</v>
      </c>
      <c r="AG211" s="349">
        <f>'Supply planning data'!AI209</f>
        <v>0</v>
      </c>
      <c r="AH211" s="111">
        <f>'Supply planning data'!AJ209</f>
        <v>0</v>
      </c>
      <c r="AI211" s="111">
        <f>'Supply planning data'!AK209</f>
        <v>0</v>
      </c>
      <c r="AJ211" s="111">
        <f>'Supply planning data'!AL209</f>
        <v>0</v>
      </c>
      <c r="AK211" s="111">
        <f>'Supply planning data'!AM209</f>
        <v>0</v>
      </c>
      <c r="AL211" s="111">
        <f>'Supply planning data'!AN209</f>
        <v>0</v>
      </c>
      <c r="AM211" s="327" t="str">
        <f>'Supply planning data'!AO209</f>
        <v/>
      </c>
    </row>
    <row r="212" spans="1:39" hidden="1" x14ac:dyDescent="0.25">
      <c r="A212" s="104" t="str">
        <f>'Supply planning data'!C210</f>
        <v/>
      </c>
      <c r="B212" s="298">
        <f>'Supply planning data'!D210</f>
        <v>44593</v>
      </c>
      <c r="C212" s="105" t="str">
        <f>'Supply planning data'!E210</f>
        <v>No</v>
      </c>
      <c r="D212" s="105">
        <f>'Supply planning data'!F210</f>
        <v>0</v>
      </c>
      <c r="E212" s="320">
        <f>'Supply planning data'!G210</f>
        <v>0</v>
      </c>
      <c r="F212" s="320">
        <f>'Supply planning data'!H210</f>
        <v>0</v>
      </c>
      <c r="G212" s="320">
        <f>'Supply planning data'!I210</f>
        <v>0</v>
      </c>
      <c r="H212" s="105">
        <f>'Supply planning data'!J210</f>
        <v>0</v>
      </c>
      <c r="I212" s="320">
        <f>'Supply planning data'!K210</f>
        <v>0</v>
      </c>
      <c r="J212" s="177" t="str">
        <f>'Supply planning data'!L210</f>
        <v/>
      </c>
      <c r="K212" s="105">
        <f>'Supply planning data'!M210</f>
        <v>0</v>
      </c>
      <c r="L212" s="321">
        <f>'Supply planning data'!N210+'Supply planning data'!P210</f>
        <v>0</v>
      </c>
      <c r="M212" s="342">
        <f>'Supply planning data'!O210</f>
        <v>0</v>
      </c>
      <c r="N212" s="321">
        <f>'Supply planning data'!P210</f>
        <v>0</v>
      </c>
      <c r="O212" s="342">
        <f>'Supply planning data'!Q210</f>
        <v>0</v>
      </c>
      <c r="P212" s="111">
        <f>'Supply planning data'!R210</f>
        <v>0</v>
      </c>
      <c r="Q212" s="111">
        <f>'Supply planning data'!S210</f>
        <v>0</v>
      </c>
      <c r="R212" s="111">
        <f>'Supply planning data'!T210</f>
        <v>0</v>
      </c>
      <c r="S212" s="111">
        <f>'Supply planning data'!U210</f>
        <v>0</v>
      </c>
      <c r="T212" s="111">
        <f>'Supply planning data'!V210</f>
        <v>0</v>
      </c>
      <c r="U212" s="327" t="str">
        <f>'Supply planning data'!W210</f>
        <v/>
      </c>
      <c r="V212" s="111">
        <f>'Supply planning data'!X210</f>
        <v>0</v>
      </c>
      <c r="W212" s="321">
        <f>'Supply planning data'!Y210</f>
        <v>0</v>
      </c>
      <c r="X212" s="329">
        <f>'Supply planning data'!Z210</f>
        <v>0</v>
      </c>
      <c r="Y212" s="111">
        <f>'Supply planning data'!AA210</f>
        <v>0</v>
      </c>
      <c r="Z212" s="111">
        <f>'Supply planning data'!AB210</f>
        <v>0</v>
      </c>
      <c r="AA212" s="111">
        <f>'Supply planning data'!AC210</f>
        <v>0</v>
      </c>
      <c r="AB212" s="111">
        <f>'Supply planning data'!AD210</f>
        <v>0</v>
      </c>
      <c r="AC212" s="111">
        <f>'Supply planning data'!AE210</f>
        <v>0</v>
      </c>
      <c r="AD212" s="327" t="str">
        <f>'Supply planning data'!AF210</f>
        <v/>
      </c>
      <c r="AE212" s="111">
        <f>'Supply planning data'!AG210</f>
        <v>0</v>
      </c>
      <c r="AF212" s="321">
        <f>'Supply planning data'!AH210</f>
        <v>0</v>
      </c>
      <c r="AG212" s="349">
        <f>'Supply planning data'!AI210</f>
        <v>0</v>
      </c>
      <c r="AH212" s="111">
        <f>'Supply planning data'!AJ210</f>
        <v>0</v>
      </c>
      <c r="AI212" s="111">
        <f>'Supply planning data'!AK210</f>
        <v>0</v>
      </c>
      <c r="AJ212" s="111">
        <f>'Supply planning data'!AL210</f>
        <v>0</v>
      </c>
      <c r="AK212" s="111">
        <f>'Supply planning data'!AM210</f>
        <v>0</v>
      </c>
      <c r="AL212" s="111">
        <f>'Supply planning data'!AN210</f>
        <v>0</v>
      </c>
      <c r="AM212" s="327" t="str">
        <f>'Supply planning data'!AO210</f>
        <v/>
      </c>
    </row>
    <row r="213" spans="1:39" hidden="1" x14ac:dyDescent="0.25">
      <c r="A213" s="109" t="str">
        <f>'Supply planning data'!C211</f>
        <v/>
      </c>
      <c r="B213" s="298">
        <f>'Supply planning data'!D211</f>
        <v>44593</v>
      </c>
      <c r="C213" s="105" t="str">
        <f>'Supply planning data'!E211</f>
        <v>No</v>
      </c>
      <c r="D213" s="105">
        <f>'Supply planning data'!F211</f>
        <v>0</v>
      </c>
      <c r="E213" s="320">
        <f>'Supply planning data'!G211</f>
        <v>0</v>
      </c>
      <c r="F213" s="320">
        <f>'Supply planning data'!H211</f>
        <v>0</v>
      </c>
      <c r="G213" s="320">
        <f>'Supply planning data'!I211</f>
        <v>0</v>
      </c>
      <c r="H213" s="105">
        <f>'Supply planning data'!J211</f>
        <v>0</v>
      </c>
      <c r="I213" s="320">
        <f>'Supply planning data'!K211</f>
        <v>0</v>
      </c>
      <c r="J213" s="177" t="str">
        <f>'Supply planning data'!L211</f>
        <v/>
      </c>
      <c r="K213" s="105">
        <f>'Supply planning data'!M211</f>
        <v>0</v>
      </c>
      <c r="L213" s="321">
        <f>'Supply planning data'!N211+'Supply planning data'!P211</f>
        <v>0</v>
      </c>
      <c r="M213" s="342">
        <f>'Supply planning data'!O211</f>
        <v>0</v>
      </c>
      <c r="N213" s="321">
        <f>'Supply planning data'!P211</f>
        <v>0</v>
      </c>
      <c r="O213" s="342">
        <f>'Supply planning data'!Q211</f>
        <v>0</v>
      </c>
      <c r="P213" s="111">
        <f>'Supply planning data'!R211</f>
        <v>0</v>
      </c>
      <c r="Q213" s="111">
        <f>'Supply planning data'!S211</f>
        <v>0</v>
      </c>
      <c r="R213" s="111">
        <f>'Supply planning data'!T211</f>
        <v>0</v>
      </c>
      <c r="S213" s="111">
        <f>'Supply planning data'!U211</f>
        <v>0</v>
      </c>
      <c r="T213" s="111">
        <f>'Supply planning data'!V211</f>
        <v>0</v>
      </c>
      <c r="U213" s="327" t="str">
        <f>'Supply planning data'!W211</f>
        <v/>
      </c>
      <c r="V213" s="111">
        <f>'Supply planning data'!X211</f>
        <v>0</v>
      </c>
      <c r="W213" s="321">
        <f>'Supply planning data'!Y211</f>
        <v>0</v>
      </c>
      <c r="X213" s="329">
        <f>'Supply planning data'!Z211</f>
        <v>0</v>
      </c>
      <c r="Y213" s="111">
        <f>'Supply planning data'!AA211</f>
        <v>0</v>
      </c>
      <c r="Z213" s="111">
        <f>'Supply planning data'!AB211</f>
        <v>0</v>
      </c>
      <c r="AA213" s="111">
        <f>'Supply planning data'!AC211</f>
        <v>0</v>
      </c>
      <c r="AB213" s="111">
        <f>'Supply planning data'!AD211</f>
        <v>0</v>
      </c>
      <c r="AC213" s="111">
        <f>'Supply planning data'!AE211</f>
        <v>0</v>
      </c>
      <c r="AD213" s="327" t="str">
        <f>'Supply planning data'!AF211</f>
        <v/>
      </c>
      <c r="AE213" s="111">
        <f>'Supply planning data'!AG211</f>
        <v>0</v>
      </c>
      <c r="AF213" s="321">
        <f>'Supply planning data'!AH211</f>
        <v>0</v>
      </c>
      <c r="AG213" s="349">
        <f>'Supply planning data'!AI211</f>
        <v>0</v>
      </c>
      <c r="AH213" s="111">
        <f>'Supply planning data'!AJ211</f>
        <v>0</v>
      </c>
      <c r="AI213" s="111">
        <f>'Supply planning data'!AK211</f>
        <v>0</v>
      </c>
      <c r="AJ213" s="111">
        <f>'Supply planning data'!AL211</f>
        <v>0</v>
      </c>
      <c r="AK213" s="111">
        <f>'Supply planning data'!AM211</f>
        <v>0</v>
      </c>
      <c r="AL213" s="111">
        <f>'Supply planning data'!AN211</f>
        <v>0</v>
      </c>
      <c r="AM213" s="327" t="str">
        <f>'Supply planning data'!AO211</f>
        <v/>
      </c>
    </row>
    <row r="214" spans="1:39" hidden="1" x14ac:dyDescent="0.25">
      <c r="A214" s="104" t="str">
        <f>'Supply planning data'!C212</f>
        <v/>
      </c>
      <c r="B214" s="298">
        <f>'Supply planning data'!D212</f>
        <v>44593</v>
      </c>
      <c r="C214" s="105" t="str">
        <f>'Supply planning data'!E212</f>
        <v>No</v>
      </c>
      <c r="D214" s="105">
        <f>'Supply planning data'!F212</f>
        <v>0</v>
      </c>
      <c r="E214" s="320">
        <f>'Supply planning data'!G212</f>
        <v>0</v>
      </c>
      <c r="F214" s="320">
        <f>'Supply planning data'!H212</f>
        <v>0</v>
      </c>
      <c r="G214" s="320">
        <f>'Supply planning data'!I212</f>
        <v>0</v>
      </c>
      <c r="H214" s="105">
        <f>'Supply planning data'!J212</f>
        <v>0</v>
      </c>
      <c r="I214" s="320">
        <f>'Supply planning data'!K212</f>
        <v>0</v>
      </c>
      <c r="J214" s="177" t="str">
        <f>'Supply planning data'!L212</f>
        <v/>
      </c>
      <c r="K214" s="105">
        <f>'Supply planning data'!M212</f>
        <v>0</v>
      </c>
      <c r="L214" s="321">
        <f>'Supply planning data'!N212+'Supply planning data'!P212</f>
        <v>0</v>
      </c>
      <c r="M214" s="342">
        <f>'Supply planning data'!O212</f>
        <v>0</v>
      </c>
      <c r="N214" s="321">
        <f>'Supply planning data'!P212</f>
        <v>0</v>
      </c>
      <c r="O214" s="342">
        <f>'Supply planning data'!Q212</f>
        <v>0</v>
      </c>
      <c r="P214" s="111">
        <f>'Supply planning data'!R212</f>
        <v>0</v>
      </c>
      <c r="Q214" s="111">
        <f>'Supply planning data'!S212</f>
        <v>0</v>
      </c>
      <c r="R214" s="111">
        <f>'Supply planning data'!T212</f>
        <v>0</v>
      </c>
      <c r="S214" s="111">
        <f>'Supply planning data'!U212</f>
        <v>0</v>
      </c>
      <c r="T214" s="111">
        <f>'Supply planning data'!V212</f>
        <v>0</v>
      </c>
      <c r="U214" s="327" t="str">
        <f>'Supply planning data'!W212</f>
        <v/>
      </c>
      <c r="V214" s="111">
        <f>'Supply planning data'!X212</f>
        <v>0</v>
      </c>
      <c r="W214" s="321">
        <f>'Supply planning data'!Y212</f>
        <v>0</v>
      </c>
      <c r="X214" s="329">
        <f>'Supply planning data'!Z212</f>
        <v>0</v>
      </c>
      <c r="Y214" s="111">
        <f>'Supply planning data'!AA212</f>
        <v>0</v>
      </c>
      <c r="Z214" s="111">
        <f>'Supply planning data'!AB212</f>
        <v>0</v>
      </c>
      <c r="AA214" s="111">
        <f>'Supply planning data'!AC212</f>
        <v>0</v>
      </c>
      <c r="AB214" s="111">
        <f>'Supply planning data'!AD212</f>
        <v>0</v>
      </c>
      <c r="AC214" s="111">
        <f>'Supply planning data'!AE212</f>
        <v>0</v>
      </c>
      <c r="AD214" s="327" t="str">
        <f>'Supply planning data'!AF212</f>
        <v/>
      </c>
      <c r="AE214" s="111">
        <f>'Supply planning data'!AG212</f>
        <v>0</v>
      </c>
      <c r="AF214" s="321">
        <f>'Supply planning data'!AH212</f>
        <v>0</v>
      </c>
      <c r="AG214" s="349">
        <f>'Supply planning data'!AI212</f>
        <v>0</v>
      </c>
      <c r="AH214" s="111">
        <f>'Supply planning data'!AJ212</f>
        <v>0</v>
      </c>
      <c r="AI214" s="111">
        <f>'Supply planning data'!AK212</f>
        <v>0</v>
      </c>
      <c r="AJ214" s="111">
        <f>'Supply planning data'!AL212</f>
        <v>0</v>
      </c>
      <c r="AK214" s="111">
        <f>'Supply planning data'!AM212</f>
        <v>0</v>
      </c>
      <c r="AL214" s="111">
        <f>'Supply planning data'!AN212</f>
        <v>0</v>
      </c>
      <c r="AM214" s="327" t="str">
        <f>'Supply planning data'!AO212</f>
        <v/>
      </c>
    </row>
    <row r="215" spans="1:39" hidden="1" x14ac:dyDescent="0.25">
      <c r="A215" s="109" t="str">
        <f>'Supply planning data'!C213</f>
        <v/>
      </c>
      <c r="B215" s="298">
        <f>'Supply planning data'!D213</f>
        <v>44593</v>
      </c>
      <c r="C215" s="105" t="str">
        <f>'Supply planning data'!E213</f>
        <v>No</v>
      </c>
      <c r="D215" s="105">
        <f>'Supply planning data'!F213</f>
        <v>0</v>
      </c>
      <c r="E215" s="320">
        <f>'Supply planning data'!G213</f>
        <v>0</v>
      </c>
      <c r="F215" s="320">
        <f>'Supply planning data'!H213</f>
        <v>0</v>
      </c>
      <c r="G215" s="320">
        <f>'Supply planning data'!I213</f>
        <v>0</v>
      </c>
      <c r="H215" s="105">
        <f>'Supply planning data'!J213</f>
        <v>0</v>
      </c>
      <c r="I215" s="320">
        <f>'Supply planning data'!K213</f>
        <v>0</v>
      </c>
      <c r="J215" s="177" t="str">
        <f>'Supply planning data'!L213</f>
        <v/>
      </c>
      <c r="K215" s="105">
        <f>'Supply planning data'!M213</f>
        <v>0</v>
      </c>
      <c r="L215" s="321">
        <f>'Supply planning data'!N213+'Supply planning data'!P213</f>
        <v>0</v>
      </c>
      <c r="M215" s="342">
        <f>'Supply planning data'!O213</f>
        <v>0</v>
      </c>
      <c r="N215" s="321">
        <f>'Supply planning data'!P213</f>
        <v>0</v>
      </c>
      <c r="O215" s="342">
        <f>'Supply planning data'!Q213</f>
        <v>0</v>
      </c>
      <c r="P215" s="111">
        <f>'Supply planning data'!R213</f>
        <v>0</v>
      </c>
      <c r="Q215" s="111">
        <f>'Supply planning data'!S213</f>
        <v>0</v>
      </c>
      <c r="R215" s="111">
        <f>'Supply planning data'!T213</f>
        <v>0</v>
      </c>
      <c r="S215" s="111">
        <f>'Supply planning data'!U213</f>
        <v>0</v>
      </c>
      <c r="T215" s="111">
        <f>'Supply planning data'!V213</f>
        <v>0</v>
      </c>
      <c r="U215" s="327" t="str">
        <f>'Supply planning data'!W213</f>
        <v/>
      </c>
      <c r="V215" s="111">
        <f>'Supply planning data'!X213</f>
        <v>0</v>
      </c>
      <c r="W215" s="321">
        <f>'Supply planning data'!Y213</f>
        <v>0</v>
      </c>
      <c r="X215" s="329">
        <f>'Supply planning data'!Z213</f>
        <v>0</v>
      </c>
      <c r="Y215" s="111">
        <f>'Supply planning data'!AA213</f>
        <v>0</v>
      </c>
      <c r="Z215" s="111">
        <f>'Supply planning data'!AB213</f>
        <v>0</v>
      </c>
      <c r="AA215" s="111">
        <f>'Supply planning data'!AC213</f>
        <v>0</v>
      </c>
      <c r="AB215" s="111">
        <f>'Supply planning data'!AD213</f>
        <v>0</v>
      </c>
      <c r="AC215" s="111">
        <f>'Supply planning data'!AE213</f>
        <v>0</v>
      </c>
      <c r="AD215" s="327" t="str">
        <f>'Supply planning data'!AF213</f>
        <v/>
      </c>
      <c r="AE215" s="111">
        <f>'Supply planning data'!AG213</f>
        <v>0</v>
      </c>
      <c r="AF215" s="321">
        <f>'Supply planning data'!AH213</f>
        <v>0</v>
      </c>
      <c r="AG215" s="349">
        <f>'Supply planning data'!AI213</f>
        <v>0</v>
      </c>
      <c r="AH215" s="111">
        <f>'Supply planning data'!AJ213</f>
        <v>0</v>
      </c>
      <c r="AI215" s="111">
        <f>'Supply planning data'!AK213</f>
        <v>0</v>
      </c>
      <c r="AJ215" s="111">
        <f>'Supply planning data'!AL213</f>
        <v>0</v>
      </c>
      <c r="AK215" s="111">
        <f>'Supply planning data'!AM213</f>
        <v>0</v>
      </c>
      <c r="AL215" s="111">
        <f>'Supply planning data'!AN213</f>
        <v>0</v>
      </c>
      <c r="AM215" s="327" t="str">
        <f>'Supply planning data'!AO213</f>
        <v/>
      </c>
    </row>
    <row r="216" spans="1:39" hidden="1" x14ac:dyDescent="0.25">
      <c r="A216" s="104" t="str">
        <f>'Supply planning data'!C214</f>
        <v/>
      </c>
      <c r="B216" s="298">
        <f>'Supply planning data'!D214</f>
        <v>44593</v>
      </c>
      <c r="C216" s="105" t="str">
        <f>'Supply planning data'!E214</f>
        <v>No</v>
      </c>
      <c r="D216" s="105">
        <f>'Supply planning data'!F214</f>
        <v>0</v>
      </c>
      <c r="E216" s="320">
        <f>'Supply planning data'!G214</f>
        <v>0</v>
      </c>
      <c r="F216" s="320">
        <f>'Supply planning data'!H214</f>
        <v>0</v>
      </c>
      <c r="G216" s="320">
        <f>'Supply planning data'!I214</f>
        <v>0</v>
      </c>
      <c r="H216" s="105">
        <f>'Supply planning data'!J214</f>
        <v>0</v>
      </c>
      <c r="I216" s="320">
        <f>'Supply planning data'!K214</f>
        <v>0</v>
      </c>
      <c r="J216" s="177" t="str">
        <f>'Supply planning data'!L214</f>
        <v/>
      </c>
      <c r="K216" s="105">
        <f>'Supply planning data'!M214</f>
        <v>0</v>
      </c>
      <c r="L216" s="321">
        <f>'Supply planning data'!N214+'Supply planning data'!P214</f>
        <v>0</v>
      </c>
      <c r="M216" s="342">
        <f>'Supply planning data'!O214</f>
        <v>0</v>
      </c>
      <c r="N216" s="321">
        <f>'Supply planning data'!P214</f>
        <v>0</v>
      </c>
      <c r="O216" s="342">
        <f>'Supply planning data'!Q214</f>
        <v>0</v>
      </c>
      <c r="P216" s="111">
        <f>'Supply planning data'!R214</f>
        <v>0</v>
      </c>
      <c r="Q216" s="111">
        <f>'Supply planning data'!S214</f>
        <v>0</v>
      </c>
      <c r="R216" s="111">
        <f>'Supply planning data'!T214</f>
        <v>0</v>
      </c>
      <c r="S216" s="111">
        <f>'Supply planning data'!U214</f>
        <v>0</v>
      </c>
      <c r="T216" s="111">
        <f>'Supply planning data'!V214</f>
        <v>0</v>
      </c>
      <c r="U216" s="327" t="str">
        <f>'Supply planning data'!W214</f>
        <v/>
      </c>
      <c r="V216" s="111">
        <f>'Supply planning data'!X214</f>
        <v>0</v>
      </c>
      <c r="W216" s="321">
        <f>'Supply planning data'!Y214</f>
        <v>0</v>
      </c>
      <c r="X216" s="329">
        <f>'Supply planning data'!Z214</f>
        <v>0</v>
      </c>
      <c r="Y216" s="111">
        <f>'Supply planning data'!AA214</f>
        <v>0</v>
      </c>
      <c r="Z216" s="111">
        <f>'Supply planning data'!AB214</f>
        <v>0</v>
      </c>
      <c r="AA216" s="111">
        <f>'Supply planning data'!AC214</f>
        <v>0</v>
      </c>
      <c r="AB216" s="111">
        <f>'Supply planning data'!AD214</f>
        <v>0</v>
      </c>
      <c r="AC216" s="111">
        <f>'Supply planning data'!AE214</f>
        <v>0</v>
      </c>
      <c r="AD216" s="327" t="str">
        <f>'Supply planning data'!AF214</f>
        <v/>
      </c>
      <c r="AE216" s="111">
        <f>'Supply planning data'!AG214</f>
        <v>0</v>
      </c>
      <c r="AF216" s="321">
        <f>'Supply planning data'!AH214</f>
        <v>0</v>
      </c>
      <c r="AG216" s="349">
        <f>'Supply planning data'!AI214</f>
        <v>0</v>
      </c>
      <c r="AH216" s="111">
        <f>'Supply planning data'!AJ214</f>
        <v>0</v>
      </c>
      <c r="AI216" s="111">
        <f>'Supply planning data'!AK214</f>
        <v>0</v>
      </c>
      <c r="AJ216" s="111">
        <f>'Supply planning data'!AL214</f>
        <v>0</v>
      </c>
      <c r="AK216" s="111">
        <f>'Supply planning data'!AM214</f>
        <v>0</v>
      </c>
      <c r="AL216" s="111">
        <f>'Supply planning data'!AN214</f>
        <v>0</v>
      </c>
      <c r="AM216" s="327" t="str">
        <f>'Supply planning data'!AO214</f>
        <v/>
      </c>
    </row>
    <row r="217" spans="1:39" x14ac:dyDescent="0.25">
      <c r="A217" s="90" t="str">
        <f>'Supply planning data'!C215</f>
        <v>AstraZeneca</v>
      </c>
      <c r="B217" s="296">
        <f>'Supply planning data'!D215</f>
        <v>44621</v>
      </c>
      <c r="C217" s="92" t="str">
        <f>'Supply planning data'!E215</f>
        <v>Yes</v>
      </c>
      <c r="D217" s="92">
        <f>'Supply planning data'!F215</f>
        <v>0</v>
      </c>
      <c r="E217" s="316">
        <f>'Supply planning data'!G215</f>
        <v>25000</v>
      </c>
      <c r="F217" s="316">
        <f>'Supply planning data'!H215</f>
        <v>3600</v>
      </c>
      <c r="G217" s="316">
        <f>'Supply planning data'!I215</f>
        <v>0</v>
      </c>
      <c r="H217" s="92">
        <f>'Supply planning data'!J215</f>
        <v>28600</v>
      </c>
      <c r="I217" s="316">
        <f>'Supply planning data'!K215</f>
        <v>4250</v>
      </c>
      <c r="J217" s="174">
        <f>'Supply planning data'!L215</f>
        <v>0.14860139860139859</v>
      </c>
      <c r="K217" s="92">
        <f>'Supply planning data'!M215</f>
        <v>32850</v>
      </c>
      <c r="L217" s="316">
        <f>'Supply planning data'!N215+'Supply planning data'!P215</f>
        <v>0</v>
      </c>
      <c r="M217" s="343">
        <f>'Supply planning data'!O215</f>
        <v>0</v>
      </c>
      <c r="N217" s="316">
        <f>'Supply planning data'!P215</f>
        <v>0</v>
      </c>
      <c r="O217" s="343">
        <f>'Supply planning data'!Q215</f>
        <v>0</v>
      </c>
      <c r="P217" s="92">
        <f>'Supply planning data'!R215</f>
        <v>0</v>
      </c>
      <c r="Q217" s="92">
        <f>'Supply planning data'!S215</f>
        <v>0</v>
      </c>
      <c r="R217" s="92">
        <f>'Supply planning data'!T215</f>
        <v>0</v>
      </c>
      <c r="S217" s="92">
        <f>'Supply planning data'!U215</f>
        <v>0</v>
      </c>
      <c r="T217" s="92">
        <f>'Supply planning data'!V215</f>
        <v>0</v>
      </c>
      <c r="U217" s="324">
        <f>'Supply planning data'!W215</f>
        <v>0</v>
      </c>
      <c r="V217" s="92">
        <f>'Supply planning data'!X215</f>
        <v>747551</v>
      </c>
      <c r="W217" s="316">
        <f>'Supply planning data'!Y215</f>
        <v>0</v>
      </c>
      <c r="X217" s="328">
        <f>'Supply planning data'!Z215</f>
        <v>0</v>
      </c>
      <c r="Y217" s="92">
        <f>'Supply planning data'!AA215</f>
        <v>0</v>
      </c>
      <c r="Z217" s="92">
        <f>'Supply planning data'!AB215</f>
        <v>0</v>
      </c>
      <c r="AA217" s="92">
        <f>'Supply planning data'!AC215</f>
        <v>0</v>
      </c>
      <c r="AB217" s="92">
        <f>'Supply planning data'!AD215</f>
        <v>0</v>
      </c>
      <c r="AC217" s="92">
        <f>'Supply planning data'!AE215</f>
        <v>714701</v>
      </c>
      <c r="AD217" s="324">
        <f>'Supply planning data'!AF215</f>
        <v>18.999583517944174</v>
      </c>
      <c r="AE217" s="92">
        <f>'Supply planning data'!AG215</f>
        <v>0</v>
      </c>
      <c r="AF217" s="316">
        <f>'Supply planning data'!AH215</f>
        <v>0</v>
      </c>
      <c r="AG217" s="174">
        <f>'Supply planning data'!AI215</f>
        <v>0</v>
      </c>
      <c r="AH217" s="92">
        <f>'Supply planning data'!AJ215</f>
        <v>0</v>
      </c>
      <c r="AI217" s="92">
        <f>'Supply planning data'!AK215</f>
        <v>0</v>
      </c>
      <c r="AJ217" s="92">
        <f>'Supply planning data'!AL215</f>
        <v>0</v>
      </c>
      <c r="AK217" s="92">
        <f>'Supply planning data'!AM215</f>
        <v>0</v>
      </c>
      <c r="AL217" s="92">
        <f>'Supply planning data'!AN215</f>
        <v>0</v>
      </c>
      <c r="AM217" s="324">
        <f>'Supply planning data'!AO215</f>
        <v>0</v>
      </c>
    </row>
    <row r="218" spans="1:39" x14ac:dyDescent="0.25">
      <c r="A218" s="90" t="str">
        <f>'Supply planning data'!C216</f>
        <v>Jansen</v>
      </c>
      <c r="B218" s="296">
        <f>'Supply planning data'!D216</f>
        <v>44621</v>
      </c>
      <c r="C218" s="92" t="str">
        <f>'Supply planning data'!E216</f>
        <v>Yes</v>
      </c>
      <c r="D218" s="92">
        <f>'Supply planning data'!F216</f>
        <v>1640585</v>
      </c>
      <c r="E218" s="316">
        <f>'Supply planning data'!G216</f>
        <v>133978</v>
      </c>
      <c r="F218" s="317">
        <f>'Supply planning data'!H216</f>
        <v>8900</v>
      </c>
      <c r="G218" s="317">
        <f>'Supply planning data'!I216</f>
        <v>0</v>
      </c>
      <c r="H218" s="98">
        <f>'Supply planning data'!J216</f>
        <v>142878</v>
      </c>
      <c r="I218" s="317">
        <f>'Supply planning data'!K216</f>
        <v>560</v>
      </c>
      <c r="J218" s="175">
        <f>'Supply planning data'!L216</f>
        <v>3.9194277635465225E-3</v>
      </c>
      <c r="K218" s="98">
        <f>'Supply planning data'!M216</f>
        <v>143438</v>
      </c>
      <c r="L218" s="317">
        <f>'Supply planning data'!N216+'Supply planning data'!P216</f>
        <v>0</v>
      </c>
      <c r="M218" s="339">
        <f>'Supply planning data'!O216</f>
        <v>0</v>
      </c>
      <c r="N218" s="317">
        <f>'Supply planning data'!P216</f>
        <v>0</v>
      </c>
      <c r="O218" s="339">
        <f>'Supply planning data'!Q216</f>
        <v>0</v>
      </c>
      <c r="P218" s="98">
        <f>'Supply planning data'!R216</f>
        <v>561600</v>
      </c>
      <c r="Q218" s="98">
        <f>'Supply planning data'!S216</f>
        <v>0</v>
      </c>
      <c r="R218" s="98">
        <f>'Supply planning data'!T216</f>
        <v>0</v>
      </c>
      <c r="S218" s="98">
        <f>'Supply planning data'!U216</f>
        <v>0</v>
      </c>
      <c r="T218" s="98">
        <f>'Supply planning data'!V216</f>
        <v>2058747</v>
      </c>
      <c r="U218" s="325">
        <f>'Supply planning data'!W216</f>
        <v>11.724427848985544</v>
      </c>
      <c r="V218" s="98">
        <f>'Supply planning data'!X216</f>
        <v>1640585</v>
      </c>
      <c r="W218" s="317">
        <f>'Supply planning data'!Y216</f>
        <v>0</v>
      </c>
      <c r="X218" s="328">
        <f>'Supply planning data'!Z216</f>
        <v>0</v>
      </c>
      <c r="Y218" s="98">
        <f>'Supply planning data'!AA216</f>
        <v>0</v>
      </c>
      <c r="Z218" s="98">
        <f>'Supply planning data'!AB216</f>
        <v>0</v>
      </c>
      <c r="AA218" s="98">
        <f>'Supply planning data'!AC216</f>
        <v>0</v>
      </c>
      <c r="AB218" s="98">
        <f>'Supply planning data'!AD216</f>
        <v>0</v>
      </c>
      <c r="AC218" s="98">
        <f>'Supply planning data'!AE216</f>
        <v>2058747</v>
      </c>
      <c r="AD218" s="325">
        <f>'Supply planning data'!AF216</f>
        <v>27.641855906336435</v>
      </c>
      <c r="AE218" s="98">
        <f>'Supply planning data'!AG216</f>
        <v>1640585</v>
      </c>
      <c r="AF218" s="317">
        <f>'Supply planning data'!AH216</f>
        <v>0</v>
      </c>
      <c r="AG218" s="175">
        <f>'Supply planning data'!AI216</f>
        <v>0</v>
      </c>
      <c r="AH218" s="98">
        <f>'Supply planning data'!AJ216</f>
        <v>0</v>
      </c>
      <c r="AI218" s="98">
        <f>'Supply planning data'!AK216</f>
        <v>0</v>
      </c>
      <c r="AJ218" s="98">
        <f>'Supply planning data'!AL216</f>
        <v>0</v>
      </c>
      <c r="AK218" s="98">
        <f>'Supply planning data'!AM216</f>
        <v>0</v>
      </c>
      <c r="AL218" s="98">
        <f>'Supply planning data'!AN216</f>
        <v>2058747</v>
      </c>
      <c r="AM218" s="325">
        <f>'Supply planning data'!AO216</f>
        <v>43.058610688938778</v>
      </c>
    </row>
    <row r="219" spans="1:39" x14ac:dyDescent="0.25">
      <c r="A219" s="90" t="str">
        <f>'Supply planning data'!C217</f>
        <v>Moderna</v>
      </c>
      <c r="B219" s="296">
        <f>'Supply planning data'!D217</f>
        <v>44621</v>
      </c>
      <c r="C219" s="92" t="str">
        <f>'Supply planning data'!E217</f>
        <v>No</v>
      </c>
      <c r="D219" s="92">
        <f>'Supply planning data'!F217</f>
        <v>0</v>
      </c>
      <c r="E219" s="316">
        <f>'Supply planning data'!G217</f>
        <v>0</v>
      </c>
      <c r="F219" s="317">
        <f>'Supply planning data'!H217</f>
        <v>0</v>
      </c>
      <c r="G219" s="317">
        <f>'Supply planning data'!I217</f>
        <v>0</v>
      </c>
      <c r="H219" s="98">
        <f>'Supply planning data'!J217</f>
        <v>0</v>
      </c>
      <c r="I219" s="317">
        <f>'Supply planning data'!K217</f>
        <v>0</v>
      </c>
      <c r="J219" s="175" t="str">
        <f>'Supply planning data'!L217</f>
        <v/>
      </c>
      <c r="K219" s="98">
        <f>'Supply planning data'!M217</f>
        <v>0</v>
      </c>
      <c r="L219" s="317">
        <f>'Supply planning data'!N217+'Supply planning data'!P217</f>
        <v>0</v>
      </c>
      <c r="M219" s="339">
        <f>'Supply planning data'!O217</f>
        <v>0</v>
      </c>
      <c r="N219" s="317">
        <f>'Supply planning data'!P217</f>
        <v>0</v>
      </c>
      <c r="O219" s="339">
        <f>'Supply planning data'!Q217</f>
        <v>0</v>
      </c>
      <c r="P219" s="98">
        <f>'Supply planning data'!R217</f>
        <v>0</v>
      </c>
      <c r="Q219" s="98">
        <f>'Supply planning data'!S217</f>
        <v>0</v>
      </c>
      <c r="R219" s="98">
        <f>'Supply planning data'!T217</f>
        <v>0</v>
      </c>
      <c r="S219" s="98">
        <f>'Supply planning data'!U217</f>
        <v>0</v>
      </c>
      <c r="T219" s="98">
        <f>'Supply planning data'!V217</f>
        <v>0</v>
      </c>
      <c r="U219" s="325" t="str">
        <f>'Supply planning data'!W217</f>
        <v/>
      </c>
      <c r="V219" s="98">
        <f>'Supply planning data'!X217</f>
        <v>0</v>
      </c>
      <c r="W219" s="317">
        <f>'Supply planning data'!Y217</f>
        <v>0</v>
      </c>
      <c r="X219" s="328">
        <f>'Supply planning data'!Z217</f>
        <v>0</v>
      </c>
      <c r="Y219" s="98">
        <f>'Supply planning data'!AA217</f>
        <v>0</v>
      </c>
      <c r="Z219" s="98">
        <f>'Supply planning data'!AB217</f>
        <v>0</v>
      </c>
      <c r="AA219" s="98">
        <f>'Supply planning data'!AC217</f>
        <v>0</v>
      </c>
      <c r="AB219" s="98">
        <f>'Supply planning data'!AD217</f>
        <v>0</v>
      </c>
      <c r="AC219" s="98">
        <f>'Supply planning data'!AE217</f>
        <v>0</v>
      </c>
      <c r="AD219" s="325" t="str">
        <f>'Supply planning data'!AF217</f>
        <v/>
      </c>
      <c r="AE219" s="98">
        <f>'Supply planning data'!AG217</f>
        <v>0</v>
      </c>
      <c r="AF219" s="317">
        <f>'Supply planning data'!AH217</f>
        <v>0</v>
      </c>
      <c r="AG219" s="175">
        <f>'Supply planning data'!AI217</f>
        <v>0</v>
      </c>
      <c r="AH219" s="98">
        <f>'Supply planning data'!AJ217</f>
        <v>0</v>
      </c>
      <c r="AI219" s="98">
        <f>'Supply planning data'!AK217</f>
        <v>0</v>
      </c>
      <c r="AJ219" s="98">
        <f>'Supply planning data'!AL217</f>
        <v>0</v>
      </c>
      <c r="AK219" s="98">
        <f>'Supply planning data'!AM217</f>
        <v>0</v>
      </c>
      <c r="AL219" s="98">
        <f>'Supply planning data'!AN217</f>
        <v>0</v>
      </c>
      <c r="AM219" s="325" t="str">
        <f>'Supply planning data'!AO217</f>
        <v/>
      </c>
    </row>
    <row r="220" spans="1:39" x14ac:dyDescent="0.25">
      <c r="A220" s="90" t="str">
        <f>'Supply planning data'!C218</f>
        <v>Pfizer</v>
      </c>
      <c r="B220" s="296">
        <f>'Supply planning data'!D218</f>
        <v>44621</v>
      </c>
      <c r="C220" s="92" t="str">
        <f>'Supply planning data'!E218</f>
        <v>Yes</v>
      </c>
      <c r="D220" s="92">
        <f>'Supply planning data'!F218</f>
        <v>137979</v>
      </c>
      <c r="E220" s="316">
        <f>'Supply planning data'!G218</f>
        <v>14983</v>
      </c>
      <c r="F220" s="317">
        <f>'Supply planning data'!H218</f>
        <v>4815</v>
      </c>
      <c r="G220" s="317">
        <f>'Supply planning data'!I218</f>
        <v>0</v>
      </c>
      <c r="H220" s="98">
        <f>'Supply planning data'!J218</f>
        <v>19798</v>
      </c>
      <c r="I220" s="317">
        <f>'Supply planning data'!K218</f>
        <v>7643</v>
      </c>
      <c r="J220" s="175">
        <f>'Supply planning data'!L218</f>
        <v>0.38604909586826952</v>
      </c>
      <c r="K220" s="98">
        <f>'Supply planning data'!M218</f>
        <v>27441</v>
      </c>
      <c r="L220" s="317">
        <f>'Supply planning data'!N218+'Supply planning data'!P218</f>
        <v>0</v>
      </c>
      <c r="M220" s="339">
        <f>'Supply planning data'!O218</f>
        <v>0</v>
      </c>
      <c r="N220" s="317">
        <f>'Supply planning data'!P218</f>
        <v>0</v>
      </c>
      <c r="O220" s="339">
        <f>'Supply planning data'!Q218</f>
        <v>0</v>
      </c>
      <c r="P220" s="98">
        <f>'Supply planning data'!R218</f>
        <v>0</v>
      </c>
      <c r="Q220" s="98">
        <f>'Supply planning data'!S218</f>
        <v>0</v>
      </c>
      <c r="R220" s="98">
        <f>'Supply planning data'!T218</f>
        <v>0</v>
      </c>
      <c r="S220" s="98">
        <f>'Supply planning data'!U218</f>
        <v>0</v>
      </c>
      <c r="T220" s="98">
        <f>'Supply planning data'!V218</f>
        <v>110538</v>
      </c>
      <c r="U220" s="325">
        <f>'Supply planning data'!W218</f>
        <v>1.1497129306040939</v>
      </c>
      <c r="V220" s="98">
        <f>'Supply planning data'!X218</f>
        <v>137979</v>
      </c>
      <c r="W220" s="317">
        <f>'Supply planning data'!Y218</f>
        <v>0</v>
      </c>
      <c r="X220" s="328">
        <f>'Supply planning data'!Z218</f>
        <v>0</v>
      </c>
      <c r="Y220" s="98">
        <f>'Supply planning data'!AA218</f>
        <v>0</v>
      </c>
      <c r="Z220" s="98">
        <f>'Supply planning data'!AB218</f>
        <v>0</v>
      </c>
      <c r="AA220" s="98">
        <f>'Supply planning data'!AC218</f>
        <v>0</v>
      </c>
      <c r="AB220" s="98">
        <f>'Supply planning data'!AD218</f>
        <v>0</v>
      </c>
      <c r="AC220" s="98">
        <f>'Supply planning data'!AE218</f>
        <v>110538</v>
      </c>
      <c r="AD220" s="325">
        <f>'Supply planning data'!AF218</f>
        <v>3.0864753678763228</v>
      </c>
      <c r="AE220" s="98">
        <f>'Supply planning data'!AG218</f>
        <v>137979</v>
      </c>
      <c r="AF220" s="317">
        <f>'Supply planning data'!AH218</f>
        <v>0</v>
      </c>
      <c r="AG220" s="175">
        <f>'Supply planning data'!AI218</f>
        <v>0</v>
      </c>
      <c r="AH220" s="98">
        <f>'Supply planning data'!AJ218</f>
        <v>0</v>
      </c>
      <c r="AI220" s="98">
        <f>'Supply planning data'!AK218</f>
        <v>0</v>
      </c>
      <c r="AJ220" s="98">
        <f>'Supply planning data'!AL218</f>
        <v>0</v>
      </c>
      <c r="AK220" s="98">
        <f>'Supply planning data'!AM218</f>
        <v>0</v>
      </c>
      <c r="AL220" s="98">
        <f>'Supply planning data'!AN218</f>
        <v>110538</v>
      </c>
      <c r="AM220" s="325">
        <f>'Supply planning data'!AO218</f>
        <v>12.08461790751066</v>
      </c>
    </row>
    <row r="221" spans="1:39" x14ac:dyDescent="0.25">
      <c r="A221" s="90" t="str">
        <f>'Supply planning data'!C219</f>
        <v>Sinovac</v>
      </c>
      <c r="B221" s="296">
        <f>'Supply planning data'!D219</f>
        <v>44621</v>
      </c>
      <c r="C221" s="92" t="str">
        <f>'Supply planning data'!E219</f>
        <v>No</v>
      </c>
      <c r="D221" s="92">
        <f>'Supply planning data'!F219</f>
        <v>0</v>
      </c>
      <c r="E221" s="316">
        <f>'Supply planning data'!G219</f>
        <v>0</v>
      </c>
      <c r="F221" s="317">
        <f>'Supply planning data'!H219</f>
        <v>0</v>
      </c>
      <c r="G221" s="317">
        <f>'Supply planning data'!I219</f>
        <v>0</v>
      </c>
      <c r="H221" s="98">
        <f>'Supply planning data'!J219</f>
        <v>0</v>
      </c>
      <c r="I221" s="317">
        <f>'Supply planning data'!K219</f>
        <v>0</v>
      </c>
      <c r="J221" s="175" t="str">
        <f>'Supply planning data'!L219</f>
        <v/>
      </c>
      <c r="K221" s="98">
        <f>'Supply planning data'!M219</f>
        <v>0</v>
      </c>
      <c r="L221" s="317">
        <f>'Supply planning data'!N219+'Supply planning data'!P219</f>
        <v>0</v>
      </c>
      <c r="M221" s="339">
        <f>'Supply planning data'!O219</f>
        <v>0</v>
      </c>
      <c r="N221" s="317">
        <f>'Supply planning data'!P219</f>
        <v>0</v>
      </c>
      <c r="O221" s="339">
        <f>'Supply planning data'!Q219</f>
        <v>0</v>
      </c>
      <c r="P221" s="98">
        <f>'Supply planning data'!R219</f>
        <v>0</v>
      </c>
      <c r="Q221" s="98">
        <f>'Supply planning data'!S219</f>
        <v>0</v>
      </c>
      <c r="R221" s="98">
        <f>'Supply planning data'!T219</f>
        <v>0</v>
      </c>
      <c r="S221" s="98">
        <f>'Supply planning data'!U219</f>
        <v>0</v>
      </c>
      <c r="T221" s="98">
        <f>'Supply planning data'!V219</f>
        <v>0</v>
      </c>
      <c r="U221" s="325" t="str">
        <f>'Supply planning data'!W219</f>
        <v/>
      </c>
      <c r="V221" s="98">
        <f>'Supply planning data'!X219</f>
        <v>0</v>
      </c>
      <c r="W221" s="317">
        <f>'Supply planning data'!Y219</f>
        <v>0</v>
      </c>
      <c r="X221" s="328">
        <f>'Supply planning data'!Z219</f>
        <v>0</v>
      </c>
      <c r="Y221" s="98">
        <f>'Supply planning data'!AA219</f>
        <v>0</v>
      </c>
      <c r="Z221" s="98">
        <f>'Supply planning data'!AB219</f>
        <v>0</v>
      </c>
      <c r="AA221" s="98">
        <f>'Supply planning data'!AC219</f>
        <v>0</v>
      </c>
      <c r="AB221" s="98">
        <f>'Supply planning data'!AD219</f>
        <v>0</v>
      </c>
      <c r="AC221" s="98">
        <f>'Supply planning data'!AE219</f>
        <v>0</v>
      </c>
      <c r="AD221" s="325" t="str">
        <f>'Supply planning data'!AF219</f>
        <v/>
      </c>
      <c r="AE221" s="98">
        <f>'Supply planning data'!AG219</f>
        <v>0</v>
      </c>
      <c r="AF221" s="317">
        <f>'Supply planning data'!AH219</f>
        <v>0</v>
      </c>
      <c r="AG221" s="175">
        <f>'Supply planning data'!AI219</f>
        <v>0</v>
      </c>
      <c r="AH221" s="98">
        <f>'Supply planning data'!AJ219</f>
        <v>0</v>
      </c>
      <c r="AI221" s="98">
        <f>'Supply planning data'!AK219</f>
        <v>0</v>
      </c>
      <c r="AJ221" s="98">
        <f>'Supply planning data'!AL219</f>
        <v>0</v>
      </c>
      <c r="AK221" s="98">
        <f>'Supply planning data'!AM219</f>
        <v>0</v>
      </c>
      <c r="AL221" s="98">
        <f>'Supply planning data'!AN219</f>
        <v>0</v>
      </c>
      <c r="AM221" s="325" t="str">
        <f>'Supply planning data'!AO219</f>
        <v/>
      </c>
    </row>
    <row r="222" spans="1:39" hidden="1" x14ac:dyDescent="0.25">
      <c r="A222" s="90" t="str">
        <f>'Supply planning data'!C220</f>
        <v/>
      </c>
      <c r="B222" s="296">
        <f>'Supply planning data'!D220</f>
        <v>44621</v>
      </c>
      <c r="C222" s="92" t="str">
        <f>'Supply planning data'!E220</f>
        <v>No</v>
      </c>
      <c r="D222" s="92">
        <f>'Supply planning data'!F220</f>
        <v>0</v>
      </c>
      <c r="E222" s="316">
        <f>'Supply planning data'!G220</f>
        <v>0</v>
      </c>
      <c r="F222" s="317">
        <f>'Supply planning data'!H220</f>
        <v>0</v>
      </c>
      <c r="G222" s="317">
        <f>'Supply planning data'!I220</f>
        <v>0</v>
      </c>
      <c r="H222" s="98">
        <f>'Supply planning data'!J220</f>
        <v>0</v>
      </c>
      <c r="I222" s="317">
        <f>'Supply planning data'!K220</f>
        <v>0</v>
      </c>
      <c r="J222" s="175" t="str">
        <f>'Supply planning data'!L220</f>
        <v/>
      </c>
      <c r="K222" s="98">
        <f>'Supply planning data'!M220</f>
        <v>0</v>
      </c>
      <c r="L222" s="317">
        <f>'Supply planning data'!N220+'Supply planning data'!P220</f>
        <v>0</v>
      </c>
      <c r="M222" s="339">
        <f>'Supply planning data'!O220</f>
        <v>0</v>
      </c>
      <c r="N222" s="317">
        <f>'Supply planning data'!P220</f>
        <v>0</v>
      </c>
      <c r="O222" s="339">
        <f>'Supply planning data'!Q220</f>
        <v>0</v>
      </c>
      <c r="P222" s="98">
        <f>'Supply planning data'!R220</f>
        <v>0</v>
      </c>
      <c r="Q222" s="98">
        <f>'Supply planning data'!S220</f>
        <v>0</v>
      </c>
      <c r="R222" s="98">
        <f>'Supply planning data'!T220</f>
        <v>0</v>
      </c>
      <c r="S222" s="98">
        <f>'Supply planning data'!U220</f>
        <v>0</v>
      </c>
      <c r="T222" s="98">
        <f>'Supply planning data'!V220</f>
        <v>0</v>
      </c>
      <c r="U222" s="325" t="str">
        <f>'Supply planning data'!W220</f>
        <v/>
      </c>
      <c r="V222" s="98">
        <f>'Supply planning data'!X220</f>
        <v>0</v>
      </c>
      <c r="W222" s="317">
        <f>'Supply planning data'!Y220</f>
        <v>0</v>
      </c>
      <c r="X222" s="328">
        <f>'Supply planning data'!Z220</f>
        <v>0</v>
      </c>
      <c r="Y222" s="98">
        <f>'Supply planning data'!AA220</f>
        <v>0</v>
      </c>
      <c r="Z222" s="98">
        <f>'Supply planning data'!AB220</f>
        <v>0</v>
      </c>
      <c r="AA222" s="98">
        <f>'Supply planning data'!AC220</f>
        <v>0</v>
      </c>
      <c r="AB222" s="98">
        <f>'Supply planning data'!AD220</f>
        <v>0</v>
      </c>
      <c r="AC222" s="98">
        <f>'Supply planning data'!AE220</f>
        <v>0</v>
      </c>
      <c r="AD222" s="325" t="str">
        <f>'Supply planning data'!AF220</f>
        <v/>
      </c>
      <c r="AE222" s="98">
        <f>'Supply planning data'!AG220</f>
        <v>0</v>
      </c>
      <c r="AF222" s="317">
        <f>'Supply planning data'!AH220</f>
        <v>0</v>
      </c>
      <c r="AG222" s="175">
        <f>'Supply planning data'!AI220</f>
        <v>0</v>
      </c>
      <c r="AH222" s="98">
        <f>'Supply planning data'!AJ220</f>
        <v>0</v>
      </c>
      <c r="AI222" s="98">
        <f>'Supply planning data'!AK220</f>
        <v>0</v>
      </c>
      <c r="AJ222" s="98">
        <f>'Supply planning data'!AL220</f>
        <v>0</v>
      </c>
      <c r="AK222" s="98">
        <f>'Supply planning data'!AM220</f>
        <v>0</v>
      </c>
      <c r="AL222" s="98">
        <f>'Supply planning data'!AN220</f>
        <v>0</v>
      </c>
      <c r="AM222" s="325" t="str">
        <f>'Supply planning data'!AO220</f>
        <v/>
      </c>
    </row>
    <row r="223" spans="1:39" hidden="1" x14ac:dyDescent="0.25">
      <c r="A223" s="90" t="str">
        <f>'Supply planning data'!C221</f>
        <v/>
      </c>
      <c r="B223" s="296">
        <f>'Supply planning data'!D221</f>
        <v>44621</v>
      </c>
      <c r="C223" s="92" t="str">
        <f>'Supply planning data'!E221</f>
        <v>No</v>
      </c>
      <c r="D223" s="92">
        <f>'Supply planning data'!F221</f>
        <v>0</v>
      </c>
      <c r="E223" s="316">
        <f>'Supply planning data'!G221</f>
        <v>0</v>
      </c>
      <c r="F223" s="317">
        <f>'Supply planning data'!H221</f>
        <v>0</v>
      </c>
      <c r="G223" s="317">
        <f>'Supply planning data'!I221</f>
        <v>0</v>
      </c>
      <c r="H223" s="98">
        <f>'Supply planning data'!J221</f>
        <v>0</v>
      </c>
      <c r="I223" s="317">
        <f>'Supply planning data'!K221</f>
        <v>0</v>
      </c>
      <c r="J223" s="175" t="str">
        <f>'Supply planning data'!L221</f>
        <v/>
      </c>
      <c r="K223" s="98">
        <f>'Supply planning data'!M221</f>
        <v>0</v>
      </c>
      <c r="L223" s="317">
        <f>'Supply planning data'!N221+'Supply planning data'!P221</f>
        <v>0</v>
      </c>
      <c r="M223" s="339">
        <f>'Supply planning data'!O221</f>
        <v>0</v>
      </c>
      <c r="N223" s="317">
        <f>'Supply planning data'!P221</f>
        <v>0</v>
      </c>
      <c r="O223" s="339">
        <f>'Supply planning data'!Q221</f>
        <v>0</v>
      </c>
      <c r="P223" s="98">
        <f>'Supply planning data'!R221</f>
        <v>0</v>
      </c>
      <c r="Q223" s="98">
        <f>'Supply planning data'!S221</f>
        <v>0</v>
      </c>
      <c r="R223" s="98">
        <f>'Supply planning data'!T221</f>
        <v>0</v>
      </c>
      <c r="S223" s="98">
        <f>'Supply planning data'!U221</f>
        <v>0</v>
      </c>
      <c r="T223" s="98">
        <f>'Supply planning data'!V221</f>
        <v>0</v>
      </c>
      <c r="U223" s="325" t="str">
        <f>'Supply planning data'!W221</f>
        <v/>
      </c>
      <c r="V223" s="98">
        <f>'Supply planning data'!X221</f>
        <v>0</v>
      </c>
      <c r="W223" s="317">
        <f>'Supply planning data'!Y221</f>
        <v>0</v>
      </c>
      <c r="X223" s="328">
        <f>'Supply planning data'!Z221</f>
        <v>0</v>
      </c>
      <c r="Y223" s="98">
        <f>'Supply planning data'!AA221</f>
        <v>0</v>
      </c>
      <c r="Z223" s="98">
        <f>'Supply planning data'!AB221</f>
        <v>0</v>
      </c>
      <c r="AA223" s="98">
        <f>'Supply planning data'!AC221</f>
        <v>0</v>
      </c>
      <c r="AB223" s="98">
        <f>'Supply planning data'!AD221</f>
        <v>0</v>
      </c>
      <c r="AC223" s="98">
        <f>'Supply planning data'!AE221</f>
        <v>0</v>
      </c>
      <c r="AD223" s="325" t="str">
        <f>'Supply planning data'!AF221</f>
        <v/>
      </c>
      <c r="AE223" s="98">
        <f>'Supply planning data'!AG221</f>
        <v>0</v>
      </c>
      <c r="AF223" s="317">
        <f>'Supply planning data'!AH221</f>
        <v>0</v>
      </c>
      <c r="AG223" s="175">
        <f>'Supply planning data'!AI221</f>
        <v>0</v>
      </c>
      <c r="AH223" s="98">
        <f>'Supply planning data'!AJ221</f>
        <v>0</v>
      </c>
      <c r="AI223" s="98">
        <f>'Supply planning data'!AK221</f>
        <v>0</v>
      </c>
      <c r="AJ223" s="98">
        <f>'Supply planning data'!AL221</f>
        <v>0</v>
      </c>
      <c r="AK223" s="98">
        <f>'Supply planning data'!AM221</f>
        <v>0</v>
      </c>
      <c r="AL223" s="98">
        <f>'Supply planning data'!AN221</f>
        <v>0</v>
      </c>
      <c r="AM223" s="325" t="str">
        <f>'Supply planning data'!AO221</f>
        <v/>
      </c>
    </row>
    <row r="224" spans="1:39" hidden="1" x14ac:dyDescent="0.25">
      <c r="A224" s="90" t="str">
        <f>'Supply planning data'!C222</f>
        <v/>
      </c>
      <c r="B224" s="296">
        <f>'Supply planning data'!D222</f>
        <v>44621</v>
      </c>
      <c r="C224" s="92" t="str">
        <f>'Supply planning data'!E222</f>
        <v>No</v>
      </c>
      <c r="D224" s="92">
        <f>'Supply planning data'!F222</f>
        <v>0</v>
      </c>
      <c r="E224" s="316">
        <f>'Supply planning data'!G222</f>
        <v>0</v>
      </c>
      <c r="F224" s="317">
        <f>'Supply planning data'!H222</f>
        <v>0</v>
      </c>
      <c r="G224" s="317">
        <f>'Supply planning data'!I222</f>
        <v>0</v>
      </c>
      <c r="H224" s="98">
        <f>'Supply planning data'!J222</f>
        <v>0</v>
      </c>
      <c r="I224" s="317">
        <f>'Supply planning data'!K222</f>
        <v>0</v>
      </c>
      <c r="J224" s="175" t="str">
        <f>'Supply planning data'!L222</f>
        <v/>
      </c>
      <c r="K224" s="98">
        <f>'Supply planning data'!M222</f>
        <v>0</v>
      </c>
      <c r="L224" s="317">
        <f>'Supply planning data'!N222+'Supply planning data'!P222</f>
        <v>0</v>
      </c>
      <c r="M224" s="339">
        <f>'Supply planning data'!O222</f>
        <v>0</v>
      </c>
      <c r="N224" s="317">
        <f>'Supply planning data'!P222</f>
        <v>0</v>
      </c>
      <c r="O224" s="339">
        <f>'Supply planning data'!Q222</f>
        <v>0</v>
      </c>
      <c r="P224" s="98">
        <f>'Supply planning data'!R222</f>
        <v>0</v>
      </c>
      <c r="Q224" s="98">
        <f>'Supply planning data'!S222</f>
        <v>0</v>
      </c>
      <c r="R224" s="98">
        <f>'Supply planning data'!T222</f>
        <v>0</v>
      </c>
      <c r="S224" s="98">
        <f>'Supply planning data'!U222</f>
        <v>0</v>
      </c>
      <c r="T224" s="98">
        <f>'Supply planning data'!V222</f>
        <v>0</v>
      </c>
      <c r="U224" s="325" t="str">
        <f>'Supply planning data'!W222</f>
        <v/>
      </c>
      <c r="V224" s="98">
        <f>'Supply planning data'!X222</f>
        <v>0</v>
      </c>
      <c r="W224" s="317">
        <f>'Supply planning data'!Y222</f>
        <v>0</v>
      </c>
      <c r="X224" s="328">
        <f>'Supply planning data'!Z222</f>
        <v>0</v>
      </c>
      <c r="Y224" s="98">
        <f>'Supply planning data'!AA222</f>
        <v>0</v>
      </c>
      <c r="Z224" s="98">
        <f>'Supply planning data'!AB222</f>
        <v>0</v>
      </c>
      <c r="AA224" s="98">
        <f>'Supply planning data'!AC222</f>
        <v>0</v>
      </c>
      <c r="AB224" s="98">
        <f>'Supply planning data'!AD222</f>
        <v>0</v>
      </c>
      <c r="AC224" s="98">
        <f>'Supply planning data'!AE222</f>
        <v>0</v>
      </c>
      <c r="AD224" s="325" t="str">
        <f>'Supply planning data'!AF222</f>
        <v/>
      </c>
      <c r="AE224" s="98">
        <f>'Supply planning data'!AG222</f>
        <v>0</v>
      </c>
      <c r="AF224" s="317">
        <f>'Supply planning data'!AH222</f>
        <v>0</v>
      </c>
      <c r="AG224" s="175">
        <f>'Supply planning data'!AI222</f>
        <v>0</v>
      </c>
      <c r="AH224" s="98">
        <f>'Supply planning data'!AJ222</f>
        <v>0</v>
      </c>
      <c r="AI224" s="98">
        <f>'Supply planning data'!AK222</f>
        <v>0</v>
      </c>
      <c r="AJ224" s="98">
        <f>'Supply planning data'!AL222</f>
        <v>0</v>
      </c>
      <c r="AK224" s="98">
        <f>'Supply planning data'!AM222</f>
        <v>0</v>
      </c>
      <c r="AL224" s="98">
        <f>'Supply planning data'!AN222</f>
        <v>0</v>
      </c>
      <c r="AM224" s="325" t="str">
        <f>'Supply planning data'!AO222</f>
        <v/>
      </c>
    </row>
    <row r="225" spans="1:39" hidden="1" x14ac:dyDescent="0.25">
      <c r="A225" s="90" t="str">
        <f>'Supply planning data'!C223</f>
        <v/>
      </c>
      <c r="B225" s="296">
        <f>'Supply planning data'!D223</f>
        <v>44621</v>
      </c>
      <c r="C225" s="92" t="str">
        <f>'Supply planning data'!E223</f>
        <v>No</v>
      </c>
      <c r="D225" s="92">
        <f>'Supply planning data'!F223</f>
        <v>0</v>
      </c>
      <c r="E225" s="316">
        <f>'Supply planning data'!G223</f>
        <v>0</v>
      </c>
      <c r="F225" s="317">
        <f>'Supply planning data'!H223</f>
        <v>0</v>
      </c>
      <c r="G225" s="317">
        <f>'Supply planning data'!I223</f>
        <v>0</v>
      </c>
      <c r="H225" s="98">
        <f>'Supply planning data'!J223</f>
        <v>0</v>
      </c>
      <c r="I225" s="317">
        <f>'Supply planning data'!K223</f>
        <v>0</v>
      </c>
      <c r="J225" s="175" t="str">
        <f>'Supply planning data'!L223</f>
        <v/>
      </c>
      <c r="K225" s="98">
        <f>'Supply planning data'!M223</f>
        <v>0</v>
      </c>
      <c r="L225" s="317">
        <f>'Supply planning data'!N223+'Supply planning data'!P223</f>
        <v>0</v>
      </c>
      <c r="M225" s="339">
        <f>'Supply planning data'!O223</f>
        <v>0</v>
      </c>
      <c r="N225" s="317">
        <f>'Supply planning data'!P223</f>
        <v>0</v>
      </c>
      <c r="O225" s="339">
        <f>'Supply planning data'!Q223</f>
        <v>0</v>
      </c>
      <c r="P225" s="98">
        <f>'Supply planning data'!R223</f>
        <v>0</v>
      </c>
      <c r="Q225" s="98">
        <f>'Supply planning data'!S223</f>
        <v>0</v>
      </c>
      <c r="R225" s="98">
        <f>'Supply planning data'!T223</f>
        <v>0</v>
      </c>
      <c r="S225" s="98">
        <f>'Supply planning data'!U223</f>
        <v>0</v>
      </c>
      <c r="T225" s="98">
        <f>'Supply planning data'!V223</f>
        <v>0</v>
      </c>
      <c r="U225" s="325" t="str">
        <f>'Supply planning data'!W223</f>
        <v/>
      </c>
      <c r="V225" s="98">
        <f>'Supply planning data'!X223</f>
        <v>0</v>
      </c>
      <c r="W225" s="317">
        <f>'Supply planning data'!Y223</f>
        <v>0</v>
      </c>
      <c r="X225" s="328">
        <f>'Supply planning data'!Z223</f>
        <v>0</v>
      </c>
      <c r="Y225" s="98">
        <f>'Supply planning data'!AA223</f>
        <v>0</v>
      </c>
      <c r="Z225" s="98">
        <f>'Supply planning data'!AB223</f>
        <v>0</v>
      </c>
      <c r="AA225" s="98">
        <f>'Supply planning data'!AC223</f>
        <v>0</v>
      </c>
      <c r="AB225" s="98">
        <f>'Supply planning data'!AD223</f>
        <v>0</v>
      </c>
      <c r="AC225" s="98">
        <f>'Supply planning data'!AE223</f>
        <v>0</v>
      </c>
      <c r="AD225" s="325" t="str">
        <f>'Supply planning data'!AF223</f>
        <v/>
      </c>
      <c r="AE225" s="98">
        <f>'Supply planning data'!AG223</f>
        <v>0</v>
      </c>
      <c r="AF225" s="317">
        <f>'Supply planning data'!AH223</f>
        <v>0</v>
      </c>
      <c r="AG225" s="175">
        <f>'Supply planning data'!AI223</f>
        <v>0</v>
      </c>
      <c r="AH225" s="98">
        <f>'Supply planning data'!AJ223</f>
        <v>0</v>
      </c>
      <c r="AI225" s="98">
        <f>'Supply planning data'!AK223</f>
        <v>0</v>
      </c>
      <c r="AJ225" s="98">
        <f>'Supply planning data'!AL223</f>
        <v>0</v>
      </c>
      <c r="AK225" s="98">
        <f>'Supply planning data'!AM223</f>
        <v>0</v>
      </c>
      <c r="AL225" s="98">
        <f>'Supply planning data'!AN223</f>
        <v>0</v>
      </c>
      <c r="AM225" s="325" t="str">
        <f>'Supply planning data'!AO223</f>
        <v/>
      </c>
    </row>
    <row r="226" spans="1:39" hidden="1" x14ac:dyDescent="0.25">
      <c r="A226" s="90" t="str">
        <f>'Supply planning data'!C224</f>
        <v/>
      </c>
      <c r="B226" s="296">
        <f>'Supply planning data'!D224</f>
        <v>44621</v>
      </c>
      <c r="C226" s="92" t="str">
        <f>'Supply planning data'!E224</f>
        <v>No</v>
      </c>
      <c r="D226" s="92">
        <f>'Supply planning data'!F224</f>
        <v>0</v>
      </c>
      <c r="E226" s="316">
        <f>'Supply planning data'!G224</f>
        <v>0</v>
      </c>
      <c r="F226" s="317">
        <f>'Supply planning data'!H224</f>
        <v>0</v>
      </c>
      <c r="G226" s="317">
        <f>'Supply planning data'!I224</f>
        <v>0</v>
      </c>
      <c r="H226" s="98">
        <f>'Supply planning data'!J224</f>
        <v>0</v>
      </c>
      <c r="I226" s="317">
        <f>'Supply planning data'!K224</f>
        <v>0</v>
      </c>
      <c r="J226" s="175" t="str">
        <f>'Supply planning data'!L224</f>
        <v/>
      </c>
      <c r="K226" s="98">
        <f>'Supply planning data'!M224</f>
        <v>0</v>
      </c>
      <c r="L226" s="317">
        <f>'Supply planning data'!N224+'Supply planning data'!P224</f>
        <v>0</v>
      </c>
      <c r="M226" s="339">
        <f>'Supply planning data'!O224</f>
        <v>0</v>
      </c>
      <c r="N226" s="317">
        <f>'Supply planning data'!P224</f>
        <v>0</v>
      </c>
      <c r="O226" s="339">
        <f>'Supply planning data'!Q224</f>
        <v>0</v>
      </c>
      <c r="P226" s="98">
        <f>'Supply planning data'!R224</f>
        <v>0</v>
      </c>
      <c r="Q226" s="98">
        <f>'Supply planning data'!S224</f>
        <v>0</v>
      </c>
      <c r="R226" s="98">
        <f>'Supply planning data'!T224</f>
        <v>0</v>
      </c>
      <c r="S226" s="98">
        <f>'Supply planning data'!U224</f>
        <v>0</v>
      </c>
      <c r="T226" s="98">
        <f>'Supply planning data'!V224</f>
        <v>0</v>
      </c>
      <c r="U226" s="325" t="str">
        <f>'Supply planning data'!W224</f>
        <v/>
      </c>
      <c r="V226" s="98">
        <f>'Supply planning data'!X224</f>
        <v>0</v>
      </c>
      <c r="W226" s="317">
        <f>'Supply planning data'!Y224</f>
        <v>0</v>
      </c>
      <c r="X226" s="328">
        <f>'Supply planning data'!Z224</f>
        <v>0</v>
      </c>
      <c r="Y226" s="98">
        <f>'Supply planning data'!AA224</f>
        <v>0</v>
      </c>
      <c r="Z226" s="98">
        <f>'Supply planning data'!AB224</f>
        <v>0</v>
      </c>
      <c r="AA226" s="98">
        <f>'Supply planning data'!AC224</f>
        <v>0</v>
      </c>
      <c r="AB226" s="98">
        <f>'Supply planning data'!AD224</f>
        <v>0</v>
      </c>
      <c r="AC226" s="98">
        <f>'Supply planning data'!AE224</f>
        <v>0</v>
      </c>
      <c r="AD226" s="325" t="str">
        <f>'Supply planning data'!AF224</f>
        <v/>
      </c>
      <c r="AE226" s="98">
        <f>'Supply planning data'!AG224</f>
        <v>0</v>
      </c>
      <c r="AF226" s="317">
        <f>'Supply planning data'!AH224</f>
        <v>0</v>
      </c>
      <c r="AG226" s="175">
        <f>'Supply planning data'!AI224</f>
        <v>0</v>
      </c>
      <c r="AH226" s="98">
        <f>'Supply planning data'!AJ224</f>
        <v>0</v>
      </c>
      <c r="AI226" s="98">
        <f>'Supply planning data'!AK224</f>
        <v>0</v>
      </c>
      <c r="AJ226" s="98">
        <f>'Supply planning data'!AL224</f>
        <v>0</v>
      </c>
      <c r="AK226" s="98">
        <f>'Supply planning data'!AM224</f>
        <v>0</v>
      </c>
      <c r="AL226" s="98">
        <f>'Supply planning data'!AN224</f>
        <v>0</v>
      </c>
      <c r="AM226" s="325" t="str">
        <f>'Supply planning data'!AO224</f>
        <v/>
      </c>
    </row>
    <row r="227" spans="1:39" hidden="1" x14ac:dyDescent="0.25">
      <c r="A227" s="90" t="str">
        <f>'Supply planning data'!C225</f>
        <v/>
      </c>
      <c r="B227" s="296">
        <f>'Supply planning data'!D225</f>
        <v>44621</v>
      </c>
      <c r="C227" s="92" t="str">
        <f>'Supply planning data'!E225</f>
        <v>No</v>
      </c>
      <c r="D227" s="92">
        <f>'Supply planning data'!F225</f>
        <v>0</v>
      </c>
      <c r="E227" s="316">
        <f>'Supply planning data'!G225</f>
        <v>0</v>
      </c>
      <c r="F227" s="317">
        <f>'Supply planning data'!H225</f>
        <v>0</v>
      </c>
      <c r="G227" s="317">
        <f>'Supply planning data'!I225</f>
        <v>0</v>
      </c>
      <c r="H227" s="98">
        <f>'Supply planning data'!J225</f>
        <v>0</v>
      </c>
      <c r="I227" s="317">
        <f>'Supply planning data'!K225</f>
        <v>0</v>
      </c>
      <c r="J227" s="175" t="str">
        <f>'Supply planning data'!L225</f>
        <v/>
      </c>
      <c r="K227" s="98">
        <f>'Supply planning data'!M225</f>
        <v>0</v>
      </c>
      <c r="L227" s="317">
        <f>'Supply planning data'!N225+'Supply planning data'!P225</f>
        <v>0</v>
      </c>
      <c r="M227" s="339">
        <f>'Supply planning data'!O225</f>
        <v>0</v>
      </c>
      <c r="N227" s="317">
        <f>'Supply planning data'!P225</f>
        <v>0</v>
      </c>
      <c r="O227" s="339">
        <f>'Supply planning data'!Q225</f>
        <v>0</v>
      </c>
      <c r="P227" s="98">
        <f>'Supply planning data'!R225</f>
        <v>0</v>
      </c>
      <c r="Q227" s="98">
        <f>'Supply planning data'!S225</f>
        <v>0</v>
      </c>
      <c r="R227" s="98">
        <f>'Supply planning data'!T225</f>
        <v>0</v>
      </c>
      <c r="S227" s="98">
        <f>'Supply planning data'!U225</f>
        <v>0</v>
      </c>
      <c r="T227" s="98">
        <f>'Supply planning data'!V225</f>
        <v>0</v>
      </c>
      <c r="U227" s="325" t="str">
        <f>'Supply planning data'!W225</f>
        <v/>
      </c>
      <c r="V227" s="98">
        <f>'Supply planning data'!X225</f>
        <v>0</v>
      </c>
      <c r="W227" s="317">
        <f>'Supply planning data'!Y225</f>
        <v>0</v>
      </c>
      <c r="X227" s="328">
        <f>'Supply planning data'!Z225</f>
        <v>0</v>
      </c>
      <c r="Y227" s="98">
        <f>'Supply planning data'!AA225</f>
        <v>0</v>
      </c>
      <c r="Z227" s="98">
        <f>'Supply planning data'!AB225</f>
        <v>0</v>
      </c>
      <c r="AA227" s="98">
        <f>'Supply planning data'!AC225</f>
        <v>0</v>
      </c>
      <c r="AB227" s="98">
        <f>'Supply planning data'!AD225</f>
        <v>0</v>
      </c>
      <c r="AC227" s="98">
        <f>'Supply planning data'!AE225</f>
        <v>0</v>
      </c>
      <c r="AD227" s="325" t="str">
        <f>'Supply planning data'!AF225</f>
        <v/>
      </c>
      <c r="AE227" s="98">
        <f>'Supply planning data'!AG225</f>
        <v>0</v>
      </c>
      <c r="AF227" s="317">
        <f>'Supply planning data'!AH225</f>
        <v>0</v>
      </c>
      <c r="AG227" s="175">
        <f>'Supply planning data'!AI225</f>
        <v>0</v>
      </c>
      <c r="AH227" s="98">
        <f>'Supply planning data'!AJ225</f>
        <v>0</v>
      </c>
      <c r="AI227" s="98">
        <f>'Supply planning data'!AK225</f>
        <v>0</v>
      </c>
      <c r="AJ227" s="98">
        <f>'Supply planning data'!AL225</f>
        <v>0</v>
      </c>
      <c r="AK227" s="98">
        <f>'Supply planning data'!AM225</f>
        <v>0</v>
      </c>
      <c r="AL227" s="98">
        <f>'Supply planning data'!AN225</f>
        <v>0</v>
      </c>
      <c r="AM227" s="325" t="str">
        <f>'Supply planning data'!AO225</f>
        <v/>
      </c>
    </row>
    <row r="228" spans="1:39" hidden="1" x14ac:dyDescent="0.25">
      <c r="A228" s="90" t="str">
        <f>'Supply planning data'!C226</f>
        <v/>
      </c>
      <c r="B228" s="296">
        <f>'Supply planning data'!D226</f>
        <v>44621</v>
      </c>
      <c r="C228" s="92" t="str">
        <f>'Supply planning data'!E226</f>
        <v>No</v>
      </c>
      <c r="D228" s="92">
        <f>'Supply planning data'!F226</f>
        <v>0</v>
      </c>
      <c r="E228" s="316">
        <f>'Supply planning data'!G226</f>
        <v>0</v>
      </c>
      <c r="F228" s="317">
        <f>'Supply planning data'!H226</f>
        <v>0</v>
      </c>
      <c r="G228" s="317">
        <f>'Supply planning data'!I226</f>
        <v>0</v>
      </c>
      <c r="H228" s="98">
        <f>'Supply planning data'!J226</f>
        <v>0</v>
      </c>
      <c r="I228" s="317">
        <f>'Supply planning data'!K226</f>
        <v>0</v>
      </c>
      <c r="J228" s="175" t="str">
        <f>'Supply planning data'!L226</f>
        <v/>
      </c>
      <c r="K228" s="98">
        <f>'Supply planning data'!M226</f>
        <v>0</v>
      </c>
      <c r="L228" s="317">
        <f>'Supply planning data'!N226+'Supply planning data'!P226</f>
        <v>0</v>
      </c>
      <c r="M228" s="339">
        <f>'Supply planning data'!O226</f>
        <v>0</v>
      </c>
      <c r="N228" s="317">
        <f>'Supply planning data'!P226</f>
        <v>0</v>
      </c>
      <c r="O228" s="339">
        <f>'Supply planning data'!Q226</f>
        <v>0</v>
      </c>
      <c r="P228" s="98">
        <f>'Supply planning data'!R226</f>
        <v>0</v>
      </c>
      <c r="Q228" s="98">
        <f>'Supply planning data'!S226</f>
        <v>0</v>
      </c>
      <c r="R228" s="98">
        <f>'Supply planning data'!T226</f>
        <v>0</v>
      </c>
      <c r="S228" s="98">
        <f>'Supply planning data'!U226</f>
        <v>0</v>
      </c>
      <c r="T228" s="98">
        <f>'Supply planning data'!V226</f>
        <v>0</v>
      </c>
      <c r="U228" s="325" t="str">
        <f>'Supply planning data'!W226</f>
        <v/>
      </c>
      <c r="V228" s="98">
        <f>'Supply planning data'!X226</f>
        <v>0</v>
      </c>
      <c r="W228" s="317">
        <f>'Supply planning data'!Y226</f>
        <v>0</v>
      </c>
      <c r="X228" s="328">
        <f>'Supply planning data'!Z226</f>
        <v>0</v>
      </c>
      <c r="Y228" s="98">
        <f>'Supply planning data'!AA226</f>
        <v>0</v>
      </c>
      <c r="Z228" s="98">
        <f>'Supply planning data'!AB226</f>
        <v>0</v>
      </c>
      <c r="AA228" s="98">
        <f>'Supply planning data'!AC226</f>
        <v>0</v>
      </c>
      <c r="AB228" s="98">
        <f>'Supply planning data'!AD226</f>
        <v>0</v>
      </c>
      <c r="AC228" s="98">
        <f>'Supply planning data'!AE226</f>
        <v>0</v>
      </c>
      <c r="AD228" s="325" t="str">
        <f>'Supply planning data'!AF226</f>
        <v/>
      </c>
      <c r="AE228" s="98">
        <f>'Supply planning data'!AG226</f>
        <v>0</v>
      </c>
      <c r="AF228" s="317">
        <f>'Supply planning data'!AH226</f>
        <v>0</v>
      </c>
      <c r="AG228" s="175">
        <f>'Supply planning data'!AI226</f>
        <v>0</v>
      </c>
      <c r="AH228" s="98">
        <f>'Supply planning data'!AJ226</f>
        <v>0</v>
      </c>
      <c r="AI228" s="98">
        <f>'Supply planning data'!AK226</f>
        <v>0</v>
      </c>
      <c r="AJ228" s="98">
        <f>'Supply planning data'!AL226</f>
        <v>0</v>
      </c>
      <c r="AK228" s="98">
        <f>'Supply planning data'!AM226</f>
        <v>0</v>
      </c>
      <c r="AL228" s="98">
        <f>'Supply planning data'!AN226</f>
        <v>0</v>
      </c>
      <c r="AM228" s="325" t="str">
        <f>'Supply planning data'!AO226</f>
        <v/>
      </c>
    </row>
    <row r="229" spans="1:39" hidden="1" x14ac:dyDescent="0.25">
      <c r="A229" s="90" t="str">
        <f>'Supply planning data'!C227</f>
        <v/>
      </c>
      <c r="B229" s="296">
        <f>'Supply planning data'!D227</f>
        <v>44621</v>
      </c>
      <c r="C229" s="92" t="str">
        <f>'Supply planning data'!E227</f>
        <v>No</v>
      </c>
      <c r="D229" s="92">
        <f>'Supply planning data'!F227</f>
        <v>0</v>
      </c>
      <c r="E229" s="316">
        <f>'Supply planning data'!G227</f>
        <v>0</v>
      </c>
      <c r="F229" s="317">
        <f>'Supply planning data'!H227</f>
        <v>0</v>
      </c>
      <c r="G229" s="317">
        <f>'Supply planning data'!I227</f>
        <v>0</v>
      </c>
      <c r="H229" s="98">
        <f>'Supply planning data'!J227</f>
        <v>0</v>
      </c>
      <c r="I229" s="317">
        <f>'Supply planning data'!K227</f>
        <v>0</v>
      </c>
      <c r="J229" s="175" t="str">
        <f>'Supply planning data'!L227</f>
        <v/>
      </c>
      <c r="K229" s="98">
        <f>'Supply planning data'!M227</f>
        <v>0</v>
      </c>
      <c r="L229" s="317">
        <f>'Supply planning data'!N227+'Supply planning data'!P227</f>
        <v>0</v>
      </c>
      <c r="M229" s="339">
        <f>'Supply planning data'!O227</f>
        <v>0</v>
      </c>
      <c r="N229" s="317">
        <f>'Supply planning data'!P227</f>
        <v>0</v>
      </c>
      <c r="O229" s="339">
        <f>'Supply planning data'!Q227</f>
        <v>0</v>
      </c>
      <c r="P229" s="98">
        <f>'Supply planning data'!R227</f>
        <v>0</v>
      </c>
      <c r="Q229" s="98">
        <f>'Supply planning data'!S227</f>
        <v>0</v>
      </c>
      <c r="R229" s="98">
        <f>'Supply planning data'!T227</f>
        <v>0</v>
      </c>
      <c r="S229" s="98">
        <f>'Supply planning data'!U227</f>
        <v>0</v>
      </c>
      <c r="T229" s="98">
        <f>'Supply planning data'!V227</f>
        <v>0</v>
      </c>
      <c r="U229" s="325" t="str">
        <f>'Supply planning data'!W227</f>
        <v/>
      </c>
      <c r="V229" s="98">
        <f>'Supply planning data'!X227</f>
        <v>0</v>
      </c>
      <c r="W229" s="317">
        <f>'Supply planning data'!Y227</f>
        <v>0</v>
      </c>
      <c r="X229" s="328">
        <f>'Supply planning data'!Z227</f>
        <v>0</v>
      </c>
      <c r="Y229" s="98">
        <f>'Supply planning data'!AA227</f>
        <v>0</v>
      </c>
      <c r="Z229" s="98">
        <f>'Supply planning data'!AB227</f>
        <v>0</v>
      </c>
      <c r="AA229" s="98">
        <f>'Supply planning data'!AC227</f>
        <v>0</v>
      </c>
      <c r="AB229" s="98">
        <f>'Supply planning data'!AD227</f>
        <v>0</v>
      </c>
      <c r="AC229" s="98">
        <f>'Supply planning data'!AE227</f>
        <v>0</v>
      </c>
      <c r="AD229" s="325" t="str">
        <f>'Supply planning data'!AF227</f>
        <v/>
      </c>
      <c r="AE229" s="98">
        <f>'Supply planning data'!AG227</f>
        <v>0</v>
      </c>
      <c r="AF229" s="317">
        <f>'Supply planning data'!AH227</f>
        <v>0</v>
      </c>
      <c r="AG229" s="175">
        <f>'Supply planning data'!AI227</f>
        <v>0</v>
      </c>
      <c r="AH229" s="98">
        <f>'Supply planning data'!AJ227</f>
        <v>0</v>
      </c>
      <c r="AI229" s="98">
        <f>'Supply planning data'!AK227</f>
        <v>0</v>
      </c>
      <c r="AJ229" s="98">
        <f>'Supply planning data'!AL227</f>
        <v>0</v>
      </c>
      <c r="AK229" s="98">
        <f>'Supply planning data'!AM227</f>
        <v>0</v>
      </c>
      <c r="AL229" s="98">
        <f>'Supply planning data'!AN227</f>
        <v>0</v>
      </c>
      <c r="AM229" s="325" t="str">
        <f>'Supply planning data'!AO227</f>
        <v/>
      </c>
    </row>
    <row r="230" spans="1:39" hidden="1" x14ac:dyDescent="0.25">
      <c r="A230" s="90" t="str">
        <f>'Supply planning data'!C228</f>
        <v/>
      </c>
      <c r="B230" s="296">
        <f>'Supply planning data'!D228</f>
        <v>44621</v>
      </c>
      <c r="C230" s="92" t="str">
        <f>'Supply planning data'!E228</f>
        <v>No</v>
      </c>
      <c r="D230" s="92">
        <f>'Supply planning data'!F228</f>
        <v>0</v>
      </c>
      <c r="E230" s="316">
        <f>'Supply planning data'!G228</f>
        <v>0</v>
      </c>
      <c r="F230" s="317">
        <f>'Supply planning data'!H228</f>
        <v>0</v>
      </c>
      <c r="G230" s="317">
        <f>'Supply planning data'!I228</f>
        <v>0</v>
      </c>
      <c r="H230" s="98">
        <f>'Supply planning data'!J228</f>
        <v>0</v>
      </c>
      <c r="I230" s="317">
        <f>'Supply planning data'!K228</f>
        <v>0</v>
      </c>
      <c r="J230" s="175" t="str">
        <f>'Supply planning data'!L228</f>
        <v/>
      </c>
      <c r="K230" s="98">
        <f>'Supply planning data'!M228</f>
        <v>0</v>
      </c>
      <c r="L230" s="317">
        <f>'Supply planning data'!N228+'Supply planning data'!P228</f>
        <v>0</v>
      </c>
      <c r="M230" s="339">
        <f>'Supply planning data'!O228</f>
        <v>0</v>
      </c>
      <c r="N230" s="317">
        <f>'Supply planning data'!P228</f>
        <v>0</v>
      </c>
      <c r="O230" s="339">
        <f>'Supply planning data'!Q228</f>
        <v>0</v>
      </c>
      <c r="P230" s="98">
        <f>'Supply planning data'!R228</f>
        <v>0</v>
      </c>
      <c r="Q230" s="98">
        <f>'Supply planning data'!S228</f>
        <v>0</v>
      </c>
      <c r="R230" s="98">
        <f>'Supply planning data'!T228</f>
        <v>0</v>
      </c>
      <c r="S230" s="98">
        <f>'Supply planning data'!U228</f>
        <v>0</v>
      </c>
      <c r="T230" s="98">
        <f>'Supply planning data'!V228</f>
        <v>0</v>
      </c>
      <c r="U230" s="325" t="str">
        <f>'Supply planning data'!W228</f>
        <v/>
      </c>
      <c r="V230" s="98">
        <f>'Supply planning data'!X228</f>
        <v>0</v>
      </c>
      <c r="W230" s="317">
        <f>'Supply planning data'!Y228</f>
        <v>0</v>
      </c>
      <c r="X230" s="328">
        <f>'Supply planning data'!Z228</f>
        <v>0</v>
      </c>
      <c r="Y230" s="98">
        <f>'Supply planning data'!AA228</f>
        <v>0</v>
      </c>
      <c r="Z230" s="98">
        <f>'Supply planning data'!AB228</f>
        <v>0</v>
      </c>
      <c r="AA230" s="98">
        <f>'Supply planning data'!AC228</f>
        <v>0</v>
      </c>
      <c r="AB230" s="98">
        <f>'Supply planning data'!AD228</f>
        <v>0</v>
      </c>
      <c r="AC230" s="98">
        <f>'Supply planning data'!AE228</f>
        <v>0</v>
      </c>
      <c r="AD230" s="325" t="str">
        <f>'Supply planning data'!AF228</f>
        <v/>
      </c>
      <c r="AE230" s="98">
        <f>'Supply planning data'!AG228</f>
        <v>0</v>
      </c>
      <c r="AF230" s="317">
        <f>'Supply planning data'!AH228</f>
        <v>0</v>
      </c>
      <c r="AG230" s="175">
        <f>'Supply planning data'!AI228</f>
        <v>0</v>
      </c>
      <c r="AH230" s="98">
        <f>'Supply planning data'!AJ228</f>
        <v>0</v>
      </c>
      <c r="AI230" s="98">
        <f>'Supply planning data'!AK228</f>
        <v>0</v>
      </c>
      <c r="AJ230" s="98">
        <f>'Supply planning data'!AL228</f>
        <v>0</v>
      </c>
      <c r="AK230" s="98">
        <f>'Supply planning data'!AM228</f>
        <v>0</v>
      </c>
      <c r="AL230" s="98">
        <f>'Supply planning data'!AN228</f>
        <v>0</v>
      </c>
      <c r="AM230" s="325" t="str">
        <f>'Supply planning data'!AO228</f>
        <v/>
      </c>
    </row>
    <row r="231" spans="1:39" hidden="1" x14ac:dyDescent="0.25">
      <c r="A231" s="90" t="str">
        <f>'Supply planning data'!C229</f>
        <v/>
      </c>
      <c r="B231" s="296">
        <f>'Supply planning data'!D229</f>
        <v>44621</v>
      </c>
      <c r="C231" s="92" t="str">
        <f>'Supply planning data'!E229</f>
        <v>No</v>
      </c>
      <c r="D231" s="92">
        <f>'Supply planning data'!F229</f>
        <v>0</v>
      </c>
      <c r="E231" s="316">
        <f>'Supply planning data'!G229</f>
        <v>0</v>
      </c>
      <c r="F231" s="317">
        <f>'Supply planning data'!H229</f>
        <v>0</v>
      </c>
      <c r="G231" s="317">
        <f>'Supply planning data'!I229</f>
        <v>0</v>
      </c>
      <c r="H231" s="98">
        <f>'Supply planning data'!J229</f>
        <v>0</v>
      </c>
      <c r="I231" s="317">
        <f>'Supply planning data'!K229</f>
        <v>0</v>
      </c>
      <c r="J231" s="175" t="str">
        <f>'Supply planning data'!L229</f>
        <v/>
      </c>
      <c r="K231" s="98">
        <f>'Supply planning data'!M229</f>
        <v>0</v>
      </c>
      <c r="L231" s="317">
        <f>'Supply planning data'!N229+'Supply planning data'!P229</f>
        <v>0</v>
      </c>
      <c r="M231" s="339">
        <f>'Supply planning data'!O229</f>
        <v>0</v>
      </c>
      <c r="N231" s="317">
        <f>'Supply planning data'!P229</f>
        <v>0</v>
      </c>
      <c r="O231" s="339">
        <f>'Supply planning data'!Q229</f>
        <v>0</v>
      </c>
      <c r="P231" s="98">
        <f>'Supply planning data'!R229</f>
        <v>0</v>
      </c>
      <c r="Q231" s="98">
        <f>'Supply planning data'!S229</f>
        <v>0</v>
      </c>
      <c r="R231" s="98">
        <f>'Supply planning data'!T229</f>
        <v>0</v>
      </c>
      <c r="S231" s="98">
        <f>'Supply planning data'!U229</f>
        <v>0</v>
      </c>
      <c r="T231" s="98">
        <f>'Supply planning data'!V229</f>
        <v>0</v>
      </c>
      <c r="U231" s="325" t="str">
        <f>'Supply planning data'!W229</f>
        <v/>
      </c>
      <c r="V231" s="98">
        <f>'Supply planning data'!X229</f>
        <v>0</v>
      </c>
      <c r="W231" s="317">
        <f>'Supply planning data'!Y229</f>
        <v>0</v>
      </c>
      <c r="X231" s="328">
        <f>'Supply planning data'!Z229</f>
        <v>0</v>
      </c>
      <c r="Y231" s="98">
        <f>'Supply planning data'!AA229</f>
        <v>0</v>
      </c>
      <c r="Z231" s="98">
        <f>'Supply planning data'!AB229</f>
        <v>0</v>
      </c>
      <c r="AA231" s="98">
        <f>'Supply planning data'!AC229</f>
        <v>0</v>
      </c>
      <c r="AB231" s="98">
        <f>'Supply planning data'!AD229</f>
        <v>0</v>
      </c>
      <c r="AC231" s="98">
        <f>'Supply planning data'!AE229</f>
        <v>0</v>
      </c>
      <c r="AD231" s="325" t="str">
        <f>'Supply planning data'!AF229</f>
        <v/>
      </c>
      <c r="AE231" s="98">
        <f>'Supply planning data'!AG229</f>
        <v>0</v>
      </c>
      <c r="AF231" s="317">
        <f>'Supply planning data'!AH229</f>
        <v>0</v>
      </c>
      <c r="AG231" s="175">
        <f>'Supply planning data'!AI229</f>
        <v>0</v>
      </c>
      <c r="AH231" s="98">
        <f>'Supply planning data'!AJ229</f>
        <v>0</v>
      </c>
      <c r="AI231" s="98">
        <f>'Supply planning data'!AK229</f>
        <v>0</v>
      </c>
      <c r="AJ231" s="98">
        <f>'Supply planning data'!AL229</f>
        <v>0</v>
      </c>
      <c r="AK231" s="98">
        <f>'Supply planning data'!AM229</f>
        <v>0</v>
      </c>
      <c r="AL231" s="98">
        <f>'Supply planning data'!AN229</f>
        <v>0</v>
      </c>
      <c r="AM231" s="325" t="str">
        <f>'Supply planning data'!AO229</f>
        <v/>
      </c>
    </row>
    <row r="232" spans="1:39" x14ac:dyDescent="0.25">
      <c r="A232" s="104" t="str">
        <f>'Supply planning data'!C230</f>
        <v>AstraZeneca</v>
      </c>
      <c r="B232" s="298">
        <f>'Supply planning data'!D230</f>
        <v>44652</v>
      </c>
      <c r="C232" s="105" t="str">
        <f>'Supply planning data'!E230</f>
        <v>Yes</v>
      </c>
      <c r="D232" s="105">
        <f>'Supply planning data'!F230</f>
        <v>0</v>
      </c>
      <c r="E232" s="320">
        <f>'Supply planning data'!G230</f>
        <v>0</v>
      </c>
      <c r="F232" s="320">
        <f>'Supply planning data'!H230</f>
        <v>0</v>
      </c>
      <c r="G232" s="320">
        <f>'Supply planning data'!I230</f>
        <v>0</v>
      </c>
      <c r="H232" s="105">
        <f>'Supply planning data'!J230</f>
        <v>0</v>
      </c>
      <c r="I232" s="320">
        <f>'Supply planning data'!K230</f>
        <v>0</v>
      </c>
      <c r="J232" s="177" t="str">
        <f>'Supply planning data'!L230</f>
        <v/>
      </c>
      <c r="K232" s="105">
        <f>'Supply planning data'!M230</f>
        <v>0</v>
      </c>
      <c r="L232" s="320">
        <f>'Supply planning data'!N230+'Supply planning data'!P230</f>
        <v>0</v>
      </c>
      <c r="M232" s="341">
        <f>'Supply planning data'!O230</f>
        <v>0</v>
      </c>
      <c r="N232" s="320">
        <f>'Supply planning data'!P230</f>
        <v>0</v>
      </c>
      <c r="O232" s="341">
        <f>'Supply planning data'!Q230</f>
        <v>0</v>
      </c>
      <c r="P232" s="105">
        <f>'Supply planning data'!R230</f>
        <v>0</v>
      </c>
      <c r="Q232" s="105">
        <f>'Supply planning data'!S230</f>
        <v>0</v>
      </c>
      <c r="R232" s="105">
        <f>'Supply planning data'!T230</f>
        <v>0</v>
      </c>
      <c r="S232" s="105">
        <f>'Supply planning data'!U230</f>
        <v>0</v>
      </c>
      <c r="T232" s="105">
        <f>'Supply planning data'!V230</f>
        <v>0</v>
      </c>
      <c r="U232" s="326" t="str">
        <f>'Supply planning data'!W230</f>
        <v/>
      </c>
      <c r="V232" s="105">
        <f>'Supply planning data'!X230</f>
        <v>714701</v>
      </c>
      <c r="W232" s="320">
        <f>'Supply planning data'!Y230</f>
        <v>0</v>
      </c>
      <c r="X232" s="329">
        <f>'Supply planning data'!Z230</f>
        <v>0</v>
      </c>
      <c r="Y232" s="105">
        <f>'Supply planning data'!AA230</f>
        <v>0</v>
      </c>
      <c r="Z232" s="105">
        <f>'Supply planning data'!AB230</f>
        <v>0</v>
      </c>
      <c r="AA232" s="105">
        <f>'Supply planning data'!AC230</f>
        <v>0</v>
      </c>
      <c r="AB232" s="105">
        <f>'Supply planning data'!AD230</f>
        <v>0</v>
      </c>
      <c r="AC232" s="105">
        <f>'Supply planning data'!AE230</f>
        <v>714701</v>
      </c>
      <c r="AD232" s="326" t="str">
        <f>'Supply planning data'!AF230</f>
        <v/>
      </c>
      <c r="AE232" s="105">
        <f>'Supply planning data'!AG230</f>
        <v>0</v>
      </c>
      <c r="AF232" s="320">
        <f>'Supply planning data'!AH230</f>
        <v>0</v>
      </c>
      <c r="AG232" s="177">
        <f>'Supply planning data'!AI230</f>
        <v>0</v>
      </c>
      <c r="AH232" s="105">
        <f>'Supply planning data'!AJ230</f>
        <v>0</v>
      </c>
      <c r="AI232" s="105">
        <f>'Supply planning data'!AK230</f>
        <v>0</v>
      </c>
      <c r="AJ232" s="105">
        <f>'Supply planning data'!AL230</f>
        <v>0</v>
      </c>
      <c r="AK232" s="105">
        <f>'Supply planning data'!AM230</f>
        <v>0</v>
      </c>
      <c r="AL232" s="105">
        <f>'Supply planning data'!AN230</f>
        <v>0</v>
      </c>
      <c r="AM232" s="326" t="str">
        <f>'Supply planning data'!AO230</f>
        <v/>
      </c>
    </row>
    <row r="233" spans="1:39" x14ac:dyDescent="0.25">
      <c r="A233" s="109" t="str">
        <f>'Supply planning data'!C231</f>
        <v>Jansen</v>
      </c>
      <c r="B233" s="298">
        <f>'Supply planning data'!D231</f>
        <v>44652</v>
      </c>
      <c r="C233" s="105" t="str">
        <f>'Supply planning data'!E231</f>
        <v>Yes</v>
      </c>
      <c r="D233" s="105">
        <f>'Supply planning data'!F231</f>
        <v>2058747</v>
      </c>
      <c r="E233" s="320">
        <f>'Supply planning data'!G231</f>
        <v>0</v>
      </c>
      <c r="F233" s="320">
        <f>'Supply planning data'!H231</f>
        <v>0</v>
      </c>
      <c r="G233" s="320">
        <f>'Supply planning data'!I231</f>
        <v>0</v>
      </c>
      <c r="H233" s="105">
        <f>'Supply planning data'!J231</f>
        <v>0</v>
      </c>
      <c r="I233" s="320">
        <f>'Supply planning data'!K231</f>
        <v>0</v>
      </c>
      <c r="J233" s="177" t="str">
        <f>'Supply planning data'!L231</f>
        <v/>
      </c>
      <c r="K233" s="105">
        <f>'Supply planning data'!M231</f>
        <v>0</v>
      </c>
      <c r="L233" s="321">
        <f>'Supply planning data'!N231+'Supply planning data'!P231</f>
        <v>0</v>
      </c>
      <c r="M233" s="342">
        <f>'Supply planning data'!O231</f>
        <v>0</v>
      </c>
      <c r="N233" s="321">
        <f>'Supply planning data'!P231</f>
        <v>0</v>
      </c>
      <c r="O233" s="342">
        <f>'Supply planning data'!Q231</f>
        <v>0</v>
      </c>
      <c r="P233" s="111">
        <f>'Supply planning data'!R231</f>
        <v>0</v>
      </c>
      <c r="Q233" s="111">
        <f>'Supply planning data'!S231</f>
        <v>0</v>
      </c>
      <c r="R233" s="111">
        <f>'Supply planning data'!T231</f>
        <v>0</v>
      </c>
      <c r="S233" s="111">
        <f>'Supply planning data'!U231</f>
        <v>0</v>
      </c>
      <c r="T233" s="111">
        <f>'Supply planning data'!V231</f>
        <v>2058747</v>
      </c>
      <c r="U233" s="327" t="str">
        <f>'Supply planning data'!W231</f>
        <v/>
      </c>
      <c r="V233" s="111">
        <f>'Supply planning data'!X231</f>
        <v>2058747</v>
      </c>
      <c r="W233" s="321">
        <f>'Supply planning data'!Y231</f>
        <v>0</v>
      </c>
      <c r="X233" s="329">
        <f>'Supply planning data'!Z231</f>
        <v>0</v>
      </c>
      <c r="Y233" s="111">
        <f>'Supply planning data'!AA231</f>
        <v>0</v>
      </c>
      <c r="Z233" s="111">
        <f>'Supply planning data'!AB231</f>
        <v>0</v>
      </c>
      <c r="AA233" s="111">
        <f>'Supply planning data'!AC231</f>
        <v>0</v>
      </c>
      <c r="AB233" s="111">
        <f>'Supply planning data'!AD231</f>
        <v>0</v>
      </c>
      <c r="AC233" s="111">
        <f>'Supply planning data'!AE231</f>
        <v>2058747</v>
      </c>
      <c r="AD233" s="327" t="str">
        <f>'Supply planning data'!AF231</f>
        <v/>
      </c>
      <c r="AE233" s="111">
        <f>'Supply planning data'!AG231</f>
        <v>2058747</v>
      </c>
      <c r="AF233" s="321">
        <f>'Supply planning data'!AH231</f>
        <v>0</v>
      </c>
      <c r="AG233" s="349">
        <f>'Supply planning data'!AI231</f>
        <v>0</v>
      </c>
      <c r="AH233" s="111">
        <f>'Supply planning data'!AJ231</f>
        <v>0</v>
      </c>
      <c r="AI233" s="111">
        <f>'Supply planning data'!AK231</f>
        <v>0</v>
      </c>
      <c r="AJ233" s="111">
        <f>'Supply planning data'!AL231</f>
        <v>0</v>
      </c>
      <c r="AK233" s="111">
        <f>'Supply planning data'!AM231</f>
        <v>0</v>
      </c>
      <c r="AL233" s="111">
        <f>'Supply planning data'!AN231</f>
        <v>2058747</v>
      </c>
      <c r="AM233" s="327" t="str">
        <f>'Supply planning data'!AO231</f>
        <v/>
      </c>
    </row>
    <row r="234" spans="1:39" x14ac:dyDescent="0.25">
      <c r="A234" s="104" t="str">
        <f>'Supply planning data'!C232</f>
        <v>Moderna</v>
      </c>
      <c r="B234" s="298">
        <f>'Supply planning data'!D232</f>
        <v>44652</v>
      </c>
      <c r="C234" s="105" t="str">
        <f>'Supply planning data'!E232</f>
        <v>No</v>
      </c>
      <c r="D234" s="105">
        <f>'Supply planning data'!F232</f>
        <v>0</v>
      </c>
      <c r="E234" s="320">
        <f>'Supply planning data'!G232</f>
        <v>0</v>
      </c>
      <c r="F234" s="320">
        <f>'Supply planning data'!H232</f>
        <v>0</v>
      </c>
      <c r="G234" s="320">
        <f>'Supply planning data'!I232</f>
        <v>0</v>
      </c>
      <c r="H234" s="105">
        <f>'Supply planning data'!J232</f>
        <v>0</v>
      </c>
      <c r="I234" s="320">
        <f>'Supply planning data'!K232</f>
        <v>0</v>
      </c>
      <c r="J234" s="177" t="str">
        <f>'Supply planning data'!L232</f>
        <v/>
      </c>
      <c r="K234" s="105">
        <f>'Supply planning data'!M232</f>
        <v>0</v>
      </c>
      <c r="L234" s="321">
        <f>'Supply planning data'!N232+'Supply planning data'!P232</f>
        <v>0</v>
      </c>
      <c r="M234" s="342">
        <f>'Supply planning data'!O232</f>
        <v>0</v>
      </c>
      <c r="N234" s="321">
        <f>'Supply planning data'!P232</f>
        <v>0</v>
      </c>
      <c r="O234" s="342">
        <f>'Supply planning data'!Q232</f>
        <v>0</v>
      </c>
      <c r="P234" s="111">
        <f>'Supply planning data'!R232</f>
        <v>0</v>
      </c>
      <c r="Q234" s="111">
        <f>'Supply planning data'!S232</f>
        <v>0</v>
      </c>
      <c r="R234" s="111">
        <f>'Supply planning data'!T232</f>
        <v>0</v>
      </c>
      <c r="S234" s="111">
        <f>'Supply planning data'!U232</f>
        <v>0</v>
      </c>
      <c r="T234" s="111">
        <f>'Supply planning data'!V232</f>
        <v>0</v>
      </c>
      <c r="U234" s="327" t="str">
        <f>'Supply planning data'!W232</f>
        <v/>
      </c>
      <c r="V234" s="111">
        <f>'Supply planning data'!X232</f>
        <v>0</v>
      </c>
      <c r="W234" s="321">
        <f>'Supply planning data'!Y232</f>
        <v>0</v>
      </c>
      <c r="X234" s="329">
        <f>'Supply planning data'!Z232</f>
        <v>0</v>
      </c>
      <c r="Y234" s="111">
        <f>'Supply planning data'!AA232</f>
        <v>0</v>
      </c>
      <c r="Z234" s="111">
        <f>'Supply planning data'!AB232</f>
        <v>0</v>
      </c>
      <c r="AA234" s="111">
        <f>'Supply planning data'!AC232</f>
        <v>0</v>
      </c>
      <c r="AB234" s="111">
        <f>'Supply planning data'!AD232</f>
        <v>0</v>
      </c>
      <c r="AC234" s="111">
        <f>'Supply planning data'!AE232</f>
        <v>0</v>
      </c>
      <c r="AD234" s="327" t="str">
        <f>'Supply planning data'!AF232</f>
        <v/>
      </c>
      <c r="AE234" s="111">
        <f>'Supply planning data'!AG232</f>
        <v>0</v>
      </c>
      <c r="AF234" s="321">
        <f>'Supply planning data'!AH232</f>
        <v>0</v>
      </c>
      <c r="AG234" s="349">
        <f>'Supply planning data'!AI232</f>
        <v>0</v>
      </c>
      <c r="AH234" s="111">
        <f>'Supply planning data'!AJ232</f>
        <v>0</v>
      </c>
      <c r="AI234" s="111">
        <f>'Supply planning data'!AK232</f>
        <v>0</v>
      </c>
      <c r="AJ234" s="111">
        <f>'Supply planning data'!AL232</f>
        <v>0</v>
      </c>
      <c r="AK234" s="111">
        <f>'Supply planning data'!AM232</f>
        <v>0</v>
      </c>
      <c r="AL234" s="111">
        <f>'Supply planning data'!AN232</f>
        <v>0</v>
      </c>
      <c r="AM234" s="327" t="str">
        <f>'Supply planning data'!AO232</f>
        <v/>
      </c>
    </row>
    <row r="235" spans="1:39" x14ac:dyDescent="0.25">
      <c r="A235" s="109" t="str">
        <f>'Supply planning data'!C233</f>
        <v>Pfizer</v>
      </c>
      <c r="B235" s="298">
        <f>'Supply planning data'!D233</f>
        <v>44652</v>
      </c>
      <c r="C235" s="105" t="str">
        <f>'Supply planning data'!E233</f>
        <v>Yes</v>
      </c>
      <c r="D235" s="105">
        <f>'Supply planning data'!F233</f>
        <v>110538</v>
      </c>
      <c r="E235" s="320">
        <f>'Supply planning data'!G233</f>
        <v>0</v>
      </c>
      <c r="F235" s="320">
        <f>'Supply planning data'!H233</f>
        <v>0</v>
      </c>
      <c r="G235" s="320">
        <f>'Supply planning data'!I233</f>
        <v>0</v>
      </c>
      <c r="H235" s="105">
        <f>'Supply planning data'!J233</f>
        <v>0</v>
      </c>
      <c r="I235" s="320">
        <f>'Supply planning data'!K233</f>
        <v>0</v>
      </c>
      <c r="J235" s="177" t="str">
        <f>'Supply planning data'!L233</f>
        <v/>
      </c>
      <c r="K235" s="105">
        <f>'Supply planning data'!M233</f>
        <v>0</v>
      </c>
      <c r="L235" s="321">
        <f>'Supply planning data'!N233+'Supply planning data'!P233</f>
        <v>0</v>
      </c>
      <c r="M235" s="342">
        <f>'Supply planning data'!O233</f>
        <v>0</v>
      </c>
      <c r="N235" s="321">
        <f>'Supply planning data'!P233</f>
        <v>0</v>
      </c>
      <c r="O235" s="342">
        <f>'Supply planning data'!Q233</f>
        <v>0</v>
      </c>
      <c r="P235" s="111">
        <f>'Supply planning data'!R233</f>
        <v>0</v>
      </c>
      <c r="Q235" s="111">
        <f>'Supply planning data'!S233</f>
        <v>0</v>
      </c>
      <c r="R235" s="111">
        <f>'Supply planning data'!T233</f>
        <v>0</v>
      </c>
      <c r="S235" s="111">
        <f>'Supply planning data'!U233</f>
        <v>0</v>
      </c>
      <c r="T235" s="111">
        <f>'Supply planning data'!V233</f>
        <v>110538</v>
      </c>
      <c r="U235" s="327" t="str">
        <f>'Supply planning data'!W233</f>
        <v/>
      </c>
      <c r="V235" s="111">
        <f>'Supply planning data'!X233</f>
        <v>110538</v>
      </c>
      <c r="W235" s="321">
        <f>'Supply planning data'!Y233</f>
        <v>0</v>
      </c>
      <c r="X235" s="329">
        <f>'Supply planning data'!Z233</f>
        <v>0</v>
      </c>
      <c r="Y235" s="111">
        <f>'Supply planning data'!AA233</f>
        <v>0</v>
      </c>
      <c r="Z235" s="111">
        <f>'Supply planning data'!AB233</f>
        <v>0</v>
      </c>
      <c r="AA235" s="111">
        <f>'Supply planning data'!AC233</f>
        <v>0</v>
      </c>
      <c r="AB235" s="111">
        <f>'Supply planning data'!AD233</f>
        <v>0</v>
      </c>
      <c r="AC235" s="111">
        <f>'Supply planning data'!AE233</f>
        <v>110538</v>
      </c>
      <c r="AD235" s="327" t="str">
        <f>'Supply planning data'!AF233</f>
        <v/>
      </c>
      <c r="AE235" s="111">
        <f>'Supply planning data'!AG233</f>
        <v>110538</v>
      </c>
      <c r="AF235" s="321">
        <f>'Supply planning data'!AH233</f>
        <v>0</v>
      </c>
      <c r="AG235" s="349">
        <f>'Supply planning data'!AI233</f>
        <v>0</v>
      </c>
      <c r="AH235" s="111">
        <f>'Supply planning data'!AJ233</f>
        <v>0</v>
      </c>
      <c r="AI235" s="111">
        <f>'Supply planning data'!AK233</f>
        <v>0</v>
      </c>
      <c r="AJ235" s="111">
        <f>'Supply planning data'!AL233</f>
        <v>0</v>
      </c>
      <c r="AK235" s="111">
        <f>'Supply planning data'!AM233</f>
        <v>0</v>
      </c>
      <c r="AL235" s="111">
        <f>'Supply planning data'!AN233</f>
        <v>110538</v>
      </c>
      <c r="AM235" s="327" t="str">
        <f>'Supply planning data'!AO233</f>
        <v/>
      </c>
    </row>
    <row r="236" spans="1:39" x14ac:dyDescent="0.25">
      <c r="A236" s="104" t="str">
        <f>'Supply planning data'!C234</f>
        <v>Sinovac</v>
      </c>
      <c r="B236" s="298">
        <f>'Supply planning data'!D234</f>
        <v>44652</v>
      </c>
      <c r="C236" s="105" t="str">
        <f>'Supply planning data'!E234</f>
        <v>No</v>
      </c>
      <c r="D236" s="105">
        <f>'Supply planning data'!F234</f>
        <v>0</v>
      </c>
      <c r="E236" s="320">
        <f>'Supply planning data'!G234</f>
        <v>0</v>
      </c>
      <c r="F236" s="320">
        <f>'Supply planning data'!H234</f>
        <v>0</v>
      </c>
      <c r="G236" s="320">
        <f>'Supply planning data'!I234</f>
        <v>0</v>
      </c>
      <c r="H236" s="105">
        <f>'Supply planning data'!J234</f>
        <v>0</v>
      </c>
      <c r="I236" s="320">
        <f>'Supply planning data'!K234</f>
        <v>0</v>
      </c>
      <c r="J236" s="177" t="str">
        <f>'Supply planning data'!L234</f>
        <v/>
      </c>
      <c r="K236" s="105">
        <f>'Supply planning data'!M234</f>
        <v>0</v>
      </c>
      <c r="L236" s="321">
        <f>'Supply planning data'!N234+'Supply planning data'!P234</f>
        <v>0</v>
      </c>
      <c r="M236" s="342">
        <f>'Supply planning data'!O234</f>
        <v>0</v>
      </c>
      <c r="N236" s="321">
        <f>'Supply planning data'!P234</f>
        <v>0</v>
      </c>
      <c r="O236" s="342">
        <f>'Supply planning data'!Q234</f>
        <v>0</v>
      </c>
      <c r="P236" s="111">
        <f>'Supply planning data'!R234</f>
        <v>0</v>
      </c>
      <c r="Q236" s="111">
        <f>'Supply planning data'!S234</f>
        <v>0</v>
      </c>
      <c r="R236" s="111">
        <f>'Supply planning data'!T234</f>
        <v>0</v>
      </c>
      <c r="S236" s="111">
        <f>'Supply planning data'!U234</f>
        <v>0</v>
      </c>
      <c r="T236" s="111">
        <f>'Supply planning data'!V234</f>
        <v>0</v>
      </c>
      <c r="U236" s="327" t="str">
        <f>'Supply planning data'!W234</f>
        <v/>
      </c>
      <c r="V236" s="111">
        <f>'Supply planning data'!X234</f>
        <v>0</v>
      </c>
      <c r="W236" s="321">
        <f>'Supply planning data'!Y234</f>
        <v>0</v>
      </c>
      <c r="X236" s="329">
        <f>'Supply planning data'!Z234</f>
        <v>0</v>
      </c>
      <c r="Y236" s="111">
        <f>'Supply planning data'!AA234</f>
        <v>0</v>
      </c>
      <c r="Z236" s="111">
        <f>'Supply planning data'!AB234</f>
        <v>0</v>
      </c>
      <c r="AA236" s="111">
        <f>'Supply planning data'!AC234</f>
        <v>0</v>
      </c>
      <c r="AB236" s="111">
        <f>'Supply planning data'!AD234</f>
        <v>0</v>
      </c>
      <c r="AC236" s="111">
        <f>'Supply planning data'!AE234</f>
        <v>0</v>
      </c>
      <c r="AD236" s="327" t="str">
        <f>'Supply planning data'!AF234</f>
        <v/>
      </c>
      <c r="AE236" s="111">
        <f>'Supply planning data'!AG234</f>
        <v>0</v>
      </c>
      <c r="AF236" s="321">
        <f>'Supply planning data'!AH234</f>
        <v>0</v>
      </c>
      <c r="AG236" s="349">
        <f>'Supply planning data'!AI234</f>
        <v>0</v>
      </c>
      <c r="AH236" s="111">
        <f>'Supply planning data'!AJ234</f>
        <v>0</v>
      </c>
      <c r="AI236" s="111">
        <f>'Supply planning data'!AK234</f>
        <v>0</v>
      </c>
      <c r="AJ236" s="111">
        <f>'Supply planning data'!AL234</f>
        <v>0</v>
      </c>
      <c r="AK236" s="111">
        <f>'Supply planning data'!AM234</f>
        <v>0</v>
      </c>
      <c r="AL236" s="111">
        <f>'Supply planning data'!AN234</f>
        <v>0</v>
      </c>
      <c r="AM236" s="327" t="str">
        <f>'Supply planning data'!AO234</f>
        <v/>
      </c>
    </row>
    <row r="237" spans="1:39" hidden="1" x14ac:dyDescent="0.25">
      <c r="A237" s="109" t="str">
        <f>'Supply planning data'!C235</f>
        <v/>
      </c>
      <c r="B237" s="298">
        <f>'Supply planning data'!D235</f>
        <v>44652</v>
      </c>
      <c r="C237" s="105" t="str">
        <f>'Supply planning data'!E235</f>
        <v>No</v>
      </c>
      <c r="D237" s="105">
        <f>'Supply planning data'!F235</f>
        <v>0</v>
      </c>
      <c r="E237" s="320">
        <f>'Supply planning data'!G235</f>
        <v>0</v>
      </c>
      <c r="F237" s="320">
        <f>'Supply planning data'!H235</f>
        <v>0</v>
      </c>
      <c r="G237" s="320">
        <f>'Supply planning data'!I235</f>
        <v>0</v>
      </c>
      <c r="H237" s="105">
        <f>'Supply planning data'!J235</f>
        <v>0</v>
      </c>
      <c r="I237" s="320">
        <f>'Supply planning data'!K235</f>
        <v>0</v>
      </c>
      <c r="J237" s="177" t="str">
        <f>'Supply planning data'!L235</f>
        <v/>
      </c>
      <c r="K237" s="105">
        <f>'Supply planning data'!M235</f>
        <v>0</v>
      </c>
      <c r="L237" s="321">
        <f>'Supply planning data'!N235+'Supply planning data'!P235</f>
        <v>0</v>
      </c>
      <c r="M237" s="342">
        <f>'Supply planning data'!O235</f>
        <v>0</v>
      </c>
      <c r="N237" s="321">
        <f>'Supply planning data'!P235</f>
        <v>0</v>
      </c>
      <c r="O237" s="342">
        <f>'Supply planning data'!Q235</f>
        <v>0</v>
      </c>
      <c r="P237" s="111">
        <f>'Supply planning data'!R235</f>
        <v>0</v>
      </c>
      <c r="Q237" s="111">
        <f>'Supply planning data'!S235</f>
        <v>0</v>
      </c>
      <c r="R237" s="111">
        <f>'Supply planning data'!T235</f>
        <v>0</v>
      </c>
      <c r="S237" s="111">
        <f>'Supply planning data'!U235</f>
        <v>0</v>
      </c>
      <c r="T237" s="111">
        <f>'Supply planning data'!V235</f>
        <v>0</v>
      </c>
      <c r="U237" s="327" t="str">
        <f>'Supply planning data'!W235</f>
        <v/>
      </c>
      <c r="V237" s="111">
        <f>'Supply planning data'!X235</f>
        <v>0</v>
      </c>
      <c r="W237" s="321">
        <f>'Supply planning data'!Y235</f>
        <v>0</v>
      </c>
      <c r="X237" s="329">
        <f>'Supply planning data'!Z235</f>
        <v>0</v>
      </c>
      <c r="Y237" s="111">
        <f>'Supply planning data'!AA235</f>
        <v>0</v>
      </c>
      <c r="Z237" s="111">
        <f>'Supply planning data'!AB235</f>
        <v>0</v>
      </c>
      <c r="AA237" s="111">
        <f>'Supply planning data'!AC235</f>
        <v>0</v>
      </c>
      <c r="AB237" s="111">
        <f>'Supply planning data'!AD235</f>
        <v>0</v>
      </c>
      <c r="AC237" s="111">
        <f>'Supply planning data'!AE235</f>
        <v>0</v>
      </c>
      <c r="AD237" s="327" t="str">
        <f>'Supply planning data'!AF235</f>
        <v/>
      </c>
      <c r="AE237" s="111">
        <f>'Supply planning data'!AG235</f>
        <v>0</v>
      </c>
      <c r="AF237" s="321">
        <f>'Supply planning data'!AH235</f>
        <v>0</v>
      </c>
      <c r="AG237" s="349">
        <f>'Supply planning data'!AI235</f>
        <v>0</v>
      </c>
      <c r="AH237" s="111">
        <f>'Supply planning data'!AJ235</f>
        <v>0</v>
      </c>
      <c r="AI237" s="111">
        <f>'Supply planning data'!AK235</f>
        <v>0</v>
      </c>
      <c r="AJ237" s="111">
        <f>'Supply planning data'!AL235</f>
        <v>0</v>
      </c>
      <c r="AK237" s="111">
        <f>'Supply planning data'!AM235</f>
        <v>0</v>
      </c>
      <c r="AL237" s="111">
        <f>'Supply planning data'!AN235</f>
        <v>0</v>
      </c>
      <c r="AM237" s="327" t="str">
        <f>'Supply planning data'!AO235</f>
        <v/>
      </c>
    </row>
    <row r="238" spans="1:39" hidden="1" x14ac:dyDescent="0.25">
      <c r="A238" s="104" t="str">
        <f>'Supply planning data'!C236</f>
        <v/>
      </c>
      <c r="B238" s="298">
        <f>'Supply planning data'!D236</f>
        <v>44652</v>
      </c>
      <c r="C238" s="105" t="str">
        <f>'Supply planning data'!E236</f>
        <v>No</v>
      </c>
      <c r="D238" s="105">
        <f>'Supply planning data'!F236</f>
        <v>0</v>
      </c>
      <c r="E238" s="320">
        <f>'Supply planning data'!G236</f>
        <v>0</v>
      </c>
      <c r="F238" s="320">
        <f>'Supply planning data'!H236</f>
        <v>0</v>
      </c>
      <c r="G238" s="320">
        <f>'Supply planning data'!I236</f>
        <v>0</v>
      </c>
      <c r="H238" s="105">
        <f>'Supply planning data'!J236</f>
        <v>0</v>
      </c>
      <c r="I238" s="320">
        <f>'Supply planning data'!K236</f>
        <v>0</v>
      </c>
      <c r="J238" s="177" t="str">
        <f>'Supply planning data'!L236</f>
        <v/>
      </c>
      <c r="K238" s="105">
        <f>'Supply planning data'!M236</f>
        <v>0</v>
      </c>
      <c r="L238" s="321">
        <f>'Supply planning data'!N236+'Supply planning data'!P236</f>
        <v>0</v>
      </c>
      <c r="M238" s="342">
        <f>'Supply planning data'!O236</f>
        <v>0</v>
      </c>
      <c r="N238" s="321">
        <f>'Supply planning data'!P236</f>
        <v>0</v>
      </c>
      <c r="O238" s="342">
        <f>'Supply planning data'!Q236</f>
        <v>0</v>
      </c>
      <c r="P238" s="111">
        <f>'Supply planning data'!R236</f>
        <v>0</v>
      </c>
      <c r="Q238" s="111">
        <f>'Supply planning data'!S236</f>
        <v>0</v>
      </c>
      <c r="R238" s="111">
        <f>'Supply planning data'!T236</f>
        <v>0</v>
      </c>
      <c r="S238" s="111">
        <f>'Supply planning data'!U236</f>
        <v>0</v>
      </c>
      <c r="T238" s="111">
        <f>'Supply planning data'!V236</f>
        <v>0</v>
      </c>
      <c r="U238" s="327" t="str">
        <f>'Supply planning data'!W236</f>
        <v/>
      </c>
      <c r="V238" s="111">
        <f>'Supply planning data'!X236</f>
        <v>0</v>
      </c>
      <c r="W238" s="321">
        <f>'Supply planning data'!Y236</f>
        <v>0</v>
      </c>
      <c r="X238" s="329">
        <f>'Supply planning data'!Z236</f>
        <v>0</v>
      </c>
      <c r="Y238" s="111">
        <f>'Supply planning data'!AA236</f>
        <v>0</v>
      </c>
      <c r="Z238" s="111">
        <f>'Supply planning data'!AB236</f>
        <v>0</v>
      </c>
      <c r="AA238" s="111">
        <f>'Supply planning data'!AC236</f>
        <v>0</v>
      </c>
      <c r="AB238" s="111">
        <f>'Supply planning data'!AD236</f>
        <v>0</v>
      </c>
      <c r="AC238" s="111">
        <f>'Supply planning data'!AE236</f>
        <v>0</v>
      </c>
      <c r="AD238" s="327" t="str">
        <f>'Supply planning data'!AF236</f>
        <v/>
      </c>
      <c r="AE238" s="111">
        <f>'Supply planning data'!AG236</f>
        <v>0</v>
      </c>
      <c r="AF238" s="321">
        <f>'Supply planning data'!AH236</f>
        <v>0</v>
      </c>
      <c r="AG238" s="349">
        <f>'Supply planning data'!AI236</f>
        <v>0</v>
      </c>
      <c r="AH238" s="111">
        <f>'Supply planning data'!AJ236</f>
        <v>0</v>
      </c>
      <c r="AI238" s="111">
        <f>'Supply planning data'!AK236</f>
        <v>0</v>
      </c>
      <c r="AJ238" s="111">
        <f>'Supply planning data'!AL236</f>
        <v>0</v>
      </c>
      <c r="AK238" s="111">
        <f>'Supply planning data'!AM236</f>
        <v>0</v>
      </c>
      <c r="AL238" s="111">
        <f>'Supply planning data'!AN236</f>
        <v>0</v>
      </c>
      <c r="AM238" s="327" t="str">
        <f>'Supply planning data'!AO236</f>
        <v/>
      </c>
    </row>
    <row r="239" spans="1:39" hidden="1" x14ac:dyDescent="0.25">
      <c r="A239" s="109" t="str">
        <f>'Supply planning data'!C237</f>
        <v/>
      </c>
      <c r="B239" s="298">
        <f>'Supply planning data'!D237</f>
        <v>44652</v>
      </c>
      <c r="C239" s="105" t="str">
        <f>'Supply planning data'!E237</f>
        <v>No</v>
      </c>
      <c r="D239" s="105">
        <f>'Supply planning data'!F237</f>
        <v>0</v>
      </c>
      <c r="E239" s="320">
        <f>'Supply planning data'!G237</f>
        <v>0</v>
      </c>
      <c r="F239" s="320">
        <f>'Supply planning data'!H237</f>
        <v>0</v>
      </c>
      <c r="G239" s="320">
        <f>'Supply planning data'!I237</f>
        <v>0</v>
      </c>
      <c r="H239" s="105">
        <f>'Supply planning data'!J237</f>
        <v>0</v>
      </c>
      <c r="I239" s="320">
        <f>'Supply planning data'!K237</f>
        <v>0</v>
      </c>
      <c r="J239" s="177" t="str">
        <f>'Supply planning data'!L237</f>
        <v/>
      </c>
      <c r="K239" s="105">
        <f>'Supply planning data'!M237</f>
        <v>0</v>
      </c>
      <c r="L239" s="321">
        <f>'Supply planning data'!N237+'Supply planning data'!P237</f>
        <v>0</v>
      </c>
      <c r="M239" s="342">
        <f>'Supply planning data'!O237</f>
        <v>0</v>
      </c>
      <c r="N239" s="321">
        <f>'Supply planning data'!P237</f>
        <v>0</v>
      </c>
      <c r="O239" s="342">
        <f>'Supply planning data'!Q237</f>
        <v>0</v>
      </c>
      <c r="P239" s="111">
        <f>'Supply planning data'!R237</f>
        <v>0</v>
      </c>
      <c r="Q239" s="111">
        <f>'Supply planning data'!S237</f>
        <v>0</v>
      </c>
      <c r="R239" s="111">
        <f>'Supply planning data'!T237</f>
        <v>0</v>
      </c>
      <c r="S239" s="111">
        <f>'Supply planning data'!U237</f>
        <v>0</v>
      </c>
      <c r="T239" s="111">
        <f>'Supply planning data'!V237</f>
        <v>0</v>
      </c>
      <c r="U239" s="327" t="str">
        <f>'Supply planning data'!W237</f>
        <v/>
      </c>
      <c r="V239" s="111">
        <f>'Supply planning data'!X237</f>
        <v>0</v>
      </c>
      <c r="W239" s="321">
        <f>'Supply planning data'!Y237</f>
        <v>0</v>
      </c>
      <c r="X239" s="329">
        <f>'Supply planning data'!Z237</f>
        <v>0</v>
      </c>
      <c r="Y239" s="111">
        <f>'Supply planning data'!AA237</f>
        <v>0</v>
      </c>
      <c r="Z239" s="111">
        <f>'Supply planning data'!AB237</f>
        <v>0</v>
      </c>
      <c r="AA239" s="111">
        <f>'Supply planning data'!AC237</f>
        <v>0</v>
      </c>
      <c r="AB239" s="111">
        <f>'Supply planning data'!AD237</f>
        <v>0</v>
      </c>
      <c r="AC239" s="111">
        <f>'Supply planning data'!AE237</f>
        <v>0</v>
      </c>
      <c r="AD239" s="327" t="str">
        <f>'Supply planning data'!AF237</f>
        <v/>
      </c>
      <c r="AE239" s="111">
        <f>'Supply planning data'!AG237</f>
        <v>0</v>
      </c>
      <c r="AF239" s="321">
        <f>'Supply planning data'!AH237</f>
        <v>0</v>
      </c>
      <c r="AG239" s="349">
        <f>'Supply planning data'!AI237</f>
        <v>0</v>
      </c>
      <c r="AH239" s="111">
        <f>'Supply planning data'!AJ237</f>
        <v>0</v>
      </c>
      <c r="AI239" s="111">
        <f>'Supply planning data'!AK237</f>
        <v>0</v>
      </c>
      <c r="AJ239" s="111">
        <f>'Supply planning data'!AL237</f>
        <v>0</v>
      </c>
      <c r="AK239" s="111">
        <f>'Supply planning data'!AM237</f>
        <v>0</v>
      </c>
      <c r="AL239" s="111">
        <f>'Supply planning data'!AN237</f>
        <v>0</v>
      </c>
      <c r="AM239" s="327" t="str">
        <f>'Supply planning data'!AO237</f>
        <v/>
      </c>
    </row>
    <row r="240" spans="1:39" hidden="1" x14ac:dyDescent="0.25">
      <c r="A240" s="104" t="str">
        <f>'Supply planning data'!C238</f>
        <v/>
      </c>
      <c r="B240" s="298">
        <f>'Supply planning data'!D238</f>
        <v>44652</v>
      </c>
      <c r="C240" s="105" t="str">
        <f>'Supply planning data'!E238</f>
        <v>No</v>
      </c>
      <c r="D240" s="105">
        <f>'Supply planning data'!F238</f>
        <v>0</v>
      </c>
      <c r="E240" s="320">
        <f>'Supply planning data'!G238</f>
        <v>0</v>
      </c>
      <c r="F240" s="320">
        <f>'Supply planning data'!H238</f>
        <v>0</v>
      </c>
      <c r="G240" s="320">
        <f>'Supply planning data'!I238</f>
        <v>0</v>
      </c>
      <c r="H240" s="105">
        <f>'Supply planning data'!J238</f>
        <v>0</v>
      </c>
      <c r="I240" s="320">
        <f>'Supply planning data'!K238</f>
        <v>0</v>
      </c>
      <c r="J240" s="177" t="str">
        <f>'Supply planning data'!L238</f>
        <v/>
      </c>
      <c r="K240" s="105">
        <f>'Supply planning data'!M238</f>
        <v>0</v>
      </c>
      <c r="L240" s="321">
        <f>'Supply planning data'!N238+'Supply planning data'!P238</f>
        <v>0</v>
      </c>
      <c r="M240" s="342">
        <f>'Supply planning data'!O238</f>
        <v>0</v>
      </c>
      <c r="N240" s="321">
        <f>'Supply planning data'!P238</f>
        <v>0</v>
      </c>
      <c r="O240" s="342">
        <f>'Supply planning data'!Q238</f>
        <v>0</v>
      </c>
      <c r="P240" s="111">
        <f>'Supply planning data'!R238</f>
        <v>0</v>
      </c>
      <c r="Q240" s="111">
        <f>'Supply planning data'!S238</f>
        <v>0</v>
      </c>
      <c r="R240" s="111">
        <f>'Supply planning data'!T238</f>
        <v>0</v>
      </c>
      <c r="S240" s="111">
        <f>'Supply planning data'!U238</f>
        <v>0</v>
      </c>
      <c r="T240" s="111">
        <f>'Supply planning data'!V238</f>
        <v>0</v>
      </c>
      <c r="U240" s="327" t="str">
        <f>'Supply planning data'!W238</f>
        <v/>
      </c>
      <c r="V240" s="111">
        <f>'Supply planning data'!X238</f>
        <v>0</v>
      </c>
      <c r="W240" s="321">
        <f>'Supply planning data'!Y238</f>
        <v>0</v>
      </c>
      <c r="X240" s="329">
        <f>'Supply planning data'!Z238</f>
        <v>0</v>
      </c>
      <c r="Y240" s="111">
        <f>'Supply planning data'!AA238</f>
        <v>0</v>
      </c>
      <c r="Z240" s="111">
        <f>'Supply planning data'!AB238</f>
        <v>0</v>
      </c>
      <c r="AA240" s="111">
        <f>'Supply planning data'!AC238</f>
        <v>0</v>
      </c>
      <c r="AB240" s="111">
        <f>'Supply planning data'!AD238</f>
        <v>0</v>
      </c>
      <c r="AC240" s="111">
        <f>'Supply planning data'!AE238</f>
        <v>0</v>
      </c>
      <c r="AD240" s="327" t="str">
        <f>'Supply planning data'!AF238</f>
        <v/>
      </c>
      <c r="AE240" s="111">
        <f>'Supply planning data'!AG238</f>
        <v>0</v>
      </c>
      <c r="AF240" s="321">
        <f>'Supply planning data'!AH238</f>
        <v>0</v>
      </c>
      <c r="AG240" s="349">
        <f>'Supply planning data'!AI238</f>
        <v>0</v>
      </c>
      <c r="AH240" s="111">
        <f>'Supply planning data'!AJ238</f>
        <v>0</v>
      </c>
      <c r="AI240" s="111">
        <f>'Supply planning data'!AK238</f>
        <v>0</v>
      </c>
      <c r="AJ240" s="111">
        <f>'Supply planning data'!AL238</f>
        <v>0</v>
      </c>
      <c r="AK240" s="111">
        <f>'Supply planning data'!AM238</f>
        <v>0</v>
      </c>
      <c r="AL240" s="111">
        <f>'Supply planning data'!AN238</f>
        <v>0</v>
      </c>
      <c r="AM240" s="327" t="str">
        <f>'Supply planning data'!AO238</f>
        <v/>
      </c>
    </row>
    <row r="241" spans="1:39" hidden="1" x14ac:dyDescent="0.25">
      <c r="A241" s="109" t="str">
        <f>'Supply planning data'!C239</f>
        <v/>
      </c>
      <c r="B241" s="298">
        <f>'Supply planning data'!D239</f>
        <v>44652</v>
      </c>
      <c r="C241" s="105" t="str">
        <f>'Supply planning data'!E239</f>
        <v>No</v>
      </c>
      <c r="D241" s="105">
        <f>'Supply planning data'!F239</f>
        <v>0</v>
      </c>
      <c r="E241" s="320">
        <f>'Supply planning data'!G239</f>
        <v>0</v>
      </c>
      <c r="F241" s="320">
        <f>'Supply planning data'!H239</f>
        <v>0</v>
      </c>
      <c r="G241" s="320">
        <f>'Supply planning data'!I239</f>
        <v>0</v>
      </c>
      <c r="H241" s="105">
        <f>'Supply planning data'!J239</f>
        <v>0</v>
      </c>
      <c r="I241" s="320">
        <f>'Supply planning data'!K239</f>
        <v>0</v>
      </c>
      <c r="J241" s="177" t="str">
        <f>'Supply planning data'!L239</f>
        <v/>
      </c>
      <c r="K241" s="105">
        <f>'Supply planning data'!M239</f>
        <v>0</v>
      </c>
      <c r="L241" s="321">
        <f>'Supply planning data'!N239+'Supply planning data'!P239</f>
        <v>0</v>
      </c>
      <c r="M241" s="342">
        <f>'Supply planning data'!O239</f>
        <v>0</v>
      </c>
      <c r="N241" s="321">
        <f>'Supply planning data'!P239</f>
        <v>0</v>
      </c>
      <c r="O241" s="342">
        <f>'Supply planning data'!Q239</f>
        <v>0</v>
      </c>
      <c r="P241" s="111">
        <f>'Supply planning data'!R239</f>
        <v>0</v>
      </c>
      <c r="Q241" s="111">
        <f>'Supply planning data'!S239</f>
        <v>0</v>
      </c>
      <c r="R241" s="111">
        <f>'Supply planning data'!T239</f>
        <v>0</v>
      </c>
      <c r="S241" s="111">
        <f>'Supply planning data'!U239</f>
        <v>0</v>
      </c>
      <c r="T241" s="111">
        <f>'Supply planning data'!V239</f>
        <v>0</v>
      </c>
      <c r="U241" s="327" t="str">
        <f>'Supply planning data'!W239</f>
        <v/>
      </c>
      <c r="V241" s="111">
        <f>'Supply planning data'!X239</f>
        <v>0</v>
      </c>
      <c r="W241" s="321">
        <f>'Supply planning data'!Y239</f>
        <v>0</v>
      </c>
      <c r="X241" s="329">
        <f>'Supply planning data'!Z239</f>
        <v>0</v>
      </c>
      <c r="Y241" s="111">
        <f>'Supply planning data'!AA239</f>
        <v>0</v>
      </c>
      <c r="Z241" s="111">
        <f>'Supply planning data'!AB239</f>
        <v>0</v>
      </c>
      <c r="AA241" s="111">
        <f>'Supply planning data'!AC239</f>
        <v>0</v>
      </c>
      <c r="AB241" s="111">
        <f>'Supply planning data'!AD239</f>
        <v>0</v>
      </c>
      <c r="AC241" s="111">
        <f>'Supply planning data'!AE239</f>
        <v>0</v>
      </c>
      <c r="AD241" s="327" t="str">
        <f>'Supply planning data'!AF239</f>
        <v/>
      </c>
      <c r="AE241" s="111">
        <f>'Supply planning data'!AG239</f>
        <v>0</v>
      </c>
      <c r="AF241" s="321">
        <f>'Supply planning data'!AH239</f>
        <v>0</v>
      </c>
      <c r="AG241" s="349">
        <f>'Supply planning data'!AI239</f>
        <v>0</v>
      </c>
      <c r="AH241" s="111">
        <f>'Supply planning data'!AJ239</f>
        <v>0</v>
      </c>
      <c r="AI241" s="111">
        <f>'Supply planning data'!AK239</f>
        <v>0</v>
      </c>
      <c r="AJ241" s="111">
        <f>'Supply planning data'!AL239</f>
        <v>0</v>
      </c>
      <c r="AK241" s="111">
        <f>'Supply planning data'!AM239</f>
        <v>0</v>
      </c>
      <c r="AL241" s="111">
        <f>'Supply planning data'!AN239</f>
        <v>0</v>
      </c>
      <c r="AM241" s="327" t="str">
        <f>'Supply planning data'!AO239</f>
        <v/>
      </c>
    </row>
    <row r="242" spans="1:39" hidden="1" x14ac:dyDescent="0.25">
      <c r="A242" s="104" t="str">
        <f>'Supply planning data'!C240</f>
        <v/>
      </c>
      <c r="B242" s="298">
        <f>'Supply planning data'!D240</f>
        <v>44652</v>
      </c>
      <c r="C242" s="105" t="str">
        <f>'Supply planning data'!E240</f>
        <v>No</v>
      </c>
      <c r="D242" s="105">
        <f>'Supply planning data'!F240</f>
        <v>0</v>
      </c>
      <c r="E242" s="320">
        <f>'Supply planning data'!G240</f>
        <v>0</v>
      </c>
      <c r="F242" s="320">
        <f>'Supply planning data'!H240</f>
        <v>0</v>
      </c>
      <c r="G242" s="320">
        <f>'Supply planning data'!I240</f>
        <v>0</v>
      </c>
      <c r="H242" s="105">
        <f>'Supply planning data'!J240</f>
        <v>0</v>
      </c>
      <c r="I242" s="320">
        <f>'Supply planning data'!K240</f>
        <v>0</v>
      </c>
      <c r="J242" s="177" t="str">
        <f>'Supply planning data'!L240</f>
        <v/>
      </c>
      <c r="K242" s="105">
        <f>'Supply planning data'!M240</f>
        <v>0</v>
      </c>
      <c r="L242" s="321">
        <f>'Supply planning data'!N240+'Supply planning data'!P240</f>
        <v>0</v>
      </c>
      <c r="M242" s="342">
        <f>'Supply planning data'!O240</f>
        <v>0</v>
      </c>
      <c r="N242" s="321">
        <f>'Supply planning data'!P240</f>
        <v>0</v>
      </c>
      <c r="O242" s="342">
        <f>'Supply planning data'!Q240</f>
        <v>0</v>
      </c>
      <c r="P242" s="111">
        <f>'Supply planning data'!R240</f>
        <v>0</v>
      </c>
      <c r="Q242" s="111">
        <f>'Supply planning data'!S240</f>
        <v>0</v>
      </c>
      <c r="R242" s="111">
        <f>'Supply planning data'!T240</f>
        <v>0</v>
      </c>
      <c r="S242" s="111">
        <f>'Supply planning data'!U240</f>
        <v>0</v>
      </c>
      <c r="T242" s="111">
        <f>'Supply planning data'!V240</f>
        <v>0</v>
      </c>
      <c r="U242" s="327" t="str">
        <f>'Supply planning data'!W240</f>
        <v/>
      </c>
      <c r="V242" s="111">
        <f>'Supply planning data'!X240</f>
        <v>0</v>
      </c>
      <c r="W242" s="321">
        <f>'Supply planning data'!Y240</f>
        <v>0</v>
      </c>
      <c r="X242" s="329">
        <f>'Supply planning data'!Z240</f>
        <v>0</v>
      </c>
      <c r="Y242" s="111">
        <f>'Supply planning data'!AA240</f>
        <v>0</v>
      </c>
      <c r="Z242" s="111">
        <f>'Supply planning data'!AB240</f>
        <v>0</v>
      </c>
      <c r="AA242" s="111">
        <f>'Supply planning data'!AC240</f>
        <v>0</v>
      </c>
      <c r="AB242" s="111">
        <f>'Supply planning data'!AD240</f>
        <v>0</v>
      </c>
      <c r="AC242" s="111">
        <f>'Supply planning data'!AE240</f>
        <v>0</v>
      </c>
      <c r="AD242" s="327" t="str">
        <f>'Supply planning data'!AF240</f>
        <v/>
      </c>
      <c r="AE242" s="111">
        <f>'Supply planning data'!AG240</f>
        <v>0</v>
      </c>
      <c r="AF242" s="321">
        <f>'Supply planning data'!AH240</f>
        <v>0</v>
      </c>
      <c r="AG242" s="349">
        <f>'Supply planning data'!AI240</f>
        <v>0</v>
      </c>
      <c r="AH242" s="111">
        <f>'Supply planning data'!AJ240</f>
        <v>0</v>
      </c>
      <c r="AI242" s="111">
        <f>'Supply planning data'!AK240</f>
        <v>0</v>
      </c>
      <c r="AJ242" s="111">
        <f>'Supply planning data'!AL240</f>
        <v>0</v>
      </c>
      <c r="AK242" s="111">
        <f>'Supply planning data'!AM240</f>
        <v>0</v>
      </c>
      <c r="AL242" s="111">
        <f>'Supply planning data'!AN240</f>
        <v>0</v>
      </c>
      <c r="AM242" s="327" t="str">
        <f>'Supply planning data'!AO240</f>
        <v/>
      </c>
    </row>
    <row r="243" spans="1:39" hidden="1" x14ac:dyDescent="0.25">
      <c r="A243" s="109" t="str">
        <f>'Supply planning data'!C241</f>
        <v/>
      </c>
      <c r="B243" s="298">
        <f>'Supply planning data'!D241</f>
        <v>44652</v>
      </c>
      <c r="C243" s="105" t="str">
        <f>'Supply planning data'!E241</f>
        <v>No</v>
      </c>
      <c r="D243" s="105">
        <f>'Supply planning data'!F241</f>
        <v>0</v>
      </c>
      <c r="E243" s="320">
        <f>'Supply planning data'!G241</f>
        <v>0</v>
      </c>
      <c r="F243" s="320">
        <f>'Supply planning data'!H241</f>
        <v>0</v>
      </c>
      <c r="G243" s="320">
        <f>'Supply planning data'!I241</f>
        <v>0</v>
      </c>
      <c r="H243" s="105">
        <f>'Supply planning data'!J241</f>
        <v>0</v>
      </c>
      <c r="I243" s="320">
        <f>'Supply planning data'!K241</f>
        <v>0</v>
      </c>
      <c r="J243" s="177" t="str">
        <f>'Supply planning data'!L241</f>
        <v/>
      </c>
      <c r="K243" s="105">
        <f>'Supply planning data'!M241</f>
        <v>0</v>
      </c>
      <c r="L243" s="321">
        <f>'Supply planning data'!N241+'Supply planning data'!P241</f>
        <v>0</v>
      </c>
      <c r="M243" s="342">
        <f>'Supply planning data'!O241</f>
        <v>0</v>
      </c>
      <c r="N243" s="321">
        <f>'Supply planning data'!P241</f>
        <v>0</v>
      </c>
      <c r="O243" s="342">
        <f>'Supply planning data'!Q241</f>
        <v>0</v>
      </c>
      <c r="P243" s="111">
        <f>'Supply planning data'!R241</f>
        <v>0</v>
      </c>
      <c r="Q243" s="111">
        <f>'Supply planning data'!S241</f>
        <v>0</v>
      </c>
      <c r="R243" s="111">
        <f>'Supply planning data'!T241</f>
        <v>0</v>
      </c>
      <c r="S243" s="111">
        <f>'Supply planning data'!U241</f>
        <v>0</v>
      </c>
      <c r="T243" s="111">
        <f>'Supply planning data'!V241</f>
        <v>0</v>
      </c>
      <c r="U243" s="327" t="str">
        <f>'Supply planning data'!W241</f>
        <v/>
      </c>
      <c r="V243" s="111">
        <f>'Supply planning data'!X241</f>
        <v>0</v>
      </c>
      <c r="W243" s="321">
        <f>'Supply planning data'!Y241</f>
        <v>0</v>
      </c>
      <c r="X243" s="329">
        <f>'Supply planning data'!Z241</f>
        <v>0</v>
      </c>
      <c r="Y243" s="111">
        <f>'Supply planning data'!AA241</f>
        <v>0</v>
      </c>
      <c r="Z243" s="111">
        <f>'Supply planning data'!AB241</f>
        <v>0</v>
      </c>
      <c r="AA243" s="111">
        <f>'Supply planning data'!AC241</f>
        <v>0</v>
      </c>
      <c r="AB243" s="111">
        <f>'Supply planning data'!AD241</f>
        <v>0</v>
      </c>
      <c r="AC243" s="111">
        <f>'Supply planning data'!AE241</f>
        <v>0</v>
      </c>
      <c r="AD243" s="327" t="str">
        <f>'Supply planning data'!AF241</f>
        <v/>
      </c>
      <c r="AE243" s="111">
        <f>'Supply planning data'!AG241</f>
        <v>0</v>
      </c>
      <c r="AF243" s="321">
        <f>'Supply planning data'!AH241</f>
        <v>0</v>
      </c>
      <c r="AG243" s="349">
        <f>'Supply planning data'!AI241</f>
        <v>0</v>
      </c>
      <c r="AH243" s="111">
        <f>'Supply planning data'!AJ241</f>
        <v>0</v>
      </c>
      <c r="AI243" s="111">
        <f>'Supply planning data'!AK241</f>
        <v>0</v>
      </c>
      <c r="AJ243" s="111">
        <f>'Supply planning data'!AL241</f>
        <v>0</v>
      </c>
      <c r="AK243" s="111">
        <f>'Supply planning data'!AM241</f>
        <v>0</v>
      </c>
      <c r="AL243" s="111">
        <f>'Supply planning data'!AN241</f>
        <v>0</v>
      </c>
      <c r="AM243" s="327" t="str">
        <f>'Supply planning data'!AO241</f>
        <v/>
      </c>
    </row>
    <row r="244" spans="1:39" hidden="1" x14ac:dyDescent="0.25">
      <c r="A244" s="104" t="str">
        <f>'Supply planning data'!C242</f>
        <v/>
      </c>
      <c r="B244" s="298">
        <f>'Supply planning data'!D242</f>
        <v>44652</v>
      </c>
      <c r="C244" s="105" t="str">
        <f>'Supply planning data'!E242</f>
        <v>No</v>
      </c>
      <c r="D244" s="105">
        <f>'Supply planning data'!F242</f>
        <v>0</v>
      </c>
      <c r="E244" s="320">
        <f>'Supply planning data'!G242</f>
        <v>0</v>
      </c>
      <c r="F244" s="320">
        <f>'Supply planning data'!H242</f>
        <v>0</v>
      </c>
      <c r="G244" s="320">
        <f>'Supply planning data'!I242</f>
        <v>0</v>
      </c>
      <c r="H244" s="105">
        <f>'Supply planning data'!J242</f>
        <v>0</v>
      </c>
      <c r="I244" s="320">
        <f>'Supply planning data'!K242</f>
        <v>0</v>
      </c>
      <c r="J244" s="177" t="str">
        <f>'Supply planning data'!L242</f>
        <v/>
      </c>
      <c r="K244" s="105">
        <f>'Supply planning data'!M242</f>
        <v>0</v>
      </c>
      <c r="L244" s="321">
        <f>'Supply planning data'!N242+'Supply planning data'!P242</f>
        <v>0</v>
      </c>
      <c r="M244" s="342">
        <f>'Supply planning data'!O242</f>
        <v>0</v>
      </c>
      <c r="N244" s="321">
        <f>'Supply planning data'!P242</f>
        <v>0</v>
      </c>
      <c r="O244" s="342">
        <f>'Supply planning data'!Q242</f>
        <v>0</v>
      </c>
      <c r="P244" s="111">
        <f>'Supply planning data'!R242</f>
        <v>0</v>
      </c>
      <c r="Q244" s="111">
        <f>'Supply planning data'!S242</f>
        <v>0</v>
      </c>
      <c r="R244" s="111">
        <f>'Supply planning data'!T242</f>
        <v>0</v>
      </c>
      <c r="S244" s="111">
        <f>'Supply planning data'!U242</f>
        <v>0</v>
      </c>
      <c r="T244" s="111">
        <f>'Supply planning data'!V242</f>
        <v>0</v>
      </c>
      <c r="U244" s="327" t="str">
        <f>'Supply planning data'!W242</f>
        <v/>
      </c>
      <c r="V244" s="111">
        <f>'Supply planning data'!X242</f>
        <v>0</v>
      </c>
      <c r="W244" s="321">
        <f>'Supply planning data'!Y242</f>
        <v>0</v>
      </c>
      <c r="X244" s="329">
        <f>'Supply planning data'!Z242</f>
        <v>0</v>
      </c>
      <c r="Y244" s="111">
        <f>'Supply planning data'!AA242</f>
        <v>0</v>
      </c>
      <c r="Z244" s="111">
        <f>'Supply planning data'!AB242</f>
        <v>0</v>
      </c>
      <c r="AA244" s="111">
        <f>'Supply planning data'!AC242</f>
        <v>0</v>
      </c>
      <c r="AB244" s="111">
        <f>'Supply planning data'!AD242</f>
        <v>0</v>
      </c>
      <c r="AC244" s="111">
        <f>'Supply planning data'!AE242</f>
        <v>0</v>
      </c>
      <c r="AD244" s="327" t="str">
        <f>'Supply planning data'!AF242</f>
        <v/>
      </c>
      <c r="AE244" s="111">
        <f>'Supply planning data'!AG242</f>
        <v>0</v>
      </c>
      <c r="AF244" s="321">
        <f>'Supply planning data'!AH242</f>
        <v>0</v>
      </c>
      <c r="AG244" s="349">
        <f>'Supply planning data'!AI242</f>
        <v>0</v>
      </c>
      <c r="AH244" s="111">
        <f>'Supply planning data'!AJ242</f>
        <v>0</v>
      </c>
      <c r="AI244" s="111">
        <f>'Supply planning data'!AK242</f>
        <v>0</v>
      </c>
      <c r="AJ244" s="111">
        <f>'Supply planning data'!AL242</f>
        <v>0</v>
      </c>
      <c r="AK244" s="111">
        <f>'Supply planning data'!AM242</f>
        <v>0</v>
      </c>
      <c r="AL244" s="111">
        <f>'Supply planning data'!AN242</f>
        <v>0</v>
      </c>
      <c r="AM244" s="327" t="str">
        <f>'Supply planning data'!AO242</f>
        <v/>
      </c>
    </row>
    <row r="245" spans="1:39" hidden="1" x14ac:dyDescent="0.25">
      <c r="A245" s="109" t="str">
        <f>'Supply planning data'!C243</f>
        <v/>
      </c>
      <c r="B245" s="298">
        <f>'Supply planning data'!D243</f>
        <v>44652</v>
      </c>
      <c r="C245" s="105" t="str">
        <f>'Supply planning data'!E243</f>
        <v>No</v>
      </c>
      <c r="D245" s="105">
        <f>'Supply planning data'!F243</f>
        <v>0</v>
      </c>
      <c r="E245" s="320">
        <f>'Supply planning data'!G243</f>
        <v>0</v>
      </c>
      <c r="F245" s="320">
        <f>'Supply planning data'!H243</f>
        <v>0</v>
      </c>
      <c r="G245" s="320">
        <f>'Supply planning data'!I243</f>
        <v>0</v>
      </c>
      <c r="H245" s="105">
        <f>'Supply planning data'!J243</f>
        <v>0</v>
      </c>
      <c r="I245" s="320">
        <f>'Supply planning data'!K243</f>
        <v>0</v>
      </c>
      <c r="J245" s="177" t="str">
        <f>'Supply planning data'!L243</f>
        <v/>
      </c>
      <c r="K245" s="105">
        <f>'Supply planning data'!M243</f>
        <v>0</v>
      </c>
      <c r="L245" s="321">
        <f>'Supply planning data'!N243+'Supply planning data'!P243</f>
        <v>0</v>
      </c>
      <c r="M245" s="342">
        <f>'Supply planning data'!O243</f>
        <v>0</v>
      </c>
      <c r="N245" s="321">
        <f>'Supply planning data'!P243</f>
        <v>0</v>
      </c>
      <c r="O245" s="342">
        <f>'Supply planning data'!Q243</f>
        <v>0</v>
      </c>
      <c r="P245" s="111">
        <f>'Supply planning data'!R243</f>
        <v>0</v>
      </c>
      <c r="Q245" s="111">
        <f>'Supply planning data'!S243</f>
        <v>0</v>
      </c>
      <c r="R245" s="111">
        <f>'Supply planning data'!T243</f>
        <v>0</v>
      </c>
      <c r="S245" s="111">
        <f>'Supply planning data'!U243</f>
        <v>0</v>
      </c>
      <c r="T245" s="111">
        <f>'Supply planning data'!V243</f>
        <v>0</v>
      </c>
      <c r="U245" s="327" t="str">
        <f>'Supply planning data'!W243</f>
        <v/>
      </c>
      <c r="V245" s="111">
        <f>'Supply planning data'!X243</f>
        <v>0</v>
      </c>
      <c r="W245" s="321">
        <f>'Supply planning data'!Y243</f>
        <v>0</v>
      </c>
      <c r="X245" s="329">
        <f>'Supply planning data'!Z243</f>
        <v>0</v>
      </c>
      <c r="Y245" s="111">
        <f>'Supply planning data'!AA243</f>
        <v>0</v>
      </c>
      <c r="Z245" s="111">
        <f>'Supply planning data'!AB243</f>
        <v>0</v>
      </c>
      <c r="AA245" s="111">
        <f>'Supply planning data'!AC243</f>
        <v>0</v>
      </c>
      <c r="AB245" s="111">
        <f>'Supply planning data'!AD243</f>
        <v>0</v>
      </c>
      <c r="AC245" s="111">
        <f>'Supply planning data'!AE243</f>
        <v>0</v>
      </c>
      <c r="AD245" s="327" t="str">
        <f>'Supply planning data'!AF243</f>
        <v/>
      </c>
      <c r="AE245" s="111">
        <f>'Supply planning data'!AG243</f>
        <v>0</v>
      </c>
      <c r="AF245" s="321">
        <f>'Supply planning data'!AH243</f>
        <v>0</v>
      </c>
      <c r="AG245" s="349">
        <f>'Supply planning data'!AI243</f>
        <v>0</v>
      </c>
      <c r="AH245" s="111">
        <f>'Supply planning data'!AJ243</f>
        <v>0</v>
      </c>
      <c r="AI245" s="111">
        <f>'Supply planning data'!AK243</f>
        <v>0</v>
      </c>
      <c r="AJ245" s="111">
        <f>'Supply planning data'!AL243</f>
        <v>0</v>
      </c>
      <c r="AK245" s="111">
        <f>'Supply planning data'!AM243</f>
        <v>0</v>
      </c>
      <c r="AL245" s="111">
        <f>'Supply planning data'!AN243</f>
        <v>0</v>
      </c>
      <c r="AM245" s="327" t="str">
        <f>'Supply planning data'!AO243</f>
        <v/>
      </c>
    </row>
    <row r="246" spans="1:39" hidden="1" x14ac:dyDescent="0.25">
      <c r="A246" s="104" t="str">
        <f>'Supply planning data'!C244</f>
        <v/>
      </c>
      <c r="B246" s="298">
        <f>'Supply planning data'!D244</f>
        <v>44652</v>
      </c>
      <c r="C246" s="105" t="str">
        <f>'Supply planning data'!E244</f>
        <v>No</v>
      </c>
      <c r="D246" s="105">
        <f>'Supply planning data'!F244</f>
        <v>0</v>
      </c>
      <c r="E246" s="320">
        <f>'Supply planning data'!G244</f>
        <v>0</v>
      </c>
      <c r="F246" s="320">
        <f>'Supply planning data'!H244</f>
        <v>0</v>
      </c>
      <c r="G246" s="320">
        <f>'Supply planning data'!I244</f>
        <v>0</v>
      </c>
      <c r="H246" s="105">
        <f>'Supply planning data'!J244</f>
        <v>0</v>
      </c>
      <c r="I246" s="320">
        <f>'Supply planning data'!K244</f>
        <v>0</v>
      </c>
      <c r="J246" s="177" t="str">
        <f>'Supply planning data'!L244</f>
        <v/>
      </c>
      <c r="K246" s="105">
        <f>'Supply planning data'!M244</f>
        <v>0</v>
      </c>
      <c r="L246" s="321">
        <f>'Supply planning data'!N244+'Supply planning data'!P244</f>
        <v>0</v>
      </c>
      <c r="M246" s="342">
        <f>'Supply planning data'!O244</f>
        <v>0</v>
      </c>
      <c r="N246" s="321">
        <f>'Supply planning data'!P244</f>
        <v>0</v>
      </c>
      <c r="O246" s="342">
        <f>'Supply planning data'!Q244</f>
        <v>0</v>
      </c>
      <c r="P246" s="111">
        <f>'Supply planning data'!R244</f>
        <v>0</v>
      </c>
      <c r="Q246" s="111">
        <f>'Supply planning data'!S244</f>
        <v>0</v>
      </c>
      <c r="R246" s="111">
        <f>'Supply planning data'!T244</f>
        <v>0</v>
      </c>
      <c r="S246" s="111">
        <f>'Supply planning data'!U244</f>
        <v>0</v>
      </c>
      <c r="T246" s="111">
        <f>'Supply planning data'!V244</f>
        <v>0</v>
      </c>
      <c r="U246" s="327" t="str">
        <f>'Supply planning data'!W244</f>
        <v/>
      </c>
      <c r="V246" s="111">
        <f>'Supply planning data'!X244</f>
        <v>0</v>
      </c>
      <c r="W246" s="321">
        <f>'Supply planning data'!Y244</f>
        <v>0</v>
      </c>
      <c r="X246" s="329">
        <f>'Supply planning data'!Z244</f>
        <v>0</v>
      </c>
      <c r="Y246" s="111">
        <f>'Supply planning data'!AA244</f>
        <v>0</v>
      </c>
      <c r="Z246" s="111">
        <f>'Supply planning data'!AB244</f>
        <v>0</v>
      </c>
      <c r="AA246" s="111">
        <f>'Supply planning data'!AC244</f>
        <v>0</v>
      </c>
      <c r="AB246" s="111">
        <f>'Supply planning data'!AD244</f>
        <v>0</v>
      </c>
      <c r="AC246" s="111">
        <f>'Supply planning data'!AE244</f>
        <v>0</v>
      </c>
      <c r="AD246" s="327" t="str">
        <f>'Supply planning data'!AF244</f>
        <v/>
      </c>
      <c r="AE246" s="111">
        <f>'Supply planning data'!AG244</f>
        <v>0</v>
      </c>
      <c r="AF246" s="321">
        <f>'Supply planning data'!AH244</f>
        <v>0</v>
      </c>
      <c r="AG246" s="349">
        <f>'Supply planning data'!AI244</f>
        <v>0</v>
      </c>
      <c r="AH246" s="111">
        <f>'Supply planning data'!AJ244</f>
        <v>0</v>
      </c>
      <c r="AI246" s="111">
        <f>'Supply planning data'!AK244</f>
        <v>0</v>
      </c>
      <c r="AJ246" s="111">
        <f>'Supply planning data'!AL244</f>
        <v>0</v>
      </c>
      <c r="AK246" s="111">
        <f>'Supply planning data'!AM244</f>
        <v>0</v>
      </c>
      <c r="AL246" s="111">
        <f>'Supply planning data'!AN244</f>
        <v>0</v>
      </c>
      <c r="AM246" s="327" t="str">
        <f>'Supply planning data'!AO244</f>
        <v/>
      </c>
    </row>
    <row r="247" spans="1:39" x14ac:dyDescent="0.25">
      <c r="A247" s="90" t="str">
        <f>'Supply planning data'!C245</f>
        <v>AstraZeneca</v>
      </c>
      <c r="B247" s="296">
        <f>'Supply planning data'!D245</f>
        <v>44682</v>
      </c>
      <c r="C247" s="92" t="str">
        <f>'Supply planning data'!E245</f>
        <v>Yes</v>
      </c>
      <c r="D247" s="92">
        <f>'Supply planning data'!F245</f>
        <v>0</v>
      </c>
      <c r="E247" s="316">
        <f>'Supply planning data'!G245</f>
        <v>0</v>
      </c>
      <c r="F247" s="316">
        <f>'Supply planning data'!H245</f>
        <v>0</v>
      </c>
      <c r="G247" s="316">
        <f>'Supply planning data'!I245</f>
        <v>0</v>
      </c>
      <c r="H247" s="92">
        <f>'Supply planning data'!J245</f>
        <v>0</v>
      </c>
      <c r="I247" s="316">
        <f>'Supply planning data'!K245</f>
        <v>0</v>
      </c>
      <c r="J247" s="174" t="str">
        <f>'Supply planning data'!L245</f>
        <v/>
      </c>
      <c r="K247" s="92">
        <f>'Supply planning data'!M245</f>
        <v>0</v>
      </c>
      <c r="L247" s="316">
        <f>'Supply planning data'!N245+'Supply planning data'!P245</f>
        <v>0</v>
      </c>
      <c r="M247" s="343">
        <f>'Supply planning data'!O245</f>
        <v>0</v>
      </c>
      <c r="N247" s="316">
        <f>'Supply planning data'!P245</f>
        <v>0</v>
      </c>
      <c r="O247" s="343">
        <f>'Supply planning data'!Q245</f>
        <v>0</v>
      </c>
      <c r="P247" s="92">
        <f>'Supply planning data'!R245</f>
        <v>0</v>
      </c>
      <c r="Q247" s="92">
        <f>'Supply planning data'!S245</f>
        <v>0</v>
      </c>
      <c r="R247" s="92">
        <f>'Supply planning data'!T245</f>
        <v>0</v>
      </c>
      <c r="S247" s="92">
        <f>'Supply planning data'!U245</f>
        <v>0</v>
      </c>
      <c r="T247" s="92">
        <f>'Supply planning data'!V245</f>
        <v>0</v>
      </c>
      <c r="U247" s="324" t="str">
        <f>'Supply planning data'!W245</f>
        <v/>
      </c>
      <c r="V247" s="92">
        <f>'Supply planning data'!X245</f>
        <v>714701</v>
      </c>
      <c r="W247" s="316">
        <f>'Supply planning data'!Y245</f>
        <v>80000</v>
      </c>
      <c r="X247" s="328">
        <f>'Supply planning data'!Z245</f>
        <v>0</v>
      </c>
      <c r="Y247" s="92">
        <f>'Supply planning data'!AA245</f>
        <v>80000</v>
      </c>
      <c r="Z247" s="92">
        <f>'Supply planning data'!AB245</f>
        <v>0</v>
      </c>
      <c r="AA247" s="92">
        <f>'Supply planning data'!AC245</f>
        <v>0</v>
      </c>
      <c r="AB247" s="92">
        <f>'Supply planning data'!AD245</f>
        <v>0</v>
      </c>
      <c r="AC247" s="92">
        <f>'Supply planning data'!AE245</f>
        <v>634701</v>
      </c>
      <c r="AD247" s="324">
        <f>'Supply planning data'!AF245</f>
        <v>7.9337625000000003</v>
      </c>
      <c r="AE247" s="92">
        <f>'Supply planning data'!AG245</f>
        <v>0</v>
      </c>
      <c r="AF247" s="316">
        <f>'Supply planning data'!AH245</f>
        <v>0</v>
      </c>
      <c r="AG247" s="174">
        <f>'Supply planning data'!AI245</f>
        <v>0</v>
      </c>
      <c r="AH247" s="92">
        <f>'Supply planning data'!AJ245</f>
        <v>0</v>
      </c>
      <c r="AI247" s="92">
        <f>'Supply planning data'!AK245</f>
        <v>0</v>
      </c>
      <c r="AJ247" s="92">
        <f>'Supply planning data'!AL245</f>
        <v>0</v>
      </c>
      <c r="AK247" s="92">
        <f>'Supply planning data'!AM245</f>
        <v>0</v>
      </c>
      <c r="AL247" s="92">
        <f>'Supply planning data'!AN245</f>
        <v>0</v>
      </c>
      <c r="AM247" s="324" t="str">
        <f>'Supply planning data'!AO245</f>
        <v/>
      </c>
    </row>
    <row r="248" spans="1:39" x14ac:dyDescent="0.25">
      <c r="A248" s="90" t="str">
        <f>'Supply planning data'!C246</f>
        <v>Jansen</v>
      </c>
      <c r="B248" s="296">
        <f>'Supply planning data'!D246</f>
        <v>44682</v>
      </c>
      <c r="C248" s="92" t="str">
        <f>'Supply planning data'!E246</f>
        <v>Yes</v>
      </c>
      <c r="D248" s="92">
        <f>'Supply planning data'!F246</f>
        <v>2058747</v>
      </c>
      <c r="E248" s="316">
        <f>'Supply planning data'!G246</f>
        <v>0</v>
      </c>
      <c r="F248" s="317">
        <f>'Supply planning data'!H246</f>
        <v>0</v>
      </c>
      <c r="G248" s="317">
        <f>'Supply planning data'!I246</f>
        <v>0</v>
      </c>
      <c r="H248" s="98">
        <f>'Supply planning data'!J246</f>
        <v>0</v>
      </c>
      <c r="I248" s="317">
        <f>'Supply planning data'!K246</f>
        <v>0</v>
      </c>
      <c r="J248" s="175" t="str">
        <f>'Supply planning data'!L246</f>
        <v/>
      </c>
      <c r="K248" s="98">
        <f>'Supply planning data'!M246</f>
        <v>0</v>
      </c>
      <c r="L248" s="317">
        <f>'Supply planning data'!N246+'Supply planning data'!P246</f>
        <v>0</v>
      </c>
      <c r="M248" s="339">
        <f>'Supply planning data'!O246</f>
        <v>0</v>
      </c>
      <c r="N248" s="317">
        <f>'Supply planning data'!P246</f>
        <v>0</v>
      </c>
      <c r="O248" s="339">
        <f>'Supply planning data'!Q246</f>
        <v>0</v>
      </c>
      <c r="P248" s="98">
        <f>'Supply planning data'!R246</f>
        <v>0</v>
      </c>
      <c r="Q248" s="98">
        <f>'Supply planning data'!S246</f>
        <v>0</v>
      </c>
      <c r="R248" s="98">
        <f>'Supply planning data'!T246</f>
        <v>0</v>
      </c>
      <c r="S248" s="98">
        <f>'Supply planning data'!U246</f>
        <v>0</v>
      </c>
      <c r="T248" s="98">
        <f>'Supply planning data'!V246</f>
        <v>2058747</v>
      </c>
      <c r="U248" s="325" t="str">
        <f>'Supply planning data'!W246</f>
        <v/>
      </c>
      <c r="V248" s="98">
        <f>'Supply planning data'!X246</f>
        <v>2058747</v>
      </c>
      <c r="W248" s="317">
        <f>'Supply planning data'!Y246</f>
        <v>80000</v>
      </c>
      <c r="X248" s="328">
        <f>'Supply planning data'!Z246</f>
        <v>0</v>
      </c>
      <c r="Y248" s="98">
        <f>'Supply planning data'!AA246</f>
        <v>80000</v>
      </c>
      <c r="Z248" s="98">
        <f>'Supply planning data'!AB246</f>
        <v>0</v>
      </c>
      <c r="AA248" s="98">
        <f>'Supply planning data'!AC246</f>
        <v>0</v>
      </c>
      <c r="AB248" s="98">
        <f>'Supply planning data'!AD246</f>
        <v>0</v>
      </c>
      <c r="AC248" s="98">
        <f>'Supply planning data'!AE246</f>
        <v>1978747</v>
      </c>
      <c r="AD248" s="325">
        <f>'Supply planning data'!AF246</f>
        <v>24.734337499999999</v>
      </c>
      <c r="AE248" s="98">
        <f>'Supply planning data'!AG246</f>
        <v>2058747</v>
      </c>
      <c r="AF248" s="317">
        <f>'Supply planning data'!AH246</f>
        <v>0</v>
      </c>
      <c r="AG248" s="175">
        <f>'Supply planning data'!AI246</f>
        <v>0</v>
      </c>
      <c r="AH248" s="98">
        <f>'Supply planning data'!AJ246</f>
        <v>0</v>
      </c>
      <c r="AI248" s="98">
        <f>'Supply planning data'!AK246</f>
        <v>0</v>
      </c>
      <c r="AJ248" s="98">
        <f>'Supply planning data'!AL246</f>
        <v>0</v>
      </c>
      <c r="AK248" s="98">
        <f>'Supply planning data'!AM246</f>
        <v>0</v>
      </c>
      <c r="AL248" s="98">
        <f>'Supply planning data'!AN246</f>
        <v>2058747</v>
      </c>
      <c r="AM248" s="325" t="str">
        <f>'Supply planning data'!AO246</f>
        <v/>
      </c>
    </row>
    <row r="249" spans="1:39" x14ac:dyDescent="0.25">
      <c r="A249" s="90" t="str">
        <f>'Supply planning data'!C247</f>
        <v>Moderna</v>
      </c>
      <c r="B249" s="296">
        <f>'Supply planning data'!D247</f>
        <v>44682</v>
      </c>
      <c r="C249" s="92" t="str">
        <f>'Supply planning data'!E247</f>
        <v>No</v>
      </c>
      <c r="D249" s="92">
        <f>'Supply planning data'!F247</f>
        <v>0</v>
      </c>
      <c r="E249" s="316">
        <f>'Supply planning data'!G247</f>
        <v>0</v>
      </c>
      <c r="F249" s="317">
        <f>'Supply planning data'!H247</f>
        <v>0</v>
      </c>
      <c r="G249" s="317">
        <f>'Supply planning data'!I247</f>
        <v>0</v>
      </c>
      <c r="H249" s="98">
        <f>'Supply planning data'!J247</f>
        <v>0</v>
      </c>
      <c r="I249" s="317">
        <f>'Supply planning data'!K247</f>
        <v>0</v>
      </c>
      <c r="J249" s="175" t="str">
        <f>'Supply planning data'!L247</f>
        <v/>
      </c>
      <c r="K249" s="98">
        <f>'Supply planning data'!M247</f>
        <v>0</v>
      </c>
      <c r="L249" s="317">
        <f>'Supply planning data'!N247+'Supply planning data'!P247</f>
        <v>0</v>
      </c>
      <c r="M249" s="339">
        <f>'Supply planning data'!O247</f>
        <v>0</v>
      </c>
      <c r="N249" s="317">
        <f>'Supply planning data'!P247</f>
        <v>0</v>
      </c>
      <c r="O249" s="339">
        <f>'Supply planning data'!Q247</f>
        <v>0</v>
      </c>
      <c r="P249" s="98">
        <f>'Supply planning data'!R247</f>
        <v>0</v>
      </c>
      <c r="Q249" s="98">
        <f>'Supply planning data'!S247</f>
        <v>0</v>
      </c>
      <c r="R249" s="98">
        <f>'Supply planning data'!T247</f>
        <v>0</v>
      </c>
      <c r="S249" s="98">
        <f>'Supply planning data'!U247</f>
        <v>0</v>
      </c>
      <c r="T249" s="98">
        <f>'Supply planning data'!V247</f>
        <v>0</v>
      </c>
      <c r="U249" s="325" t="str">
        <f>'Supply planning data'!W247</f>
        <v/>
      </c>
      <c r="V249" s="98">
        <f>'Supply planning data'!X247</f>
        <v>0</v>
      </c>
      <c r="W249" s="317">
        <f>'Supply planning data'!Y247</f>
        <v>80000</v>
      </c>
      <c r="X249" s="328">
        <f>'Supply planning data'!Z247</f>
        <v>0</v>
      </c>
      <c r="Y249" s="98">
        <f>'Supply planning data'!AA247</f>
        <v>80000</v>
      </c>
      <c r="Z249" s="98">
        <f>'Supply planning data'!AB247</f>
        <v>0</v>
      </c>
      <c r="AA249" s="98">
        <f>'Supply planning data'!AC247</f>
        <v>0</v>
      </c>
      <c r="AB249" s="98">
        <f>'Supply planning data'!AD247</f>
        <v>0</v>
      </c>
      <c r="AC249" s="98">
        <f>'Supply planning data'!AE247</f>
        <v>0</v>
      </c>
      <c r="AD249" s="325">
        <f>'Supply planning data'!AF247</f>
        <v>0</v>
      </c>
      <c r="AE249" s="98">
        <f>'Supply planning data'!AG247</f>
        <v>0</v>
      </c>
      <c r="AF249" s="317">
        <f>'Supply planning data'!AH247</f>
        <v>0</v>
      </c>
      <c r="AG249" s="175">
        <f>'Supply planning data'!AI247</f>
        <v>0</v>
      </c>
      <c r="AH249" s="98">
        <f>'Supply planning data'!AJ247</f>
        <v>0</v>
      </c>
      <c r="AI249" s="98">
        <f>'Supply planning data'!AK247</f>
        <v>0</v>
      </c>
      <c r="AJ249" s="98">
        <f>'Supply planning data'!AL247</f>
        <v>0</v>
      </c>
      <c r="AK249" s="98">
        <f>'Supply planning data'!AM247</f>
        <v>0</v>
      </c>
      <c r="AL249" s="98">
        <f>'Supply planning data'!AN247</f>
        <v>0</v>
      </c>
      <c r="AM249" s="325" t="str">
        <f>'Supply planning data'!AO247</f>
        <v/>
      </c>
    </row>
    <row r="250" spans="1:39" x14ac:dyDescent="0.25">
      <c r="A250" s="90" t="str">
        <f>'Supply planning data'!C248</f>
        <v>Pfizer</v>
      </c>
      <c r="B250" s="296">
        <f>'Supply planning data'!D248</f>
        <v>44682</v>
      </c>
      <c r="C250" s="92" t="str">
        <f>'Supply planning data'!E248</f>
        <v>Yes</v>
      </c>
      <c r="D250" s="92">
        <f>'Supply planning data'!F248</f>
        <v>110538</v>
      </c>
      <c r="E250" s="316">
        <f>'Supply planning data'!G248</f>
        <v>0</v>
      </c>
      <c r="F250" s="317">
        <f>'Supply planning data'!H248</f>
        <v>0</v>
      </c>
      <c r="G250" s="317">
        <f>'Supply planning data'!I248</f>
        <v>0</v>
      </c>
      <c r="H250" s="98">
        <f>'Supply planning data'!J248</f>
        <v>0</v>
      </c>
      <c r="I250" s="317">
        <f>'Supply planning data'!K248</f>
        <v>0</v>
      </c>
      <c r="J250" s="175" t="str">
        <f>'Supply planning data'!L248</f>
        <v/>
      </c>
      <c r="K250" s="98">
        <f>'Supply planning data'!M248</f>
        <v>0</v>
      </c>
      <c r="L250" s="317">
        <f>'Supply planning data'!N248+'Supply planning data'!P248</f>
        <v>0</v>
      </c>
      <c r="M250" s="339">
        <f>'Supply planning data'!O248</f>
        <v>0</v>
      </c>
      <c r="N250" s="317">
        <f>'Supply planning data'!P248</f>
        <v>0</v>
      </c>
      <c r="O250" s="339">
        <f>'Supply planning data'!Q248</f>
        <v>0</v>
      </c>
      <c r="P250" s="98">
        <f>'Supply planning data'!R248</f>
        <v>0</v>
      </c>
      <c r="Q250" s="98">
        <f>'Supply planning data'!S248</f>
        <v>0</v>
      </c>
      <c r="R250" s="98">
        <f>'Supply planning data'!T248</f>
        <v>0</v>
      </c>
      <c r="S250" s="98">
        <f>'Supply planning data'!U248</f>
        <v>0</v>
      </c>
      <c r="T250" s="98">
        <f>'Supply planning data'!V248</f>
        <v>110538</v>
      </c>
      <c r="U250" s="325" t="str">
        <f>'Supply planning data'!W248</f>
        <v/>
      </c>
      <c r="V250" s="98">
        <f>'Supply planning data'!X248</f>
        <v>110538</v>
      </c>
      <c r="W250" s="317">
        <f>'Supply planning data'!Y248</f>
        <v>80000</v>
      </c>
      <c r="X250" s="328">
        <f>'Supply planning data'!Z248</f>
        <v>0</v>
      </c>
      <c r="Y250" s="98">
        <f>'Supply planning data'!AA248</f>
        <v>80000</v>
      </c>
      <c r="Z250" s="98">
        <f>'Supply planning data'!AB248</f>
        <v>0</v>
      </c>
      <c r="AA250" s="98">
        <f>'Supply planning data'!AC248</f>
        <v>0</v>
      </c>
      <c r="AB250" s="98">
        <f>'Supply planning data'!AD248</f>
        <v>0</v>
      </c>
      <c r="AC250" s="98">
        <f>'Supply planning data'!AE248</f>
        <v>30538</v>
      </c>
      <c r="AD250" s="325">
        <f>'Supply planning data'!AF248</f>
        <v>0.38172499999999998</v>
      </c>
      <c r="AE250" s="98">
        <f>'Supply planning data'!AG248</f>
        <v>110538</v>
      </c>
      <c r="AF250" s="317">
        <f>'Supply planning data'!AH248</f>
        <v>0</v>
      </c>
      <c r="AG250" s="175">
        <f>'Supply planning data'!AI248</f>
        <v>0</v>
      </c>
      <c r="AH250" s="98">
        <f>'Supply planning data'!AJ248</f>
        <v>0</v>
      </c>
      <c r="AI250" s="98">
        <f>'Supply planning data'!AK248</f>
        <v>0</v>
      </c>
      <c r="AJ250" s="98">
        <f>'Supply planning data'!AL248</f>
        <v>0</v>
      </c>
      <c r="AK250" s="98">
        <f>'Supply planning data'!AM248</f>
        <v>0</v>
      </c>
      <c r="AL250" s="98">
        <f>'Supply planning data'!AN248</f>
        <v>110538</v>
      </c>
      <c r="AM250" s="325" t="str">
        <f>'Supply planning data'!AO248</f>
        <v/>
      </c>
    </row>
    <row r="251" spans="1:39" x14ac:dyDescent="0.25">
      <c r="A251" s="90" t="str">
        <f>'Supply planning data'!C249</f>
        <v>Sinovac</v>
      </c>
      <c r="B251" s="296">
        <f>'Supply planning data'!D249</f>
        <v>44682</v>
      </c>
      <c r="C251" s="92" t="str">
        <f>'Supply planning data'!E249</f>
        <v>No</v>
      </c>
      <c r="D251" s="92">
        <f>'Supply planning data'!F249</f>
        <v>0</v>
      </c>
      <c r="E251" s="316">
        <f>'Supply planning data'!G249</f>
        <v>0</v>
      </c>
      <c r="F251" s="317">
        <f>'Supply planning data'!H249</f>
        <v>0</v>
      </c>
      <c r="G251" s="317">
        <f>'Supply planning data'!I249</f>
        <v>0</v>
      </c>
      <c r="H251" s="98">
        <f>'Supply planning data'!J249</f>
        <v>0</v>
      </c>
      <c r="I251" s="317">
        <f>'Supply planning data'!K249</f>
        <v>0</v>
      </c>
      <c r="J251" s="175" t="str">
        <f>'Supply planning data'!L249</f>
        <v/>
      </c>
      <c r="K251" s="98">
        <f>'Supply planning data'!M249</f>
        <v>0</v>
      </c>
      <c r="L251" s="317">
        <f>'Supply planning data'!N249+'Supply planning data'!P249</f>
        <v>0</v>
      </c>
      <c r="M251" s="339">
        <f>'Supply planning data'!O249</f>
        <v>0</v>
      </c>
      <c r="N251" s="317">
        <f>'Supply planning data'!P249</f>
        <v>0</v>
      </c>
      <c r="O251" s="339">
        <f>'Supply planning data'!Q249</f>
        <v>0</v>
      </c>
      <c r="P251" s="98">
        <f>'Supply planning data'!R249</f>
        <v>0</v>
      </c>
      <c r="Q251" s="98">
        <f>'Supply planning data'!S249</f>
        <v>0</v>
      </c>
      <c r="R251" s="98">
        <f>'Supply planning data'!T249</f>
        <v>0</v>
      </c>
      <c r="S251" s="98">
        <f>'Supply planning data'!U249</f>
        <v>0</v>
      </c>
      <c r="T251" s="98">
        <f>'Supply planning data'!V249</f>
        <v>0</v>
      </c>
      <c r="U251" s="325" t="str">
        <f>'Supply planning data'!W249</f>
        <v/>
      </c>
      <c r="V251" s="98">
        <f>'Supply planning data'!X249</f>
        <v>0</v>
      </c>
      <c r="W251" s="317">
        <f>'Supply planning data'!Y249</f>
        <v>80000</v>
      </c>
      <c r="X251" s="328">
        <f>'Supply planning data'!Z249</f>
        <v>0</v>
      </c>
      <c r="Y251" s="98">
        <f>'Supply planning data'!AA249</f>
        <v>80000</v>
      </c>
      <c r="Z251" s="98">
        <f>'Supply planning data'!AB249</f>
        <v>0</v>
      </c>
      <c r="AA251" s="98">
        <f>'Supply planning data'!AC249</f>
        <v>0</v>
      </c>
      <c r="AB251" s="98">
        <f>'Supply planning data'!AD249</f>
        <v>0</v>
      </c>
      <c r="AC251" s="98">
        <f>'Supply planning data'!AE249</f>
        <v>0</v>
      </c>
      <c r="AD251" s="325">
        <f>'Supply planning data'!AF249</f>
        <v>0</v>
      </c>
      <c r="AE251" s="98">
        <f>'Supply planning data'!AG249</f>
        <v>0</v>
      </c>
      <c r="AF251" s="317">
        <f>'Supply planning data'!AH249</f>
        <v>0</v>
      </c>
      <c r="AG251" s="175">
        <f>'Supply planning data'!AI249</f>
        <v>0</v>
      </c>
      <c r="AH251" s="98">
        <f>'Supply planning data'!AJ249</f>
        <v>0</v>
      </c>
      <c r="AI251" s="98">
        <f>'Supply planning data'!AK249</f>
        <v>0</v>
      </c>
      <c r="AJ251" s="98">
        <f>'Supply planning data'!AL249</f>
        <v>0</v>
      </c>
      <c r="AK251" s="98">
        <f>'Supply planning data'!AM249</f>
        <v>0</v>
      </c>
      <c r="AL251" s="98">
        <f>'Supply planning data'!AN249</f>
        <v>0</v>
      </c>
      <c r="AM251" s="325" t="str">
        <f>'Supply planning data'!AO249</f>
        <v/>
      </c>
    </row>
    <row r="252" spans="1:39" hidden="1" x14ac:dyDescent="0.25">
      <c r="A252" s="90" t="str">
        <f>'Supply planning data'!C250</f>
        <v/>
      </c>
      <c r="B252" s="296">
        <f>'Supply planning data'!D250</f>
        <v>44682</v>
      </c>
      <c r="C252" s="92" t="str">
        <f>'Supply planning data'!E250</f>
        <v>No</v>
      </c>
      <c r="D252" s="92">
        <f>'Supply planning data'!F250</f>
        <v>0</v>
      </c>
      <c r="E252" s="316">
        <f>'Supply planning data'!G250</f>
        <v>0</v>
      </c>
      <c r="F252" s="317">
        <f>'Supply planning data'!H250</f>
        <v>0</v>
      </c>
      <c r="G252" s="317">
        <f>'Supply planning data'!I250</f>
        <v>0</v>
      </c>
      <c r="H252" s="98">
        <f>'Supply planning data'!J250</f>
        <v>0</v>
      </c>
      <c r="I252" s="317">
        <f>'Supply planning data'!K250</f>
        <v>0</v>
      </c>
      <c r="J252" s="175" t="str">
        <f>'Supply planning data'!L250</f>
        <v/>
      </c>
      <c r="K252" s="98">
        <f>'Supply planning data'!M250</f>
        <v>0</v>
      </c>
      <c r="L252" s="317">
        <f>'Supply planning data'!N250+'Supply planning data'!P250</f>
        <v>0</v>
      </c>
      <c r="M252" s="339">
        <f>'Supply planning data'!O250</f>
        <v>0</v>
      </c>
      <c r="N252" s="317">
        <f>'Supply planning data'!P250</f>
        <v>0</v>
      </c>
      <c r="O252" s="339">
        <f>'Supply planning data'!Q250</f>
        <v>0</v>
      </c>
      <c r="P252" s="98">
        <f>'Supply planning data'!R250</f>
        <v>0</v>
      </c>
      <c r="Q252" s="98">
        <f>'Supply planning data'!S250</f>
        <v>0</v>
      </c>
      <c r="R252" s="98">
        <f>'Supply planning data'!T250</f>
        <v>0</v>
      </c>
      <c r="S252" s="98">
        <f>'Supply planning data'!U250</f>
        <v>0</v>
      </c>
      <c r="T252" s="98">
        <f>'Supply planning data'!V250</f>
        <v>0</v>
      </c>
      <c r="U252" s="325" t="str">
        <f>'Supply planning data'!W250</f>
        <v/>
      </c>
      <c r="V252" s="98">
        <f>'Supply planning data'!X250</f>
        <v>0</v>
      </c>
      <c r="W252" s="317">
        <f>'Supply planning data'!Y250</f>
        <v>0</v>
      </c>
      <c r="X252" s="328">
        <f>'Supply planning data'!Z250</f>
        <v>0</v>
      </c>
      <c r="Y252" s="98">
        <f>'Supply planning data'!AA250</f>
        <v>0</v>
      </c>
      <c r="Z252" s="98">
        <f>'Supply planning data'!AB250</f>
        <v>0</v>
      </c>
      <c r="AA252" s="98">
        <f>'Supply planning data'!AC250</f>
        <v>0</v>
      </c>
      <c r="AB252" s="98">
        <f>'Supply planning data'!AD250</f>
        <v>0</v>
      </c>
      <c r="AC252" s="98">
        <f>'Supply planning data'!AE250</f>
        <v>0</v>
      </c>
      <c r="AD252" s="325" t="str">
        <f>'Supply planning data'!AF250</f>
        <v/>
      </c>
      <c r="AE252" s="98">
        <f>'Supply planning data'!AG250</f>
        <v>0</v>
      </c>
      <c r="AF252" s="317">
        <f>'Supply planning data'!AH250</f>
        <v>0</v>
      </c>
      <c r="AG252" s="175">
        <f>'Supply planning data'!AI250</f>
        <v>0</v>
      </c>
      <c r="AH252" s="98">
        <f>'Supply planning data'!AJ250</f>
        <v>0</v>
      </c>
      <c r="AI252" s="98">
        <f>'Supply planning data'!AK250</f>
        <v>0</v>
      </c>
      <c r="AJ252" s="98">
        <f>'Supply planning data'!AL250</f>
        <v>0</v>
      </c>
      <c r="AK252" s="98">
        <f>'Supply planning data'!AM250</f>
        <v>0</v>
      </c>
      <c r="AL252" s="98">
        <f>'Supply planning data'!AN250</f>
        <v>0</v>
      </c>
      <c r="AM252" s="325" t="str">
        <f>'Supply planning data'!AO250</f>
        <v/>
      </c>
    </row>
    <row r="253" spans="1:39" hidden="1" x14ac:dyDescent="0.25">
      <c r="A253" s="90" t="str">
        <f>'Supply planning data'!C251</f>
        <v/>
      </c>
      <c r="B253" s="296">
        <f>'Supply planning data'!D251</f>
        <v>44682</v>
      </c>
      <c r="C253" s="92" t="str">
        <f>'Supply planning data'!E251</f>
        <v>No</v>
      </c>
      <c r="D253" s="92">
        <f>'Supply planning data'!F251</f>
        <v>0</v>
      </c>
      <c r="E253" s="316">
        <f>'Supply planning data'!G251</f>
        <v>0</v>
      </c>
      <c r="F253" s="317">
        <f>'Supply planning data'!H251</f>
        <v>0</v>
      </c>
      <c r="G253" s="317">
        <f>'Supply planning data'!I251</f>
        <v>0</v>
      </c>
      <c r="H253" s="98">
        <f>'Supply planning data'!J251</f>
        <v>0</v>
      </c>
      <c r="I253" s="317">
        <f>'Supply planning data'!K251</f>
        <v>0</v>
      </c>
      <c r="J253" s="175" t="str">
        <f>'Supply planning data'!L251</f>
        <v/>
      </c>
      <c r="K253" s="98">
        <f>'Supply planning data'!M251</f>
        <v>0</v>
      </c>
      <c r="L253" s="317">
        <f>'Supply planning data'!N251+'Supply planning data'!P251</f>
        <v>0</v>
      </c>
      <c r="M253" s="339">
        <f>'Supply planning data'!O251</f>
        <v>0</v>
      </c>
      <c r="N253" s="317">
        <f>'Supply planning data'!P251</f>
        <v>0</v>
      </c>
      <c r="O253" s="339">
        <f>'Supply planning data'!Q251</f>
        <v>0</v>
      </c>
      <c r="P253" s="98">
        <f>'Supply planning data'!R251</f>
        <v>0</v>
      </c>
      <c r="Q253" s="98">
        <f>'Supply planning data'!S251</f>
        <v>0</v>
      </c>
      <c r="R253" s="98">
        <f>'Supply planning data'!T251</f>
        <v>0</v>
      </c>
      <c r="S253" s="98">
        <f>'Supply planning data'!U251</f>
        <v>0</v>
      </c>
      <c r="T253" s="98">
        <f>'Supply planning data'!V251</f>
        <v>0</v>
      </c>
      <c r="U253" s="325" t="str">
        <f>'Supply planning data'!W251</f>
        <v/>
      </c>
      <c r="V253" s="98">
        <f>'Supply planning data'!X251</f>
        <v>0</v>
      </c>
      <c r="W253" s="317">
        <f>'Supply planning data'!Y251</f>
        <v>0</v>
      </c>
      <c r="X253" s="328">
        <f>'Supply planning data'!Z251</f>
        <v>0</v>
      </c>
      <c r="Y253" s="98">
        <f>'Supply planning data'!AA251</f>
        <v>0</v>
      </c>
      <c r="Z253" s="98">
        <f>'Supply planning data'!AB251</f>
        <v>0</v>
      </c>
      <c r="AA253" s="98">
        <f>'Supply planning data'!AC251</f>
        <v>0</v>
      </c>
      <c r="AB253" s="98">
        <f>'Supply planning data'!AD251</f>
        <v>0</v>
      </c>
      <c r="AC253" s="98">
        <f>'Supply planning data'!AE251</f>
        <v>0</v>
      </c>
      <c r="AD253" s="325" t="str">
        <f>'Supply planning data'!AF251</f>
        <v/>
      </c>
      <c r="AE253" s="98">
        <f>'Supply planning data'!AG251</f>
        <v>0</v>
      </c>
      <c r="AF253" s="317">
        <f>'Supply planning data'!AH251</f>
        <v>0</v>
      </c>
      <c r="AG253" s="175">
        <f>'Supply planning data'!AI251</f>
        <v>0</v>
      </c>
      <c r="AH253" s="98">
        <f>'Supply planning data'!AJ251</f>
        <v>0</v>
      </c>
      <c r="AI253" s="98">
        <f>'Supply planning data'!AK251</f>
        <v>0</v>
      </c>
      <c r="AJ253" s="98">
        <f>'Supply planning data'!AL251</f>
        <v>0</v>
      </c>
      <c r="AK253" s="98">
        <f>'Supply planning data'!AM251</f>
        <v>0</v>
      </c>
      <c r="AL253" s="98">
        <f>'Supply planning data'!AN251</f>
        <v>0</v>
      </c>
      <c r="AM253" s="325" t="str">
        <f>'Supply planning data'!AO251</f>
        <v/>
      </c>
    </row>
    <row r="254" spans="1:39" hidden="1" x14ac:dyDescent="0.25">
      <c r="A254" s="90" t="str">
        <f>'Supply planning data'!C252</f>
        <v/>
      </c>
      <c r="B254" s="296">
        <f>'Supply planning data'!D252</f>
        <v>44682</v>
      </c>
      <c r="C254" s="92" t="str">
        <f>'Supply planning data'!E252</f>
        <v>No</v>
      </c>
      <c r="D254" s="92">
        <f>'Supply planning data'!F252</f>
        <v>0</v>
      </c>
      <c r="E254" s="316">
        <f>'Supply planning data'!G252</f>
        <v>0</v>
      </c>
      <c r="F254" s="317">
        <f>'Supply planning data'!H252</f>
        <v>0</v>
      </c>
      <c r="G254" s="317">
        <f>'Supply planning data'!I252</f>
        <v>0</v>
      </c>
      <c r="H254" s="98">
        <f>'Supply planning data'!J252</f>
        <v>0</v>
      </c>
      <c r="I254" s="317">
        <f>'Supply planning data'!K252</f>
        <v>0</v>
      </c>
      <c r="J254" s="175" t="str">
        <f>'Supply planning data'!L252</f>
        <v/>
      </c>
      <c r="K254" s="98">
        <f>'Supply planning data'!M252</f>
        <v>0</v>
      </c>
      <c r="L254" s="317">
        <f>'Supply planning data'!N252+'Supply planning data'!P252</f>
        <v>0</v>
      </c>
      <c r="M254" s="339">
        <f>'Supply planning data'!O252</f>
        <v>0</v>
      </c>
      <c r="N254" s="317">
        <f>'Supply planning data'!P252</f>
        <v>0</v>
      </c>
      <c r="O254" s="339">
        <f>'Supply planning data'!Q252</f>
        <v>0</v>
      </c>
      <c r="P254" s="98">
        <f>'Supply planning data'!R252</f>
        <v>0</v>
      </c>
      <c r="Q254" s="98">
        <f>'Supply planning data'!S252</f>
        <v>0</v>
      </c>
      <c r="R254" s="98">
        <f>'Supply planning data'!T252</f>
        <v>0</v>
      </c>
      <c r="S254" s="98">
        <f>'Supply planning data'!U252</f>
        <v>0</v>
      </c>
      <c r="T254" s="98">
        <f>'Supply planning data'!V252</f>
        <v>0</v>
      </c>
      <c r="U254" s="325" t="str">
        <f>'Supply planning data'!W252</f>
        <v/>
      </c>
      <c r="V254" s="98">
        <f>'Supply planning data'!X252</f>
        <v>0</v>
      </c>
      <c r="W254" s="317">
        <f>'Supply planning data'!Y252</f>
        <v>0</v>
      </c>
      <c r="X254" s="328">
        <f>'Supply planning data'!Z252</f>
        <v>0</v>
      </c>
      <c r="Y254" s="98">
        <f>'Supply planning data'!AA252</f>
        <v>0</v>
      </c>
      <c r="Z254" s="98">
        <f>'Supply planning data'!AB252</f>
        <v>0</v>
      </c>
      <c r="AA254" s="98">
        <f>'Supply planning data'!AC252</f>
        <v>0</v>
      </c>
      <c r="AB254" s="98">
        <f>'Supply planning data'!AD252</f>
        <v>0</v>
      </c>
      <c r="AC254" s="98">
        <f>'Supply planning data'!AE252</f>
        <v>0</v>
      </c>
      <c r="AD254" s="325" t="str">
        <f>'Supply planning data'!AF252</f>
        <v/>
      </c>
      <c r="AE254" s="98">
        <f>'Supply planning data'!AG252</f>
        <v>0</v>
      </c>
      <c r="AF254" s="317">
        <f>'Supply planning data'!AH252</f>
        <v>0</v>
      </c>
      <c r="AG254" s="175">
        <f>'Supply planning data'!AI252</f>
        <v>0</v>
      </c>
      <c r="AH254" s="98">
        <f>'Supply planning data'!AJ252</f>
        <v>0</v>
      </c>
      <c r="AI254" s="98">
        <f>'Supply planning data'!AK252</f>
        <v>0</v>
      </c>
      <c r="AJ254" s="98">
        <f>'Supply planning data'!AL252</f>
        <v>0</v>
      </c>
      <c r="AK254" s="98">
        <f>'Supply planning data'!AM252</f>
        <v>0</v>
      </c>
      <c r="AL254" s="98">
        <f>'Supply planning data'!AN252</f>
        <v>0</v>
      </c>
      <c r="AM254" s="325" t="str">
        <f>'Supply planning data'!AO252</f>
        <v/>
      </c>
    </row>
    <row r="255" spans="1:39" hidden="1" x14ac:dyDescent="0.25">
      <c r="A255" s="90" t="str">
        <f>'Supply planning data'!C253</f>
        <v/>
      </c>
      <c r="B255" s="296">
        <f>'Supply planning data'!D253</f>
        <v>44682</v>
      </c>
      <c r="C255" s="92" t="str">
        <f>'Supply planning data'!E253</f>
        <v>No</v>
      </c>
      <c r="D255" s="92">
        <f>'Supply planning data'!F253</f>
        <v>0</v>
      </c>
      <c r="E255" s="316">
        <f>'Supply planning data'!G253</f>
        <v>0</v>
      </c>
      <c r="F255" s="317">
        <f>'Supply planning data'!H253</f>
        <v>0</v>
      </c>
      <c r="G255" s="317">
        <f>'Supply planning data'!I253</f>
        <v>0</v>
      </c>
      <c r="H255" s="98">
        <f>'Supply planning data'!J253</f>
        <v>0</v>
      </c>
      <c r="I255" s="317">
        <f>'Supply planning data'!K253</f>
        <v>0</v>
      </c>
      <c r="J255" s="175" t="str">
        <f>'Supply planning data'!L253</f>
        <v/>
      </c>
      <c r="K255" s="98">
        <f>'Supply planning data'!M253</f>
        <v>0</v>
      </c>
      <c r="L255" s="317">
        <f>'Supply planning data'!N253+'Supply planning data'!P253</f>
        <v>0</v>
      </c>
      <c r="M255" s="339">
        <f>'Supply planning data'!O253</f>
        <v>0</v>
      </c>
      <c r="N255" s="317">
        <f>'Supply planning data'!P253</f>
        <v>0</v>
      </c>
      <c r="O255" s="339">
        <f>'Supply planning data'!Q253</f>
        <v>0</v>
      </c>
      <c r="P255" s="98">
        <f>'Supply planning data'!R253</f>
        <v>0</v>
      </c>
      <c r="Q255" s="98">
        <f>'Supply planning data'!S253</f>
        <v>0</v>
      </c>
      <c r="R255" s="98">
        <f>'Supply planning data'!T253</f>
        <v>0</v>
      </c>
      <c r="S255" s="98">
        <f>'Supply planning data'!U253</f>
        <v>0</v>
      </c>
      <c r="T255" s="98">
        <f>'Supply planning data'!V253</f>
        <v>0</v>
      </c>
      <c r="U255" s="325" t="str">
        <f>'Supply planning data'!W253</f>
        <v/>
      </c>
      <c r="V255" s="98">
        <f>'Supply planning data'!X253</f>
        <v>0</v>
      </c>
      <c r="W255" s="317">
        <f>'Supply planning data'!Y253</f>
        <v>0</v>
      </c>
      <c r="X255" s="328">
        <f>'Supply planning data'!Z253</f>
        <v>0</v>
      </c>
      <c r="Y255" s="98">
        <f>'Supply planning data'!AA253</f>
        <v>0</v>
      </c>
      <c r="Z255" s="98">
        <f>'Supply planning data'!AB253</f>
        <v>0</v>
      </c>
      <c r="AA255" s="98">
        <f>'Supply planning data'!AC253</f>
        <v>0</v>
      </c>
      <c r="AB255" s="98">
        <f>'Supply planning data'!AD253</f>
        <v>0</v>
      </c>
      <c r="AC255" s="98">
        <f>'Supply planning data'!AE253</f>
        <v>0</v>
      </c>
      <c r="AD255" s="325" t="str">
        <f>'Supply planning data'!AF253</f>
        <v/>
      </c>
      <c r="AE255" s="98">
        <f>'Supply planning data'!AG253</f>
        <v>0</v>
      </c>
      <c r="AF255" s="317">
        <f>'Supply planning data'!AH253</f>
        <v>0</v>
      </c>
      <c r="AG255" s="175">
        <f>'Supply planning data'!AI253</f>
        <v>0</v>
      </c>
      <c r="AH255" s="98">
        <f>'Supply planning data'!AJ253</f>
        <v>0</v>
      </c>
      <c r="AI255" s="98">
        <f>'Supply planning data'!AK253</f>
        <v>0</v>
      </c>
      <c r="AJ255" s="98">
        <f>'Supply planning data'!AL253</f>
        <v>0</v>
      </c>
      <c r="AK255" s="98">
        <f>'Supply planning data'!AM253</f>
        <v>0</v>
      </c>
      <c r="AL255" s="98">
        <f>'Supply planning data'!AN253</f>
        <v>0</v>
      </c>
      <c r="AM255" s="325" t="str">
        <f>'Supply planning data'!AO253</f>
        <v/>
      </c>
    </row>
    <row r="256" spans="1:39" hidden="1" x14ac:dyDescent="0.25">
      <c r="A256" s="90" t="str">
        <f>'Supply planning data'!C254</f>
        <v/>
      </c>
      <c r="B256" s="296">
        <f>'Supply planning data'!D254</f>
        <v>44682</v>
      </c>
      <c r="C256" s="92" t="str">
        <f>'Supply planning data'!E254</f>
        <v>No</v>
      </c>
      <c r="D256" s="92">
        <f>'Supply planning data'!F254</f>
        <v>0</v>
      </c>
      <c r="E256" s="316">
        <f>'Supply planning data'!G254</f>
        <v>0</v>
      </c>
      <c r="F256" s="317">
        <f>'Supply planning data'!H254</f>
        <v>0</v>
      </c>
      <c r="G256" s="317">
        <f>'Supply planning data'!I254</f>
        <v>0</v>
      </c>
      <c r="H256" s="98">
        <f>'Supply planning data'!J254</f>
        <v>0</v>
      </c>
      <c r="I256" s="317">
        <f>'Supply planning data'!K254</f>
        <v>0</v>
      </c>
      <c r="J256" s="175" t="str">
        <f>'Supply planning data'!L254</f>
        <v/>
      </c>
      <c r="K256" s="98">
        <f>'Supply planning data'!M254</f>
        <v>0</v>
      </c>
      <c r="L256" s="317">
        <f>'Supply planning data'!N254+'Supply planning data'!P254</f>
        <v>0</v>
      </c>
      <c r="M256" s="339">
        <f>'Supply planning data'!O254</f>
        <v>0</v>
      </c>
      <c r="N256" s="317">
        <f>'Supply planning data'!P254</f>
        <v>0</v>
      </c>
      <c r="O256" s="339">
        <f>'Supply planning data'!Q254</f>
        <v>0</v>
      </c>
      <c r="P256" s="98">
        <f>'Supply planning data'!R254</f>
        <v>0</v>
      </c>
      <c r="Q256" s="98">
        <f>'Supply planning data'!S254</f>
        <v>0</v>
      </c>
      <c r="R256" s="98">
        <f>'Supply planning data'!T254</f>
        <v>0</v>
      </c>
      <c r="S256" s="98">
        <f>'Supply planning data'!U254</f>
        <v>0</v>
      </c>
      <c r="T256" s="98">
        <f>'Supply planning data'!V254</f>
        <v>0</v>
      </c>
      <c r="U256" s="325" t="str">
        <f>'Supply planning data'!W254</f>
        <v/>
      </c>
      <c r="V256" s="98">
        <f>'Supply planning data'!X254</f>
        <v>0</v>
      </c>
      <c r="W256" s="317">
        <f>'Supply planning data'!Y254</f>
        <v>0</v>
      </c>
      <c r="X256" s="328">
        <f>'Supply planning data'!Z254</f>
        <v>0</v>
      </c>
      <c r="Y256" s="98">
        <f>'Supply planning data'!AA254</f>
        <v>0</v>
      </c>
      <c r="Z256" s="98">
        <f>'Supply planning data'!AB254</f>
        <v>0</v>
      </c>
      <c r="AA256" s="98">
        <f>'Supply planning data'!AC254</f>
        <v>0</v>
      </c>
      <c r="AB256" s="98">
        <f>'Supply planning data'!AD254</f>
        <v>0</v>
      </c>
      <c r="AC256" s="98">
        <f>'Supply planning data'!AE254</f>
        <v>0</v>
      </c>
      <c r="AD256" s="325" t="str">
        <f>'Supply planning data'!AF254</f>
        <v/>
      </c>
      <c r="AE256" s="98">
        <f>'Supply planning data'!AG254</f>
        <v>0</v>
      </c>
      <c r="AF256" s="317">
        <f>'Supply planning data'!AH254</f>
        <v>0</v>
      </c>
      <c r="AG256" s="175">
        <f>'Supply planning data'!AI254</f>
        <v>0</v>
      </c>
      <c r="AH256" s="98">
        <f>'Supply planning data'!AJ254</f>
        <v>0</v>
      </c>
      <c r="AI256" s="98">
        <f>'Supply planning data'!AK254</f>
        <v>0</v>
      </c>
      <c r="AJ256" s="98">
        <f>'Supply planning data'!AL254</f>
        <v>0</v>
      </c>
      <c r="AK256" s="98">
        <f>'Supply planning data'!AM254</f>
        <v>0</v>
      </c>
      <c r="AL256" s="98">
        <f>'Supply planning data'!AN254</f>
        <v>0</v>
      </c>
      <c r="AM256" s="325" t="str">
        <f>'Supply planning data'!AO254</f>
        <v/>
      </c>
    </row>
    <row r="257" spans="1:39" hidden="1" x14ac:dyDescent="0.25">
      <c r="A257" s="90" t="str">
        <f>'Supply planning data'!C255</f>
        <v/>
      </c>
      <c r="B257" s="296">
        <f>'Supply planning data'!D255</f>
        <v>44682</v>
      </c>
      <c r="C257" s="92" t="str">
        <f>'Supply planning data'!E255</f>
        <v>No</v>
      </c>
      <c r="D257" s="92">
        <f>'Supply planning data'!F255</f>
        <v>0</v>
      </c>
      <c r="E257" s="316">
        <f>'Supply planning data'!G255</f>
        <v>0</v>
      </c>
      <c r="F257" s="317">
        <f>'Supply planning data'!H255</f>
        <v>0</v>
      </c>
      <c r="G257" s="317">
        <f>'Supply planning data'!I255</f>
        <v>0</v>
      </c>
      <c r="H257" s="98">
        <f>'Supply planning data'!J255</f>
        <v>0</v>
      </c>
      <c r="I257" s="317">
        <f>'Supply planning data'!K255</f>
        <v>0</v>
      </c>
      <c r="J257" s="175" t="str">
        <f>'Supply planning data'!L255</f>
        <v/>
      </c>
      <c r="K257" s="98">
        <f>'Supply planning data'!M255</f>
        <v>0</v>
      </c>
      <c r="L257" s="317">
        <f>'Supply planning data'!N255+'Supply planning data'!P255</f>
        <v>0</v>
      </c>
      <c r="M257" s="339">
        <f>'Supply planning data'!O255</f>
        <v>0</v>
      </c>
      <c r="N257" s="317">
        <f>'Supply planning data'!P255</f>
        <v>0</v>
      </c>
      <c r="O257" s="339">
        <f>'Supply planning data'!Q255</f>
        <v>0</v>
      </c>
      <c r="P257" s="98">
        <f>'Supply planning data'!R255</f>
        <v>0</v>
      </c>
      <c r="Q257" s="98">
        <f>'Supply planning data'!S255</f>
        <v>0</v>
      </c>
      <c r="R257" s="98">
        <f>'Supply planning data'!T255</f>
        <v>0</v>
      </c>
      <c r="S257" s="98">
        <f>'Supply planning data'!U255</f>
        <v>0</v>
      </c>
      <c r="T257" s="98">
        <f>'Supply planning data'!V255</f>
        <v>0</v>
      </c>
      <c r="U257" s="325" t="str">
        <f>'Supply planning data'!W255</f>
        <v/>
      </c>
      <c r="V257" s="98">
        <f>'Supply planning data'!X255</f>
        <v>0</v>
      </c>
      <c r="W257" s="317">
        <f>'Supply planning data'!Y255</f>
        <v>0</v>
      </c>
      <c r="X257" s="328">
        <f>'Supply planning data'!Z255</f>
        <v>0</v>
      </c>
      <c r="Y257" s="98">
        <f>'Supply planning data'!AA255</f>
        <v>0</v>
      </c>
      <c r="Z257" s="98">
        <f>'Supply planning data'!AB255</f>
        <v>0</v>
      </c>
      <c r="AA257" s="98">
        <f>'Supply planning data'!AC255</f>
        <v>0</v>
      </c>
      <c r="AB257" s="98">
        <f>'Supply planning data'!AD255</f>
        <v>0</v>
      </c>
      <c r="AC257" s="98">
        <f>'Supply planning data'!AE255</f>
        <v>0</v>
      </c>
      <c r="AD257" s="325" t="str">
        <f>'Supply planning data'!AF255</f>
        <v/>
      </c>
      <c r="AE257" s="98">
        <f>'Supply planning data'!AG255</f>
        <v>0</v>
      </c>
      <c r="AF257" s="317">
        <f>'Supply planning data'!AH255</f>
        <v>0</v>
      </c>
      <c r="AG257" s="175">
        <f>'Supply planning data'!AI255</f>
        <v>0</v>
      </c>
      <c r="AH257" s="98">
        <f>'Supply planning data'!AJ255</f>
        <v>0</v>
      </c>
      <c r="AI257" s="98">
        <f>'Supply planning data'!AK255</f>
        <v>0</v>
      </c>
      <c r="AJ257" s="98">
        <f>'Supply planning data'!AL255</f>
        <v>0</v>
      </c>
      <c r="AK257" s="98">
        <f>'Supply planning data'!AM255</f>
        <v>0</v>
      </c>
      <c r="AL257" s="98">
        <f>'Supply planning data'!AN255</f>
        <v>0</v>
      </c>
      <c r="AM257" s="325" t="str">
        <f>'Supply planning data'!AO255</f>
        <v/>
      </c>
    </row>
    <row r="258" spans="1:39" hidden="1" x14ac:dyDescent="0.25">
      <c r="A258" s="90" t="str">
        <f>'Supply planning data'!C256</f>
        <v/>
      </c>
      <c r="B258" s="296">
        <f>'Supply planning data'!D256</f>
        <v>44682</v>
      </c>
      <c r="C258" s="92" t="str">
        <f>'Supply planning data'!E256</f>
        <v>No</v>
      </c>
      <c r="D258" s="92">
        <f>'Supply planning data'!F256</f>
        <v>0</v>
      </c>
      <c r="E258" s="316">
        <f>'Supply planning data'!G256</f>
        <v>0</v>
      </c>
      <c r="F258" s="317">
        <f>'Supply planning data'!H256</f>
        <v>0</v>
      </c>
      <c r="G258" s="317">
        <f>'Supply planning data'!I256</f>
        <v>0</v>
      </c>
      <c r="H258" s="98">
        <f>'Supply planning data'!J256</f>
        <v>0</v>
      </c>
      <c r="I258" s="317">
        <f>'Supply planning data'!K256</f>
        <v>0</v>
      </c>
      <c r="J258" s="175" t="str">
        <f>'Supply planning data'!L256</f>
        <v/>
      </c>
      <c r="K258" s="98">
        <f>'Supply planning data'!M256</f>
        <v>0</v>
      </c>
      <c r="L258" s="317">
        <f>'Supply planning data'!N256+'Supply planning data'!P256</f>
        <v>0</v>
      </c>
      <c r="M258" s="339">
        <f>'Supply planning data'!O256</f>
        <v>0</v>
      </c>
      <c r="N258" s="317">
        <f>'Supply planning data'!P256</f>
        <v>0</v>
      </c>
      <c r="O258" s="339">
        <f>'Supply planning data'!Q256</f>
        <v>0</v>
      </c>
      <c r="P258" s="98">
        <f>'Supply planning data'!R256</f>
        <v>0</v>
      </c>
      <c r="Q258" s="98">
        <f>'Supply planning data'!S256</f>
        <v>0</v>
      </c>
      <c r="R258" s="98">
        <f>'Supply planning data'!T256</f>
        <v>0</v>
      </c>
      <c r="S258" s="98">
        <f>'Supply planning data'!U256</f>
        <v>0</v>
      </c>
      <c r="T258" s="98">
        <f>'Supply planning data'!V256</f>
        <v>0</v>
      </c>
      <c r="U258" s="325" t="str">
        <f>'Supply planning data'!W256</f>
        <v/>
      </c>
      <c r="V258" s="98">
        <f>'Supply planning data'!X256</f>
        <v>0</v>
      </c>
      <c r="W258" s="317">
        <f>'Supply planning data'!Y256</f>
        <v>0</v>
      </c>
      <c r="X258" s="328">
        <f>'Supply planning data'!Z256</f>
        <v>0</v>
      </c>
      <c r="Y258" s="98">
        <f>'Supply planning data'!AA256</f>
        <v>0</v>
      </c>
      <c r="Z258" s="98">
        <f>'Supply planning data'!AB256</f>
        <v>0</v>
      </c>
      <c r="AA258" s="98">
        <f>'Supply planning data'!AC256</f>
        <v>0</v>
      </c>
      <c r="AB258" s="98">
        <f>'Supply planning data'!AD256</f>
        <v>0</v>
      </c>
      <c r="AC258" s="98">
        <f>'Supply planning data'!AE256</f>
        <v>0</v>
      </c>
      <c r="AD258" s="325" t="str">
        <f>'Supply planning data'!AF256</f>
        <v/>
      </c>
      <c r="AE258" s="98">
        <f>'Supply planning data'!AG256</f>
        <v>0</v>
      </c>
      <c r="AF258" s="317">
        <f>'Supply planning data'!AH256</f>
        <v>0</v>
      </c>
      <c r="AG258" s="175">
        <f>'Supply planning data'!AI256</f>
        <v>0</v>
      </c>
      <c r="AH258" s="98">
        <f>'Supply planning data'!AJ256</f>
        <v>0</v>
      </c>
      <c r="AI258" s="98">
        <f>'Supply planning data'!AK256</f>
        <v>0</v>
      </c>
      <c r="AJ258" s="98">
        <f>'Supply planning data'!AL256</f>
        <v>0</v>
      </c>
      <c r="AK258" s="98">
        <f>'Supply planning data'!AM256</f>
        <v>0</v>
      </c>
      <c r="AL258" s="98">
        <f>'Supply planning data'!AN256</f>
        <v>0</v>
      </c>
      <c r="AM258" s="325" t="str">
        <f>'Supply planning data'!AO256</f>
        <v/>
      </c>
    </row>
    <row r="259" spans="1:39" hidden="1" x14ac:dyDescent="0.25">
      <c r="A259" s="90" t="str">
        <f>'Supply planning data'!C257</f>
        <v/>
      </c>
      <c r="B259" s="296">
        <f>'Supply planning data'!D257</f>
        <v>44682</v>
      </c>
      <c r="C259" s="92" t="str">
        <f>'Supply planning data'!E257</f>
        <v>No</v>
      </c>
      <c r="D259" s="92">
        <f>'Supply planning data'!F257</f>
        <v>0</v>
      </c>
      <c r="E259" s="316">
        <f>'Supply planning data'!G257</f>
        <v>0</v>
      </c>
      <c r="F259" s="317">
        <f>'Supply planning data'!H257</f>
        <v>0</v>
      </c>
      <c r="G259" s="317">
        <f>'Supply planning data'!I257</f>
        <v>0</v>
      </c>
      <c r="H259" s="98">
        <f>'Supply planning data'!J257</f>
        <v>0</v>
      </c>
      <c r="I259" s="317">
        <f>'Supply planning data'!K257</f>
        <v>0</v>
      </c>
      <c r="J259" s="175" t="str">
        <f>'Supply planning data'!L257</f>
        <v/>
      </c>
      <c r="K259" s="98">
        <f>'Supply planning data'!M257</f>
        <v>0</v>
      </c>
      <c r="L259" s="317">
        <f>'Supply planning data'!N257+'Supply planning data'!P257</f>
        <v>0</v>
      </c>
      <c r="M259" s="339">
        <f>'Supply planning data'!O257</f>
        <v>0</v>
      </c>
      <c r="N259" s="317">
        <f>'Supply planning data'!P257</f>
        <v>0</v>
      </c>
      <c r="O259" s="339">
        <f>'Supply planning data'!Q257</f>
        <v>0</v>
      </c>
      <c r="P259" s="98">
        <f>'Supply planning data'!R257</f>
        <v>0</v>
      </c>
      <c r="Q259" s="98">
        <f>'Supply planning data'!S257</f>
        <v>0</v>
      </c>
      <c r="R259" s="98">
        <f>'Supply planning data'!T257</f>
        <v>0</v>
      </c>
      <c r="S259" s="98">
        <f>'Supply planning data'!U257</f>
        <v>0</v>
      </c>
      <c r="T259" s="98">
        <f>'Supply planning data'!V257</f>
        <v>0</v>
      </c>
      <c r="U259" s="325" t="str">
        <f>'Supply planning data'!W257</f>
        <v/>
      </c>
      <c r="V259" s="98">
        <f>'Supply planning data'!X257</f>
        <v>0</v>
      </c>
      <c r="W259" s="317">
        <f>'Supply planning data'!Y257</f>
        <v>0</v>
      </c>
      <c r="X259" s="328">
        <f>'Supply planning data'!Z257</f>
        <v>0</v>
      </c>
      <c r="Y259" s="98">
        <f>'Supply planning data'!AA257</f>
        <v>0</v>
      </c>
      <c r="Z259" s="98">
        <f>'Supply planning data'!AB257</f>
        <v>0</v>
      </c>
      <c r="AA259" s="98">
        <f>'Supply planning data'!AC257</f>
        <v>0</v>
      </c>
      <c r="AB259" s="98">
        <f>'Supply planning data'!AD257</f>
        <v>0</v>
      </c>
      <c r="AC259" s="98">
        <f>'Supply planning data'!AE257</f>
        <v>0</v>
      </c>
      <c r="AD259" s="325" t="str">
        <f>'Supply planning data'!AF257</f>
        <v/>
      </c>
      <c r="AE259" s="98">
        <f>'Supply planning data'!AG257</f>
        <v>0</v>
      </c>
      <c r="AF259" s="317">
        <f>'Supply planning data'!AH257</f>
        <v>0</v>
      </c>
      <c r="AG259" s="175">
        <f>'Supply planning data'!AI257</f>
        <v>0</v>
      </c>
      <c r="AH259" s="98">
        <f>'Supply planning data'!AJ257</f>
        <v>0</v>
      </c>
      <c r="AI259" s="98">
        <f>'Supply planning data'!AK257</f>
        <v>0</v>
      </c>
      <c r="AJ259" s="98">
        <f>'Supply planning data'!AL257</f>
        <v>0</v>
      </c>
      <c r="AK259" s="98">
        <f>'Supply planning data'!AM257</f>
        <v>0</v>
      </c>
      <c r="AL259" s="98">
        <f>'Supply planning data'!AN257</f>
        <v>0</v>
      </c>
      <c r="AM259" s="325" t="str">
        <f>'Supply planning data'!AO257</f>
        <v/>
      </c>
    </row>
    <row r="260" spans="1:39" hidden="1" x14ac:dyDescent="0.25">
      <c r="A260" s="90" t="str">
        <f>'Supply planning data'!C258</f>
        <v/>
      </c>
      <c r="B260" s="296">
        <f>'Supply planning data'!D258</f>
        <v>44682</v>
      </c>
      <c r="C260" s="92" t="str">
        <f>'Supply planning data'!E258</f>
        <v>No</v>
      </c>
      <c r="D260" s="92">
        <f>'Supply planning data'!F258</f>
        <v>0</v>
      </c>
      <c r="E260" s="316">
        <f>'Supply planning data'!G258</f>
        <v>0</v>
      </c>
      <c r="F260" s="317">
        <f>'Supply planning data'!H258</f>
        <v>0</v>
      </c>
      <c r="G260" s="317">
        <f>'Supply planning data'!I258</f>
        <v>0</v>
      </c>
      <c r="H260" s="98">
        <f>'Supply planning data'!J258</f>
        <v>0</v>
      </c>
      <c r="I260" s="317">
        <f>'Supply planning data'!K258</f>
        <v>0</v>
      </c>
      <c r="J260" s="175" t="str">
        <f>'Supply planning data'!L258</f>
        <v/>
      </c>
      <c r="K260" s="98">
        <f>'Supply planning data'!M258</f>
        <v>0</v>
      </c>
      <c r="L260" s="317">
        <f>'Supply planning data'!N258+'Supply planning data'!P258</f>
        <v>0</v>
      </c>
      <c r="M260" s="339">
        <f>'Supply planning data'!O258</f>
        <v>0</v>
      </c>
      <c r="N260" s="317">
        <f>'Supply planning data'!P258</f>
        <v>0</v>
      </c>
      <c r="O260" s="339">
        <f>'Supply planning data'!Q258</f>
        <v>0</v>
      </c>
      <c r="P260" s="98">
        <f>'Supply planning data'!R258</f>
        <v>0</v>
      </c>
      <c r="Q260" s="98">
        <f>'Supply planning data'!S258</f>
        <v>0</v>
      </c>
      <c r="R260" s="98">
        <f>'Supply planning data'!T258</f>
        <v>0</v>
      </c>
      <c r="S260" s="98">
        <f>'Supply planning data'!U258</f>
        <v>0</v>
      </c>
      <c r="T260" s="98">
        <f>'Supply planning data'!V258</f>
        <v>0</v>
      </c>
      <c r="U260" s="325" t="str">
        <f>'Supply planning data'!W258</f>
        <v/>
      </c>
      <c r="V260" s="98">
        <f>'Supply planning data'!X258</f>
        <v>0</v>
      </c>
      <c r="W260" s="317">
        <f>'Supply planning data'!Y258</f>
        <v>0</v>
      </c>
      <c r="X260" s="328">
        <f>'Supply planning data'!Z258</f>
        <v>0</v>
      </c>
      <c r="Y260" s="98">
        <f>'Supply planning data'!AA258</f>
        <v>0</v>
      </c>
      <c r="Z260" s="98">
        <f>'Supply planning data'!AB258</f>
        <v>0</v>
      </c>
      <c r="AA260" s="98">
        <f>'Supply planning data'!AC258</f>
        <v>0</v>
      </c>
      <c r="AB260" s="98">
        <f>'Supply planning data'!AD258</f>
        <v>0</v>
      </c>
      <c r="AC260" s="98">
        <f>'Supply planning data'!AE258</f>
        <v>0</v>
      </c>
      <c r="AD260" s="325" t="str">
        <f>'Supply planning data'!AF258</f>
        <v/>
      </c>
      <c r="AE260" s="98">
        <f>'Supply planning data'!AG258</f>
        <v>0</v>
      </c>
      <c r="AF260" s="317">
        <f>'Supply planning data'!AH258</f>
        <v>0</v>
      </c>
      <c r="AG260" s="175">
        <f>'Supply planning data'!AI258</f>
        <v>0</v>
      </c>
      <c r="AH260" s="98">
        <f>'Supply planning data'!AJ258</f>
        <v>0</v>
      </c>
      <c r="AI260" s="98">
        <f>'Supply planning data'!AK258</f>
        <v>0</v>
      </c>
      <c r="AJ260" s="98">
        <f>'Supply planning data'!AL258</f>
        <v>0</v>
      </c>
      <c r="AK260" s="98">
        <f>'Supply planning data'!AM258</f>
        <v>0</v>
      </c>
      <c r="AL260" s="98">
        <f>'Supply planning data'!AN258</f>
        <v>0</v>
      </c>
      <c r="AM260" s="325" t="str">
        <f>'Supply planning data'!AO258</f>
        <v/>
      </c>
    </row>
    <row r="261" spans="1:39" hidden="1" x14ac:dyDescent="0.25">
      <c r="A261" s="90" t="str">
        <f>'Supply planning data'!C259</f>
        <v/>
      </c>
      <c r="B261" s="296">
        <f>'Supply planning data'!D259</f>
        <v>44682</v>
      </c>
      <c r="C261" s="92" t="str">
        <f>'Supply planning data'!E259</f>
        <v>No</v>
      </c>
      <c r="D261" s="92">
        <f>'Supply planning data'!F259</f>
        <v>0</v>
      </c>
      <c r="E261" s="316">
        <f>'Supply planning data'!G259</f>
        <v>0</v>
      </c>
      <c r="F261" s="317">
        <f>'Supply planning data'!H259</f>
        <v>0</v>
      </c>
      <c r="G261" s="317">
        <f>'Supply planning data'!I259</f>
        <v>0</v>
      </c>
      <c r="H261" s="98">
        <f>'Supply planning data'!J259</f>
        <v>0</v>
      </c>
      <c r="I261" s="317">
        <f>'Supply planning data'!K259</f>
        <v>0</v>
      </c>
      <c r="J261" s="175" t="str">
        <f>'Supply planning data'!L259</f>
        <v/>
      </c>
      <c r="K261" s="98">
        <f>'Supply planning data'!M259</f>
        <v>0</v>
      </c>
      <c r="L261" s="317">
        <f>'Supply planning data'!N259+'Supply planning data'!P259</f>
        <v>0</v>
      </c>
      <c r="M261" s="339">
        <f>'Supply planning data'!O259</f>
        <v>0</v>
      </c>
      <c r="N261" s="317">
        <f>'Supply planning data'!P259</f>
        <v>0</v>
      </c>
      <c r="O261" s="339">
        <f>'Supply planning data'!Q259</f>
        <v>0</v>
      </c>
      <c r="P261" s="98">
        <f>'Supply planning data'!R259</f>
        <v>0</v>
      </c>
      <c r="Q261" s="98">
        <f>'Supply planning data'!S259</f>
        <v>0</v>
      </c>
      <c r="R261" s="98">
        <f>'Supply planning data'!T259</f>
        <v>0</v>
      </c>
      <c r="S261" s="98">
        <f>'Supply planning data'!U259</f>
        <v>0</v>
      </c>
      <c r="T261" s="98">
        <f>'Supply planning data'!V259</f>
        <v>0</v>
      </c>
      <c r="U261" s="325" t="str">
        <f>'Supply planning data'!W259</f>
        <v/>
      </c>
      <c r="V261" s="98">
        <f>'Supply planning data'!X259</f>
        <v>0</v>
      </c>
      <c r="W261" s="317">
        <f>'Supply planning data'!Y259</f>
        <v>0</v>
      </c>
      <c r="X261" s="328">
        <f>'Supply planning data'!Z259</f>
        <v>0</v>
      </c>
      <c r="Y261" s="98">
        <f>'Supply planning data'!AA259</f>
        <v>0</v>
      </c>
      <c r="Z261" s="98">
        <f>'Supply planning data'!AB259</f>
        <v>0</v>
      </c>
      <c r="AA261" s="98">
        <f>'Supply planning data'!AC259</f>
        <v>0</v>
      </c>
      <c r="AB261" s="98">
        <f>'Supply planning data'!AD259</f>
        <v>0</v>
      </c>
      <c r="AC261" s="98">
        <f>'Supply planning data'!AE259</f>
        <v>0</v>
      </c>
      <c r="AD261" s="325" t="str">
        <f>'Supply planning data'!AF259</f>
        <v/>
      </c>
      <c r="AE261" s="98">
        <f>'Supply planning data'!AG259</f>
        <v>0</v>
      </c>
      <c r="AF261" s="317">
        <f>'Supply planning data'!AH259</f>
        <v>0</v>
      </c>
      <c r="AG261" s="175">
        <f>'Supply planning data'!AI259</f>
        <v>0</v>
      </c>
      <c r="AH261" s="98">
        <f>'Supply planning data'!AJ259</f>
        <v>0</v>
      </c>
      <c r="AI261" s="98">
        <f>'Supply planning data'!AK259</f>
        <v>0</v>
      </c>
      <c r="AJ261" s="98">
        <f>'Supply planning data'!AL259</f>
        <v>0</v>
      </c>
      <c r="AK261" s="98">
        <f>'Supply planning data'!AM259</f>
        <v>0</v>
      </c>
      <c r="AL261" s="98">
        <f>'Supply planning data'!AN259</f>
        <v>0</v>
      </c>
      <c r="AM261" s="325" t="str">
        <f>'Supply planning data'!AO259</f>
        <v/>
      </c>
    </row>
    <row r="262" spans="1:39" x14ac:dyDescent="0.25">
      <c r="A262" s="104" t="str">
        <f>'Supply planning data'!C260</f>
        <v>AstraZeneca</v>
      </c>
      <c r="B262" s="298">
        <f>'Supply planning data'!D260</f>
        <v>44713</v>
      </c>
      <c r="C262" s="105" t="str">
        <f>'Supply planning data'!E260</f>
        <v>Yes</v>
      </c>
      <c r="D262" s="105">
        <f>'Supply planning data'!F260</f>
        <v>0</v>
      </c>
      <c r="E262" s="320">
        <f>'Supply planning data'!G260</f>
        <v>0</v>
      </c>
      <c r="F262" s="320">
        <f>'Supply planning data'!H260</f>
        <v>0</v>
      </c>
      <c r="G262" s="320">
        <f>'Supply planning data'!I260</f>
        <v>0</v>
      </c>
      <c r="H262" s="105">
        <f>'Supply planning data'!J260</f>
        <v>0</v>
      </c>
      <c r="I262" s="320">
        <f>'Supply planning data'!K260</f>
        <v>0</v>
      </c>
      <c r="J262" s="177" t="str">
        <f>'Supply planning data'!L260</f>
        <v/>
      </c>
      <c r="K262" s="105">
        <f>'Supply planning data'!M260</f>
        <v>0</v>
      </c>
      <c r="L262" s="320">
        <f>'Supply planning data'!N260+'Supply planning data'!P260</f>
        <v>0</v>
      </c>
      <c r="M262" s="341">
        <f>'Supply planning data'!O260</f>
        <v>0</v>
      </c>
      <c r="N262" s="320">
        <f>'Supply planning data'!P260</f>
        <v>0</v>
      </c>
      <c r="O262" s="341">
        <f>'Supply planning data'!Q260</f>
        <v>0</v>
      </c>
      <c r="P262" s="105">
        <f>'Supply planning data'!R260</f>
        <v>0</v>
      </c>
      <c r="Q262" s="105">
        <f>'Supply planning data'!S260</f>
        <v>0</v>
      </c>
      <c r="R262" s="105">
        <f>'Supply planning data'!T260</f>
        <v>0</v>
      </c>
      <c r="S262" s="105">
        <f>'Supply planning data'!U260</f>
        <v>0</v>
      </c>
      <c r="T262" s="105">
        <f>'Supply planning data'!V260</f>
        <v>0</v>
      </c>
      <c r="U262" s="326" t="str">
        <f>'Supply planning data'!W260</f>
        <v/>
      </c>
      <c r="V262" s="105">
        <f>'Supply planning data'!X260</f>
        <v>634701</v>
      </c>
      <c r="W262" s="320">
        <f>'Supply planning data'!Y260</f>
        <v>80000</v>
      </c>
      <c r="X262" s="329">
        <f>'Supply planning data'!Z260</f>
        <v>0</v>
      </c>
      <c r="Y262" s="105">
        <f>'Supply planning data'!AA260</f>
        <v>80000</v>
      </c>
      <c r="Z262" s="105">
        <f>'Supply planning data'!AB260</f>
        <v>0</v>
      </c>
      <c r="AA262" s="105">
        <f>'Supply planning data'!AC260</f>
        <v>0</v>
      </c>
      <c r="AB262" s="105">
        <f>'Supply planning data'!AD260</f>
        <v>0</v>
      </c>
      <c r="AC262" s="105">
        <f>'Supply planning data'!AE260</f>
        <v>554701</v>
      </c>
      <c r="AD262" s="326">
        <f>'Supply planning data'!AF260</f>
        <v>6.9337625000000003</v>
      </c>
      <c r="AE262" s="105">
        <f>'Supply planning data'!AG260</f>
        <v>0</v>
      </c>
      <c r="AF262" s="320">
        <f>'Supply planning data'!AH260</f>
        <v>0</v>
      </c>
      <c r="AG262" s="177">
        <f>'Supply planning data'!AI260</f>
        <v>0</v>
      </c>
      <c r="AH262" s="105">
        <f>'Supply planning data'!AJ260</f>
        <v>0</v>
      </c>
      <c r="AI262" s="105">
        <f>'Supply planning data'!AK260</f>
        <v>0</v>
      </c>
      <c r="AJ262" s="105">
        <f>'Supply planning data'!AL260</f>
        <v>0</v>
      </c>
      <c r="AK262" s="105">
        <f>'Supply planning data'!AM260</f>
        <v>0</v>
      </c>
      <c r="AL262" s="105">
        <f>'Supply planning data'!AN260</f>
        <v>0</v>
      </c>
      <c r="AM262" s="326" t="str">
        <f>'Supply planning data'!AO260</f>
        <v/>
      </c>
    </row>
    <row r="263" spans="1:39" x14ac:dyDescent="0.25">
      <c r="A263" s="109" t="str">
        <f>'Supply planning data'!C261</f>
        <v>Jansen</v>
      </c>
      <c r="B263" s="298">
        <f>'Supply planning data'!D261</f>
        <v>44713</v>
      </c>
      <c r="C263" s="105" t="str">
        <f>'Supply planning data'!E261</f>
        <v>Yes</v>
      </c>
      <c r="D263" s="105">
        <f>'Supply planning data'!F261</f>
        <v>2058747</v>
      </c>
      <c r="E263" s="320">
        <f>'Supply planning data'!G261</f>
        <v>0</v>
      </c>
      <c r="F263" s="320">
        <f>'Supply planning data'!H261</f>
        <v>0</v>
      </c>
      <c r="G263" s="320">
        <f>'Supply planning data'!I261</f>
        <v>0</v>
      </c>
      <c r="H263" s="105">
        <f>'Supply planning data'!J261</f>
        <v>0</v>
      </c>
      <c r="I263" s="320">
        <f>'Supply planning data'!K261</f>
        <v>0</v>
      </c>
      <c r="J263" s="177" t="str">
        <f>'Supply planning data'!L261</f>
        <v/>
      </c>
      <c r="K263" s="105">
        <f>'Supply planning data'!M261</f>
        <v>0</v>
      </c>
      <c r="L263" s="321">
        <f>'Supply planning data'!N261+'Supply planning data'!P261</f>
        <v>0</v>
      </c>
      <c r="M263" s="342">
        <f>'Supply planning data'!O261</f>
        <v>0</v>
      </c>
      <c r="N263" s="321">
        <f>'Supply planning data'!P261</f>
        <v>0</v>
      </c>
      <c r="O263" s="342">
        <f>'Supply planning data'!Q261</f>
        <v>0</v>
      </c>
      <c r="P263" s="111">
        <f>'Supply planning data'!R261</f>
        <v>0</v>
      </c>
      <c r="Q263" s="111">
        <f>'Supply planning data'!S261</f>
        <v>0</v>
      </c>
      <c r="R263" s="111">
        <f>'Supply planning data'!T261</f>
        <v>0</v>
      </c>
      <c r="S263" s="111">
        <f>'Supply planning data'!U261</f>
        <v>0</v>
      </c>
      <c r="T263" s="111">
        <f>'Supply planning data'!V261</f>
        <v>2058747</v>
      </c>
      <c r="U263" s="327" t="str">
        <f>'Supply planning data'!W261</f>
        <v/>
      </c>
      <c r="V263" s="111">
        <f>'Supply planning data'!X261</f>
        <v>1978747</v>
      </c>
      <c r="W263" s="321">
        <f>'Supply planning data'!Y261</f>
        <v>80000</v>
      </c>
      <c r="X263" s="329">
        <f>'Supply planning data'!Z261</f>
        <v>0</v>
      </c>
      <c r="Y263" s="111">
        <f>'Supply planning data'!AA261</f>
        <v>80000</v>
      </c>
      <c r="Z263" s="111">
        <f>'Supply planning data'!AB261</f>
        <v>0</v>
      </c>
      <c r="AA263" s="111">
        <f>'Supply planning data'!AC261</f>
        <v>0</v>
      </c>
      <c r="AB263" s="111">
        <f>'Supply planning data'!AD261</f>
        <v>0</v>
      </c>
      <c r="AC263" s="111">
        <f>'Supply planning data'!AE261</f>
        <v>1898747</v>
      </c>
      <c r="AD263" s="327">
        <f>'Supply planning data'!AF261</f>
        <v>23.734337499999999</v>
      </c>
      <c r="AE263" s="111">
        <f>'Supply planning data'!AG261</f>
        <v>2058747</v>
      </c>
      <c r="AF263" s="321">
        <f>'Supply planning data'!AH261</f>
        <v>0</v>
      </c>
      <c r="AG263" s="349">
        <f>'Supply planning data'!AI261</f>
        <v>0</v>
      </c>
      <c r="AH263" s="111">
        <f>'Supply planning data'!AJ261</f>
        <v>0</v>
      </c>
      <c r="AI263" s="111">
        <f>'Supply planning data'!AK261</f>
        <v>0</v>
      </c>
      <c r="AJ263" s="111">
        <f>'Supply planning data'!AL261</f>
        <v>0</v>
      </c>
      <c r="AK263" s="111">
        <f>'Supply planning data'!AM261</f>
        <v>0</v>
      </c>
      <c r="AL263" s="111">
        <f>'Supply planning data'!AN261</f>
        <v>2058747</v>
      </c>
      <c r="AM263" s="327" t="str">
        <f>'Supply planning data'!AO261</f>
        <v/>
      </c>
    </row>
    <row r="264" spans="1:39" x14ac:dyDescent="0.25">
      <c r="A264" s="104" t="str">
        <f>'Supply planning data'!C262</f>
        <v>Moderna</v>
      </c>
      <c r="B264" s="298">
        <f>'Supply planning data'!D262</f>
        <v>44713</v>
      </c>
      <c r="C264" s="105" t="str">
        <f>'Supply planning data'!E262</f>
        <v>No</v>
      </c>
      <c r="D264" s="105">
        <f>'Supply planning data'!F262</f>
        <v>0</v>
      </c>
      <c r="E264" s="320">
        <f>'Supply planning data'!G262</f>
        <v>0</v>
      </c>
      <c r="F264" s="320">
        <f>'Supply planning data'!H262</f>
        <v>0</v>
      </c>
      <c r="G264" s="320">
        <f>'Supply planning data'!I262</f>
        <v>0</v>
      </c>
      <c r="H264" s="105">
        <f>'Supply planning data'!J262</f>
        <v>0</v>
      </c>
      <c r="I264" s="320">
        <f>'Supply planning data'!K262</f>
        <v>0</v>
      </c>
      <c r="J264" s="177" t="str">
        <f>'Supply planning data'!L262</f>
        <v/>
      </c>
      <c r="K264" s="105">
        <f>'Supply planning data'!M262</f>
        <v>0</v>
      </c>
      <c r="L264" s="321">
        <f>'Supply planning data'!N262+'Supply planning data'!P262</f>
        <v>0</v>
      </c>
      <c r="M264" s="342">
        <f>'Supply planning data'!O262</f>
        <v>0</v>
      </c>
      <c r="N264" s="321">
        <f>'Supply planning data'!P262</f>
        <v>0</v>
      </c>
      <c r="O264" s="342">
        <f>'Supply planning data'!Q262</f>
        <v>0</v>
      </c>
      <c r="P264" s="111">
        <f>'Supply planning data'!R262</f>
        <v>0</v>
      </c>
      <c r="Q264" s="111">
        <f>'Supply planning data'!S262</f>
        <v>0</v>
      </c>
      <c r="R264" s="111">
        <f>'Supply planning data'!T262</f>
        <v>0</v>
      </c>
      <c r="S264" s="111">
        <f>'Supply planning data'!U262</f>
        <v>0</v>
      </c>
      <c r="T264" s="111">
        <f>'Supply planning data'!V262</f>
        <v>0</v>
      </c>
      <c r="U264" s="327" t="str">
        <f>'Supply planning data'!W262</f>
        <v/>
      </c>
      <c r="V264" s="111">
        <f>'Supply planning data'!X262</f>
        <v>0</v>
      </c>
      <c r="W264" s="321">
        <f>'Supply planning data'!Y262</f>
        <v>80000</v>
      </c>
      <c r="X264" s="329">
        <f>'Supply planning data'!Z262</f>
        <v>0</v>
      </c>
      <c r="Y264" s="111">
        <f>'Supply planning data'!AA262</f>
        <v>80000</v>
      </c>
      <c r="Z264" s="111">
        <f>'Supply planning data'!AB262</f>
        <v>0</v>
      </c>
      <c r="AA264" s="111">
        <f>'Supply planning data'!AC262</f>
        <v>0</v>
      </c>
      <c r="AB264" s="111">
        <f>'Supply planning data'!AD262</f>
        <v>0</v>
      </c>
      <c r="AC264" s="111">
        <f>'Supply planning data'!AE262</f>
        <v>0</v>
      </c>
      <c r="AD264" s="327">
        <f>'Supply planning data'!AF262</f>
        <v>0</v>
      </c>
      <c r="AE264" s="111">
        <f>'Supply planning data'!AG262</f>
        <v>0</v>
      </c>
      <c r="AF264" s="321">
        <f>'Supply planning data'!AH262</f>
        <v>0</v>
      </c>
      <c r="AG264" s="349">
        <f>'Supply planning data'!AI262</f>
        <v>0</v>
      </c>
      <c r="AH264" s="111">
        <f>'Supply planning data'!AJ262</f>
        <v>0</v>
      </c>
      <c r="AI264" s="111">
        <f>'Supply planning data'!AK262</f>
        <v>0</v>
      </c>
      <c r="AJ264" s="111">
        <f>'Supply planning data'!AL262</f>
        <v>0</v>
      </c>
      <c r="AK264" s="111">
        <f>'Supply planning data'!AM262</f>
        <v>0</v>
      </c>
      <c r="AL264" s="111">
        <f>'Supply planning data'!AN262</f>
        <v>0</v>
      </c>
      <c r="AM264" s="327" t="str">
        <f>'Supply planning data'!AO262</f>
        <v/>
      </c>
    </row>
    <row r="265" spans="1:39" x14ac:dyDescent="0.25">
      <c r="A265" s="109" t="str">
        <f>'Supply planning data'!C263</f>
        <v>Pfizer</v>
      </c>
      <c r="B265" s="298">
        <f>'Supply planning data'!D263</f>
        <v>44713</v>
      </c>
      <c r="C265" s="105" t="str">
        <f>'Supply planning data'!E263</f>
        <v>Yes</v>
      </c>
      <c r="D265" s="105">
        <f>'Supply planning data'!F263</f>
        <v>110538</v>
      </c>
      <c r="E265" s="320">
        <f>'Supply planning data'!G263</f>
        <v>0</v>
      </c>
      <c r="F265" s="320">
        <f>'Supply planning data'!H263</f>
        <v>0</v>
      </c>
      <c r="G265" s="320">
        <f>'Supply planning data'!I263</f>
        <v>0</v>
      </c>
      <c r="H265" s="105">
        <f>'Supply planning data'!J263</f>
        <v>0</v>
      </c>
      <c r="I265" s="320">
        <f>'Supply planning data'!K263</f>
        <v>0</v>
      </c>
      <c r="J265" s="177" t="str">
        <f>'Supply planning data'!L263</f>
        <v/>
      </c>
      <c r="K265" s="105">
        <f>'Supply planning data'!M263</f>
        <v>0</v>
      </c>
      <c r="L265" s="321">
        <f>'Supply planning data'!N263+'Supply planning data'!P263</f>
        <v>0</v>
      </c>
      <c r="M265" s="342">
        <f>'Supply planning data'!O263</f>
        <v>0</v>
      </c>
      <c r="N265" s="321">
        <f>'Supply planning data'!P263</f>
        <v>0</v>
      </c>
      <c r="O265" s="342">
        <f>'Supply planning data'!Q263</f>
        <v>0</v>
      </c>
      <c r="P265" s="111">
        <f>'Supply planning data'!R263</f>
        <v>0</v>
      </c>
      <c r="Q265" s="111">
        <f>'Supply planning data'!S263</f>
        <v>1000000</v>
      </c>
      <c r="R265" s="111">
        <f>'Supply planning data'!T263</f>
        <v>0</v>
      </c>
      <c r="S265" s="111">
        <f>'Supply planning data'!U263</f>
        <v>0</v>
      </c>
      <c r="T265" s="111">
        <f>'Supply planning data'!V263</f>
        <v>1110538</v>
      </c>
      <c r="U265" s="327" t="str">
        <f>'Supply planning data'!W263</f>
        <v/>
      </c>
      <c r="V265" s="111">
        <f>'Supply planning data'!X263</f>
        <v>30538</v>
      </c>
      <c r="W265" s="321">
        <f>'Supply planning data'!Y263</f>
        <v>80000</v>
      </c>
      <c r="X265" s="329">
        <f>'Supply planning data'!Z263</f>
        <v>0</v>
      </c>
      <c r="Y265" s="111">
        <f>'Supply planning data'!AA263</f>
        <v>80000</v>
      </c>
      <c r="Z265" s="111">
        <f>'Supply planning data'!AB263</f>
        <v>0</v>
      </c>
      <c r="AA265" s="111">
        <f>'Supply planning data'!AC263</f>
        <v>0</v>
      </c>
      <c r="AB265" s="111">
        <f>'Supply planning data'!AD263</f>
        <v>0</v>
      </c>
      <c r="AC265" s="111">
        <f>'Supply planning data'!AE263</f>
        <v>950538</v>
      </c>
      <c r="AD265" s="327">
        <f>'Supply planning data'!AF263</f>
        <v>11.881724999999999</v>
      </c>
      <c r="AE265" s="111">
        <f>'Supply planning data'!AG263</f>
        <v>110538</v>
      </c>
      <c r="AF265" s="321">
        <f>'Supply planning data'!AH263</f>
        <v>0</v>
      </c>
      <c r="AG265" s="349">
        <f>'Supply planning data'!AI263</f>
        <v>0</v>
      </c>
      <c r="AH265" s="111">
        <f>'Supply planning data'!AJ263</f>
        <v>0</v>
      </c>
      <c r="AI265" s="111">
        <f>'Supply planning data'!AK263</f>
        <v>0</v>
      </c>
      <c r="AJ265" s="111">
        <f>'Supply planning data'!AL263</f>
        <v>0</v>
      </c>
      <c r="AK265" s="111">
        <f>'Supply planning data'!AM263</f>
        <v>0</v>
      </c>
      <c r="AL265" s="111">
        <f>'Supply planning data'!AN263</f>
        <v>1110538</v>
      </c>
      <c r="AM265" s="327" t="str">
        <f>'Supply planning data'!AO263</f>
        <v/>
      </c>
    </row>
    <row r="266" spans="1:39" x14ac:dyDescent="0.25">
      <c r="A266" s="104" t="str">
        <f>'Supply planning data'!C264</f>
        <v>Sinovac</v>
      </c>
      <c r="B266" s="298">
        <f>'Supply planning data'!D264</f>
        <v>44713</v>
      </c>
      <c r="C266" s="105" t="str">
        <f>'Supply planning data'!E264</f>
        <v>No</v>
      </c>
      <c r="D266" s="105">
        <f>'Supply planning data'!F264</f>
        <v>0</v>
      </c>
      <c r="E266" s="320">
        <f>'Supply planning data'!G264</f>
        <v>0</v>
      </c>
      <c r="F266" s="320">
        <f>'Supply planning data'!H264</f>
        <v>0</v>
      </c>
      <c r="G266" s="320">
        <f>'Supply planning data'!I264</f>
        <v>0</v>
      </c>
      <c r="H266" s="105">
        <f>'Supply planning data'!J264</f>
        <v>0</v>
      </c>
      <c r="I266" s="320">
        <f>'Supply planning data'!K264</f>
        <v>0</v>
      </c>
      <c r="J266" s="177" t="str">
        <f>'Supply planning data'!L264</f>
        <v/>
      </c>
      <c r="K266" s="105">
        <f>'Supply planning data'!M264</f>
        <v>0</v>
      </c>
      <c r="L266" s="321">
        <f>'Supply planning data'!N264+'Supply planning data'!P264</f>
        <v>0</v>
      </c>
      <c r="M266" s="342">
        <f>'Supply planning data'!O264</f>
        <v>0</v>
      </c>
      <c r="N266" s="321">
        <f>'Supply planning data'!P264</f>
        <v>0</v>
      </c>
      <c r="O266" s="342">
        <f>'Supply planning data'!Q264</f>
        <v>0</v>
      </c>
      <c r="P266" s="111">
        <f>'Supply planning data'!R264</f>
        <v>0</v>
      </c>
      <c r="Q266" s="111">
        <f>'Supply planning data'!S264</f>
        <v>0</v>
      </c>
      <c r="R266" s="111">
        <f>'Supply planning data'!T264</f>
        <v>0</v>
      </c>
      <c r="S266" s="111">
        <f>'Supply planning data'!U264</f>
        <v>0</v>
      </c>
      <c r="T266" s="111">
        <f>'Supply planning data'!V264</f>
        <v>0</v>
      </c>
      <c r="U266" s="327" t="str">
        <f>'Supply planning data'!W264</f>
        <v/>
      </c>
      <c r="V266" s="111">
        <f>'Supply planning data'!X264</f>
        <v>0</v>
      </c>
      <c r="W266" s="321">
        <f>'Supply planning data'!Y264</f>
        <v>80000</v>
      </c>
      <c r="X266" s="329">
        <f>'Supply planning data'!Z264</f>
        <v>0</v>
      </c>
      <c r="Y266" s="111">
        <f>'Supply planning data'!AA264</f>
        <v>80000</v>
      </c>
      <c r="Z266" s="111">
        <f>'Supply planning data'!AB264</f>
        <v>0</v>
      </c>
      <c r="AA266" s="111">
        <f>'Supply planning data'!AC264</f>
        <v>0</v>
      </c>
      <c r="AB266" s="111">
        <f>'Supply planning data'!AD264</f>
        <v>0</v>
      </c>
      <c r="AC266" s="111">
        <f>'Supply planning data'!AE264</f>
        <v>0</v>
      </c>
      <c r="AD266" s="327">
        <f>'Supply planning data'!AF264</f>
        <v>0</v>
      </c>
      <c r="AE266" s="111">
        <f>'Supply planning data'!AG264</f>
        <v>0</v>
      </c>
      <c r="AF266" s="321">
        <f>'Supply planning data'!AH264</f>
        <v>0</v>
      </c>
      <c r="AG266" s="349">
        <f>'Supply planning data'!AI264</f>
        <v>0</v>
      </c>
      <c r="AH266" s="111">
        <f>'Supply planning data'!AJ264</f>
        <v>0</v>
      </c>
      <c r="AI266" s="111">
        <f>'Supply planning data'!AK264</f>
        <v>0</v>
      </c>
      <c r="AJ266" s="111">
        <f>'Supply planning data'!AL264</f>
        <v>0</v>
      </c>
      <c r="AK266" s="111">
        <f>'Supply planning data'!AM264</f>
        <v>0</v>
      </c>
      <c r="AL266" s="111">
        <f>'Supply planning data'!AN264</f>
        <v>0</v>
      </c>
      <c r="AM266" s="327" t="str">
        <f>'Supply planning data'!AO264</f>
        <v/>
      </c>
    </row>
    <row r="267" spans="1:39" hidden="1" x14ac:dyDescent="0.25">
      <c r="A267" s="109" t="str">
        <f>'Supply planning data'!C265</f>
        <v/>
      </c>
      <c r="B267" s="298">
        <f>'Supply planning data'!D265</f>
        <v>44713</v>
      </c>
      <c r="C267" s="105" t="str">
        <f>'Supply planning data'!E265</f>
        <v>No</v>
      </c>
      <c r="D267" s="105">
        <f>'Supply planning data'!F265</f>
        <v>0</v>
      </c>
      <c r="E267" s="320">
        <f>'Supply planning data'!G265</f>
        <v>0</v>
      </c>
      <c r="F267" s="320">
        <f>'Supply planning data'!H265</f>
        <v>0</v>
      </c>
      <c r="G267" s="320">
        <f>'Supply planning data'!I265</f>
        <v>0</v>
      </c>
      <c r="H267" s="105">
        <f>'Supply planning data'!J265</f>
        <v>0</v>
      </c>
      <c r="I267" s="320">
        <f>'Supply planning data'!K265</f>
        <v>0</v>
      </c>
      <c r="J267" s="177" t="str">
        <f>'Supply planning data'!L265</f>
        <v/>
      </c>
      <c r="K267" s="105">
        <f>'Supply planning data'!M265</f>
        <v>0</v>
      </c>
      <c r="L267" s="321">
        <f>'Supply planning data'!N265+'Supply planning data'!P265</f>
        <v>0</v>
      </c>
      <c r="M267" s="342">
        <f>'Supply planning data'!O265</f>
        <v>0</v>
      </c>
      <c r="N267" s="321">
        <f>'Supply planning data'!P265</f>
        <v>0</v>
      </c>
      <c r="O267" s="342">
        <f>'Supply planning data'!Q265</f>
        <v>0</v>
      </c>
      <c r="P267" s="111">
        <f>'Supply planning data'!R265</f>
        <v>0</v>
      </c>
      <c r="Q267" s="111">
        <f>'Supply planning data'!S265</f>
        <v>0</v>
      </c>
      <c r="R267" s="111">
        <f>'Supply planning data'!T265</f>
        <v>0</v>
      </c>
      <c r="S267" s="111">
        <f>'Supply planning data'!U265</f>
        <v>0</v>
      </c>
      <c r="T267" s="111">
        <f>'Supply planning data'!V265</f>
        <v>0</v>
      </c>
      <c r="U267" s="327" t="str">
        <f>'Supply planning data'!W265</f>
        <v/>
      </c>
      <c r="V267" s="111">
        <f>'Supply planning data'!X265</f>
        <v>0</v>
      </c>
      <c r="W267" s="321">
        <f>'Supply planning data'!Y265</f>
        <v>0</v>
      </c>
      <c r="X267" s="329">
        <f>'Supply planning data'!Z265</f>
        <v>0</v>
      </c>
      <c r="Y267" s="111">
        <f>'Supply planning data'!AA265</f>
        <v>0</v>
      </c>
      <c r="Z267" s="111">
        <f>'Supply planning data'!AB265</f>
        <v>0</v>
      </c>
      <c r="AA267" s="111">
        <f>'Supply planning data'!AC265</f>
        <v>0</v>
      </c>
      <c r="AB267" s="111">
        <f>'Supply planning data'!AD265</f>
        <v>0</v>
      </c>
      <c r="AC267" s="111">
        <f>'Supply planning data'!AE265</f>
        <v>0</v>
      </c>
      <c r="AD267" s="327" t="str">
        <f>'Supply planning data'!AF265</f>
        <v/>
      </c>
      <c r="AE267" s="111">
        <f>'Supply planning data'!AG265</f>
        <v>0</v>
      </c>
      <c r="AF267" s="321">
        <f>'Supply planning data'!AH265</f>
        <v>0</v>
      </c>
      <c r="AG267" s="349">
        <f>'Supply planning data'!AI265</f>
        <v>0</v>
      </c>
      <c r="AH267" s="111">
        <f>'Supply planning data'!AJ265</f>
        <v>0</v>
      </c>
      <c r="AI267" s="111">
        <f>'Supply planning data'!AK265</f>
        <v>0</v>
      </c>
      <c r="AJ267" s="111">
        <f>'Supply planning data'!AL265</f>
        <v>0</v>
      </c>
      <c r="AK267" s="111">
        <f>'Supply planning data'!AM265</f>
        <v>0</v>
      </c>
      <c r="AL267" s="111">
        <f>'Supply planning data'!AN265</f>
        <v>0</v>
      </c>
      <c r="AM267" s="327" t="str">
        <f>'Supply planning data'!AO265</f>
        <v/>
      </c>
    </row>
    <row r="268" spans="1:39" hidden="1" x14ac:dyDescent="0.25">
      <c r="A268" s="104" t="str">
        <f>'Supply planning data'!C266</f>
        <v/>
      </c>
      <c r="B268" s="298">
        <f>'Supply planning data'!D266</f>
        <v>44713</v>
      </c>
      <c r="C268" s="105" t="str">
        <f>'Supply planning data'!E266</f>
        <v>No</v>
      </c>
      <c r="D268" s="105">
        <f>'Supply planning data'!F266</f>
        <v>0</v>
      </c>
      <c r="E268" s="320">
        <f>'Supply planning data'!G266</f>
        <v>0</v>
      </c>
      <c r="F268" s="320">
        <f>'Supply planning data'!H266</f>
        <v>0</v>
      </c>
      <c r="G268" s="320">
        <f>'Supply planning data'!I266</f>
        <v>0</v>
      </c>
      <c r="H268" s="105">
        <f>'Supply planning data'!J266</f>
        <v>0</v>
      </c>
      <c r="I268" s="320">
        <f>'Supply planning data'!K266</f>
        <v>0</v>
      </c>
      <c r="J268" s="177" t="str">
        <f>'Supply planning data'!L266</f>
        <v/>
      </c>
      <c r="K268" s="105">
        <f>'Supply planning data'!M266</f>
        <v>0</v>
      </c>
      <c r="L268" s="321">
        <f>'Supply planning data'!N266+'Supply planning data'!P266</f>
        <v>0</v>
      </c>
      <c r="M268" s="342">
        <f>'Supply planning data'!O266</f>
        <v>0</v>
      </c>
      <c r="N268" s="321">
        <f>'Supply planning data'!P266</f>
        <v>0</v>
      </c>
      <c r="O268" s="342">
        <f>'Supply planning data'!Q266</f>
        <v>0</v>
      </c>
      <c r="P268" s="111">
        <f>'Supply planning data'!R266</f>
        <v>0</v>
      </c>
      <c r="Q268" s="111">
        <f>'Supply planning data'!S266</f>
        <v>0</v>
      </c>
      <c r="R268" s="111">
        <f>'Supply planning data'!T266</f>
        <v>0</v>
      </c>
      <c r="S268" s="111">
        <f>'Supply planning data'!U266</f>
        <v>0</v>
      </c>
      <c r="T268" s="111">
        <f>'Supply planning data'!V266</f>
        <v>0</v>
      </c>
      <c r="U268" s="327" t="str">
        <f>'Supply planning data'!W266</f>
        <v/>
      </c>
      <c r="V268" s="111">
        <f>'Supply planning data'!X266</f>
        <v>0</v>
      </c>
      <c r="W268" s="321">
        <f>'Supply planning data'!Y266</f>
        <v>0</v>
      </c>
      <c r="X268" s="329">
        <f>'Supply planning data'!Z266</f>
        <v>0</v>
      </c>
      <c r="Y268" s="111">
        <f>'Supply planning data'!AA266</f>
        <v>0</v>
      </c>
      <c r="Z268" s="111">
        <f>'Supply planning data'!AB266</f>
        <v>0</v>
      </c>
      <c r="AA268" s="111">
        <f>'Supply planning data'!AC266</f>
        <v>0</v>
      </c>
      <c r="AB268" s="111">
        <f>'Supply planning data'!AD266</f>
        <v>0</v>
      </c>
      <c r="AC268" s="111">
        <f>'Supply planning data'!AE266</f>
        <v>0</v>
      </c>
      <c r="AD268" s="327" t="str">
        <f>'Supply planning data'!AF266</f>
        <v/>
      </c>
      <c r="AE268" s="111">
        <f>'Supply planning data'!AG266</f>
        <v>0</v>
      </c>
      <c r="AF268" s="321">
        <f>'Supply planning data'!AH266</f>
        <v>0</v>
      </c>
      <c r="AG268" s="349">
        <f>'Supply planning data'!AI266</f>
        <v>0</v>
      </c>
      <c r="AH268" s="111">
        <f>'Supply planning data'!AJ266</f>
        <v>0</v>
      </c>
      <c r="AI268" s="111">
        <f>'Supply planning data'!AK266</f>
        <v>0</v>
      </c>
      <c r="AJ268" s="111">
        <f>'Supply planning data'!AL266</f>
        <v>0</v>
      </c>
      <c r="AK268" s="111">
        <f>'Supply planning data'!AM266</f>
        <v>0</v>
      </c>
      <c r="AL268" s="111">
        <f>'Supply planning data'!AN266</f>
        <v>0</v>
      </c>
      <c r="AM268" s="327" t="str">
        <f>'Supply planning data'!AO266</f>
        <v/>
      </c>
    </row>
    <row r="269" spans="1:39" hidden="1" x14ac:dyDescent="0.25">
      <c r="A269" s="109" t="str">
        <f>'Supply planning data'!C267</f>
        <v/>
      </c>
      <c r="B269" s="298">
        <f>'Supply planning data'!D267</f>
        <v>44713</v>
      </c>
      <c r="C269" s="105" t="str">
        <f>'Supply planning data'!E267</f>
        <v>No</v>
      </c>
      <c r="D269" s="105">
        <f>'Supply planning data'!F267</f>
        <v>0</v>
      </c>
      <c r="E269" s="320">
        <f>'Supply planning data'!G267</f>
        <v>0</v>
      </c>
      <c r="F269" s="320">
        <f>'Supply planning data'!H267</f>
        <v>0</v>
      </c>
      <c r="G269" s="320">
        <f>'Supply planning data'!I267</f>
        <v>0</v>
      </c>
      <c r="H269" s="105">
        <f>'Supply planning data'!J267</f>
        <v>0</v>
      </c>
      <c r="I269" s="320">
        <f>'Supply planning data'!K267</f>
        <v>0</v>
      </c>
      <c r="J269" s="177" t="str">
        <f>'Supply planning data'!L267</f>
        <v/>
      </c>
      <c r="K269" s="105">
        <f>'Supply planning data'!M267</f>
        <v>0</v>
      </c>
      <c r="L269" s="321">
        <f>'Supply planning data'!N267+'Supply planning data'!P267</f>
        <v>0</v>
      </c>
      <c r="M269" s="342">
        <f>'Supply planning data'!O267</f>
        <v>0</v>
      </c>
      <c r="N269" s="321">
        <f>'Supply planning data'!P267</f>
        <v>0</v>
      </c>
      <c r="O269" s="342">
        <f>'Supply planning data'!Q267</f>
        <v>0</v>
      </c>
      <c r="P269" s="111">
        <f>'Supply planning data'!R267</f>
        <v>0</v>
      </c>
      <c r="Q269" s="111">
        <f>'Supply planning data'!S267</f>
        <v>0</v>
      </c>
      <c r="R269" s="111">
        <f>'Supply planning data'!T267</f>
        <v>0</v>
      </c>
      <c r="S269" s="111">
        <f>'Supply planning data'!U267</f>
        <v>0</v>
      </c>
      <c r="T269" s="111">
        <f>'Supply planning data'!V267</f>
        <v>0</v>
      </c>
      <c r="U269" s="327" t="str">
        <f>'Supply planning data'!W267</f>
        <v/>
      </c>
      <c r="V269" s="111">
        <f>'Supply planning data'!X267</f>
        <v>0</v>
      </c>
      <c r="W269" s="321">
        <f>'Supply planning data'!Y267</f>
        <v>0</v>
      </c>
      <c r="X269" s="329">
        <f>'Supply planning data'!Z267</f>
        <v>0</v>
      </c>
      <c r="Y269" s="111">
        <f>'Supply planning data'!AA267</f>
        <v>0</v>
      </c>
      <c r="Z269" s="111">
        <f>'Supply planning data'!AB267</f>
        <v>0</v>
      </c>
      <c r="AA269" s="111">
        <f>'Supply planning data'!AC267</f>
        <v>0</v>
      </c>
      <c r="AB269" s="111">
        <f>'Supply planning data'!AD267</f>
        <v>0</v>
      </c>
      <c r="AC269" s="111">
        <f>'Supply planning data'!AE267</f>
        <v>0</v>
      </c>
      <c r="AD269" s="327" t="str">
        <f>'Supply planning data'!AF267</f>
        <v/>
      </c>
      <c r="AE269" s="111">
        <f>'Supply planning data'!AG267</f>
        <v>0</v>
      </c>
      <c r="AF269" s="321">
        <f>'Supply planning data'!AH267</f>
        <v>0</v>
      </c>
      <c r="AG269" s="349">
        <f>'Supply planning data'!AI267</f>
        <v>0</v>
      </c>
      <c r="AH269" s="111">
        <f>'Supply planning data'!AJ267</f>
        <v>0</v>
      </c>
      <c r="AI269" s="111">
        <f>'Supply planning data'!AK267</f>
        <v>0</v>
      </c>
      <c r="AJ269" s="111">
        <f>'Supply planning data'!AL267</f>
        <v>0</v>
      </c>
      <c r="AK269" s="111">
        <f>'Supply planning data'!AM267</f>
        <v>0</v>
      </c>
      <c r="AL269" s="111">
        <f>'Supply planning data'!AN267</f>
        <v>0</v>
      </c>
      <c r="AM269" s="327" t="str">
        <f>'Supply planning data'!AO267</f>
        <v/>
      </c>
    </row>
    <row r="270" spans="1:39" hidden="1" x14ac:dyDescent="0.25">
      <c r="A270" s="104" t="str">
        <f>'Supply planning data'!C268</f>
        <v/>
      </c>
      <c r="B270" s="298">
        <f>'Supply planning data'!D268</f>
        <v>44713</v>
      </c>
      <c r="C270" s="105" t="str">
        <f>'Supply planning data'!E268</f>
        <v>No</v>
      </c>
      <c r="D270" s="105">
        <f>'Supply planning data'!F268</f>
        <v>0</v>
      </c>
      <c r="E270" s="320">
        <f>'Supply planning data'!G268</f>
        <v>0</v>
      </c>
      <c r="F270" s="320">
        <f>'Supply planning data'!H268</f>
        <v>0</v>
      </c>
      <c r="G270" s="320">
        <f>'Supply planning data'!I268</f>
        <v>0</v>
      </c>
      <c r="H270" s="105">
        <f>'Supply planning data'!J268</f>
        <v>0</v>
      </c>
      <c r="I270" s="320">
        <f>'Supply planning data'!K268</f>
        <v>0</v>
      </c>
      <c r="J270" s="177" t="str">
        <f>'Supply planning data'!L268</f>
        <v/>
      </c>
      <c r="K270" s="105">
        <f>'Supply planning data'!M268</f>
        <v>0</v>
      </c>
      <c r="L270" s="321">
        <f>'Supply planning data'!N268+'Supply planning data'!P268</f>
        <v>0</v>
      </c>
      <c r="M270" s="342">
        <f>'Supply planning data'!O268</f>
        <v>0</v>
      </c>
      <c r="N270" s="321">
        <f>'Supply planning data'!P268</f>
        <v>0</v>
      </c>
      <c r="O270" s="342">
        <f>'Supply planning data'!Q268</f>
        <v>0</v>
      </c>
      <c r="P270" s="111">
        <f>'Supply planning data'!R268</f>
        <v>0</v>
      </c>
      <c r="Q270" s="111">
        <f>'Supply planning data'!S268</f>
        <v>0</v>
      </c>
      <c r="R270" s="111">
        <f>'Supply planning data'!T268</f>
        <v>0</v>
      </c>
      <c r="S270" s="111">
        <f>'Supply planning data'!U268</f>
        <v>0</v>
      </c>
      <c r="T270" s="111">
        <f>'Supply planning data'!V268</f>
        <v>0</v>
      </c>
      <c r="U270" s="327" t="str">
        <f>'Supply planning data'!W268</f>
        <v/>
      </c>
      <c r="V270" s="111">
        <f>'Supply planning data'!X268</f>
        <v>0</v>
      </c>
      <c r="W270" s="321">
        <f>'Supply planning data'!Y268</f>
        <v>0</v>
      </c>
      <c r="X270" s="329">
        <f>'Supply planning data'!Z268</f>
        <v>0</v>
      </c>
      <c r="Y270" s="111">
        <f>'Supply planning data'!AA268</f>
        <v>0</v>
      </c>
      <c r="Z270" s="111">
        <f>'Supply planning data'!AB268</f>
        <v>0</v>
      </c>
      <c r="AA270" s="111">
        <f>'Supply planning data'!AC268</f>
        <v>0</v>
      </c>
      <c r="AB270" s="111">
        <f>'Supply planning data'!AD268</f>
        <v>0</v>
      </c>
      <c r="AC270" s="111">
        <f>'Supply planning data'!AE268</f>
        <v>0</v>
      </c>
      <c r="AD270" s="327" t="str">
        <f>'Supply planning data'!AF268</f>
        <v/>
      </c>
      <c r="AE270" s="111">
        <f>'Supply planning data'!AG268</f>
        <v>0</v>
      </c>
      <c r="AF270" s="321">
        <f>'Supply planning data'!AH268</f>
        <v>0</v>
      </c>
      <c r="AG270" s="349">
        <f>'Supply planning data'!AI268</f>
        <v>0</v>
      </c>
      <c r="AH270" s="111">
        <f>'Supply planning data'!AJ268</f>
        <v>0</v>
      </c>
      <c r="AI270" s="111">
        <f>'Supply planning data'!AK268</f>
        <v>0</v>
      </c>
      <c r="AJ270" s="111">
        <f>'Supply planning data'!AL268</f>
        <v>0</v>
      </c>
      <c r="AK270" s="111">
        <f>'Supply planning data'!AM268</f>
        <v>0</v>
      </c>
      <c r="AL270" s="111">
        <f>'Supply planning data'!AN268</f>
        <v>0</v>
      </c>
      <c r="AM270" s="327" t="str">
        <f>'Supply planning data'!AO268</f>
        <v/>
      </c>
    </row>
    <row r="271" spans="1:39" hidden="1" x14ac:dyDescent="0.25">
      <c r="A271" s="109" t="str">
        <f>'Supply planning data'!C269</f>
        <v/>
      </c>
      <c r="B271" s="298">
        <f>'Supply planning data'!D269</f>
        <v>44713</v>
      </c>
      <c r="C271" s="105" t="str">
        <f>'Supply planning data'!E269</f>
        <v>No</v>
      </c>
      <c r="D271" s="105">
        <f>'Supply planning data'!F269</f>
        <v>0</v>
      </c>
      <c r="E271" s="320">
        <f>'Supply planning data'!G269</f>
        <v>0</v>
      </c>
      <c r="F271" s="320">
        <f>'Supply planning data'!H269</f>
        <v>0</v>
      </c>
      <c r="G271" s="320">
        <f>'Supply planning data'!I269</f>
        <v>0</v>
      </c>
      <c r="H271" s="105">
        <f>'Supply planning data'!J269</f>
        <v>0</v>
      </c>
      <c r="I271" s="320">
        <f>'Supply planning data'!K269</f>
        <v>0</v>
      </c>
      <c r="J271" s="177" t="str">
        <f>'Supply planning data'!L269</f>
        <v/>
      </c>
      <c r="K271" s="105">
        <f>'Supply planning data'!M269</f>
        <v>0</v>
      </c>
      <c r="L271" s="321">
        <f>'Supply planning data'!N269+'Supply planning data'!P269</f>
        <v>0</v>
      </c>
      <c r="M271" s="342">
        <f>'Supply planning data'!O269</f>
        <v>0</v>
      </c>
      <c r="N271" s="321">
        <f>'Supply planning data'!P269</f>
        <v>0</v>
      </c>
      <c r="O271" s="342">
        <f>'Supply planning data'!Q269</f>
        <v>0</v>
      </c>
      <c r="P271" s="111">
        <f>'Supply planning data'!R269</f>
        <v>0</v>
      </c>
      <c r="Q271" s="111">
        <f>'Supply planning data'!S269</f>
        <v>0</v>
      </c>
      <c r="R271" s="111">
        <f>'Supply planning data'!T269</f>
        <v>0</v>
      </c>
      <c r="S271" s="111">
        <f>'Supply planning data'!U269</f>
        <v>0</v>
      </c>
      <c r="T271" s="111">
        <f>'Supply planning data'!V269</f>
        <v>0</v>
      </c>
      <c r="U271" s="327" t="str">
        <f>'Supply planning data'!W269</f>
        <v/>
      </c>
      <c r="V271" s="111">
        <f>'Supply planning data'!X269</f>
        <v>0</v>
      </c>
      <c r="W271" s="321">
        <f>'Supply planning data'!Y269</f>
        <v>0</v>
      </c>
      <c r="X271" s="329">
        <f>'Supply planning data'!Z269</f>
        <v>0</v>
      </c>
      <c r="Y271" s="111">
        <f>'Supply planning data'!AA269</f>
        <v>0</v>
      </c>
      <c r="Z271" s="111">
        <f>'Supply planning data'!AB269</f>
        <v>0</v>
      </c>
      <c r="AA271" s="111">
        <f>'Supply planning data'!AC269</f>
        <v>0</v>
      </c>
      <c r="AB271" s="111">
        <f>'Supply planning data'!AD269</f>
        <v>0</v>
      </c>
      <c r="AC271" s="111">
        <f>'Supply planning data'!AE269</f>
        <v>0</v>
      </c>
      <c r="AD271" s="327" t="str">
        <f>'Supply planning data'!AF269</f>
        <v/>
      </c>
      <c r="AE271" s="111">
        <f>'Supply planning data'!AG269</f>
        <v>0</v>
      </c>
      <c r="AF271" s="321">
        <f>'Supply planning data'!AH269</f>
        <v>0</v>
      </c>
      <c r="AG271" s="349">
        <f>'Supply planning data'!AI269</f>
        <v>0</v>
      </c>
      <c r="AH271" s="111">
        <f>'Supply planning data'!AJ269</f>
        <v>0</v>
      </c>
      <c r="AI271" s="111">
        <f>'Supply planning data'!AK269</f>
        <v>0</v>
      </c>
      <c r="AJ271" s="111">
        <f>'Supply planning data'!AL269</f>
        <v>0</v>
      </c>
      <c r="AK271" s="111">
        <f>'Supply planning data'!AM269</f>
        <v>0</v>
      </c>
      <c r="AL271" s="111">
        <f>'Supply planning data'!AN269</f>
        <v>0</v>
      </c>
      <c r="AM271" s="327" t="str">
        <f>'Supply planning data'!AO269</f>
        <v/>
      </c>
    </row>
    <row r="272" spans="1:39" hidden="1" x14ac:dyDescent="0.25">
      <c r="A272" s="104" t="str">
        <f>'Supply planning data'!C270</f>
        <v/>
      </c>
      <c r="B272" s="298">
        <f>'Supply planning data'!D270</f>
        <v>44713</v>
      </c>
      <c r="C272" s="105" t="str">
        <f>'Supply planning data'!E270</f>
        <v>No</v>
      </c>
      <c r="D272" s="105">
        <f>'Supply planning data'!F270</f>
        <v>0</v>
      </c>
      <c r="E272" s="320">
        <f>'Supply planning data'!G270</f>
        <v>0</v>
      </c>
      <c r="F272" s="320">
        <f>'Supply planning data'!H270</f>
        <v>0</v>
      </c>
      <c r="G272" s="320">
        <f>'Supply planning data'!I270</f>
        <v>0</v>
      </c>
      <c r="H272" s="105">
        <f>'Supply planning data'!J270</f>
        <v>0</v>
      </c>
      <c r="I272" s="320">
        <f>'Supply planning data'!K270</f>
        <v>0</v>
      </c>
      <c r="J272" s="177" t="str">
        <f>'Supply planning data'!L270</f>
        <v/>
      </c>
      <c r="K272" s="105">
        <f>'Supply planning data'!M270</f>
        <v>0</v>
      </c>
      <c r="L272" s="321">
        <f>'Supply planning data'!N270+'Supply planning data'!P270</f>
        <v>0</v>
      </c>
      <c r="M272" s="342">
        <f>'Supply planning data'!O270</f>
        <v>0</v>
      </c>
      <c r="N272" s="321">
        <f>'Supply planning data'!P270</f>
        <v>0</v>
      </c>
      <c r="O272" s="342">
        <f>'Supply planning data'!Q270</f>
        <v>0</v>
      </c>
      <c r="P272" s="111">
        <f>'Supply planning data'!R270</f>
        <v>0</v>
      </c>
      <c r="Q272" s="111">
        <f>'Supply planning data'!S270</f>
        <v>0</v>
      </c>
      <c r="R272" s="111">
        <f>'Supply planning data'!T270</f>
        <v>0</v>
      </c>
      <c r="S272" s="111">
        <f>'Supply planning data'!U270</f>
        <v>0</v>
      </c>
      <c r="T272" s="111">
        <f>'Supply planning data'!V270</f>
        <v>0</v>
      </c>
      <c r="U272" s="327" t="str">
        <f>'Supply planning data'!W270</f>
        <v/>
      </c>
      <c r="V272" s="111">
        <f>'Supply planning data'!X270</f>
        <v>0</v>
      </c>
      <c r="W272" s="321">
        <f>'Supply planning data'!Y270</f>
        <v>0</v>
      </c>
      <c r="X272" s="329">
        <f>'Supply planning data'!Z270</f>
        <v>0</v>
      </c>
      <c r="Y272" s="111">
        <f>'Supply planning data'!AA270</f>
        <v>0</v>
      </c>
      <c r="Z272" s="111">
        <f>'Supply planning data'!AB270</f>
        <v>0</v>
      </c>
      <c r="AA272" s="111">
        <f>'Supply planning data'!AC270</f>
        <v>0</v>
      </c>
      <c r="AB272" s="111">
        <f>'Supply planning data'!AD270</f>
        <v>0</v>
      </c>
      <c r="AC272" s="111">
        <f>'Supply planning data'!AE270</f>
        <v>0</v>
      </c>
      <c r="AD272" s="327" t="str">
        <f>'Supply planning data'!AF270</f>
        <v/>
      </c>
      <c r="AE272" s="111">
        <f>'Supply planning data'!AG270</f>
        <v>0</v>
      </c>
      <c r="AF272" s="321">
        <f>'Supply planning data'!AH270</f>
        <v>0</v>
      </c>
      <c r="AG272" s="349">
        <f>'Supply planning data'!AI270</f>
        <v>0</v>
      </c>
      <c r="AH272" s="111">
        <f>'Supply planning data'!AJ270</f>
        <v>0</v>
      </c>
      <c r="AI272" s="111">
        <f>'Supply planning data'!AK270</f>
        <v>0</v>
      </c>
      <c r="AJ272" s="111">
        <f>'Supply planning data'!AL270</f>
        <v>0</v>
      </c>
      <c r="AK272" s="111">
        <f>'Supply planning data'!AM270</f>
        <v>0</v>
      </c>
      <c r="AL272" s="111">
        <f>'Supply planning data'!AN270</f>
        <v>0</v>
      </c>
      <c r="AM272" s="327" t="str">
        <f>'Supply planning data'!AO270</f>
        <v/>
      </c>
    </row>
    <row r="273" spans="1:39" hidden="1" x14ac:dyDescent="0.25">
      <c r="A273" s="109" t="str">
        <f>'Supply planning data'!C271</f>
        <v/>
      </c>
      <c r="B273" s="298">
        <f>'Supply planning data'!D271</f>
        <v>44713</v>
      </c>
      <c r="C273" s="105" t="str">
        <f>'Supply planning data'!E271</f>
        <v>No</v>
      </c>
      <c r="D273" s="105">
        <f>'Supply planning data'!F271</f>
        <v>0</v>
      </c>
      <c r="E273" s="320">
        <f>'Supply planning data'!G271</f>
        <v>0</v>
      </c>
      <c r="F273" s="320">
        <f>'Supply planning data'!H271</f>
        <v>0</v>
      </c>
      <c r="G273" s="320">
        <f>'Supply planning data'!I271</f>
        <v>0</v>
      </c>
      <c r="H273" s="105">
        <f>'Supply planning data'!J271</f>
        <v>0</v>
      </c>
      <c r="I273" s="320">
        <f>'Supply planning data'!K271</f>
        <v>0</v>
      </c>
      <c r="J273" s="177" t="str">
        <f>'Supply planning data'!L271</f>
        <v/>
      </c>
      <c r="K273" s="105">
        <f>'Supply planning data'!M271</f>
        <v>0</v>
      </c>
      <c r="L273" s="321">
        <f>'Supply planning data'!N271+'Supply planning data'!P271</f>
        <v>0</v>
      </c>
      <c r="M273" s="342">
        <f>'Supply planning data'!O271</f>
        <v>0</v>
      </c>
      <c r="N273" s="321">
        <f>'Supply planning data'!P271</f>
        <v>0</v>
      </c>
      <c r="O273" s="342">
        <f>'Supply planning data'!Q271</f>
        <v>0</v>
      </c>
      <c r="P273" s="111">
        <f>'Supply planning data'!R271</f>
        <v>0</v>
      </c>
      <c r="Q273" s="111">
        <f>'Supply planning data'!S271</f>
        <v>0</v>
      </c>
      <c r="R273" s="111">
        <f>'Supply planning data'!T271</f>
        <v>0</v>
      </c>
      <c r="S273" s="111">
        <f>'Supply planning data'!U271</f>
        <v>0</v>
      </c>
      <c r="T273" s="111">
        <f>'Supply planning data'!V271</f>
        <v>0</v>
      </c>
      <c r="U273" s="327" t="str">
        <f>'Supply planning data'!W271</f>
        <v/>
      </c>
      <c r="V273" s="111">
        <f>'Supply planning data'!X271</f>
        <v>0</v>
      </c>
      <c r="W273" s="321">
        <f>'Supply planning data'!Y271</f>
        <v>0</v>
      </c>
      <c r="X273" s="329">
        <f>'Supply planning data'!Z271</f>
        <v>0</v>
      </c>
      <c r="Y273" s="111">
        <f>'Supply planning data'!AA271</f>
        <v>0</v>
      </c>
      <c r="Z273" s="111">
        <f>'Supply planning data'!AB271</f>
        <v>0</v>
      </c>
      <c r="AA273" s="111">
        <f>'Supply planning data'!AC271</f>
        <v>0</v>
      </c>
      <c r="AB273" s="111">
        <f>'Supply planning data'!AD271</f>
        <v>0</v>
      </c>
      <c r="AC273" s="111">
        <f>'Supply planning data'!AE271</f>
        <v>0</v>
      </c>
      <c r="AD273" s="327" t="str">
        <f>'Supply planning data'!AF271</f>
        <v/>
      </c>
      <c r="AE273" s="111">
        <f>'Supply planning data'!AG271</f>
        <v>0</v>
      </c>
      <c r="AF273" s="321">
        <f>'Supply planning data'!AH271</f>
        <v>0</v>
      </c>
      <c r="AG273" s="349">
        <f>'Supply planning data'!AI271</f>
        <v>0</v>
      </c>
      <c r="AH273" s="111">
        <f>'Supply planning data'!AJ271</f>
        <v>0</v>
      </c>
      <c r="AI273" s="111">
        <f>'Supply planning data'!AK271</f>
        <v>0</v>
      </c>
      <c r="AJ273" s="111">
        <f>'Supply planning data'!AL271</f>
        <v>0</v>
      </c>
      <c r="AK273" s="111">
        <f>'Supply planning data'!AM271</f>
        <v>0</v>
      </c>
      <c r="AL273" s="111">
        <f>'Supply planning data'!AN271</f>
        <v>0</v>
      </c>
      <c r="AM273" s="327" t="str">
        <f>'Supply planning data'!AO271</f>
        <v/>
      </c>
    </row>
    <row r="274" spans="1:39" hidden="1" x14ac:dyDescent="0.25">
      <c r="A274" s="104" t="str">
        <f>'Supply planning data'!C272</f>
        <v/>
      </c>
      <c r="B274" s="298">
        <f>'Supply planning data'!D272</f>
        <v>44713</v>
      </c>
      <c r="C274" s="105" t="str">
        <f>'Supply planning data'!E272</f>
        <v>No</v>
      </c>
      <c r="D274" s="105">
        <f>'Supply planning data'!F272</f>
        <v>0</v>
      </c>
      <c r="E274" s="320">
        <f>'Supply planning data'!G272</f>
        <v>0</v>
      </c>
      <c r="F274" s="320">
        <f>'Supply planning data'!H272</f>
        <v>0</v>
      </c>
      <c r="G274" s="320">
        <f>'Supply planning data'!I272</f>
        <v>0</v>
      </c>
      <c r="H274" s="105">
        <f>'Supply planning data'!J272</f>
        <v>0</v>
      </c>
      <c r="I274" s="320">
        <f>'Supply planning data'!K272</f>
        <v>0</v>
      </c>
      <c r="J274" s="177" t="str">
        <f>'Supply planning data'!L272</f>
        <v/>
      </c>
      <c r="K274" s="105">
        <f>'Supply planning data'!M272</f>
        <v>0</v>
      </c>
      <c r="L274" s="321">
        <f>'Supply planning data'!N272+'Supply planning data'!P272</f>
        <v>0</v>
      </c>
      <c r="M274" s="342">
        <f>'Supply planning data'!O272</f>
        <v>0</v>
      </c>
      <c r="N274" s="321">
        <f>'Supply planning data'!P272</f>
        <v>0</v>
      </c>
      <c r="O274" s="342">
        <f>'Supply planning data'!Q272</f>
        <v>0</v>
      </c>
      <c r="P274" s="111">
        <f>'Supply planning data'!R272</f>
        <v>0</v>
      </c>
      <c r="Q274" s="111">
        <f>'Supply planning data'!S272</f>
        <v>0</v>
      </c>
      <c r="R274" s="111">
        <f>'Supply planning data'!T272</f>
        <v>0</v>
      </c>
      <c r="S274" s="111">
        <f>'Supply planning data'!U272</f>
        <v>0</v>
      </c>
      <c r="T274" s="111">
        <f>'Supply planning data'!V272</f>
        <v>0</v>
      </c>
      <c r="U274" s="327" t="str">
        <f>'Supply planning data'!W272</f>
        <v/>
      </c>
      <c r="V274" s="111">
        <f>'Supply planning data'!X272</f>
        <v>0</v>
      </c>
      <c r="W274" s="321">
        <f>'Supply planning data'!Y272</f>
        <v>0</v>
      </c>
      <c r="X274" s="329">
        <f>'Supply planning data'!Z272</f>
        <v>0</v>
      </c>
      <c r="Y274" s="111">
        <f>'Supply planning data'!AA272</f>
        <v>0</v>
      </c>
      <c r="Z274" s="111">
        <f>'Supply planning data'!AB272</f>
        <v>0</v>
      </c>
      <c r="AA274" s="111">
        <f>'Supply planning data'!AC272</f>
        <v>0</v>
      </c>
      <c r="AB274" s="111">
        <f>'Supply planning data'!AD272</f>
        <v>0</v>
      </c>
      <c r="AC274" s="111">
        <f>'Supply planning data'!AE272</f>
        <v>0</v>
      </c>
      <c r="AD274" s="327" t="str">
        <f>'Supply planning data'!AF272</f>
        <v/>
      </c>
      <c r="AE274" s="111">
        <f>'Supply planning data'!AG272</f>
        <v>0</v>
      </c>
      <c r="AF274" s="321">
        <f>'Supply planning data'!AH272</f>
        <v>0</v>
      </c>
      <c r="AG274" s="349">
        <f>'Supply planning data'!AI272</f>
        <v>0</v>
      </c>
      <c r="AH274" s="111">
        <f>'Supply planning data'!AJ272</f>
        <v>0</v>
      </c>
      <c r="AI274" s="111">
        <f>'Supply planning data'!AK272</f>
        <v>0</v>
      </c>
      <c r="AJ274" s="111">
        <f>'Supply planning data'!AL272</f>
        <v>0</v>
      </c>
      <c r="AK274" s="111">
        <f>'Supply planning data'!AM272</f>
        <v>0</v>
      </c>
      <c r="AL274" s="111">
        <f>'Supply planning data'!AN272</f>
        <v>0</v>
      </c>
      <c r="AM274" s="327" t="str">
        <f>'Supply planning data'!AO272</f>
        <v/>
      </c>
    </row>
    <row r="275" spans="1:39" hidden="1" x14ac:dyDescent="0.25">
      <c r="A275" s="109" t="str">
        <f>'Supply planning data'!C273</f>
        <v/>
      </c>
      <c r="B275" s="298">
        <f>'Supply planning data'!D273</f>
        <v>44713</v>
      </c>
      <c r="C275" s="105" t="str">
        <f>'Supply planning data'!E273</f>
        <v>No</v>
      </c>
      <c r="D275" s="105">
        <f>'Supply planning data'!F273</f>
        <v>0</v>
      </c>
      <c r="E275" s="320">
        <f>'Supply planning data'!G273</f>
        <v>0</v>
      </c>
      <c r="F275" s="320">
        <f>'Supply planning data'!H273</f>
        <v>0</v>
      </c>
      <c r="G275" s="320">
        <f>'Supply planning data'!I273</f>
        <v>0</v>
      </c>
      <c r="H275" s="105">
        <f>'Supply planning data'!J273</f>
        <v>0</v>
      </c>
      <c r="I275" s="320">
        <f>'Supply planning data'!K273</f>
        <v>0</v>
      </c>
      <c r="J275" s="177" t="str">
        <f>'Supply planning data'!L273</f>
        <v/>
      </c>
      <c r="K275" s="105">
        <f>'Supply planning data'!M273</f>
        <v>0</v>
      </c>
      <c r="L275" s="321">
        <f>'Supply planning data'!N273+'Supply planning data'!P273</f>
        <v>0</v>
      </c>
      <c r="M275" s="342">
        <f>'Supply planning data'!O273</f>
        <v>0</v>
      </c>
      <c r="N275" s="321">
        <f>'Supply planning data'!P273</f>
        <v>0</v>
      </c>
      <c r="O275" s="342">
        <f>'Supply planning data'!Q273</f>
        <v>0</v>
      </c>
      <c r="P275" s="111">
        <f>'Supply planning data'!R273</f>
        <v>0</v>
      </c>
      <c r="Q275" s="111">
        <f>'Supply planning data'!S273</f>
        <v>0</v>
      </c>
      <c r="R275" s="111">
        <f>'Supply planning data'!T273</f>
        <v>0</v>
      </c>
      <c r="S275" s="111">
        <f>'Supply planning data'!U273</f>
        <v>0</v>
      </c>
      <c r="T275" s="111">
        <f>'Supply planning data'!V273</f>
        <v>0</v>
      </c>
      <c r="U275" s="327" t="str">
        <f>'Supply planning data'!W273</f>
        <v/>
      </c>
      <c r="V275" s="111">
        <f>'Supply planning data'!X273</f>
        <v>0</v>
      </c>
      <c r="W275" s="321">
        <f>'Supply planning data'!Y273</f>
        <v>0</v>
      </c>
      <c r="X275" s="329">
        <f>'Supply planning data'!Z273</f>
        <v>0</v>
      </c>
      <c r="Y275" s="111">
        <f>'Supply planning data'!AA273</f>
        <v>0</v>
      </c>
      <c r="Z275" s="111">
        <f>'Supply planning data'!AB273</f>
        <v>0</v>
      </c>
      <c r="AA275" s="111">
        <f>'Supply planning data'!AC273</f>
        <v>0</v>
      </c>
      <c r="AB275" s="111">
        <f>'Supply planning data'!AD273</f>
        <v>0</v>
      </c>
      <c r="AC275" s="111">
        <f>'Supply planning data'!AE273</f>
        <v>0</v>
      </c>
      <c r="AD275" s="327" t="str">
        <f>'Supply planning data'!AF273</f>
        <v/>
      </c>
      <c r="AE275" s="111">
        <f>'Supply planning data'!AG273</f>
        <v>0</v>
      </c>
      <c r="AF275" s="321">
        <f>'Supply planning data'!AH273</f>
        <v>0</v>
      </c>
      <c r="AG275" s="349">
        <f>'Supply planning data'!AI273</f>
        <v>0</v>
      </c>
      <c r="AH275" s="111">
        <f>'Supply planning data'!AJ273</f>
        <v>0</v>
      </c>
      <c r="AI275" s="111">
        <f>'Supply planning data'!AK273</f>
        <v>0</v>
      </c>
      <c r="AJ275" s="111">
        <f>'Supply planning data'!AL273</f>
        <v>0</v>
      </c>
      <c r="AK275" s="111">
        <f>'Supply planning data'!AM273</f>
        <v>0</v>
      </c>
      <c r="AL275" s="111">
        <f>'Supply planning data'!AN273</f>
        <v>0</v>
      </c>
      <c r="AM275" s="327" t="str">
        <f>'Supply planning data'!AO273</f>
        <v/>
      </c>
    </row>
    <row r="276" spans="1:39" hidden="1" x14ac:dyDescent="0.25">
      <c r="A276" s="104" t="str">
        <f>'Supply planning data'!C274</f>
        <v/>
      </c>
      <c r="B276" s="298">
        <f>'Supply planning data'!D274</f>
        <v>44713</v>
      </c>
      <c r="C276" s="105" t="str">
        <f>'Supply planning data'!E274</f>
        <v>No</v>
      </c>
      <c r="D276" s="105">
        <f>'Supply planning data'!F274</f>
        <v>0</v>
      </c>
      <c r="E276" s="320">
        <f>'Supply planning data'!G274</f>
        <v>0</v>
      </c>
      <c r="F276" s="320">
        <f>'Supply planning data'!H274</f>
        <v>0</v>
      </c>
      <c r="G276" s="320">
        <f>'Supply planning data'!I274</f>
        <v>0</v>
      </c>
      <c r="H276" s="105">
        <f>'Supply planning data'!J274</f>
        <v>0</v>
      </c>
      <c r="I276" s="320">
        <f>'Supply planning data'!K274</f>
        <v>0</v>
      </c>
      <c r="J276" s="177" t="str">
        <f>'Supply planning data'!L274</f>
        <v/>
      </c>
      <c r="K276" s="105">
        <f>'Supply planning data'!M274</f>
        <v>0</v>
      </c>
      <c r="L276" s="321">
        <f>'Supply planning data'!N274+'Supply planning data'!P274</f>
        <v>0</v>
      </c>
      <c r="M276" s="342">
        <f>'Supply planning data'!O274</f>
        <v>0</v>
      </c>
      <c r="N276" s="321">
        <f>'Supply planning data'!P274</f>
        <v>0</v>
      </c>
      <c r="O276" s="342">
        <f>'Supply planning data'!Q274</f>
        <v>0</v>
      </c>
      <c r="P276" s="111">
        <f>'Supply planning data'!R274</f>
        <v>0</v>
      </c>
      <c r="Q276" s="111">
        <f>'Supply planning data'!S274</f>
        <v>0</v>
      </c>
      <c r="R276" s="111">
        <f>'Supply planning data'!T274</f>
        <v>0</v>
      </c>
      <c r="S276" s="111">
        <f>'Supply planning data'!U274</f>
        <v>0</v>
      </c>
      <c r="T276" s="111">
        <f>'Supply planning data'!V274</f>
        <v>0</v>
      </c>
      <c r="U276" s="327" t="str">
        <f>'Supply planning data'!W274</f>
        <v/>
      </c>
      <c r="V276" s="111">
        <f>'Supply planning data'!X274</f>
        <v>0</v>
      </c>
      <c r="W276" s="321">
        <f>'Supply planning data'!Y274</f>
        <v>0</v>
      </c>
      <c r="X276" s="329">
        <f>'Supply planning data'!Z274</f>
        <v>0</v>
      </c>
      <c r="Y276" s="111">
        <f>'Supply planning data'!AA274</f>
        <v>0</v>
      </c>
      <c r="Z276" s="111">
        <f>'Supply planning data'!AB274</f>
        <v>0</v>
      </c>
      <c r="AA276" s="111">
        <f>'Supply planning data'!AC274</f>
        <v>0</v>
      </c>
      <c r="AB276" s="111">
        <f>'Supply planning data'!AD274</f>
        <v>0</v>
      </c>
      <c r="AC276" s="111">
        <f>'Supply planning data'!AE274</f>
        <v>0</v>
      </c>
      <c r="AD276" s="327" t="str">
        <f>'Supply planning data'!AF274</f>
        <v/>
      </c>
      <c r="AE276" s="111">
        <f>'Supply planning data'!AG274</f>
        <v>0</v>
      </c>
      <c r="AF276" s="321">
        <f>'Supply planning data'!AH274</f>
        <v>0</v>
      </c>
      <c r="AG276" s="349">
        <f>'Supply planning data'!AI274</f>
        <v>0</v>
      </c>
      <c r="AH276" s="111">
        <f>'Supply planning data'!AJ274</f>
        <v>0</v>
      </c>
      <c r="AI276" s="111">
        <f>'Supply planning data'!AK274</f>
        <v>0</v>
      </c>
      <c r="AJ276" s="111">
        <f>'Supply planning data'!AL274</f>
        <v>0</v>
      </c>
      <c r="AK276" s="111">
        <f>'Supply planning data'!AM274</f>
        <v>0</v>
      </c>
      <c r="AL276" s="111">
        <f>'Supply planning data'!AN274</f>
        <v>0</v>
      </c>
      <c r="AM276" s="327" t="str">
        <f>'Supply planning data'!AO274</f>
        <v/>
      </c>
    </row>
    <row r="277" spans="1:39" x14ac:dyDescent="0.25">
      <c r="A277" s="90" t="str">
        <f>'Supply planning data'!C275</f>
        <v>AstraZeneca</v>
      </c>
      <c r="B277" s="296">
        <f>'Supply planning data'!D275</f>
        <v>44743</v>
      </c>
      <c r="C277" s="92" t="str">
        <f>'Supply planning data'!E275</f>
        <v>Yes</v>
      </c>
      <c r="D277" s="92">
        <f>'Supply planning data'!F275</f>
        <v>0</v>
      </c>
      <c r="E277" s="316">
        <f>'Supply planning data'!G275</f>
        <v>0</v>
      </c>
      <c r="F277" s="316">
        <f>'Supply planning data'!H275</f>
        <v>0</v>
      </c>
      <c r="G277" s="316">
        <f>'Supply planning data'!I275</f>
        <v>0</v>
      </c>
      <c r="H277" s="92">
        <f>'Supply planning data'!J275</f>
        <v>0</v>
      </c>
      <c r="I277" s="316">
        <f>'Supply planning data'!K275</f>
        <v>0</v>
      </c>
      <c r="J277" s="174" t="str">
        <f>'Supply planning data'!L275</f>
        <v/>
      </c>
      <c r="K277" s="92">
        <f>'Supply planning data'!M275</f>
        <v>0</v>
      </c>
      <c r="L277" s="316">
        <f>'Supply planning data'!N275+'Supply planning data'!P275</f>
        <v>0</v>
      </c>
      <c r="M277" s="343">
        <f>'Supply planning data'!O275</f>
        <v>0</v>
      </c>
      <c r="N277" s="316">
        <f>'Supply planning data'!P275</f>
        <v>0</v>
      </c>
      <c r="O277" s="343">
        <f>'Supply planning data'!Q275</f>
        <v>0</v>
      </c>
      <c r="P277" s="92">
        <f>'Supply planning data'!R275</f>
        <v>0</v>
      </c>
      <c r="Q277" s="92">
        <f>'Supply planning data'!S275</f>
        <v>0</v>
      </c>
      <c r="R277" s="92">
        <f>'Supply planning data'!T275</f>
        <v>0</v>
      </c>
      <c r="S277" s="92">
        <f>'Supply planning data'!U275</f>
        <v>0</v>
      </c>
      <c r="T277" s="92">
        <f>'Supply planning data'!V275</f>
        <v>0</v>
      </c>
      <c r="U277" s="324" t="str">
        <f>'Supply planning data'!W275</f>
        <v/>
      </c>
      <c r="V277" s="92">
        <f>'Supply planning data'!X275</f>
        <v>554701</v>
      </c>
      <c r="W277" s="316">
        <f>'Supply planning data'!Y275</f>
        <v>80000</v>
      </c>
      <c r="X277" s="328">
        <f>'Supply planning data'!Z275</f>
        <v>0</v>
      </c>
      <c r="Y277" s="92">
        <f>'Supply planning data'!AA275</f>
        <v>80000</v>
      </c>
      <c r="Z277" s="92">
        <f>'Supply planning data'!AB275</f>
        <v>0</v>
      </c>
      <c r="AA277" s="92">
        <f>'Supply planning data'!AC275</f>
        <v>0</v>
      </c>
      <c r="AB277" s="92">
        <f>'Supply planning data'!AD275</f>
        <v>0</v>
      </c>
      <c r="AC277" s="92">
        <f>'Supply planning data'!AE275</f>
        <v>474701</v>
      </c>
      <c r="AD277" s="324">
        <f>'Supply planning data'!AF275</f>
        <v>5.9337625000000003</v>
      </c>
      <c r="AE277" s="92">
        <f>'Supply planning data'!AG275</f>
        <v>0</v>
      </c>
      <c r="AF277" s="316">
        <f>'Supply planning data'!AH275</f>
        <v>0</v>
      </c>
      <c r="AG277" s="174">
        <f>'Supply planning data'!AI275</f>
        <v>0</v>
      </c>
      <c r="AH277" s="92">
        <f>'Supply planning data'!AJ275</f>
        <v>0</v>
      </c>
      <c r="AI277" s="92">
        <f>'Supply planning data'!AK275</f>
        <v>0</v>
      </c>
      <c r="AJ277" s="92">
        <f>'Supply planning data'!AL275</f>
        <v>0</v>
      </c>
      <c r="AK277" s="92">
        <f>'Supply planning data'!AM275</f>
        <v>0</v>
      </c>
      <c r="AL277" s="92">
        <f>'Supply planning data'!AN275</f>
        <v>0</v>
      </c>
      <c r="AM277" s="324" t="str">
        <f>'Supply planning data'!AO275</f>
        <v/>
      </c>
    </row>
    <row r="278" spans="1:39" x14ac:dyDescent="0.25">
      <c r="A278" s="90" t="str">
        <f>'Supply planning data'!C276</f>
        <v>Jansen</v>
      </c>
      <c r="B278" s="296">
        <f>'Supply planning data'!D276</f>
        <v>44743</v>
      </c>
      <c r="C278" s="92" t="str">
        <f>'Supply planning data'!E276</f>
        <v>Yes</v>
      </c>
      <c r="D278" s="92">
        <f>'Supply planning data'!F276</f>
        <v>2058747</v>
      </c>
      <c r="E278" s="316">
        <f>'Supply planning data'!G276</f>
        <v>0</v>
      </c>
      <c r="F278" s="317">
        <f>'Supply planning data'!H276</f>
        <v>0</v>
      </c>
      <c r="G278" s="317">
        <f>'Supply planning data'!I276</f>
        <v>0</v>
      </c>
      <c r="H278" s="98">
        <f>'Supply planning data'!J276</f>
        <v>0</v>
      </c>
      <c r="I278" s="317">
        <f>'Supply planning data'!K276</f>
        <v>0</v>
      </c>
      <c r="J278" s="175" t="str">
        <f>'Supply planning data'!L276</f>
        <v/>
      </c>
      <c r="K278" s="98">
        <f>'Supply planning data'!M276</f>
        <v>0</v>
      </c>
      <c r="L278" s="317">
        <f>'Supply planning data'!N276+'Supply planning data'!P276</f>
        <v>0</v>
      </c>
      <c r="M278" s="339">
        <f>'Supply planning data'!O276</f>
        <v>0</v>
      </c>
      <c r="N278" s="317">
        <f>'Supply planning data'!P276</f>
        <v>0</v>
      </c>
      <c r="O278" s="339">
        <f>'Supply planning data'!Q276</f>
        <v>0</v>
      </c>
      <c r="P278" s="98">
        <f>'Supply planning data'!R276</f>
        <v>0</v>
      </c>
      <c r="Q278" s="98">
        <f>'Supply planning data'!S276</f>
        <v>0</v>
      </c>
      <c r="R278" s="98">
        <f>'Supply planning data'!T276</f>
        <v>0</v>
      </c>
      <c r="S278" s="98">
        <f>'Supply planning data'!U276</f>
        <v>0</v>
      </c>
      <c r="T278" s="98">
        <f>'Supply planning data'!V276</f>
        <v>2058747</v>
      </c>
      <c r="U278" s="325" t="str">
        <f>'Supply planning data'!W276</f>
        <v/>
      </c>
      <c r="V278" s="98">
        <f>'Supply planning data'!X276</f>
        <v>1898747</v>
      </c>
      <c r="W278" s="317">
        <f>'Supply planning data'!Y276</f>
        <v>80000</v>
      </c>
      <c r="X278" s="328">
        <f>'Supply planning data'!Z276</f>
        <v>0</v>
      </c>
      <c r="Y278" s="98">
        <f>'Supply planning data'!AA276</f>
        <v>80000</v>
      </c>
      <c r="Z278" s="98">
        <f>'Supply planning data'!AB276</f>
        <v>0</v>
      </c>
      <c r="AA278" s="98">
        <f>'Supply planning data'!AC276</f>
        <v>0</v>
      </c>
      <c r="AB278" s="98">
        <f>'Supply planning data'!AD276</f>
        <v>0</v>
      </c>
      <c r="AC278" s="98">
        <f>'Supply planning data'!AE276</f>
        <v>1818747</v>
      </c>
      <c r="AD278" s="325">
        <f>'Supply planning data'!AF276</f>
        <v>22.734337499999999</v>
      </c>
      <c r="AE278" s="98">
        <f>'Supply planning data'!AG276</f>
        <v>2058747</v>
      </c>
      <c r="AF278" s="317">
        <f>'Supply planning data'!AH276</f>
        <v>0</v>
      </c>
      <c r="AG278" s="175">
        <f>'Supply planning data'!AI276</f>
        <v>0</v>
      </c>
      <c r="AH278" s="98">
        <f>'Supply planning data'!AJ276</f>
        <v>0</v>
      </c>
      <c r="AI278" s="98">
        <f>'Supply planning data'!AK276</f>
        <v>0</v>
      </c>
      <c r="AJ278" s="98">
        <f>'Supply planning data'!AL276</f>
        <v>0</v>
      </c>
      <c r="AK278" s="98">
        <f>'Supply planning data'!AM276</f>
        <v>0</v>
      </c>
      <c r="AL278" s="98">
        <f>'Supply planning data'!AN276</f>
        <v>2058747</v>
      </c>
      <c r="AM278" s="325" t="str">
        <f>'Supply planning data'!AO276</f>
        <v/>
      </c>
    </row>
    <row r="279" spans="1:39" x14ac:dyDescent="0.25">
      <c r="A279" s="90" t="str">
        <f>'Supply planning data'!C277</f>
        <v>Moderna</v>
      </c>
      <c r="B279" s="296">
        <f>'Supply planning data'!D277</f>
        <v>44743</v>
      </c>
      <c r="C279" s="92" t="str">
        <f>'Supply planning data'!E277</f>
        <v>No</v>
      </c>
      <c r="D279" s="92">
        <f>'Supply planning data'!F277</f>
        <v>0</v>
      </c>
      <c r="E279" s="316">
        <f>'Supply planning data'!G277</f>
        <v>0</v>
      </c>
      <c r="F279" s="317">
        <f>'Supply planning data'!H277</f>
        <v>0</v>
      </c>
      <c r="G279" s="317">
        <f>'Supply planning data'!I277</f>
        <v>0</v>
      </c>
      <c r="H279" s="98">
        <f>'Supply planning data'!J277</f>
        <v>0</v>
      </c>
      <c r="I279" s="317">
        <f>'Supply planning data'!K277</f>
        <v>0</v>
      </c>
      <c r="J279" s="175" t="str">
        <f>'Supply planning data'!L277</f>
        <v/>
      </c>
      <c r="K279" s="98">
        <f>'Supply planning data'!M277</f>
        <v>0</v>
      </c>
      <c r="L279" s="317">
        <f>'Supply planning data'!N277+'Supply planning data'!P277</f>
        <v>0</v>
      </c>
      <c r="M279" s="339">
        <f>'Supply planning data'!O277</f>
        <v>0</v>
      </c>
      <c r="N279" s="317">
        <f>'Supply planning data'!P277</f>
        <v>0</v>
      </c>
      <c r="O279" s="339">
        <f>'Supply planning data'!Q277</f>
        <v>0</v>
      </c>
      <c r="P279" s="98">
        <f>'Supply planning data'!R277</f>
        <v>0</v>
      </c>
      <c r="Q279" s="98">
        <f>'Supply planning data'!S277</f>
        <v>0</v>
      </c>
      <c r="R279" s="98">
        <f>'Supply planning data'!T277</f>
        <v>0</v>
      </c>
      <c r="S279" s="98">
        <f>'Supply planning data'!U277</f>
        <v>0</v>
      </c>
      <c r="T279" s="98">
        <f>'Supply planning data'!V277</f>
        <v>0</v>
      </c>
      <c r="U279" s="325" t="str">
        <f>'Supply planning data'!W277</f>
        <v/>
      </c>
      <c r="V279" s="98">
        <f>'Supply planning data'!X277</f>
        <v>0</v>
      </c>
      <c r="W279" s="317">
        <f>'Supply planning data'!Y277</f>
        <v>80000</v>
      </c>
      <c r="X279" s="328">
        <f>'Supply planning data'!Z277</f>
        <v>0</v>
      </c>
      <c r="Y279" s="98">
        <f>'Supply planning data'!AA277</f>
        <v>80000</v>
      </c>
      <c r="Z279" s="98">
        <f>'Supply planning data'!AB277</f>
        <v>0</v>
      </c>
      <c r="AA279" s="98">
        <f>'Supply planning data'!AC277</f>
        <v>0</v>
      </c>
      <c r="AB279" s="98">
        <f>'Supply planning data'!AD277</f>
        <v>0</v>
      </c>
      <c r="AC279" s="98">
        <f>'Supply planning data'!AE277</f>
        <v>0</v>
      </c>
      <c r="AD279" s="325">
        <f>'Supply planning data'!AF277</f>
        <v>0</v>
      </c>
      <c r="AE279" s="98">
        <f>'Supply planning data'!AG277</f>
        <v>0</v>
      </c>
      <c r="AF279" s="317">
        <f>'Supply planning data'!AH277</f>
        <v>0</v>
      </c>
      <c r="AG279" s="175">
        <f>'Supply planning data'!AI277</f>
        <v>0</v>
      </c>
      <c r="AH279" s="98">
        <f>'Supply planning data'!AJ277</f>
        <v>0</v>
      </c>
      <c r="AI279" s="98">
        <f>'Supply planning data'!AK277</f>
        <v>0</v>
      </c>
      <c r="AJ279" s="98">
        <f>'Supply planning data'!AL277</f>
        <v>0</v>
      </c>
      <c r="AK279" s="98">
        <f>'Supply planning data'!AM277</f>
        <v>0</v>
      </c>
      <c r="AL279" s="98">
        <f>'Supply planning data'!AN277</f>
        <v>0</v>
      </c>
      <c r="AM279" s="325" t="str">
        <f>'Supply planning data'!AO277</f>
        <v/>
      </c>
    </row>
    <row r="280" spans="1:39" x14ac:dyDescent="0.25">
      <c r="A280" s="90" t="str">
        <f>'Supply planning data'!C278</f>
        <v>Pfizer</v>
      </c>
      <c r="B280" s="296">
        <f>'Supply planning data'!D278</f>
        <v>44743</v>
      </c>
      <c r="C280" s="92" t="str">
        <f>'Supply planning data'!E278</f>
        <v>Yes</v>
      </c>
      <c r="D280" s="92">
        <f>'Supply planning data'!F278</f>
        <v>1110538</v>
      </c>
      <c r="E280" s="316">
        <f>'Supply planning data'!G278</f>
        <v>0</v>
      </c>
      <c r="F280" s="317">
        <f>'Supply planning data'!H278</f>
        <v>0</v>
      </c>
      <c r="G280" s="317">
        <f>'Supply planning data'!I278</f>
        <v>0</v>
      </c>
      <c r="H280" s="98">
        <f>'Supply planning data'!J278</f>
        <v>0</v>
      </c>
      <c r="I280" s="317">
        <f>'Supply planning data'!K278</f>
        <v>0</v>
      </c>
      <c r="J280" s="175" t="str">
        <f>'Supply planning data'!L278</f>
        <v/>
      </c>
      <c r="K280" s="98">
        <f>'Supply planning data'!M278</f>
        <v>0</v>
      </c>
      <c r="L280" s="317">
        <f>'Supply planning data'!N278+'Supply planning data'!P278</f>
        <v>0</v>
      </c>
      <c r="M280" s="339">
        <f>'Supply planning data'!O278</f>
        <v>0</v>
      </c>
      <c r="N280" s="317">
        <f>'Supply planning data'!P278</f>
        <v>0</v>
      </c>
      <c r="O280" s="339">
        <f>'Supply planning data'!Q278</f>
        <v>0</v>
      </c>
      <c r="P280" s="98">
        <f>'Supply planning data'!R278</f>
        <v>0</v>
      </c>
      <c r="Q280" s="98">
        <f>'Supply planning data'!S278</f>
        <v>1000000</v>
      </c>
      <c r="R280" s="98">
        <f>'Supply planning data'!T278</f>
        <v>110538</v>
      </c>
      <c r="S280" s="98">
        <f>'Supply planning data'!U278</f>
        <v>110538</v>
      </c>
      <c r="T280" s="98">
        <f>'Supply planning data'!V278</f>
        <v>2000000</v>
      </c>
      <c r="U280" s="325" t="str">
        <f>'Supply planning data'!W278</f>
        <v/>
      </c>
      <c r="V280" s="98">
        <f>'Supply planning data'!X278</f>
        <v>950538</v>
      </c>
      <c r="W280" s="317">
        <f>'Supply planning data'!Y278</f>
        <v>80000</v>
      </c>
      <c r="X280" s="328">
        <f>'Supply planning data'!Z278</f>
        <v>0</v>
      </c>
      <c r="Y280" s="98">
        <f>'Supply planning data'!AA278</f>
        <v>80000</v>
      </c>
      <c r="Z280" s="98">
        <f>'Supply planning data'!AB278</f>
        <v>0</v>
      </c>
      <c r="AA280" s="98">
        <f>'Supply planning data'!AC278</f>
        <v>0</v>
      </c>
      <c r="AB280" s="98">
        <f>'Supply planning data'!AD278</f>
        <v>0</v>
      </c>
      <c r="AC280" s="98">
        <f>'Supply planning data'!AE278</f>
        <v>1760000</v>
      </c>
      <c r="AD280" s="325">
        <f>'Supply planning data'!AF278</f>
        <v>22</v>
      </c>
      <c r="AE280" s="98">
        <f>'Supply planning data'!AG278</f>
        <v>1110538</v>
      </c>
      <c r="AF280" s="317">
        <f>'Supply planning data'!AH278</f>
        <v>0</v>
      </c>
      <c r="AG280" s="175">
        <f>'Supply planning data'!AI278</f>
        <v>0</v>
      </c>
      <c r="AH280" s="98">
        <f>'Supply planning data'!AJ278</f>
        <v>0</v>
      </c>
      <c r="AI280" s="98">
        <f>'Supply planning data'!AK278</f>
        <v>0</v>
      </c>
      <c r="AJ280" s="98">
        <f>'Supply planning data'!AL278</f>
        <v>110538</v>
      </c>
      <c r="AK280" s="98">
        <f>'Supply planning data'!AM278</f>
        <v>110538</v>
      </c>
      <c r="AL280" s="98">
        <f>'Supply planning data'!AN278</f>
        <v>2000000</v>
      </c>
      <c r="AM280" s="325" t="str">
        <f>'Supply planning data'!AO278</f>
        <v/>
      </c>
    </row>
    <row r="281" spans="1:39" x14ac:dyDescent="0.25">
      <c r="A281" s="90" t="str">
        <f>'Supply planning data'!C279</f>
        <v>Sinovac</v>
      </c>
      <c r="B281" s="296">
        <f>'Supply planning data'!D279</f>
        <v>44743</v>
      </c>
      <c r="C281" s="92" t="str">
        <f>'Supply planning data'!E279</f>
        <v>No</v>
      </c>
      <c r="D281" s="92">
        <f>'Supply planning data'!F279</f>
        <v>0</v>
      </c>
      <c r="E281" s="316">
        <f>'Supply planning data'!G279</f>
        <v>0</v>
      </c>
      <c r="F281" s="317">
        <f>'Supply planning data'!H279</f>
        <v>0</v>
      </c>
      <c r="G281" s="317">
        <f>'Supply planning data'!I279</f>
        <v>0</v>
      </c>
      <c r="H281" s="98">
        <f>'Supply planning data'!J279</f>
        <v>0</v>
      </c>
      <c r="I281" s="317">
        <f>'Supply planning data'!K279</f>
        <v>0</v>
      </c>
      <c r="J281" s="175" t="str">
        <f>'Supply planning data'!L279</f>
        <v/>
      </c>
      <c r="K281" s="98">
        <f>'Supply planning data'!M279</f>
        <v>0</v>
      </c>
      <c r="L281" s="317">
        <f>'Supply planning data'!N279+'Supply planning data'!P279</f>
        <v>0</v>
      </c>
      <c r="M281" s="339">
        <f>'Supply planning data'!O279</f>
        <v>0</v>
      </c>
      <c r="N281" s="317">
        <f>'Supply planning data'!P279</f>
        <v>0</v>
      </c>
      <c r="O281" s="339">
        <f>'Supply planning data'!Q279</f>
        <v>0</v>
      </c>
      <c r="P281" s="98">
        <f>'Supply planning data'!R279</f>
        <v>0</v>
      </c>
      <c r="Q281" s="98">
        <f>'Supply planning data'!S279</f>
        <v>0</v>
      </c>
      <c r="R281" s="98">
        <f>'Supply planning data'!T279</f>
        <v>0</v>
      </c>
      <c r="S281" s="98">
        <f>'Supply planning data'!U279</f>
        <v>0</v>
      </c>
      <c r="T281" s="98">
        <f>'Supply planning data'!V279</f>
        <v>0</v>
      </c>
      <c r="U281" s="325" t="str">
        <f>'Supply planning data'!W279</f>
        <v/>
      </c>
      <c r="V281" s="98">
        <f>'Supply planning data'!X279</f>
        <v>0</v>
      </c>
      <c r="W281" s="317">
        <f>'Supply planning data'!Y279</f>
        <v>80000</v>
      </c>
      <c r="X281" s="328">
        <f>'Supply planning data'!Z279</f>
        <v>0</v>
      </c>
      <c r="Y281" s="98">
        <f>'Supply planning data'!AA279</f>
        <v>80000</v>
      </c>
      <c r="Z281" s="98">
        <f>'Supply planning data'!AB279</f>
        <v>0</v>
      </c>
      <c r="AA281" s="98">
        <f>'Supply planning data'!AC279</f>
        <v>0</v>
      </c>
      <c r="AB281" s="98">
        <f>'Supply planning data'!AD279</f>
        <v>0</v>
      </c>
      <c r="AC281" s="98">
        <f>'Supply planning data'!AE279</f>
        <v>0</v>
      </c>
      <c r="AD281" s="325">
        <f>'Supply planning data'!AF279</f>
        <v>0</v>
      </c>
      <c r="AE281" s="98">
        <f>'Supply planning data'!AG279</f>
        <v>0</v>
      </c>
      <c r="AF281" s="317">
        <f>'Supply planning data'!AH279</f>
        <v>0</v>
      </c>
      <c r="AG281" s="175">
        <f>'Supply planning data'!AI279</f>
        <v>0</v>
      </c>
      <c r="AH281" s="98">
        <f>'Supply planning data'!AJ279</f>
        <v>0</v>
      </c>
      <c r="AI281" s="98">
        <f>'Supply planning data'!AK279</f>
        <v>0</v>
      </c>
      <c r="AJ281" s="98">
        <f>'Supply planning data'!AL279</f>
        <v>0</v>
      </c>
      <c r="AK281" s="98">
        <f>'Supply planning data'!AM279</f>
        <v>0</v>
      </c>
      <c r="AL281" s="98">
        <f>'Supply planning data'!AN279</f>
        <v>0</v>
      </c>
      <c r="AM281" s="325" t="str">
        <f>'Supply planning data'!AO279</f>
        <v/>
      </c>
    </row>
    <row r="282" spans="1:39" hidden="1" x14ac:dyDescent="0.25">
      <c r="A282" s="90" t="str">
        <f>'Supply planning data'!C280</f>
        <v/>
      </c>
      <c r="B282" s="296">
        <f>'Supply planning data'!D280</f>
        <v>44743</v>
      </c>
      <c r="C282" s="92" t="str">
        <f>'Supply planning data'!E280</f>
        <v>No</v>
      </c>
      <c r="D282" s="92">
        <f>'Supply planning data'!F280</f>
        <v>0</v>
      </c>
      <c r="E282" s="316">
        <f>'Supply planning data'!G280</f>
        <v>0</v>
      </c>
      <c r="F282" s="317">
        <f>'Supply planning data'!H280</f>
        <v>0</v>
      </c>
      <c r="G282" s="317">
        <f>'Supply planning data'!I280</f>
        <v>0</v>
      </c>
      <c r="H282" s="98">
        <f>'Supply planning data'!J280</f>
        <v>0</v>
      </c>
      <c r="I282" s="317">
        <f>'Supply planning data'!K280</f>
        <v>0</v>
      </c>
      <c r="J282" s="175" t="str">
        <f>'Supply planning data'!L280</f>
        <v/>
      </c>
      <c r="K282" s="98">
        <f>'Supply planning data'!M280</f>
        <v>0</v>
      </c>
      <c r="L282" s="317">
        <f>'Supply planning data'!N280+'Supply planning data'!P280</f>
        <v>0</v>
      </c>
      <c r="M282" s="339">
        <f>'Supply planning data'!O280</f>
        <v>0</v>
      </c>
      <c r="N282" s="317">
        <f>'Supply planning data'!P280</f>
        <v>0</v>
      </c>
      <c r="O282" s="339">
        <f>'Supply planning data'!Q280</f>
        <v>0</v>
      </c>
      <c r="P282" s="98">
        <f>'Supply planning data'!R280</f>
        <v>0</v>
      </c>
      <c r="Q282" s="98">
        <f>'Supply planning data'!S280</f>
        <v>0</v>
      </c>
      <c r="R282" s="98">
        <f>'Supply planning data'!T280</f>
        <v>0</v>
      </c>
      <c r="S282" s="98">
        <f>'Supply planning data'!U280</f>
        <v>0</v>
      </c>
      <c r="T282" s="98">
        <f>'Supply planning data'!V280</f>
        <v>0</v>
      </c>
      <c r="U282" s="325" t="str">
        <f>'Supply planning data'!W280</f>
        <v/>
      </c>
      <c r="V282" s="98">
        <f>'Supply planning data'!X280</f>
        <v>0</v>
      </c>
      <c r="W282" s="317">
        <f>'Supply planning data'!Y280</f>
        <v>0</v>
      </c>
      <c r="X282" s="328">
        <f>'Supply planning data'!Z280</f>
        <v>0</v>
      </c>
      <c r="Y282" s="98">
        <f>'Supply planning data'!AA280</f>
        <v>0</v>
      </c>
      <c r="Z282" s="98">
        <f>'Supply planning data'!AB280</f>
        <v>0</v>
      </c>
      <c r="AA282" s="98">
        <f>'Supply planning data'!AC280</f>
        <v>0</v>
      </c>
      <c r="AB282" s="98">
        <f>'Supply planning data'!AD280</f>
        <v>0</v>
      </c>
      <c r="AC282" s="98">
        <f>'Supply planning data'!AE280</f>
        <v>0</v>
      </c>
      <c r="AD282" s="325" t="str">
        <f>'Supply planning data'!AF280</f>
        <v/>
      </c>
      <c r="AE282" s="98">
        <f>'Supply planning data'!AG280</f>
        <v>0</v>
      </c>
      <c r="AF282" s="317">
        <f>'Supply planning data'!AH280</f>
        <v>0</v>
      </c>
      <c r="AG282" s="175">
        <f>'Supply planning data'!AI280</f>
        <v>0</v>
      </c>
      <c r="AH282" s="98">
        <f>'Supply planning data'!AJ280</f>
        <v>0</v>
      </c>
      <c r="AI282" s="98">
        <f>'Supply planning data'!AK280</f>
        <v>0</v>
      </c>
      <c r="AJ282" s="98">
        <f>'Supply planning data'!AL280</f>
        <v>0</v>
      </c>
      <c r="AK282" s="98">
        <f>'Supply planning data'!AM280</f>
        <v>0</v>
      </c>
      <c r="AL282" s="98">
        <f>'Supply planning data'!AN280</f>
        <v>0</v>
      </c>
      <c r="AM282" s="325" t="str">
        <f>'Supply planning data'!AO280</f>
        <v/>
      </c>
    </row>
    <row r="283" spans="1:39" hidden="1" x14ac:dyDescent="0.25">
      <c r="A283" s="90" t="str">
        <f>'Supply planning data'!C281</f>
        <v/>
      </c>
      <c r="B283" s="296">
        <f>'Supply planning data'!D281</f>
        <v>44743</v>
      </c>
      <c r="C283" s="92" t="str">
        <f>'Supply planning data'!E281</f>
        <v>No</v>
      </c>
      <c r="D283" s="92">
        <f>'Supply planning data'!F281</f>
        <v>0</v>
      </c>
      <c r="E283" s="316">
        <f>'Supply planning data'!G281</f>
        <v>0</v>
      </c>
      <c r="F283" s="317">
        <f>'Supply planning data'!H281</f>
        <v>0</v>
      </c>
      <c r="G283" s="317">
        <f>'Supply planning data'!I281</f>
        <v>0</v>
      </c>
      <c r="H283" s="98">
        <f>'Supply planning data'!J281</f>
        <v>0</v>
      </c>
      <c r="I283" s="317">
        <f>'Supply planning data'!K281</f>
        <v>0</v>
      </c>
      <c r="J283" s="175" t="str">
        <f>'Supply planning data'!L281</f>
        <v/>
      </c>
      <c r="K283" s="98">
        <f>'Supply planning data'!M281</f>
        <v>0</v>
      </c>
      <c r="L283" s="317">
        <f>'Supply planning data'!N281+'Supply planning data'!P281</f>
        <v>0</v>
      </c>
      <c r="M283" s="339">
        <f>'Supply planning data'!O281</f>
        <v>0</v>
      </c>
      <c r="N283" s="317">
        <f>'Supply planning data'!P281</f>
        <v>0</v>
      </c>
      <c r="O283" s="339">
        <f>'Supply planning data'!Q281</f>
        <v>0</v>
      </c>
      <c r="P283" s="98">
        <f>'Supply planning data'!R281</f>
        <v>0</v>
      </c>
      <c r="Q283" s="98">
        <f>'Supply planning data'!S281</f>
        <v>0</v>
      </c>
      <c r="R283" s="98">
        <f>'Supply planning data'!T281</f>
        <v>0</v>
      </c>
      <c r="S283" s="98">
        <f>'Supply planning data'!U281</f>
        <v>0</v>
      </c>
      <c r="T283" s="98">
        <f>'Supply planning data'!V281</f>
        <v>0</v>
      </c>
      <c r="U283" s="325" t="str">
        <f>'Supply planning data'!W281</f>
        <v/>
      </c>
      <c r="V283" s="98">
        <f>'Supply planning data'!X281</f>
        <v>0</v>
      </c>
      <c r="W283" s="317">
        <f>'Supply planning data'!Y281</f>
        <v>0</v>
      </c>
      <c r="X283" s="328">
        <f>'Supply planning data'!Z281</f>
        <v>0</v>
      </c>
      <c r="Y283" s="98">
        <f>'Supply planning data'!AA281</f>
        <v>0</v>
      </c>
      <c r="Z283" s="98">
        <f>'Supply planning data'!AB281</f>
        <v>0</v>
      </c>
      <c r="AA283" s="98">
        <f>'Supply planning data'!AC281</f>
        <v>0</v>
      </c>
      <c r="AB283" s="98">
        <f>'Supply planning data'!AD281</f>
        <v>0</v>
      </c>
      <c r="AC283" s="98">
        <f>'Supply planning data'!AE281</f>
        <v>0</v>
      </c>
      <c r="AD283" s="325" t="str">
        <f>'Supply planning data'!AF281</f>
        <v/>
      </c>
      <c r="AE283" s="98">
        <f>'Supply planning data'!AG281</f>
        <v>0</v>
      </c>
      <c r="AF283" s="317">
        <f>'Supply planning data'!AH281</f>
        <v>0</v>
      </c>
      <c r="AG283" s="175">
        <f>'Supply planning data'!AI281</f>
        <v>0</v>
      </c>
      <c r="AH283" s="98">
        <f>'Supply planning data'!AJ281</f>
        <v>0</v>
      </c>
      <c r="AI283" s="98">
        <f>'Supply planning data'!AK281</f>
        <v>0</v>
      </c>
      <c r="AJ283" s="98">
        <f>'Supply planning data'!AL281</f>
        <v>0</v>
      </c>
      <c r="AK283" s="98">
        <f>'Supply planning data'!AM281</f>
        <v>0</v>
      </c>
      <c r="AL283" s="98">
        <f>'Supply planning data'!AN281</f>
        <v>0</v>
      </c>
      <c r="AM283" s="325" t="str">
        <f>'Supply planning data'!AO281</f>
        <v/>
      </c>
    </row>
    <row r="284" spans="1:39" hidden="1" x14ac:dyDescent="0.25">
      <c r="A284" s="90" t="str">
        <f>'Supply planning data'!C282</f>
        <v/>
      </c>
      <c r="B284" s="296">
        <f>'Supply planning data'!D282</f>
        <v>44743</v>
      </c>
      <c r="C284" s="92" t="str">
        <f>'Supply planning data'!E282</f>
        <v>No</v>
      </c>
      <c r="D284" s="92">
        <f>'Supply planning data'!F282</f>
        <v>0</v>
      </c>
      <c r="E284" s="316">
        <f>'Supply planning data'!G282</f>
        <v>0</v>
      </c>
      <c r="F284" s="317">
        <f>'Supply planning data'!H282</f>
        <v>0</v>
      </c>
      <c r="G284" s="317">
        <f>'Supply planning data'!I282</f>
        <v>0</v>
      </c>
      <c r="H284" s="98">
        <f>'Supply planning data'!J282</f>
        <v>0</v>
      </c>
      <c r="I284" s="317">
        <f>'Supply planning data'!K282</f>
        <v>0</v>
      </c>
      <c r="J284" s="175" t="str">
        <f>'Supply planning data'!L282</f>
        <v/>
      </c>
      <c r="K284" s="98">
        <f>'Supply planning data'!M282</f>
        <v>0</v>
      </c>
      <c r="L284" s="317">
        <f>'Supply planning data'!N282+'Supply planning data'!P282</f>
        <v>0</v>
      </c>
      <c r="M284" s="339">
        <f>'Supply planning data'!O282</f>
        <v>0</v>
      </c>
      <c r="N284" s="317">
        <f>'Supply planning data'!P282</f>
        <v>0</v>
      </c>
      <c r="O284" s="339">
        <f>'Supply planning data'!Q282</f>
        <v>0</v>
      </c>
      <c r="P284" s="98">
        <f>'Supply planning data'!R282</f>
        <v>0</v>
      </c>
      <c r="Q284" s="98">
        <f>'Supply planning data'!S282</f>
        <v>0</v>
      </c>
      <c r="R284" s="98">
        <f>'Supply planning data'!T282</f>
        <v>0</v>
      </c>
      <c r="S284" s="98">
        <f>'Supply planning data'!U282</f>
        <v>0</v>
      </c>
      <c r="T284" s="98">
        <f>'Supply planning data'!V282</f>
        <v>0</v>
      </c>
      <c r="U284" s="325" t="str">
        <f>'Supply planning data'!W282</f>
        <v/>
      </c>
      <c r="V284" s="98">
        <f>'Supply planning data'!X282</f>
        <v>0</v>
      </c>
      <c r="W284" s="317">
        <f>'Supply planning data'!Y282</f>
        <v>0</v>
      </c>
      <c r="X284" s="328">
        <f>'Supply planning data'!Z282</f>
        <v>0</v>
      </c>
      <c r="Y284" s="98">
        <f>'Supply planning data'!AA282</f>
        <v>0</v>
      </c>
      <c r="Z284" s="98">
        <f>'Supply planning data'!AB282</f>
        <v>0</v>
      </c>
      <c r="AA284" s="98">
        <f>'Supply planning data'!AC282</f>
        <v>0</v>
      </c>
      <c r="AB284" s="98">
        <f>'Supply planning data'!AD282</f>
        <v>0</v>
      </c>
      <c r="AC284" s="98">
        <f>'Supply planning data'!AE282</f>
        <v>0</v>
      </c>
      <c r="AD284" s="325" t="str">
        <f>'Supply planning data'!AF282</f>
        <v/>
      </c>
      <c r="AE284" s="98">
        <f>'Supply planning data'!AG282</f>
        <v>0</v>
      </c>
      <c r="AF284" s="317">
        <f>'Supply planning data'!AH282</f>
        <v>0</v>
      </c>
      <c r="AG284" s="175">
        <f>'Supply planning data'!AI282</f>
        <v>0</v>
      </c>
      <c r="AH284" s="98">
        <f>'Supply planning data'!AJ282</f>
        <v>0</v>
      </c>
      <c r="AI284" s="98">
        <f>'Supply planning data'!AK282</f>
        <v>0</v>
      </c>
      <c r="AJ284" s="98">
        <f>'Supply planning data'!AL282</f>
        <v>0</v>
      </c>
      <c r="AK284" s="98">
        <f>'Supply planning data'!AM282</f>
        <v>0</v>
      </c>
      <c r="AL284" s="98">
        <f>'Supply planning data'!AN282</f>
        <v>0</v>
      </c>
      <c r="AM284" s="325" t="str">
        <f>'Supply planning data'!AO282</f>
        <v/>
      </c>
    </row>
    <row r="285" spans="1:39" hidden="1" x14ac:dyDescent="0.25">
      <c r="A285" s="90" t="str">
        <f>'Supply planning data'!C283</f>
        <v/>
      </c>
      <c r="B285" s="296">
        <f>'Supply planning data'!D283</f>
        <v>44743</v>
      </c>
      <c r="C285" s="92" t="str">
        <f>'Supply planning data'!E283</f>
        <v>No</v>
      </c>
      <c r="D285" s="92">
        <f>'Supply planning data'!F283</f>
        <v>0</v>
      </c>
      <c r="E285" s="316">
        <f>'Supply planning data'!G283</f>
        <v>0</v>
      </c>
      <c r="F285" s="317">
        <f>'Supply planning data'!H283</f>
        <v>0</v>
      </c>
      <c r="G285" s="317">
        <f>'Supply planning data'!I283</f>
        <v>0</v>
      </c>
      <c r="H285" s="98">
        <f>'Supply planning data'!J283</f>
        <v>0</v>
      </c>
      <c r="I285" s="317">
        <f>'Supply planning data'!K283</f>
        <v>0</v>
      </c>
      <c r="J285" s="175" t="str">
        <f>'Supply planning data'!L283</f>
        <v/>
      </c>
      <c r="K285" s="98">
        <f>'Supply planning data'!M283</f>
        <v>0</v>
      </c>
      <c r="L285" s="317">
        <f>'Supply planning data'!N283+'Supply planning data'!P283</f>
        <v>0</v>
      </c>
      <c r="M285" s="339">
        <f>'Supply planning data'!O283</f>
        <v>0</v>
      </c>
      <c r="N285" s="317">
        <f>'Supply planning data'!P283</f>
        <v>0</v>
      </c>
      <c r="O285" s="339">
        <f>'Supply planning data'!Q283</f>
        <v>0</v>
      </c>
      <c r="P285" s="98">
        <f>'Supply planning data'!R283</f>
        <v>0</v>
      </c>
      <c r="Q285" s="98">
        <f>'Supply planning data'!S283</f>
        <v>0</v>
      </c>
      <c r="R285" s="98">
        <f>'Supply planning data'!T283</f>
        <v>0</v>
      </c>
      <c r="S285" s="98">
        <f>'Supply planning data'!U283</f>
        <v>0</v>
      </c>
      <c r="T285" s="98">
        <f>'Supply planning data'!V283</f>
        <v>0</v>
      </c>
      <c r="U285" s="325" t="str">
        <f>'Supply planning data'!W283</f>
        <v/>
      </c>
      <c r="V285" s="98">
        <f>'Supply planning data'!X283</f>
        <v>0</v>
      </c>
      <c r="W285" s="317">
        <f>'Supply planning data'!Y283</f>
        <v>0</v>
      </c>
      <c r="X285" s="328">
        <f>'Supply planning data'!Z283</f>
        <v>0</v>
      </c>
      <c r="Y285" s="98">
        <f>'Supply planning data'!AA283</f>
        <v>0</v>
      </c>
      <c r="Z285" s="98">
        <f>'Supply planning data'!AB283</f>
        <v>0</v>
      </c>
      <c r="AA285" s="98">
        <f>'Supply planning data'!AC283</f>
        <v>0</v>
      </c>
      <c r="AB285" s="98">
        <f>'Supply planning data'!AD283</f>
        <v>0</v>
      </c>
      <c r="AC285" s="98">
        <f>'Supply planning data'!AE283</f>
        <v>0</v>
      </c>
      <c r="AD285" s="325" t="str">
        <f>'Supply planning data'!AF283</f>
        <v/>
      </c>
      <c r="AE285" s="98">
        <f>'Supply planning data'!AG283</f>
        <v>0</v>
      </c>
      <c r="AF285" s="317">
        <f>'Supply planning data'!AH283</f>
        <v>0</v>
      </c>
      <c r="AG285" s="175">
        <f>'Supply planning data'!AI283</f>
        <v>0</v>
      </c>
      <c r="AH285" s="98">
        <f>'Supply planning data'!AJ283</f>
        <v>0</v>
      </c>
      <c r="AI285" s="98">
        <f>'Supply planning data'!AK283</f>
        <v>0</v>
      </c>
      <c r="AJ285" s="98">
        <f>'Supply planning data'!AL283</f>
        <v>0</v>
      </c>
      <c r="AK285" s="98">
        <f>'Supply planning data'!AM283</f>
        <v>0</v>
      </c>
      <c r="AL285" s="98">
        <f>'Supply planning data'!AN283</f>
        <v>0</v>
      </c>
      <c r="AM285" s="325" t="str">
        <f>'Supply planning data'!AO283</f>
        <v/>
      </c>
    </row>
    <row r="286" spans="1:39" hidden="1" x14ac:dyDescent="0.25">
      <c r="A286" s="90" t="str">
        <f>'Supply planning data'!C284</f>
        <v/>
      </c>
      <c r="B286" s="296">
        <f>'Supply planning data'!D284</f>
        <v>44743</v>
      </c>
      <c r="C286" s="92" t="str">
        <f>'Supply planning data'!E284</f>
        <v>No</v>
      </c>
      <c r="D286" s="92">
        <f>'Supply planning data'!F284</f>
        <v>0</v>
      </c>
      <c r="E286" s="316">
        <f>'Supply planning data'!G284</f>
        <v>0</v>
      </c>
      <c r="F286" s="317">
        <f>'Supply planning data'!H284</f>
        <v>0</v>
      </c>
      <c r="G286" s="317">
        <f>'Supply planning data'!I284</f>
        <v>0</v>
      </c>
      <c r="H286" s="98">
        <f>'Supply planning data'!J284</f>
        <v>0</v>
      </c>
      <c r="I286" s="317">
        <f>'Supply planning data'!K284</f>
        <v>0</v>
      </c>
      <c r="J286" s="175" t="str">
        <f>'Supply planning data'!L284</f>
        <v/>
      </c>
      <c r="K286" s="98">
        <f>'Supply planning data'!M284</f>
        <v>0</v>
      </c>
      <c r="L286" s="317">
        <f>'Supply planning data'!N284+'Supply planning data'!P284</f>
        <v>0</v>
      </c>
      <c r="M286" s="339">
        <f>'Supply planning data'!O284</f>
        <v>0</v>
      </c>
      <c r="N286" s="317">
        <f>'Supply planning data'!P284</f>
        <v>0</v>
      </c>
      <c r="O286" s="339">
        <f>'Supply planning data'!Q284</f>
        <v>0</v>
      </c>
      <c r="P286" s="98">
        <f>'Supply planning data'!R284</f>
        <v>0</v>
      </c>
      <c r="Q286" s="98">
        <f>'Supply planning data'!S284</f>
        <v>0</v>
      </c>
      <c r="R286" s="98">
        <f>'Supply planning data'!T284</f>
        <v>0</v>
      </c>
      <c r="S286" s="98">
        <f>'Supply planning data'!U284</f>
        <v>0</v>
      </c>
      <c r="T286" s="98">
        <f>'Supply planning data'!V284</f>
        <v>0</v>
      </c>
      <c r="U286" s="325" t="str">
        <f>'Supply planning data'!W284</f>
        <v/>
      </c>
      <c r="V286" s="98">
        <f>'Supply planning data'!X284</f>
        <v>0</v>
      </c>
      <c r="W286" s="317">
        <f>'Supply planning data'!Y284</f>
        <v>0</v>
      </c>
      <c r="X286" s="328">
        <f>'Supply planning data'!Z284</f>
        <v>0</v>
      </c>
      <c r="Y286" s="98">
        <f>'Supply planning data'!AA284</f>
        <v>0</v>
      </c>
      <c r="Z286" s="98">
        <f>'Supply planning data'!AB284</f>
        <v>0</v>
      </c>
      <c r="AA286" s="98">
        <f>'Supply planning data'!AC284</f>
        <v>0</v>
      </c>
      <c r="AB286" s="98">
        <f>'Supply planning data'!AD284</f>
        <v>0</v>
      </c>
      <c r="AC286" s="98">
        <f>'Supply planning data'!AE284</f>
        <v>0</v>
      </c>
      <c r="AD286" s="325" t="str">
        <f>'Supply planning data'!AF284</f>
        <v/>
      </c>
      <c r="AE286" s="98">
        <f>'Supply planning data'!AG284</f>
        <v>0</v>
      </c>
      <c r="AF286" s="317">
        <f>'Supply planning data'!AH284</f>
        <v>0</v>
      </c>
      <c r="AG286" s="175">
        <f>'Supply planning data'!AI284</f>
        <v>0</v>
      </c>
      <c r="AH286" s="98">
        <f>'Supply planning data'!AJ284</f>
        <v>0</v>
      </c>
      <c r="AI286" s="98">
        <f>'Supply planning data'!AK284</f>
        <v>0</v>
      </c>
      <c r="AJ286" s="98">
        <f>'Supply planning data'!AL284</f>
        <v>0</v>
      </c>
      <c r="AK286" s="98">
        <f>'Supply planning data'!AM284</f>
        <v>0</v>
      </c>
      <c r="AL286" s="98">
        <f>'Supply planning data'!AN284</f>
        <v>0</v>
      </c>
      <c r="AM286" s="325" t="str">
        <f>'Supply planning data'!AO284</f>
        <v/>
      </c>
    </row>
    <row r="287" spans="1:39" hidden="1" x14ac:dyDescent="0.25">
      <c r="A287" s="90" t="str">
        <f>'Supply planning data'!C285</f>
        <v/>
      </c>
      <c r="B287" s="296">
        <f>'Supply planning data'!D285</f>
        <v>44743</v>
      </c>
      <c r="C287" s="92" t="str">
        <f>'Supply planning data'!E285</f>
        <v>No</v>
      </c>
      <c r="D287" s="92">
        <f>'Supply planning data'!F285</f>
        <v>0</v>
      </c>
      <c r="E287" s="316">
        <f>'Supply planning data'!G285</f>
        <v>0</v>
      </c>
      <c r="F287" s="317">
        <f>'Supply planning data'!H285</f>
        <v>0</v>
      </c>
      <c r="G287" s="317">
        <f>'Supply planning data'!I285</f>
        <v>0</v>
      </c>
      <c r="H287" s="98">
        <f>'Supply planning data'!J285</f>
        <v>0</v>
      </c>
      <c r="I287" s="317">
        <f>'Supply planning data'!K285</f>
        <v>0</v>
      </c>
      <c r="J287" s="175" t="str">
        <f>'Supply planning data'!L285</f>
        <v/>
      </c>
      <c r="K287" s="98">
        <f>'Supply planning data'!M285</f>
        <v>0</v>
      </c>
      <c r="L287" s="317">
        <f>'Supply planning data'!N285+'Supply planning data'!P285</f>
        <v>0</v>
      </c>
      <c r="M287" s="339">
        <f>'Supply planning data'!O285</f>
        <v>0</v>
      </c>
      <c r="N287" s="317">
        <f>'Supply planning data'!P285</f>
        <v>0</v>
      </c>
      <c r="O287" s="339">
        <f>'Supply planning data'!Q285</f>
        <v>0</v>
      </c>
      <c r="P287" s="98">
        <f>'Supply planning data'!R285</f>
        <v>0</v>
      </c>
      <c r="Q287" s="98">
        <f>'Supply planning data'!S285</f>
        <v>0</v>
      </c>
      <c r="R287" s="98">
        <f>'Supply planning data'!T285</f>
        <v>0</v>
      </c>
      <c r="S287" s="98">
        <f>'Supply planning data'!U285</f>
        <v>0</v>
      </c>
      <c r="T287" s="98">
        <f>'Supply planning data'!V285</f>
        <v>0</v>
      </c>
      <c r="U287" s="325" t="str">
        <f>'Supply planning data'!W285</f>
        <v/>
      </c>
      <c r="V287" s="98">
        <f>'Supply planning data'!X285</f>
        <v>0</v>
      </c>
      <c r="W287" s="317">
        <f>'Supply planning data'!Y285</f>
        <v>0</v>
      </c>
      <c r="X287" s="328">
        <f>'Supply planning data'!Z285</f>
        <v>0</v>
      </c>
      <c r="Y287" s="98">
        <f>'Supply planning data'!AA285</f>
        <v>0</v>
      </c>
      <c r="Z287" s="98">
        <f>'Supply planning data'!AB285</f>
        <v>0</v>
      </c>
      <c r="AA287" s="98">
        <f>'Supply planning data'!AC285</f>
        <v>0</v>
      </c>
      <c r="AB287" s="98">
        <f>'Supply planning data'!AD285</f>
        <v>0</v>
      </c>
      <c r="AC287" s="98">
        <f>'Supply planning data'!AE285</f>
        <v>0</v>
      </c>
      <c r="AD287" s="325" t="str">
        <f>'Supply planning data'!AF285</f>
        <v/>
      </c>
      <c r="AE287" s="98">
        <f>'Supply planning data'!AG285</f>
        <v>0</v>
      </c>
      <c r="AF287" s="317">
        <f>'Supply planning data'!AH285</f>
        <v>0</v>
      </c>
      <c r="AG287" s="175">
        <f>'Supply planning data'!AI285</f>
        <v>0</v>
      </c>
      <c r="AH287" s="98">
        <f>'Supply planning data'!AJ285</f>
        <v>0</v>
      </c>
      <c r="AI287" s="98">
        <f>'Supply planning data'!AK285</f>
        <v>0</v>
      </c>
      <c r="AJ287" s="98">
        <f>'Supply planning data'!AL285</f>
        <v>0</v>
      </c>
      <c r="AK287" s="98">
        <f>'Supply planning data'!AM285</f>
        <v>0</v>
      </c>
      <c r="AL287" s="98">
        <f>'Supply planning data'!AN285</f>
        <v>0</v>
      </c>
      <c r="AM287" s="325" t="str">
        <f>'Supply planning data'!AO285</f>
        <v/>
      </c>
    </row>
    <row r="288" spans="1:39" hidden="1" x14ac:dyDescent="0.25">
      <c r="A288" s="90" t="str">
        <f>'Supply planning data'!C286</f>
        <v/>
      </c>
      <c r="B288" s="296">
        <f>'Supply planning data'!D286</f>
        <v>44743</v>
      </c>
      <c r="C288" s="92" t="str">
        <f>'Supply planning data'!E286</f>
        <v>No</v>
      </c>
      <c r="D288" s="92">
        <f>'Supply planning data'!F286</f>
        <v>0</v>
      </c>
      <c r="E288" s="316">
        <f>'Supply planning data'!G286</f>
        <v>0</v>
      </c>
      <c r="F288" s="317">
        <f>'Supply planning data'!H286</f>
        <v>0</v>
      </c>
      <c r="G288" s="317">
        <f>'Supply planning data'!I286</f>
        <v>0</v>
      </c>
      <c r="H288" s="98">
        <f>'Supply planning data'!J286</f>
        <v>0</v>
      </c>
      <c r="I288" s="317">
        <f>'Supply planning data'!K286</f>
        <v>0</v>
      </c>
      <c r="J288" s="175" t="str">
        <f>'Supply planning data'!L286</f>
        <v/>
      </c>
      <c r="K288" s="98">
        <f>'Supply planning data'!M286</f>
        <v>0</v>
      </c>
      <c r="L288" s="317">
        <f>'Supply planning data'!N286+'Supply planning data'!P286</f>
        <v>0</v>
      </c>
      <c r="M288" s="339">
        <f>'Supply planning data'!O286</f>
        <v>0</v>
      </c>
      <c r="N288" s="317">
        <f>'Supply planning data'!P286</f>
        <v>0</v>
      </c>
      <c r="O288" s="339">
        <f>'Supply planning data'!Q286</f>
        <v>0</v>
      </c>
      <c r="P288" s="98">
        <f>'Supply planning data'!R286</f>
        <v>0</v>
      </c>
      <c r="Q288" s="98">
        <f>'Supply planning data'!S286</f>
        <v>0</v>
      </c>
      <c r="R288" s="98">
        <f>'Supply planning data'!T286</f>
        <v>0</v>
      </c>
      <c r="S288" s="98">
        <f>'Supply planning data'!U286</f>
        <v>0</v>
      </c>
      <c r="T288" s="98">
        <f>'Supply planning data'!V286</f>
        <v>0</v>
      </c>
      <c r="U288" s="325" t="str">
        <f>'Supply planning data'!W286</f>
        <v/>
      </c>
      <c r="V288" s="98">
        <f>'Supply planning data'!X286</f>
        <v>0</v>
      </c>
      <c r="W288" s="317">
        <f>'Supply planning data'!Y286</f>
        <v>0</v>
      </c>
      <c r="X288" s="328">
        <f>'Supply planning data'!Z286</f>
        <v>0</v>
      </c>
      <c r="Y288" s="98">
        <f>'Supply planning data'!AA286</f>
        <v>0</v>
      </c>
      <c r="Z288" s="98">
        <f>'Supply planning data'!AB286</f>
        <v>0</v>
      </c>
      <c r="AA288" s="98">
        <f>'Supply planning data'!AC286</f>
        <v>0</v>
      </c>
      <c r="AB288" s="98">
        <f>'Supply planning data'!AD286</f>
        <v>0</v>
      </c>
      <c r="AC288" s="98">
        <f>'Supply planning data'!AE286</f>
        <v>0</v>
      </c>
      <c r="AD288" s="325" t="str">
        <f>'Supply planning data'!AF286</f>
        <v/>
      </c>
      <c r="AE288" s="98">
        <f>'Supply planning data'!AG286</f>
        <v>0</v>
      </c>
      <c r="AF288" s="317">
        <f>'Supply planning data'!AH286</f>
        <v>0</v>
      </c>
      <c r="AG288" s="175">
        <f>'Supply planning data'!AI286</f>
        <v>0</v>
      </c>
      <c r="AH288" s="98">
        <f>'Supply planning data'!AJ286</f>
        <v>0</v>
      </c>
      <c r="AI288" s="98">
        <f>'Supply planning data'!AK286</f>
        <v>0</v>
      </c>
      <c r="AJ288" s="98">
        <f>'Supply planning data'!AL286</f>
        <v>0</v>
      </c>
      <c r="AK288" s="98">
        <f>'Supply planning data'!AM286</f>
        <v>0</v>
      </c>
      <c r="AL288" s="98">
        <f>'Supply planning data'!AN286</f>
        <v>0</v>
      </c>
      <c r="AM288" s="325" t="str">
        <f>'Supply planning data'!AO286</f>
        <v/>
      </c>
    </row>
    <row r="289" spans="1:39" hidden="1" x14ac:dyDescent="0.25">
      <c r="A289" s="90" t="str">
        <f>'Supply planning data'!C287</f>
        <v/>
      </c>
      <c r="B289" s="296">
        <f>'Supply planning data'!D287</f>
        <v>44743</v>
      </c>
      <c r="C289" s="92" t="str">
        <f>'Supply planning data'!E287</f>
        <v>No</v>
      </c>
      <c r="D289" s="92">
        <f>'Supply planning data'!F287</f>
        <v>0</v>
      </c>
      <c r="E289" s="316">
        <f>'Supply planning data'!G287</f>
        <v>0</v>
      </c>
      <c r="F289" s="317">
        <f>'Supply planning data'!H287</f>
        <v>0</v>
      </c>
      <c r="G289" s="317">
        <f>'Supply planning data'!I287</f>
        <v>0</v>
      </c>
      <c r="H289" s="98">
        <f>'Supply planning data'!J287</f>
        <v>0</v>
      </c>
      <c r="I289" s="317">
        <f>'Supply planning data'!K287</f>
        <v>0</v>
      </c>
      <c r="J289" s="175" t="str">
        <f>'Supply planning data'!L287</f>
        <v/>
      </c>
      <c r="K289" s="98">
        <f>'Supply planning data'!M287</f>
        <v>0</v>
      </c>
      <c r="L289" s="317">
        <f>'Supply planning data'!N287+'Supply planning data'!P287</f>
        <v>0</v>
      </c>
      <c r="M289" s="339">
        <f>'Supply planning data'!O287</f>
        <v>0</v>
      </c>
      <c r="N289" s="317">
        <f>'Supply planning data'!P287</f>
        <v>0</v>
      </c>
      <c r="O289" s="339">
        <f>'Supply planning data'!Q287</f>
        <v>0</v>
      </c>
      <c r="P289" s="98">
        <f>'Supply planning data'!R287</f>
        <v>0</v>
      </c>
      <c r="Q289" s="98">
        <f>'Supply planning data'!S287</f>
        <v>0</v>
      </c>
      <c r="R289" s="98">
        <f>'Supply planning data'!T287</f>
        <v>0</v>
      </c>
      <c r="S289" s="98">
        <f>'Supply planning data'!U287</f>
        <v>0</v>
      </c>
      <c r="T289" s="98">
        <f>'Supply planning data'!V287</f>
        <v>0</v>
      </c>
      <c r="U289" s="325" t="str">
        <f>'Supply planning data'!W287</f>
        <v/>
      </c>
      <c r="V289" s="98">
        <f>'Supply planning data'!X287</f>
        <v>0</v>
      </c>
      <c r="W289" s="317">
        <f>'Supply planning data'!Y287</f>
        <v>0</v>
      </c>
      <c r="X289" s="328">
        <f>'Supply planning data'!Z287</f>
        <v>0</v>
      </c>
      <c r="Y289" s="98">
        <f>'Supply planning data'!AA287</f>
        <v>0</v>
      </c>
      <c r="Z289" s="98">
        <f>'Supply planning data'!AB287</f>
        <v>0</v>
      </c>
      <c r="AA289" s="98">
        <f>'Supply planning data'!AC287</f>
        <v>0</v>
      </c>
      <c r="AB289" s="98">
        <f>'Supply planning data'!AD287</f>
        <v>0</v>
      </c>
      <c r="AC289" s="98">
        <f>'Supply planning data'!AE287</f>
        <v>0</v>
      </c>
      <c r="AD289" s="325" t="str">
        <f>'Supply planning data'!AF287</f>
        <v/>
      </c>
      <c r="AE289" s="98">
        <f>'Supply planning data'!AG287</f>
        <v>0</v>
      </c>
      <c r="AF289" s="317">
        <f>'Supply planning data'!AH287</f>
        <v>0</v>
      </c>
      <c r="AG289" s="175">
        <f>'Supply planning data'!AI287</f>
        <v>0</v>
      </c>
      <c r="AH289" s="98">
        <f>'Supply planning data'!AJ287</f>
        <v>0</v>
      </c>
      <c r="AI289" s="98">
        <f>'Supply planning data'!AK287</f>
        <v>0</v>
      </c>
      <c r="AJ289" s="98">
        <f>'Supply planning data'!AL287</f>
        <v>0</v>
      </c>
      <c r="AK289" s="98">
        <f>'Supply planning data'!AM287</f>
        <v>0</v>
      </c>
      <c r="AL289" s="98">
        <f>'Supply planning data'!AN287</f>
        <v>0</v>
      </c>
      <c r="AM289" s="325" t="str">
        <f>'Supply planning data'!AO287</f>
        <v/>
      </c>
    </row>
    <row r="290" spans="1:39" hidden="1" x14ac:dyDescent="0.25">
      <c r="A290" s="90" t="str">
        <f>'Supply planning data'!C288</f>
        <v/>
      </c>
      <c r="B290" s="296">
        <f>'Supply planning data'!D288</f>
        <v>44743</v>
      </c>
      <c r="C290" s="92" t="str">
        <f>'Supply planning data'!E288</f>
        <v>No</v>
      </c>
      <c r="D290" s="92">
        <f>'Supply planning data'!F288</f>
        <v>0</v>
      </c>
      <c r="E290" s="316">
        <f>'Supply planning data'!G288</f>
        <v>0</v>
      </c>
      <c r="F290" s="317">
        <f>'Supply planning data'!H288</f>
        <v>0</v>
      </c>
      <c r="G290" s="317">
        <f>'Supply planning data'!I288</f>
        <v>0</v>
      </c>
      <c r="H290" s="98">
        <f>'Supply planning data'!J288</f>
        <v>0</v>
      </c>
      <c r="I290" s="317">
        <f>'Supply planning data'!K288</f>
        <v>0</v>
      </c>
      <c r="J290" s="175" t="str">
        <f>'Supply planning data'!L288</f>
        <v/>
      </c>
      <c r="K290" s="98">
        <f>'Supply planning data'!M288</f>
        <v>0</v>
      </c>
      <c r="L290" s="317">
        <f>'Supply planning data'!N288+'Supply planning data'!P288</f>
        <v>0</v>
      </c>
      <c r="M290" s="339">
        <f>'Supply planning data'!O288</f>
        <v>0</v>
      </c>
      <c r="N290" s="317">
        <f>'Supply planning data'!P288</f>
        <v>0</v>
      </c>
      <c r="O290" s="339">
        <f>'Supply planning data'!Q288</f>
        <v>0</v>
      </c>
      <c r="P290" s="98">
        <f>'Supply planning data'!R288</f>
        <v>0</v>
      </c>
      <c r="Q290" s="98">
        <f>'Supply planning data'!S288</f>
        <v>0</v>
      </c>
      <c r="R290" s="98">
        <f>'Supply planning data'!T288</f>
        <v>0</v>
      </c>
      <c r="S290" s="98">
        <f>'Supply planning data'!U288</f>
        <v>0</v>
      </c>
      <c r="T290" s="98">
        <f>'Supply planning data'!V288</f>
        <v>0</v>
      </c>
      <c r="U290" s="325" t="str">
        <f>'Supply planning data'!W288</f>
        <v/>
      </c>
      <c r="V290" s="98">
        <f>'Supply planning data'!X288</f>
        <v>0</v>
      </c>
      <c r="W290" s="317">
        <f>'Supply planning data'!Y288</f>
        <v>0</v>
      </c>
      <c r="X290" s="328">
        <f>'Supply planning data'!Z288</f>
        <v>0</v>
      </c>
      <c r="Y290" s="98">
        <f>'Supply planning data'!AA288</f>
        <v>0</v>
      </c>
      <c r="Z290" s="98">
        <f>'Supply planning data'!AB288</f>
        <v>0</v>
      </c>
      <c r="AA290" s="98">
        <f>'Supply planning data'!AC288</f>
        <v>0</v>
      </c>
      <c r="AB290" s="98">
        <f>'Supply planning data'!AD288</f>
        <v>0</v>
      </c>
      <c r="AC290" s="98">
        <f>'Supply planning data'!AE288</f>
        <v>0</v>
      </c>
      <c r="AD290" s="325" t="str">
        <f>'Supply planning data'!AF288</f>
        <v/>
      </c>
      <c r="AE290" s="98">
        <f>'Supply planning data'!AG288</f>
        <v>0</v>
      </c>
      <c r="AF290" s="317">
        <f>'Supply planning data'!AH288</f>
        <v>0</v>
      </c>
      <c r="AG290" s="175">
        <f>'Supply planning data'!AI288</f>
        <v>0</v>
      </c>
      <c r="AH290" s="98">
        <f>'Supply planning data'!AJ288</f>
        <v>0</v>
      </c>
      <c r="AI290" s="98">
        <f>'Supply planning data'!AK288</f>
        <v>0</v>
      </c>
      <c r="AJ290" s="98">
        <f>'Supply planning data'!AL288</f>
        <v>0</v>
      </c>
      <c r="AK290" s="98">
        <f>'Supply planning data'!AM288</f>
        <v>0</v>
      </c>
      <c r="AL290" s="98">
        <f>'Supply planning data'!AN288</f>
        <v>0</v>
      </c>
      <c r="AM290" s="325" t="str">
        <f>'Supply planning data'!AO288</f>
        <v/>
      </c>
    </row>
    <row r="291" spans="1:39" hidden="1" x14ac:dyDescent="0.25">
      <c r="A291" s="90" t="str">
        <f>'Supply planning data'!C289</f>
        <v/>
      </c>
      <c r="B291" s="296">
        <f>'Supply planning data'!D289</f>
        <v>44743</v>
      </c>
      <c r="C291" s="92" t="str">
        <f>'Supply planning data'!E289</f>
        <v>No</v>
      </c>
      <c r="D291" s="92">
        <f>'Supply planning data'!F289</f>
        <v>0</v>
      </c>
      <c r="E291" s="316">
        <f>'Supply planning data'!G289</f>
        <v>0</v>
      </c>
      <c r="F291" s="317">
        <f>'Supply planning data'!H289</f>
        <v>0</v>
      </c>
      <c r="G291" s="317">
        <f>'Supply planning data'!I289</f>
        <v>0</v>
      </c>
      <c r="H291" s="98">
        <f>'Supply planning data'!J289</f>
        <v>0</v>
      </c>
      <c r="I291" s="317">
        <f>'Supply planning data'!K289</f>
        <v>0</v>
      </c>
      <c r="J291" s="175" t="str">
        <f>'Supply planning data'!L289</f>
        <v/>
      </c>
      <c r="K291" s="98">
        <f>'Supply planning data'!M289</f>
        <v>0</v>
      </c>
      <c r="L291" s="317">
        <f>'Supply planning data'!N289+'Supply planning data'!P289</f>
        <v>0</v>
      </c>
      <c r="M291" s="339">
        <f>'Supply planning data'!O289</f>
        <v>0</v>
      </c>
      <c r="N291" s="317">
        <f>'Supply planning data'!P289</f>
        <v>0</v>
      </c>
      <c r="O291" s="339">
        <f>'Supply planning data'!Q289</f>
        <v>0</v>
      </c>
      <c r="P291" s="98">
        <f>'Supply planning data'!R289</f>
        <v>0</v>
      </c>
      <c r="Q291" s="98">
        <f>'Supply planning data'!S289</f>
        <v>0</v>
      </c>
      <c r="R291" s="98">
        <f>'Supply planning data'!T289</f>
        <v>0</v>
      </c>
      <c r="S291" s="98">
        <f>'Supply planning data'!U289</f>
        <v>0</v>
      </c>
      <c r="T291" s="98">
        <f>'Supply planning data'!V289</f>
        <v>0</v>
      </c>
      <c r="U291" s="325" t="str">
        <f>'Supply planning data'!W289</f>
        <v/>
      </c>
      <c r="V291" s="98">
        <f>'Supply planning data'!X289</f>
        <v>0</v>
      </c>
      <c r="W291" s="317">
        <f>'Supply planning data'!Y289</f>
        <v>0</v>
      </c>
      <c r="X291" s="328">
        <f>'Supply planning data'!Z289</f>
        <v>0</v>
      </c>
      <c r="Y291" s="98">
        <f>'Supply planning data'!AA289</f>
        <v>0</v>
      </c>
      <c r="Z291" s="98">
        <f>'Supply planning data'!AB289</f>
        <v>0</v>
      </c>
      <c r="AA291" s="98">
        <f>'Supply planning data'!AC289</f>
        <v>0</v>
      </c>
      <c r="AB291" s="98">
        <f>'Supply planning data'!AD289</f>
        <v>0</v>
      </c>
      <c r="AC291" s="98">
        <f>'Supply planning data'!AE289</f>
        <v>0</v>
      </c>
      <c r="AD291" s="325" t="str">
        <f>'Supply planning data'!AF289</f>
        <v/>
      </c>
      <c r="AE291" s="98">
        <f>'Supply planning data'!AG289</f>
        <v>0</v>
      </c>
      <c r="AF291" s="317">
        <f>'Supply planning data'!AH289</f>
        <v>0</v>
      </c>
      <c r="AG291" s="175">
        <f>'Supply planning data'!AI289</f>
        <v>0</v>
      </c>
      <c r="AH291" s="98">
        <f>'Supply planning data'!AJ289</f>
        <v>0</v>
      </c>
      <c r="AI291" s="98">
        <f>'Supply planning data'!AK289</f>
        <v>0</v>
      </c>
      <c r="AJ291" s="98">
        <f>'Supply planning data'!AL289</f>
        <v>0</v>
      </c>
      <c r="AK291" s="98">
        <f>'Supply planning data'!AM289</f>
        <v>0</v>
      </c>
      <c r="AL291" s="98">
        <f>'Supply planning data'!AN289</f>
        <v>0</v>
      </c>
      <c r="AM291" s="325" t="str">
        <f>'Supply planning data'!AO289</f>
        <v/>
      </c>
    </row>
    <row r="292" spans="1:39" x14ac:dyDescent="0.25">
      <c r="A292" s="104" t="str">
        <f>'Supply planning data'!C290</f>
        <v>AstraZeneca</v>
      </c>
      <c r="B292" s="298">
        <f>'Supply planning data'!D290</f>
        <v>44774</v>
      </c>
      <c r="C292" s="105" t="str">
        <f>'Supply planning data'!E290</f>
        <v>Yes</v>
      </c>
      <c r="D292" s="105">
        <f>'Supply planning data'!F290</f>
        <v>0</v>
      </c>
      <c r="E292" s="320">
        <f>'Supply planning data'!G290</f>
        <v>0</v>
      </c>
      <c r="F292" s="320">
        <f>'Supply planning data'!H290</f>
        <v>0</v>
      </c>
      <c r="G292" s="320">
        <f>'Supply planning data'!I290</f>
        <v>0</v>
      </c>
      <c r="H292" s="105">
        <f>'Supply planning data'!J290</f>
        <v>0</v>
      </c>
      <c r="I292" s="320">
        <f>'Supply planning data'!K290</f>
        <v>0</v>
      </c>
      <c r="J292" s="177" t="str">
        <f>'Supply planning data'!L290</f>
        <v/>
      </c>
      <c r="K292" s="105">
        <f>'Supply planning data'!M290</f>
        <v>0</v>
      </c>
      <c r="L292" s="320">
        <f>'Supply planning data'!N290+'Supply planning data'!P290</f>
        <v>0</v>
      </c>
      <c r="M292" s="341">
        <f>'Supply planning data'!O290</f>
        <v>0</v>
      </c>
      <c r="N292" s="320">
        <f>'Supply planning data'!P290</f>
        <v>0</v>
      </c>
      <c r="O292" s="341">
        <f>'Supply planning data'!Q290</f>
        <v>0</v>
      </c>
      <c r="P292" s="105">
        <f>'Supply planning data'!R290</f>
        <v>0</v>
      </c>
      <c r="Q292" s="105">
        <f>'Supply planning data'!S290</f>
        <v>0</v>
      </c>
      <c r="R292" s="105">
        <f>'Supply planning data'!T290</f>
        <v>0</v>
      </c>
      <c r="S292" s="105">
        <f>'Supply planning data'!U290</f>
        <v>0</v>
      </c>
      <c r="T292" s="105">
        <f>'Supply planning data'!V290</f>
        <v>0</v>
      </c>
      <c r="U292" s="326" t="str">
        <f>'Supply planning data'!W290</f>
        <v/>
      </c>
      <c r="V292" s="105">
        <f>'Supply planning data'!X290</f>
        <v>474701</v>
      </c>
      <c r="W292" s="320">
        <f>'Supply planning data'!Y290</f>
        <v>80000</v>
      </c>
      <c r="X292" s="329">
        <f>'Supply planning data'!Z290</f>
        <v>0</v>
      </c>
      <c r="Y292" s="105">
        <f>'Supply planning data'!AA290</f>
        <v>80000</v>
      </c>
      <c r="Z292" s="105">
        <f>'Supply planning data'!AB290</f>
        <v>0</v>
      </c>
      <c r="AA292" s="105">
        <f>'Supply planning data'!AC290</f>
        <v>0</v>
      </c>
      <c r="AB292" s="105">
        <f>'Supply planning data'!AD290</f>
        <v>0</v>
      </c>
      <c r="AC292" s="105">
        <f>'Supply planning data'!AE290</f>
        <v>394701</v>
      </c>
      <c r="AD292" s="326">
        <f>'Supply planning data'!AF290</f>
        <v>4.9337625000000003</v>
      </c>
      <c r="AE292" s="105">
        <f>'Supply planning data'!AG290</f>
        <v>0</v>
      </c>
      <c r="AF292" s="320">
        <f>'Supply planning data'!AH290</f>
        <v>0</v>
      </c>
      <c r="AG292" s="177">
        <f>'Supply planning data'!AI290</f>
        <v>0</v>
      </c>
      <c r="AH292" s="105">
        <f>'Supply planning data'!AJ290</f>
        <v>0</v>
      </c>
      <c r="AI292" s="105">
        <f>'Supply planning data'!AK290</f>
        <v>0</v>
      </c>
      <c r="AJ292" s="105">
        <f>'Supply planning data'!AL290</f>
        <v>0</v>
      </c>
      <c r="AK292" s="105">
        <f>'Supply planning data'!AM290</f>
        <v>0</v>
      </c>
      <c r="AL292" s="105">
        <f>'Supply planning data'!AN290</f>
        <v>0</v>
      </c>
      <c r="AM292" s="326" t="str">
        <f>'Supply planning data'!AO290</f>
        <v/>
      </c>
    </row>
    <row r="293" spans="1:39" x14ac:dyDescent="0.25">
      <c r="A293" s="109" t="str">
        <f>'Supply planning data'!C291</f>
        <v>Jansen</v>
      </c>
      <c r="B293" s="298">
        <f>'Supply planning data'!D291</f>
        <v>44774</v>
      </c>
      <c r="C293" s="105" t="str">
        <f>'Supply planning data'!E291</f>
        <v>Yes</v>
      </c>
      <c r="D293" s="105">
        <f>'Supply planning data'!F291</f>
        <v>2058747</v>
      </c>
      <c r="E293" s="320">
        <f>'Supply planning data'!G291</f>
        <v>0</v>
      </c>
      <c r="F293" s="320">
        <f>'Supply planning data'!H291</f>
        <v>0</v>
      </c>
      <c r="G293" s="320">
        <f>'Supply planning data'!I291</f>
        <v>0</v>
      </c>
      <c r="H293" s="105">
        <f>'Supply planning data'!J291</f>
        <v>0</v>
      </c>
      <c r="I293" s="320">
        <f>'Supply planning data'!K291</f>
        <v>0</v>
      </c>
      <c r="J293" s="177" t="str">
        <f>'Supply planning data'!L291</f>
        <v/>
      </c>
      <c r="K293" s="105">
        <f>'Supply planning data'!M291</f>
        <v>0</v>
      </c>
      <c r="L293" s="321">
        <f>'Supply planning data'!N291+'Supply planning data'!P291</f>
        <v>0</v>
      </c>
      <c r="M293" s="342">
        <f>'Supply planning data'!O291</f>
        <v>0</v>
      </c>
      <c r="N293" s="321">
        <f>'Supply planning data'!P291</f>
        <v>0</v>
      </c>
      <c r="O293" s="342">
        <f>'Supply planning data'!Q291</f>
        <v>0</v>
      </c>
      <c r="P293" s="111">
        <f>'Supply planning data'!R291</f>
        <v>0</v>
      </c>
      <c r="Q293" s="111">
        <f>'Supply planning data'!S291</f>
        <v>0</v>
      </c>
      <c r="R293" s="111">
        <f>'Supply planning data'!T291</f>
        <v>0</v>
      </c>
      <c r="S293" s="111">
        <f>'Supply planning data'!U291</f>
        <v>0</v>
      </c>
      <c r="T293" s="111">
        <f>'Supply planning data'!V291</f>
        <v>2058747</v>
      </c>
      <c r="U293" s="327" t="str">
        <f>'Supply planning data'!W291</f>
        <v/>
      </c>
      <c r="V293" s="111">
        <f>'Supply planning data'!X291</f>
        <v>1818747</v>
      </c>
      <c r="W293" s="321">
        <f>'Supply planning data'!Y291</f>
        <v>80000</v>
      </c>
      <c r="X293" s="329">
        <f>'Supply planning data'!Z291</f>
        <v>0</v>
      </c>
      <c r="Y293" s="111">
        <f>'Supply planning data'!AA291</f>
        <v>80000</v>
      </c>
      <c r="Z293" s="111">
        <f>'Supply planning data'!AB291</f>
        <v>0</v>
      </c>
      <c r="AA293" s="111">
        <f>'Supply planning data'!AC291</f>
        <v>0</v>
      </c>
      <c r="AB293" s="111">
        <f>'Supply planning data'!AD291</f>
        <v>0</v>
      </c>
      <c r="AC293" s="111">
        <f>'Supply planning data'!AE291</f>
        <v>1738747</v>
      </c>
      <c r="AD293" s="327">
        <f>'Supply planning data'!AF291</f>
        <v>21.734337499999999</v>
      </c>
      <c r="AE293" s="111">
        <f>'Supply planning data'!AG291</f>
        <v>2058747</v>
      </c>
      <c r="AF293" s="321">
        <f>'Supply planning data'!AH291</f>
        <v>0</v>
      </c>
      <c r="AG293" s="349">
        <f>'Supply planning data'!AI291</f>
        <v>0</v>
      </c>
      <c r="AH293" s="111">
        <f>'Supply planning data'!AJ291</f>
        <v>0</v>
      </c>
      <c r="AI293" s="111">
        <f>'Supply planning data'!AK291</f>
        <v>0</v>
      </c>
      <c r="AJ293" s="111">
        <f>'Supply planning data'!AL291</f>
        <v>0</v>
      </c>
      <c r="AK293" s="111">
        <f>'Supply planning data'!AM291</f>
        <v>0</v>
      </c>
      <c r="AL293" s="111">
        <f>'Supply planning data'!AN291</f>
        <v>2058747</v>
      </c>
      <c r="AM293" s="327" t="str">
        <f>'Supply planning data'!AO291</f>
        <v/>
      </c>
    </row>
    <row r="294" spans="1:39" x14ac:dyDescent="0.25">
      <c r="A294" s="104" t="str">
        <f>'Supply planning data'!C292</f>
        <v>Moderna</v>
      </c>
      <c r="B294" s="298">
        <f>'Supply planning data'!D292</f>
        <v>44774</v>
      </c>
      <c r="C294" s="105" t="str">
        <f>'Supply planning data'!E292</f>
        <v>No</v>
      </c>
      <c r="D294" s="105">
        <f>'Supply planning data'!F292</f>
        <v>0</v>
      </c>
      <c r="E294" s="320">
        <f>'Supply planning data'!G292</f>
        <v>0</v>
      </c>
      <c r="F294" s="320">
        <f>'Supply planning data'!H292</f>
        <v>0</v>
      </c>
      <c r="G294" s="320">
        <f>'Supply planning data'!I292</f>
        <v>0</v>
      </c>
      <c r="H294" s="105">
        <f>'Supply planning data'!J292</f>
        <v>0</v>
      </c>
      <c r="I294" s="320">
        <f>'Supply planning data'!K292</f>
        <v>0</v>
      </c>
      <c r="J294" s="177" t="str">
        <f>'Supply planning data'!L292</f>
        <v/>
      </c>
      <c r="K294" s="105">
        <f>'Supply planning data'!M292</f>
        <v>0</v>
      </c>
      <c r="L294" s="321">
        <f>'Supply planning data'!N292+'Supply planning data'!P292</f>
        <v>0</v>
      </c>
      <c r="M294" s="342">
        <f>'Supply planning data'!O292</f>
        <v>0</v>
      </c>
      <c r="N294" s="321">
        <f>'Supply planning data'!P292</f>
        <v>0</v>
      </c>
      <c r="O294" s="342">
        <f>'Supply planning data'!Q292</f>
        <v>0</v>
      </c>
      <c r="P294" s="111">
        <f>'Supply planning data'!R292</f>
        <v>0</v>
      </c>
      <c r="Q294" s="111">
        <f>'Supply planning data'!S292</f>
        <v>0</v>
      </c>
      <c r="R294" s="111">
        <f>'Supply planning data'!T292</f>
        <v>0</v>
      </c>
      <c r="S294" s="111">
        <f>'Supply planning data'!U292</f>
        <v>0</v>
      </c>
      <c r="T294" s="111">
        <f>'Supply planning data'!V292</f>
        <v>0</v>
      </c>
      <c r="U294" s="327" t="str">
        <f>'Supply planning data'!W292</f>
        <v/>
      </c>
      <c r="V294" s="111">
        <f>'Supply planning data'!X292</f>
        <v>0</v>
      </c>
      <c r="W294" s="321">
        <f>'Supply planning data'!Y292</f>
        <v>80000</v>
      </c>
      <c r="X294" s="329">
        <f>'Supply planning data'!Z292</f>
        <v>0</v>
      </c>
      <c r="Y294" s="111">
        <f>'Supply planning data'!AA292</f>
        <v>80000</v>
      </c>
      <c r="Z294" s="111">
        <f>'Supply planning data'!AB292</f>
        <v>0</v>
      </c>
      <c r="AA294" s="111">
        <f>'Supply planning data'!AC292</f>
        <v>0</v>
      </c>
      <c r="AB294" s="111">
        <f>'Supply planning data'!AD292</f>
        <v>0</v>
      </c>
      <c r="AC294" s="111">
        <f>'Supply planning data'!AE292</f>
        <v>0</v>
      </c>
      <c r="AD294" s="327">
        <f>'Supply planning data'!AF292</f>
        <v>0</v>
      </c>
      <c r="AE294" s="111">
        <f>'Supply planning data'!AG292</f>
        <v>0</v>
      </c>
      <c r="AF294" s="321">
        <f>'Supply planning data'!AH292</f>
        <v>0</v>
      </c>
      <c r="AG294" s="349">
        <f>'Supply planning data'!AI292</f>
        <v>0</v>
      </c>
      <c r="AH294" s="111">
        <f>'Supply planning data'!AJ292</f>
        <v>0</v>
      </c>
      <c r="AI294" s="111">
        <f>'Supply planning data'!AK292</f>
        <v>0</v>
      </c>
      <c r="AJ294" s="111">
        <f>'Supply planning data'!AL292</f>
        <v>0</v>
      </c>
      <c r="AK294" s="111">
        <f>'Supply planning data'!AM292</f>
        <v>0</v>
      </c>
      <c r="AL294" s="111">
        <f>'Supply planning data'!AN292</f>
        <v>0</v>
      </c>
      <c r="AM294" s="327" t="str">
        <f>'Supply planning data'!AO292</f>
        <v/>
      </c>
    </row>
    <row r="295" spans="1:39" x14ac:dyDescent="0.25">
      <c r="A295" s="109" t="str">
        <f>'Supply planning data'!C293</f>
        <v>Pfizer</v>
      </c>
      <c r="B295" s="298">
        <f>'Supply planning data'!D293</f>
        <v>44774</v>
      </c>
      <c r="C295" s="105" t="str">
        <f>'Supply planning data'!E293</f>
        <v>Yes</v>
      </c>
      <c r="D295" s="105">
        <f>'Supply planning data'!F293</f>
        <v>2000000</v>
      </c>
      <c r="E295" s="320">
        <f>'Supply planning data'!G293</f>
        <v>0</v>
      </c>
      <c r="F295" s="320">
        <f>'Supply planning data'!H293</f>
        <v>0</v>
      </c>
      <c r="G295" s="320">
        <f>'Supply planning data'!I293</f>
        <v>0</v>
      </c>
      <c r="H295" s="105">
        <f>'Supply planning data'!J293</f>
        <v>0</v>
      </c>
      <c r="I295" s="320">
        <f>'Supply planning data'!K293</f>
        <v>0</v>
      </c>
      <c r="J295" s="177" t="str">
        <f>'Supply planning data'!L293</f>
        <v/>
      </c>
      <c r="K295" s="105">
        <f>'Supply planning data'!M293</f>
        <v>0</v>
      </c>
      <c r="L295" s="321">
        <f>'Supply planning data'!N293+'Supply planning data'!P293</f>
        <v>0</v>
      </c>
      <c r="M295" s="342">
        <f>'Supply planning data'!O293</f>
        <v>0</v>
      </c>
      <c r="N295" s="321">
        <f>'Supply planning data'!P293</f>
        <v>0</v>
      </c>
      <c r="O295" s="342">
        <f>'Supply planning data'!Q293</f>
        <v>0</v>
      </c>
      <c r="P295" s="111">
        <f>'Supply planning data'!R293</f>
        <v>0</v>
      </c>
      <c r="Q295" s="111">
        <f>'Supply planning data'!S293</f>
        <v>1000000</v>
      </c>
      <c r="R295" s="111">
        <f>'Supply planning data'!T293</f>
        <v>110538</v>
      </c>
      <c r="S295" s="111">
        <f>'Supply planning data'!U293</f>
        <v>0</v>
      </c>
      <c r="T295" s="111">
        <f>'Supply planning data'!V293</f>
        <v>3000000</v>
      </c>
      <c r="U295" s="327" t="str">
        <f>'Supply planning data'!W293</f>
        <v/>
      </c>
      <c r="V295" s="111">
        <f>'Supply planning data'!X293</f>
        <v>1760000</v>
      </c>
      <c r="W295" s="321">
        <f>'Supply planning data'!Y293</f>
        <v>80000</v>
      </c>
      <c r="X295" s="329">
        <f>'Supply planning data'!Z293</f>
        <v>0</v>
      </c>
      <c r="Y295" s="111">
        <f>'Supply planning data'!AA293</f>
        <v>80000</v>
      </c>
      <c r="Z295" s="111">
        <f>'Supply planning data'!AB293</f>
        <v>0</v>
      </c>
      <c r="AA295" s="111">
        <f>'Supply planning data'!AC293</f>
        <v>0</v>
      </c>
      <c r="AB295" s="111">
        <f>'Supply planning data'!AD293</f>
        <v>0</v>
      </c>
      <c r="AC295" s="111">
        <f>'Supply planning data'!AE293</f>
        <v>2680000</v>
      </c>
      <c r="AD295" s="327">
        <f>'Supply planning data'!AF293</f>
        <v>33.5</v>
      </c>
      <c r="AE295" s="111">
        <f>'Supply planning data'!AG293</f>
        <v>2000000</v>
      </c>
      <c r="AF295" s="321">
        <f>'Supply planning data'!AH293</f>
        <v>0</v>
      </c>
      <c r="AG295" s="349">
        <f>'Supply planning data'!AI293</f>
        <v>0</v>
      </c>
      <c r="AH295" s="111">
        <f>'Supply planning data'!AJ293</f>
        <v>0</v>
      </c>
      <c r="AI295" s="111">
        <f>'Supply planning data'!AK293</f>
        <v>0</v>
      </c>
      <c r="AJ295" s="111">
        <f>'Supply planning data'!AL293</f>
        <v>110538</v>
      </c>
      <c r="AK295" s="111">
        <f>'Supply planning data'!AM293</f>
        <v>0</v>
      </c>
      <c r="AL295" s="111">
        <f>'Supply planning data'!AN293</f>
        <v>3000000</v>
      </c>
      <c r="AM295" s="327" t="str">
        <f>'Supply planning data'!AO293</f>
        <v/>
      </c>
    </row>
    <row r="296" spans="1:39" x14ac:dyDescent="0.25">
      <c r="A296" s="104" t="str">
        <f>'Supply planning data'!C294</f>
        <v>Sinovac</v>
      </c>
      <c r="B296" s="298">
        <f>'Supply planning data'!D294</f>
        <v>44774</v>
      </c>
      <c r="C296" s="105" t="str">
        <f>'Supply planning data'!E294</f>
        <v>No</v>
      </c>
      <c r="D296" s="105">
        <f>'Supply planning data'!F294</f>
        <v>0</v>
      </c>
      <c r="E296" s="320">
        <f>'Supply planning data'!G294</f>
        <v>0</v>
      </c>
      <c r="F296" s="320">
        <f>'Supply planning data'!H294</f>
        <v>0</v>
      </c>
      <c r="G296" s="320">
        <f>'Supply planning data'!I294</f>
        <v>0</v>
      </c>
      <c r="H296" s="105">
        <f>'Supply planning data'!J294</f>
        <v>0</v>
      </c>
      <c r="I296" s="320">
        <f>'Supply planning data'!K294</f>
        <v>0</v>
      </c>
      <c r="J296" s="177" t="str">
        <f>'Supply planning data'!L294</f>
        <v/>
      </c>
      <c r="K296" s="105">
        <f>'Supply planning data'!M294</f>
        <v>0</v>
      </c>
      <c r="L296" s="321">
        <f>'Supply planning data'!N294+'Supply planning data'!P294</f>
        <v>0</v>
      </c>
      <c r="M296" s="342">
        <f>'Supply planning data'!O294</f>
        <v>0</v>
      </c>
      <c r="N296" s="321">
        <f>'Supply planning data'!P294</f>
        <v>0</v>
      </c>
      <c r="O296" s="342">
        <f>'Supply planning data'!Q294</f>
        <v>0</v>
      </c>
      <c r="P296" s="111">
        <f>'Supply planning data'!R294</f>
        <v>0</v>
      </c>
      <c r="Q296" s="111">
        <f>'Supply planning data'!S294</f>
        <v>0</v>
      </c>
      <c r="R296" s="111">
        <f>'Supply planning data'!T294</f>
        <v>0</v>
      </c>
      <c r="S296" s="111">
        <f>'Supply planning data'!U294</f>
        <v>0</v>
      </c>
      <c r="T296" s="111">
        <f>'Supply planning data'!V294</f>
        <v>0</v>
      </c>
      <c r="U296" s="327" t="str">
        <f>'Supply planning data'!W294</f>
        <v/>
      </c>
      <c r="V296" s="111">
        <f>'Supply planning data'!X294</f>
        <v>0</v>
      </c>
      <c r="W296" s="321">
        <f>'Supply planning data'!Y294</f>
        <v>80000</v>
      </c>
      <c r="X296" s="329">
        <f>'Supply planning data'!Z294</f>
        <v>0</v>
      </c>
      <c r="Y296" s="111">
        <f>'Supply planning data'!AA294</f>
        <v>80000</v>
      </c>
      <c r="Z296" s="111">
        <f>'Supply planning data'!AB294</f>
        <v>0</v>
      </c>
      <c r="AA296" s="111">
        <f>'Supply planning data'!AC294</f>
        <v>0</v>
      </c>
      <c r="AB296" s="111">
        <f>'Supply planning data'!AD294</f>
        <v>0</v>
      </c>
      <c r="AC296" s="111">
        <f>'Supply planning data'!AE294</f>
        <v>0</v>
      </c>
      <c r="AD296" s="327">
        <f>'Supply planning data'!AF294</f>
        <v>0</v>
      </c>
      <c r="AE296" s="111">
        <f>'Supply planning data'!AG294</f>
        <v>0</v>
      </c>
      <c r="AF296" s="321">
        <f>'Supply planning data'!AH294</f>
        <v>0</v>
      </c>
      <c r="AG296" s="349">
        <f>'Supply planning data'!AI294</f>
        <v>0</v>
      </c>
      <c r="AH296" s="111">
        <f>'Supply planning data'!AJ294</f>
        <v>0</v>
      </c>
      <c r="AI296" s="111">
        <f>'Supply planning data'!AK294</f>
        <v>0</v>
      </c>
      <c r="AJ296" s="111">
        <f>'Supply planning data'!AL294</f>
        <v>0</v>
      </c>
      <c r="AK296" s="111">
        <f>'Supply planning data'!AM294</f>
        <v>0</v>
      </c>
      <c r="AL296" s="111">
        <f>'Supply planning data'!AN294</f>
        <v>0</v>
      </c>
      <c r="AM296" s="327" t="str">
        <f>'Supply planning data'!AO294</f>
        <v/>
      </c>
    </row>
    <row r="297" spans="1:39" hidden="1" x14ac:dyDescent="0.25">
      <c r="A297" s="109" t="str">
        <f>'Supply planning data'!C295</f>
        <v/>
      </c>
      <c r="B297" s="298">
        <f>'Supply planning data'!D295</f>
        <v>44774</v>
      </c>
      <c r="C297" s="105" t="str">
        <f>'Supply planning data'!E295</f>
        <v>No</v>
      </c>
      <c r="D297" s="105">
        <f>'Supply planning data'!F295</f>
        <v>0</v>
      </c>
      <c r="E297" s="320">
        <f>'Supply planning data'!G295</f>
        <v>0</v>
      </c>
      <c r="F297" s="320">
        <f>'Supply planning data'!H295</f>
        <v>0</v>
      </c>
      <c r="G297" s="320">
        <f>'Supply planning data'!I295</f>
        <v>0</v>
      </c>
      <c r="H297" s="105">
        <f>'Supply planning data'!J295</f>
        <v>0</v>
      </c>
      <c r="I297" s="320">
        <f>'Supply planning data'!K295</f>
        <v>0</v>
      </c>
      <c r="J297" s="177" t="str">
        <f>'Supply planning data'!L295</f>
        <v/>
      </c>
      <c r="K297" s="105">
        <f>'Supply planning data'!M295</f>
        <v>0</v>
      </c>
      <c r="L297" s="321">
        <f>'Supply planning data'!N295+'Supply planning data'!P295</f>
        <v>0</v>
      </c>
      <c r="M297" s="342">
        <f>'Supply planning data'!O295</f>
        <v>0</v>
      </c>
      <c r="N297" s="321">
        <f>'Supply planning data'!P295</f>
        <v>0</v>
      </c>
      <c r="O297" s="342">
        <f>'Supply planning data'!Q295</f>
        <v>0</v>
      </c>
      <c r="P297" s="111">
        <f>'Supply planning data'!R295</f>
        <v>0</v>
      </c>
      <c r="Q297" s="111">
        <f>'Supply planning data'!S295</f>
        <v>0</v>
      </c>
      <c r="R297" s="111">
        <f>'Supply planning data'!T295</f>
        <v>0</v>
      </c>
      <c r="S297" s="111">
        <f>'Supply planning data'!U295</f>
        <v>0</v>
      </c>
      <c r="T297" s="111">
        <f>'Supply planning data'!V295</f>
        <v>0</v>
      </c>
      <c r="U297" s="327" t="str">
        <f>'Supply planning data'!W295</f>
        <v/>
      </c>
      <c r="V297" s="111">
        <f>'Supply planning data'!X295</f>
        <v>0</v>
      </c>
      <c r="W297" s="321">
        <f>'Supply planning data'!Y295</f>
        <v>0</v>
      </c>
      <c r="X297" s="329">
        <f>'Supply planning data'!Z295</f>
        <v>0</v>
      </c>
      <c r="Y297" s="111">
        <f>'Supply planning data'!AA295</f>
        <v>0</v>
      </c>
      <c r="Z297" s="111">
        <f>'Supply planning data'!AB295</f>
        <v>0</v>
      </c>
      <c r="AA297" s="111">
        <f>'Supply planning data'!AC295</f>
        <v>0</v>
      </c>
      <c r="AB297" s="111">
        <f>'Supply planning data'!AD295</f>
        <v>0</v>
      </c>
      <c r="AC297" s="111">
        <f>'Supply planning data'!AE295</f>
        <v>0</v>
      </c>
      <c r="AD297" s="327" t="str">
        <f>'Supply planning data'!AF295</f>
        <v/>
      </c>
      <c r="AE297" s="111">
        <f>'Supply planning data'!AG295</f>
        <v>0</v>
      </c>
      <c r="AF297" s="321">
        <f>'Supply planning data'!AH295</f>
        <v>0</v>
      </c>
      <c r="AG297" s="349">
        <f>'Supply planning data'!AI295</f>
        <v>0</v>
      </c>
      <c r="AH297" s="111">
        <f>'Supply planning data'!AJ295</f>
        <v>0</v>
      </c>
      <c r="AI297" s="111">
        <f>'Supply planning data'!AK295</f>
        <v>0</v>
      </c>
      <c r="AJ297" s="111">
        <f>'Supply planning data'!AL295</f>
        <v>0</v>
      </c>
      <c r="AK297" s="111">
        <f>'Supply planning data'!AM295</f>
        <v>0</v>
      </c>
      <c r="AL297" s="111">
        <f>'Supply planning data'!AN295</f>
        <v>0</v>
      </c>
      <c r="AM297" s="327" t="str">
        <f>'Supply planning data'!AO295</f>
        <v/>
      </c>
    </row>
    <row r="298" spans="1:39" hidden="1" x14ac:dyDescent="0.25">
      <c r="A298" s="104" t="str">
        <f>'Supply planning data'!C296</f>
        <v/>
      </c>
      <c r="B298" s="298">
        <f>'Supply planning data'!D296</f>
        <v>44774</v>
      </c>
      <c r="C298" s="105" t="str">
        <f>'Supply planning data'!E296</f>
        <v>No</v>
      </c>
      <c r="D298" s="105">
        <f>'Supply planning data'!F296</f>
        <v>0</v>
      </c>
      <c r="E298" s="320">
        <f>'Supply planning data'!G296</f>
        <v>0</v>
      </c>
      <c r="F298" s="320">
        <f>'Supply planning data'!H296</f>
        <v>0</v>
      </c>
      <c r="G298" s="320">
        <f>'Supply planning data'!I296</f>
        <v>0</v>
      </c>
      <c r="H298" s="105">
        <f>'Supply planning data'!J296</f>
        <v>0</v>
      </c>
      <c r="I298" s="320">
        <f>'Supply planning data'!K296</f>
        <v>0</v>
      </c>
      <c r="J298" s="177" t="str">
        <f>'Supply planning data'!L296</f>
        <v/>
      </c>
      <c r="K298" s="105">
        <f>'Supply planning data'!M296</f>
        <v>0</v>
      </c>
      <c r="L298" s="321">
        <f>'Supply planning data'!N296+'Supply planning data'!P296</f>
        <v>0</v>
      </c>
      <c r="M298" s="342">
        <f>'Supply planning data'!O296</f>
        <v>0</v>
      </c>
      <c r="N298" s="321">
        <f>'Supply planning data'!P296</f>
        <v>0</v>
      </c>
      <c r="O298" s="342">
        <f>'Supply planning data'!Q296</f>
        <v>0</v>
      </c>
      <c r="P298" s="111">
        <f>'Supply planning data'!R296</f>
        <v>0</v>
      </c>
      <c r="Q298" s="111">
        <f>'Supply planning data'!S296</f>
        <v>0</v>
      </c>
      <c r="R298" s="111">
        <f>'Supply planning data'!T296</f>
        <v>0</v>
      </c>
      <c r="S298" s="111">
        <f>'Supply planning data'!U296</f>
        <v>0</v>
      </c>
      <c r="T298" s="111">
        <f>'Supply planning data'!V296</f>
        <v>0</v>
      </c>
      <c r="U298" s="327" t="str">
        <f>'Supply planning data'!W296</f>
        <v/>
      </c>
      <c r="V298" s="111">
        <f>'Supply planning data'!X296</f>
        <v>0</v>
      </c>
      <c r="W298" s="321">
        <f>'Supply planning data'!Y296</f>
        <v>0</v>
      </c>
      <c r="X298" s="329">
        <f>'Supply planning data'!Z296</f>
        <v>0</v>
      </c>
      <c r="Y298" s="111">
        <f>'Supply planning data'!AA296</f>
        <v>0</v>
      </c>
      <c r="Z298" s="111">
        <f>'Supply planning data'!AB296</f>
        <v>0</v>
      </c>
      <c r="AA298" s="111">
        <f>'Supply planning data'!AC296</f>
        <v>0</v>
      </c>
      <c r="AB298" s="111">
        <f>'Supply planning data'!AD296</f>
        <v>0</v>
      </c>
      <c r="AC298" s="111">
        <f>'Supply planning data'!AE296</f>
        <v>0</v>
      </c>
      <c r="AD298" s="327" t="str">
        <f>'Supply planning data'!AF296</f>
        <v/>
      </c>
      <c r="AE298" s="111">
        <f>'Supply planning data'!AG296</f>
        <v>0</v>
      </c>
      <c r="AF298" s="321">
        <f>'Supply planning data'!AH296</f>
        <v>0</v>
      </c>
      <c r="AG298" s="349">
        <f>'Supply planning data'!AI296</f>
        <v>0</v>
      </c>
      <c r="AH298" s="111">
        <f>'Supply planning data'!AJ296</f>
        <v>0</v>
      </c>
      <c r="AI298" s="111">
        <f>'Supply planning data'!AK296</f>
        <v>0</v>
      </c>
      <c r="AJ298" s="111">
        <f>'Supply planning data'!AL296</f>
        <v>0</v>
      </c>
      <c r="AK298" s="111">
        <f>'Supply planning data'!AM296</f>
        <v>0</v>
      </c>
      <c r="AL298" s="111">
        <f>'Supply planning data'!AN296</f>
        <v>0</v>
      </c>
      <c r="AM298" s="327" t="str">
        <f>'Supply planning data'!AO296</f>
        <v/>
      </c>
    </row>
    <row r="299" spans="1:39" hidden="1" x14ac:dyDescent="0.25">
      <c r="A299" s="109" t="str">
        <f>'Supply planning data'!C297</f>
        <v/>
      </c>
      <c r="B299" s="298">
        <f>'Supply planning data'!D297</f>
        <v>44774</v>
      </c>
      <c r="C299" s="105" t="str">
        <f>'Supply planning data'!E297</f>
        <v>No</v>
      </c>
      <c r="D299" s="105">
        <f>'Supply planning data'!F297</f>
        <v>0</v>
      </c>
      <c r="E299" s="320">
        <f>'Supply planning data'!G297</f>
        <v>0</v>
      </c>
      <c r="F299" s="320">
        <f>'Supply planning data'!H297</f>
        <v>0</v>
      </c>
      <c r="G299" s="320">
        <f>'Supply planning data'!I297</f>
        <v>0</v>
      </c>
      <c r="H299" s="105">
        <f>'Supply planning data'!J297</f>
        <v>0</v>
      </c>
      <c r="I299" s="320">
        <f>'Supply planning data'!K297</f>
        <v>0</v>
      </c>
      <c r="J299" s="177" t="str">
        <f>'Supply planning data'!L297</f>
        <v/>
      </c>
      <c r="K299" s="105">
        <f>'Supply planning data'!M297</f>
        <v>0</v>
      </c>
      <c r="L299" s="321">
        <f>'Supply planning data'!N297+'Supply planning data'!P297</f>
        <v>0</v>
      </c>
      <c r="M299" s="342">
        <f>'Supply planning data'!O297</f>
        <v>0</v>
      </c>
      <c r="N299" s="321">
        <f>'Supply planning data'!P297</f>
        <v>0</v>
      </c>
      <c r="O299" s="342">
        <f>'Supply planning data'!Q297</f>
        <v>0</v>
      </c>
      <c r="P299" s="111">
        <f>'Supply planning data'!R297</f>
        <v>0</v>
      </c>
      <c r="Q299" s="111">
        <f>'Supply planning data'!S297</f>
        <v>0</v>
      </c>
      <c r="R299" s="111">
        <f>'Supply planning data'!T297</f>
        <v>0</v>
      </c>
      <c r="S299" s="111">
        <f>'Supply planning data'!U297</f>
        <v>0</v>
      </c>
      <c r="T299" s="111">
        <f>'Supply planning data'!V297</f>
        <v>0</v>
      </c>
      <c r="U299" s="327" t="str">
        <f>'Supply planning data'!W297</f>
        <v/>
      </c>
      <c r="V299" s="111">
        <f>'Supply planning data'!X297</f>
        <v>0</v>
      </c>
      <c r="W299" s="321">
        <f>'Supply planning data'!Y297</f>
        <v>0</v>
      </c>
      <c r="X299" s="329">
        <f>'Supply planning data'!Z297</f>
        <v>0</v>
      </c>
      <c r="Y299" s="111">
        <f>'Supply planning data'!AA297</f>
        <v>0</v>
      </c>
      <c r="Z299" s="111">
        <f>'Supply planning data'!AB297</f>
        <v>0</v>
      </c>
      <c r="AA299" s="111">
        <f>'Supply planning data'!AC297</f>
        <v>0</v>
      </c>
      <c r="AB299" s="111">
        <f>'Supply planning data'!AD297</f>
        <v>0</v>
      </c>
      <c r="AC299" s="111">
        <f>'Supply planning data'!AE297</f>
        <v>0</v>
      </c>
      <c r="AD299" s="327" t="str">
        <f>'Supply planning data'!AF297</f>
        <v/>
      </c>
      <c r="AE299" s="111">
        <f>'Supply planning data'!AG297</f>
        <v>0</v>
      </c>
      <c r="AF299" s="321">
        <f>'Supply planning data'!AH297</f>
        <v>0</v>
      </c>
      <c r="AG299" s="349">
        <f>'Supply planning data'!AI297</f>
        <v>0</v>
      </c>
      <c r="AH299" s="111">
        <f>'Supply planning data'!AJ297</f>
        <v>0</v>
      </c>
      <c r="AI299" s="111">
        <f>'Supply planning data'!AK297</f>
        <v>0</v>
      </c>
      <c r="AJ299" s="111">
        <f>'Supply planning data'!AL297</f>
        <v>0</v>
      </c>
      <c r="AK299" s="111">
        <f>'Supply planning data'!AM297</f>
        <v>0</v>
      </c>
      <c r="AL299" s="111">
        <f>'Supply planning data'!AN297</f>
        <v>0</v>
      </c>
      <c r="AM299" s="327" t="str">
        <f>'Supply planning data'!AO297</f>
        <v/>
      </c>
    </row>
    <row r="300" spans="1:39" hidden="1" x14ac:dyDescent="0.25">
      <c r="A300" s="104" t="str">
        <f>'Supply planning data'!C298</f>
        <v/>
      </c>
      <c r="B300" s="298">
        <f>'Supply planning data'!D298</f>
        <v>44774</v>
      </c>
      <c r="C300" s="105" t="str">
        <f>'Supply planning data'!E298</f>
        <v>No</v>
      </c>
      <c r="D300" s="105">
        <f>'Supply planning data'!F298</f>
        <v>0</v>
      </c>
      <c r="E300" s="320">
        <f>'Supply planning data'!G298</f>
        <v>0</v>
      </c>
      <c r="F300" s="320">
        <f>'Supply planning data'!H298</f>
        <v>0</v>
      </c>
      <c r="G300" s="320">
        <f>'Supply planning data'!I298</f>
        <v>0</v>
      </c>
      <c r="H300" s="105">
        <f>'Supply planning data'!J298</f>
        <v>0</v>
      </c>
      <c r="I300" s="320">
        <f>'Supply planning data'!K298</f>
        <v>0</v>
      </c>
      <c r="J300" s="177" t="str">
        <f>'Supply planning data'!L298</f>
        <v/>
      </c>
      <c r="K300" s="105">
        <f>'Supply planning data'!M298</f>
        <v>0</v>
      </c>
      <c r="L300" s="321">
        <f>'Supply planning data'!N298+'Supply planning data'!P298</f>
        <v>0</v>
      </c>
      <c r="M300" s="342">
        <f>'Supply planning data'!O298</f>
        <v>0</v>
      </c>
      <c r="N300" s="321">
        <f>'Supply planning data'!P298</f>
        <v>0</v>
      </c>
      <c r="O300" s="342">
        <f>'Supply planning data'!Q298</f>
        <v>0</v>
      </c>
      <c r="P300" s="111">
        <f>'Supply planning data'!R298</f>
        <v>0</v>
      </c>
      <c r="Q300" s="111">
        <f>'Supply planning data'!S298</f>
        <v>0</v>
      </c>
      <c r="R300" s="111">
        <f>'Supply planning data'!T298</f>
        <v>0</v>
      </c>
      <c r="S300" s="111">
        <f>'Supply planning data'!U298</f>
        <v>0</v>
      </c>
      <c r="T300" s="111">
        <f>'Supply planning data'!V298</f>
        <v>0</v>
      </c>
      <c r="U300" s="327" t="str">
        <f>'Supply planning data'!W298</f>
        <v/>
      </c>
      <c r="V300" s="111">
        <f>'Supply planning data'!X298</f>
        <v>0</v>
      </c>
      <c r="W300" s="321">
        <f>'Supply planning data'!Y298</f>
        <v>0</v>
      </c>
      <c r="X300" s="329">
        <f>'Supply planning data'!Z298</f>
        <v>0</v>
      </c>
      <c r="Y300" s="111">
        <f>'Supply planning data'!AA298</f>
        <v>0</v>
      </c>
      <c r="Z300" s="111">
        <f>'Supply planning data'!AB298</f>
        <v>0</v>
      </c>
      <c r="AA300" s="111">
        <f>'Supply planning data'!AC298</f>
        <v>0</v>
      </c>
      <c r="AB300" s="111">
        <f>'Supply planning data'!AD298</f>
        <v>0</v>
      </c>
      <c r="AC300" s="111">
        <f>'Supply planning data'!AE298</f>
        <v>0</v>
      </c>
      <c r="AD300" s="327" t="str">
        <f>'Supply planning data'!AF298</f>
        <v/>
      </c>
      <c r="AE300" s="111">
        <f>'Supply planning data'!AG298</f>
        <v>0</v>
      </c>
      <c r="AF300" s="321">
        <f>'Supply planning data'!AH298</f>
        <v>0</v>
      </c>
      <c r="AG300" s="349">
        <f>'Supply planning data'!AI298</f>
        <v>0</v>
      </c>
      <c r="AH300" s="111">
        <f>'Supply planning data'!AJ298</f>
        <v>0</v>
      </c>
      <c r="AI300" s="111">
        <f>'Supply planning data'!AK298</f>
        <v>0</v>
      </c>
      <c r="AJ300" s="111">
        <f>'Supply planning data'!AL298</f>
        <v>0</v>
      </c>
      <c r="AK300" s="111">
        <f>'Supply planning data'!AM298</f>
        <v>0</v>
      </c>
      <c r="AL300" s="111">
        <f>'Supply planning data'!AN298</f>
        <v>0</v>
      </c>
      <c r="AM300" s="327" t="str">
        <f>'Supply planning data'!AO298</f>
        <v/>
      </c>
    </row>
    <row r="301" spans="1:39" hidden="1" x14ac:dyDescent="0.25">
      <c r="A301" s="109" t="str">
        <f>'Supply planning data'!C299</f>
        <v/>
      </c>
      <c r="B301" s="298">
        <f>'Supply planning data'!D299</f>
        <v>44774</v>
      </c>
      <c r="C301" s="105" t="str">
        <f>'Supply planning data'!E299</f>
        <v>No</v>
      </c>
      <c r="D301" s="105">
        <f>'Supply planning data'!F299</f>
        <v>0</v>
      </c>
      <c r="E301" s="320">
        <f>'Supply planning data'!G299</f>
        <v>0</v>
      </c>
      <c r="F301" s="320">
        <f>'Supply planning data'!H299</f>
        <v>0</v>
      </c>
      <c r="G301" s="320">
        <f>'Supply planning data'!I299</f>
        <v>0</v>
      </c>
      <c r="H301" s="105">
        <f>'Supply planning data'!J299</f>
        <v>0</v>
      </c>
      <c r="I301" s="320">
        <f>'Supply planning data'!K299</f>
        <v>0</v>
      </c>
      <c r="J301" s="177" t="str">
        <f>'Supply planning data'!L299</f>
        <v/>
      </c>
      <c r="K301" s="105">
        <f>'Supply planning data'!M299</f>
        <v>0</v>
      </c>
      <c r="L301" s="321">
        <f>'Supply planning data'!N299+'Supply planning data'!P299</f>
        <v>0</v>
      </c>
      <c r="M301" s="342">
        <f>'Supply planning data'!O299</f>
        <v>0</v>
      </c>
      <c r="N301" s="321">
        <f>'Supply planning data'!P299</f>
        <v>0</v>
      </c>
      <c r="O301" s="342">
        <f>'Supply planning data'!Q299</f>
        <v>0</v>
      </c>
      <c r="P301" s="111">
        <f>'Supply planning data'!R299</f>
        <v>0</v>
      </c>
      <c r="Q301" s="111">
        <f>'Supply planning data'!S299</f>
        <v>0</v>
      </c>
      <c r="R301" s="111">
        <f>'Supply planning data'!T299</f>
        <v>0</v>
      </c>
      <c r="S301" s="111">
        <f>'Supply planning data'!U299</f>
        <v>0</v>
      </c>
      <c r="T301" s="111">
        <f>'Supply planning data'!V299</f>
        <v>0</v>
      </c>
      <c r="U301" s="327" t="str">
        <f>'Supply planning data'!W299</f>
        <v/>
      </c>
      <c r="V301" s="111">
        <f>'Supply planning data'!X299</f>
        <v>0</v>
      </c>
      <c r="W301" s="321">
        <f>'Supply planning data'!Y299</f>
        <v>0</v>
      </c>
      <c r="X301" s="329">
        <f>'Supply planning data'!Z299</f>
        <v>0</v>
      </c>
      <c r="Y301" s="111">
        <f>'Supply planning data'!AA299</f>
        <v>0</v>
      </c>
      <c r="Z301" s="111">
        <f>'Supply planning data'!AB299</f>
        <v>0</v>
      </c>
      <c r="AA301" s="111">
        <f>'Supply planning data'!AC299</f>
        <v>0</v>
      </c>
      <c r="AB301" s="111">
        <f>'Supply planning data'!AD299</f>
        <v>0</v>
      </c>
      <c r="AC301" s="111">
        <f>'Supply planning data'!AE299</f>
        <v>0</v>
      </c>
      <c r="AD301" s="327" t="str">
        <f>'Supply planning data'!AF299</f>
        <v/>
      </c>
      <c r="AE301" s="111">
        <f>'Supply planning data'!AG299</f>
        <v>0</v>
      </c>
      <c r="AF301" s="321">
        <f>'Supply planning data'!AH299</f>
        <v>0</v>
      </c>
      <c r="AG301" s="349">
        <f>'Supply planning data'!AI299</f>
        <v>0</v>
      </c>
      <c r="AH301" s="111">
        <f>'Supply planning data'!AJ299</f>
        <v>0</v>
      </c>
      <c r="AI301" s="111">
        <f>'Supply planning data'!AK299</f>
        <v>0</v>
      </c>
      <c r="AJ301" s="111">
        <f>'Supply planning data'!AL299</f>
        <v>0</v>
      </c>
      <c r="AK301" s="111">
        <f>'Supply planning data'!AM299</f>
        <v>0</v>
      </c>
      <c r="AL301" s="111">
        <f>'Supply planning data'!AN299</f>
        <v>0</v>
      </c>
      <c r="AM301" s="327" t="str">
        <f>'Supply planning data'!AO299</f>
        <v/>
      </c>
    </row>
    <row r="302" spans="1:39" hidden="1" x14ac:dyDescent="0.25">
      <c r="A302" s="104" t="str">
        <f>'Supply planning data'!C300</f>
        <v/>
      </c>
      <c r="B302" s="298">
        <f>'Supply planning data'!D300</f>
        <v>44774</v>
      </c>
      <c r="C302" s="105" t="str">
        <f>'Supply planning data'!E300</f>
        <v>No</v>
      </c>
      <c r="D302" s="105">
        <f>'Supply planning data'!F300</f>
        <v>0</v>
      </c>
      <c r="E302" s="320">
        <f>'Supply planning data'!G300</f>
        <v>0</v>
      </c>
      <c r="F302" s="320">
        <f>'Supply planning data'!H300</f>
        <v>0</v>
      </c>
      <c r="G302" s="320">
        <f>'Supply planning data'!I300</f>
        <v>0</v>
      </c>
      <c r="H302" s="105">
        <f>'Supply planning data'!J300</f>
        <v>0</v>
      </c>
      <c r="I302" s="320">
        <f>'Supply planning data'!K300</f>
        <v>0</v>
      </c>
      <c r="J302" s="177" t="str">
        <f>'Supply planning data'!L300</f>
        <v/>
      </c>
      <c r="K302" s="105">
        <f>'Supply planning data'!M300</f>
        <v>0</v>
      </c>
      <c r="L302" s="321">
        <f>'Supply planning data'!N300+'Supply planning data'!P300</f>
        <v>0</v>
      </c>
      <c r="M302" s="342">
        <f>'Supply planning data'!O300</f>
        <v>0</v>
      </c>
      <c r="N302" s="321">
        <f>'Supply planning data'!P300</f>
        <v>0</v>
      </c>
      <c r="O302" s="342">
        <f>'Supply planning data'!Q300</f>
        <v>0</v>
      </c>
      <c r="P302" s="111">
        <f>'Supply planning data'!R300</f>
        <v>0</v>
      </c>
      <c r="Q302" s="111">
        <f>'Supply planning data'!S300</f>
        <v>0</v>
      </c>
      <c r="R302" s="111">
        <f>'Supply planning data'!T300</f>
        <v>0</v>
      </c>
      <c r="S302" s="111">
        <f>'Supply planning data'!U300</f>
        <v>0</v>
      </c>
      <c r="T302" s="111">
        <f>'Supply planning data'!V300</f>
        <v>0</v>
      </c>
      <c r="U302" s="327" t="str">
        <f>'Supply planning data'!W300</f>
        <v/>
      </c>
      <c r="V302" s="111">
        <f>'Supply planning data'!X300</f>
        <v>0</v>
      </c>
      <c r="W302" s="321">
        <f>'Supply planning data'!Y300</f>
        <v>0</v>
      </c>
      <c r="X302" s="329">
        <f>'Supply planning data'!Z300</f>
        <v>0</v>
      </c>
      <c r="Y302" s="111">
        <f>'Supply planning data'!AA300</f>
        <v>0</v>
      </c>
      <c r="Z302" s="111">
        <f>'Supply planning data'!AB300</f>
        <v>0</v>
      </c>
      <c r="AA302" s="111">
        <f>'Supply planning data'!AC300</f>
        <v>0</v>
      </c>
      <c r="AB302" s="111">
        <f>'Supply planning data'!AD300</f>
        <v>0</v>
      </c>
      <c r="AC302" s="111">
        <f>'Supply planning data'!AE300</f>
        <v>0</v>
      </c>
      <c r="AD302" s="327" t="str">
        <f>'Supply planning data'!AF300</f>
        <v/>
      </c>
      <c r="AE302" s="111">
        <f>'Supply planning data'!AG300</f>
        <v>0</v>
      </c>
      <c r="AF302" s="321">
        <f>'Supply planning data'!AH300</f>
        <v>0</v>
      </c>
      <c r="AG302" s="349">
        <f>'Supply planning data'!AI300</f>
        <v>0</v>
      </c>
      <c r="AH302" s="111">
        <f>'Supply planning data'!AJ300</f>
        <v>0</v>
      </c>
      <c r="AI302" s="111">
        <f>'Supply planning data'!AK300</f>
        <v>0</v>
      </c>
      <c r="AJ302" s="111">
        <f>'Supply planning data'!AL300</f>
        <v>0</v>
      </c>
      <c r="AK302" s="111">
        <f>'Supply planning data'!AM300</f>
        <v>0</v>
      </c>
      <c r="AL302" s="111">
        <f>'Supply planning data'!AN300</f>
        <v>0</v>
      </c>
      <c r="AM302" s="327" t="str">
        <f>'Supply planning data'!AO300</f>
        <v/>
      </c>
    </row>
    <row r="303" spans="1:39" hidden="1" x14ac:dyDescent="0.25">
      <c r="A303" s="109" t="str">
        <f>'Supply planning data'!C301</f>
        <v/>
      </c>
      <c r="B303" s="298">
        <f>'Supply planning data'!D301</f>
        <v>44774</v>
      </c>
      <c r="C303" s="105" t="str">
        <f>'Supply planning data'!E301</f>
        <v>No</v>
      </c>
      <c r="D303" s="105">
        <f>'Supply planning data'!F301</f>
        <v>0</v>
      </c>
      <c r="E303" s="320">
        <f>'Supply planning data'!G301</f>
        <v>0</v>
      </c>
      <c r="F303" s="320">
        <f>'Supply planning data'!H301</f>
        <v>0</v>
      </c>
      <c r="G303" s="320">
        <f>'Supply planning data'!I301</f>
        <v>0</v>
      </c>
      <c r="H303" s="105">
        <f>'Supply planning data'!J301</f>
        <v>0</v>
      </c>
      <c r="I303" s="320">
        <f>'Supply planning data'!K301</f>
        <v>0</v>
      </c>
      <c r="J303" s="177" t="str">
        <f>'Supply planning data'!L301</f>
        <v/>
      </c>
      <c r="K303" s="105">
        <f>'Supply planning data'!M301</f>
        <v>0</v>
      </c>
      <c r="L303" s="321">
        <f>'Supply planning data'!N301+'Supply planning data'!P301</f>
        <v>0</v>
      </c>
      <c r="M303" s="342">
        <f>'Supply planning data'!O301</f>
        <v>0</v>
      </c>
      <c r="N303" s="321">
        <f>'Supply planning data'!P301</f>
        <v>0</v>
      </c>
      <c r="O303" s="342">
        <f>'Supply planning data'!Q301</f>
        <v>0</v>
      </c>
      <c r="P303" s="111">
        <f>'Supply planning data'!R301</f>
        <v>0</v>
      </c>
      <c r="Q303" s="111">
        <f>'Supply planning data'!S301</f>
        <v>0</v>
      </c>
      <c r="R303" s="111">
        <f>'Supply planning data'!T301</f>
        <v>0</v>
      </c>
      <c r="S303" s="111">
        <f>'Supply planning data'!U301</f>
        <v>0</v>
      </c>
      <c r="T303" s="111">
        <f>'Supply planning data'!V301</f>
        <v>0</v>
      </c>
      <c r="U303" s="327" t="str">
        <f>'Supply planning data'!W301</f>
        <v/>
      </c>
      <c r="V303" s="111">
        <f>'Supply planning data'!X301</f>
        <v>0</v>
      </c>
      <c r="W303" s="321">
        <f>'Supply planning data'!Y301</f>
        <v>0</v>
      </c>
      <c r="X303" s="329">
        <f>'Supply planning data'!Z301</f>
        <v>0</v>
      </c>
      <c r="Y303" s="111">
        <f>'Supply planning data'!AA301</f>
        <v>0</v>
      </c>
      <c r="Z303" s="111">
        <f>'Supply planning data'!AB301</f>
        <v>0</v>
      </c>
      <c r="AA303" s="111">
        <f>'Supply planning data'!AC301</f>
        <v>0</v>
      </c>
      <c r="AB303" s="111">
        <f>'Supply planning data'!AD301</f>
        <v>0</v>
      </c>
      <c r="AC303" s="111">
        <f>'Supply planning data'!AE301</f>
        <v>0</v>
      </c>
      <c r="AD303" s="327" t="str">
        <f>'Supply planning data'!AF301</f>
        <v/>
      </c>
      <c r="AE303" s="111">
        <f>'Supply planning data'!AG301</f>
        <v>0</v>
      </c>
      <c r="AF303" s="321">
        <f>'Supply planning data'!AH301</f>
        <v>0</v>
      </c>
      <c r="AG303" s="349">
        <f>'Supply planning data'!AI301</f>
        <v>0</v>
      </c>
      <c r="AH303" s="111">
        <f>'Supply planning data'!AJ301</f>
        <v>0</v>
      </c>
      <c r="AI303" s="111">
        <f>'Supply planning data'!AK301</f>
        <v>0</v>
      </c>
      <c r="AJ303" s="111">
        <f>'Supply planning data'!AL301</f>
        <v>0</v>
      </c>
      <c r="AK303" s="111">
        <f>'Supply planning data'!AM301</f>
        <v>0</v>
      </c>
      <c r="AL303" s="111">
        <f>'Supply planning data'!AN301</f>
        <v>0</v>
      </c>
      <c r="AM303" s="327" t="str">
        <f>'Supply planning data'!AO301</f>
        <v/>
      </c>
    </row>
    <row r="304" spans="1:39" hidden="1" x14ac:dyDescent="0.25">
      <c r="A304" s="104" t="str">
        <f>'Supply planning data'!C302</f>
        <v/>
      </c>
      <c r="B304" s="298">
        <f>'Supply planning data'!D302</f>
        <v>44774</v>
      </c>
      <c r="C304" s="105" t="str">
        <f>'Supply planning data'!E302</f>
        <v>No</v>
      </c>
      <c r="D304" s="105">
        <f>'Supply planning data'!F302</f>
        <v>0</v>
      </c>
      <c r="E304" s="320">
        <f>'Supply planning data'!G302</f>
        <v>0</v>
      </c>
      <c r="F304" s="320">
        <f>'Supply planning data'!H302</f>
        <v>0</v>
      </c>
      <c r="G304" s="320">
        <f>'Supply planning data'!I302</f>
        <v>0</v>
      </c>
      <c r="H304" s="105">
        <f>'Supply planning data'!J302</f>
        <v>0</v>
      </c>
      <c r="I304" s="320">
        <f>'Supply planning data'!K302</f>
        <v>0</v>
      </c>
      <c r="J304" s="177" t="str">
        <f>'Supply planning data'!L302</f>
        <v/>
      </c>
      <c r="K304" s="105">
        <f>'Supply planning data'!M302</f>
        <v>0</v>
      </c>
      <c r="L304" s="321">
        <f>'Supply planning data'!N302+'Supply planning data'!P302</f>
        <v>0</v>
      </c>
      <c r="M304" s="342">
        <f>'Supply planning data'!O302</f>
        <v>0</v>
      </c>
      <c r="N304" s="321">
        <f>'Supply planning data'!P302</f>
        <v>0</v>
      </c>
      <c r="O304" s="342">
        <f>'Supply planning data'!Q302</f>
        <v>0</v>
      </c>
      <c r="P304" s="111">
        <f>'Supply planning data'!R302</f>
        <v>0</v>
      </c>
      <c r="Q304" s="111">
        <f>'Supply planning data'!S302</f>
        <v>0</v>
      </c>
      <c r="R304" s="111">
        <f>'Supply planning data'!T302</f>
        <v>0</v>
      </c>
      <c r="S304" s="111">
        <f>'Supply planning data'!U302</f>
        <v>0</v>
      </c>
      <c r="T304" s="111">
        <f>'Supply planning data'!V302</f>
        <v>0</v>
      </c>
      <c r="U304" s="327" t="str">
        <f>'Supply planning data'!W302</f>
        <v/>
      </c>
      <c r="V304" s="111">
        <f>'Supply planning data'!X302</f>
        <v>0</v>
      </c>
      <c r="W304" s="321">
        <f>'Supply planning data'!Y302</f>
        <v>0</v>
      </c>
      <c r="X304" s="329">
        <f>'Supply planning data'!Z302</f>
        <v>0</v>
      </c>
      <c r="Y304" s="111">
        <f>'Supply planning data'!AA302</f>
        <v>0</v>
      </c>
      <c r="Z304" s="111">
        <f>'Supply planning data'!AB302</f>
        <v>0</v>
      </c>
      <c r="AA304" s="111">
        <f>'Supply planning data'!AC302</f>
        <v>0</v>
      </c>
      <c r="AB304" s="111">
        <f>'Supply planning data'!AD302</f>
        <v>0</v>
      </c>
      <c r="AC304" s="111">
        <f>'Supply planning data'!AE302</f>
        <v>0</v>
      </c>
      <c r="AD304" s="327" t="str">
        <f>'Supply planning data'!AF302</f>
        <v/>
      </c>
      <c r="AE304" s="111">
        <f>'Supply planning data'!AG302</f>
        <v>0</v>
      </c>
      <c r="AF304" s="321">
        <f>'Supply planning data'!AH302</f>
        <v>0</v>
      </c>
      <c r="AG304" s="349">
        <f>'Supply planning data'!AI302</f>
        <v>0</v>
      </c>
      <c r="AH304" s="111">
        <f>'Supply planning data'!AJ302</f>
        <v>0</v>
      </c>
      <c r="AI304" s="111">
        <f>'Supply planning data'!AK302</f>
        <v>0</v>
      </c>
      <c r="AJ304" s="111">
        <f>'Supply planning data'!AL302</f>
        <v>0</v>
      </c>
      <c r="AK304" s="111">
        <f>'Supply planning data'!AM302</f>
        <v>0</v>
      </c>
      <c r="AL304" s="111">
        <f>'Supply planning data'!AN302</f>
        <v>0</v>
      </c>
      <c r="AM304" s="327" t="str">
        <f>'Supply planning data'!AO302</f>
        <v/>
      </c>
    </row>
    <row r="305" spans="1:39" hidden="1" x14ac:dyDescent="0.25">
      <c r="A305" s="109" t="str">
        <f>'Supply planning data'!C303</f>
        <v/>
      </c>
      <c r="B305" s="298">
        <f>'Supply planning data'!D303</f>
        <v>44774</v>
      </c>
      <c r="C305" s="105" t="str">
        <f>'Supply planning data'!E303</f>
        <v>No</v>
      </c>
      <c r="D305" s="105">
        <f>'Supply planning data'!F303</f>
        <v>0</v>
      </c>
      <c r="E305" s="320">
        <f>'Supply planning data'!G303</f>
        <v>0</v>
      </c>
      <c r="F305" s="320">
        <f>'Supply planning data'!H303</f>
        <v>0</v>
      </c>
      <c r="G305" s="320">
        <f>'Supply planning data'!I303</f>
        <v>0</v>
      </c>
      <c r="H305" s="105">
        <f>'Supply planning data'!J303</f>
        <v>0</v>
      </c>
      <c r="I305" s="320">
        <f>'Supply planning data'!K303</f>
        <v>0</v>
      </c>
      <c r="J305" s="177" t="str">
        <f>'Supply planning data'!L303</f>
        <v/>
      </c>
      <c r="K305" s="105">
        <f>'Supply planning data'!M303</f>
        <v>0</v>
      </c>
      <c r="L305" s="321">
        <f>'Supply planning data'!N303+'Supply planning data'!P303</f>
        <v>0</v>
      </c>
      <c r="M305" s="342">
        <f>'Supply planning data'!O303</f>
        <v>0</v>
      </c>
      <c r="N305" s="321">
        <f>'Supply planning data'!P303</f>
        <v>0</v>
      </c>
      <c r="O305" s="342">
        <f>'Supply planning data'!Q303</f>
        <v>0</v>
      </c>
      <c r="P305" s="111">
        <f>'Supply planning data'!R303</f>
        <v>0</v>
      </c>
      <c r="Q305" s="111">
        <f>'Supply planning data'!S303</f>
        <v>0</v>
      </c>
      <c r="R305" s="111">
        <f>'Supply planning data'!T303</f>
        <v>0</v>
      </c>
      <c r="S305" s="111">
        <f>'Supply planning data'!U303</f>
        <v>0</v>
      </c>
      <c r="T305" s="111">
        <f>'Supply planning data'!V303</f>
        <v>0</v>
      </c>
      <c r="U305" s="327" t="str">
        <f>'Supply planning data'!W303</f>
        <v/>
      </c>
      <c r="V305" s="111">
        <f>'Supply planning data'!X303</f>
        <v>0</v>
      </c>
      <c r="W305" s="321">
        <f>'Supply planning data'!Y303</f>
        <v>0</v>
      </c>
      <c r="X305" s="329">
        <f>'Supply planning data'!Z303</f>
        <v>0</v>
      </c>
      <c r="Y305" s="111">
        <f>'Supply planning data'!AA303</f>
        <v>0</v>
      </c>
      <c r="Z305" s="111">
        <f>'Supply planning data'!AB303</f>
        <v>0</v>
      </c>
      <c r="AA305" s="111">
        <f>'Supply planning data'!AC303</f>
        <v>0</v>
      </c>
      <c r="AB305" s="111">
        <f>'Supply planning data'!AD303</f>
        <v>0</v>
      </c>
      <c r="AC305" s="111">
        <f>'Supply planning data'!AE303</f>
        <v>0</v>
      </c>
      <c r="AD305" s="327" t="str">
        <f>'Supply planning data'!AF303</f>
        <v/>
      </c>
      <c r="AE305" s="111">
        <f>'Supply planning data'!AG303</f>
        <v>0</v>
      </c>
      <c r="AF305" s="321">
        <f>'Supply planning data'!AH303</f>
        <v>0</v>
      </c>
      <c r="AG305" s="349">
        <f>'Supply planning data'!AI303</f>
        <v>0</v>
      </c>
      <c r="AH305" s="111">
        <f>'Supply planning data'!AJ303</f>
        <v>0</v>
      </c>
      <c r="AI305" s="111">
        <f>'Supply planning data'!AK303</f>
        <v>0</v>
      </c>
      <c r="AJ305" s="111">
        <f>'Supply planning data'!AL303</f>
        <v>0</v>
      </c>
      <c r="AK305" s="111">
        <f>'Supply planning data'!AM303</f>
        <v>0</v>
      </c>
      <c r="AL305" s="111">
        <f>'Supply planning data'!AN303</f>
        <v>0</v>
      </c>
      <c r="AM305" s="327" t="str">
        <f>'Supply planning data'!AO303</f>
        <v/>
      </c>
    </row>
    <row r="306" spans="1:39" hidden="1" x14ac:dyDescent="0.25">
      <c r="A306" s="104" t="str">
        <f>'Supply planning data'!C304</f>
        <v/>
      </c>
      <c r="B306" s="298">
        <f>'Supply planning data'!D304</f>
        <v>44774</v>
      </c>
      <c r="C306" s="105" t="str">
        <f>'Supply planning data'!E304</f>
        <v>No</v>
      </c>
      <c r="D306" s="105">
        <f>'Supply planning data'!F304</f>
        <v>0</v>
      </c>
      <c r="E306" s="320">
        <f>'Supply planning data'!G304</f>
        <v>0</v>
      </c>
      <c r="F306" s="320">
        <f>'Supply planning data'!H304</f>
        <v>0</v>
      </c>
      <c r="G306" s="320">
        <f>'Supply planning data'!I304</f>
        <v>0</v>
      </c>
      <c r="H306" s="105">
        <f>'Supply planning data'!J304</f>
        <v>0</v>
      </c>
      <c r="I306" s="320">
        <f>'Supply planning data'!K304</f>
        <v>0</v>
      </c>
      <c r="J306" s="177" t="str">
        <f>'Supply planning data'!L304</f>
        <v/>
      </c>
      <c r="K306" s="105">
        <f>'Supply planning data'!M304</f>
        <v>0</v>
      </c>
      <c r="L306" s="321">
        <f>'Supply planning data'!N304+'Supply planning data'!P304</f>
        <v>0</v>
      </c>
      <c r="M306" s="342">
        <f>'Supply planning data'!O304</f>
        <v>0</v>
      </c>
      <c r="N306" s="321">
        <f>'Supply planning data'!P304</f>
        <v>0</v>
      </c>
      <c r="O306" s="342">
        <f>'Supply planning data'!Q304</f>
        <v>0</v>
      </c>
      <c r="P306" s="111">
        <f>'Supply planning data'!R304</f>
        <v>0</v>
      </c>
      <c r="Q306" s="111">
        <f>'Supply planning data'!S304</f>
        <v>0</v>
      </c>
      <c r="R306" s="111">
        <f>'Supply planning data'!T304</f>
        <v>0</v>
      </c>
      <c r="S306" s="111">
        <f>'Supply planning data'!U304</f>
        <v>0</v>
      </c>
      <c r="T306" s="111">
        <f>'Supply planning data'!V304</f>
        <v>0</v>
      </c>
      <c r="U306" s="327" t="str">
        <f>'Supply planning data'!W304</f>
        <v/>
      </c>
      <c r="V306" s="111">
        <f>'Supply planning data'!X304</f>
        <v>0</v>
      </c>
      <c r="W306" s="321">
        <f>'Supply planning data'!Y304</f>
        <v>0</v>
      </c>
      <c r="X306" s="329">
        <f>'Supply planning data'!Z304</f>
        <v>0</v>
      </c>
      <c r="Y306" s="111">
        <f>'Supply planning data'!AA304</f>
        <v>0</v>
      </c>
      <c r="Z306" s="111">
        <f>'Supply planning data'!AB304</f>
        <v>0</v>
      </c>
      <c r="AA306" s="111">
        <f>'Supply planning data'!AC304</f>
        <v>0</v>
      </c>
      <c r="AB306" s="111">
        <f>'Supply planning data'!AD304</f>
        <v>0</v>
      </c>
      <c r="AC306" s="111">
        <f>'Supply planning data'!AE304</f>
        <v>0</v>
      </c>
      <c r="AD306" s="327" t="str">
        <f>'Supply planning data'!AF304</f>
        <v/>
      </c>
      <c r="AE306" s="111">
        <f>'Supply planning data'!AG304</f>
        <v>0</v>
      </c>
      <c r="AF306" s="321">
        <f>'Supply planning data'!AH304</f>
        <v>0</v>
      </c>
      <c r="AG306" s="349">
        <f>'Supply planning data'!AI304</f>
        <v>0</v>
      </c>
      <c r="AH306" s="111">
        <f>'Supply planning data'!AJ304</f>
        <v>0</v>
      </c>
      <c r="AI306" s="111">
        <f>'Supply planning data'!AK304</f>
        <v>0</v>
      </c>
      <c r="AJ306" s="111">
        <f>'Supply planning data'!AL304</f>
        <v>0</v>
      </c>
      <c r="AK306" s="111">
        <f>'Supply planning data'!AM304</f>
        <v>0</v>
      </c>
      <c r="AL306" s="111">
        <f>'Supply planning data'!AN304</f>
        <v>0</v>
      </c>
      <c r="AM306" s="327" t="str">
        <f>'Supply planning data'!AO304</f>
        <v/>
      </c>
    </row>
    <row r="307" spans="1:39" x14ac:dyDescent="0.25">
      <c r="A307" s="90" t="str">
        <f>'Supply planning data'!C305</f>
        <v>AstraZeneca</v>
      </c>
      <c r="B307" s="296">
        <f>'Supply planning data'!D305</f>
        <v>44805</v>
      </c>
      <c r="C307" s="92" t="str">
        <f>'Supply planning data'!E305</f>
        <v>Yes</v>
      </c>
      <c r="D307" s="92">
        <f>'Supply planning data'!F305</f>
        <v>0</v>
      </c>
      <c r="E307" s="316">
        <f>'Supply planning data'!G305</f>
        <v>0</v>
      </c>
      <c r="F307" s="316">
        <f>'Supply planning data'!H305</f>
        <v>0</v>
      </c>
      <c r="G307" s="316">
        <f>'Supply planning data'!I305</f>
        <v>0</v>
      </c>
      <c r="H307" s="92">
        <f>'Supply planning data'!J305</f>
        <v>0</v>
      </c>
      <c r="I307" s="316">
        <f>'Supply planning data'!K305</f>
        <v>0</v>
      </c>
      <c r="J307" s="174" t="str">
        <f>'Supply planning data'!L305</f>
        <v/>
      </c>
      <c r="K307" s="92">
        <f>'Supply planning data'!M305</f>
        <v>0</v>
      </c>
      <c r="L307" s="316">
        <f>'Supply planning data'!N305+'Supply planning data'!P305</f>
        <v>0</v>
      </c>
      <c r="M307" s="343">
        <f>'Supply planning data'!O305</f>
        <v>0</v>
      </c>
      <c r="N307" s="316">
        <f>'Supply planning data'!P305</f>
        <v>0</v>
      </c>
      <c r="O307" s="343">
        <f>'Supply planning data'!Q305</f>
        <v>0</v>
      </c>
      <c r="P307" s="92">
        <f>'Supply planning data'!R305</f>
        <v>0</v>
      </c>
      <c r="Q307" s="92">
        <f>'Supply planning data'!S305</f>
        <v>0</v>
      </c>
      <c r="R307" s="92">
        <f>'Supply planning data'!T305</f>
        <v>0</v>
      </c>
      <c r="S307" s="92">
        <f>'Supply planning data'!U305</f>
        <v>0</v>
      </c>
      <c r="T307" s="92">
        <f>'Supply planning data'!V305</f>
        <v>0</v>
      </c>
      <c r="U307" s="324" t="str">
        <f>'Supply planning data'!W305</f>
        <v/>
      </c>
      <c r="V307" s="92">
        <f>'Supply planning data'!X305</f>
        <v>394701</v>
      </c>
      <c r="W307" s="316">
        <f>'Supply planning data'!Y305</f>
        <v>80000</v>
      </c>
      <c r="X307" s="328">
        <f>'Supply planning data'!Z305</f>
        <v>0</v>
      </c>
      <c r="Y307" s="92">
        <f>'Supply planning data'!AA305</f>
        <v>80000</v>
      </c>
      <c r="Z307" s="92">
        <f>'Supply planning data'!AB305</f>
        <v>0</v>
      </c>
      <c r="AA307" s="92">
        <f>'Supply planning data'!AC305</f>
        <v>0</v>
      </c>
      <c r="AB307" s="92">
        <f>'Supply planning data'!AD305</f>
        <v>0</v>
      </c>
      <c r="AC307" s="92">
        <f>'Supply planning data'!AE305</f>
        <v>314701</v>
      </c>
      <c r="AD307" s="324">
        <f>'Supply planning data'!AF305</f>
        <v>3.9337624999999998</v>
      </c>
      <c r="AE307" s="92">
        <f>'Supply planning data'!AG305</f>
        <v>0</v>
      </c>
      <c r="AF307" s="316">
        <f>'Supply planning data'!AH305</f>
        <v>0</v>
      </c>
      <c r="AG307" s="174">
        <f>'Supply planning data'!AI305</f>
        <v>0</v>
      </c>
      <c r="AH307" s="92">
        <f>'Supply planning data'!AJ305</f>
        <v>0</v>
      </c>
      <c r="AI307" s="92">
        <f>'Supply planning data'!AK305</f>
        <v>0</v>
      </c>
      <c r="AJ307" s="92">
        <f>'Supply planning data'!AL305</f>
        <v>0</v>
      </c>
      <c r="AK307" s="92">
        <f>'Supply planning data'!AM305</f>
        <v>0</v>
      </c>
      <c r="AL307" s="92">
        <f>'Supply planning data'!AN305</f>
        <v>0</v>
      </c>
      <c r="AM307" s="324" t="str">
        <f>'Supply planning data'!AO305</f>
        <v/>
      </c>
    </row>
    <row r="308" spans="1:39" x14ac:dyDescent="0.25">
      <c r="A308" s="90" t="str">
        <f>'Supply planning data'!C306</f>
        <v>Jansen</v>
      </c>
      <c r="B308" s="296">
        <f>'Supply planning data'!D306</f>
        <v>44805</v>
      </c>
      <c r="C308" s="92" t="str">
        <f>'Supply planning data'!E306</f>
        <v>Yes</v>
      </c>
      <c r="D308" s="92">
        <f>'Supply planning data'!F306</f>
        <v>2058747</v>
      </c>
      <c r="E308" s="316">
        <f>'Supply planning data'!G306</f>
        <v>0</v>
      </c>
      <c r="F308" s="317">
        <f>'Supply planning data'!H306</f>
        <v>0</v>
      </c>
      <c r="G308" s="317">
        <f>'Supply planning data'!I306</f>
        <v>0</v>
      </c>
      <c r="H308" s="98">
        <f>'Supply planning data'!J306</f>
        <v>0</v>
      </c>
      <c r="I308" s="317">
        <f>'Supply planning data'!K306</f>
        <v>0</v>
      </c>
      <c r="J308" s="175" t="str">
        <f>'Supply planning data'!L306</f>
        <v/>
      </c>
      <c r="K308" s="98">
        <f>'Supply planning data'!M306</f>
        <v>0</v>
      </c>
      <c r="L308" s="317">
        <f>'Supply planning data'!N306+'Supply planning data'!P306</f>
        <v>0</v>
      </c>
      <c r="M308" s="339">
        <f>'Supply planning data'!O306</f>
        <v>0</v>
      </c>
      <c r="N308" s="317">
        <f>'Supply planning data'!P306</f>
        <v>0</v>
      </c>
      <c r="O308" s="339">
        <f>'Supply planning data'!Q306</f>
        <v>0</v>
      </c>
      <c r="P308" s="98">
        <f>'Supply planning data'!R306</f>
        <v>0</v>
      </c>
      <c r="Q308" s="98">
        <f>'Supply planning data'!S306</f>
        <v>0</v>
      </c>
      <c r="R308" s="98">
        <f>'Supply planning data'!T306</f>
        <v>0</v>
      </c>
      <c r="S308" s="98">
        <f>'Supply planning data'!U306</f>
        <v>0</v>
      </c>
      <c r="T308" s="98">
        <f>'Supply planning data'!V306</f>
        <v>2058747</v>
      </c>
      <c r="U308" s="325" t="str">
        <f>'Supply planning data'!W306</f>
        <v/>
      </c>
      <c r="V308" s="98">
        <f>'Supply planning data'!X306</f>
        <v>1738747</v>
      </c>
      <c r="W308" s="317">
        <f>'Supply planning data'!Y306</f>
        <v>80000</v>
      </c>
      <c r="X308" s="328">
        <f>'Supply planning data'!Z306</f>
        <v>0</v>
      </c>
      <c r="Y308" s="98">
        <f>'Supply planning data'!AA306</f>
        <v>80000</v>
      </c>
      <c r="Z308" s="98">
        <f>'Supply planning data'!AB306</f>
        <v>0</v>
      </c>
      <c r="AA308" s="98">
        <f>'Supply planning data'!AC306</f>
        <v>0</v>
      </c>
      <c r="AB308" s="98">
        <f>'Supply planning data'!AD306</f>
        <v>0</v>
      </c>
      <c r="AC308" s="98">
        <f>'Supply planning data'!AE306</f>
        <v>1658747</v>
      </c>
      <c r="AD308" s="325">
        <f>'Supply planning data'!AF306</f>
        <v>20.734337499999999</v>
      </c>
      <c r="AE308" s="98">
        <f>'Supply planning data'!AG306</f>
        <v>2058747</v>
      </c>
      <c r="AF308" s="317">
        <f>'Supply planning data'!AH306</f>
        <v>0</v>
      </c>
      <c r="AG308" s="175">
        <f>'Supply planning data'!AI306</f>
        <v>0</v>
      </c>
      <c r="AH308" s="98">
        <f>'Supply planning data'!AJ306</f>
        <v>0</v>
      </c>
      <c r="AI308" s="98">
        <f>'Supply planning data'!AK306</f>
        <v>0</v>
      </c>
      <c r="AJ308" s="98">
        <f>'Supply planning data'!AL306</f>
        <v>0</v>
      </c>
      <c r="AK308" s="98">
        <f>'Supply planning data'!AM306</f>
        <v>0</v>
      </c>
      <c r="AL308" s="98">
        <f>'Supply planning data'!AN306</f>
        <v>2058747</v>
      </c>
      <c r="AM308" s="325" t="str">
        <f>'Supply planning data'!AO306</f>
        <v/>
      </c>
    </row>
    <row r="309" spans="1:39" x14ac:dyDescent="0.25">
      <c r="A309" s="90" t="str">
        <f>'Supply planning data'!C307</f>
        <v>Moderna</v>
      </c>
      <c r="B309" s="296">
        <f>'Supply planning data'!D307</f>
        <v>44805</v>
      </c>
      <c r="C309" s="92" t="str">
        <f>'Supply planning data'!E307</f>
        <v>No</v>
      </c>
      <c r="D309" s="92">
        <f>'Supply planning data'!F307</f>
        <v>0</v>
      </c>
      <c r="E309" s="316">
        <f>'Supply planning data'!G307</f>
        <v>0</v>
      </c>
      <c r="F309" s="317">
        <f>'Supply planning data'!H307</f>
        <v>0</v>
      </c>
      <c r="G309" s="317">
        <f>'Supply planning data'!I307</f>
        <v>0</v>
      </c>
      <c r="H309" s="98">
        <f>'Supply planning data'!J307</f>
        <v>0</v>
      </c>
      <c r="I309" s="317">
        <f>'Supply planning data'!K307</f>
        <v>0</v>
      </c>
      <c r="J309" s="175" t="str">
        <f>'Supply planning data'!L307</f>
        <v/>
      </c>
      <c r="K309" s="98">
        <f>'Supply planning data'!M307</f>
        <v>0</v>
      </c>
      <c r="L309" s="317">
        <f>'Supply planning data'!N307+'Supply planning data'!P307</f>
        <v>0</v>
      </c>
      <c r="M309" s="339">
        <f>'Supply planning data'!O307</f>
        <v>0</v>
      </c>
      <c r="N309" s="317">
        <f>'Supply planning data'!P307</f>
        <v>0</v>
      </c>
      <c r="O309" s="339">
        <f>'Supply planning data'!Q307</f>
        <v>0</v>
      </c>
      <c r="P309" s="98">
        <f>'Supply planning data'!R307</f>
        <v>0</v>
      </c>
      <c r="Q309" s="98">
        <f>'Supply planning data'!S307</f>
        <v>0</v>
      </c>
      <c r="R309" s="98">
        <f>'Supply planning data'!T307</f>
        <v>0</v>
      </c>
      <c r="S309" s="98">
        <f>'Supply planning data'!U307</f>
        <v>0</v>
      </c>
      <c r="T309" s="98">
        <f>'Supply planning data'!V307</f>
        <v>0</v>
      </c>
      <c r="U309" s="325" t="str">
        <f>'Supply planning data'!W307</f>
        <v/>
      </c>
      <c r="V309" s="98">
        <f>'Supply planning data'!X307</f>
        <v>0</v>
      </c>
      <c r="W309" s="317">
        <f>'Supply planning data'!Y307</f>
        <v>80000</v>
      </c>
      <c r="X309" s="328">
        <f>'Supply planning data'!Z307</f>
        <v>0</v>
      </c>
      <c r="Y309" s="98">
        <f>'Supply planning data'!AA307</f>
        <v>80000</v>
      </c>
      <c r="Z309" s="98">
        <f>'Supply planning data'!AB307</f>
        <v>0</v>
      </c>
      <c r="AA309" s="98">
        <f>'Supply planning data'!AC307</f>
        <v>0</v>
      </c>
      <c r="AB309" s="98">
        <f>'Supply planning data'!AD307</f>
        <v>0</v>
      </c>
      <c r="AC309" s="98">
        <f>'Supply planning data'!AE307</f>
        <v>0</v>
      </c>
      <c r="AD309" s="325">
        <f>'Supply planning data'!AF307</f>
        <v>0</v>
      </c>
      <c r="AE309" s="98">
        <f>'Supply planning data'!AG307</f>
        <v>0</v>
      </c>
      <c r="AF309" s="317">
        <f>'Supply planning data'!AH307</f>
        <v>0</v>
      </c>
      <c r="AG309" s="175">
        <f>'Supply planning data'!AI307</f>
        <v>0</v>
      </c>
      <c r="AH309" s="98">
        <f>'Supply planning data'!AJ307</f>
        <v>0</v>
      </c>
      <c r="AI309" s="98">
        <f>'Supply planning data'!AK307</f>
        <v>0</v>
      </c>
      <c r="AJ309" s="98">
        <f>'Supply planning data'!AL307</f>
        <v>0</v>
      </c>
      <c r="AK309" s="98">
        <f>'Supply planning data'!AM307</f>
        <v>0</v>
      </c>
      <c r="AL309" s="98">
        <f>'Supply planning data'!AN307</f>
        <v>0</v>
      </c>
      <c r="AM309" s="325" t="str">
        <f>'Supply planning data'!AO307</f>
        <v/>
      </c>
    </row>
    <row r="310" spans="1:39" x14ac:dyDescent="0.25">
      <c r="A310" s="90" t="str">
        <f>'Supply planning data'!C308</f>
        <v>Pfizer</v>
      </c>
      <c r="B310" s="296">
        <f>'Supply planning data'!D308</f>
        <v>44805</v>
      </c>
      <c r="C310" s="92" t="str">
        <f>'Supply planning data'!E308</f>
        <v>Yes</v>
      </c>
      <c r="D310" s="92">
        <f>'Supply planning data'!F308</f>
        <v>3000000</v>
      </c>
      <c r="E310" s="316">
        <f>'Supply planning data'!G308</f>
        <v>0</v>
      </c>
      <c r="F310" s="317">
        <f>'Supply planning data'!H308</f>
        <v>0</v>
      </c>
      <c r="G310" s="317">
        <f>'Supply planning data'!I308</f>
        <v>0</v>
      </c>
      <c r="H310" s="98">
        <f>'Supply planning data'!J308</f>
        <v>0</v>
      </c>
      <c r="I310" s="317">
        <f>'Supply planning data'!K308</f>
        <v>0</v>
      </c>
      <c r="J310" s="175" t="str">
        <f>'Supply planning data'!L308</f>
        <v/>
      </c>
      <c r="K310" s="98">
        <f>'Supply planning data'!M308</f>
        <v>0</v>
      </c>
      <c r="L310" s="317">
        <f>'Supply planning data'!N308+'Supply planning data'!P308</f>
        <v>0</v>
      </c>
      <c r="M310" s="339">
        <f>'Supply planning data'!O308</f>
        <v>0</v>
      </c>
      <c r="N310" s="317">
        <f>'Supply planning data'!P308</f>
        <v>0</v>
      </c>
      <c r="O310" s="339">
        <f>'Supply planning data'!Q308</f>
        <v>0</v>
      </c>
      <c r="P310" s="98">
        <f>'Supply planning data'!R308</f>
        <v>0</v>
      </c>
      <c r="Q310" s="98">
        <f>'Supply planning data'!S308</f>
        <v>0</v>
      </c>
      <c r="R310" s="98">
        <f>'Supply planning data'!T308</f>
        <v>110538</v>
      </c>
      <c r="S310" s="98">
        <f>'Supply planning data'!U308</f>
        <v>0</v>
      </c>
      <c r="T310" s="98">
        <f>'Supply planning data'!V308</f>
        <v>3000000</v>
      </c>
      <c r="U310" s="325" t="str">
        <f>'Supply planning data'!W308</f>
        <v/>
      </c>
      <c r="V310" s="98">
        <f>'Supply planning data'!X308</f>
        <v>2680000</v>
      </c>
      <c r="W310" s="317">
        <f>'Supply planning data'!Y308</f>
        <v>80000</v>
      </c>
      <c r="X310" s="328">
        <f>'Supply planning data'!Z308</f>
        <v>0</v>
      </c>
      <c r="Y310" s="98">
        <f>'Supply planning data'!AA308</f>
        <v>80000</v>
      </c>
      <c r="Z310" s="98">
        <f>'Supply planning data'!AB308</f>
        <v>0</v>
      </c>
      <c r="AA310" s="98">
        <f>'Supply planning data'!AC308</f>
        <v>0</v>
      </c>
      <c r="AB310" s="98">
        <f>'Supply planning data'!AD308</f>
        <v>0</v>
      </c>
      <c r="AC310" s="98">
        <f>'Supply planning data'!AE308</f>
        <v>2600000</v>
      </c>
      <c r="AD310" s="325">
        <f>'Supply planning data'!AF308</f>
        <v>32.5</v>
      </c>
      <c r="AE310" s="98">
        <f>'Supply planning data'!AG308</f>
        <v>3000000</v>
      </c>
      <c r="AF310" s="317">
        <f>'Supply planning data'!AH308</f>
        <v>0</v>
      </c>
      <c r="AG310" s="175">
        <f>'Supply planning data'!AI308</f>
        <v>0</v>
      </c>
      <c r="AH310" s="98">
        <f>'Supply planning data'!AJ308</f>
        <v>0</v>
      </c>
      <c r="AI310" s="98">
        <f>'Supply planning data'!AK308</f>
        <v>0</v>
      </c>
      <c r="AJ310" s="98">
        <f>'Supply planning data'!AL308</f>
        <v>110538</v>
      </c>
      <c r="AK310" s="98">
        <f>'Supply planning data'!AM308</f>
        <v>0</v>
      </c>
      <c r="AL310" s="98">
        <f>'Supply planning data'!AN308</f>
        <v>3000000</v>
      </c>
      <c r="AM310" s="325" t="str">
        <f>'Supply planning data'!AO308</f>
        <v/>
      </c>
    </row>
    <row r="311" spans="1:39" x14ac:dyDescent="0.25">
      <c r="A311" s="90" t="str">
        <f>'Supply planning data'!C309</f>
        <v>Sinovac</v>
      </c>
      <c r="B311" s="296">
        <f>'Supply planning data'!D309</f>
        <v>44805</v>
      </c>
      <c r="C311" s="92" t="str">
        <f>'Supply planning data'!E309</f>
        <v>No</v>
      </c>
      <c r="D311" s="92">
        <f>'Supply planning data'!F309</f>
        <v>0</v>
      </c>
      <c r="E311" s="316">
        <f>'Supply planning data'!G309</f>
        <v>0</v>
      </c>
      <c r="F311" s="317">
        <f>'Supply planning data'!H309</f>
        <v>0</v>
      </c>
      <c r="G311" s="317">
        <f>'Supply planning data'!I309</f>
        <v>0</v>
      </c>
      <c r="H311" s="98">
        <f>'Supply planning data'!J309</f>
        <v>0</v>
      </c>
      <c r="I311" s="317">
        <f>'Supply planning data'!K309</f>
        <v>0</v>
      </c>
      <c r="J311" s="175" t="str">
        <f>'Supply planning data'!L309</f>
        <v/>
      </c>
      <c r="K311" s="98">
        <f>'Supply planning data'!M309</f>
        <v>0</v>
      </c>
      <c r="L311" s="317">
        <f>'Supply planning data'!N309+'Supply planning data'!P309</f>
        <v>0</v>
      </c>
      <c r="M311" s="339">
        <f>'Supply planning data'!O309</f>
        <v>0</v>
      </c>
      <c r="N311" s="317">
        <f>'Supply planning data'!P309</f>
        <v>0</v>
      </c>
      <c r="O311" s="339">
        <f>'Supply planning data'!Q309</f>
        <v>0</v>
      </c>
      <c r="P311" s="98">
        <f>'Supply planning data'!R309</f>
        <v>0</v>
      </c>
      <c r="Q311" s="98">
        <f>'Supply planning data'!S309</f>
        <v>0</v>
      </c>
      <c r="R311" s="98">
        <f>'Supply planning data'!T309</f>
        <v>0</v>
      </c>
      <c r="S311" s="98">
        <f>'Supply planning data'!U309</f>
        <v>0</v>
      </c>
      <c r="T311" s="98">
        <f>'Supply planning data'!V309</f>
        <v>0</v>
      </c>
      <c r="U311" s="325" t="str">
        <f>'Supply planning data'!W309</f>
        <v/>
      </c>
      <c r="V311" s="98">
        <f>'Supply planning data'!X309</f>
        <v>0</v>
      </c>
      <c r="W311" s="317">
        <f>'Supply planning data'!Y309</f>
        <v>80000</v>
      </c>
      <c r="X311" s="328">
        <f>'Supply planning data'!Z309</f>
        <v>0</v>
      </c>
      <c r="Y311" s="98">
        <f>'Supply planning data'!AA309</f>
        <v>80000</v>
      </c>
      <c r="Z311" s="98">
        <f>'Supply planning data'!AB309</f>
        <v>0</v>
      </c>
      <c r="AA311" s="98">
        <f>'Supply planning data'!AC309</f>
        <v>0</v>
      </c>
      <c r="AB311" s="98">
        <f>'Supply planning data'!AD309</f>
        <v>0</v>
      </c>
      <c r="AC311" s="98">
        <f>'Supply planning data'!AE309</f>
        <v>0</v>
      </c>
      <c r="AD311" s="325">
        <f>'Supply planning data'!AF309</f>
        <v>0</v>
      </c>
      <c r="AE311" s="98">
        <f>'Supply planning data'!AG309</f>
        <v>0</v>
      </c>
      <c r="AF311" s="317">
        <f>'Supply planning data'!AH309</f>
        <v>0</v>
      </c>
      <c r="AG311" s="175">
        <f>'Supply planning data'!AI309</f>
        <v>0</v>
      </c>
      <c r="AH311" s="98">
        <f>'Supply planning data'!AJ309</f>
        <v>0</v>
      </c>
      <c r="AI311" s="98">
        <f>'Supply planning data'!AK309</f>
        <v>0</v>
      </c>
      <c r="AJ311" s="98">
        <f>'Supply planning data'!AL309</f>
        <v>0</v>
      </c>
      <c r="AK311" s="98">
        <f>'Supply planning data'!AM309</f>
        <v>0</v>
      </c>
      <c r="AL311" s="98">
        <f>'Supply planning data'!AN309</f>
        <v>0</v>
      </c>
      <c r="AM311" s="325" t="str">
        <f>'Supply planning data'!AO309</f>
        <v/>
      </c>
    </row>
    <row r="312" spans="1:39" hidden="1" x14ac:dyDescent="0.25">
      <c r="A312" s="90" t="str">
        <f>'Supply planning data'!C310</f>
        <v/>
      </c>
      <c r="B312" s="296">
        <f>'Supply planning data'!D310</f>
        <v>44805</v>
      </c>
      <c r="C312" s="92" t="str">
        <f>'Supply planning data'!E310</f>
        <v>No</v>
      </c>
      <c r="D312" s="92">
        <f>'Supply planning data'!F310</f>
        <v>0</v>
      </c>
      <c r="E312" s="316">
        <f>'Supply planning data'!G310</f>
        <v>0</v>
      </c>
      <c r="F312" s="317">
        <f>'Supply planning data'!H310</f>
        <v>0</v>
      </c>
      <c r="G312" s="317">
        <f>'Supply planning data'!I310</f>
        <v>0</v>
      </c>
      <c r="H312" s="98">
        <f>'Supply planning data'!J310</f>
        <v>0</v>
      </c>
      <c r="I312" s="317">
        <f>'Supply planning data'!K310</f>
        <v>0</v>
      </c>
      <c r="J312" s="175" t="str">
        <f>'Supply planning data'!L310</f>
        <v/>
      </c>
      <c r="K312" s="98">
        <f>'Supply planning data'!M310</f>
        <v>0</v>
      </c>
      <c r="L312" s="317">
        <f>'Supply planning data'!N310+'Supply planning data'!P310</f>
        <v>0</v>
      </c>
      <c r="M312" s="339">
        <f>'Supply planning data'!O310</f>
        <v>0</v>
      </c>
      <c r="N312" s="317">
        <f>'Supply planning data'!P310</f>
        <v>0</v>
      </c>
      <c r="O312" s="339">
        <f>'Supply planning data'!Q310</f>
        <v>0</v>
      </c>
      <c r="P312" s="98">
        <f>'Supply planning data'!R310</f>
        <v>0</v>
      </c>
      <c r="Q312" s="98">
        <f>'Supply planning data'!S310</f>
        <v>0</v>
      </c>
      <c r="R312" s="98">
        <f>'Supply planning data'!T310</f>
        <v>0</v>
      </c>
      <c r="S312" s="98">
        <f>'Supply planning data'!U310</f>
        <v>0</v>
      </c>
      <c r="T312" s="98">
        <f>'Supply planning data'!V310</f>
        <v>0</v>
      </c>
      <c r="U312" s="325" t="str">
        <f>'Supply planning data'!W310</f>
        <v/>
      </c>
      <c r="V312" s="98">
        <f>'Supply planning data'!X310</f>
        <v>0</v>
      </c>
      <c r="W312" s="317">
        <f>'Supply planning data'!Y310</f>
        <v>0</v>
      </c>
      <c r="X312" s="328">
        <f>'Supply planning data'!Z310</f>
        <v>0</v>
      </c>
      <c r="Y312" s="98">
        <f>'Supply planning data'!AA310</f>
        <v>0</v>
      </c>
      <c r="Z312" s="98">
        <f>'Supply planning data'!AB310</f>
        <v>0</v>
      </c>
      <c r="AA312" s="98">
        <f>'Supply planning data'!AC310</f>
        <v>0</v>
      </c>
      <c r="AB312" s="98">
        <f>'Supply planning data'!AD310</f>
        <v>0</v>
      </c>
      <c r="AC312" s="98">
        <f>'Supply planning data'!AE310</f>
        <v>0</v>
      </c>
      <c r="AD312" s="325" t="str">
        <f>'Supply planning data'!AF310</f>
        <v/>
      </c>
      <c r="AE312" s="98">
        <f>'Supply planning data'!AG310</f>
        <v>0</v>
      </c>
      <c r="AF312" s="317">
        <f>'Supply planning data'!AH310</f>
        <v>0</v>
      </c>
      <c r="AG312" s="175">
        <f>'Supply planning data'!AI310</f>
        <v>0</v>
      </c>
      <c r="AH312" s="98">
        <f>'Supply planning data'!AJ310</f>
        <v>0</v>
      </c>
      <c r="AI312" s="98">
        <f>'Supply planning data'!AK310</f>
        <v>0</v>
      </c>
      <c r="AJ312" s="98">
        <f>'Supply planning data'!AL310</f>
        <v>0</v>
      </c>
      <c r="AK312" s="98">
        <f>'Supply planning data'!AM310</f>
        <v>0</v>
      </c>
      <c r="AL312" s="98">
        <f>'Supply planning data'!AN310</f>
        <v>0</v>
      </c>
      <c r="AM312" s="325" t="str">
        <f>'Supply planning data'!AO310</f>
        <v/>
      </c>
    </row>
    <row r="313" spans="1:39" hidden="1" x14ac:dyDescent="0.25">
      <c r="A313" s="90" t="str">
        <f>'Supply planning data'!C311</f>
        <v/>
      </c>
      <c r="B313" s="296">
        <f>'Supply planning data'!D311</f>
        <v>44805</v>
      </c>
      <c r="C313" s="92" t="str">
        <f>'Supply planning data'!E311</f>
        <v>No</v>
      </c>
      <c r="D313" s="92">
        <f>'Supply planning data'!F311</f>
        <v>0</v>
      </c>
      <c r="E313" s="316">
        <f>'Supply planning data'!G311</f>
        <v>0</v>
      </c>
      <c r="F313" s="317">
        <f>'Supply planning data'!H311</f>
        <v>0</v>
      </c>
      <c r="G313" s="317">
        <f>'Supply planning data'!I311</f>
        <v>0</v>
      </c>
      <c r="H313" s="98">
        <f>'Supply planning data'!J311</f>
        <v>0</v>
      </c>
      <c r="I313" s="317">
        <f>'Supply planning data'!K311</f>
        <v>0</v>
      </c>
      <c r="J313" s="175" t="str">
        <f>'Supply planning data'!L311</f>
        <v/>
      </c>
      <c r="K313" s="98">
        <f>'Supply planning data'!M311</f>
        <v>0</v>
      </c>
      <c r="L313" s="317">
        <f>'Supply planning data'!N311+'Supply planning data'!P311</f>
        <v>0</v>
      </c>
      <c r="M313" s="339">
        <f>'Supply planning data'!O311</f>
        <v>0</v>
      </c>
      <c r="N313" s="317">
        <f>'Supply planning data'!P311</f>
        <v>0</v>
      </c>
      <c r="O313" s="339">
        <f>'Supply planning data'!Q311</f>
        <v>0</v>
      </c>
      <c r="P313" s="98">
        <f>'Supply planning data'!R311</f>
        <v>0</v>
      </c>
      <c r="Q313" s="98">
        <f>'Supply planning data'!S311</f>
        <v>0</v>
      </c>
      <c r="R313" s="98">
        <f>'Supply planning data'!T311</f>
        <v>0</v>
      </c>
      <c r="S313" s="98">
        <f>'Supply planning data'!U311</f>
        <v>0</v>
      </c>
      <c r="T313" s="98">
        <f>'Supply planning data'!V311</f>
        <v>0</v>
      </c>
      <c r="U313" s="325" t="str">
        <f>'Supply planning data'!W311</f>
        <v/>
      </c>
      <c r="V313" s="98">
        <f>'Supply planning data'!X311</f>
        <v>0</v>
      </c>
      <c r="W313" s="317">
        <f>'Supply planning data'!Y311</f>
        <v>0</v>
      </c>
      <c r="X313" s="328">
        <f>'Supply planning data'!Z311</f>
        <v>0</v>
      </c>
      <c r="Y313" s="98">
        <f>'Supply planning data'!AA311</f>
        <v>0</v>
      </c>
      <c r="Z313" s="98">
        <f>'Supply planning data'!AB311</f>
        <v>0</v>
      </c>
      <c r="AA313" s="98">
        <f>'Supply planning data'!AC311</f>
        <v>0</v>
      </c>
      <c r="AB313" s="98">
        <f>'Supply planning data'!AD311</f>
        <v>0</v>
      </c>
      <c r="AC313" s="98">
        <f>'Supply planning data'!AE311</f>
        <v>0</v>
      </c>
      <c r="AD313" s="325" t="str">
        <f>'Supply planning data'!AF311</f>
        <v/>
      </c>
      <c r="AE313" s="98">
        <f>'Supply planning data'!AG311</f>
        <v>0</v>
      </c>
      <c r="AF313" s="317">
        <f>'Supply planning data'!AH311</f>
        <v>0</v>
      </c>
      <c r="AG313" s="175">
        <f>'Supply planning data'!AI311</f>
        <v>0</v>
      </c>
      <c r="AH313" s="98">
        <f>'Supply planning data'!AJ311</f>
        <v>0</v>
      </c>
      <c r="AI313" s="98">
        <f>'Supply planning data'!AK311</f>
        <v>0</v>
      </c>
      <c r="AJ313" s="98">
        <f>'Supply planning data'!AL311</f>
        <v>0</v>
      </c>
      <c r="AK313" s="98">
        <f>'Supply planning data'!AM311</f>
        <v>0</v>
      </c>
      <c r="AL313" s="98">
        <f>'Supply planning data'!AN311</f>
        <v>0</v>
      </c>
      <c r="AM313" s="325" t="str">
        <f>'Supply planning data'!AO311</f>
        <v/>
      </c>
    </row>
    <row r="314" spans="1:39" hidden="1" x14ac:dyDescent="0.25">
      <c r="A314" s="90" t="str">
        <f>'Supply planning data'!C312</f>
        <v/>
      </c>
      <c r="B314" s="296">
        <f>'Supply planning data'!D312</f>
        <v>44805</v>
      </c>
      <c r="C314" s="92" t="str">
        <f>'Supply planning data'!E312</f>
        <v>No</v>
      </c>
      <c r="D314" s="92">
        <f>'Supply planning data'!F312</f>
        <v>0</v>
      </c>
      <c r="E314" s="316">
        <f>'Supply planning data'!G312</f>
        <v>0</v>
      </c>
      <c r="F314" s="317">
        <f>'Supply planning data'!H312</f>
        <v>0</v>
      </c>
      <c r="G314" s="317">
        <f>'Supply planning data'!I312</f>
        <v>0</v>
      </c>
      <c r="H314" s="98">
        <f>'Supply planning data'!J312</f>
        <v>0</v>
      </c>
      <c r="I314" s="317">
        <f>'Supply planning data'!K312</f>
        <v>0</v>
      </c>
      <c r="J314" s="175" t="str">
        <f>'Supply planning data'!L312</f>
        <v/>
      </c>
      <c r="K314" s="98">
        <f>'Supply planning data'!M312</f>
        <v>0</v>
      </c>
      <c r="L314" s="317">
        <f>'Supply planning data'!N312+'Supply planning data'!P312</f>
        <v>0</v>
      </c>
      <c r="M314" s="339">
        <f>'Supply planning data'!O312</f>
        <v>0</v>
      </c>
      <c r="N314" s="317">
        <f>'Supply planning data'!P312</f>
        <v>0</v>
      </c>
      <c r="O314" s="339">
        <f>'Supply planning data'!Q312</f>
        <v>0</v>
      </c>
      <c r="P314" s="98">
        <f>'Supply planning data'!R312</f>
        <v>0</v>
      </c>
      <c r="Q314" s="98">
        <f>'Supply planning data'!S312</f>
        <v>0</v>
      </c>
      <c r="R314" s="98">
        <f>'Supply planning data'!T312</f>
        <v>0</v>
      </c>
      <c r="S314" s="98">
        <f>'Supply planning data'!U312</f>
        <v>0</v>
      </c>
      <c r="T314" s="98">
        <f>'Supply planning data'!V312</f>
        <v>0</v>
      </c>
      <c r="U314" s="325" t="str">
        <f>'Supply planning data'!W312</f>
        <v/>
      </c>
      <c r="V314" s="98">
        <f>'Supply planning data'!X312</f>
        <v>0</v>
      </c>
      <c r="W314" s="317">
        <f>'Supply planning data'!Y312</f>
        <v>0</v>
      </c>
      <c r="X314" s="328">
        <f>'Supply planning data'!Z312</f>
        <v>0</v>
      </c>
      <c r="Y314" s="98">
        <f>'Supply planning data'!AA312</f>
        <v>0</v>
      </c>
      <c r="Z314" s="98">
        <f>'Supply planning data'!AB312</f>
        <v>0</v>
      </c>
      <c r="AA314" s="98">
        <f>'Supply planning data'!AC312</f>
        <v>0</v>
      </c>
      <c r="AB314" s="98">
        <f>'Supply planning data'!AD312</f>
        <v>0</v>
      </c>
      <c r="AC314" s="98">
        <f>'Supply planning data'!AE312</f>
        <v>0</v>
      </c>
      <c r="AD314" s="325" t="str">
        <f>'Supply planning data'!AF312</f>
        <v/>
      </c>
      <c r="AE314" s="98">
        <f>'Supply planning data'!AG312</f>
        <v>0</v>
      </c>
      <c r="AF314" s="317">
        <f>'Supply planning data'!AH312</f>
        <v>0</v>
      </c>
      <c r="AG314" s="175">
        <f>'Supply planning data'!AI312</f>
        <v>0</v>
      </c>
      <c r="AH314" s="98">
        <f>'Supply planning data'!AJ312</f>
        <v>0</v>
      </c>
      <c r="AI314" s="98">
        <f>'Supply planning data'!AK312</f>
        <v>0</v>
      </c>
      <c r="AJ314" s="98">
        <f>'Supply planning data'!AL312</f>
        <v>0</v>
      </c>
      <c r="AK314" s="98">
        <f>'Supply planning data'!AM312</f>
        <v>0</v>
      </c>
      <c r="AL314" s="98">
        <f>'Supply planning data'!AN312</f>
        <v>0</v>
      </c>
      <c r="AM314" s="325" t="str">
        <f>'Supply planning data'!AO312</f>
        <v/>
      </c>
    </row>
    <row r="315" spans="1:39" hidden="1" x14ac:dyDescent="0.25">
      <c r="A315" s="90" t="str">
        <f>'Supply planning data'!C313</f>
        <v/>
      </c>
      <c r="B315" s="296">
        <f>'Supply planning data'!D313</f>
        <v>44805</v>
      </c>
      <c r="C315" s="92" t="str">
        <f>'Supply planning data'!E313</f>
        <v>No</v>
      </c>
      <c r="D315" s="92">
        <f>'Supply planning data'!F313</f>
        <v>0</v>
      </c>
      <c r="E315" s="316">
        <f>'Supply planning data'!G313</f>
        <v>0</v>
      </c>
      <c r="F315" s="317">
        <f>'Supply planning data'!H313</f>
        <v>0</v>
      </c>
      <c r="G315" s="317">
        <f>'Supply planning data'!I313</f>
        <v>0</v>
      </c>
      <c r="H315" s="98">
        <f>'Supply planning data'!J313</f>
        <v>0</v>
      </c>
      <c r="I315" s="317">
        <f>'Supply planning data'!K313</f>
        <v>0</v>
      </c>
      <c r="J315" s="175" t="str">
        <f>'Supply planning data'!L313</f>
        <v/>
      </c>
      <c r="K315" s="98">
        <f>'Supply planning data'!M313</f>
        <v>0</v>
      </c>
      <c r="L315" s="317">
        <f>'Supply planning data'!N313+'Supply planning data'!P313</f>
        <v>0</v>
      </c>
      <c r="M315" s="339">
        <f>'Supply planning data'!O313</f>
        <v>0</v>
      </c>
      <c r="N315" s="317">
        <f>'Supply planning data'!P313</f>
        <v>0</v>
      </c>
      <c r="O315" s="339">
        <f>'Supply planning data'!Q313</f>
        <v>0</v>
      </c>
      <c r="P315" s="98">
        <f>'Supply planning data'!R313</f>
        <v>0</v>
      </c>
      <c r="Q315" s="98">
        <f>'Supply planning data'!S313</f>
        <v>0</v>
      </c>
      <c r="R315" s="98">
        <f>'Supply planning data'!T313</f>
        <v>0</v>
      </c>
      <c r="S315" s="98">
        <f>'Supply planning data'!U313</f>
        <v>0</v>
      </c>
      <c r="T315" s="98">
        <f>'Supply planning data'!V313</f>
        <v>0</v>
      </c>
      <c r="U315" s="325" t="str">
        <f>'Supply planning data'!W313</f>
        <v/>
      </c>
      <c r="V315" s="98">
        <f>'Supply planning data'!X313</f>
        <v>0</v>
      </c>
      <c r="W315" s="317">
        <f>'Supply planning data'!Y313</f>
        <v>0</v>
      </c>
      <c r="X315" s="328">
        <f>'Supply planning data'!Z313</f>
        <v>0</v>
      </c>
      <c r="Y315" s="98">
        <f>'Supply planning data'!AA313</f>
        <v>0</v>
      </c>
      <c r="Z315" s="98">
        <f>'Supply planning data'!AB313</f>
        <v>0</v>
      </c>
      <c r="AA315" s="98">
        <f>'Supply planning data'!AC313</f>
        <v>0</v>
      </c>
      <c r="AB315" s="98">
        <f>'Supply planning data'!AD313</f>
        <v>0</v>
      </c>
      <c r="AC315" s="98">
        <f>'Supply planning data'!AE313</f>
        <v>0</v>
      </c>
      <c r="AD315" s="325" t="str">
        <f>'Supply planning data'!AF313</f>
        <v/>
      </c>
      <c r="AE315" s="98">
        <f>'Supply planning data'!AG313</f>
        <v>0</v>
      </c>
      <c r="AF315" s="317">
        <f>'Supply planning data'!AH313</f>
        <v>0</v>
      </c>
      <c r="AG315" s="175">
        <f>'Supply planning data'!AI313</f>
        <v>0</v>
      </c>
      <c r="AH315" s="98">
        <f>'Supply planning data'!AJ313</f>
        <v>0</v>
      </c>
      <c r="AI315" s="98">
        <f>'Supply planning data'!AK313</f>
        <v>0</v>
      </c>
      <c r="AJ315" s="98">
        <f>'Supply planning data'!AL313</f>
        <v>0</v>
      </c>
      <c r="AK315" s="98">
        <f>'Supply planning data'!AM313</f>
        <v>0</v>
      </c>
      <c r="AL315" s="98">
        <f>'Supply planning data'!AN313</f>
        <v>0</v>
      </c>
      <c r="AM315" s="325" t="str">
        <f>'Supply planning data'!AO313</f>
        <v/>
      </c>
    </row>
    <row r="316" spans="1:39" hidden="1" x14ac:dyDescent="0.25">
      <c r="A316" s="90" t="str">
        <f>'Supply planning data'!C314</f>
        <v/>
      </c>
      <c r="B316" s="296">
        <f>'Supply planning data'!D314</f>
        <v>44805</v>
      </c>
      <c r="C316" s="92" t="str">
        <f>'Supply planning data'!E314</f>
        <v>No</v>
      </c>
      <c r="D316" s="92">
        <f>'Supply planning data'!F314</f>
        <v>0</v>
      </c>
      <c r="E316" s="316">
        <f>'Supply planning data'!G314</f>
        <v>0</v>
      </c>
      <c r="F316" s="317">
        <f>'Supply planning data'!H314</f>
        <v>0</v>
      </c>
      <c r="G316" s="317">
        <f>'Supply planning data'!I314</f>
        <v>0</v>
      </c>
      <c r="H316" s="98">
        <f>'Supply planning data'!J314</f>
        <v>0</v>
      </c>
      <c r="I316" s="317">
        <f>'Supply planning data'!K314</f>
        <v>0</v>
      </c>
      <c r="J316" s="175" t="str">
        <f>'Supply planning data'!L314</f>
        <v/>
      </c>
      <c r="K316" s="98">
        <f>'Supply planning data'!M314</f>
        <v>0</v>
      </c>
      <c r="L316" s="317">
        <f>'Supply planning data'!N314+'Supply planning data'!P314</f>
        <v>0</v>
      </c>
      <c r="M316" s="339">
        <f>'Supply planning data'!O314</f>
        <v>0</v>
      </c>
      <c r="N316" s="317">
        <f>'Supply planning data'!P314</f>
        <v>0</v>
      </c>
      <c r="O316" s="339">
        <f>'Supply planning data'!Q314</f>
        <v>0</v>
      </c>
      <c r="P316" s="98">
        <f>'Supply planning data'!R314</f>
        <v>0</v>
      </c>
      <c r="Q316" s="98">
        <f>'Supply planning data'!S314</f>
        <v>0</v>
      </c>
      <c r="R316" s="98">
        <f>'Supply planning data'!T314</f>
        <v>0</v>
      </c>
      <c r="S316" s="98">
        <f>'Supply planning data'!U314</f>
        <v>0</v>
      </c>
      <c r="T316" s="98">
        <f>'Supply planning data'!V314</f>
        <v>0</v>
      </c>
      <c r="U316" s="325" t="str">
        <f>'Supply planning data'!W314</f>
        <v/>
      </c>
      <c r="V316" s="98">
        <f>'Supply planning data'!X314</f>
        <v>0</v>
      </c>
      <c r="W316" s="317">
        <f>'Supply planning data'!Y314</f>
        <v>0</v>
      </c>
      <c r="X316" s="328">
        <f>'Supply planning data'!Z314</f>
        <v>0</v>
      </c>
      <c r="Y316" s="98">
        <f>'Supply planning data'!AA314</f>
        <v>0</v>
      </c>
      <c r="Z316" s="98">
        <f>'Supply planning data'!AB314</f>
        <v>0</v>
      </c>
      <c r="AA316" s="98">
        <f>'Supply planning data'!AC314</f>
        <v>0</v>
      </c>
      <c r="AB316" s="98">
        <f>'Supply planning data'!AD314</f>
        <v>0</v>
      </c>
      <c r="AC316" s="98">
        <f>'Supply planning data'!AE314</f>
        <v>0</v>
      </c>
      <c r="AD316" s="325" t="str">
        <f>'Supply planning data'!AF314</f>
        <v/>
      </c>
      <c r="AE316" s="98">
        <f>'Supply planning data'!AG314</f>
        <v>0</v>
      </c>
      <c r="AF316" s="317">
        <f>'Supply planning data'!AH314</f>
        <v>0</v>
      </c>
      <c r="AG316" s="175">
        <f>'Supply planning data'!AI314</f>
        <v>0</v>
      </c>
      <c r="AH316" s="98">
        <f>'Supply planning data'!AJ314</f>
        <v>0</v>
      </c>
      <c r="AI316" s="98">
        <f>'Supply planning data'!AK314</f>
        <v>0</v>
      </c>
      <c r="AJ316" s="98">
        <f>'Supply planning data'!AL314</f>
        <v>0</v>
      </c>
      <c r="AK316" s="98">
        <f>'Supply planning data'!AM314</f>
        <v>0</v>
      </c>
      <c r="AL316" s="98">
        <f>'Supply planning data'!AN314</f>
        <v>0</v>
      </c>
      <c r="AM316" s="325" t="str">
        <f>'Supply planning data'!AO314</f>
        <v/>
      </c>
    </row>
    <row r="317" spans="1:39" hidden="1" x14ac:dyDescent="0.25">
      <c r="A317" s="90" t="str">
        <f>'Supply planning data'!C315</f>
        <v/>
      </c>
      <c r="B317" s="296">
        <f>'Supply planning data'!D315</f>
        <v>44805</v>
      </c>
      <c r="C317" s="92" t="str">
        <f>'Supply planning data'!E315</f>
        <v>No</v>
      </c>
      <c r="D317" s="92">
        <f>'Supply planning data'!F315</f>
        <v>0</v>
      </c>
      <c r="E317" s="316">
        <f>'Supply planning data'!G315</f>
        <v>0</v>
      </c>
      <c r="F317" s="317">
        <f>'Supply planning data'!H315</f>
        <v>0</v>
      </c>
      <c r="G317" s="317">
        <f>'Supply planning data'!I315</f>
        <v>0</v>
      </c>
      <c r="H317" s="98">
        <f>'Supply planning data'!J315</f>
        <v>0</v>
      </c>
      <c r="I317" s="317">
        <f>'Supply planning data'!K315</f>
        <v>0</v>
      </c>
      <c r="J317" s="175" t="str">
        <f>'Supply planning data'!L315</f>
        <v/>
      </c>
      <c r="K317" s="98">
        <f>'Supply planning data'!M315</f>
        <v>0</v>
      </c>
      <c r="L317" s="317">
        <f>'Supply planning data'!N315+'Supply planning data'!P315</f>
        <v>0</v>
      </c>
      <c r="M317" s="339">
        <f>'Supply planning data'!O315</f>
        <v>0</v>
      </c>
      <c r="N317" s="317">
        <f>'Supply planning data'!P315</f>
        <v>0</v>
      </c>
      <c r="O317" s="339">
        <f>'Supply planning data'!Q315</f>
        <v>0</v>
      </c>
      <c r="P317" s="98">
        <f>'Supply planning data'!R315</f>
        <v>0</v>
      </c>
      <c r="Q317" s="98">
        <f>'Supply planning data'!S315</f>
        <v>0</v>
      </c>
      <c r="R317" s="98">
        <f>'Supply planning data'!T315</f>
        <v>0</v>
      </c>
      <c r="S317" s="98">
        <f>'Supply planning data'!U315</f>
        <v>0</v>
      </c>
      <c r="T317" s="98">
        <f>'Supply planning data'!V315</f>
        <v>0</v>
      </c>
      <c r="U317" s="325" t="str">
        <f>'Supply planning data'!W315</f>
        <v/>
      </c>
      <c r="V317" s="98">
        <f>'Supply planning data'!X315</f>
        <v>0</v>
      </c>
      <c r="W317" s="317">
        <f>'Supply planning data'!Y315</f>
        <v>0</v>
      </c>
      <c r="X317" s="328">
        <f>'Supply planning data'!Z315</f>
        <v>0</v>
      </c>
      <c r="Y317" s="98">
        <f>'Supply planning data'!AA315</f>
        <v>0</v>
      </c>
      <c r="Z317" s="98">
        <f>'Supply planning data'!AB315</f>
        <v>0</v>
      </c>
      <c r="AA317" s="98">
        <f>'Supply planning data'!AC315</f>
        <v>0</v>
      </c>
      <c r="AB317" s="98">
        <f>'Supply planning data'!AD315</f>
        <v>0</v>
      </c>
      <c r="AC317" s="98">
        <f>'Supply planning data'!AE315</f>
        <v>0</v>
      </c>
      <c r="AD317" s="325" t="str">
        <f>'Supply planning data'!AF315</f>
        <v/>
      </c>
      <c r="AE317" s="98">
        <f>'Supply planning data'!AG315</f>
        <v>0</v>
      </c>
      <c r="AF317" s="317">
        <f>'Supply planning data'!AH315</f>
        <v>0</v>
      </c>
      <c r="AG317" s="175">
        <f>'Supply planning data'!AI315</f>
        <v>0</v>
      </c>
      <c r="AH317" s="98">
        <f>'Supply planning data'!AJ315</f>
        <v>0</v>
      </c>
      <c r="AI317" s="98">
        <f>'Supply planning data'!AK315</f>
        <v>0</v>
      </c>
      <c r="AJ317" s="98">
        <f>'Supply planning data'!AL315</f>
        <v>0</v>
      </c>
      <c r="AK317" s="98">
        <f>'Supply planning data'!AM315</f>
        <v>0</v>
      </c>
      <c r="AL317" s="98">
        <f>'Supply planning data'!AN315</f>
        <v>0</v>
      </c>
      <c r="AM317" s="325" t="str">
        <f>'Supply planning data'!AO315</f>
        <v/>
      </c>
    </row>
    <row r="318" spans="1:39" hidden="1" x14ac:dyDescent="0.25">
      <c r="A318" s="90" t="str">
        <f>'Supply planning data'!C316</f>
        <v/>
      </c>
      <c r="B318" s="296">
        <f>'Supply planning data'!D316</f>
        <v>44805</v>
      </c>
      <c r="C318" s="92" t="str">
        <f>'Supply planning data'!E316</f>
        <v>No</v>
      </c>
      <c r="D318" s="92">
        <f>'Supply planning data'!F316</f>
        <v>0</v>
      </c>
      <c r="E318" s="316">
        <f>'Supply planning data'!G316</f>
        <v>0</v>
      </c>
      <c r="F318" s="317">
        <f>'Supply planning data'!H316</f>
        <v>0</v>
      </c>
      <c r="G318" s="317">
        <f>'Supply planning data'!I316</f>
        <v>0</v>
      </c>
      <c r="H318" s="98">
        <f>'Supply planning data'!J316</f>
        <v>0</v>
      </c>
      <c r="I318" s="317">
        <f>'Supply planning data'!K316</f>
        <v>0</v>
      </c>
      <c r="J318" s="175" t="str">
        <f>'Supply planning data'!L316</f>
        <v/>
      </c>
      <c r="K318" s="98">
        <f>'Supply planning data'!M316</f>
        <v>0</v>
      </c>
      <c r="L318" s="317">
        <f>'Supply planning data'!N316+'Supply planning data'!P316</f>
        <v>0</v>
      </c>
      <c r="M318" s="339">
        <f>'Supply planning data'!O316</f>
        <v>0</v>
      </c>
      <c r="N318" s="317">
        <f>'Supply planning data'!P316</f>
        <v>0</v>
      </c>
      <c r="O318" s="339">
        <f>'Supply planning data'!Q316</f>
        <v>0</v>
      </c>
      <c r="P318" s="98">
        <f>'Supply planning data'!R316</f>
        <v>0</v>
      </c>
      <c r="Q318" s="98">
        <f>'Supply planning data'!S316</f>
        <v>0</v>
      </c>
      <c r="R318" s="98">
        <f>'Supply planning data'!T316</f>
        <v>0</v>
      </c>
      <c r="S318" s="98">
        <f>'Supply planning data'!U316</f>
        <v>0</v>
      </c>
      <c r="T318" s="98">
        <f>'Supply planning data'!V316</f>
        <v>0</v>
      </c>
      <c r="U318" s="325" t="str">
        <f>'Supply planning data'!W316</f>
        <v/>
      </c>
      <c r="V318" s="98">
        <f>'Supply planning data'!X316</f>
        <v>0</v>
      </c>
      <c r="W318" s="317">
        <f>'Supply planning data'!Y316</f>
        <v>0</v>
      </c>
      <c r="X318" s="328">
        <f>'Supply planning data'!Z316</f>
        <v>0</v>
      </c>
      <c r="Y318" s="98">
        <f>'Supply planning data'!AA316</f>
        <v>0</v>
      </c>
      <c r="Z318" s="98">
        <f>'Supply planning data'!AB316</f>
        <v>0</v>
      </c>
      <c r="AA318" s="98">
        <f>'Supply planning data'!AC316</f>
        <v>0</v>
      </c>
      <c r="AB318" s="98">
        <f>'Supply planning data'!AD316</f>
        <v>0</v>
      </c>
      <c r="AC318" s="98">
        <f>'Supply planning data'!AE316</f>
        <v>0</v>
      </c>
      <c r="AD318" s="325" t="str">
        <f>'Supply planning data'!AF316</f>
        <v/>
      </c>
      <c r="AE318" s="98">
        <f>'Supply planning data'!AG316</f>
        <v>0</v>
      </c>
      <c r="AF318" s="317">
        <f>'Supply planning data'!AH316</f>
        <v>0</v>
      </c>
      <c r="AG318" s="175">
        <f>'Supply planning data'!AI316</f>
        <v>0</v>
      </c>
      <c r="AH318" s="98">
        <f>'Supply planning data'!AJ316</f>
        <v>0</v>
      </c>
      <c r="AI318" s="98">
        <f>'Supply planning data'!AK316</f>
        <v>0</v>
      </c>
      <c r="AJ318" s="98">
        <f>'Supply planning data'!AL316</f>
        <v>0</v>
      </c>
      <c r="AK318" s="98">
        <f>'Supply planning data'!AM316</f>
        <v>0</v>
      </c>
      <c r="AL318" s="98">
        <f>'Supply planning data'!AN316</f>
        <v>0</v>
      </c>
      <c r="AM318" s="325" t="str">
        <f>'Supply planning data'!AO316</f>
        <v/>
      </c>
    </row>
    <row r="319" spans="1:39" hidden="1" x14ac:dyDescent="0.25">
      <c r="A319" s="90" t="str">
        <f>'Supply planning data'!C317</f>
        <v/>
      </c>
      <c r="B319" s="296">
        <f>'Supply planning data'!D317</f>
        <v>44805</v>
      </c>
      <c r="C319" s="92" t="str">
        <f>'Supply planning data'!E317</f>
        <v>No</v>
      </c>
      <c r="D319" s="92">
        <f>'Supply planning data'!F317</f>
        <v>0</v>
      </c>
      <c r="E319" s="316">
        <f>'Supply planning data'!G317</f>
        <v>0</v>
      </c>
      <c r="F319" s="317">
        <f>'Supply planning data'!H317</f>
        <v>0</v>
      </c>
      <c r="G319" s="317">
        <f>'Supply planning data'!I317</f>
        <v>0</v>
      </c>
      <c r="H319" s="98">
        <f>'Supply planning data'!J317</f>
        <v>0</v>
      </c>
      <c r="I319" s="317">
        <f>'Supply planning data'!K317</f>
        <v>0</v>
      </c>
      <c r="J319" s="175" t="str">
        <f>'Supply planning data'!L317</f>
        <v/>
      </c>
      <c r="K319" s="98">
        <f>'Supply planning data'!M317</f>
        <v>0</v>
      </c>
      <c r="L319" s="317">
        <f>'Supply planning data'!N317+'Supply planning data'!P317</f>
        <v>0</v>
      </c>
      <c r="M319" s="339">
        <f>'Supply planning data'!O317</f>
        <v>0</v>
      </c>
      <c r="N319" s="317">
        <f>'Supply planning data'!P317</f>
        <v>0</v>
      </c>
      <c r="O319" s="339">
        <f>'Supply planning data'!Q317</f>
        <v>0</v>
      </c>
      <c r="P319" s="98">
        <f>'Supply planning data'!R317</f>
        <v>0</v>
      </c>
      <c r="Q319" s="98">
        <f>'Supply planning data'!S317</f>
        <v>0</v>
      </c>
      <c r="R319" s="98">
        <f>'Supply planning data'!T317</f>
        <v>0</v>
      </c>
      <c r="S319" s="98">
        <f>'Supply planning data'!U317</f>
        <v>0</v>
      </c>
      <c r="T319" s="98">
        <f>'Supply planning data'!V317</f>
        <v>0</v>
      </c>
      <c r="U319" s="325" t="str">
        <f>'Supply planning data'!W317</f>
        <v/>
      </c>
      <c r="V319" s="98">
        <f>'Supply planning data'!X317</f>
        <v>0</v>
      </c>
      <c r="W319" s="317">
        <f>'Supply planning data'!Y317</f>
        <v>0</v>
      </c>
      <c r="X319" s="328">
        <f>'Supply planning data'!Z317</f>
        <v>0</v>
      </c>
      <c r="Y319" s="98">
        <f>'Supply planning data'!AA317</f>
        <v>0</v>
      </c>
      <c r="Z319" s="98">
        <f>'Supply planning data'!AB317</f>
        <v>0</v>
      </c>
      <c r="AA319" s="98">
        <f>'Supply planning data'!AC317</f>
        <v>0</v>
      </c>
      <c r="AB319" s="98">
        <f>'Supply planning data'!AD317</f>
        <v>0</v>
      </c>
      <c r="AC319" s="98">
        <f>'Supply planning data'!AE317</f>
        <v>0</v>
      </c>
      <c r="AD319" s="325" t="str">
        <f>'Supply planning data'!AF317</f>
        <v/>
      </c>
      <c r="AE319" s="98">
        <f>'Supply planning data'!AG317</f>
        <v>0</v>
      </c>
      <c r="AF319" s="317">
        <f>'Supply planning data'!AH317</f>
        <v>0</v>
      </c>
      <c r="AG319" s="175">
        <f>'Supply planning data'!AI317</f>
        <v>0</v>
      </c>
      <c r="AH319" s="98">
        <f>'Supply planning data'!AJ317</f>
        <v>0</v>
      </c>
      <c r="AI319" s="98">
        <f>'Supply planning data'!AK317</f>
        <v>0</v>
      </c>
      <c r="AJ319" s="98">
        <f>'Supply planning data'!AL317</f>
        <v>0</v>
      </c>
      <c r="AK319" s="98">
        <f>'Supply planning data'!AM317</f>
        <v>0</v>
      </c>
      <c r="AL319" s="98">
        <f>'Supply planning data'!AN317</f>
        <v>0</v>
      </c>
      <c r="AM319" s="325" t="str">
        <f>'Supply planning data'!AO317</f>
        <v/>
      </c>
    </row>
    <row r="320" spans="1:39" hidden="1" x14ac:dyDescent="0.25">
      <c r="A320" s="90" t="str">
        <f>'Supply planning data'!C318</f>
        <v/>
      </c>
      <c r="B320" s="296">
        <f>'Supply planning data'!D318</f>
        <v>44805</v>
      </c>
      <c r="C320" s="92" t="str">
        <f>'Supply planning data'!E318</f>
        <v>No</v>
      </c>
      <c r="D320" s="92">
        <f>'Supply planning data'!F318</f>
        <v>0</v>
      </c>
      <c r="E320" s="316">
        <f>'Supply planning data'!G318</f>
        <v>0</v>
      </c>
      <c r="F320" s="317">
        <f>'Supply planning data'!H318</f>
        <v>0</v>
      </c>
      <c r="G320" s="317">
        <f>'Supply planning data'!I318</f>
        <v>0</v>
      </c>
      <c r="H320" s="98">
        <f>'Supply planning data'!J318</f>
        <v>0</v>
      </c>
      <c r="I320" s="317">
        <f>'Supply planning data'!K318</f>
        <v>0</v>
      </c>
      <c r="J320" s="175" t="str">
        <f>'Supply planning data'!L318</f>
        <v/>
      </c>
      <c r="K320" s="98">
        <f>'Supply planning data'!M318</f>
        <v>0</v>
      </c>
      <c r="L320" s="317">
        <f>'Supply planning data'!N318+'Supply planning data'!P318</f>
        <v>0</v>
      </c>
      <c r="M320" s="339">
        <f>'Supply planning data'!O318</f>
        <v>0</v>
      </c>
      <c r="N320" s="317">
        <f>'Supply planning data'!P318</f>
        <v>0</v>
      </c>
      <c r="O320" s="339">
        <f>'Supply planning data'!Q318</f>
        <v>0</v>
      </c>
      <c r="P320" s="98">
        <f>'Supply planning data'!R318</f>
        <v>0</v>
      </c>
      <c r="Q320" s="98">
        <f>'Supply planning data'!S318</f>
        <v>0</v>
      </c>
      <c r="R320" s="98">
        <f>'Supply planning data'!T318</f>
        <v>0</v>
      </c>
      <c r="S320" s="98">
        <f>'Supply planning data'!U318</f>
        <v>0</v>
      </c>
      <c r="T320" s="98">
        <f>'Supply planning data'!V318</f>
        <v>0</v>
      </c>
      <c r="U320" s="325" t="str">
        <f>'Supply planning data'!W318</f>
        <v/>
      </c>
      <c r="V320" s="98">
        <f>'Supply planning data'!X318</f>
        <v>0</v>
      </c>
      <c r="W320" s="317">
        <f>'Supply planning data'!Y318</f>
        <v>0</v>
      </c>
      <c r="X320" s="328">
        <f>'Supply planning data'!Z318</f>
        <v>0</v>
      </c>
      <c r="Y320" s="98">
        <f>'Supply planning data'!AA318</f>
        <v>0</v>
      </c>
      <c r="Z320" s="98">
        <f>'Supply planning data'!AB318</f>
        <v>0</v>
      </c>
      <c r="AA320" s="98">
        <f>'Supply planning data'!AC318</f>
        <v>0</v>
      </c>
      <c r="AB320" s="98">
        <f>'Supply planning data'!AD318</f>
        <v>0</v>
      </c>
      <c r="AC320" s="98">
        <f>'Supply planning data'!AE318</f>
        <v>0</v>
      </c>
      <c r="AD320" s="325" t="str">
        <f>'Supply planning data'!AF318</f>
        <v/>
      </c>
      <c r="AE320" s="98">
        <f>'Supply planning data'!AG318</f>
        <v>0</v>
      </c>
      <c r="AF320" s="317">
        <f>'Supply planning data'!AH318</f>
        <v>0</v>
      </c>
      <c r="AG320" s="175">
        <f>'Supply planning data'!AI318</f>
        <v>0</v>
      </c>
      <c r="AH320" s="98">
        <f>'Supply planning data'!AJ318</f>
        <v>0</v>
      </c>
      <c r="AI320" s="98">
        <f>'Supply planning data'!AK318</f>
        <v>0</v>
      </c>
      <c r="AJ320" s="98">
        <f>'Supply planning data'!AL318</f>
        <v>0</v>
      </c>
      <c r="AK320" s="98">
        <f>'Supply planning data'!AM318</f>
        <v>0</v>
      </c>
      <c r="AL320" s="98">
        <f>'Supply planning data'!AN318</f>
        <v>0</v>
      </c>
      <c r="AM320" s="325" t="str">
        <f>'Supply planning data'!AO318</f>
        <v/>
      </c>
    </row>
    <row r="321" spans="1:39" hidden="1" x14ac:dyDescent="0.25">
      <c r="A321" s="90" t="str">
        <f>'Supply planning data'!C319</f>
        <v/>
      </c>
      <c r="B321" s="296">
        <f>'Supply planning data'!D319</f>
        <v>44805</v>
      </c>
      <c r="C321" s="92" t="str">
        <f>'Supply planning data'!E319</f>
        <v>No</v>
      </c>
      <c r="D321" s="92">
        <f>'Supply planning data'!F319</f>
        <v>0</v>
      </c>
      <c r="E321" s="316">
        <f>'Supply planning data'!G319</f>
        <v>0</v>
      </c>
      <c r="F321" s="317">
        <f>'Supply planning data'!H319</f>
        <v>0</v>
      </c>
      <c r="G321" s="317">
        <f>'Supply planning data'!I319</f>
        <v>0</v>
      </c>
      <c r="H321" s="98">
        <f>'Supply planning data'!J319</f>
        <v>0</v>
      </c>
      <c r="I321" s="317">
        <f>'Supply planning data'!K319</f>
        <v>0</v>
      </c>
      <c r="J321" s="175" t="str">
        <f>'Supply planning data'!L319</f>
        <v/>
      </c>
      <c r="K321" s="98">
        <f>'Supply planning data'!M319</f>
        <v>0</v>
      </c>
      <c r="L321" s="317">
        <f>'Supply planning data'!N319+'Supply planning data'!P319</f>
        <v>0</v>
      </c>
      <c r="M321" s="339">
        <f>'Supply planning data'!O319</f>
        <v>0</v>
      </c>
      <c r="N321" s="317">
        <f>'Supply planning data'!P319</f>
        <v>0</v>
      </c>
      <c r="O321" s="339">
        <f>'Supply planning data'!Q319</f>
        <v>0</v>
      </c>
      <c r="P321" s="98">
        <f>'Supply planning data'!R319</f>
        <v>0</v>
      </c>
      <c r="Q321" s="98">
        <f>'Supply planning data'!S319</f>
        <v>0</v>
      </c>
      <c r="R321" s="98">
        <f>'Supply planning data'!T319</f>
        <v>0</v>
      </c>
      <c r="S321" s="98">
        <f>'Supply planning data'!U319</f>
        <v>0</v>
      </c>
      <c r="T321" s="98">
        <f>'Supply planning data'!V319</f>
        <v>0</v>
      </c>
      <c r="U321" s="325" t="str">
        <f>'Supply planning data'!W319</f>
        <v/>
      </c>
      <c r="V321" s="98">
        <f>'Supply planning data'!X319</f>
        <v>0</v>
      </c>
      <c r="W321" s="317">
        <f>'Supply planning data'!Y319</f>
        <v>0</v>
      </c>
      <c r="X321" s="328">
        <f>'Supply planning data'!Z319</f>
        <v>0</v>
      </c>
      <c r="Y321" s="98">
        <f>'Supply planning data'!AA319</f>
        <v>0</v>
      </c>
      <c r="Z321" s="98">
        <f>'Supply planning data'!AB319</f>
        <v>0</v>
      </c>
      <c r="AA321" s="98">
        <f>'Supply planning data'!AC319</f>
        <v>0</v>
      </c>
      <c r="AB321" s="98">
        <f>'Supply planning data'!AD319</f>
        <v>0</v>
      </c>
      <c r="AC321" s="98">
        <f>'Supply planning data'!AE319</f>
        <v>0</v>
      </c>
      <c r="AD321" s="325" t="str">
        <f>'Supply planning data'!AF319</f>
        <v/>
      </c>
      <c r="AE321" s="98">
        <f>'Supply planning data'!AG319</f>
        <v>0</v>
      </c>
      <c r="AF321" s="317">
        <f>'Supply planning data'!AH319</f>
        <v>0</v>
      </c>
      <c r="AG321" s="175">
        <f>'Supply planning data'!AI319</f>
        <v>0</v>
      </c>
      <c r="AH321" s="98">
        <f>'Supply planning data'!AJ319</f>
        <v>0</v>
      </c>
      <c r="AI321" s="98">
        <f>'Supply planning data'!AK319</f>
        <v>0</v>
      </c>
      <c r="AJ321" s="98">
        <f>'Supply planning data'!AL319</f>
        <v>0</v>
      </c>
      <c r="AK321" s="98">
        <f>'Supply planning data'!AM319</f>
        <v>0</v>
      </c>
      <c r="AL321" s="98">
        <f>'Supply planning data'!AN319</f>
        <v>0</v>
      </c>
      <c r="AM321" s="325" t="str">
        <f>'Supply planning data'!AO319</f>
        <v/>
      </c>
    </row>
    <row r="322" spans="1:39" x14ac:dyDescent="0.25">
      <c r="A322" s="104" t="str">
        <f>'Supply planning data'!C320</f>
        <v>AstraZeneca</v>
      </c>
      <c r="B322" s="298">
        <f>'Supply planning data'!D320</f>
        <v>44835</v>
      </c>
      <c r="C322" s="105" t="str">
        <f>'Supply planning data'!E320</f>
        <v>Yes</v>
      </c>
      <c r="D322" s="105">
        <f>'Supply planning data'!F320</f>
        <v>0</v>
      </c>
      <c r="E322" s="320">
        <f>'Supply planning data'!G320</f>
        <v>0</v>
      </c>
      <c r="F322" s="320">
        <f>'Supply planning data'!H320</f>
        <v>0</v>
      </c>
      <c r="G322" s="320">
        <f>'Supply planning data'!I320</f>
        <v>0</v>
      </c>
      <c r="H322" s="105">
        <f>'Supply planning data'!J320</f>
        <v>0</v>
      </c>
      <c r="I322" s="320">
        <f>'Supply planning data'!K320</f>
        <v>0</v>
      </c>
      <c r="J322" s="177" t="str">
        <f>'Supply planning data'!L320</f>
        <v/>
      </c>
      <c r="K322" s="105">
        <f>'Supply planning data'!M320</f>
        <v>0</v>
      </c>
      <c r="L322" s="320">
        <f>'Supply planning data'!N320+'Supply planning data'!P320</f>
        <v>0</v>
      </c>
      <c r="M322" s="341">
        <f>'Supply planning data'!O320</f>
        <v>0</v>
      </c>
      <c r="N322" s="320">
        <f>'Supply planning data'!P320</f>
        <v>0</v>
      </c>
      <c r="O322" s="341">
        <f>'Supply planning data'!Q320</f>
        <v>0</v>
      </c>
      <c r="P322" s="105">
        <f>'Supply planning data'!R320</f>
        <v>0</v>
      </c>
      <c r="Q322" s="105">
        <f>'Supply planning data'!S320</f>
        <v>0</v>
      </c>
      <c r="R322" s="105">
        <f>'Supply planning data'!T320</f>
        <v>0</v>
      </c>
      <c r="S322" s="105">
        <f>'Supply planning data'!U320</f>
        <v>0</v>
      </c>
      <c r="T322" s="105">
        <f>'Supply planning data'!V320</f>
        <v>0</v>
      </c>
      <c r="U322" s="326" t="str">
        <f>'Supply planning data'!W320</f>
        <v/>
      </c>
      <c r="V322" s="105">
        <f>'Supply planning data'!X320</f>
        <v>314701</v>
      </c>
      <c r="W322" s="320">
        <f>'Supply planning data'!Y320</f>
        <v>80000</v>
      </c>
      <c r="X322" s="329">
        <f>'Supply planning data'!Z320</f>
        <v>0</v>
      </c>
      <c r="Y322" s="105">
        <f>'Supply planning data'!AA320</f>
        <v>80000</v>
      </c>
      <c r="Z322" s="105">
        <f>'Supply planning data'!AB320</f>
        <v>0</v>
      </c>
      <c r="AA322" s="105">
        <f>'Supply planning data'!AC320</f>
        <v>0</v>
      </c>
      <c r="AB322" s="105">
        <f>'Supply planning data'!AD320</f>
        <v>0</v>
      </c>
      <c r="AC322" s="105">
        <f>'Supply planning data'!AE320</f>
        <v>234701</v>
      </c>
      <c r="AD322" s="326">
        <f>'Supply planning data'!AF320</f>
        <v>4.4006437499999995</v>
      </c>
      <c r="AE322" s="105">
        <f>'Supply planning data'!AG320</f>
        <v>0</v>
      </c>
      <c r="AF322" s="320">
        <f>'Supply planning data'!AH320</f>
        <v>0</v>
      </c>
      <c r="AG322" s="177">
        <f>'Supply planning data'!AI320</f>
        <v>0</v>
      </c>
      <c r="AH322" s="105">
        <f>'Supply planning data'!AJ320</f>
        <v>0</v>
      </c>
      <c r="AI322" s="105">
        <f>'Supply planning data'!AK320</f>
        <v>0</v>
      </c>
      <c r="AJ322" s="105">
        <f>'Supply planning data'!AL320</f>
        <v>0</v>
      </c>
      <c r="AK322" s="105">
        <f>'Supply planning data'!AM320</f>
        <v>0</v>
      </c>
      <c r="AL322" s="105">
        <f>'Supply planning data'!AN320</f>
        <v>0</v>
      </c>
      <c r="AM322" s="326" t="str">
        <f>'Supply planning data'!AO320</f>
        <v/>
      </c>
    </row>
    <row r="323" spans="1:39" x14ac:dyDescent="0.25">
      <c r="A323" s="109" t="str">
        <f>'Supply planning data'!C321</f>
        <v>Jansen</v>
      </c>
      <c r="B323" s="298">
        <f>'Supply planning data'!D321</f>
        <v>44835</v>
      </c>
      <c r="C323" s="105" t="str">
        <f>'Supply planning data'!E321</f>
        <v>Yes</v>
      </c>
      <c r="D323" s="105">
        <f>'Supply planning data'!F321</f>
        <v>2058747</v>
      </c>
      <c r="E323" s="320">
        <f>'Supply planning data'!G321</f>
        <v>0</v>
      </c>
      <c r="F323" s="320">
        <f>'Supply planning data'!H321</f>
        <v>0</v>
      </c>
      <c r="G323" s="320">
        <f>'Supply planning data'!I321</f>
        <v>0</v>
      </c>
      <c r="H323" s="105">
        <f>'Supply planning data'!J321</f>
        <v>0</v>
      </c>
      <c r="I323" s="320">
        <f>'Supply planning data'!K321</f>
        <v>0</v>
      </c>
      <c r="J323" s="177" t="str">
        <f>'Supply planning data'!L321</f>
        <v/>
      </c>
      <c r="K323" s="105">
        <f>'Supply planning data'!M321</f>
        <v>0</v>
      </c>
      <c r="L323" s="321">
        <f>'Supply planning data'!N321+'Supply planning data'!P321</f>
        <v>0</v>
      </c>
      <c r="M323" s="342">
        <f>'Supply planning data'!O321</f>
        <v>0</v>
      </c>
      <c r="N323" s="321">
        <f>'Supply planning data'!P321</f>
        <v>0</v>
      </c>
      <c r="O323" s="342">
        <f>'Supply planning data'!Q321</f>
        <v>0</v>
      </c>
      <c r="P323" s="111">
        <f>'Supply planning data'!R321</f>
        <v>0</v>
      </c>
      <c r="Q323" s="111">
        <f>'Supply planning data'!S321</f>
        <v>0</v>
      </c>
      <c r="R323" s="111">
        <f>'Supply planning data'!T321</f>
        <v>0</v>
      </c>
      <c r="S323" s="111">
        <f>'Supply planning data'!U321</f>
        <v>0</v>
      </c>
      <c r="T323" s="111">
        <f>'Supply planning data'!V321</f>
        <v>2058747</v>
      </c>
      <c r="U323" s="327" t="str">
        <f>'Supply planning data'!W321</f>
        <v/>
      </c>
      <c r="V323" s="111">
        <f>'Supply planning data'!X321</f>
        <v>1658747</v>
      </c>
      <c r="W323" s="321">
        <f>'Supply planning data'!Y321</f>
        <v>80000</v>
      </c>
      <c r="X323" s="329">
        <f>'Supply planning data'!Z321</f>
        <v>0</v>
      </c>
      <c r="Y323" s="111">
        <f>'Supply planning data'!AA321</f>
        <v>80000</v>
      </c>
      <c r="Z323" s="111">
        <f>'Supply planning data'!AB321</f>
        <v>0</v>
      </c>
      <c r="AA323" s="111">
        <f>'Supply planning data'!AC321</f>
        <v>0</v>
      </c>
      <c r="AB323" s="111">
        <f>'Supply planning data'!AD321</f>
        <v>0</v>
      </c>
      <c r="AC323" s="111">
        <f>'Supply planning data'!AE321</f>
        <v>1578747</v>
      </c>
      <c r="AD323" s="327">
        <f>'Supply planning data'!AF321</f>
        <v>29.60150625</v>
      </c>
      <c r="AE323" s="111">
        <f>'Supply planning data'!AG321</f>
        <v>2058747</v>
      </c>
      <c r="AF323" s="321">
        <f>'Supply planning data'!AH321</f>
        <v>0</v>
      </c>
      <c r="AG323" s="349">
        <f>'Supply planning data'!AI321</f>
        <v>0</v>
      </c>
      <c r="AH323" s="111">
        <f>'Supply planning data'!AJ321</f>
        <v>0</v>
      </c>
      <c r="AI323" s="111">
        <f>'Supply planning data'!AK321</f>
        <v>0</v>
      </c>
      <c r="AJ323" s="111">
        <f>'Supply planning data'!AL321</f>
        <v>0</v>
      </c>
      <c r="AK323" s="111">
        <f>'Supply planning data'!AM321</f>
        <v>0</v>
      </c>
      <c r="AL323" s="111">
        <f>'Supply planning data'!AN321</f>
        <v>2058747</v>
      </c>
      <c r="AM323" s="327" t="str">
        <f>'Supply planning data'!AO321</f>
        <v/>
      </c>
    </row>
    <row r="324" spans="1:39" x14ac:dyDescent="0.25">
      <c r="A324" s="104" t="str">
        <f>'Supply planning data'!C322</f>
        <v>Moderna</v>
      </c>
      <c r="B324" s="298">
        <f>'Supply planning data'!D322</f>
        <v>44835</v>
      </c>
      <c r="C324" s="105" t="str">
        <f>'Supply planning data'!E322</f>
        <v>No</v>
      </c>
      <c r="D324" s="105">
        <f>'Supply planning data'!F322</f>
        <v>0</v>
      </c>
      <c r="E324" s="320">
        <f>'Supply planning data'!G322</f>
        <v>0</v>
      </c>
      <c r="F324" s="320">
        <f>'Supply planning data'!H322</f>
        <v>0</v>
      </c>
      <c r="G324" s="320">
        <f>'Supply planning data'!I322</f>
        <v>0</v>
      </c>
      <c r="H324" s="105">
        <f>'Supply planning data'!J322</f>
        <v>0</v>
      </c>
      <c r="I324" s="320">
        <f>'Supply planning data'!K322</f>
        <v>0</v>
      </c>
      <c r="J324" s="177" t="str">
        <f>'Supply planning data'!L322</f>
        <v/>
      </c>
      <c r="K324" s="105">
        <f>'Supply planning data'!M322</f>
        <v>0</v>
      </c>
      <c r="L324" s="321">
        <f>'Supply planning data'!N322+'Supply planning data'!P322</f>
        <v>0</v>
      </c>
      <c r="M324" s="342">
        <f>'Supply planning data'!O322</f>
        <v>0</v>
      </c>
      <c r="N324" s="321">
        <f>'Supply planning data'!P322</f>
        <v>0</v>
      </c>
      <c r="O324" s="342">
        <f>'Supply planning data'!Q322</f>
        <v>0</v>
      </c>
      <c r="P324" s="111">
        <f>'Supply planning data'!R322</f>
        <v>0</v>
      </c>
      <c r="Q324" s="111">
        <f>'Supply planning data'!S322</f>
        <v>0</v>
      </c>
      <c r="R324" s="111">
        <f>'Supply planning data'!T322</f>
        <v>0</v>
      </c>
      <c r="S324" s="111">
        <f>'Supply planning data'!U322</f>
        <v>0</v>
      </c>
      <c r="T324" s="111">
        <f>'Supply planning data'!V322</f>
        <v>0</v>
      </c>
      <c r="U324" s="327" t="str">
        <f>'Supply planning data'!W322</f>
        <v/>
      </c>
      <c r="V324" s="111">
        <f>'Supply planning data'!X322</f>
        <v>0</v>
      </c>
      <c r="W324" s="321">
        <f>'Supply planning data'!Y322</f>
        <v>80000</v>
      </c>
      <c r="X324" s="329">
        <f>'Supply planning data'!Z322</f>
        <v>0</v>
      </c>
      <c r="Y324" s="111">
        <f>'Supply planning data'!AA322</f>
        <v>80000</v>
      </c>
      <c r="Z324" s="111">
        <f>'Supply planning data'!AB322</f>
        <v>0</v>
      </c>
      <c r="AA324" s="111">
        <f>'Supply planning data'!AC322</f>
        <v>0</v>
      </c>
      <c r="AB324" s="111">
        <f>'Supply planning data'!AD322</f>
        <v>0</v>
      </c>
      <c r="AC324" s="111">
        <f>'Supply planning data'!AE322</f>
        <v>0</v>
      </c>
      <c r="AD324" s="327">
        <f>'Supply planning data'!AF322</f>
        <v>0</v>
      </c>
      <c r="AE324" s="111">
        <f>'Supply planning data'!AG322</f>
        <v>0</v>
      </c>
      <c r="AF324" s="321">
        <f>'Supply planning data'!AH322</f>
        <v>0</v>
      </c>
      <c r="AG324" s="349">
        <f>'Supply planning data'!AI322</f>
        <v>0</v>
      </c>
      <c r="AH324" s="111">
        <f>'Supply planning data'!AJ322</f>
        <v>0</v>
      </c>
      <c r="AI324" s="111">
        <f>'Supply planning data'!AK322</f>
        <v>0</v>
      </c>
      <c r="AJ324" s="111">
        <f>'Supply planning data'!AL322</f>
        <v>0</v>
      </c>
      <c r="AK324" s="111">
        <f>'Supply planning data'!AM322</f>
        <v>0</v>
      </c>
      <c r="AL324" s="111">
        <f>'Supply planning data'!AN322</f>
        <v>0</v>
      </c>
      <c r="AM324" s="327" t="str">
        <f>'Supply planning data'!AO322</f>
        <v/>
      </c>
    </row>
    <row r="325" spans="1:39" x14ac:dyDescent="0.25">
      <c r="A325" s="109" t="str">
        <f>'Supply planning data'!C323</f>
        <v>Pfizer</v>
      </c>
      <c r="B325" s="298">
        <f>'Supply planning data'!D323</f>
        <v>44835</v>
      </c>
      <c r="C325" s="105" t="str">
        <f>'Supply planning data'!E323</f>
        <v>Yes</v>
      </c>
      <c r="D325" s="105">
        <f>'Supply planning data'!F323</f>
        <v>3000000</v>
      </c>
      <c r="E325" s="320">
        <f>'Supply planning data'!G323</f>
        <v>0</v>
      </c>
      <c r="F325" s="320">
        <f>'Supply planning data'!H323</f>
        <v>0</v>
      </c>
      <c r="G325" s="320">
        <f>'Supply planning data'!I323</f>
        <v>0</v>
      </c>
      <c r="H325" s="105">
        <f>'Supply planning data'!J323</f>
        <v>0</v>
      </c>
      <c r="I325" s="320">
        <f>'Supply planning data'!K323</f>
        <v>0</v>
      </c>
      <c r="J325" s="177" t="str">
        <f>'Supply planning data'!L323</f>
        <v/>
      </c>
      <c r="K325" s="105">
        <f>'Supply planning data'!M323</f>
        <v>0</v>
      </c>
      <c r="L325" s="321">
        <f>'Supply planning data'!N323+'Supply planning data'!P323</f>
        <v>0</v>
      </c>
      <c r="M325" s="342">
        <f>'Supply planning data'!O323</f>
        <v>0</v>
      </c>
      <c r="N325" s="321">
        <f>'Supply planning data'!P323</f>
        <v>0</v>
      </c>
      <c r="O325" s="342">
        <f>'Supply planning data'!Q323</f>
        <v>0</v>
      </c>
      <c r="P325" s="111">
        <f>'Supply planning data'!R323</f>
        <v>0</v>
      </c>
      <c r="Q325" s="111">
        <f>'Supply planning data'!S323</f>
        <v>0</v>
      </c>
      <c r="R325" s="111">
        <f>'Supply planning data'!T323</f>
        <v>110538</v>
      </c>
      <c r="S325" s="111">
        <f>'Supply planning data'!U323</f>
        <v>0</v>
      </c>
      <c r="T325" s="111">
        <f>'Supply planning data'!V323</f>
        <v>3000000</v>
      </c>
      <c r="U325" s="327" t="str">
        <f>'Supply planning data'!W323</f>
        <v/>
      </c>
      <c r="V325" s="111">
        <f>'Supply planning data'!X323</f>
        <v>2600000</v>
      </c>
      <c r="W325" s="321">
        <f>'Supply planning data'!Y323</f>
        <v>80000</v>
      </c>
      <c r="X325" s="329">
        <f>'Supply planning data'!Z323</f>
        <v>0</v>
      </c>
      <c r="Y325" s="111">
        <f>'Supply planning data'!AA323</f>
        <v>80000</v>
      </c>
      <c r="Z325" s="111">
        <f>'Supply planning data'!AB323</f>
        <v>0</v>
      </c>
      <c r="AA325" s="111">
        <f>'Supply planning data'!AC323</f>
        <v>0</v>
      </c>
      <c r="AB325" s="111">
        <f>'Supply planning data'!AD323</f>
        <v>0</v>
      </c>
      <c r="AC325" s="111">
        <f>'Supply planning data'!AE323</f>
        <v>2520000</v>
      </c>
      <c r="AD325" s="327">
        <f>'Supply planning data'!AF323</f>
        <v>47.25</v>
      </c>
      <c r="AE325" s="111">
        <f>'Supply planning data'!AG323</f>
        <v>3000000</v>
      </c>
      <c r="AF325" s="321">
        <f>'Supply planning data'!AH323</f>
        <v>0</v>
      </c>
      <c r="AG325" s="349">
        <f>'Supply planning data'!AI323</f>
        <v>0</v>
      </c>
      <c r="AH325" s="111">
        <f>'Supply planning data'!AJ323</f>
        <v>0</v>
      </c>
      <c r="AI325" s="111">
        <f>'Supply planning data'!AK323</f>
        <v>0</v>
      </c>
      <c r="AJ325" s="111">
        <f>'Supply planning data'!AL323</f>
        <v>110538</v>
      </c>
      <c r="AK325" s="111">
        <f>'Supply planning data'!AM323</f>
        <v>0</v>
      </c>
      <c r="AL325" s="111">
        <f>'Supply planning data'!AN323</f>
        <v>3000000</v>
      </c>
      <c r="AM325" s="327" t="str">
        <f>'Supply planning data'!AO323</f>
        <v/>
      </c>
    </row>
    <row r="326" spans="1:39" x14ac:dyDescent="0.25">
      <c r="A326" s="104" t="str">
        <f>'Supply planning data'!C324</f>
        <v>Sinovac</v>
      </c>
      <c r="B326" s="298">
        <f>'Supply planning data'!D324</f>
        <v>44835</v>
      </c>
      <c r="C326" s="105" t="str">
        <f>'Supply planning data'!E324</f>
        <v>No</v>
      </c>
      <c r="D326" s="105">
        <f>'Supply planning data'!F324</f>
        <v>0</v>
      </c>
      <c r="E326" s="320">
        <f>'Supply planning data'!G324</f>
        <v>0</v>
      </c>
      <c r="F326" s="320">
        <f>'Supply planning data'!H324</f>
        <v>0</v>
      </c>
      <c r="G326" s="320">
        <f>'Supply planning data'!I324</f>
        <v>0</v>
      </c>
      <c r="H326" s="105">
        <f>'Supply planning data'!J324</f>
        <v>0</v>
      </c>
      <c r="I326" s="320">
        <f>'Supply planning data'!K324</f>
        <v>0</v>
      </c>
      <c r="J326" s="177" t="str">
        <f>'Supply planning data'!L324</f>
        <v/>
      </c>
      <c r="K326" s="105">
        <f>'Supply planning data'!M324</f>
        <v>0</v>
      </c>
      <c r="L326" s="321">
        <f>'Supply planning data'!N324+'Supply planning data'!P324</f>
        <v>0</v>
      </c>
      <c r="M326" s="342">
        <f>'Supply planning data'!O324</f>
        <v>0</v>
      </c>
      <c r="N326" s="321">
        <f>'Supply planning data'!P324</f>
        <v>0</v>
      </c>
      <c r="O326" s="342">
        <f>'Supply planning data'!Q324</f>
        <v>0</v>
      </c>
      <c r="P326" s="111">
        <f>'Supply planning data'!R324</f>
        <v>0</v>
      </c>
      <c r="Q326" s="111">
        <f>'Supply planning data'!S324</f>
        <v>0</v>
      </c>
      <c r="R326" s="111">
        <f>'Supply planning data'!T324</f>
        <v>0</v>
      </c>
      <c r="S326" s="111">
        <f>'Supply planning data'!U324</f>
        <v>0</v>
      </c>
      <c r="T326" s="111">
        <f>'Supply planning data'!V324</f>
        <v>0</v>
      </c>
      <c r="U326" s="327" t="str">
        <f>'Supply planning data'!W324</f>
        <v/>
      </c>
      <c r="V326" s="111">
        <f>'Supply planning data'!X324</f>
        <v>0</v>
      </c>
      <c r="W326" s="321">
        <f>'Supply planning data'!Y324</f>
        <v>80000</v>
      </c>
      <c r="X326" s="329">
        <f>'Supply planning data'!Z324</f>
        <v>0</v>
      </c>
      <c r="Y326" s="111">
        <f>'Supply planning data'!AA324</f>
        <v>80000</v>
      </c>
      <c r="Z326" s="111">
        <f>'Supply planning data'!AB324</f>
        <v>0</v>
      </c>
      <c r="AA326" s="111">
        <f>'Supply planning data'!AC324</f>
        <v>0</v>
      </c>
      <c r="AB326" s="111">
        <f>'Supply planning data'!AD324</f>
        <v>0</v>
      </c>
      <c r="AC326" s="111">
        <f>'Supply planning data'!AE324</f>
        <v>0</v>
      </c>
      <c r="AD326" s="327">
        <f>'Supply planning data'!AF324</f>
        <v>0</v>
      </c>
      <c r="AE326" s="111">
        <f>'Supply planning data'!AG324</f>
        <v>0</v>
      </c>
      <c r="AF326" s="321">
        <f>'Supply planning data'!AH324</f>
        <v>0</v>
      </c>
      <c r="AG326" s="349">
        <f>'Supply planning data'!AI324</f>
        <v>0</v>
      </c>
      <c r="AH326" s="111">
        <f>'Supply planning data'!AJ324</f>
        <v>0</v>
      </c>
      <c r="AI326" s="111">
        <f>'Supply planning data'!AK324</f>
        <v>0</v>
      </c>
      <c r="AJ326" s="111">
        <f>'Supply planning data'!AL324</f>
        <v>0</v>
      </c>
      <c r="AK326" s="111">
        <f>'Supply planning data'!AM324</f>
        <v>0</v>
      </c>
      <c r="AL326" s="111">
        <f>'Supply planning data'!AN324</f>
        <v>0</v>
      </c>
      <c r="AM326" s="327" t="str">
        <f>'Supply planning data'!AO324</f>
        <v/>
      </c>
    </row>
    <row r="327" spans="1:39" hidden="1" x14ac:dyDescent="0.25">
      <c r="A327" s="109" t="str">
        <f>'Supply planning data'!C325</f>
        <v/>
      </c>
      <c r="B327" s="298">
        <f>'Supply planning data'!D325</f>
        <v>44835</v>
      </c>
      <c r="C327" s="105" t="str">
        <f>'Supply planning data'!E325</f>
        <v>No</v>
      </c>
      <c r="D327" s="105">
        <f>'Supply planning data'!F325</f>
        <v>0</v>
      </c>
      <c r="E327" s="320">
        <f>'Supply planning data'!G325</f>
        <v>0</v>
      </c>
      <c r="F327" s="320">
        <f>'Supply planning data'!H325</f>
        <v>0</v>
      </c>
      <c r="G327" s="320">
        <f>'Supply planning data'!I325</f>
        <v>0</v>
      </c>
      <c r="H327" s="105">
        <f>'Supply planning data'!J325</f>
        <v>0</v>
      </c>
      <c r="I327" s="320">
        <f>'Supply planning data'!K325</f>
        <v>0</v>
      </c>
      <c r="J327" s="177" t="str">
        <f>'Supply planning data'!L325</f>
        <v/>
      </c>
      <c r="K327" s="105">
        <f>'Supply planning data'!M325</f>
        <v>0</v>
      </c>
      <c r="L327" s="321">
        <f>'Supply planning data'!N325+'Supply planning data'!P325</f>
        <v>0</v>
      </c>
      <c r="M327" s="342">
        <f>'Supply planning data'!O325</f>
        <v>0</v>
      </c>
      <c r="N327" s="321">
        <f>'Supply planning data'!P325</f>
        <v>0</v>
      </c>
      <c r="O327" s="342">
        <f>'Supply planning data'!Q325</f>
        <v>0</v>
      </c>
      <c r="P327" s="111">
        <f>'Supply planning data'!R325</f>
        <v>0</v>
      </c>
      <c r="Q327" s="111">
        <f>'Supply planning data'!S325</f>
        <v>0</v>
      </c>
      <c r="R327" s="111">
        <f>'Supply planning data'!T325</f>
        <v>0</v>
      </c>
      <c r="S327" s="111">
        <f>'Supply planning data'!U325</f>
        <v>0</v>
      </c>
      <c r="T327" s="111">
        <f>'Supply planning data'!V325</f>
        <v>0</v>
      </c>
      <c r="U327" s="327" t="str">
        <f>'Supply planning data'!W325</f>
        <v/>
      </c>
      <c r="V327" s="111">
        <f>'Supply planning data'!X325</f>
        <v>0</v>
      </c>
      <c r="W327" s="321">
        <f>'Supply planning data'!Y325</f>
        <v>0</v>
      </c>
      <c r="X327" s="329">
        <f>'Supply planning data'!Z325</f>
        <v>0</v>
      </c>
      <c r="Y327" s="111">
        <f>'Supply planning data'!AA325</f>
        <v>0</v>
      </c>
      <c r="Z327" s="111">
        <f>'Supply planning data'!AB325</f>
        <v>0</v>
      </c>
      <c r="AA327" s="111">
        <f>'Supply planning data'!AC325</f>
        <v>0</v>
      </c>
      <c r="AB327" s="111">
        <f>'Supply planning data'!AD325</f>
        <v>0</v>
      </c>
      <c r="AC327" s="111">
        <f>'Supply planning data'!AE325</f>
        <v>0</v>
      </c>
      <c r="AD327" s="327" t="str">
        <f>'Supply planning data'!AF325</f>
        <v/>
      </c>
      <c r="AE327" s="111">
        <f>'Supply planning data'!AG325</f>
        <v>0</v>
      </c>
      <c r="AF327" s="321">
        <f>'Supply planning data'!AH325</f>
        <v>0</v>
      </c>
      <c r="AG327" s="349">
        <f>'Supply planning data'!AI325</f>
        <v>0</v>
      </c>
      <c r="AH327" s="111">
        <f>'Supply planning data'!AJ325</f>
        <v>0</v>
      </c>
      <c r="AI327" s="111">
        <f>'Supply planning data'!AK325</f>
        <v>0</v>
      </c>
      <c r="AJ327" s="111">
        <f>'Supply planning data'!AL325</f>
        <v>0</v>
      </c>
      <c r="AK327" s="111">
        <f>'Supply planning data'!AM325</f>
        <v>0</v>
      </c>
      <c r="AL327" s="111">
        <f>'Supply planning data'!AN325</f>
        <v>0</v>
      </c>
      <c r="AM327" s="327" t="str">
        <f>'Supply planning data'!AO325</f>
        <v/>
      </c>
    </row>
    <row r="328" spans="1:39" hidden="1" x14ac:dyDescent="0.25">
      <c r="A328" s="104" t="str">
        <f>'Supply planning data'!C326</f>
        <v/>
      </c>
      <c r="B328" s="298">
        <f>'Supply planning data'!D326</f>
        <v>44835</v>
      </c>
      <c r="C328" s="105" t="str">
        <f>'Supply planning data'!E326</f>
        <v>No</v>
      </c>
      <c r="D328" s="105">
        <f>'Supply planning data'!F326</f>
        <v>0</v>
      </c>
      <c r="E328" s="320">
        <f>'Supply planning data'!G326</f>
        <v>0</v>
      </c>
      <c r="F328" s="320">
        <f>'Supply planning data'!H326</f>
        <v>0</v>
      </c>
      <c r="G328" s="320">
        <f>'Supply planning data'!I326</f>
        <v>0</v>
      </c>
      <c r="H328" s="105">
        <f>'Supply planning data'!J326</f>
        <v>0</v>
      </c>
      <c r="I328" s="320">
        <f>'Supply planning data'!K326</f>
        <v>0</v>
      </c>
      <c r="J328" s="177" t="str">
        <f>'Supply planning data'!L326</f>
        <v/>
      </c>
      <c r="K328" s="105">
        <f>'Supply planning data'!M326</f>
        <v>0</v>
      </c>
      <c r="L328" s="321">
        <f>'Supply planning data'!N326+'Supply planning data'!P326</f>
        <v>0</v>
      </c>
      <c r="M328" s="342">
        <f>'Supply planning data'!O326</f>
        <v>0</v>
      </c>
      <c r="N328" s="321">
        <f>'Supply planning data'!P326</f>
        <v>0</v>
      </c>
      <c r="O328" s="342">
        <f>'Supply planning data'!Q326</f>
        <v>0</v>
      </c>
      <c r="P328" s="111">
        <f>'Supply planning data'!R326</f>
        <v>0</v>
      </c>
      <c r="Q328" s="111">
        <f>'Supply planning data'!S326</f>
        <v>0</v>
      </c>
      <c r="R328" s="111">
        <f>'Supply planning data'!T326</f>
        <v>0</v>
      </c>
      <c r="S328" s="111">
        <f>'Supply planning data'!U326</f>
        <v>0</v>
      </c>
      <c r="T328" s="111">
        <f>'Supply planning data'!V326</f>
        <v>0</v>
      </c>
      <c r="U328" s="327" t="str">
        <f>'Supply planning data'!W326</f>
        <v/>
      </c>
      <c r="V328" s="111">
        <f>'Supply planning data'!X326</f>
        <v>0</v>
      </c>
      <c r="W328" s="321">
        <f>'Supply planning data'!Y326</f>
        <v>0</v>
      </c>
      <c r="X328" s="329">
        <f>'Supply planning data'!Z326</f>
        <v>0</v>
      </c>
      <c r="Y328" s="111">
        <f>'Supply planning data'!AA326</f>
        <v>0</v>
      </c>
      <c r="Z328" s="111">
        <f>'Supply planning data'!AB326</f>
        <v>0</v>
      </c>
      <c r="AA328" s="111">
        <f>'Supply planning data'!AC326</f>
        <v>0</v>
      </c>
      <c r="AB328" s="111">
        <f>'Supply planning data'!AD326</f>
        <v>0</v>
      </c>
      <c r="AC328" s="111">
        <f>'Supply planning data'!AE326</f>
        <v>0</v>
      </c>
      <c r="AD328" s="327" t="str">
        <f>'Supply planning data'!AF326</f>
        <v/>
      </c>
      <c r="AE328" s="111">
        <f>'Supply planning data'!AG326</f>
        <v>0</v>
      </c>
      <c r="AF328" s="321">
        <f>'Supply planning data'!AH326</f>
        <v>0</v>
      </c>
      <c r="AG328" s="349">
        <f>'Supply planning data'!AI326</f>
        <v>0</v>
      </c>
      <c r="AH328" s="111">
        <f>'Supply planning data'!AJ326</f>
        <v>0</v>
      </c>
      <c r="AI328" s="111">
        <f>'Supply planning data'!AK326</f>
        <v>0</v>
      </c>
      <c r="AJ328" s="111">
        <f>'Supply planning data'!AL326</f>
        <v>0</v>
      </c>
      <c r="AK328" s="111">
        <f>'Supply planning data'!AM326</f>
        <v>0</v>
      </c>
      <c r="AL328" s="111">
        <f>'Supply planning data'!AN326</f>
        <v>0</v>
      </c>
      <c r="AM328" s="327" t="str">
        <f>'Supply planning data'!AO326</f>
        <v/>
      </c>
    </row>
    <row r="329" spans="1:39" hidden="1" x14ac:dyDescent="0.25">
      <c r="A329" s="109" t="str">
        <f>'Supply planning data'!C327</f>
        <v/>
      </c>
      <c r="B329" s="298">
        <f>'Supply planning data'!D327</f>
        <v>44835</v>
      </c>
      <c r="C329" s="105" t="str">
        <f>'Supply planning data'!E327</f>
        <v>No</v>
      </c>
      <c r="D329" s="105">
        <f>'Supply planning data'!F327</f>
        <v>0</v>
      </c>
      <c r="E329" s="320">
        <f>'Supply planning data'!G327</f>
        <v>0</v>
      </c>
      <c r="F329" s="320">
        <f>'Supply planning data'!H327</f>
        <v>0</v>
      </c>
      <c r="G329" s="320">
        <f>'Supply planning data'!I327</f>
        <v>0</v>
      </c>
      <c r="H329" s="105">
        <f>'Supply planning data'!J327</f>
        <v>0</v>
      </c>
      <c r="I329" s="320">
        <f>'Supply planning data'!K327</f>
        <v>0</v>
      </c>
      <c r="J329" s="177" t="str">
        <f>'Supply planning data'!L327</f>
        <v/>
      </c>
      <c r="K329" s="105">
        <f>'Supply planning data'!M327</f>
        <v>0</v>
      </c>
      <c r="L329" s="321">
        <f>'Supply planning data'!N327+'Supply planning data'!P327</f>
        <v>0</v>
      </c>
      <c r="M329" s="342">
        <f>'Supply planning data'!O327</f>
        <v>0</v>
      </c>
      <c r="N329" s="321">
        <f>'Supply planning data'!P327</f>
        <v>0</v>
      </c>
      <c r="O329" s="342">
        <f>'Supply planning data'!Q327</f>
        <v>0</v>
      </c>
      <c r="P329" s="111">
        <f>'Supply planning data'!R327</f>
        <v>0</v>
      </c>
      <c r="Q329" s="111">
        <f>'Supply planning data'!S327</f>
        <v>0</v>
      </c>
      <c r="R329" s="111">
        <f>'Supply planning data'!T327</f>
        <v>0</v>
      </c>
      <c r="S329" s="111">
        <f>'Supply planning data'!U327</f>
        <v>0</v>
      </c>
      <c r="T329" s="111">
        <f>'Supply planning data'!V327</f>
        <v>0</v>
      </c>
      <c r="U329" s="327" t="str">
        <f>'Supply planning data'!W327</f>
        <v/>
      </c>
      <c r="V329" s="111">
        <f>'Supply planning data'!X327</f>
        <v>0</v>
      </c>
      <c r="W329" s="321">
        <f>'Supply planning data'!Y327</f>
        <v>0</v>
      </c>
      <c r="X329" s="329">
        <f>'Supply planning data'!Z327</f>
        <v>0</v>
      </c>
      <c r="Y329" s="111">
        <f>'Supply planning data'!AA327</f>
        <v>0</v>
      </c>
      <c r="Z329" s="111">
        <f>'Supply planning data'!AB327</f>
        <v>0</v>
      </c>
      <c r="AA329" s="111">
        <f>'Supply planning data'!AC327</f>
        <v>0</v>
      </c>
      <c r="AB329" s="111">
        <f>'Supply planning data'!AD327</f>
        <v>0</v>
      </c>
      <c r="AC329" s="111">
        <f>'Supply planning data'!AE327</f>
        <v>0</v>
      </c>
      <c r="AD329" s="327" t="str">
        <f>'Supply planning data'!AF327</f>
        <v/>
      </c>
      <c r="AE329" s="111">
        <f>'Supply planning data'!AG327</f>
        <v>0</v>
      </c>
      <c r="AF329" s="321">
        <f>'Supply planning data'!AH327</f>
        <v>0</v>
      </c>
      <c r="AG329" s="349">
        <f>'Supply planning data'!AI327</f>
        <v>0</v>
      </c>
      <c r="AH329" s="111">
        <f>'Supply planning data'!AJ327</f>
        <v>0</v>
      </c>
      <c r="AI329" s="111">
        <f>'Supply planning data'!AK327</f>
        <v>0</v>
      </c>
      <c r="AJ329" s="111">
        <f>'Supply planning data'!AL327</f>
        <v>0</v>
      </c>
      <c r="AK329" s="111">
        <f>'Supply planning data'!AM327</f>
        <v>0</v>
      </c>
      <c r="AL329" s="111">
        <f>'Supply planning data'!AN327</f>
        <v>0</v>
      </c>
      <c r="AM329" s="327" t="str">
        <f>'Supply planning data'!AO327</f>
        <v/>
      </c>
    </row>
    <row r="330" spans="1:39" hidden="1" x14ac:dyDescent="0.25">
      <c r="A330" s="104" t="str">
        <f>'Supply planning data'!C328</f>
        <v/>
      </c>
      <c r="B330" s="298">
        <f>'Supply planning data'!D328</f>
        <v>44835</v>
      </c>
      <c r="C330" s="105" t="str">
        <f>'Supply planning data'!E328</f>
        <v>No</v>
      </c>
      <c r="D330" s="105">
        <f>'Supply planning data'!F328</f>
        <v>0</v>
      </c>
      <c r="E330" s="320">
        <f>'Supply planning data'!G328</f>
        <v>0</v>
      </c>
      <c r="F330" s="320">
        <f>'Supply planning data'!H328</f>
        <v>0</v>
      </c>
      <c r="G330" s="320">
        <f>'Supply planning data'!I328</f>
        <v>0</v>
      </c>
      <c r="H330" s="105">
        <f>'Supply planning data'!J328</f>
        <v>0</v>
      </c>
      <c r="I330" s="320">
        <f>'Supply planning data'!K328</f>
        <v>0</v>
      </c>
      <c r="J330" s="177" t="str">
        <f>'Supply planning data'!L328</f>
        <v/>
      </c>
      <c r="K330" s="105">
        <f>'Supply planning data'!M328</f>
        <v>0</v>
      </c>
      <c r="L330" s="321">
        <f>'Supply planning data'!N328+'Supply planning data'!P328</f>
        <v>0</v>
      </c>
      <c r="M330" s="342">
        <f>'Supply planning data'!O328</f>
        <v>0</v>
      </c>
      <c r="N330" s="321">
        <f>'Supply planning data'!P328</f>
        <v>0</v>
      </c>
      <c r="O330" s="342">
        <f>'Supply planning data'!Q328</f>
        <v>0</v>
      </c>
      <c r="P330" s="111">
        <f>'Supply planning data'!R328</f>
        <v>0</v>
      </c>
      <c r="Q330" s="111">
        <f>'Supply planning data'!S328</f>
        <v>0</v>
      </c>
      <c r="R330" s="111">
        <f>'Supply planning data'!T328</f>
        <v>0</v>
      </c>
      <c r="S330" s="111">
        <f>'Supply planning data'!U328</f>
        <v>0</v>
      </c>
      <c r="T330" s="111">
        <f>'Supply planning data'!V328</f>
        <v>0</v>
      </c>
      <c r="U330" s="327" t="str">
        <f>'Supply planning data'!W328</f>
        <v/>
      </c>
      <c r="V330" s="111">
        <f>'Supply planning data'!X328</f>
        <v>0</v>
      </c>
      <c r="W330" s="321">
        <f>'Supply planning data'!Y328</f>
        <v>0</v>
      </c>
      <c r="X330" s="329">
        <f>'Supply planning data'!Z328</f>
        <v>0</v>
      </c>
      <c r="Y330" s="111">
        <f>'Supply planning data'!AA328</f>
        <v>0</v>
      </c>
      <c r="Z330" s="111">
        <f>'Supply planning data'!AB328</f>
        <v>0</v>
      </c>
      <c r="AA330" s="111">
        <f>'Supply planning data'!AC328</f>
        <v>0</v>
      </c>
      <c r="AB330" s="111">
        <f>'Supply planning data'!AD328</f>
        <v>0</v>
      </c>
      <c r="AC330" s="111">
        <f>'Supply planning data'!AE328</f>
        <v>0</v>
      </c>
      <c r="AD330" s="327" t="str">
        <f>'Supply planning data'!AF328</f>
        <v/>
      </c>
      <c r="AE330" s="111">
        <f>'Supply planning data'!AG328</f>
        <v>0</v>
      </c>
      <c r="AF330" s="321">
        <f>'Supply planning data'!AH328</f>
        <v>0</v>
      </c>
      <c r="AG330" s="349">
        <f>'Supply planning data'!AI328</f>
        <v>0</v>
      </c>
      <c r="AH330" s="111">
        <f>'Supply planning data'!AJ328</f>
        <v>0</v>
      </c>
      <c r="AI330" s="111">
        <f>'Supply planning data'!AK328</f>
        <v>0</v>
      </c>
      <c r="AJ330" s="111">
        <f>'Supply planning data'!AL328</f>
        <v>0</v>
      </c>
      <c r="AK330" s="111">
        <f>'Supply planning data'!AM328</f>
        <v>0</v>
      </c>
      <c r="AL330" s="111">
        <f>'Supply planning data'!AN328</f>
        <v>0</v>
      </c>
      <c r="AM330" s="327" t="str">
        <f>'Supply planning data'!AO328</f>
        <v/>
      </c>
    </row>
    <row r="331" spans="1:39" hidden="1" x14ac:dyDescent="0.25">
      <c r="A331" s="109" t="str">
        <f>'Supply planning data'!C329</f>
        <v/>
      </c>
      <c r="B331" s="298">
        <f>'Supply planning data'!D329</f>
        <v>44835</v>
      </c>
      <c r="C331" s="105" t="str">
        <f>'Supply planning data'!E329</f>
        <v>No</v>
      </c>
      <c r="D331" s="105">
        <f>'Supply planning data'!F329</f>
        <v>0</v>
      </c>
      <c r="E331" s="320">
        <f>'Supply planning data'!G329</f>
        <v>0</v>
      </c>
      <c r="F331" s="320">
        <f>'Supply planning data'!H329</f>
        <v>0</v>
      </c>
      <c r="G331" s="320">
        <f>'Supply planning data'!I329</f>
        <v>0</v>
      </c>
      <c r="H331" s="105">
        <f>'Supply planning data'!J329</f>
        <v>0</v>
      </c>
      <c r="I331" s="320">
        <f>'Supply planning data'!K329</f>
        <v>0</v>
      </c>
      <c r="J331" s="177" t="str">
        <f>'Supply planning data'!L329</f>
        <v/>
      </c>
      <c r="K331" s="105">
        <f>'Supply planning data'!M329</f>
        <v>0</v>
      </c>
      <c r="L331" s="321">
        <f>'Supply planning data'!N329+'Supply planning data'!P329</f>
        <v>0</v>
      </c>
      <c r="M331" s="342">
        <f>'Supply planning data'!O329</f>
        <v>0</v>
      </c>
      <c r="N331" s="321">
        <f>'Supply planning data'!P329</f>
        <v>0</v>
      </c>
      <c r="O331" s="342">
        <f>'Supply planning data'!Q329</f>
        <v>0</v>
      </c>
      <c r="P331" s="111">
        <f>'Supply planning data'!R329</f>
        <v>0</v>
      </c>
      <c r="Q331" s="111">
        <f>'Supply planning data'!S329</f>
        <v>0</v>
      </c>
      <c r="R331" s="111">
        <f>'Supply planning data'!T329</f>
        <v>0</v>
      </c>
      <c r="S331" s="111">
        <f>'Supply planning data'!U329</f>
        <v>0</v>
      </c>
      <c r="T331" s="111">
        <f>'Supply planning data'!V329</f>
        <v>0</v>
      </c>
      <c r="U331" s="327" t="str">
        <f>'Supply planning data'!W329</f>
        <v/>
      </c>
      <c r="V331" s="111">
        <f>'Supply planning data'!X329</f>
        <v>0</v>
      </c>
      <c r="W331" s="321">
        <f>'Supply planning data'!Y329</f>
        <v>0</v>
      </c>
      <c r="X331" s="329">
        <f>'Supply planning data'!Z329</f>
        <v>0</v>
      </c>
      <c r="Y331" s="111">
        <f>'Supply planning data'!AA329</f>
        <v>0</v>
      </c>
      <c r="Z331" s="111">
        <f>'Supply planning data'!AB329</f>
        <v>0</v>
      </c>
      <c r="AA331" s="111">
        <f>'Supply planning data'!AC329</f>
        <v>0</v>
      </c>
      <c r="AB331" s="111">
        <f>'Supply planning data'!AD329</f>
        <v>0</v>
      </c>
      <c r="AC331" s="111">
        <f>'Supply planning data'!AE329</f>
        <v>0</v>
      </c>
      <c r="AD331" s="327" t="str">
        <f>'Supply planning data'!AF329</f>
        <v/>
      </c>
      <c r="AE331" s="111">
        <f>'Supply planning data'!AG329</f>
        <v>0</v>
      </c>
      <c r="AF331" s="321">
        <f>'Supply planning data'!AH329</f>
        <v>0</v>
      </c>
      <c r="AG331" s="349">
        <f>'Supply planning data'!AI329</f>
        <v>0</v>
      </c>
      <c r="AH331" s="111">
        <f>'Supply planning data'!AJ329</f>
        <v>0</v>
      </c>
      <c r="AI331" s="111">
        <f>'Supply planning data'!AK329</f>
        <v>0</v>
      </c>
      <c r="AJ331" s="111">
        <f>'Supply planning data'!AL329</f>
        <v>0</v>
      </c>
      <c r="AK331" s="111">
        <f>'Supply planning data'!AM329</f>
        <v>0</v>
      </c>
      <c r="AL331" s="111">
        <f>'Supply planning data'!AN329</f>
        <v>0</v>
      </c>
      <c r="AM331" s="327" t="str">
        <f>'Supply planning data'!AO329</f>
        <v/>
      </c>
    </row>
    <row r="332" spans="1:39" hidden="1" x14ac:dyDescent="0.25">
      <c r="A332" s="104" t="str">
        <f>'Supply planning data'!C330</f>
        <v/>
      </c>
      <c r="B332" s="298">
        <f>'Supply planning data'!D330</f>
        <v>44835</v>
      </c>
      <c r="C332" s="105" t="str">
        <f>'Supply planning data'!E330</f>
        <v>No</v>
      </c>
      <c r="D332" s="105">
        <f>'Supply planning data'!F330</f>
        <v>0</v>
      </c>
      <c r="E332" s="320">
        <f>'Supply planning data'!G330</f>
        <v>0</v>
      </c>
      <c r="F332" s="320">
        <f>'Supply planning data'!H330</f>
        <v>0</v>
      </c>
      <c r="G332" s="320">
        <f>'Supply planning data'!I330</f>
        <v>0</v>
      </c>
      <c r="H332" s="105">
        <f>'Supply planning data'!J330</f>
        <v>0</v>
      </c>
      <c r="I332" s="320">
        <f>'Supply planning data'!K330</f>
        <v>0</v>
      </c>
      <c r="J332" s="177" t="str">
        <f>'Supply planning data'!L330</f>
        <v/>
      </c>
      <c r="K332" s="105">
        <f>'Supply planning data'!M330</f>
        <v>0</v>
      </c>
      <c r="L332" s="321">
        <f>'Supply planning data'!N330+'Supply planning data'!P330</f>
        <v>0</v>
      </c>
      <c r="M332" s="342">
        <f>'Supply planning data'!O330</f>
        <v>0</v>
      </c>
      <c r="N332" s="321">
        <f>'Supply planning data'!P330</f>
        <v>0</v>
      </c>
      <c r="O332" s="342">
        <f>'Supply planning data'!Q330</f>
        <v>0</v>
      </c>
      <c r="P332" s="111">
        <f>'Supply planning data'!R330</f>
        <v>0</v>
      </c>
      <c r="Q332" s="111">
        <f>'Supply planning data'!S330</f>
        <v>0</v>
      </c>
      <c r="R332" s="111">
        <f>'Supply planning data'!T330</f>
        <v>0</v>
      </c>
      <c r="S332" s="111">
        <f>'Supply planning data'!U330</f>
        <v>0</v>
      </c>
      <c r="T332" s="111">
        <f>'Supply planning data'!V330</f>
        <v>0</v>
      </c>
      <c r="U332" s="327" t="str">
        <f>'Supply planning data'!W330</f>
        <v/>
      </c>
      <c r="V332" s="111">
        <f>'Supply planning data'!X330</f>
        <v>0</v>
      </c>
      <c r="W332" s="321">
        <f>'Supply planning data'!Y330</f>
        <v>0</v>
      </c>
      <c r="X332" s="329">
        <f>'Supply planning data'!Z330</f>
        <v>0</v>
      </c>
      <c r="Y332" s="111">
        <f>'Supply planning data'!AA330</f>
        <v>0</v>
      </c>
      <c r="Z332" s="111">
        <f>'Supply planning data'!AB330</f>
        <v>0</v>
      </c>
      <c r="AA332" s="111">
        <f>'Supply planning data'!AC330</f>
        <v>0</v>
      </c>
      <c r="AB332" s="111">
        <f>'Supply planning data'!AD330</f>
        <v>0</v>
      </c>
      <c r="AC332" s="111">
        <f>'Supply planning data'!AE330</f>
        <v>0</v>
      </c>
      <c r="AD332" s="327" t="str">
        <f>'Supply planning data'!AF330</f>
        <v/>
      </c>
      <c r="AE332" s="111">
        <f>'Supply planning data'!AG330</f>
        <v>0</v>
      </c>
      <c r="AF332" s="321">
        <f>'Supply planning data'!AH330</f>
        <v>0</v>
      </c>
      <c r="AG332" s="349">
        <f>'Supply planning data'!AI330</f>
        <v>0</v>
      </c>
      <c r="AH332" s="111">
        <f>'Supply planning data'!AJ330</f>
        <v>0</v>
      </c>
      <c r="AI332" s="111">
        <f>'Supply planning data'!AK330</f>
        <v>0</v>
      </c>
      <c r="AJ332" s="111">
        <f>'Supply planning data'!AL330</f>
        <v>0</v>
      </c>
      <c r="AK332" s="111">
        <f>'Supply planning data'!AM330</f>
        <v>0</v>
      </c>
      <c r="AL332" s="111">
        <f>'Supply planning data'!AN330</f>
        <v>0</v>
      </c>
      <c r="AM332" s="327" t="str">
        <f>'Supply planning data'!AO330</f>
        <v/>
      </c>
    </row>
    <row r="333" spans="1:39" hidden="1" x14ac:dyDescent="0.25">
      <c r="A333" s="109" t="str">
        <f>'Supply planning data'!C331</f>
        <v/>
      </c>
      <c r="B333" s="298">
        <f>'Supply planning data'!D331</f>
        <v>44835</v>
      </c>
      <c r="C333" s="105" t="str">
        <f>'Supply planning data'!E331</f>
        <v>No</v>
      </c>
      <c r="D333" s="105">
        <f>'Supply planning data'!F331</f>
        <v>0</v>
      </c>
      <c r="E333" s="320">
        <f>'Supply planning data'!G331</f>
        <v>0</v>
      </c>
      <c r="F333" s="320">
        <f>'Supply planning data'!H331</f>
        <v>0</v>
      </c>
      <c r="G333" s="320">
        <f>'Supply planning data'!I331</f>
        <v>0</v>
      </c>
      <c r="H333" s="105">
        <f>'Supply planning data'!J331</f>
        <v>0</v>
      </c>
      <c r="I333" s="320">
        <f>'Supply planning data'!K331</f>
        <v>0</v>
      </c>
      <c r="J333" s="177" t="str">
        <f>'Supply planning data'!L331</f>
        <v/>
      </c>
      <c r="K333" s="105">
        <f>'Supply planning data'!M331</f>
        <v>0</v>
      </c>
      <c r="L333" s="321">
        <f>'Supply planning data'!N331+'Supply planning data'!P331</f>
        <v>0</v>
      </c>
      <c r="M333" s="342">
        <f>'Supply planning data'!O331</f>
        <v>0</v>
      </c>
      <c r="N333" s="321">
        <f>'Supply planning data'!P331</f>
        <v>0</v>
      </c>
      <c r="O333" s="342">
        <f>'Supply planning data'!Q331</f>
        <v>0</v>
      </c>
      <c r="P333" s="111">
        <f>'Supply planning data'!R331</f>
        <v>0</v>
      </c>
      <c r="Q333" s="111">
        <f>'Supply planning data'!S331</f>
        <v>0</v>
      </c>
      <c r="R333" s="111">
        <f>'Supply planning data'!T331</f>
        <v>0</v>
      </c>
      <c r="S333" s="111">
        <f>'Supply planning data'!U331</f>
        <v>0</v>
      </c>
      <c r="T333" s="111">
        <f>'Supply planning data'!V331</f>
        <v>0</v>
      </c>
      <c r="U333" s="327" t="str">
        <f>'Supply planning data'!W331</f>
        <v/>
      </c>
      <c r="V333" s="111">
        <f>'Supply planning data'!X331</f>
        <v>0</v>
      </c>
      <c r="W333" s="321">
        <f>'Supply planning data'!Y331</f>
        <v>0</v>
      </c>
      <c r="X333" s="329">
        <f>'Supply planning data'!Z331</f>
        <v>0</v>
      </c>
      <c r="Y333" s="111">
        <f>'Supply planning data'!AA331</f>
        <v>0</v>
      </c>
      <c r="Z333" s="111">
        <f>'Supply planning data'!AB331</f>
        <v>0</v>
      </c>
      <c r="AA333" s="111">
        <f>'Supply planning data'!AC331</f>
        <v>0</v>
      </c>
      <c r="AB333" s="111">
        <f>'Supply planning data'!AD331</f>
        <v>0</v>
      </c>
      <c r="AC333" s="111">
        <f>'Supply planning data'!AE331</f>
        <v>0</v>
      </c>
      <c r="AD333" s="327" t="str">
        <f>'Supply planning data'!AF331</f>
        <v/>
      </c>
      <c r="AE333" s="111">
        <f>'Supply planning data'!AG331</f>
        <v>0</v>
      </c>
      <c r="AF333" s="321">
        <f>'Supply planning data'!AH331</f>
        <v>0</v>
      </c>
      <c r="AG333" s="349">
        <f>'Supply planning data'!AI331</f>
        <v>0</v>
      </c>
      <c r="AH333" s="111">
        <f>'Supply planning data'!AJ331</f>
        <v>0</v>
      </c>
      <c r="AI333" s="111">
        <f>'Supply planning data'!AK331</f>
        <v>0</v>
      </c>
      <c r="AJ333" s="111">
        <f>'Supply planning data'!AL331</f>
        <v>0</v>
      </c>
      <c r="AK333" s="111">
        <f>'Supply planning data'!AM331</f>
        <v>0</v>
      </c>
      <c r="AL333" s="111">
        <f>'Supply planning data'!AN331</f>
        <v>0</v>
      </c>
      <c r="AM333" s="327" t="str">
        <f>'Supply planning data'!AO331</f>
        <v/>
      </c>
    </row>
    <row r="334" spans="1:39" hidden="1" x14ac:dyDescent="0.25">
      <c r="A334" s="104" t="str">
        <f>'Supply planning data'!C332</f>
        <v/>
      </c>
      <c r="B334" s="298">
        <f>'Supply planning data'!D332</f>
        <v>44835</v>
      </c>
      <c r="C334" s="105" t="str">
        <f>'Supply planning data'!E332</f>
        <v>No</v>
      </c>
      <c r="D334" s="105">
        <f>'Supply planning data'!F332</f>
        <v>0</v>
      </c>
      <c r="E334" s="320">
        <f>'Supply planning data'!G332</f>
        <v>0</v>
      </c>
      <c r="F334" s="320">
        <f>'Supply planning data'!H332</f>
        <v>0</v>
      </c>
      <c r="G334" s="320">
        <f>'Supply planning data'!I332</f>
        <v>0</v>
      </c>
      <c r="H334" s="105">
        <f>'Supply planning data'!J332</f>
        <v>0</v>
      </c>
      <c r="I334" s="320">
        <f>'Supply planning data'!K332</f>
        <v>0</v>
      </c>
      <c r="J334" s="177" t="str">
        <f>'Supply planning data'!L332</f>
        <v/>
      </c>
      <c r="K334" s="105">
        <f>'Supply planning data'!M332</f>
        <v>0</v>
      </c>
      <c r="L334" s="321">
        <f>'Supply planning data'!N332+'Supply planning data'!P332</f>
        <v>0</v>
      </c>
      <c r="M334" s="342">
        <f>'Supply planning data'!O332</f>
        <v>0</v>
      </c>
      <c r="N334" s="321">
        <f>'Supply planning data'!P332</f>
        <v>0</v>
      </c>
      <c r="O334" s="342">
        <f>'Supply planning data'!Q332</f>
        <v>0</v>
      </c>
      <c r="P334" s="111">
        <f>'Supply planning data'!R332</f>
        <v>0</v>
      </c>
      <c r="Q334" s="111">
        <f>'Supply planning data'!S332</f>
        <v>0</v>
      </c>
      <c r="R334" s="111">
        <f>'Supply planning data'!T332</f>
        <v>0</v>
      </c>
      <c r="S334" s="111">
        <f>'Supply planning data'!U332</f>
        <v>0</v>
      </c>
      <c r="T334" s="111">
        <f>'Supply planning data'!V332</f>
        <v>0</v>
      </c>
      <c r="U334" s="327" t="str">
        <f>'Supply planning data'!W332</f>
        <v/>
      </c>
      <c r="V334" s="111">
        <f>'Supply planning data'!X332</f>
        <v>0</v>
      </c>
      <c r="W334" s="321">
        <f>'Supply planning data'!Y332</f>
        <v>0</v>
      </c>
      <c r="X334" s="329">
        <f>'Supply planning data'!Z332</f>
        <v>0</v>
      </c>
      <c r="Y334" s="111">
        <f>'Supply planning data'!AA332</f>
        <v>0</v>
      </c>
      <c r="Z334" s="111">
        <f>'Supply planning data'!AB332</f>
        <v>0</v>
      </c>
      <c r="AA334" s="111">
        <f>'Supply planning data'!AC332</f>
        <v>0</v>
      </c>
      <c r="AB334" s="111">
        <f>'Supply planning data'!AD332</f>
        <v>0</v>
      </c>
      <c r="AC334" s="111">
        <f>'Supply planning data'!AE332</f>
        <v>0</v>
      </c>
      <c r="AD334" s="327" t="str">
        <f>'Supply planning data'!AF332</f>
        <v/>
      </c>
      <c r="AE334" s="111">
        <f>'Supply planning data'!AG332</f>
        <v>0</v>
      </c>
      <c r="AF334" s="321">
        <f>'Supply planning data'!AH332</f>
        <v>0</v>
      </c>
      <c r="AG334" s="349">
        <f>'Supply planning data'!AI332</f>
        <v>0</v>
      </c>
      <c r="AH334" s="111">
        <f>'Supply planning data'!AJ332</f>
        <v>0</v>
      </c>
      <c r="AI334" s="111">
        <f>'Supply planning data'!AK332</f>
        <v>0</v>
      </c>
      <c r="AJ334" s="111">
        <f>'Supply planning data'!AL332</f>
        <v>0</v>
      </c>
      <c r="AK334" s="111">
        <f>'Supply planning data'!AM332</f>
        <v>0</v>
      </c>
      <c r="AL334" s="111">
        <f>'Supply planning data'!AN332</f>
        <v>0</v>
      </c>
      <c r="AM334" s="327" t="str">
        <f>'Supply planning data'!AO332</f>
        <v/>
      </c>
    </row>
    <row r="335" spans="1:39" hidden="1" x14ac:dyDescent="0.25">
      <c r="A335" s="109" t="str">
        <f>'Supply planning data'!C333</f>
        <v/>
      </c>
      <c r="B335" s="298">
        <f>'Supply planning data'!D333</f>
        <v>44835</v>
      </c>
      <c r="C335" s="105" t="str">
        <f>'Supply planning data'!E333</f>
        <v>No</v>
      </c>
      <c r="D335" s="105">
        <f>'Supply planning data'!F333</f>
        <v>0</v>
      </c>
      <c r="E335" s="320">
        <f>'Supply planning data'!G333</f>
        <v>0</v>
      </c>
      <c r="F335" s="320">
        <f>'Supply planning data'!H333</f>
        <v>0</v>
      </c>
      <c r="G335" s="320">
        <f>'Supply planning data'!I333</f>
        <v>0</v>
      </c>
      <c r="H335" s="105">
        <f>'Supply planning data'!J333</f>
        <v>0</v>
      </c>
      <c r="I335" s="320">
        <f>'Supply planning data'!K333</f>
        <v>0</v>
      </c>
      <c r="J335" s="177" t="str">
        <f>'Supply planning data'!L333</f>
        <v/>
      </c>
      <c r="K335" s="105">
        <f>'Supply planning data'!M333</f>
        <v>0</v>
      </c>
      <c r="L335" s="321">
        <f>'Supply planning data'!N333+'Supply planning data'!P333</f>
        <v>0</v>
      </c>
      <c r="M335" s="342">
        <f>'Supply planning data'!O333</f>
        <v>0</v>
      </c>
      <c r="N335" s="321">
        <f>'Supply planning data'!P333</f>
        <v>0</v>
      </c>
      <c r="O335" s="342">
        <f>'Supply planning data'!Q333</f>
        <v>0</v>
      </c>
      <c r="P335" s="111">
        <f>'Supply planning data'!R333</f>
        <v>0</v>
      </c>
      <c r="Q335" s="111">
        <f>'Supply planning data'!S333</f>
        <v>0</v>
      </c>
      <c r="R335" s="111">
        <f>'Supply planning data'!T333</f>
        <v>0</v>
      </c>
      <c r="S335" s="111">
        <f>'Supply planning data'!U333</f>
        <v>0</v>
      </c>
      <c r="T335" s="111">
        <f>'Supply planning data'!V333</f>
        <v>0</v>
      </c>
      <c r="U335" s="327" t="str">
        <f>'Supply planning data'!W333</f>
        <v/>
      </c>
      <c r="V335" s="111">
        <f>'Supply planning data'!X333</f>
        <v>0</v>
      </c>
      <c r="W335" s="321">
        <f>'Supply planning data'!Y333</f>
        <v>0</v>
      </c>
      <c r="X335" s="329">
        <f>'Supply planning data'!Z333</f>
        <v>0</v>
      </c>
      <c r="Y335" s="111">
        <f>'Supply planning data'!AA333</f>
        <v>0</v>
      </c>
      <c r="Z335" s="111">
        <f>'Supply planning data'!AB333</f>
        <v>0</v>
      </c>
      <c r="AA335" s="111">
        <f>'Supply planning data'!AC333</f>
        <v>0</v>
      </c>
      <c r="AB335" s="111">
        <f>'Supply planning data'!AD333</f>
        <v>0</v>
      </c>
      <c r="AC335" s="111">
        <f>'Supply planning data'!AE333</f>
        <v>0</v>
      </c>
      <c r="AD335" s="327" t="str">
        <f>'Supply planning data'!AF333</f>
        <v/>
      </c>
      <c r="AE335" s="111">
        <f>'Supply planning data'!AG333</f>
        <v>0</v>
      </c>
      <c r="AF335" s="321">
        <f>'Supply planning data'!AH333</f>
        <v>0</v>
      </c>
      <c r="AG335" s="349">
        <f>'Supply planning data'!AI333</f>
        <v>0</v>
      </c>
      <c r="AH335" s="111">
        <f>'Supply planning data'!AJ333</f>
        <v>0</v>
      </c>
      <c r="AI335" s="111">
        <f>'Supply planning data'!AK333</f>
        <v>0</v>
      </c>
      <c r="AJ335" s="111">
        <f>'Supply planning data'!AL333</f>
        <v>0</v>
      </c>
      <c r="AK335" s="111">
        <f>'Supply planning data'!AM333</f>
        <v>0</v>
      </c>
      <c r="AL335" s="111">
        <f>'Supply planning data'!AN333</f>
        <v>0</v>
      </c>
      <c r="AM335" s="327" t="str">
        <f>'Supply planning data'!AO333</f>
        <v/>
      </c>
    </row>
    <row r="336" spans="1:39" hidden="1" x14ac:dyDescent="0.25">
      <c r="A336" s="104" t="str">
        <f>'Supply planning data'!C334</f>
        <v/>
      </c>
      <c r="B336" s="298">
        <f>'Supply planning data'!D334</f>
        <v>44835</v>
      </c>
      <c r="C336" s="105" t="str">
        <f>'Supply planning data'!E334</f>
        <v>No</v>
      </c>
      <c r="D336" s="105">
        <f>'Supply planning data'!F334</f>
        <v>0</v>
      </c>
      <c r="E336" s="320">
        <f>'Supply planning data'!G334</f>
        <v>0</v>
      </c>
      <c r="F336" s="320">
        <f>'Supply planning data'!H334</f>
        <v>0</v>
      </c>
      <c r="G336" s="320">
        <f>'Supply planning data'!I334</f>
        <v>0</v>
      </c>
      <c r="H336" s="105">
        <f>'Supply planning data'!J334</f>
        <v>0</v>
      </c>
      <c r="I336" s="320">
        <f>'Supply planning data'!K334</f>
        <v>0</v>
      </c>
      <c r="J336" s="177" t="str">
        <f>'Supply planning data'!L334</f>
        <v/>
      </c>
      <c r="K336" s="105">
        <f>'Supply planning data'!M334</f>
        <v>0</v>
      </c>
      <c r="L336" s="321">
        <f>'Supply planning data'!N334+'Supply planning data'!P334</f>
        <v>0</v>
      </c>
      <c r="M336" s="342">
        <f>'Supply planning data'!O334</f>
        <v>0</v>
      </c>
      <c r="N336" s="321">
        <f>'Supply planning data'!P334</f>
        <v>0</v>
      </c>
      <c r="O336" s="342">
        <f>'Supply planning data'!Q334</f>
        <v>0</v>
      </c>
      <c r="P336" s="111">
        <f>'Supply planning data'!R334</f>
        <v>0</v>
      </c>
      <c r="Q336" s="111">
        <f>'Supply planning data'!S334</f>
        <v>0</v>
      </c>
      <c r="R336" s="111">
        <f>'Supply planning data'!T334</f>
        <v>0</v>
      </c>
      <c r="S336" s="111">
        <f>'Supply planning data'!U334</f>
        <v>0</v>
      </c>
      <c r="T336" s="111">
        <f>'Supply planning data'!V334</f>
        <v>0</v>
      </c>
      <c r="U336" s="327" t="str">
        <f>'Supply planning data'!W334</f>
        <v/>
      </c>
      <c r="V336" s="111">
        <f>'Supply planning data'!X334</f>
        <v>0</v>
      </c>
      <c r="W336" s="321">
        <f>'Supply planning data'!Y334</f>
        <v>0</v>
      </c>
      <c r="X336" s="329">
        <f>'Supply planning data'!Z334</f>
        <v>0</v>
      </c>
      <c r="Y336" s="111">
        <f>'Supply planning data'!AA334</f>
        <v>0</v>
      </c>
      <c r="Z336" s="111">
        <f>'Supply planning data'!AB334</f>
        <v>0</v>
      </c>
      <c r="AA336" s="111">
        <f>'Supply planning data'!AC334</f>
        <v>0</v>
      </c>
      <c r="AB336" s="111">
        <f>'Supply planning data'!AD334</f>
        <v>0</v>
      </c>
      <c r="AC336" s="111">
        <f>'Supply planning data'!AE334</f>
        <v>0</v>
      </c>
      <c r="AD336" s="327" t="str">
        <f>'Supply planning data'!AF334</f>
        <v/>
      </c>
      <c r="AE336" s="111">
        <f>'Supply planning data'!AG334</f>
        <v>0</v>
      </c>
      <c r="AF336" s="321">
        <f>'Supply planning data'!AH334</f>
        <v>0</v>
      </c>
      <c r="AG336" s="349">
        <f>'Supply planning data'!AI334</f>
        <v>0</v>
      </c>
      <c r="AH336" s="111">
        <f>'Supply planning data'!AJ334</f>
        <v>0</v>
      </c>
      <c r="AI336" s="111">
        <f>'Supply planning data'!AK334</f>
        <v>0</v>
      </c>
      <c r="AJ336" s="111">
        <f>'Supply planning data'!AL334</f>
        <v>0</v>
      </c>
      <c r="AK336" s="111">
        <f>'Supply planning data'!AM334</f>
        <v>0</v>
      </c>
      <c r="AL336" s="111">
        <f>'Supply planning data'!AN334</f>
        <v>0</v>
      </c>
      <c r="AM336" s="327" t="str">
        <f>'Supply planning data'!AO334</f>
        <v/>
      </c>
    </row>
    <row r="337" spans="1:39" x14ac:dyDescent="0.25">
      <c r="A337" s="90" t="str">
        <f>'Supply planning data'!C335</f>
        <v>AstraZeneca</v>
      </c>
      <c r="B337" s="296">
        <f>'Supply planning data'!D335</f>
        <v>44866</v>
      </c>
      <c r="C337" s="92" t="str">
        <f>'Supply planning data'!E335</f>
        <v>Yes</v>
      </c>
      <c r="D337" s="92">
        <f>'Supply planning data'!F335</f>
        <v>0</v>
      </c>
      <c r="E337" s="316">
        <f>'Supply planning data'!G335</f>
        <v>0</v>
      </c>
      <c r="F337" s="316">
        <f>'Supply planning data'!H335</f>
        <v>0</v>
      </c>
      <c r="G337" s="316">
        <f>'Supply planning data'!I335</f>
        <v>0</v>
      </c>
      <c r="H337" s="92">
        <f>'Supply planning data'!J335</f>
        <v>0</v>
      </c>
      <c r="I337" s="316">
        <f>'Supply planning data'!K335</f>
        <v>0</v>
      </c>
      <c r="J337" s="174" t="str">
        <f>'Supply planning data'!L335</f>
        <v/>
      </c>
      <c r="K337" s="92">
        <f>'Supply planning data'!M335</f>
        <v>0</v>
      </c>
      <c r="L337" s="316">
        <f>'Supply planning data'!N335+'Supply planning data'!P335</f>
        <v>0</v>
      </c>
      <c r="M337" s="343">
        <f>'Supply planning data'!O335</f>
        <v>0</v>
      </c>
      <c r="N337" s="316">
        <f>'Supply planning data'!P335</f>
        <v>0</v>
      </c>
      <c r="O337" s="343">
        <f>'Supply planning data'!Q335</f>
        <v>0</v>
      </c>
      <c r="P337" s="92">
        <f>'Supply planning data'!R335</f>
        <v>0</v>
      </c>
      <c r="Q337" s="92">
        <f>'Supply planning data'!S335</f>
        <v>0</v>
      </c>
      <c r="R337" s="92">
        <f>'Supply planning data'!T335</f>
        <v>0</v>
      </c>
      <c r="S337" s="92">
        <f>'Supply planning data'!U335</f>
        <v>0</v>
      </c>
      <c r="T337" s="92">
        <f>'Supply planning data'!V335</f>
        <v>0</v>
      </c>
      <c r="U337" s="324" t="str">
        <f>'Supply planning data'!W335</f>
        <v/>
      </c>
      <c r="V337" s="92">
        <f>'Supply planning data'!X335</f>
        <v>234701</v>
      </c>
      <c r="W337" s="316">
        <f>'Supply planning data'!Y335</f>
        <v>80000</v>
      </c>
      <c r="X337" s="328">
        <f>'Supply planning data'!Z335</f>
        <v>0</v>
      </c>
      <c r="Y337" s="92">
        <f>'Supply planning data'!AA335</f>
        <v>80000</v>
      </c>
      <c r="Z337" s="92">
        <f>'Supply planning data'!AB335</f>
        <v>0</v>
      </c>
      <c r="AA337" s="92">
        <f>'Supply planning data'!AC335</f>
        <v>0</v>
      </c>
      <c r="AB337" s="92">
        <f>'Supply planning data'!AD335</f>
        <v>0</v>
      </c>
      <c r="AC337" s="92">
        <f>'Supply planning data'!AE335</f>
        <v>154701</v>
      </c>
      <c r="AD337" s="324">
        <f>'Supply planning data'!AF335</f>
        <v>5.8012874999999999</v>
      </c>
      <c r="AE337" s="92">
        <f>'Supply planning data'!AG335</f>
        <v>0</v>
      </c>
      <c r="AF337" s="316">
        <f>'Supply planning data'!AH335</f>
        <v>0</v>
      </c>
      <c r="AG337" s="174">
        <f>'Supply planning data'!AI335</f>
        <v>0</v>
      </c>
      <c r="AH337" s="92">
        <f>'Supply planning data'!AJ335</f>
        <v>0</v>
      </c>
      <c r="AI337" s="92">
        <f>'Supply planning data'!AK335</f>
        <v>0</v>
      </c>
      <c r="AJ337" s="92">
        <f>'Supply planning data'!AL335</f>
        <v>0</v>
      </c>
      <c r="AK337" s="92">
        <f>'Supply planning data'!AM335</f>
        <v>0</v>
      </c>
      <c r="AL337" s="92">
        <f>'Supply planning data'!AN335</f>
        <v>0</v>
      </c>
      <c r="AM337" s="324" t="str">
        <f>'Supply planning data'!AO335</f>
        <v/>
      </c>
    </row>
    <row r="338" spans="1:39" x14ac:dyDescent="0.25">
      <c r="A338" s="90" t="str">
        <f>'Supply planning data'!C336</f>
        <v>Jansen</v>
      </c>
      <c r="B338" s="296">
        <f>'Supply planning data'!D336</f>
        <v>44866</v>
      </c>
      <c r="C338" s="92" t="str">
        <f>'Supply planning data'!E336</f>
        <v>Yes</v>
      </c>
      <c r="D338" s="92">
        <f>'Supply planning data'!F336</f>
        <v>2058747</v>
      </c>
      <c r="E338" s="316">
        <f>'Supply planning data'!G336</f>
        <v>0</v>
      </c>
      <c r="F338" s="317">
        <f>'Supply planning data'!H336</f>
        <v>0</v>
      </c>
      <c r="G338" s="317">
        <f>'Supply planning data'!I336</f>
        <v>0</v>
      </c>
      <c r="H338" s="98">
        <f>'Supply planning data'!J336</f>
        <v>0</v>
      </c>
      <c r="I338" s="317">
        <f>'Supply planning data'!K336</f>
        <v>0</v>
      </c>
      <c r="J338" s="175" t="str">
        <f>'Supply planning data'!L336</f>
        <v/>
      </c>
      <c r="K338" s="98">
        <f>'Supply planning data'!M336</f>
        <v>0</v>
      </c>
      <c r="L338" s="317">
        <f>'Supply planning data'!N336+'Supply planning data'!P336</f>
        <v>0</v>
      </c>
      <c r="M338" s="339">
        <f>'Supply planning data'!O336</f>
        <v>0</v>
      </c>
      <c r="N338" s="317">
        <f>'Supply planning data'!P336</f>
        <v>0</v>
      </c>
      <c r="O338" s="339">
        <f>'Supply planning data'!Q336</f>
        <v>0</v>
      </c>
      <c r="P338" s="98">
        <f>'Supply planning data'!R336</f>
        <v>200000</v>
      </c>
      <c r="Q338" s="98">
        <f>'Supply planning data'!S336</f>
        <v>0</v>
      </c>
      <c r="R338" s="98">
        <f>'Supply planning data'!T336</f>
        <v>0</v>
      </c>
      <c r="S338" s="98">
        <f>'Supply planning data'!U336</f>
        <v>0</v>
      </c>
      <c r="T338" s="98">
        <f>'Supply planning data'!V336</f>
        <v>2258747</v>
      </c>
      <c r="U338" s="325" t="str">
        <f>'Supply planning data'!W336</f>
        <v/>
      </c>
      <c r="V338" s="98">
        <f>'Supply planning data'!X336</f>
        <v>1578747</v>
      </c>
      <c r="W338" s="317">
        <f>'Supply planning data'!Y336</f>
        <v>80000</v>
      </c>
      <c r="X338" s="328">
        <f>'Supply planning data'!Z336</f>
        <v>0</v>
      </c>
      <c r="Y338" s="98">
        <f>'Supply planning data'!AA336</f>
        <v>80000</v>
      </c>
      <c r="Z338" s="98">
        <f>'Supply planning data'!AB336</f>
        <v>0</v>
      </c>
      <c r="AA338" s="98">
        <f>'Supply planning data'!AC336</f>
        <v>0</v>
      </c>
      <c r="AB338" s="98">
        <f>'Supply planning data'!AD336</f>
        <v>0</v>
      </c>
      <c r="AC338" s="98">
        <f>'Supply planning data'!AE336</f>
        <v>1698747</v>
      </c>
      <c r="AD338" s="325">
        <f>'Supply planning data'!AF336</f>
        <v>63.7030125</v>
      </c>
      <c r="AE338" s="98">
        <f>'Supply planning data'!AG336</f>
        <v>2058747</v>
      </c>
      <c r="AF338" s="317">
        <f>'Supply planning data'!AH336</f>
        <v>0</v>
      </c>
      <c r="AG338" s="175">
        <f>'Supply planning data'!AI336</f>
        <v>0</v>
      </c>
      <c r="AH338" s="98">
        <f>'Supply planning data'!AJ336</f>
        <v>0</v>
      </c>
      <c r="AI338" s="98">
        <f>'Supply planning data'!AK336</f>
        <v>0</v>
      </c>
      <c r="AJ338" s="98">
        <f>'Supply planning data'!AL336</f>
        <v>0</v>
      </c>
      <c r="AK338" s="98">
        <f>'Supply planning data'!AM336</f>
        <v>0</v>
      </c>
      <c r="AL338" s="98">
        <f>'Supply planning data'!AN336</f>
        <v>2258747</v>
      </c>
      <c r="AM338" s="325" t="str">
        <f>'Supply planning data'!AO336</f>
        <v/>
      </c>
    </row>
    <row r="339" spans="1:39" x14ac:dyDescent="0.25">
      <c r="A339" s="90" t="str">
        <f>'Supply planning data'!C337</f>
        <v>Moderna</v>
      </c>
      <c r="B339" s="296">
        <f>'Supply planning data'!D337</f>
        <v>44866</v>
      </c>
      <c r="C339" s="92" t="str">
        <f>'Supply planning data'!E337</f>
        <v>No</v>
      </c>
      <c r="D339" s="92">
        <f>'Supply planning data'!F337</f>
        <v>0</v>
      </c>
      <c r="E339" s="316">
        <f>'Supply planning data'!G337</f>
        <v>0</v>
      </c>
      <c r="F339" s="317">
        <f>'Supply planning data'!H337</f>
        <v>0</v>
      </c>
      <c r="G339" s="317">
        <f>'Supply planning data'!I337</f>
        <v>0</v>
      </c>
      <c r="H339" s="98">
        <f>'Supply planning data'!J337</f>
        <v>0</v>
      </c>
      <c r="I339" s="317">
        <f>'Supply planning data'!K337</f>
        <v>0</v>
      </c>
      <c r="J339" s="175" t="str">
        <f>'Supply planning data'!L337</f>
        <v/>
      </c>
      <c r="K339" s="98">
        <f>'Supply planning data'!M337</f>
        <v>0</v>
      </c>
      <c r="L339" s="317">
        <f>'Supply planning data'!N337+'Supply planning data'!P337</f>
        <v>0</v>
      </c>
      <c r="M339" s="339">
        <f>'Supply planning data'!O337</f>
        <v>0</v>
      </c>
      <c r="N339" s="317">
        <f>'Supply planning data'!P337</f>
        <v>0</v>
      </c>
      <c r="O339" s="339">
        <f>'Supply planning data'!Q337</f>
        <v>0</v>
      </c>
      <c r="P339" s="98">
        <f>'Supply planning data'!R337</f>
        <v>0</v>
      </c>
      <c r="Q339" s="98">
        <f>'Supply planning data'!S337</f>
        <v>0</v>
      </c>
      <c r="R339" s="98">
        <f>'Supply planning data'!T337</f>
        <v>0</v>
      </c>
      <c r="S339" s="98">
        <f>'Supply planning data'!U337</f>
        <v>0</v>
      </c>
      <c r="T339" s="98">
        <f>'Supply planning data'!V337</f>
        <v>0</v>
      </c>
      <c r="U339" s="325" t="str">
        <f>'Supply planning data'!W337</f>
        <v/>
      </c>
      <c r="V339" s="98">
        <f>'Supply planning data'!X337</f>
        <v>0</v>
      </c>
      <c r="W339" s="317">
        <f>'Supply planning data'!Y337</f>
        <v>80000</v>
      </c>
      <c r="X339" s="328">
        <f>'Supply planning data'!Z337</f>
        <v>0</v>
      </c>
      <c r="Y339" s="98">
        <f>'Supply planning data'!AA337</f>
        <v>80000</v>
      </c>
      <c r="Z339" s="98">
        <f>'Supply planning data'!AB337</f>
        <v>0</v>
      </c>
      <c r="AA339" s="98">
        <f>'Supply planning data'!AC337</f>
        <v>0</v>
      </c>
      <c r="AB339" s="98">
        <f>'Supply planning data'!AD337</f>
        <v>0</v>
      </c>
      <c r="AC339" s="98">
        <f>'Supply planning data'!AE337</f>
        <v>0</v>
      </c>
      <c r="AD339" s="325">
        <f>'Supply planning data'!AF337</f>
        <v>0</v>
      </c>
      <c r="AE339" s="98">
        <f>'Supply planning data'!AG337</f>
        <v>0</v>
      </c>
      <c r="AF339" s="317">
        <f>'Supply planning data'!AH337</f>
        <v>0</v>
      </c>
      <c r="AG339" s="175">
        <f>'Supply planning data'!AI337</f>
        <v>0</v>
      </c>
      <c r="AH339" s="98">
        <f>'Supply planning data'!AJ337</f>
        <v>0</v>
      </c>
      <c r="AI339" s="98">
        <f>'Supply planning data'!AK337</f>
        <v>0</v>
      </c>
      <c r="AJ339" s="98">
        <f>'Supply planning data'!AL337</f>
        <v>0</v>
      </c>
      <c r="AK339" s="98">
        <f>'Supply planning data'!AM337</f>
        <v>0</v>
      </c>
      <c r="AL339" s="98">
        <f>'Supply planning data'!AN337</f>
        <v>0</v>
      </c>
      <c r="AM339" s="325" t="str">
        <f>'Supply planning data'!AO337</f>
        <v/>
      </c>
    </row>
    <row r="340" spans="1:39" x14ac:dyDescent="0.25">
      <c r="A340" s="90" t="str">
        <f>'Supply planning data'!C338</f>
        <v>Pfizer</v>
      </c>
      <c r="B340" s="296">
        <f>'Supply planning data'!D338</f>
        <v>44866</v>
      </c>
      <c r="C340" s="92" t="str">
        <f>'Supply planning data'!E338</f>
        <v>Yes</v>
      </c>
      <c r="D340" s="92">
        <f>'Supply planning data'!F338</f>
        <v>3000000</v>
      </c>
      <c r="E340" s="316">
        <f>'Supply planning data'!G338</f>
        <v>0</v>
      </c>
      <c r="F340" s="317">
        <f>'Supply planning data'!H338</f>
        <v>0</v>
      </c>
      <c r="G340" s="317">
        <f>'Supply planning data'!I338</f>
        <v>0</v>
      </c>
      <c r="H340" s="98">
        <f>'Supply planning data'!J338</f>
        <v>0</v>
      </c>
      <c r="I340" s="317">
        <f>'Supply planning data'!K338</f>
        <v>0</v>
      </c>
      <c r="J340" s="175" t="str">
        <f>'Supply planning data'!L338</f>
        <v/>
      </c>
      <c r="K340" s="98">
        <f>'Supply planning data'!M338</f>
        <v>0</v>
      </c>
      <c r="L340" s="317">
        <f>'Supply planning data'!N338+'Supply planning data'!P338</f>
        <v>0</v>
      </c>
      <c r="M340" s="339">
        <f>'Supply planning data'!O338</f>
        <v>0</v>
      </c>
      <c r="N340" s="317">
        <f>'Supply planning data'!P338</f>
        <v>0</v>
      </c>
      <c r="O340" s="339">
        <f>'Supply planning data'!Q338</f>
        <v>0</v>
      </c>
      <c r="P340" s="98">
        <f>'Supply planning data'!R338</f>
        <v>0</v>
      </c>
      <c r="Q340" s="98">
        <f>'Supply planning data'!S338</f>
        <v>0</v>
      </c>
      <c r="R340" s="98">
        <f>'Supply planning data'!T338</f>
        <v>110538</v>
      </c>
      <c r="S340" s="98">
        <f>'Supply planning data'!U338</f>
        <v>0</v>
      </c>
      <c r="T340" s="98">
        <f>'Supply planning data'!V338</f>
        <v>3000000</v>
      </c>
      <c r="U340" s="325" t="str">
        <f>'Supply planning data'!W338</f>
        <v/>
      </c>
      <c r="V340" s="98">
        <f>'Supply planning data'!X338</f>
        <v>2520000</v>
      </c>
      <c r="W340" s="317">
        <f>'Supply planning data'!Y338</f>
        <v>80000</v>
      </c>
      <c r="X340" s="328">
        <f>'Supply planning data'!Z338</f>
        <v>0</v>
      </c>
      <c r="Y340" s="98">
        <f>'Supply planning data'!AA338</f>
        <v>80000</v>
      </c>
      <c r="Z340" s="98">
        <f>'Supply planning data'!AB338</f>
        <v>0</v>
      </c>
      <c r="AA340" s="98">
        <f>'Supply planning data'!AC338</f>
        <v>0</v>
      </c>
      <c r="AB340" s="98">
        <f>'Supply planning data'!AD338</f>
        <v>0</v>
      </c>
      <c r="AC340" s="98">
        <f>'Supply planning data'!AE338</f>
        <v>2440000</v>
      </c>
      <c r="AD340" s="325">
        <f>'Supply planning data'!AF338</f>
        <v>91.5</v>
      </c>
      <c r="AE340" s="98">
        <f>'Supply planning data'!AG338</f>
        <v>3000000</v>
      </c>
      <c r="AF340" s="317">
        <f>'Supply planning data'!AH338</f>
        <v>0</v>
      </c>
      <c r="AG340" s="175">
        <f>'Supply planning data'!AI338</f>
        <v>0</v>
      </c>
      <c r="AH340" s="98">
        <f>'Supply planning data'!AJ338</f>
        <v>0</v>
      </c>
      <c r="AI340" s="98">
        <f>'Supply planning data'!AK338</f>
        <v>0</v>
      </c>
      <c r="AJ340" s="98">
        <f>'Supply planning data'!AL338</f>
        <v>110538</v>
      </c>
      <c r="AK340" s="98">
        <f>'Supply planning data'!AM338</f>
        <v>0</v>
      </c>
      <c r="AL340" s="98">
        <f>'Supply planning data'!AN338</f>
        <v>3000000</v>
      </c>
      <c r="AM340" s="325" t="str">
        <f>'Supply planning data'!AO338</f>
        <v/>
      </c>
    </row>
    <row r="341" spans="1:39" x14ac:dyDescent="0.25">
      <c r="A341" s="90" t="str">
        <f>'Supply planning data'!C339</f>
        <v>Sinovac</v>
      </c>
      <c r="B341" s="296">
        <f>'Supply planning data'!D339</f>
        <v>44866</v>
      </c>
      <c r="C341" s="92" t="str">
        <f>'Supply planning data'!E339</f>
        <v>No</v>
      </c>
      <c r="D341" s="92">
        <f>'Supply planning data'!F339</f>
        <v>0</v>
      </c>
      <c r="E341" s="316">
        <f>'Supply planning data'!G339</f>
        <v>0</v>
      </c>
      <c r="F341" s="317">
        <f>'Supply planning data'!H339</f>
        <v>0</v>
      </c>
      <c r="G341" s="317">
        <f>'Supply planning data'!I339</f>
        <v>0</v>
      </c>
      <c r="H341" s="98">
        <f>'Supply planning data'!J339</f>
        <v>0</v>
      </c>
      <c r="I341" s="317">
        <f>'Supply planning data'!K339</f>
        <v>0</v>
      </c>
      <c r="J341" s="175" t="str">
        <f>'Supply planning data'!L339</f>
        <v/>
      </c>
      <c r="K341" s="98">
        <f>'Supply planning data'!M339</f>
        <v>0</v>
      </c>
      <c r="L341" s="317">
        <f>'Supply planning data'!N339+'Supply planning data'!P339</f>
        <v>0</v>
      </c>
      <c r="M341" s="339">
        <f>'Supply planning data'!O339</f>
        <v>0</v>
      </c>
      <c r="N341" s="317">
        <f>'Supply planning data'!P339</f>
        <v>0</v>
      </c>
      <c r="O341" s="339">
        <f>'Supply planning data'!Q339</f>
        <v>0</v>
      </c>
      <c r="P341" s="98">
        <f>'Supply planning data'!R339</f>
        <v>0</v>
      </c>
      <c r="Q341" s="98">
        <f>'Supply planning data'!S339</f>
        <v>0</v>
      </c>
      <c r="R341" s="98">
        <f>'Supply planning data'!T339</f>
        <v>0</v>
      </c>
      <c r="S341" s="98">
        <f>'Supply planning data'!U339</f>
        <v>0</v>
      </c>
      <c r="T341" s="98">
        <f>'Supply planning data'!V339</f>
        <v>0</v>
      </c>
      <c r="U341" s="325" t="str">
        <f>'Supply planning data'!W339</f>
        <v/>
      </c>
      <c r="V341" s="98">
        <f>'Supply planning data'!X339</f>
        <v>0</v>
      </c>
      <c r="W341" s="317">
        <f>'Supply planning data'!Y339</f>
        <v>80000</v>
      </c>
      <c r="X341" s="328">
        <f>'Supply planning data'!Z339</f>
        <v>0</v>
      </c>
      <c r="Y341" s="98">
        <f>'Supply planning data'!AA339</f>
        <v>80000</v>
      </c>
      <c r="Z341" s="98">
        <f>'Supply planning data'!AB339</f>
        <v>0</v>
      </c>
      <c r="AA341" s="98">
        <f>'Supply planning data'!AC339</f>
        <v>0</v>
      </c>
      <c r="AB341" s="98">
        <f>'Supply planning data'!AD339</f>
        <v>0</v>
      </c>
      <c r="AC341" s="98">
        <f>'Supply planning data'!AE339</f>
        <v>0</v>
      </c>
      <c r="AD341" s="325">
        <f>'Supply planning data'!AF339</f>
        <v>0</v>
      </c>
      <c r="AE341" s="98">
        <f>'Supply planning data'!AG339</f>
        <v>0</v>
      </c>
      <c r="AF341" s="317">
        <f>'Supply planning data'!AH339</f>
        <v>0</v>
      </c>
      <c r="AG341" s="175">
        <f>'Supply planning data'!AI339</f>
        <v>0</v>
      </c>
      <c r="AH341" s="98">
        <f>'Supply planning data'!AJ339</f>
        <v>0</v>
      </c>
      <c r="AI341" s="98">
        <f>'Supply planning data'!AK339</f>
        <v>0</v>
      </c>
      <c r="AJ341" s="98">
        <f>'Supply planning data'!AL339</f>
        <v>0</v>
      </c>
      <c r="AK341" s="98">
        <f>'Supply planning data'!AM339</f>
        <v>0</v>
      </c>
      <c r="AL341" s="98">
        <f>'Supply planning data'!AN339</f>
        <v>0</v>
      </c>
      <c r="AM341" s="325" t="str">
        <f>'Supply planning data'!AO339</f>
        <v/>
      </c>
    </row>
    <row r="342" spans="1:39" hidden="1" x14ac:dyDescent="0.25">
      <c r="A342" s="90" t="str">
        <f>'Supply planning data'!C340</f>
        <v/>
      </c>
      <c r="B342" s="296">
        <f>'Supply planning data'!D340</f>
        <v>44866</v>
      </c>
      <c r="C342" s="92" t="str">
        <f>'Supply planning data'!E340</f>
        <v>No</v>
      </c>
      <c r="D342" s="92">
        <f>'Supply planning data'!F340</f>
        <v>0</v>
      </c>
      <c r="E342" s="316">
        <f>'Supply planning data'!G340</f>
        <v>0</v>
      </c>
      <c r="F342" s="317">
        <f>'Supply planning data'!H340</f>
        <v>0</v>
      </c>
      <c r="G342" s="317">
        <f>'Supply planning data'!I340</f>
        <v>0</v>
      </c>
      <c r="H342" s="98">
        <f>'Supply planning data'!J340</f>
        <v>0</v>
      </c>
      <c r="I342" s="317">
        <f>'Supply planning data'!K340</f>
        <v>0</v>
      </c>
      <c r="J342" s="175" t="str">
        <f>'Supply planning data'!L340</f>
        <v/>
      </c>
      <c r="K342" s="98">
        <f>'Supply planning data'!M340</f>
        <v>0</v>
      </c>
      <c r="L342" s="317">
        <f>'Supply planning data'!N340+'Supply planning data'!P340</f>
        <v>0</v>
      </c>
      <c r="M342" s="339">
        <f>'Supply planning data'!O340</f>
        <v>0</v>
      </c>
      <c r="N342" s="317">
        <f>'Supply planning data'!P340</f>
        <v>0</v>
      </c>
      <c r="O342" s="339">
        <f>'Supply planning data'!Q340</f>
        <v>0</v>
      </c>
      <c r="P342" s="98">
        <f>'Supply planning data'!R340</f>
        <v>0</v>
      </c>
      <c r="Q342" s="98">
        <f>'Supply planning data'!S340</f>
        <v>0</v>
      </c>
      <c r="R342" s="98">
        <f>'Supply planning data'!T340</f>
        <v>0</v>
      </c>
      <c r="S342" s="98">
        <f>'Supply planning data'!U340</f>
        <v>0</v>
      </c>
      <c r="T342" s="98">
        <f>'Supply planning data'!V340</f>
        <v>0</v>
      </c>
      <c r="U342" s="325" t="str">
        <f>'Supply planning data'!W340</f>
        <v/>
      </c>
      <c r="V342" s="98">
        <f>'Supply planning data'!X340</f>
        <v>0</v>
      </c>
      <c r="W342" s="317">
        <f>'Supply planning data'!Y340</f>
        <v>0</v>
      </c>
      <c r="X342" s="328">
        <f>'Supply planning data'!Z340</f>
        <v>0</v>
      </c>
      <c r="Y342" s="98">
        <f>'Supply planning data'!AA340</f>
        <v>0</v>
      </c>
      <c r="Z342" s="98">
        <f>'Supply planning data'!AB340</f>
        <v>0</v>
      </c>
      <c r="AA342" s="98">
        <f>'Supply planning data'!AC340</f>
        <v>0</v>
      </c>
      <c r="AB342" s="98">
        <f>'Supply planning data'!AD340</f>
        <v>0</v>
      </c>
      <c r="AC342" s="98">
        <f>'Supply planning data'!AE340</f>
        <v>0</v>
      </c>
      <c r="AD342" s="325" t="str">
        <f>'Supply planning data'!AF340</f>
        <v/>
      </c>
      <c r="AE342" s="98">
        <f>'Supply planning data'!AG340</f>
        <v>0</v>
      </c>
      <c r="AF342" s="317">
        <f>'Supply planning data'!AH340</f>
        <v>0</v>
      </c>
      <c r="AG342" s="175">
        <f>'Supply planning data'!AI340</f>
        <v>0</v>
      </c>
      <c r="AH342" s="98">
        <f>'Supply planning data'!AJ340</f>
        <v>0</v>
      </c>
      <c r="AI342" s="98">
        <f>'Supply planning data'!AK340</f>
        <v>0</v>
      </c>
      <c r="AJ342" s="98">
        <f>'Supply planning data'!AL340</f>
        <v>0</v>
      </c>
      <c r="AK342" s="98">
        <f>'Supply planning data'!AM340</f>
        <v>0</v>
      </c>
      <c r="AL342" s="98">
        <f>'Supply planning data'!AN340</f>
        <v>0</v>
      </c>
      <c r="AM342" s="325" t="str">
        <f>'Supply planning data'!AO340</f>
        <v/>
      </c>
    </row>
    <row r="343" spans="1:39" hidden="1" x14ac:dyDescent="0.25">
      <c r="A343" s="90" t="str">
        <f>'Supply planning data'!C341</f>
        <v/>
      </c>
      <c r="B343" s="296">
        <f>'Supply planning data'!D341</f>
        <v>44866</v>
      </c>
      <c r="C343" s="92" t="str">
        <f>'Supply planning data'!E341</f>
        <v>No</v>
      </c>
      <c r="D343" s="92">
        <f>'Supply planning data'!F341</f>
        <v>0</v>
      </c>
      <c r="E343" s="316">
        <f>'Supply planning data'!G341</f>
        <v>0</v>
      </c>
      <c r="F343" s="317">
        <f>'Supply planning data'!H341</f>
        <v>0</v>
      </c>
      <c r="G343" s="317">
        <f>'Supply planning data'!I341</f>
        <v>0</v>
      </c>
      <c r="H343" s="98">
        <f>'Supply planning data'!J341</f>
        <v>0</v>
      </c>
      <c r="I343" s="317">
        <f>'Supply planning data'!K341</f>
        <v>0</v>
      </c>
      <c r="J343" s="175" t="str">
        <f>'Supply planning data'!L341</f>
        <v/>
      </c>
      <c r="K343" s="98">
        <f>'Supply planning data'!M341</f>
        <v>0</v>
      </c>
      <c r="L343" s="317">
        <f>'Supply planning data'!N341+'Supply planning data'!P341</f>
        <v>0</v>
      </c>
      <c r="M343" s="339">
        <f>'Supply planning data'!O341</f>
        <v>0</v>
      </c>
      <c r="N343" s="317">
        <f>'Supply planning data'!P341</f>
        <v>0</v>
      </c>
      <c r="O343" s="339">
        <f>'Supply planning data'!Q341</f>
        <v>0</v>
      </c>
      <c r="P343" s="98">
        <f>'Supply planning data'!R341</f>
        <v>0</v>
      </c>
      <c r="Q343" s="98">
        <f>'Supply planning data'!S341</f>
        <v>0</v>
      </c>
      <c r="R343" s="98">
        <f>'Supply planning data'!T341</f>
        <v>0</v>
      </c>
      <c r="S343" s="98">
        <f>'Supply planning data'!U341</f>
        <v>0</v>
      </c>
      <c r="T343" s="98">
        <f>'Supply planning data'!V341</f>
        <v>0</v>
      </c>
      <c r="U343" s="325" t="str">
        <f>'Supply planning data'!W341</f>
        <v/>
      </c>
      <c r="V343" s="98">
        <f>'Supply planning data'!X341</f>
        <v>0</v>
      </c>
      <c r="W343" s="317">
        <f>'Supply planning data'!Y341</f>
        <v>0</v>
      </c>
      <c r="X343" s="328">
        <f>'Supply planning data'!Z341</f>
        <v>0</v>
      </c>
      <c r="Y343" s="98">
        <f>'Supply planning data'!AA341</f>
        <v>0</v>
      </c>
      <c r="Z343" s="98">
        <f>'Supply planning data'!AB341</f>
        <v>0</v>
      </c>
      <c r="AA343" s="98">
        <f>'Supply planning data'!AC341</f>
        <v>0</v>
      </c>
      <c r="AB343" s="98">
        <f>'Supply planning data'!AD341</f>
        <v>0</v>
      </c>
      <c r="AC343" s="98">
        <f>'Supply planning data'!AE341</f>
        <v>0</v>
      </c>
      <c r="AD343" s="325" t="str">
        <f>'Supply planning data'!AF341</f>
        <v/>
      </c>
      <c r="AE343" s="98">
        <f>'Supply planning data'!AG341</f>
        <v>0</v>
      </c>
      <c r="AF343" s="317">
        <f>'Supply planning data'!AH341</f>
        <v>0</v>
      </c>
      <c r="AG343" s="175">
        <f>'Supply planning data'!AI341</f>
        <v>0</v>
      </c>
      <c r="AH343" s="98">
        <f>'Supply planning data'!AJ341</f>
        <v>0</v>
      </c>
      <c r="AI343" s="98">
        <f>'Supply planning data'!AK341</f>
        <v>0</v>
      </c>
      <c r="AJ343" s="98">
        <f>'Supply planning data'!AL341</f>
        <v>0</v>
      </c>
      <c r="AK343" s="98">
        <f>'Supply planning data'!AM341</f>
        <v>0</v>
      </c>
      <c r="AL343" s="98">
        <f>'Supply planning data'!AN341</f>
        <v>0</v>
      </c>
      <c r="AM343" s="325" t="str">
        <f>'Supply planning data'!AO341</f>
        <v/>
      </c>
    </row>
    <row r="344" spans="1:39" hidden="1" x14ac:dyDescent="0.25">
      <c r="A344" s="90" t="str">
        <f>'Supply planning data'!C342</f>
        <v/>
      </c>
      <c r="B344" s="296">
        <f>'Supply planning data'!D342</f>
        <v>44866</v>
      </c>
      <c r="C344" s="92" t="str">
        <f>'Supply planning data'!E342</f>
        <v>No</v>
      </c>
      <c r="D344" s="92">
        <f>'Supply planning data'!F342</f>
        <v>0</v>
      </c>
      <c r="E344" s="316">
        <f>'Supply planning data'!G342</f>
        <v>0</v>
      </c>
      <c r="F344" s="317">
        <f>'Supply planning data'!H342</f>
        <v>0</v>
      </c>
      <c r="G344" s="317">
        <f>'Supply planning data'!I342</f>
        <v>0</v>
      </c>
      <c r="H344" s="98">
        <f>'Supply planning data'!J342</f>
        <v>0</v>
      </c>
      <c r="I344" s="317">
        <f>'Supply planning data'!K342</f>
        <v>0</v>
      </c>
      <c r="J344" s="175" t="str">
        <f>'Supply planning data'!L342</f>
        <v/>
      </c>
      <c r="K344" s="98">
        <f>'Supply planning data'!M342</f>
        <v>0</v>
      </c>
      <c r="L344" s="317">
        <f>'Supply planning data'!N342+'Supply planning data'!P342</f>
        <v>0</v>
      </c>
      <c r="M344" s="339">
        <f>'Supply planning data'!O342</f>
        <v>0</v>
      </c>
      <c r="N344" s="317">
        <f>'Supply planning data'!P342</f>
        <v>0</v>
      </c>
      <c r="O344" s="339">
        <f>'Supply planning data'!Q342</f>
        <v>0</v>
      </c>
      <c r="P344" s="98">
        <f>'Supply planning data'!R342</f>
        <v>0</v>
      </c>
      <c r="Q344" s="98">
        <f>'Supply planning data'!S342</f>
        <v>0</v>
      </c>
      <c r="R344" s="98">
        <f>'Supply planning data'!T342</f>
        <v>0</v>
      </c>
      <c r="S344" s="98">
        <f>'Supply planning data'!U342</f>
        <v>0</v>
      </c>
      <c r="T344" s="98">
        <f>'Supply planning data'!V342</f>
        <v>0</v>
      </c>
      <c r="U344" s="325" t="str">
        <f>'Supply planning data'!W342</f>
        <v/>
      </c>
      <c r="V344" s="98">
        <f>'Supply planning data'!X342</f>
        <v>0</v>
      </c>
      <c r="W344" s="317">
        <f>'Supply planning data'!Y342</f>
        <v>0</v>
      </c>
      <c r="X344" s="328">
        <f>'Supply planning data'!Z342</f>
        <v>0</v>
      </c>
      <c r="Y344" s="98">
        <f>'Supply planning data'!AA342</f>
        <v>0</v>
      </c>
      <c r="Z344" s="98">
        <f>'Supply planning data'!AB342</f>
        <v>0</v>
      </c>
      <c r="AA344" s="98">
        <f>'Supply planning data'!AC342</f>
        <v>0</v>
      </c>
      <c r="AB344" s="98">
        <f>'Supply planning data'!AD342</f>
        <v>0</v>
      </c>
      <c r="AC344" s="98">
        <f>'Supply planning data'!AE342</f>
        <v>0</v>
      </c>
      <c r="AD344" s="325" t="str">
        <f>'Supply planning data'!AF342</f>
        <v/>
      </c>
      <c r="AE344" s="98">
        <f>'Supply planning data'!AG342</f>
        <v>0</v>
      </c>
      <c r="AF344" s="317">
        <f>'Supply planning data'!AH342</f>
        <v>0</v>
      </c>
      <c r="AG344" s="175">
        <f>'Supply planning data'!AI342</f>
        <v>0</v>
      </c>
      <c r="AH344" s="98">
        <f>'Supply planning data'!AJ342</f>
        <v>0</v>
      </c>
      <c r="AI344" s="98">
        <f>'Supply planning data'!AK342</f>
        <v>0</v>
      </c>
      <c r="AJ344" s="98">
        <f>'Supply planning data'!AL342</f>
        <v>0</v>
      </c>
      <c r="AK344" s="98">
        <f>'Supply planning data'!AM342</f>
        <v>0</v>
      </c>
      <c r="AL344" s="98">
        <f>'Supply planning data'!AN342</f>
        <v>0</v>
      </c>
      <c r="AM344" s="325" t="str">
        <f>'Supply planning data'!AO342</f>
        <v/>
      </c>
    </row>
    <row r="345" spans="1:39" hidden="1" x14ac:dyDescent="0.25">
      <c r="A345" s="90" t="str">
        <f>'Supply planning data'!C343</f>
        <v/>
      </c>
      <c r="B345" s="296">
        <f>'Supply planning data'!D343</f>
        <v>44866</v>
      </c>
      <c r="C345" s="92" t="str">
        <f>'Supply planning data'!E343</f>
        <v>No</v>
      </c>
      <c r="D345" s="92">
        <f>'Supply planning data'!F343</f>
        <v>0</v>
      </c>
      <c r="E345" s="316">
        <f>'Supply planning data'!G343</f>
        <v>0</v>
      </c>
      <c r="F345" s="317">
        <f>'Supply planning data'!H343</f>
        <v>0</v>
      </c>
      <c r="G345" s="317">
        <f>'Supply planning data'!I343</f>
        <v>0</v>
      </c>
      <c r="H345" s="98">
        <f>'Supply planning data'!J343</f>
        <v>0</v>
      </c>
      <c r="I345" s="317">
        <f>'Supply planning data'!K343</f>
        <v>0</v>
      </c>
      <c r="J345" s="175" t="str">
        <f>'Supply planning data'!L343</f>
        <v/>
      </c>
      <c r="K345" s="98">
        <f>'Supply planning data'!M343</f>
        <v>0</v>
      </c>
      <c r="L345" s="317">
        <f>'Supply planning data'!N343+'Supply planning data'!P343</f>
        <v>0</v>
      </c>
      <c r="M345" s="339">
        <f>'Supply planning data'!O343</f>
        <v>0</v>
      </c>
      <c r="N345" s="317">
        <f>'Supply planning data'!P343</f>
        <v>0</v>
      </c>
      <c r="O345" s="339">
        <f>'Supply planning data'!Q343</f>
        <v>0</v>
      </c>
      <c r="P345" s="98">
        <f>'Supply planning data'!R343</f>
        <v>0</v>
      </c>
      <c r="Q345" s="98">
        <f>'Supply planning data'!S343</f>
        <v>0</v>
      </c>
      <c r="R345" s="98">
        <f>'Supply planning data'!T343</f>
        <v>0</v>
      </c>
      <c r="S345" s="98">
        <f>'Supply planning data'!U343</f>
        <v>0</v>
      </c>
      <c r="T345" s="98">
        <f>'Supply planning data'!V343</f>
        <v>0</v>
      </c>
      <c r="U345" s="325" t="str">
        <f>'Supply planning data'!W343</f>
        <v/>
      </c>
      <c r="V345" s="98">
        <f>'Supply planning data'!X343</f>
        <v>0</v>
      </c>
      <c r="W345" s="317">
        <f>'Supply planning data'!Y343</f>
        <v>0</v>
      </c>
      <c r="X345" s="328">
        <f>'Supply planning data'!Z343</f>
        <v>0</v>
      </c>
      <c r="Y345" s="98">
        <f>'Supply planning data'!AA343</f>
        <v>0</v>
      </c>
      <c r="Z345" s="98">
        <f>'Supply planning data'!AB343</f>
        <v>0</v>
      </c>
      <c r="AA345" s="98">
        <f>'Supply planning data'!AC343</f>
        <v>0</v>
      </c>
      <c r="AB345" s="98">
        <f>'Supply planning data'!AD343</f>
        <v>0</v>
      </c>
      <c r="AC345" s="98">
        <f>'Supply planning data'!AE343</f>
        <v>0</v>
      </c>
      <c r="AD345" s="325" t="str">
        <f>'Supply planning data'!AF343</f>
        <v/>
      </c>
      <c r="AE345" s="98">
        <f>'Supply planning data'!AG343</f>
        <v>0</v>
      </c>
      <c r="AF345" s="317">
        <f>'Supply planning data'!AH343</f>
        <v>0</v>
      </c>
      <c r="AG345" s="175">
        <f>'Supply planning data'!AI343</f>
        <v>0</v>
      </c>
      <c r="AH345" s="98">
        <f>'Supply planning data'!AJ343</f>
        <v>0</v>
      </c>
      <c r="AI345" s="98">
        <f>'Supply planning data'!AK343</f>
        <v>0</v>
      </c>
      <c r="AJ345" s="98">
        <f>'Supply planning data'!AL343</f>
        <v>0</v>
      </c>
      <c r="AK345" s="98">
        <f>'Supply planning data'!AM343</f>
        <v>0</v>
      </c>
      <c r="AL345" s="98">
        <f>'Supply planning data'!AN343</f>
        <v>0</v>
      </c>
      <c r="AM345" s="325" t="str">
        <f>'Supply planning data'!AO343</f>
        <v/>
      </c>
    </row>
    <row r="346" spans="1:39" hidden="1" x14ac:dyDescent="0.25">
      <c r="A346" s="90" t="str">
        <f>'Supply planning data'!C344</f>
        <v/>
      </c>
      <c r="B346" s="296">
        <f>'Supply planning data'!D344</f>
        <v>44866</v>
      </c>
      <c r="C346" s="92" t="str">
        <f>'Supply planning data'!E344</f>
        <v>No</v>
      </c>
      <c r="D346" s="92">
        <f>'Supply planning data'!F344</f>
        <v>0</v>
      </c>
      <c r="E346" s="316">
        <f>'Supply planning data'!G344</f>
        <v>0</v>
      </c>
      <c r="F346" s="317">
        <f>'Supply planning data'!H344</f>
        <v>0</v>
      </c>
      <c r="G346" s="317">
        <f>'Supply planning data'!I344</f>
        <v>0</v>
      </c>
      <c r="H346" s="98">
        <f>'Supply planning data'!J344</f>
        <v>0</v>
      </c>
      <c r="I346" s="317">
        <f>'Supply planning data'!K344</f>
        <v>0</v>
      </c>
      <c r="J346" s="175" t="str">
        <f>'Supply planning data'!L344</f>
        <v/>
      </c>
      <c r="K346" s="98">
        <f>'Supply planning data'!M344</f>
        <v>0</v>
      </c>
      <c r="L346" s="317">
        <f>'Supply planning data'!N344+'Supply planning data'!P344</f>
        <v>0</v>
      </c>
      <c r="M346" s="339">
        <f>'Supply planning data'!O344</f>
        <v>0</v>
      </c>
      <c r="N346" s="317">
        <f>'Supply planning data'!P344</f>
        <v>0</v>
      </c>
      <c r="O346" s="339">
        <f>'Supply planning data'!Q344</f>
        <v>0</v>
      </c>
      <c r="P346" s="98">
        <f>'Supply planning data'!R344</f>
        <v>0</v>
      </c>
      <c r="Q346" s="98">
        <f>'Supply planning data'!S344</f>
        <v>0</v>
      </c>
      <c r="R346" s="98">
        <f>'Supply planning data'!T344</f>
        <v>0</v>
      </c>
      <c r="S346" s="98">
        <f>'Supply planning data'!U344</f>
        <v>0</v>
      </c>
      <c r="T346" s="98">
        <f>'Supply planning data'!V344</f>
        <v>0</v>
      </c>
      <c r="U346" s="325" t="str">
        <f>'Supply planning data'!W344</f>
        <v/>
      </c>
      <c r="V346" s="98">
        <f>'Supply planning data'!X344</f>
        <v>0</v>
      </c>
      <c r="W346" s="317">
        <f>'Supply planning data'!Y344</f>
        <v>0</v>
      </c>
      <c r="X346" s="328">
        <f>'Supply planning data'!Z344</f>
        <v>0</v>
      </c>
      <c r="Y346" s="98">
        <f>'Supply planning data'!AA344</f>
        <v>0</v>
      </c>
      <c r="Z346" s="98">
        <f>'Supply planning data'!AB344</f>
        <v>0</v>
      </c>
      <c r="AA346" s="98">
        <f>'Supply planning data'!AC344</f>
        <v>0</v>
      </c>
      <c r="AB346" s="98">
        <f>'Supply planning data'!AD344</f>
        <v>0</v>
      </c>
      <c r="AC346" s="98">
        <f>'Supply planning data'!AE344</f>
        <v>0</v>
      </c>
      <c r="AD346" s="325" t="str">
        <f>'Supply planning data'!AF344</f>
        <v/>
      </c>
      <c r="AE346" s="98">
        <f>'Supply planning data'!AG344</f>
        <v>0</v>
      </c>
      <c r="AF346" s="317">
        <f>'Supply planning data'!AH344</f>
        <v>0</v>
      </c>
      <c r="AG346" s="175">
        <f>'Supply planning data'!AI344</f>
        <v>0</v>
      </c>
      <c r="AH346" s="98">
        <f>'Supply planning data'!AJ344</f>
        <v>0</v>
      </c>
      <c r="AI346" s="98">
        <f>'Supply planning data'!AK344</f>
        <v>0</v>
      </c>
      <c r="AJ346" s="98">
        <f>'Supply planning data'!AL344</f>
        <v>0</v>
      </c>
      <c r="AK346" s="98">
        <f>'Supply planning data'!AM344</f>
        <v>0</v>
      </c>
      <c r="AL346" s="98">
        <f>'Supply planning data'!AN344</f>
        <v>0</v>
      </c>
      <c r="AM346" s="325" t="str">
        <f>'Supply planning data'!AO344</f>
        <v/>
      </c>
    </row>
    <row r="347" spans="1:39" hidden="1" x14ac:dyDescent="0.25">
      <c r="A347" s="90" t="str">
        <f>'Supply planning data'!C345</f>
        <v/>
      </c>
      <c r="B347" s="296">
        <f>'Supply planning data'!D345</f>
        <v>44866</v>
      </c>
      <c r="C347" s="92" t="str">
        <f>'Supply planning data'!E345</f>
        <v>No</v>
      </c>
      <c r="D347" s="92">
        <f>'Supply planning data'!F345</f>
        <v>0</v>
      </c>
      <c r="E347" s="316">
        <f>'Supply planning data'!G345</f>
        <v>0</v>
      </c>
      <c r="F347" s="317">
        <f>'Supply planning data'!H345</f>
        <v>0</v>
      </c>
      <c r="G347" s="317">
        <f>'Supply planning data'!I345</f>
        <v>0</v>
      </c>
      <c r="H347" s="98">
        <f>'Supply planning data'!J345</f>
        <v>0</v>
      </c>
      <c r="I347" s="317">
        <f>'Supply planning data'!K345</f>
        <v>0</v>
      </c>
      <c r="J347" s="175" t="str">
        <f>'Supply planning data'!L345</f>
        <v/>
      </c>
      <c r="K347" s="98">
        <f>'Supply planning data'!M345</f>
        <v>0</v>
      </c>
      <c r="L347" s="317">
        <f>'Supply planning data'!N345+'Supply planning data'!P345</f>
        <v>0</v>
      </c>
      <c r="M347" s="339">
        <f>'Supply planning data'!O345</f>
        <v>0</v>
      </c>
      <c r="N347" s="317">
        <f>'Supply planning data'!P345</f>
        <v>0</v>
      </c>
      <c r="O347" s="339">
        <f>'Supply planning data'!Q345</f>
        <v>0</v>
      </c>
      <c r="P347" s="98">
        <f>'Supply planning data'!R345</f>
        <v>0</v>
      </c>
      <c r="Q347" s="98">
        <f>'Supply planning data'!S345</f>
        <v>0</v>
      </c>
      <c r="R347" s="98">
        <f>'Supply planning data'!T345</f>
        <v>0</v>
      </c>
      <c r="S347" s="98">
        <f>'Supply planning data'!U345</f>
        <v>0</v>
      </c>
      <c r="T347" s="98">
        <f>'Supply planning data'!V345</f>
        <v>0</v>
      </c>
      <c r="U347" s="325" t="str">
        <f>'Supply planning data'!W345</f>
        <v/>
      </c>
      <c r="V347" s="98">
        <f>'Supply planning data'!X345</f>
        <v>0</v>
      </c>
      <c r="W347" s="317">
        <f>'Supply planning data'!Y345</f>
        <v>0</v>
      </c>
      <c r="X347" s="328">
        <f>'Supply planning data'!Z345</f>
        <v>0</v>
      </c>
      <c r="Y347" s="98">
        <f>'Supply planning data'!AA345</f>
        <v>0</v>
      </c>
      <c r="Z347" s="98">
        <f>'Supply planning data'!AB345</f>
        <v>0</v>
      </c>
      <c r="AA347" s="98">
        <f>'Supply planning data'!AC345</f>
        <v>0</v>
      </c>
      <c r="AB347" s="98">
        <f>'Supply planning data'!AD345</f>
        <v>0</v>
      </c>
      <c r="AC347" s="98">
        <f>'Supply planning data'!AE345</f>
        <v>0</v>
      </c>
      <c r="AD347" s="325" t="str">
        <f>'Supply planning data'!AF345</f>
        <v/>
      </c>
      <c r="AE347" s="98">
        <f>'Supply planning data'!AG345</f>
        <v>0</v>
      </c>
      <c r="AF347" s="317">
        <f>'Supply planning data'!AH345</f>
        <v>0</v>
      </c>
      <c r="AG347" s="175">
        <f>'Supply planning data'!AI345</f>
        <v>0</v>
      </c>
      <c r="AH347" s="98">
        <f>'Supply planning data'!AJ345</f>
        <v>0</v>
      </c>
      <c r="AI347" s="98">
        <f>'Supply planning data'!AK345</f>
        <v>0</v>
      </c>
      <c r="AJ347" s="98">
        <f>'Supply planning data'!AL345</f>
        <v>0</v>
      </c>
      <c r="AK347" s="98">
        <f>'Supply planning data'!AM345</f>
        <v>0</v>
      </c>
      <c r="AL347" s="98">
        <f>'Supply planning data'!AN345</f>
        <v>0</v>
      </c>
      <c r="AM347" s="325" t="str">
        <f>'Supply planning data'!AO345</f>
        <v/>
      </c>
    </row>
    <row r="348" spans="1:39" hidden="1" x14ac:dyDescent="0.25">
      <c r="A348" s="90" t="str">
        <f>'Supply planning data'!C346</f>
        <v/>
      </c>
      <c r="B348" s="296">
        <f>'Supply planning data'!D346</f>
        <v>44866</v>
      </c>
      <c r="C348" s="92" t="str">
        <f>'Supply planning data'!E346</f>
        <v>No</v>
      </c>
      <c r="D348" s="92">
        <f>'Supply planning data'!F346</f>
        <v>0</v>
      </c>
      <c r="E348" s="316">
        <f>'Supply planning data'!G346</f>
        <v>0</v>
      </c>
      <c r="F348" s="317">
        <f>'Supply planning data'!H346</f>
        <v>0</v>
      </c>
      <c r="G348" s="317">
        <f>'Supply planning data'!I346</f>
        <v>0</v>
      </c>
      <c r="H348" s="98">
        <f>'Supply planning data'!J346</f>
        <v>0</v>
      </c>
      <c r="I348" s="317">
        <f>'Supply planning data'!K346</f>
        <v>0</v>
      </c>
      <c r="J348" s="175" t="str">
        <f>'Supply planning data'!L346</f>
        <v/>
      </c>
      <c r="K348" s="98">
        <f>'Supply planning data'!M346</f>
        <v>0</v>
      </c>
      <c r="L348" s="317">
        <f>'Supply planning data'!N346+'Supply planning data'!P346</f>
        <v>0</v>
      </c>
      <c r="M348" s="339">
        <f>'Supply planning data'!O346</f>
        <v>0</v>
      </c>
      <c r="N348" s="317">
        <f>'Supply planning data'!P346</f>
        <v>0</v>
      </c>
      <c r="O348" s="339">
        <f>'Supply planning data'!Q346</f>
        <v>0</v>
      </c>
      <c r="P348" s="98">
        <f>'Supply planning data'!R346</f>
        <v>0</v>
      </c>
      <c r="Q348" s="98">
        <f>'Supply planning data'!S346</f>
        <v>0</v>
      </c>
      <c r="R348" s="98">
        <f>'Supply planning data'!T346</f>
        <v>0</v>
      </c>
      <c r="S348" s="98">
        <f>'Supply planning data'!U346</f>
        <v>0</v>
      </c>
      <c r="T348" s="98">
        <f>'Supply planning data'!V346</f>
        <v>0</v>
      </c>
      <c r="U348" s="325" t="str">
        <f>'Supply planning data'!W346</f>
        <v/>
      </c>
      <c r="V348" s="98">
        <f>'Supply planning data'!X346</f>
        <v>0</v>
      </c>
      <c r="W348" s="317">
        <f>'Supply planning data'!Y346</f>
        <v>0</v>
      </c>
      <c r="X348" s="328">
        <f>'Supply planning data'!Z346</f>
        <v>0</v>
      </c>
      <c r="Y348" s="98">
        <f>'Supply planning data'!AA346</f>
        <v>0</v>
      </c>
      <c r="Z348" s="98">
        <f>'Supply planning data'!AB346</f>
        <v>0</v>
      </c>
      <c r="AA348" s="98">
        <f>'Supply planning data'!AC346</f>
        <v>0</v>
      </c>
      <c r="AB348" s="98">
        <f>'Supply planning data'!AD346</f>
        <v>0</v>
      </c>
      <c r="AC348" s="98">
        <f>'Supply planning data'!AE346</f>
        <v>0</v>
      </c>
      <c r="AD348" s="325" t="str">
        <f>'Supply planning data'!AF346</f>
        <v/>
      </c>
      <c r="AE348" s="98">
        <f>'Supply planning data'!AG346</f>
        <v>0</v>
      </c>
      <c r="AF348" s="317">
        <f>'Supply planning data'!AH346</f>
        <v>0</v>
      </c>
      <c r="AG348" s="175">
        <f>'Supply planning data'!AI346</f>
        <v>0</v>
      </c>
      <c r="AH348" s="98">
        <f>'Supply planning data'!AJ346</f>
        <v>0</v>
      </c>
      <c r="AI348" s="98">
        <f>'Supply planning data'!AK346</f>
        <v>0</v>
      </c>
      <c r="AJ348" s="98">
        <f>'Supply planning data'!AL346</f>
        <v>0</v>
      </c>
      <c r="AK348" s="98">
        <f>'Supply planning data'!AM346</f>
        <v>0</v>
      </c>
      <c r="AL348" s="98">
        <f>'Supply planning data'!AN346</f>
        <v>0</v>
      </c>
      <c r="AM348" s="325" t="str">
        <f>'Supply planning data'!AO346</f>
        <v/>
      </c>
    </row>
    <row r="349" spans="1:39" hidden="1" x14ac:dyDescent="0.25">
      <c r="A349" s="90" t="str">
        <f>'Supply planning data'!C347</f>
        <v/>
      </c>
      <c r="B349" s="296">
        <f>'Supply planning data'!D347</f>
        <v>44866</v>
      </c>
      <c r="C349" s="92" t="str">
        <f>'Supply planning data'!E347</f>
        <v>No</v>
      </c>
      <c r="D349" s="92">
        <f>'Supply planning data'!F347</f>
        <v>0</v>
      </c>
      <c r="E349" s="316">
        <f>'Supply planning data'!G347</f>
        <v>0</v>
      </c>
      <c r="F349" s="317">
        <f>'Supply planning data'!H347</f>
        <v>0</v>
      </c>
      <c r="G349" s="317">
        <f>'Supply planning data'!I347</f>
        <v>0</v>
      </c>
      <c r="H349" s="98">
        <f>'Supply planning data'!J347</f>
        <v>0</v>
      </c>
      <c r="I349" s="317">
        <f>'Supply planning data'!K347</f>
        <v>0</v>
      </c>
      <c r="J349" s="175" t="str">
        <f>'Supply planning data'!L347</f>
        <v/>
      </c>
      <c r="K349" s="98">
        <f>'Supply planning data'!M347</f>
        <v>0</v>
      </c>
      <c r="L349" s="317">
        <f>'Supply planning data'!N347+'Supply planning data'!P347</f>
        <v>0</v>
      </c>
      <c r="M349" s="339">
        <f>'Supply planning data'!O347</f>
        <v>0</v>
      </c>
      <c r="N349" s="317">
        <f>'Supply planning data'!P347</f>
        <v>0</v>
      </c>
      <c r="O349" s="339">
        <f>'Supply planning data'!Q347</f>
        <v>0</v>
      </c>
      <c r="P349" s="98">
        <f>'Supply planning data'!R347</f>
        <v>0</v>
      </c>
      <c r="Q349" s="98">
        <f>'Supply planning data'!S347</f>
        <v>0</v>
      </c>
      <c r="R349" s="98">
        <f>'Supply planning data'!T347</f>
        <v>0</v>
      </c>
      <c r="S349" s="98">
        <f>'Supply planning data'!U347</f>
        <v>0</v>
      </c>
      <c r="T349" s="98">
        <f>'Supply planning data'!V347</f>
        <v>0</v>
      </c>
      <c r="U349" s="325" t="str">
        <f>'Supply planning data'!W347</f>
        <v/>
      </c>
      <c r="V349" s="98">
        <f>'Supply planning data'!X347</f>
        <v>0</v>
      </c>
      <c r="W349" s="317">
        <f>'Supply planning data'!Y347</f>
        <v>0</v>
      </c>
      <c r="X349" s="328">
        <f>'Supply planning data'!Z347</f>
        <v>0</v>
      </c>
      <c r="Y349" s="98">
        <f>'Supply planning data'!AA347</f>
        <v>0</v>
      </c>
      <c r="Z349" s="98">
        <f>'Supply planning data'!AB347</f>
        <v>0</v>
      </c>
      <c r="AA349" s="98">
        <f>'Supply planning data'!AC347</f>
        <v>0</v>
      </c>
      <c r="AB349" s="98">
        <f>'Supply planning data'!AD347</f>
        <v>0</v>
      </c>
      <c r="AC349" s="98">
        <f>'Supply planning data'!AE347</f>
        <v>0</v>
      </c>
      <c r="AD349" s="325" t="str">
        <f>'Supply planning data'!AF347</f>
        <v/>
      </c>
      <c r="AE349" s="98">
        <f>'Supply planning data'!AG347</f>
        <v>0</v>
      </c>
      <c r="AF349" s="317">
        <f>'Supply planning data'!AH347</f>
        <v>0</v>
      </c>
      <c r="AG349" s="175">
        <f>'Supply planning data'!AI347</f>
        <v>0</v>
      </c>
      <c r="AH349" s="98">
        <f>'Supply planning data'!AJ347</f>
        <v>0</v>
      </c>
      <c r="AI349" s="98">
        <f>'Supply planning data'!AK347</f>
        <v>0</v>
      </c>
      <c r="AJ349" s="98">
        <f>'Supply planning data'!AL347</f>
        <v>0</v>
      </c>
      <c r="AK349" s="98">
        <f>'Supply planning data'!AM347</f>
        <v>0</v>
      </c>
      <c r="AL349" s="98">
        <f>'Supply planning data'!AN347</f>
        <v>0</v>
      </c>
      <c r="AM349" s="325" t="str">
        <f>'Supply planning data'!AO347</f>
        <v/>
      </c>
    </row>
    <row r="350" spans="1:39" hidden="1" x14ac:dyDescent="0.25">
      <c r="A350" s="90" t="str">
        <f>'Supply planning data'!C348</f>
        <v/>
      </c>
      <c r="B350" s="296">
        <f>'Supply planning data'!D348</f>
        <v>44866</v>
      </c>
      <c r="C350" s="92" t="str">
        <f>'Supply planning data'!E348</f>
        <v>No</v>
      </c>
      <c r="D350" s="92">
        <f>'Supply planning data'!F348</f>
        <v>0</v>
      </c>
      <c r="E350" s="316">
        <f>'Supply planning data'!G348</f>
        <v>0</v>
      </c>
      <c r="F350" s="317">
        <f>'Supply planning data'!H348</f>
        <v>0</v>
      </c>
      <c r="G350" s="317">
        <f>'Supply planning data'!I348</f>
        <v>0</v>
      </c>
      <c r="H350" s="98">
        <f>'Supply planning data'!J348</f>
        <v>0</v>
      </c>
      <c r="I350" s="317">
        <f>'Supply planning data'!K348</f>
        <v>0</v>
      </c>
      <c r="J350" s="175" t="str">
        <f>'Supply planning data'!L348</f>
        <v/>
      </c>
      <c r="K350" s="98">
        <f>'Supply planning data'!M348</f>
        <v>0</v>
      </c>
      <c r="L350" s="317">
        <f>'Supply planning data'!N348+'Supply planning data'!P348</f>
        <v>0</v>
      </c>
      <c r="M350" s="339">
        <f>'Supply planning data'!O348</f>
        <v>0</v>
      </c>
      <c r="N350" s="317">
        <f>'Supply planning data'!P348</f>
        <v>0</v>
      </c>
      <c r="O350" s="339">
        <f>'Supply planning data'!Q348</f>
        <v>0</v>
      </c>
      <c r="P350" s="98">
        <f>'Supply planning data'!R348</f>
        <v>0</v>
      </c>
      <c r="Q350" s="98">
        <f>'Supply planning data'!S348</f>
        <v>0</v>
      </c>
      <c r="R350" s="98">
        <f>'Supply planning data'!T348</f>
        <v>0</v>
      </c>
      <c r="S350" s="98">
        <f>'Supply planning data'!U348</f>
        <v>0</v>
      </c>
      <c r="T350" s="98">
        <f>'Supply planning data'!V348</f>
        <v>0</v>
      </c>
      <c r="U350" s="325" t="str">
        <f>'Supply planning data'!W348</f>
        <v/>
      </c>
      <c r="V350" s="98">
        <f>'Supply planning data'!X348</f>
        <v>0</v>
      </c>
      <c r="W350" s="317">
        <f>'Supply planning data'!Y348</f>
        <v>0</v>
      </c>
      <c r="X350" s="328">
        <f>'Supply planning data'!Z348</f>
        <v>0</v>
      </c>
      <c r="Y350" s="98">
        <f>'Supply planning data'!AA348</f>
        <v>0</v>
      </c>
      <c r="Z350" s="98">
        <f>'Supply planning data'!AB348</f>
        <v>0</v>
      </c>
      <c r="AA350" s="98">
        <f>'Supply planning data'!AC348</f>
        <v>0</v>
      </c>
      <c r="AB350" s="98">
        <f>'Supply planning data'!AD348</f>
        <v>0</v>
      </c>
      <c r="AC350" s="98">
        <f>'Supply planning data'!AE348</f>
        <v>0</v>
      </c>
      <c r="AD350" s="325" t="str">
        <f>'Supply planning data'!AF348</f>
        <v/>
      </c>
      <c r="AE350" s="98">
        <f>'Supply planning data'!AG348</f>
        <v>0</v>
      </c>
      <c r="AF350" s="317">
        <f>'Supply planning data'!AH348</f>
        <v>0</v>
      </c>
      <c r="AG350" s="175">
        <f>'Supply planning data'!AI348</f>
        <v>0</v>
      </c>
      <c r="AH350" s="98">
        <f>'Supply planning data'!AJ348</f>
        <v>0</v>
      </c>
      <c r="AI350" s="98">
        <f>'Supply planning data'!AK348</f>
        <v>0</v>
      </c>
      <c r="AJ350" s="98">
        <f>'Supply planning data'!AL348</f>
        <v>0</v>
      </c>
      <c r="AK350" s="98">
        <f>'Supply planning data'!AM348</f>
        <v>0</v>
      </c>
      <c r="AL350" s="98">
        <f>'Supply planning data'!AN348</f>
        <v>0</v>
      </c>
      <c r="AM350" s="325" t="str">
        <f>'Supply planning data'!AO348</f>
        <v/>
      </c>
    </row>
    <row r="351" spans="1:39" hidden="1" x14ac:dyDescent="0.25">
      <c r="A351" s="90" t="str">
        <f>'Supply planning data'!C349</f>
        <v/>
      </c>
      <c r="B351" s="296">
        <f>'Supply planning data'!D349</f>
        <v>44866</v>
      </c>
      <c r="C351" s="92" t="str">
        <f>'Supply planning data'!E349</f>
        <v>No</v>
      </c>
      <c r="D351" s="92">
        <f>'Supply planning data'!F349</f>
        <v>0</v>
      </c>
      <c r="E351" s="316">
        <f>'Supply planning data'!G349</f>
        <v>0</v>
      </c>
      <c r="F351" s="317">
        <f>'Supply planning data'!H349</f>
        <v>0</v>
      </c>
      <c r="G351" s="317">
        <f>'Supply planning data'!I349</f>
        <v>0</v>
      </c>
      <c r="H351" s="98">
        <f>'Supply planning data'!J349</f>
        <v>0</v>
      </c>
      <c r="I351" s="317">
        <f>'Supply planning data'!K349</f>
        <v>0</v>
      </c>
      <c r="J351" s="175" t="str">
        <f>'Supply planning data'!L349</f>
        <v/>
      </c>
      <c r="K351" s="98">
        <f>'Supply planning data'!M349</f>
        <v>0</v>
      </c>
      <c r="L351" s="317">
        <f>'Supply planning data'!N349+'Supply planning data'!P349</f>
        <v>0</v>
      </c>
      <c r="M351" s="339">
        <f>'Supply planning data'!O349</f>
        <v>0</v>
      </c>
      <c r="N351" s="317">
        <f>'Supply planning data'!P349</f>
        <v>0</v>
      </c>
      <c r="O351" s="339">
        <f>'Supply planning data'!Q349</f>
        <v>0</v>
      </c>
      <c r="P351" s="98">
        <f>'Supply planning data'!R349</f>
        <v>0</v>
      </c>
      <c r="Q351" s="98">
        <f>'Supply planning data'!S349</f>
        <v>0</v>
      </c>
      <c r="R351" s="98">
        <f>'Supply planning data'!T349</f>
        <v>0</v>
      </c>
      <c r="S351" s="98">
        <f>'Supply planning data'!U349</f>
        <v>0</v>
      </c>
      <c r="T351" s="98">
        <f>'Supply planning data'!V349</f>
        <v>0</v>
      </c>
      <c r="U351" s="325" t="str">
        <f>'Supply planning data'!W349</f>
        <v/>
      </c>
      <c r="V351" s="98">
        <f>'Supply planning data'!X349</f>
        <v>0</v>
      </c>
      <c r="W351" s="317">
        <f>'Supply planning data'!Y349</f>
        <v>0</v>
      </c>
      <c r="X351" s="328">
        <f>'Supply planning data'!Z349</f>
        <v>0</v>
      </c>
      <c r="Y351" s="98">
        <f>'Supply planning data'!AA349</f>
        <v>0</v>
      </c>
      <c r="Z351" s="98">
        <f>'Supply planning data'!AB349</f>
        <v>0</v>
      </c>
      <c r="AA351" s="98">
        <f>'Supply planning data'!AC349</f>
        <v>0</v>
      </c>
      <c r="AB351" s="98">
        <f>'Supply planning data'!AD349</f>
        <v>0</v>
      </c>
      <c r="AC351" s="98">
        <f>'Supply planning data'!AE349</f>
        <v>0</v>
      </c>
      <c r="AD351" s="325" t="str">
        <f>'Supply planning data'!AF349</f>
        <v/>
      </c>
      <c r="AE351" s="98">
        <f>'Supply planning data'!AG349</f>
        <v>0</v>
      </c>
      <c r="AF351" s="317">
        <f>'Supply planning data'!AH349</f>
        <v>0</v>
      </c>
      <c r="AG351" s="175">
        <f>'Supply planning data'!AI349</f>
        <v>0</v>
      </c>
      <c r="AH351" s="98">
        <f>'Supply planning data'!AJ349</f>
        <v>0</v>
      </c>
      <c r="AI351" s="98">
        <f>'Supply planning data'!AK349</f>
        <v>0</v>
      </c>
      <c r="AJ351" s="98">
        <f>'Supply planning data'!AL349</f>
        <v>0</v>
      </c>
      <c r="AK351" s="98">
        <f>'Supply planning data'!AM349</f>
        <v>0</v>
      </c>
      <c r="AL351" s="98">
        <f>'Supply planning data'!AN349</f>
        <v>0</v>
      </c>
      <c r="AM351" s="325" t="str">
        <f>'Supply planning data'!AO349</f>
        <v/>
      </c>
    </row>
    <row r="352" spans="1:39" x14ac:dyDescent="0.25">
      <c r="A352" s="104" t="str">
        <f>'Supply planning data'!C350</f>
        <v>AstraZeneca</v>
      </c>
      <c r="B352" s="298">
        <f>'Supply planning data'!D350</f>
        <v>44896</v>
      </c>
      <c r="C352" s="105" t="str">
        <f>'Supply planning data'!E350</f>
        <v>Yes</v>
      </c>
      <c r="D352" s="105">
        <f>'Supply planning data'!F350</f>
        <v>0</v>
      </c>
      <c r="E352" s="320">
        <f>'Supply planning data'!G350</f>
        <v>0</v>
      </c>
      <c r="F352" s="320">
        <f>'Supply planning data'!H350</f>
        <v>0</v>
      </c>
      <c r="G352" s="320">
        <f>'Supply planning data'!I350</f>
        <v>0</v>
      </c>
      <c r="H352" s="105">
        <f>'Supply planning data'!J350</f>
        <v>0</v>
      </c>
      <c r="I352" s="320">
        <f>'Supply planning data'!K350</f>
        <v>0</v>
      </c>
      <c r="J352" s="177" t="str">
        <f>'Supply planning data'!L350</f>
        <v/>
      </c>
      <c r="K352" s="105">
        <f>'Supply planning data'!M350</f>
        <v>0</v>
      </c>
      <c r="L352" s="320">
        <f>'Supply planning data'!N350+'Supply planning data'!P350</f>
        <v>0</v>
      </c>
      <c r="M352" s="341">
        <f>'Supply planning data'!O350</f>
        <v>0</v>
      </c>
      <c r="N352" s="320">
        <f>'Supply planning data'!P350</f>
        <v>0</v>
      </c>
      <c r="O352" s="341">
        <f>'Supply planning data'!Q350</f>
        <v>0</v>
      </c>
      <c r="P352" s="105">
        <f>'Supply planning data'!R350</f>
        <v>0</v>
      </c>
      <c r="Q352" s="105">
        <f>'Supply planning data'!S350</f>
        <v>0</v>
      </c>
      <c r="R352" s="105">
        <f>'Supply planning data'!T350</f>
        <v>0</v>
      </c>
      <c r="S352" s="105">
        <f>'Supply planning data'!U350</f>
        <v>0</v>
      </c>
      <c r="T352" s="105">
        <f>'Supply planning data'!V350</f>
        <v>0</v>
      </c>
      <c r="U352" s="326" t="str">
        <f>'Supply planning data'!W350</f>
        <v/>
      </c>
      <c r="V352" s="105">
        <f>'Supply planning data'!X350</f>
        <v>154701</v>
      </c>
      <c r="W352" s="320">
        <f>'Supply planning data'!Y350</f>
        <v>0</v>
      </c>
      <c r="X352" s="329">
        <f>'Supply planning data'!Z350</f>
        <v>0</v>
      </c>
      <c r="Y352" s="105">
        <f>'Supply planning data'!AA350</f>
        <v>0</v>
      </c>
      <c r="Z352" s="105">
        <f>'Supply planning data'!AB350</f>
        <v>0</v>
      </c>
      <c r="AA352" s="105">
        <f>'Supply planning data'!AC350</f>
        <v>0</v>
      </c>
      <c r="AB352" s="105">
        <f>'Supply planning data'!AD350</f>
        <v>0</v>
      </c>
      <c r="AC352" s="105">
        <f>'Supply planning data'!AE350</f>
        <v>154701</v>
      </c>
      <c r="AD352" s="326" t="str">
        <f>'Supply planning data'!AF350</f>
        <v/>
      </c>
      <c r="AE352" s="105">
        <f>'Supply planning data'!AG350</f>
        <v>0</v>
      </c>
      <c r="AF352" s="320">
        <f>'Supply planning data'!AH350</f>
        <v>0</v>
      </c>
      <c r="AG352" s="177">
        <f>'Supply planning data'!AI350</f>
        <v>0</v>
      </c>
      <c r="AH352" s="105">
        <f>'Supply planning data'!AJ350</f>
        <v>0</v>
      </c>
      <c r="AI352" s="105">
        <f>'Supply planning data'!AK350</f>
        <v>0</v>
      </c>
      <c r="AJ352" s="105">
        <f>'Supply planning data'!AL350</f>
        <v>0</v>
      </c>
      <c r="AK352" s="105">
        <f>'Supply planning data'!AM350</f>
        <v>0</v>
      </c>
      <c r="AL352" s="105">
        <f>'Supply planning data'!AN350</f>
        <v>0</v>
      </c>
      <c r="AM352" s="326" t="str">
        <f>'Supply planning data'!AO350</f>
        <v/>
      </c>
    </row>
    <row r="353" spans="1:39" x14ac:dyDescent="0.25">
      <c r="A353" s="109" t="str">
        <f>'Supply planning data'!C351</f>
        <v>Jansen</v>
      </c>
      <c r="B353" s="298">
        <f>'Supply planning data'!D351</f>
        <v>44896</v>
      </c>
      <c r="C353" s="105" t="str">
        <f>'Supply planning data'!E351</f>
        <v>Yes</v>
      </c>
      <c r="D353" s="105">
        <f>'Supply planning data'!F351</f>
        <v>2258747</v>
      </c>
      <c r="E353" s="320">
        <f>'Supply planning data'!G351</f>
        <v>0</v>
      </c>
      <c r="F353" s="320">
        <f>'Supply planning data'!H351</f>
        <v>0</v>
      </c>
      <c r="G353" s="320">
        <f>'Supply planning data'!I351</f>
        <v>0</v>
      </c>
      <c r="H353" s="105">
        <f>'Supply planning data'!J351</f>
        <v>0</v>
      </c>
      <c r="I353" s="320">
        <f>'Supply planning data'!K351</f>
        <v>0</v>
      </c>
      <c r="J353" s="177" t="str">
        <f>'Supply planning data'!L351</f>
        <v/>
      </c>
      <c r="K353" s="105">
        <f>'Supply planning data'!M351</f>
        <v>0</v>
      </c>
      <c r="L353" s="321">
        <f>'Supply planning data'!N351+'Supply planning data'!P351</f>
        <v>0</v>
      </c>
      <c r="M353" s="342">
        <f>'Supply planning data'!O351</f>
        <v>0</v>
      </c>
      <c r="N353" s="321">
        <f>'Supply planning data'!P351</f>
        <v>0</v>
      </c>
      <c r="O353" s="342">
        <f>'Supply planning data'!Q351</f>
        <v>0</v>
      </c>
      <c r="P353" s="111">
        <f>'Supply planning data'!R351</f>
        <v>0</v>
      </c>
      <c r="Q353" s="111">
        <f>'Supply planning data'!S351</f>
        <v>0</v>
      </c>
      <c r="R353" s="111">
        <f>'Supply planning data'!T351</f>
        <v>0</v>
      </c>
      <c r="S353" s="111">
        <f>'Supply planning data'!U351</f>
        <v>0</v>
      </c>
      <c r="T353" s="111">
        <f>'Supply planning data'!V351</f>
        <v>2258747</v>
      </c>
      <c r="U353" s="327" t="str">
        <f>'Supply planning data'!W351</f>
        <v/>
      </c>
      <c r="V353" s="111">
        <f>'Supply planning data'!X351</f>
        <v>1698747</v>
      </c>
      <c r="W353" s="321">
        <f>'Supply planning data'!Y351</f>
        <v>0</v>
      </c>
      <c r="X353" s="329">
        <f>'Supply planning data'!Z351</f>
        <v>0</v>
      </c>
      <c r="Y353" s="111">
        <f>'Supply planning data'!AA351</f>
        <v>0</v>
      </c>
      <c r="Z353" s="111">
        <f>'Supply planning data'!AB351</f>
        <v>0</v>
      </c>
      <c r="AA353" s="111">
        <f>'Supply planning data'!AC351</f>
        <v>0</v>
      </c>
      <c r="AB353" s="111">
        <f>'Supply planning data'!AD351</f>
        <v>0</v>
      </c>
      <c r="AC353" s="111">
        <f>'Supply planning data'!AE351</f>
        <v>1698747</v>
      </c>
      <c r="AD353" s="327" t="str">
        <f>'Supply planning data'!AF351</f>
        <v/>
      </c>
      <c r="AE353" s="111">
        <f>'Supply planning data'!AG351</f>
        <v>2258747</v>
      </c>
      <c r="AF353" s="321">
        <f>'Supply planning data'!AH351</f>
        <v>0</v>
      </c>
      <c r="AG353" s="349">
        <f>'Supply planning data'!AI351</f>
        <v>0</v>
      </c>
      <c r="AH353" s="111">
        <f>'Supply planning data'!AJ351</f>
        <v>0</v>
      </c>
      <c r="AI353" s="111">
        <f>'Supply planning data'!AK351</f>
        <v>0</v>
      </c>
      <c r="AJ353" s="111">
        <f>'Supply planning data'!AL351</f>
        <v>0</v>
      </c>
      <c r="AK353" s="111">
        <f>'Supply planning data'!AM351</f>
        <v>0</v>
      </c>
      <c r="AL353" s="111">
        <f>'Supply planning data'!AN351</f>
        <v>2258747</v>
      </c>
      <c r="AM353" s="327" t="str">
        <f>'Supply planning data'!AO351</f>
        <v/>
      </c>
    </row>
    <row r="354" spans="1:39" x14ac:dyDescent="0.25">
      <c r="A354" s="104" t="str">
        <f>'Supply planning data'!C352</f>
        <v>Moderna</v>
      </c>
      <c r="B354" s="298">
        <f>'Supply planning data'!D352</f>
        <v>44896</v>
      </c>
      <c r="C354" s="105" t="str">
        <f>'Supply planning data'!E352</f>
        <v>No</v>
      </c>
      <c r="D354" s="105">
        <f>'Supply planning data'!F352</f>
        <v>0</v>
      </c>
      <c r="E354" s="320">
        <f>'Supply planning data'!G352</f>
        <v>0</v>
      </c>
      <c r="F354" s="320">
        <f>'Supply planning data'!H352</f>
        <v>0</v>
      </c>
      <c r="G354" s="320">
        <f>'Supply planning data'!I352</f>
        <v>0</v>
      </c>
      <c r="H354" s="105">
        <f>'Supply planning data'!J352</f>
        <v>0</v>
      </c>
      <c r="I354" s="320">
        <f>'Supply planning data'!K352</f>
        <v>0</v>
      </c>
      <c r="J354" s="177" t="str">
        <f>'Supply planning data'!L352</f>
        <v/>
      </c>
      <c r="K354" s="105">
        <f>'Supply planning data'!M352</f>
        <v>0</v>
      </c>
      <c r="L354" s="321">
        <f>'Supply planning data'!N352+'Supply planning data'!P352</f>
        <v>0</v>
      </c>
      <c r="M354" s="342">
        <f>'Supply planning data'!O352</f>
        <v>0</v>
      </c>
      <c r="N354" s="321">
        <f>'Supply planning data'!P352</f>
        <v>0</v>
      </c>
      <c r="O354" s="342">
        <f>'Supply planning data'!Q352</f>
        <v>0</v>
      </c>
      <c r="P354" s="111">
        <f>'Supply planning data'!R352</f>
        <v>0</v>
      </c>
      <c r="Q354" s="111">
        <f>'Supply planning data'!S352</f>
        <v>0</v>
      </c>
      <c r="R354" s="111">
        <f>'Supply planning data'!T352</f>
        <v>0</v>
      </c>
      <c r="S354" s="111">
        <f>'Supply planning data'!U352</f>
        <v>0</v>
      </c>
      <c r="T354" s="111">
        <f>'Supply planning data'!V352</f>
        <v>0</v>
      </c>
      <c r="U354" s="327" t="str">
        <f>'Supply planning data'!W352</f>
        <v/>
      </c>
      <c r="V354" s="111">
        <f>'Supply planning data'!X352</f>
        <v>0</v>
      </c>
      <c r="W354" s="321">
        <f>'Supply planning data'!Y352</f>
        <v>0</v>
      </c>
      <c r="X354" s="329">
        <f>'Supply planning data'!Z352</f>
        <v>0</v>
      </c>
      <c r="Y354" s="111">
        <f>'Supply planning data'!AA352</f>
        <v>0</v>
      </c>
      <c r="Z354" s="111">
        <f>'Supply planning data'!AB352</f>
        <v>0</v>
      </c>
      <c r="AA354" s="111">
        <f>'Supply planning data'!AC352</f>
        <v>0</v>
      </c>
      <c r="AB354" s="111">
        <f>'Supply planning data'!AD352</f>
        <v>0</v>
      </c>
      <c r="AC354" s="111">
        <f>'Supply planning data'!AE352</f>
        <v>0</v>
      </c>
      <c r="AD354" s="327" t="str">
        <f>'Supply planning data'!AF352</f>
        <v/>
      </c>
      <c r="AE354" s="111">
        <f>'Supply planning data'!AG352</f>
        <v>0</v>
      </c>
      <c r="AF354" s="321">
        <f>'Supply planning data'!AH352</f>
        <v>0</v>
      </c>
      <c r="AG354" s="349">
        <f>'Supply planning data'!AI352</f>
        <v>0</v>
      </c>
      <c r="AH354" s="111">
        <f>'Supply planning data'!AJ352</f>
        <v>0</v>
      </c>
      <c r="AI354" s="111">
        <f>'Supply planning data'!AK352</f>
        <v>0</v>
      </c>
      <c r="AJ354" s="111">
        <f>'Supply planning data'!AL352</f>
        <v>0</v>
      </c>
      <c r="AK354" s="111">
        <f>'Supply planning data'!AM352</f>
        <v>0</v>
      </c>
      <c r="AL354" s="111">
        <f>'Supply planning data'!AN352</f>
        <v>0</v>
      </c>
      <c r="AM354" s="327" t="str">
        <f>'Supply planning data'!AO352</f>
        <v/>
      </c>
    </row>
    <row r="355" spans="1:39" x14ac:dyDescent="0.25">
      <c r="A355" s="109" t="str">
        <f>'Supply planning data'!C353</f>
        <v>Pfizer</v>
      </c>
      <c r="B355" s="298">
        <f>'Supply planning data'!D353</f>
        <v>44896</v>
      </c>
      <c r="C355" s="105" t="str">
        <f>'Supply planning data'!E353</f>
        <v>Yes</v>
      </c>
      <c r="D355" s="105">
        <f>'Supply planning data'!F353</f>
        <v>3000000</v>
      </c>
      <c r="E355" s="320">
        <f>'Supply planning data'!G353</f>
        <v>0</v>
      </c>
      <c r="F355" s="320">
        <f>'Supply planning data'!H353</f>
        <v>0</v>
      </c>
      <c r="G355" s="320">
        <f>'Supply planning data'!I353</f>
        <v>0</v>
      </c>
      <c r="H355" s="105">
        <f>'Supply planning data'!J353</f>
        <v>0</v>
      </c>
      <c r="I355" s="320">
        <f>'Supply planning data'!K353</f>
        <v>0</v>
      </c>
      <c r="J355" s="177" t="str">
        <f>'Supply planning data'!L353</f>
        <v/>
      </c>
      <c r="K355" s="105">
        <f>'Supply planning data'!M353</f>
        <v>0</v>
      </c>
      <c r="L355" s="321">
        <f>'Supply planning data'!N353+'Supply planning data'!P353</f>
        <v>0</v>
      </c>
      <c r="M355" s="342">
        <f>'Supply planning data'!O353</f>
        <v>0</v>
      </c>
      <c r="N355" s="321">
        <f>'Supply planning data'!P353</f>
        <v>0</v>
      </c>
      <c r="O355" s="342">
        <f>'Supply planning data'!Q353</f>
        <v>0</v>
      </c>
      <c r="P355" s="111">
        <f>'Supply planning data'!R353</f>
        <v>0</v>
      </c>
      <c r="Q355" s="111">
        <f>'Supply planning data'!S353</f>
        <v>0</v>
      </c>
      <c r="R355" s="111">
        <f>'Supply planning data'!T353</f>
        <v>110538</v>
      </c>
      <c r="S355" s="111">
        <f>'Supply planning data'!U353</f>
        <v>0</v>
      </c>
      <c r="T355" s="111">
        <f>'Supply planning data'!V353</f>
        <v>3000000</v>
      </c>
      <c r="U355" s="327" t="str">
        <f>'Supply planning data'!W353</f>
        <v/>
      </c>
      <c r="V355" s="111">
        <f>'Supply planning data'!X353</f>
        <v>2440000</v>
      </c>
      <c r="W355" s="321">
        <f>'Supply planning data'!Y353</f>
        <v>0</v>
      </c>
      <c r="X355" s="329">
        <f>'Supply planning data'!Z353</f>
        <v>0</v>
      </c>
      <c r="Y355" s="111">
        <f>'Supply planning data'!AA353</f>
        <v>0</v>
      </c>
      <c r="Z355" s="111">
        <f>'Supply planning data'!AB353</f>
        <v>0</v>
      </c>
      <c r="AA355" s="111">
        <f>'Supply planning data'!AC353</f>
        <v>0</v>
      </c>
      <c r="AB355" s="111">
        <f>'Supply planning data'!AD353</f>
        <v>0</v>
      </c>
      <c r="AC355" s="111">
        <f>'Supply planning data'!AE353</f>
        <v>2440000</v>
      </c>
      <c r="AD355" s="327" t="str">
        <f>'Supply planning data'!AF353</f>
        <v/>
      </c>
      <c r="AE355" s="111">
        <f>'Supply planning data'!AG353</f>
        <v>3000000</v>
      </c>
      <c r="AF355" s="321">
        <f>'Supply planning data'!AH353</f>
        <v>0</v>
      </c>
      <c r="AG355" s="349">
        <f>'Supply planning data'!AI353</f>
        <v>0</v>
      </c>
      <c r="AH355" s="111">
        <f>'Supply planning data'!AJ353</f>
        <v>0</v>
      </c>
      <c r="AI355" s="111">
        <f>'Supply planning data'!AK353</f>
        <v>0</v>
      </c>
      <c r="AJ355" s="111">
        <f>'Supply planning data'!AL353</f>
        <v>110538</v>
      </c>
      <c r="AK355" s="111">
        <f>'Supply planning data'!AM353</f>
        <v>0</v>
      </c>
      <c r="AL355" s="111">
        <f>'Supply planning data'!AN353</f>
        <v>3000000</v>
      </c>
      <c r="AM355" s="327" t="str">
        <f>'Supply planning data'!AO353</f>
        <v/>
      </c>
    </row>
    <row r="356" spans="1:39" x14ac:dyDescent="0.25">
      <c r="A356" s="104" t="str">
        <f>'Supply planning data'!C354</f>
        <v>Sinovac</v>
      </c>
      <c r="B356" s="298">
        <f>'Supply planning data'!D354</f>
        <v>44896</v>
      </c>
      <c r="C356" s="105" t="str">
        <f>'Supply planning data'!E354</f>
        <v>No</v>
      </c>
      <c r="D356" s="105">
        <f>'Supply planning data'!F354</f>
        <v>0</v>
      </c>
      <c r="E356" s="320">
        <f>'Supply planning data'!G354</f>
        <v>0</v>
      </c>
      <c r="F356" s="320">
        <f>'Supply planning data'!H354</f>
        <v>0</v>
      </c>
      <c r="G356" s="320">
        <f>'Supply planning data'!I354</f>
        <v>0</v>
      </c>
      <c r="H356" s="105">
        <f>'Supply planning data'!J354</f>
        <v>0</v>
      </c>
      <c r="I356" s="320">
        <f>'Supply planning data'!K354</f>
        <v>0</v>
      </c>
      <c r="J356" s="177" t="str">
        <f>'Supply planning data'!L354</f>
        <v/>
      </c>
      <c r="K356" s="105">
        <f>'Supply planning data'!M354</f>
        <v>0</v>
      </c>
      <c r="L356" s="321">
        <f>'Supply planning data'!N354+'Supply planning data'!P354</f>
        <v>0</v>
      </c>
      <c r="M356" s="342">
        <f>'Supply planning data'!O354</f>
        <v>0</v>
      </c>
      <c r="N356" s="321">
        <f>'Supply planning data'!P354</f>
        <v>0</v>
      </c>
      <c r="O356" s="342">
        <f>'Supply planning data'!Q354</f>
        <v>0</v>
      </c>
      <c r="P356" s="111">
        <f>'Supply planning data'!R354</f>
        <v>0</v>
      </c>
      <c r="Q356" s="111">
        <f>'Supply planning data'!S354</f>
        <v>0</v>
      </c>
      <c r="R356" s="111">
        <f>'Supply planning data'!T354</f>
        <v>0</v>
      </c>
      <c r="S356" s="111">
        <f>'Supply planning data'!U354</f>
        <v>0</v>
      </c>
      <c r="T356" s="111">
        <f>'Supply planning data'!V354</f>
        <v>0</v>
      </c>
      <c r="U356" s="327" t="str">
        <f>'Supply planning data'!W354</f>
        <v/>
      </c>
      <c r="V356" s="111">
        <f>'Supply planning data'!X354</f>
        <v>0</v>
      </c>
      <c r="W356" s="321">
        <f>'Supply planning data'!Y354</f>
        <v>0</v>
      </c>
      <c r="X356" s="329">
        <f>'Supply planning data'!Z354</f>
        <v>0</v>
      </c>
      <c r="Y356" s="111">
        <f>'Supply planning data'!AA354</f>
        <v>0</v>
      </c>
      <c r="Z356" s="111">
        <f>'Supply planning data'!AB354</f>
        <v>0</v>
      </c>
      <c r="AA356" s="111">
        <f>'Supply planning data'!AC354</f>
        <v>0</v>
      </c>
      <c r="AB356" s="111">
        <f>'Supply planning data'!AD354</f>
        <v>0</v>
      </c>
      <c r="AC356" s="111">
        <f>'Supply planning data'!AE354</f>
        <v>0</v>
      </c>
      <c r="AD356" s="327" t="str">
        <f>'Supply planning data'!AF354</f>
        <v/>
      </c>
      <c r="AE356" s="111">
        <f>'Supply planning data'!AG354</f>
        <v>0</v>
      </c>
      <c r="AF356" s="321">
        <f>'Supply planning data'!AH354</f>
        <v>0</v>
      </c>
      <c r="AG356" s="349">
        <f>'Supply planning data'!AI354</f>
        <v>0</v>
      </c>
      <c r="AH356" s="111">
        <f>'Supply planning data'!AJ354</f>
        <v>0</v>
      </c>
      <c r="AI356" s="111">
        <f>'Supply planning data'!AK354</f>
        <v>0</v>
      </c>
      <c r="AJ356" s="111">
        <f>'Supply planning data'!AL354</f>
        <v>0</v>
      </c>
      <c r="AK356" s="111">
        <f>'Supply planning data'!AM354</f>
        <v>0</v>
      </c>
      <c r="AL356" s="111">
        <f>'Supply planning data'!AN354</f>
        <v>0</v>
      </c>
      <c r="AM356" s="327" t="str">
        <f>'Supply planning data'!AO354</f>
        <v/>
      </c>
    </row>
    <row r="357" spans="1:39" hidden="1" x14ac:dyDescent="0.25">
      <c r="A357" s="109" t="str">
        <f>'Supply planning data'!C355</f>
        <v/>
      </c>
      <c r="B357" s="298">
        <f>'Supply planning data'!D355</f>
        <v>44896</v>
      </c>
      <c r="C357" s="105" t="str">
        <f>'Supply planning data'!E355</f>
        <v>No</v>
      </c>
      <c r="D357" s="105">
        <f>'Supply planning data'!F355</f>
        <v>0</v>
      </c>
      <c r="E357" s="320">
        <f>'Supply planning data'!G355</f>
        <v>0</v>
      </c>
      <c r="F357" s="320">
        <f>'Supply planning data'!H355</f>
        <v>0</v>
      </c>
      <c r="G357" s="320">
        <f>'Supply planning data'!I355</f>
        <v>0</v>
      </c>
      <c r="H357" s="105">
        <f>'Supply planning data'!J355</f>
        <v>0</v>
      </c>
      <c r="I357" s="320">
        <f>'Supply planning data'!K355</f>
        <v>0</v>
      </c>
      <c r="J357" s="177" t="str">
        <f>'Supply planning data'!L355</f>
        <v/>
      </c>
      <c r="K357" s="105">
        <f>'Supply planning data'!M355</f>
        <v>0</v>
      </c>
      <c r="L357" s="321">
        <f>'Supply planning data'!N355+'Supply planning data'!P355</f>
        <v>0</v>
      </c>
      <c r="M357" s="342">
        <f>'Supply planning data'!O355</f>
        <v>0</v>
      </c>
      <c r="N357" s="321">
        <f>'Supply planning data'!P355</f>
        <v>0</v>
      </c>
      <c r="O357" s="342">
        <f>'Supply planning data'!Q355</f>
        <v>0</v>
      </c>
      <c r="P357" s="111">
        <f>'Supply planning data'!R355</f>
        <v>0</v>
      </c>
      <c r="Q357" s="111">
        <f>'Supply planning data'!S355</f>
        <v>0</v>
      </c>
      <c r="R357" s="111">
        <f>'Supply planning data'!T355</f>
        <v>0</v>
      </c>
      <c r="S357" s="111">
        <f>'Supply planning data'!U355</f>
        <v>0</v>
      </c>
      <c r="T357" s="111">
        <f>'Supply planning data'!V355</f>
        <v>0</v>
      </c>
      <c r="U357" s="327" t="str">
        <f>'Supply planning data'!W355</f>
        <v/>
      </c>
      <c r="V357" s="111">
        <f>'Supply planning data'!X355</f>
        <v>0</v>
      </c>
      <c r="W357" s="321">
        <f>'Supply planning data'!Y355</f>
        <v>0</v>
      </c>
      <c r="X357" s="329">
        <f>'Supply planning data'!Z355</f>
        <v>0</v>
      </c>
      <c r="Y357" s="111">
        <f>'Supply planning data'!AA355</f>
        <v>0</v>
      </c>
      <c r="Z357" s="111">
        <f>'Supply planning data'!AB355</f>
        <v>0</v>
      </c>
      <c r="AA357" s="111">
        <f>'Supply planning data'!AC355</f>
        <v>0</v>
      </c>
      <c r="AB357" s="111">
        <f>'Supply planning data'!AD355</f>
        <v>0</v>
      </c>
      <c r="AC357" s="111">
        <f>'Supply planning data'!AE355</f>
        <v>0</v>
      </c>
      <c r="AD357" s="327" t="str">
        <f>'Supply planning data'!AF355</f>
        <v/>
      </c>
      <c r="AE357" s="111">
        <f>'Supply planning data'!AG355</f>
        <v>0</v>
      </c>
      <c r="AF357" s="321">
        <f>'Supply planning data'!AH355</f>
        <v>0</v>
      </c>
      <c r="AG357" s="349">
        <f>'Supply planning data'!AI355</f>
        <v>0</v>
      </c>
      <c r="AH357" s="111">
        <f>'Supply planning data'!AJ355</f>
        <v>0</v>
      </c>
      <c r="AI357" s="111">
        <f>'Supply planning data'!AK355</f>
        <v>0</v>
      </c>
      <c r="AJ357" s="111">
        <f>'Supply planning data'!AL355</f>
        <v>0</v>
      </c>
      <c r="AK357" s="111">
        <f>'Supply planning data'!AM355</f>
        <v>0</v>
      </c>
      <c r="AL357" s="111">
        <f>'Supply planning data'!AN355</f>
        <v>0</v>
      </c>
      <c r="AM357" s="327" t="str">
        <f>'Supply planning data'!AO355</f>
        <v/>
      </c>
    </row>
    <row r="358" spans="1:39" hidden="1" x14ac:dyDescent="0.25">
      <c r="A358" s="104" t="str">
        <f>'Supply planning data'!C356</f>
        <v/>
      </c>
      <c r="B358" s="298">
        <f>'Supply planning data'!D356</f>
        <v>44896</v>
      </c>
      <c r="C358" s="105" t="str">
        <f>'Supply planning data'!E356</f>
        <v>No</v>
      </c>
      <c r="D358" s="105">
        <f>'Supply planning data'!F356</f>
        <v>0</v>
      </c>
      <c r="E358" s="320">
        <f>'Supply planning data'!G356</f>
        <v>0</v>
      </c>
      <c r="F358" s="320">
        <f>'Supply planning data'!H356</f>
        <v>0</v>
      </c>
      <c r="G358" s="320">
        <f>'Supply planning data'!I356</f>
        <v>0</v>
      </c>
      <c r="H358" s="105">
        <f>'Supply planning data'!J356</f>
        <v>0</v>
      </c>
      <c r="I358" s="320">
        <f>'Supply planning data'!K356</f>
        <v>0</v>
      </c>
      <c r="J358" s="177" t="str">
        <f>'Supply planning data'!L356</f>
        <v/>
      </c>
      <c r="K358" s="105">
        <f>'Supply planning data'!M356</f>
        <v>0</v>
      </c>
      <c r="L358" s="321">
        <f>'Supply planning data'!N356+'Supply planning data'!P356</f>
        <v>0</v>
      </c>
      <c r="M358" s="342">
        <f>'Supply planning data'!O356</f>
        <v>0</v>
      </c>
      <c r="N358" s="321">
        <f>'Supply planning data'!P356</f>
        <v>0</v>
      </c>
      <c r="O358" s="342">
        <f>'Supply planning data'!Q356</f>
        <v>0</v>
      </c>
      <c r="P358" s="111">
        <f>'Supply planning data'!R356</f>
        <v>0</v>
      </c>
      <c r="Q358" s="111">
        <f>'Supply planning data'!S356</f>
        <v>0</v>
      </c>
      <c r="R358" s="111">
        <f>'Supply planning data'!T356</f>
        <v>0</v>
      </c>
      <c r="S358" s="111">
        <f>'Supply planning data'!U356</f>
        <v>0</v>
      </c>
      <c r="T358" s="111">
        <f>'Supply planning data'!V356</f>
        <v>0</v>
      </c>
      <c r="U358" s="327" t="str">
        <f>'Supply planning data'!W356</f>
        <v/>
      </c>
      <c r="V358" s="111">
        <f>'Supply planning data'!X356</f>
        <v>0</v>
      </c>
      <c r="W358" s="321">
        <f>'Supply planning data'!Y356</f>
        <v>0</v>
      </c>
      <c r="X358" s="329">
        <f>'Supply planning data'!Z356</f>
        <v>0</v>
      </c>
      <c r="Y358" s="111">
        <f>'Supply planning data'!AA356</f>
        <v>0</v>
      </c>
      <c r="Z358" s="111">
        <f>'Supply planning data'!AB356</f>
        <v>0</v>
      </c>
      <c r="AA358" s="111">
        <f>'Supply planning data'!AC356</f>
        <v>0</v>
      </c>
      <c r="AB358" s="111">
        <f>'Supply planning data'!AD356</f>
        <v>0</v>
      </c>
      <c r="AC358" s="111">
        <f>'Supply planning data'!AE356</f>
        <v>0</v>
      </c>
      <c r="AD358" s="327" t="str">
        <f>'Supply planning data'!AF356</f>
        <v/>
      </c>
      <c r="AE358" s="111">
        <f>'Supply planning data'!AG356</f>
        <v>0</v>
      </c>
      <c r="AF358" s="321">
        <f>'Supply planning data'!AH356</f>
        <v>0</v>
      </c>
      <c r="AG358" s="349">
        <f>'Supply planning data'!AI356</f>
        <v>0</v>
      </c>
      <c r="AH358" s="111">
        <f>'Supply planning data'!AJ356</f>
        <v>0</v>
      </c>
      <c r="AI358" s="111">
        <f>'Supply planning data'!AK356</f>
        <v>0</v>
      </c>
      <c r="AJ358" s="111">
        <f>'Supply planning data'!AL356</f>
        <v>0</v>
      </c>
      <c r="AK358" s="111">
        <f>'Supply planning data'!AM356</f>
        <v>0</v>
      </c>
      <c r="AL358" s="111">
        <f>'Supply planning data'!AN356</f>
        <v>0</v>
      </c>
      <c r="AM358" s="327" t="str">
        <f>'Supply planning data'!AO356</f>
        <v/>
      </c>
    </row>
    <row r="359" spans="1:39" hidden="1" x14ac:dyDescent="0.25">
      <c r="A359" s="109" t="str">
        <f>'Supply planning data'!C357</f>
        <v/>
      </c>
      <c r="B359" s="298">
        <f>'Supply planning data'!D357</f>
        <v>44896</v>
      </c>
      <c r="C359" s="105" t="str">
        <f>'Supply planning data'!E357</f>
        <v>No</v>
      </c>
      <c r="D359" s="105">
        <f>'Supply planning data'!F357</f>
        <v>0</v>
      </c>
      <c r="E359" s="320">
        <f>'Supply planning data'!G357</f>
        <v>0</v>
      </c>
      <c r="F359" s="320">
        <f>'Supply planning data'!H357</f>
        <v>0</v>
      </c>
      <c r="G359" s="320">
        <f>'Supply planning data'!I357</f>
        <v>0</v>
      </c>
      <c r="H359" s="105">
        <f>'Supply planning data'!J357</f>
        <v>0</v>
      </c>
      <c r="I359" s="320">
        <f>'Supply planning data'!K357</f>
        <v>0</v>
      </c>
      <c r="J359" s="177" t="str">
        <f>'Supply planning data'!L357</f>
        <v/>
      </c>
      <c r="K359" s="105">
        <f>'Supply planning data'!M357</f>
        <v>0</v>
      </c>
      <c r="L359" s="321">
        <f>'Supply planning data'!N357+'Supply planning data'!P357</f>
        <v>0</v>
      </c>
      <c r="M359" s="342">
        <f>'Supply planning data'!O357</f>
        <v>0</v>
      </c>
      <c r="N359" s="321">
        <f>'Supply planning data'!P357</f>
        <v>0</v>
      </c>
      <c r="O359" s="342">
        <f>'Supply planning data'!Q357</f>
        <v>0</v>
      </c>
      <c r="P359" s="111">
        <f>'Supply planning data'!R357</f>
        <v>0</v>
      </c>
      <c r="Q359" s="111">
        <f>'Supply planning data'!S357</f>
        <v>0</v>
      </c>
      <c r="R359" s="111">
        <f>'Supply planning data'!T357</f>
        <v>0</v>
      </c>
      <c r="S359" s="111">
        <f>'Supply planning data'!U357</f>
        <v>0</v>
      </c>
      <c r="T359" s="111">
        <f>'Supply planning data'!V357</f>
        <v>0</v>
      </c>
      <c r="U359" s="327" t="str">
        <f>'Supply planning data'!W357</f>
        <v/>
      </c>
      <c r="V359" s="111">
        <f>'Supply planning data'!X357</f>
        <v>0</v>
      </c>
      <c r="W359" s="321">
        <f>'Supply planning data'!Y357</f>
        <v>0</v>
      </c>
      <c r="X359" s="329">
        <f>'Supply planning data'!Z357</f>
        <v>0</v>
      </c>
      <c r="Y359" s="111">
        <f>'Supply planning data'!AA357</f>
        <v>0</v>
      </c>
      <c r="Z359" s="111">
        <f>'Supply planning data'!AB357</f>
        <v>0</v>
      </c>
      <c r="AA359" s="111">
        <f>'Supply planning data'!AC357</f>
        <v>0</v>
      </c>
      <c r="AB359" s="111">
        <f>'Supply planning data'!AD357</f>
        <v>0</v>
      </c>
      <c r="AC359" s="111">
        <f>'Supply planning data'!AE357</f>
        <v>0</v>
      </c>
      <c r="AD359" s="327" t="str">
        <f>'Supply planning data'!AF357</f>
        <v/>
      </c>
      <c r="AE359" s="111">
        <f>'Supply planning data'!AG357</f>
        <v>0</v>
      </c>
      <c r="AF359" s="321">
        <f>'Supply planning data'!AH357</f>
        <v>0</v>
      </c>
      <c r="AG359" s="349">
        <f>'Supply planning data'!AI357</f>
        <v>0</v>
      </c>
      <c r="AH359" s="111">
        <f>'Supply planning data'!AJ357</f>
        <v>0</v>
      </c>
      <c r="AI359" s="111">
        <f>'Supply planning data'!AK357</f>
        <v>0</v>
      </c>
      <c r="AJ359" s="111">
        <f>'Supply planning data'!AL357</f>
        <v>0</v>
      </c>
      <c r="AK359" s="111">
        <f>'Supply planning data'!AM357</f>
        <v>0</v>
      </c>
      <c r="AL359" s="111">
        <f>'Supply planning data'!AN357</f>
        <v>0</v>
      </c>
      <c r="AM359" s="327" t="str">
        <f>'Supply planning data'!AO357</f>
        <v/>
      </c>
    </row>
    <row r="360" spans="1:39" hidden="1" x14ac:dyDescent="0.25">
      <c r="A360" s="104" t="str">
        <f>'Supply planning data'!C358</f>
        <v/>
      </c>
      <c r="B360" s="298">
        <f>'Supply planning data'!D358</f>
        <v>44896</v>
      </c>
      <c r="C360" s="105" t="str">
        <f>'Supply planning data'!E358</f>
        <v>No</v>
      </c>
      <c r="D360" s="105">
        <f>'Supply planning data'!F358</f>
        <v>0</v>
      </c>
      <c r="E360" s="320">
        <f>'Supply planning data'!G358</f>
        <v>0</v>
      </c>
      <c r="F360" s="320">
        <f>'Supply planning data'!H358</f>
        <v>0</v>
      </c>
      <c r="G360" s="320">
        <f>'Supply planning data'!I358</f>
        <v>0</v>
      </c>
      <c r="H360" s="105">
        <f>'Supply planning data'!J358</f>
        <v>0</v>
      </c>
      <c r="I360" s="320">
        <f>'Supply planning data'!K358</f>
        <v>0</v>
      </c>
      <c r="J360" s="177" t="str">
        <f>'Supply planning data'!L358</f>
        <v/>
      </c>
      <c r="K360" s="105">
        <f>'Supply planning data'!M358</f>
        <v>0</v>
      </c>
      <c r="L360" s="321">
        <f>'Supply planning data'!N358+'Supply planning data'!P358</f>
        <v>0</v>
      </c>
      <c r="M360" s="342">
        <f>'Supply planning data'!O358</f>
        <v>0</v>
      </c>
      <c r="N360" s="321">
        <f>'Supply planning data'!P358</f>
        <v>0</v>
      </c>
      <c r="O360" s="342">
        <f>'Supply planning data'!Q358</f>
        <v>0</v>
      </c>
      <c r="P360" s="111">
        <f>'Supply planning data'!R358</f>
        <v>0</v>
      </c>
      <c r="Q360" s="111">
        <f>'Supply planning data'!S358</f>
        <v>0</v>
      </c>
      <c r="R360" s="111">
        <f>'Supply planning data'!T358</f>
        <v>0</v>
      </c>
      <c r="S360" s="111">
        <f>'Supply planning data'!U358</f>
        <v>0</v>
      </c>
      <c r="T360" s="111">
        <f>'Supply planning data'!V358</f>
        <v>0</v>
      </c>
      <c r="U360" s="327" t="str">
        <f>'Supply planning data'!W358</f>
        <v/>
      </c>
      <c r="V360" s="111">
        <f>'Supply planning data'!X358</f>
        <v>0</v>
      </c>
      <c r="W360" s="321">
        <f>'Supply planning data'!Y358</f>
        <v>0</v>
      </c>
      <c r="X360" s="329">
        <f>'Supply planning data'!Z358</f>
        <v>0</v>
      </c>
      <c r="Y360" s="111">
        <f>'Supply planning data'!AA358</f>
        <v>0</v>
      </c>
      <c r="Z360" s="111">
        <f>'Supply planning data'!AB358</f>
        <v>0</v>
      </c>
      <c r="AA360" s="111">
        <f>'Supply planning data'!AC358</f>
        <v>0</v>
      </c>
      <c r="AB360" s="111">
        <f>'Supply planning data'!AD358</f>
        <v>0</v>
      </c>
      <c r="AC360" s="111">
        <f>'Supply planning data'!AE358</f>
        <v>0</v>
      </c>
      <c r="AD360" s="327" t="str">
        <f>'Supply planning data'!AF358</f>
        <v/>
      </c>
      <c r="AE360" s="111">
        <f>'Supply planning data'!AG358</f>
        <v>0</v>
      </c>
      <c r="AF360" s="321">
        <f>'Supply planning data'!AH358</f>
        <v>0</v>
      </c>
      <c r="AG360" s="349">
        <f>'Supply planning data'!AI358</f>
        <v>0</v>
      </c>
      <c r="AH360" s="111">
        <f>'Supply planning data'!AJ358</f>
        <v>0</v>
      </c>
      <c r="AI360" s="111">
        <f>'Supply planning data'!AK358</f>
        <v>0</v>
      </c>
      <c r="AJ360" s="111">
        <f>'Supply planning data'!AL358</f>
        <v>0</v>
      </c>
      <c r="AK360" s="111">
        <f>'Supply planning data'!AM358</f>
        <v>0</v>
      </c>
      <c r="AL360" s="111">
        <f>'Supply planning data'!AN358</f>
        <v>0</v>
      </c>
      <c r="AM360" s="327" t="str">
        <f>'Supply planning data'!AO358</f>
        <v/>
      </c>
    </row>
    <row r="361" spans="1:39" hidden="1" x14ac:dyDescent="0.25">
      <c r="A361" s="109" t="str">
        <f>'Supply planning data'!C359</f>
        <v/>
      </c>
      <c r="B361" s="298">
        <f>'Supply planning data'!D359</f>
        <v>44896</v>
      </c>
      <c r="C361" s="105" t="str">
        <f>'Supply planning data'!E359</f>
        <v>No</v>
      </c>
      <c r="D361" s="105">
        <f>'Supply planning data'!F359</f>
        <v>0</v>
      </c>
      <c r="E361" s="320">
        <f>'Supply planning data'!G359</f>
        <v>0</v>
      </c>
      <c r="F361" s="320">
        <f>'Supply planning data'!H359</f>
        <v>0</v>
      </c>
      <c r="G361" s="320">
        <f>'Supply planning data'!I359</f>
        <v>0</v>
      </c>
      <c r="H361" s="105">
        <f>'Supply planning data'!J359</f>
        <v>0</v>
      </c>
      <c r="I361" s="320">
        <f>'Supply planning data'!K359</f>
        <v>0</v>
      </c>
      <c r="J361" s="177" t="str">
        <f>'Supply planning data'!L359</f>
        <v/>
      </c>
      <c r="K361" s="105">
        <f>'Supply planning data'!M359</f>
        <v>0</v>
      </c>
      <c r="L361" s="321">
        <f>'Supply planning data'!N359+'Supply planning data'!P359</f>
        <v>0</v>
      </c>
      <c r="M361" s="342">
        <f>'Supply planning data'!O359</f>
        <v>0</v>
      </c>
      <c r="N361" s="321">
        <f>'Supply planning data'!P359</f>
        <v>0</v>
      </c>
      <c r="O361" s="342">
        <f>'Supply planning data'!Q359</f>
        <v>0</v>
      </c>
      <c r="P361" s="111">
        <f>'Supply planning data'!R359</f>
        <v>0</v>
      </c>
      <c r="Q361" s="111">
        <f>'Supply planning data'!S359</f>
        <v>0</v>
      </c>
      <c r="R361" s="111">
        <f>'Supply planning data'!T359</f>
        <v>0</v>
      </c>
      <c r="S361" s="111">
        <f>'Supply planning data'!U359</f>
        <v>0</v>
      </c>
      <c r="T361" s="111">
        <f>'Supply planning data'!V359</f>
        <v>0</v>
      </c>
      <c r="U361" s="327" t="str">
        <f>'Supply planning data'!W359</f>
        <v/>
      </c>
      <c r="V361" s="111">
        <f>'Supply planning data'!X359</f>
        <v>0</v>
      </c>
      <c r="W361" s="321">
        <f>'Supply planning data'!Y359</f>
        <v>0</v>
      </c>
      <c r="X361" s="329">
        <f>'Supply planning data'!Z359</f>
        <v>0</v>
      </c>
      <c r="Y361" s="111">
        <f>'Supply planning data'!AA359</f>
        <v>0</v>
      </c>
      <c r="Z361" s="111">
        <f>'Supply planning data'!AB359</f>
        <v>0</v>
      </c>
      <c r="AA361" s="111">
        <f>'Supply planning data'!AC359</f>
        <v>0</v>
      </c>
      <c r="AB361" s="111">
        <f>'Supply planning data'!AD359</f>
        <v>0</v>
      </c>
      <c r="AC361" s="111">
        <f>'Supply planning data'!AE359</f>
        <v>0</v>
      </c>
      <c r="AD361" s="327" t="str">
        <f>'Supply planning data'!AF359</f>
        <v/>
      </c>
      <c r="AE361" s="111">
        <f>'Supply planning data'!AG359</f>
        <v>0</v>
      </c>
      <c r="AF361" s="321">
        <f>'Supply planning data'!AH359</f>
        <v>0</v>
      </c>
      <c r="AG361" s="349">
        <f>'Supply planning data'!AI359</f>
        <v>0</v>
      </c>
      <c r="AH361" s="111">
        <f>'Supply planning data'!AJ359</f>
        <v>0</v>
      </c>
      <c r="AI361" s="111">
        <f>'Supply planning data'!AK359</f>
        <v>0</v>
      </c>
      <c r="AJ361" s="111">
        <f>'Supply planning data'!AL359</f>
        <v>0</v>
      </c>
      <c r="AK361" s="111">
        <f>'Supply planning data'!AM359</f>
        <v>0</v>
      </c>
      <c r="AL361" s="111">
        <f>'Supply planning data'!AN359</f>
        <v>0</v>
      </c>
      <c r="AM361" s="327" t="str">
        <f>'Supply planning data'!AO359</f>
        <v/>
      </c>
    </row>
    <row r="362" spans="1:39" hidden="1" x14ac:dyDescent="0.25">
      <c r="A362" s="104" t="str">
        <f>'Supply planning data'!C360</f>
        <v/>
      </c>
      <c r="B362" s="298">
        <f>'Supply planning data'!D360</f>
        <v>44896</v>
      </c>
      <c r="C362" s="105" t="str">
        <f>'Supply planning data'!E360</f>
        <v>No</v>
      </c>
      <c r="D362" s="105">
        <f>'Supply planning data'!F360</f>
        <v>0</v>
      </c>
      <c r="E362" s="320">
        <f>'Supply planning data'!G360</f>
        <v>0</v>
      </c>
      <c r="F362" s="320">
        <f>'Supply planning data'!H360</f>
        <v>0</v>
      </c>
      <c r="G362" s="320">
        <f>'Supply planning data'!I360</f>
        <v>0</v>
      </c>
      <c r="H362" s="105">
        <f>'Supply planning data'!J360</f>
        <v>0</v>
      </c>
      <c r="I362" s="320">
        <f>'Supply planning data'!K360</f>
        <v>0</v>
      </c>
      <c r="J362" s="177" t="str">
        <f>'Supply planning data'!L360</f>
        <v/>
      </c>
      <c r="K362" s="105">
        <f>'Supply planning data'!M360</f>
        <v>0</v>
      </c>
      <c r="L362" s="321">
        <f>'Supply planning data'!N360+'Supply planning data'!P360</f>
        <v>0</v>
      </c>
      <c r="M362" s="342">
        <f>'Supply planning data'!O360</f>
        <v>0</v>
      </c>
      <c r="N362" s="321">
        <f>'Supply planning data'!P360</f>
        <v>0</v>
      </c>
      <c r="O362" s="342">
        <f>'Supply planning data'!Q360</f>
        <v>0</v>
      </c>
      <c r="P362" s="111">
        <f>'Supply planning data'!R360</f>
        <v>0</v>
      </c>
      <c r="Q362" s="111">
        <f>'Supply planning data'!S360</f>
        <v>0</v>
      </c>
      <c r="R362" s="111">
        <f>'Supply planning data'!T360</f>
        <v>0</v>
      </c>
      <c r="S362" s="111">
        <f>'Supply planning data'!U360</f>
        <v>0</v>
      </c>
      <c r="T362" s="111">
        <f>'Supply planning data'!V360</f>
        <v>0</v>
      </c>
      <c r="U362" s="327" t="str">
        <f>'Supply planning data'!W360</f>
        <v/>
      </c>
      <c r="V362" s="111">
        <f>'Supply planning data'!X360</f>
        <v>0</v>
      </c>
      <c r="W362" s="321">
        <f>'Supply planning data'!Y360</f>
        <v>0</v>
      </c>
      <c r="X362" s="329">
        <f>'Supply planning data'!Z360</f>
        <v>0</v>
      </c>
      <c r="Y362" s="111">
        <f>'Supply planning data'!AA360</f>
        <v>0</v>
      </c>
      <c r="Z362" s="111">
        <f>'Supply planning data'!AB360</f>
        <v>0</v>
      </c>
      <c r="AA362" s="111">
        <f>'Supply planning data'!AC360</f>
        <v>0</v>
      </c>
      <c r="AB362" s="111">
        <f>'Supply planning data'!AD360</f>
        <v>0</v>
      </c>
      <c r="AC362" s="111">
        <f>'Supply planning data'!AE360</f>
        <v>0</v>
      </c>
      <c r="AD362" s="327" t="str">
        <f>'Supply planning data'!AF360</f>
        <v/>
      </c>
      <c r="AE362" s="111">
        <f>'Supply planning data'!AG360</f>
        <v>0</v>
      </c>
      <c r="AF362" s="321">
        <f>'Supply planning data'!AH360</f>
        <v>0</v>
      </c>
      <c r="AG362" s="349">
        <f>'Supply planning data'!AI360</f>
        <v>0</v>
      </c>
      <c r="AH362" s="111">
        <f>'Supply planning data'!AJ360</f>
        <v>0</v>
      </c>
      <c r="AI362" s="111">
        <f>'Supply planning data'!AK360</f>
        <v>0</v>
      </c>
      <c r="AJ362" s="111">
        <f>'Supply planning data'!AL360</f>
        <v>0</v>
      </c>
      <c r="AK362" s="111">
        <f>'Supply planning data'!AM360</f>
        <v>0</v>
      </c>
      <c r="AL362" s="111">
        <f>'Supply planning data'!AN360</f>
        <v>0</v>
      </c>
      <c r="AM362" s="327" t="str">
        <f>'Supply planning data'!AO360</f>
        <v/>
      </c>
    </row>
    <row r="363" spans="1:39" hidden="1" x14ac:dyDescent="0.25">
      <c r="A363" s="109" t="str">
        <f>'Supply planning data'!C361</f>
        <v/>
      </c>
      <c r="B363" s="298">
        <f>'Supply planning data'!D361</f>
        <v>44896</v>
      </c>
      <c r="C363" s="105" t="str">
        <f>'Supply planning data'!E361</f>
        <v>No</v>
      </c>
      <c r="D363" s="105">
        <f>'Supply planning data'!F361</f>
        <v>0</v>
      </c>
      <c r="E363" s="320">
        <f>'Supply planning data'!G361</f>
        <v>0</v>
      </c>
      <c r="F363" s="320">
        <f>'Supply planning data'!H361</f>
        <v>0</v>
      </c>
      <c r="G363" s="320">
        <f>'Supply planning data'!I361</f>
        <v>0</v>
      </c>
      <c r="H363" s="105">
        <f>'Supply planning data'!J361</f>
        <v>0</v>
      </c>
      <c r="I363" s="320">
        <f>'Supply planning data'!K361</f>
        <v>0</v>
      </c>
      <c r="J363" s="177" t="str">
        <f>'Supply planning data'!L361</f>
        <v/>
      </c>
      <c r="K363" s="105">
        <f>'Supply planning data'!M361</f>
        <v>0</v>
      </c>
      <c r="L363" s="321">
        <f>'Supply planning data'!N361+'Supply planning data'!P361</f>
        <v>0</v>
      </c>
      <c r="M363" s="342">
        <f>'Supply planning data'!O361</f>
        <v>0</v>
      </c>
      <c r="N363" s="321">
        <f>'Supply planning data'!P361</f>
        <v>0</v>
      </c>
      <c r="O363" s="342">
        <f>'Supply planning data'!Q361</f>
        <v>0</v>
      </c>
      <c r="P363" s="111">
        <f>'Supply planning data'!R361</f>
        <v>0</v>
      </c>
      <c r="Q363" s="111">
        <f>'Supply planning data'!S361</f>
        <v>0</v>
      </c>
      <c r="R363" s="111">
        <f>'Supply planning data'!T361</f>
        <v>0</v>
      </c>
      <c r="S363" s="111">
        <f>'Supply planning data'!U361</f>
        <v>0</v>
      </c>
      <c r="T363" s="111">
        <f>'Supply planning data'!V361</f>
        <v>0</v>
      </c>
      <c r="U363" s="327" t="str">
        <f>'Supply planning data'!W361</f>
        <v/>
      </c>
      <c r="V363" s="111">
        <f>'Supply planning data'!X361</f>
        <v>0</v>
      </c>
      <c r="W363" s="321">
        <f>'Supply planning data'!Y361</f>
        <v>0</v>
      </c>
      <c r="X363" s="329">
        <f>'Supply planning data'!Z361</f>
        <v>0</v>
      </c>
      <c r="Y363" s="111">
        <f>'Supply planning data'!AA361</f>
        <v>0</v>
      </c>
      <c r="Z363" s="111">
        <f>'Supply planning data'!AB361</f>
        <v>0</v>
      </c>
      <c r="AA363" s="111">
        <f>'Supply planning data'!AC361</f>
        <v>0</v>
      </c>
      <c r="AB363" s="111">
        <f>'Supply planning data'!AD361</f>
        <v>0</v>
      </c>
      <c r="AC363" s="111">
        <f>'Supply planning data'!AE361</f>
        <v>0</v>
      </c>
      <c r="AD363" s="327" t="str">
        <f>'Supply planning data'!AF361</f>
        <v/>
      </c>
      <c r="AE363" s="111">
        <f>'Supply planning data'!AG361</f>
        <v>0</v>
      </c>
      <c r="AF363" s="321">
        <f>'Supply planning data'!AH361</f>
        <v>0</v>
      </c>
      <c r="AG363" s="349">
        <f>'Supply planning data'!AI361</f>
        <v>0</v>
      </c>
      <c r="AH363" s="111">
        <f>'Supply planning data'!AJ361</f>
        <v>0</v>
      </c>
      <c r="AI363" s="111">
        <f>'Supply planning data'!AK361</f>
        <v>0</v>
      </c>
      <c r="AJ363" s="111">
        <f>'Supply planning data'!AL361</f>
        <v>0</v>
      </c>
      <c r="AK363" s="111">
        <f>'Supply planning data'!AM361</f>
        <v>0</v>
      </c>
      <c r="AL363" s="111">
        <f>'Supply planning data'!AN361</f>
        <v>0</v>
      </c>
      <c r="AM363" s="327" t="str">
        <f>'Supply planning data'!AO361</f>
        <v/>
      </c>
    </row>
    <row r="364" spans="1:39" hidden="1" x14ac:dyDescent="0.25">
      <c r="A364" s="104" t="str">
        <f>'Supply planning data'!C362</f>
        <v/>
      </c>
      <c r="B364" s="298">
        <f>'Supply planning data'!D362</f>
        <v>44896</v>
      </c>
      <c r="C364" s="105" t="str">
        <f>'Supply planning data'!E362</f>
        <v>No</v>
      </c>
      <c r="D364" s="105">
        <f>'Supply planning data'!F362</f>
        <v>0</v>
      </c>
      <c r="E364" s="320">
        <f>'Supply planning data'!G362</f>
        <v>0</v>
      </c>
      <c r="F364" s="320">
        <f>'Supply planning data'!H362</f>
        <v>0</v>
      </c>
      <c r="G364" s="320">
        <f>'Supply planning data'!I362</f>
        <v>0</v>
      </c>
      <c r="H364" s="105">
        <f>'Supply planning data'!J362</f>
        <v>0</v>
      </c>
      <c r="I364" s="320">
        <f>'Supply planning data'!K362</f>
        <v>0</v>
      </c>
      <c r="J364" s="177" t="str">
        <f>'Supply planning data'!L362</f>
        <v/>
      </c>
      <c r="K364" s="105">
        <f>'Supply planning data'!M362</f>
        <v>0</v>
      </c>
      <c r="L364" s="321">
        <f>'Supply planning data'!N362+'Supply planning data'!P362</f>
        <v>0</v>
      </c>
      <c r="M364" s="342">
        <f>'Supply planning data'!O362</f>
        <v>0</v>
      </c>
      <c r="N364" s="321">
        <f>'Supply planning data'!P362</f>
        <v>0</v>
      </c>
      <c r="O364" s="342">
        <f>'Supply planning data'!Q362</f>
        <v>0</v>
      </c>
      <c r="P364" s="111">
        <f>'Supply planning data'!R362</f>
        <v>0</v>
      </c>
      <c r="Q364" s="111">
        <f>'Supply planning data'!S362</f>
        <v>0</v>
      </c>
      <c r="R364" s="111">
        <f>'Supply planning data'!T362</f>
        <v>0</v>
      </c>
      <c r="S364" s="111">
        <f>'Supply planning data'!U362</f>
        <v>0</v>
      </c>
      <c r="T364" s="111">
        <f>'Supply planning data'!V362</f>
        <v>0</v>
      </c>
      <c r="U364" s="327" t="str">
        <f>'Supply planning data'!W362</f>
        <v/>
      </c>
      <c r="V364" s="111">
        <f>'Supply planning data'!X362</f>
        <v>0</v>
      </c>
      <c r="W364" s="321">
        <f>'Supply planning data'!Y362</f>
        <v>0</v>
      </c>
      <c r="X364" s="329">
        <f>'Supply planning data'!Z362</f>
        <v>0</v>
      </c>
      <c r="Y364" s="111">
        <f>'Supply planning data'!AA362</f>
        <v>0</v>
      </c>
      <c r="Z364" s="111">
        <f>'Supply planning data'!AB362</f>
        <v>0</v>
      </c>
      <c r="AA364" s="111">
        <f>'Supply planning data'!AC362</f>
        <v>0</v>
      </c>
      <c r="AB364" s="111">
        <f>'Supply planning data'!AD362</f>
        <v>0</v>
      </c>
      <c r="AC364" s="111">
        <f>'Supply planning data'!AE362</f>
        <v>0</v>
      </c>
      <c r="AD364" s="327" t="str">
        <f>'Supply planning data'!AF362</f>
        <v/>
      </c>
      <c r="AE364" s="111">
        <f>'Supply planning data'!AG362</f>
        <v>0</v>
      </c>
      <c r="AF364" s="321">
        <f>'Supply planning data'!AH362</f>
        <v>0</v>
      </c>
      <c r="AG364" s="349">
        <f>'Supply planning data'!AI362</f>
        <v>0</v>
      </c>
      <c r="AH364" s="111">
        <f>'Supply planning data'!AJ362</f>
        <v>0</v>
      </c>
      <c r="AI364" s="111">
        <f>'Supply planning data'!AK362</f>
        <v>0</v>
      </c>
      <c r="AJ364" s="111">
        <f>'Supply planning data'!AL362</f>
        <v>0</v>
      </c>
      <c r="AK364" s="111">
        <f>'Supply planning data'!AM362</f>
        <v>0</v>
      </c>
      <c r="AL364" s="111">
        <f>'Supply planning data'!AN362</f>
        <v>0</v>
      </c>
      <c r="AM364" s="327" t="str">
        <f>'Supply planning data'!AO362</f>
        <v/>
      </c>
    </row>
    <row r="365" spans="1:39" hidden="1" x14ac:dyDescent="0.25">
      <c r="A365" s="109" t="str">
        <f>'Supply planning data'!C363</f>
        <v/>
      </c>
      <c r="B365" s="298">
        <f>'Supply planning data'!D363</f>
        <v>44896</v>
      </c>
      <c r="C365" s="105" t="str">
        <f>'Supply planning data'!E363</f>
        <v>No</v>
      </c>
      <c r="D365" s="105">
        <f>'Supply planning data'!F363</f>
        <v>0</v>
      </c>
      <c r="E365" s="320">
        <f>'Supply planning data'!G363</f>
        <v>0</v>
      </c>
      <c r="F365" s="320">
        <f>'Supply planning data'!H363</f>
        <v>0</v>
      </c>
      <c r="G365" s="320">
        <f>'Supply planning data'!I363</f>
        <v>0</v>
      </c>
      <c r="H365" s="105">
        <f>'Supply planning data'!J363</f>
        <v>0</v>
      </c>
      <c r="I365" s="320">
        <f>'Supply planning data'!K363</f>
        <v>0</v>
      </c>
      <c r="J365" s="177" t="str">
        <f>'Supply planning data'!L363</f>
        <v/>
      </c>
      <c r="K365" s="105">
        <f>'Supply planning data'!M363</f>
        <v>0</v>
      </c>
      <c r="L365" s="321">
        <f>'Supply planning data'!N363+'Supply planning data'!P363</f>
        <v>0</v>
      </c>
      <c r="M365" s="342">
        <f>'Supply planning data'!O363</f>
        <v>0</v>
      </c>
      <c r="N365" s="321">
        <f>'Supply planning data'!P363</f>
        <v>0</v>
      </c>
      <c r="O365" s="342">
        <f>'Supply planning data'!Q363</f>
        <v>0</v>
      </c>
      <c r="P365" s="111">
        <f>'Supply planning data'!R363</f>
        <v>0</v>
      </c>
      <c r="Q365" s="111">
        <f>'Supply planning data'!S363</f>
        <v>0</v>
      </c>
      <c r="R365" s="111">
        <f>'Supply planning data'!T363</f>
        <v>0</v>
      </c>
      <c r="S365" s="111">
        <f>'Supply planning data'!U363</f>
        <v>0</v>
      </c>
      <c r="T365" s="111">
        <f>'Supply planning data'!V363</f>
        <v>0</v>
      </c>
      <c r="U365" s="327" t="str">
        <f>'Supply planning data'!W363</f>
        <v/>
      </c>
      <c r="V365" s="111">
        <f>'Supply planning data'!X363</f>
        <v>0</v>
      </c>
      <c r="W365" s="321">
        <f>'Supply planning data'!Y363</f>
        <v>0</v>
      </c>
      <c r="X365" s="329">
        <f>'Supply planning data'!Z363</f>
        <v>0</v>
      </c>
      <c r="Y365" s="111">
        <f>'Supply planning data'!AA363</f>
        <v>0</v>
      </c>
      <c r="Z365" s="111">
        <f>'Supply planning data'!AB363</f>
        <v>0</v>
      </c>
      <c r="AA365" s="111">
        <f>'Supply planning data'!AC363</f>
        <v>0</v>
      </c>
      <c r="AB365" s="111">
        <f>'Supply planning data'!AD363</f>
        <v>0</v>
      </c>
      <c r="AC365" s="111">
        <f>'Supply planning data'!AE363</f>
        <v>0</v>
      </c>
      <c r="AD365" s="327" t="str">
        <f>'Supply planning data'!AF363</f>
        <v/>
      </c>
      <c r="AE365" s="111">
        <f>'Supply planning data'!AG363</f>
        <v>0</v>
      </c>
      <c r="AF365" s="321">
        <f>'Supply planning data'!AH363</f>
        <v>0</v>
      </c>
      <c r="AG365" s="349">
        <f>'Supply planning data'!AI363</f>
        <v>0</v>
      </c>
      <c r="AH365" s="111">
        <f>'Supply planning data'!AJ363</f>
        <v>0</v>
      </c>
      <c r="AI365" s="111">
        <f>'Supply planning data'!AK363</f>
        <v>0</v>
      </c>
      <c r="AJ365" s="111">
        <f>'Supply planning data'!AL363</f>
        <v>0</v>
      </c>
      <c r="AK365" s="111">
        <f>'Supply planning data'!AM363</f>
        <v>0</v>
      </c>
      <c r="AL365" s="111">
        <f>'Supply planning data'!AN363</f>
        <v>0</v>
      </c>
      <c r="AM365" s="327" t="str">
        <f>'Supply planning data'!AO363</f>
        <v/>
      </c>
    </row>
    <row r="366" spans="1:39" hidden="1" x14ac:dyDescent="0.25">
      <c r="A366" s="104" t="str">
        <f>'Supply planning data'!C364</f>
        <v/>
      </c>
      <c r="B366" s="298">
        <f>'Supply planning data'!D364</f>
        <v>44896</v>
      </c>
      <c r="C366" s="105" t="str">
        <f>'Supply planning data'!E364</f>
        <v>No</v>
      </c>
      <c r="D366" s="105">
        <f>'Supply planning data'!F364</f>
        <v>0</v>
      </c>
      <c r="E366" s="320">
        <f>'Supply planning data'!G364</f>
        <v>0</v>
      </c>
      <c r="F366" s="320">
        <f>'Supply planning data'!H364</f>
        <v>0</v>
      </c>
      <c r="G366" s="320">
        <f>'Supply planning data'!I364</f>
        <v>0</v>
      </c>
      <c r="H366" s="105">
        <f>'Supply planning data'!J364</f>
        <v>0</v>
      </c>
      <c r="I366" s="320">
        <f>'Supply planning data'!K364</f>
        <v>0</v>
      </c>
      <c r="J366" s="177" t="str">
        <f>'Supply planning data'!L364</f>
        <v/>
      </c>
      <c r="K366" s="105">
        <f>'Supply planning data'!M364</f>
        <v>0</v>
      </c>
      <c r="L366" s="321">
        <f>'Supply planning data'!N364+'Supply planning data'!P364</f>
        <v>0</v>
      </c>
      <c r="M366" s="342">
        <f>'Supply planning data'!O364</f>
        <v>0</v>
      </c>
      <c r="N366" s="321">
        <f>'Supply planning data'!P364</f>
        <v>0</v>
      </c>
      <c r="O366" s="342">
        <f>'Supply planning data'!Q364</f>
        <v>0</v>
      </c>
      <c r="P366" s="111">
        <f>'Supply planning data'!R364</f>
        <v>0</v>
      </c>
      <c r="Q366" s="111">
        <f>'Supply planning data'!S364</f>
        <v>0</v>
      </c>
      <c r="R366" s="111">
        <f>'Supply planning data'!T364</f>
        <v>0</v>
      </c>
      <c r="S366" s="111">
        <f>'Supply planning data'!U364</f>
        <v>0</v>
      </c>
      <c r="T366" s="111">
        <f>'Supply planning data'!V364</f>
        <v>0</v>
      </c>
      <c r="U366" s="327" t="str">
        <f>'Supply planning data'!W364</f>
        <v/>
      </c>
      <c r="V366" s="111">
        <f>'Supply planning data'!X364</f>
        <v>0</v>
      </c>
      <c r="W366" s="321">
        <f>'Supply planning data'!Y364</f>
        <v>0</v>
      </c>
      <c r="X366" s="329">
        <f>'Supply planning data'!Z364</f>
        <v>0</v>
      </c>
      <c r="Y366" s="111">
        <f>'Supply planning data'!AA364</f>
        <v>0</v>
      </c>
      <c r="Z366" s="111">
        <f>'Supply planning data'!AB364</f>
        <v>0</v>
      </c>
      <c r="AA366" s="111">
        <f>'Supply planning data'!AC364</f>
        <v>0</v>
      </c>
      <c r="AB366" s="111">
        <f>'Supply planning data'!AD364</f>
        <v>0</v>
      </c>
      <c r="AC366" s="111">
        <f>'Supply planning data'!AE364</f>
        <v>0</v>
      </c>
      <c r="AD366" s="327" t="str">
        <f>'Supply planning data'!AF364</f>
        <v/>
      </c>
      <c r="AE366" s="111">
        <f>'Supply planning data'!AG364</f>
        <v>0</v>
      </c>
      <c r="AF366" s="321">
        <f>'Supply planning data'!AH364</f>
        <v>0</v>
      </c>
      <c r="AG366" s="349">
        <f>'Supply planning data'!AI364</f>
        <v>0</v>
      </c>
      <c r="AH366" s="111">
        <f>'Supply planning data'!AJ364</f>
        <v>0</v>
      </c>
      <c r="AI366" s="111">
        <f>'Supply planning data'!AK364</f>
        <v>0</v>
      </c>
      <c r="AJ366" s="111">
        <f>'Supply planning data'!AL364</f>
        <v>0</v>
      </c>
      <c r="AK366" s="111">
        <f>'Supply planning data'!AM364</f>
        <v>0</v>
      </c>
      <c r="AL366" s="111">
        <f>'Supply planning data'!AN364</f>
        <v>0</v>
      </c>
      <c r="AM366" s="327" t="str">
        <f>'Supply planning data'!AO364</f>
        <v/>
      </c>
    </row>
    <row r="367" spans="1:39" x14ac:dyDescent="0.25">
      <c r="A367" s="90" t="str">
        <f>'Supply planning data'!C365</f>
        <v>AstraZeneca</v>
      </c>
      <c r="B367" s="296">
        <f>'Supply planning data'!D365</f>
        <v>44927</v>
      </c>
      <c r="C367" s="92" t="str">
        <f>'Supply planning data'!E365</f>
        <v>Yes</v>
      </c>
      <c r="D367" s="92">
        <f>'Supply planning data'!F365</f>
        <v>0</v>
      </c>
      <c r="E367" s="316">
        <f>'Supply planning data'!G365</f>
        <v>0</v>
      </c>
      <c r="F367" s="316">
        <f>'Supply planning data'!H365</f>
        <v>0</v>
      </c>
      <c r="G367" s="316">
        <f>'Supply planning data'!I365</f>
        <v>0</v>
      </c>
      <c r="H367" s="92">
        <f>'Supply planning data'!J365</f>
        <v>0</v>
      </c>
      <c r="I367" s="316">
        <f>'Supply planning data'!K365</f>
        <v>0</v>
      </c>
      <c r="J367" s="174" t="str">
        <f>'Supply planning data'!L365</f>
        <v/>
      </c>
      <c r="K367" s="92">
        <f>'Supply planning data'!M365</f>
        <v>0</v>
      </c>
      <c r="L367" s="316">
        <f>'Supply planning data'!N365+'Supply planning data'!P365</f>
        <v>0</v>
      </c>
      <c r="M367" s="343">
        <f>'Supply planning data'!O365</f>
        <v>0</v>
      </c>
      <c r="N367" s="316">
        <f>'Supply planning data'!P365</f>
        <v>0</v>
      </c>
      <c r="O367" s="343">
        <f>'Supply planning data'!Q365</f>
        <v>0</v>
      </c>
      <c r="P367" s="92">
        <f>'Supply planning data'!R365</f>
        <v>0</v>
      </c>
      <c r="Q367" s="92">
        <f>'Supply planning data'!S365</f>
        <v>0</v>
      </c>
      <c r="R367" s="92">
        <f>'Supply planning data'!T365</f>
        <v>0</v>
      </c>
      <c r="S367" s="92">
        <f>'Supply planning data'!U365</f>
        <v>0</v>
      </c>
      <c r="T367" s="92">
        <f>'Supply planning data'!V365</f>
        <v>0</v>
      </c>
      <c r="U367" s="324" t="str">
        <f>'Supply planning data'!W365</f>
        <v/>
      </c>
      <c r="V367" s="92">
        <f>'Supply planning data'!X365</f>
        <v>154701</v>
      </c>
      <c r="W367" s="316">
        <f>'Supply planning data'!Y365</f>
        <v>0</v>
      </c>
      <c r="X367" s="328">
        <f>'Supply planning data'!Z365</f>
        <v>0</v>
      </c>
      <c r="Y367" s="92">
        <f>'Supply planning data'!AA365</f>
        <v>0</v>
      </c>
      <c r="Z367" s="92">
        <f>'Supply planning data'!AB365</f>
        <v>0</v>
      </c>
      <c r="AA367" s="92">
        <f>'Supply planning data'!AC365</f>
        <v>0</v>
      </c>
      <c r="AB367" s="92">
        <f>'Supply planning data'!AD365</f>
        <v>0</v>
      </c>
      <c r="AC367" s="92">
        <f>'Supply planning data'!AE365</f>
        <v>154701</v>
      </c>
      <c r="AD367" s="324" t="str">
        <f>'Supply planning data'!AF365</f>
        <v/>
      </c>
      <c r="AE367" s="92">
        <f>'Supply planning data'!AG365</f>
        <v>0</v>
      </c>
      <c r="AF367" s="316">
        <f>'Supply planning data'!AH365</f>
        <v>0</v>
      </c>
      <c r="AG367" s="174">
        <f>'Supply planning data'!AI365</f>
        <v>0</v>
      </c>
      <c r="AH367" s="92">
        <f>'Supply planning data'!AJ365</f>
        <v>0</v>
      </c>
      <c r="AI367" s="92">
        <f>'Supply planning data'!AK365</f>
        <v>0</v>
      </c>
      <c r="AJ367" s="92">
        <f>'Supply planning data'!AL365</f>
        <v>0</v>
      </c>
      <c r="AK367" s="92">
        <f>'Supply planning data'!AM365</f>
        <v>0</v>
      </c>
      <c r="AL367" s="92">
        <f>'Supply planning data'!AN365</f>
        <v>0</v>
      </c>
      <c r="AM367" s="324" t="str">
        <f>'Supply planning data'!AO365</f>
        <v/>
      </c>
    </row>
    <row r="368" spans="1:39" x14ac:dyDescent="0.25">
      <c r="A368" s="90" t="str">
        <f>'Supply planning data'!C366</f>
        <v>Jansen</v>
      </c>
      <c r="B368" s="296">
        <f>'Supply planning data'!D366</f>
        <v>44927</v>
      </c>
      <c r="C368" s="92" t="str">
        <f>'Supply planning data'!E366</f>
        <v>Yes</v>
      </c>
      <c r="D368" s="92">
        <f>'Supply planning data'!F366</f>
        <v>2258747</v>
      </c>
      <c r="E368" s="316">
        <f>'Supply planning data'!G366</f>
        <v>0</v>
      </c>
      <c r="F368" s="317">
        <f>'Supply planning data'!H366</f>
        <v>0</v>
      </c>
      <c r="G368" s="317">
        <f>'Supply planning data'!I366</f>
        <v>0</v>
      </c>
      <c r="H368" s="98">
        <f>'Supply planning data'!J366</f>
        <v>0</v>
      </c>
      <c r="I368" s="317">
        <f>'Supply planning data'!K366</f>
        <v>0</v>
      </c>
      <c r="J368" s="175" t="str">
        <f>'Supply planning data'!L366</f>
        <v/>
      </c>
      <c r="K368" s="98">
        <f>'Supply planning data'!M366</f>
        <v>0</v>
      </c>
      <c r="L368" s="317">
        <f>'Supply planning data'!N366+'Supply planning data'!P366</f>
        <v>0</v>
      </c>
      <c r="M368" s="339">
        <f>'Supply planning data'!O366</f>
        <v>0</v>
      </c>
      <c r="N368" s="317">
        <f>'Supply planning data'!P366</f>
        <v>0</v>
      </c>
      <c r="O368" s="339">
        <f>'Supply planning data'!Q366</f>
        <v>0</v>
      </c>
      <c r="P368" s="98">
        <f>'Supply planning data'!R366</f>
        <v>0</v>
      </c>
      <c r="Q368" s="98">
        <f>'Supply planning data'!S366</f>
        <v>0</v>
      </c>
      <c r="R368" s="98">
        <f>'Supply planning data'!T366</f>
        <v>0</v>
      </c>
      <c r="S368" s="98">
        <f>'Supply planning data'!U366</f>
        <v>0</v>
      </c>
      <c r="T368" s="98">
        <f>'Supply planning data'!V366</f>
        <v>2258747</v>
      </c>
      <c r="U368" s="325" t="str">
        <f>'Supply planning data'!W366</f>
        <v/>
      </c>
      <c r="V368" s="98">
        <f>'Supply planning data'!X366</f>
        <v>1698747</v>
      </c>
      <c r="W368" s="317">
        <f>'Supply planning data'!Y366</f>
        <v>0</v>
      </c>
      <c r="X368" s="328">
        <f>'Supply planning data'!Z366</f>
        <v>0</v>
      </c>
      <c r="Y368" s="98">
        <f>'Supply planning data'!AA366</f>
        <v>0</v>
      </c>
      <c r="Z368" s="98">
        <f>'Supply planning data'!AB366</f>
        <v>0</v>
      </c>
      <c r="AA368" s="98">
        <f>'Supply planning data'!AC366</f>
        <v>0</v>
      </c>
      <c r="AB368" s="98">
        <f>'Supply planning data'!AD366</f>
        <v>0</v>
      </c>
      <c r="AC368" s="98">
        <f>'Supply planning data'!AE366</f>
        <v>1698747</v>
      </c>
      <c r="AD368" s="325" t="str">
        <f>'Supply planning data'!AF366</f>
        <v/>
      </c>
      <c r="AE368" s="98">
        <f>'Supply planning data'!AG366</f>
        <v>2258747</v>
      </c>
      <c r="AF368" s="317">
        <f>'Supply planning data'!AH366</f>
        <v>0</v>
      </c>
      <c r="AG368" s="175">
        <f>'Supply planning data'!AI366</f>
        <v>0</v>
      </c>
      <c r="AH368" s="98">
        <f>'Supply planning data'!AJ366</f>
        <v>0</v>
      </c>
      <c r="AI368" s="98">
        <f>'Supply planning data'!AK366</f>
        <v>0</v>
      </c>
      <c r="AJ368" s="98">
        <f>'Supply planning data'!AL366</f>
        <v>0</v>
      </c>
      <c r="AK368" s="98">
        <f>'Supply planning data'!AM366</f>
        <v>0</v>
      </c>
      <c r="AL368" s="98">
        <f>'Supply planning data'!AN366</f>
        <v>2258747</v>
      </c>
      <c r="AM368" s="325" t="str">
        <f>'Supply planning data'!AO366</f>
        <v/>
      </c>
    </row>
    <row r="369" spans="1:39" x14ac:dyDescent="0.25">
      <c r="A369" s="90" t="str">
        <f>'Supply planning data'!C367</f>
        <v>Moderna</v>
      </c>
      <c r="B369" s="296">
        <f>'Supply planning data'!D367</f>
        <v>44927</v>
      </c>
      <c r="C369" s="92" t="str">
        <f>'Supply planning data'!E367</f>
        <v>No</v>
      </c>
      <c r="D369" s="92">
        <f>'Supply planning data'!F367</f>
        <v>0</v>
      </c>
      <c r="E369" s="316">
        <f>'Supply planning data'!G367</f>
        <v>0</v>
      </c>
      <c r="F369" s="317">
        <f>'Supply planning data'!H367</f>
        <v>0</v>
      </c>
      <c r="G369" s="317">
        <f>'Supply planning data'!I367</f>
        <v>0</v>
      </c>
      <c r="H369" s="98">
        <f>'Supply planning data'!J367</f>
        <v>0</v>
      </c>
      <c r="I369" s="317">
        <f>'Supply planning data'!K367</f>
        <v>0</v>
      </c>
      <c r="J369" s="175" t="str">
        <f>'Supply planning data'!L367</f>
        <v/>
      </c>
      <c r="K369" s="98">
        <f>'Supply planning data'!M367</f>
        <v>0</v>
      </c>
      <c r="L369" s="317">
        <f>'Supply planning data'!N367+'Supply planning data'!P367</f>
        <v>0</v>
      </c>
      <c r="M369" s="339">
        <f>'Supply planning data'!O367</f>
        <v>0</v>
      </c>
      <c r="N369" s="317">
        <f>'Supply planning data'!P367</f>
        <v>0</v>
      </c>
      <c r="O369" s="339">
        <f>'Supply planning data'!Q367</f>
        <v>0</v>
      </c>
      <c r="P369" s="98">
        <f>'Supply planning data'!R367</f>
        <v>0</v>
      </c>
      <c r="Q369" s="98">
        <f>'Supply planning data'!S367</f>
        <v>0</v>
      </c>
      <c r="R369" s="98">
        <f>'Supply planning data'!T367</f>
        <v>0</v>
      </c>
      <c r="S369" s="98">
        <f>'Supply planning data'!U367</f>
        <v>0</v>
      </c>
      <c r="T369" s="98">
        <f>'Supply planning data'!V367</f>
        <v>0</v>
      </c>
      <c r="U369" s="325" t="str">
        <f>'Supply planning data'!W367</f>
        <v/>
      </c>
      <c r="V369" s="98">
        <f>'Supply planning data'!X367</f>
        <v>0</v>
      </c>
      <c r="W369" s="317">
        <f>'Supply planning data'!Y367</f>
        <v>0</v>
      </c>
      <c r="X369" s="328">
        <f>'Supply planning data'!Z367</f>
        <v>0</v>
      </c>
      <c r="Y369" s="98">
        <f>'Supply planning data'!AA367</f>
        <v>0</v>
      </c>
      <c r="Z369" s="98">
        <f>'Supply planning data'!AB367</f>
        <v>0</v>
      </c>
      <c r="AA369" s="98">
        <f>'Supply planning data'!AC367</f>
        <v>0</v>
      </c>
      <c r="AB369" s="98">
        <f>'Supply planning data'!AD367</f>
        <v>0</v>
      </c>
      <c r="AC369" s="98">
        <f>'Supply planning data'!AE367</f>
        <v>0</v>
      </c>
      <c r="AD369" s="325" t="str">
        <f>'Supply planning data'!AF367</f>
        <v/>
      </c>
      <c r="AE369" s="98">
        <f>'Supply planning data'!AG367</f>
        <v>0</v>
      </c>
      <c r="AF369" s="317">
        <f>'Supply planning data'!AH367</f>
        <v>0</v>
      </c>
      <c r="AG369" s="175">
        <f>'Supply planning data'!AI367</f>
        <v>0</v>
      </c>
      <c r="AH369" s="98">
        <f>'Supply planning data'!AJ367</f>
        <v>0</v>
      </c>
      <c r="AI369" s="98">
        <f>'Supply planning data'!AK367</f>
        <v>0</v>
      </c>
      <c r="AJ369" s="98">
        <f>'Supply planning data'!AL367</f>
        <v>0</v>
      </c>
      <c r="AK369" s="98">
        <f>'Supply planning data'!AM367</f>
        <v>0</v>
      </c>
      <c r="AL369" s="98">
        <f>'Supply planning data'!AN367</f>
        <v>0</v>
      </c>
      <c r="AM369" s="325" t="str">
        <f>'Supply planning data'!AO367</f>
        <v/>
      </c>
    </row>
    <row r="370" spans="1:39" x14ac:dyDescent="0.25">
      <c r="A370" s="90" t="str">
        <f>'Supply planning data'!C368</f>
        <v>Pfizer</v>
      </c>
      <c r="B370" s="296">
        <f>'Supply planning data'!D368</f>
        <v>44927</v>
      </c>
      <c r="C370" s="92" t="str">
        <f>'Supply planning data'!E368</f>
        <v>Yes</v>
      </c>
      <c r="D370" s="92">
        <f>'Supply planning data'!F368</f>
        <v>3000000</v>
      </c>
      <c r="E370" s="316">
        <f>'Supply planning data'!G368</f>
        <v>0</v>
      </c>
      <c r="F370" s="317">
        <f>'Supply planning data'!H368</f>
        <v>0</v>
      </c>
      <c r="G370" s="317">
        <f>'Supply planning data'!I368</f>
        <v>0</v>
      </c>
      <c r="H370" s="98">
        <f>'Supply planning data'!J368</f>
        <v>0</v>
      </c>
      <c r="I370" s="317">
        <f>'Supply planning data'!K368</f>
        <v>0</v>
      </c>
      <c r="J370" s="175" t="str">
        <f>'Supply planning data'!L368</f>
        <v/>
      </c>
      <c r="K370" s="98">
        <f>'Supply planning data'!M368</f>
        <v>0</v>
      </c>
      <c r="L370" s="317">
        <f>'Supply planning data'!N368+'Supply planning data'!P368</f>
        <v>0</v>
      </c>
      <c r="M370" s="339">
        <f>'Supply planning data'!O368</f>
        <v>0</v>
      </c>
      <c r="N370" s="317">
        <f>'Supply planning data'!P368</f>
        <v>0</v>
      </c>
      <c r="O370" s="339">
        <f>'Supply planning data'!Q368</f>
        <v>0</v>
      </c>
      <c r="P370" s="98">
        <f>'Supply planning data'!R368</f>
        <v>0</v>
      </c>
      <c r="Q370" s="98">
        <f>'Supply planning data'!S368</f>
        <v>0</v>
      </c>
      <c r="R370" s="98">
        <f>'Supply planning data'!T368</f>
        <v>110538</v>
      </c>
      <c r="S370" s="98">
        <f>'Supply planning data'!U368</f>
        <v>0</v>
      </c>
      <c r="T370" s="98">
        <f>'Supply planning data'!V368</f>
        <v>3000000</v>
      </c>
      <c r="U370" s="325" t="str">
        <f>'Supply planning data'!W368</f>
        <v/>
      </c>
      <c r="V370" s="98">
        <f>'Supply planning data'!X368</f>
        <v>2440000</v>
      </c>
      <c r="W370" s="317">
        <f>'Supply planning data'!Y368</f>
        <v>0</v>
      </c>
      <c r="X370" s="328">
        <f>'Supply planning data'!Z368</f>
        <v>0</v>
      </c>
      <c r="Y370" s="98">
        <f>'Supply planning data'!AA368</f>
        <v>0</v>
      </c>
      <c r="Z370" s="98">
        <f>'Supply planning data'!AB368</f>
        <v>0</v>
      </c>
      <c r="AA370" s="98">
        <f>'Supply planning data'!AC368</f>
        <v>0</v>
      </c>
      <c r="AB370" s="98">
        <f>'Supply planning data'!AD368</f>
        <v>0</v>
      </c>
      <c r="AC370" s="98">
        <f>'Supply planning data'!AE368</f>
        <v>2440000</v>
      </c>
      <c r="AD370" s="325" t="str">
        <f>'Supply planning data'!AF368</f>
        <v/>
      </c>
      <c r="AE370" s="98">
        <f>'Supply planning data'!AG368</f>
        <v>3000000</v>
      </c>
      <c r="AF370" s="317">
        <f>'Supply planning data'!AH368</f>
        <v>0</v>
      </c>
      <c r="AG370" s="175">
        <f>'Supply planning data'!AI368</f>
        <v>0</v>
      </c>
      <c r="AH370" s="98">
        <f>'Supply planning data'!AJ368</f>
        <v>0</v>
      </c>
      <c r="AI370" s="98">
        <f>'Supply planning data'!AK368</f>
        <v>0</v>
      </c>
      <c r="AJ370" s="98">
        <f>'Supply planning data'!AL368</f>
        <v>110538</v>
      </c>
      <c r="AK370" s="98">
        <f>'Supply planning data'!AM368</f>
        <v>0</v>
      </c>
      <c r="AL370" s="98">
        <f>'Supply planning data'!AN368</f>
        <v>3000000</v>
      </c>
      <c r="AM370" s="325" t="str">
        <f>'Supply planning data'!AO368</f>
        <v/>
      </c>
    </row>
    <row r="371" spans="1:39" x14ac:dyDescent="0.25">
      <c r="A371" s="90" t="str">
        <f>'Supply planning data'!C369</f>
        <v>Sinovac</v>
      </c>
      <c r="B371" s="296">
        <f>'Supply planning data'!D369</f>
        <v>44927</v>
      </c>
      <c r="C371" s="92" t="str">
        <f>'Supply planning data'!E369</f>
        <v>No</v>
      </c>
      <c r="D371" s="92">
        <f>'Supply planning data'!F369</f>
        <v>0</v>
      </c>
      <c r="E371" s="316">
        <f>'Supply planning data'!G369</f>
        <v>0</v>
      </c>
      <c r="F371" s="317">
        <f>'Supply planning data'!H369</f>
        <v>0</v>
      </c>
      <c r="G371" s="317">
        <f>'Supply planning data'!I369</f>
        <v>0</v>
      </c>
      <c r="H371" s="98">
        <f>'Supply planning data'!J369</f>
        <v>0</v>
      </c>
      <c r="I371" s="317">
        <f>'Supply planning data'!K369</f>
        <v>0</v>
      </c>
      <c r="J371" s="175" t="str">
        <f>'Supply planning data'!L369</f>
        <v/>
      </c>
      <c r="K371" s="98">
        <f>'Supply planning data'!M369</f>
        <v>0</v>
      </c>
      <c r="L371" s="317">
        <f>'Supply planning data'!N369+'Supply planning data'!P369</f>
        <v>0</v>
      </c>
      <c r="M371" s="339">
        <f>'Supply planning data'!O369</f>
        <v>0</v>
      </c>
      <c r="N371" s="317">
        <f>'Supply planning data'!P369</f>
        <v>0</v>
      </c>
      <c r="O371" s="339">
        <f>'Supply planning data'!Q369</f>
        <v>0</v>
      </c>
      <c r="P371" s="98">
        <f>'Supply planning data'!R369</f>
        <v>0</v>
      </c>
      <c r="Q371" s="98">
        <f>'Supply planning data'!S369</f>
        <v>0</v>
      </c>
      <c r="R371" s="98">
        <f>'Supply planning data'!T369</f>
        <v>0</v>
      </c>
      <c r="S371" s="98">
        <f>'Supply planning data'!U369</f>
        <v>0</v>
      </c>
      <c r="T371" s="98">
        <f>'Supply planning data'!V369</f>
        <v>0</v>
      </c>
      <c r="U371" s="325" t="str">
        <f>'Supply planning data'!W369</f>
        <v/>
      </c>
      <c r="V371" s="98">
        <f>'Supply planning data'!X369</f>
        <v>0</v>
      </c>
      <c r="W371" s="317">
        <f>'Supply planning data'!Y369</f>
        <v>0</v>
      </c>
      <c r="X371" s="328">
        <f>'Supply planning data'!Z369</f>
        <v>0</v>
      </c>
      <c r="Y371" s="98">
        <f>'Supply planning data'!AA369</f>
        <v>0</v>
      </c>
      <c r="Z371" s="98">
        <f>'Supply planning data'!AB369</f>
        <v>0</v>
      </c>
      <c r="AA371" s="98">
        <f>'Supply planning data'!AC369</f>
        <v>0</v>
      </c>
      <c r="AB371" s="98">
        <f>'Supply planning data'!AD369</f>
        <v>0</v>
      </c>
      <c r="AC371" s="98">
        <f>'Supply planning data'!AE369</f>
        <v>0</v>
      </c>
      <c r="AD371" s="325" t="str">
        <f>'Supply planning data'!AF369</f>
        <v/>
      </c>
      <c r="AE371" s="98">
        <f>'Supply planning data'!AG369</f>
        <v>0</v>
      </c>
      <c r="AF371" s="317">
        <f>'Supply planning data'!AH369</f>
        <v>0</v>
      </c>
      <c r="AG371" s="175">
        <f>'Supply planning data'!AI369</f>
        <v>0</v>
      </c>
      <c r="AH371" s="98">
        <f>'Supply planning data'!AJ369</f>
        <v>0</v>
      </c>
      <c r="AI371" s="98">
        <f>'Supply planning data'!AK369</f>
        <v>0</v>
      </c>
      <c r="AJ371" s="98">
        <f>'Supply planning data'!AL369</f>
        <v>0</v>
      </c>
      <c r="AK371" s="98">
        <f>'Supply planning data'!AM369</f>
        <v>0</v>
      </c>
      <c r="AL371" s="98">
        <f>'Supply planning data'!AN369</f>
        <v>0</v>
      </c>
      <c r="AM371" s="325" t="str">
        <f>'Supply planning data'!AO369</f>
        <v/>
      </c>
    </row>
    <row r="372" spans="1:39" hidden="1" x14ac:dyDescent="0.25">
      <c r="A372" s="90" t="str">
        <f>'Supply planning data'!C370</f>
        <v/>
      </c>
      <c r="B372" s="296">
        <f>'Supply planning data'!D370</f>
        <v>44927</v>
      </c>
      <c r="C372" s="92" t="str">
        <f>'Supply planning data'!E370</f>
        <v>No</v>
      </c>
      <c r="D372" s="92">
        <f>'Supply planning data'!F370</f>
        <v>0</v>
      </c>
      <c r="E372" s="316">
        <f>'Supply planning data'!G370</f>
        <v>0</v>
      </c>
      <c r="F372" s="317">
        <f>'Supply planning data'!H370</f>
        <v>0</v>
      </c>
      <c r="G372" s="317">
        <f>'Supply planning data'!I370</f>
        <v>0</v>
      </c>
      <c r="H372" s="98">
        <f>'Supply planning data'!J370</f>
        <v>0</v>
      </c>
      <c r="I372" s="317">
        <f>'Supply planning data'!K370</f>
        <v>0</v>
      </c>
      <c r="J372" s="175" t="str">
        <f>'Supply planning data'!L370</f>
        <v/>
      </c>
      <c r="K372" s="98">
        <f>'Supply planning data'!M370</f>
        <v>0</v>
      </c>
      <c r="L372" s="317">
        <f>'Supply planning data'!N370+'Supply planning data'!P370</f>
        <v>0</v>
      </c>
      <c r="M372" s="339">
        <f>'Supply planning data'!O370</f>
        <v>0</v>
      </c>
      <c r="N372" s="317">
        <f>'Supply planning data'!P370</f>
        <v>0</v>
      </c>
      <c r="O372" s="339">
        <f>'Supply planning data'!Q370</f>
        <v>0</v>
      </c>
      <c r="P372" s="98">
        <f>'Supply planning data'!R370</f>
        <v>0</v>
      </c>
      <c r="Q372" s="98">
        <f>'Supply planning data'!S370</f>
        <v>0</v>
      </c>
      <c r="R372" s="98">
        <f>'Supply planning data'!T370</f>
        <v>0</v>
      </c>
      <c r="S372" s="98">
        <f>'Supply planning data'!U370</f>
        <v>0</v>
      </c>
      <c r="T372" s="98">
        <f>'Supply planning data'!V370</f>
        <v>0</v>
      </c>
      <c r="U372" s="325" t="str">
        <f>'Supply planning data'!W370</f>
        <v/>
      </c>
      <c r="V372" s="98">
        <f>'Supply planning data'!X370</f>
        <v>0</v>
      </c>
      <c r="W372" s="317">
        <f>'Supply planning data'!Y370</f>
        <v>0</v>
      </c>
      <c r="X372" s="328">
        <f>'Supply planning data'!Z370</f>
        <v>0</v>
      </c>
      <c r="Y372" s="98">
        <f>'Supply planning data'!AA370</f>
        <v>0</v>
      </c>
      <c r="Z372" s="98">
        <f>'Supply planning data'!AB370</f>
        <v>0</v>
      </c>
      <c r="AA372" s="98">
        <f>'Supply planning data'!AC370</f>
        <v>0</v>
      </c>
      <c r="AB372" s="98">
        <f>'Supply planning data'!AD370</f>
        <v>0</v>
      </c>
      <c r="AC372" s="98">
        <f>'Supply planning data'!AE370</f>
        <v>0</v>
      </c>
      <c r="AD372" s="325" t="str">
        <f>'Supply planning data'!AF370</f>
        <v/>
      </c>
      <c r="AE372" s="98">
        <f>'Supply planning data'!AG370</f>
        <v>0</v>
      </c>
      <c r="AF372" s="317">
        <f>'Supply planning data'!AH370</f>
        <v>0</v>
      </c>
      <c r="AG372" s="175">
        <f>'Supply planning data'!AI370</f>
        <v>0</v>
      </c>
      <c r="AH372" s="98">
        <f>'Supply planning data'!AJ370</f>
        <v>0</v>
      </c>
      <c r="AI372" s="98">
        <f>'Supply planning data'!AK370</f>
        <v>0</v>
      </c>
      <c r="AJ372" s="98">
        <f>'Supply planning data'!AL370</f>
        <v>0</v>
      </c>
      <c r="AK372" s="98">
        <f>'Supply planning data'!AM370</f>
        <v>0</v>
      </c>
      <c r="AL372" s="98">
        <f>'Supply planning data'!AN370</f>
        <v>0</v>
      </c>
      <c r="AM372" s="325" t="str">
        <f>'Supply planning data'!AO370</f>
        <v/>
      </c>
    </row>
    <row r="373" spans="1:39" hidden="1" x14ac:dyDescent="0.25">
      <c r="A373" s="90" t="str">
        <f>'Supply planning data'!C371</f>
        <v/>
      </c>
      <c r="B373" s="296">
        <f>'Supply planning data'!D371</f>
        <v>44927</v>
      </c>
      <c r="C373" s="92" t="str">
        <f>'Supply planning data'!E371</f>
        <v>No</v>
      </c>
      <c r="D373" s="92">
        <f>'Supply planning data'!F371</f>
        <v>0</v>
      </c>
      <c r="E373" s="316">
        <f>'Supply planning data'!G371</f>
        <v>0</v>
      </c>
      <c r="F373" s="317">
        <f>'Supply planning data'!H371</f>
        <v>0</v>
      </c>
      <c r="G373" s="317">
        <f>'Supply planning data'!I371</f>
        <v>0</v>
      </c>
      <c r="H373" s="98">
        <f>'Supply planning data'!J371</f>
        <v>0</v>
      </c>
      <c r="I373" s="317">
        <f>'Supply planning data'!K371</f>
        <v>0</v>
      </c>
      <c r="J373" s="175" t="str">
        <f>'Supply planning data'!L371</f>
        <v/>
      </c>
      <c r="K373" s="98">
        <f>'Supply planning data'!M371</f>
        <v>0</v>
      </c>
      <c r="L373" s="317">
        <f>'Supply planning data'!N371+'Supply planning data'!P371</f>
        <v>0</v>
      </c>
      <c r="M373" s="339">
        <f>'Supply planning data'!O371</f>
        <v>0</v>
      </c>
      <c r="N373" s="317">
        <f>'Supply planning data'!P371</f>
        <v>0</v>
      </c>
      <c r="O373" s="339">
        <f>'Supply planning data'!Q371</f>
        <v>0</v>
      </c>
      <c r="P373" s="98">
        <f>'Supply planning data'!R371</f>
        <v>0</v>
      </c>
      <c r="Q373" s="98">
        <f>'Supply planning data'!S371</f>
        <v>0</v>
      </c>
      <c r="R373" s="98">
        <f>'Supply planning data'!T371</f>
        <v>0</v>
      </c>
      <c r="S373" s="98">
        <f>'Supply planning data'!U371</f>
        <v>0</v>
      </c>
      <c r="T373" s="98">
        <f>'Supply planning data'!V371</f>
        <v>0</v>
      </c>
      <c r="U373" s="325" t="str">
        <f>'Supply planning data'!W371</f>
        <v/>
      </c>
      <c r="V373" s="98">
        <f>'Supply planning data'!X371</f>
        <v>0</v>
      </c>
      <c r="W373" s="317">
        <f>'Supply planning data'!Y371</f>
        <v>0</v>
      </c>
      <c r="X373" s="328">
        <f>'Supply planning data'!Z371</f>
        <v>0</v>
      </c>
      <c r="Y373" s="98">
        <f>'Supply planning data'!AA371</f>
        <v>0</v>
      </c>
      <c r="Z373" s="98">
        <f>'Supply planning data'!AB371</f>
        <v>0</v>
      </c>
      <c r="AA373" s="98">
        <f>'Supply planning data'!AC371</f>
        <v>0</v>
      </c>
      <c r="AB373" s="98">
        <f>'Supply planning data'!AD371</f>
        <v>0</v>
      </c>
      <c r="AC373" s="98">
        <f>'Supply planning data'!AE371</f>
        <v>0</v>
      </c>
      <c r="AD373" s="325" t="str">
        <f>'Supply planning data'!AF371</f>
        <v/>
      </c>
      <c r="AE373" s="98">
        <f>'Supply planning data'!AG371</f>
        <v>0</v>
      </c>
      <c r="AF373" s="317">
        <f>'Supply planning data'!AH371</f>
        <v>0</v>
      </c>
      <c r="AG373" s="175">
        <f>'Supply planning data'!AI371</f>
        <v>0</v>
      </c>
      <c r="AH373" s="98">
        <f>'Supply planning data'!AJ371</f>
        <v>0</v>
      </c>
      <c r="AI373" s="98">
        <f>'Supply planning data'!AK371</f>
        <v>0</v>
      </c>
      <c r="AJ373" s="98">
        <f>'Supply planning data'!AL371</f>
        <v>0</v>
      </c>
      <c r="AK373" s="98">
        <f>'Supply planning data'!AM371</f>
        <v>0</v>
      </c>
      <c r="AL373" s="98">
        <f>'Supply planning data'!AN371</f>
        <v>0</v>
      </c>
      <c r="AM373" s="325" t="str">
        <f>'Supply planning data'!AO371</f>
        <v/>
      </c>
    </row>
    <row r="374" spans="1:39" hidden="1" x14ac:dyDescent="0.25">
      <c r="A374" s="90" t="str">
        <f>'Supply planning data'!C372</f>
        <v/>
      </c>
      <c r="B374" s="296">
        <f>'Supply planning data'!D372</f>
        <v>44927</v>
      </c>
      <c r="C374" s="92" t="str">
        <f>'Supply planning data'!E372</f>
        <v>No</v>
      </c>
      <c r="D374" s="92">
        <f>'Supply planning data'!F372</f>
        <v>0</v>
      </c>
      <c r="E374" s="316">
        <f>'Supply planning data'!G372</f>
        <v>0</v>
      </c>
      <c r="F374" s="317">
        <f>'Supply planning data'!H372</f>
        <v>0</v>
      </c>
      <c r="G374" s="317">
        <f>'Supply planning data'!I372</f>
        <v>0</v>
      </c>
      <c r="H374" s="98">
        <f>'Supply planning data'!J372</f>
        <v>0</v>
      </c>
      <c r="I374" s="317">
        <f>'Supply planning data'!K372</f>
        <v>0</v>
      </c>
      <c r="J374" s="175" t="str">
        <f>'Supply planning data'!L372</f>
        <v/>
      </c>
      <c r="K374" s="98">
        <f>'Supply planning data'!M372</f>
        <v>0</v>
      </c>
      <c r="L374" s="317">
        <f>'Supply planning data'!N372+'Supply planning data'!P372</f>
        <v>0</v>
      </c>
      <c r="M374" s="339">
        <f>'Supply planning data'!O372</f>
        <v>0</v>
      </c>
      <c r="N374" s="317">
        <f>'Supply planning data'!P372</f>
        <v>0</v>
      </c>
      <c r="O374" s="339">
        <f>'Supply planning data'!Q372</f>
        <v>0</v>
      </c>
      <c r="P374" s="98">
        <f>'Supply planning data'!R372</f>
        <v>0</v>
      </c>
      <c r="Q374" s="98">
        <f>'Supply planning data'!S372</f>
        <v>0</v>
      </c>
      <c r="R374" s="98">
        <f>'Supply planning data'!T372</f>
        <v>0</v>
      </c>
      <c r="S374" s="98">
        <f>'Supply planning data'!U372</f>
        <v>0</v>
      </c>
      <c r="T374" s="98">
        <f>'Supply planning data'!V372</f>
        <v>0</v>
      </c>
      <c r="U374" s="325" t="str">
        <f>'Supply planning data'!W372</f>
        <v/>
      </c>
      <c r="V374" s="98">
        <f>'Supply planning data'!X372</f>
        <v>0</v>
      </c>
      <c r="W374" s="317">
        <f>'Supply planning data'!Y372</f>
        <v>0</v>
      </c>
      <c r="X374" s="328">
        <f>'Supply planning data'!Z372</f>
        <v>0</v>
      </c>
      <c r="Y374" s="98">
        <f>'Supply planning data'!AA372</f>
        <v>0</v>
      </c>
      <c r="Z374" s="98">
        <f>'Supply planning data'!AB372</f>
        <v>0</v>
      </c>
      <c r="AA374" s="98">
        <f>'Supply planning data'!AC372</f>
        <v>0</v>
      </c>
      <c r="AB374" s="98">
        <f>'Supply planning data'!AD372</f>
        <v>0</v>
      </c>
      <c r="AC374" s="98">
        <f>'Supply planning data'!AE372</f>
        <v>0</v>
      </c>
      <c r="AD374" s="325" t="str">
        <f>'Supply planning data'!AF372</f>
        <v/>
      </c>
      <c r="AE374" s="98">
        <f>'Supply planning data'!AG372</f>
        <v>0</v>
      </c>
      <c r="AF374" s="317">
        <f>'Supply planning data'!AH372</f>
        <v>0</v>
      </c>
      <c r="AG374" s="175">
        <f>'Supply planning data'!AI372</f>
        <v>0</v>
      </c>
      <c r="AH374" s="98">
        <f>'Supply planning data'!AJ372</f>
        <v>0</v>
      </c>
      <c r="AI374" s="98">
        <f>'Supply planning data'!AK372</f>
        <v>0</v>
      </c>
      <c r="AJ374" s="98">
        <f>'Supply planning data'!AL372</f>
        <v>0</v>
      </c>
      <c r="AK374" s="98">
        <f>'Supply planning data'!AM372</f>
        <v>0</v>
      </c>
      <c r="AL374" s="98">
        <f>'Supply planning data'!AN372</f>
        <v>0</v>
      </c>
      <c r="AM374" s="325" t="str">
        <f>'Supply planning data'!AO372</f>
        <v/>
      </c>
    </row>
    <row r="375" spans="1:39" hidden="1" x14ac:dyDescent="0.25">
      <c r="A375" s="90" t="str">
        <f>'Supply planning data'!C373</f>
        <v/>
      </c>
      <c r="B375" s="296">
        <f>'Supply planning data'!D373</f>
        <v>44927</v>
      </c>
      <c r="C375" s="92" t="str">
        <f>'Supply planning data'!E373</f>
        <v>No</v>
      </c>
      <c r="D375" s="92">
        <f>'Supply planning data'!F373</f>
        <v>0</v>
      </c>
      <c r="E375" s="316">
        <f>'Supply planning data'!G373</f>
        <v>0</v>
      </c>
      <c r="F375" s="317">
        <f>'Supply planning data'!H373</f>
        <v>0</v>
      </c>
      <c r="G375" s="317">
        <f>'Supply planning data'!I373</f>
        <v>0</v>
      </c>
      <c r="H375" s="98">
        <f>'Supply planning data'!J373</f>
        <v>0</v>
      </c>
      <c r="I375" s="317">
        <f>'Supply planning data'!K373</f>
        <v>0</v>
      </c>
      <c r="J375" s="175" t="str">
        <f>'Supply planning data'!L373</f>
        <v/>
      </c>
      <c r="K375" s="98">
        <f>'Supply planning data'!M373</f>
        <v>0</v>
      </c>
      <c r="L375" s="317">
        <f>'Supply planning data'!N373+'Supply planning data'!P373</f>
        <v>0</v>
      </c>
      <c r="M375" s="339">
        <f>'Supply planning data'!O373</f>
        <v>0</v>
      </c>
      <c r="N375" s="317">
        <f>'Supply planning data'!P373</f>
        <v>0</v>
      </c>
      <c r="O375" s="339">
        <f>'Supply planning data'!Q373</f>
        <v>0</v>
      </c>
      <c r="P375" s="98">
        <f>'Supply planning data'!R373</f>
        <v>0</v>
      </c>
      <c r="Q375" s="98">
        <f>'Supply planning data'!S373</f>
        <v>0</v>
      </c>
      <c r="R375" s="98">
        <f>'Supply planning data'!T373</f>
        <v>0</v>
      </c>
      <c r="S375" s="98">
        <f>'Supply planning data'!U373</f>
        <v>0</v>
      </c>
      <c r="T375" s="98">
        <f>'Supply planning data'!V373</f>
        <v>0</v>
      </c>
      <c r="U375" s="325" t="str">
        <f>'Supply planning data'!W373</f>
        <v/>
      </c>
      <c r="V375" s="98">
        <f>'Supply planning data'!X373</f>
        <v>0</v>
      </c>
      <c r="W375" s="317">
        <f>'Supply planning data'!Y373</f>
        <v>0</v>
      </c>
      <c r="X375" s="328">
        <f>'Supply planning data'!Z373</f>
        <v>0</v>
      </c>
      <c r="Y375" s="98">
        <f>'Supply planning data'!AA373</f>
        <v>0</v>
      </c>
      <c r="Z375" s="98">
        <f>'Supply planning data'!AB373</f>
        <v>0</v>
      </c>
      <c r="AA375" s="98">
        <f>'Supply planning data'!AC373</f>
        <v>0</v>
      </c>
      <c r="AB375" s="98">
        <f>'Supply planning data'!AD373</f>
        <v>0</v>
      </c>
      <c r="AC375" s="98">
        <f>'Supply planning data'!AE373</f>
        <v>0</v>
      </c>
      <c r="AD375" s="325" t="str">
        <f>'Supply planning data'!AF373</f>
        <v/>
      </c>
      <c r="AE375" s="98">
        <f>'Supply planning data'!AG373</f>
        <v>0</v>
      </c>
      <c r="AF375" s="317">
        <f>'Supply planning data'!AH373</f>
        <v>0</v>
      </c>
      <c r="AG375" s="175">
        <f>'Supply planning data'!AI373</f>
        <v>0</v>
      </c>
      <c r="AH375" s="98">
        <f>'Supply planning data'!AJ373</f>
        <v>0</v>
      </c>
      <c r="AI375" s="98">
        <f>'Supply planning data'!AK373</f>
        <v>0</v>
      </c>
      <c r="AJ375" s="98">
        <f>'Supply planning data'!AL373</f>
        <v>0</v>
      </c>
      <c r="AK375" s="98">
        <f>'Supply planning data'!AM373</f>
        <v>0</v>
      </c>
      <c r="AL375" s="98">
        <f>'Supply planning data'!AN373</f>
        <v>0</v>
      </c>
      <c r="AM375" s="325" t="str">
        <f>'Supply planning data'!AO373</f>
        <v/>
      </c>
    </row>
    <row r="376" spans="1:39" hidden="1" x14ac:dyDescent="0.25">
      <c r="A376" s="90" t="str">
        <f>'Supply planning data'!C374</f>
        <v/>
      </c>
      <c r="B376" s="296">
        <f>'Supply planning data'!D374</f>
        <v>44927</v>
      </c>
      <c r="C376" s="92" t="str">
        <f>'Supply planning data'!E374</f>
        <v>No</v>
      </c>
      <c r="D376" s="92">
        <f>'Supply planning data'!F374</f>
        <v>0</v>
      </c>
      <c r="E376" s="316">
        <f>'Supply planning data'!G374</f>
        <v>0</v>
      </c>
      <c r="F376" s="317">
        <f>'Supply planning data'!H374</f>
        <v>0</v>
      </c>
      <c r="G376" s="317">
        <f>'Supply planning data'!I374</f>
        <v>0</v>
      </c>
      <c r="H376" s="98">
        <f>'Supply planning data'!J374</f>
        <v>0</v>
      </c>
      <c r="I376" s="317">
        <f>'Supply planning data'!K374</f>
        <v>0</v>
      </c>
      <c r="J376" s="175" t="str">
        <f>'Supply planning data'!L374</f>
        <v/>
      </c>
      <c r="K376" s="98">
        <f>'Supply planning data'!M374</f>
        <v>0</v>
      </c>
      <c r="L376" s="317">
        <f>'Supply planning data'!N374+'Supply planning data'!P374</f>
        <v>0</v>
      </c>
      <c r="M376" s="339">
        <f>'Supply planning data'!O374</f>
        <v>0</v>
      </c>
      <c r="N376" s="317">
        <f>'Supply planning data'!P374</f>
        <v>0</v>
      </c>
      <c r="O376" s="339">
        <f>'Supply planning data'!Q374</f>
        <v>0</v>
      </c>
      <c r="P376" s="98">
        <f>'Supply planning data'!R374</f>
        <v>0</v>
      </c>
      <c r="Q376" s="98">
        <f>'Supply planning data'!S374</f>
        <v>0</v>
      </c>
      <c r="R376" s="98">
        <f>'Supply planning data'!T374</f>
        <v>0</v>
      </c>
      <c r="S376" s="98">
        <f>'Supply planning data'!U374</f>
        <v>0</v>
      </c>
      <c r="T376" s="98">
        <f>'Supply planning data'!V374</f>
        <v>0</v>
      </c>
      <c r="U376" s="325" t="str">
        <f>'Supply planning data'!W374</f>
        <v/>
      </c>
      <c r="V376" s="98">
        <f>'Supply planning data'!X374</f>
        <v>0</v>
      </c>
      <c r="W376" s="317">
        <f>'Supply planning data'!Y374</f>
        <v>0</v>
      </c>
      <c r="X376" s="328">
        <f>'Supply planning data'!Z374</f>
        <v>0</v>
      </c>
      <c r="Y376" s="98">
        <f>'Supply planning data'!AA374</f>
        <v>0</v>
      </c>
      <c r="Z376" s="98">
        <f>'Supply planning data'!AB374</f>
        <v>0</v>
      </c>
      <c r="AA376" s="98">
        <f>'Supply planning data'!AC374</f>
        <v>0</v>
      </c>
      <c r="AB376" s="98">
        <f>'Supply planning data'!AD374</f>
        <v>0</v>
      </c>
      <c r="AC376" s="98">
        <f>'Supply planning data'!AE374</f>
        <v>0</v>
      </c>
      <c r="AD376" s="325" t="str">
        <f>'Supply planning data'!AF374</f>
        <v/>
      </c>
      <c r="AE376" s="98">
        <f>'Supply planning data'!AG374</f>
        <v>0</v>
      </c>
      <c r="AF376" s="317">
        <f>'Supply planning data'!AH374</f>
        <v>0</v>
      </c>
      <c r="AG376" s="175">
        <f>'Supply planning data'!AI374</f>
        <v>0</v>
      </c>
      <c r="AH376" s="98">
        <f>'Supply planning data'!AJ374</f>
        <v>0</v>
      </c>
      <c r="AI376" s="98">
        <f>'Supply planning data'!AK374</f>
        <v>0</v>
      </c>
      <c r="AJ376" s="98">
        <f>'Supply planning data'!AL374</f>
        <v>0</v>
      </c>
      <c r="AK376" s="98">
        <f>'Supply planning data'!AM374</f>
        <v>0</v>
      </c>
      <c r="AL376" s="98">
        <f>'Supply planning data'!AN374</f>
        <v>0</v>
      </c>
      <c r="AM376" s="325" t="str">
        <f>'Supply planning data'!AO374</f>
        <v/>
      </c>
    </row>
    <row r="377" spans="1:39" hidden="1" x14ac:dyDescent="0.25">
      <c r="A377" s="90" t="str">
        <f>'Supply planning data'!C375</f>
        <v/>
      </c>
      <c r="B377" s="296">
        <f>'Supply planning data'!D375</f>
        <v>44927</v>
      </c>
      <c r="C377" s="92" t="str">
        <f>'Supply planning data'!E375</f>
        <v>No</v>
      </c>
      <c r="D377" s="92">
        <f>'Supply planning data'!F375</f>
        <v>0</v>
      </c>
      <c r="E377" s="316">
        <f>'Supply planning data'!G375</f>
        <v>0</v>
      </c>
      <c r="F377" s="317">
        <f>'Supply planning data'!H375</f>
        <v>0</v>
      </c>
      <c r="G377" s="317">
        <f>'Supply planning data'!I375</f>
        <v>0</v>
      </c>
      <c r="H377" s="98">
        <f>'Supply planning data'!J375</f>
        <v>0</v>
      </c>
      <c r="I377" s="317">
        <f>'Supply planning data'!K375</f>
        <v>0</v>
      </c>
      <c r="J377" s="175" t="str">
        <f>'Supply planning data'!L375</f>
        <v/>
      </c>
      <c r="K377" s="98">
        <f>'Supply planning data'!M375</f>
        <v>0</v>
      </c>
      <c r="L377" s="317">
        <f>'Supply planning data'!N375+'Supply planning data'!P375</f>
        <v>0</v>
      </c>
      <c r="M377" s="339">
        <f>'Supply planning data'!O375</f>
        <v>0</v>
      </c>
      <c r="N377" s="317">
        <f>'Supply planning data'!P375</f>
        <v>0</v>
      </c>
      <c r="O377" s="339">
        <f>'Supply planning data'!Q375</f>
        <v>0</v>
      </c>
      <c r="P377" s="98">
        <f>'Supply planning data'!R375</f>
        <v>0</v>
      </c>
      <c r="Q377" s="98">
        <f>'Supply planning data'!S375</f>
        <v>0</v>
      </c>
      <c r="R377" s="98">
        <f>'Supply planning data'!T375</f>
        <v>0</v>
      </c>
      <c r="S377" s="98">
        <f>'Supply planning data'!U375</f>
        <v>0</v>
      </c>
      <c r="T377" s="98">
        <f>'Supply planning data'!V375</f>
        <v>0</v>
      </c>
      <c r="U377" s="325" t="str">
        <f>'Supply planning data'!W375</f>
        <v/>
      </c>
      <c r="V377" s="98">
        <f>'Supply planning data'!X375</f>
        <v>0</v>
      </c>
      <c r="W377" s="317">
        <f>'Supply planning data'!Y375</f>
        <v>0</v>
      </c>
      <c r="X377" s="328">
        <f>'Supply planning data'!Z375</f>
        <v>0</v>
      </c>
      <c r="Y377" s="98">
        <f>'Supply planning data'!AA375</f>
        <v>0</v>
      </c>
      <c r="Z377" s="98">
        <f>'Supply planning data'!AB375</f>
        <v>0</v>
      </c>
      <c r="AA377" s="98">
        <f>'Supply planning data'!AC375</f>
        <v>0</v>
      </c>
      <c r="AB377" s="98">
        <f>'Supply planning data'!AD375</f>
        <v>0</v>
      </c>
      <c r="AC377" s="98">
        <f>'Supply planning data'!AE375</f>
        <v>0</v>
      </c>
      <c r="AD377" s="325" t="str">
        <f>'Supply planning data'!AF375</f>
        <v/>
      </c>
      <c r="AE377" s="98">
        <f>'Supply planning data'!AG375</f>
        <v>0</v>
      </c>
      <c r="AF377" s="317">
        <f>'Supply planning data'!AH375</f>
        <v>0</v>
      </c>
      <c r="AG377" s="175">
        <f>'Supply planning data'!AI375</f>
        <v>0</v>
      </c>
      <c r="AH377" s="98">
        <f>'Supply planning data'!AJ375</f>
        <v>0</v>
      </c>
      <c r="AI377" s="98">
        <f>'Supply planning data'!AK375</f>
        <v>0</v>
      </c>
      <c r="AJ377" s="98">
        <f>'Supply planning data'!AL375</f>
        <v>0</v>
      </c>
      <c r="AK377" s="98">
        <f>'Supply planning data'!AM375</f>
        <v>0</v>
      </c>
      <c r="AL377" s="98">
        <f>'Supply planning data'!AN375</f>
        <v>0</v>
      </c>
      <c r="AM377" s="325" t="str">
        <f>'Supply planning data'!AO375</f>
        <v/>
      </c>
    </row>
    <row r="378" spans="1:39" hidden="1" x14ac:dyDescent="0.25">
      <c r="A378" s="90" t="str">
        <f>'Supply planning data'!C376</f>
        <v/>
      </c>
      <c r="B378" s="296">
        <f>'Supply planning data'!D376</f>
        <v>44927</v>
      </c>
      <c r="C378" s="92" t="str">
        <f>'Supply planning data'!E376</f>
        <v>No</v>
      </c>
      <c r="D378" s="92">
        <f>'Supply planning data'!F376</f>
        <v>0</v>
      </c>
      <c r="E378" s="316">
        <f>'Supply planning data'!G376</f>
        <v>0</v>
      </c>
      <c r="F378" s="317">
        <f>'Supply planning data'!H376</f>
        <v>0</v>
      </c>
      <c r="G378" s="317">
        <f>'Supply planning data'!I376</f>
        <v>0</v>
      </c>
      <c r="H378" s="98">
        <f>'Supply planning data'!J376</f>
        <v>0</v>
      </c>
      <c r="I378" s="317">
        <f>'Supply planning data'!K376</f>
        <v>0</v>
      </c>
      <c r="J378" s="175" t="str">
        <f>'Supply planning data'!L376</f>
        <v/>
      </c>
      <c r="K378" s="98">
        <f>'Supply planning data'!M376</f>
        <v>0</v>
      </c>
      <c r="L378" s="317">
        <f>'Supply planning data'!N376+'Supply planning data'!P376</f>
        <v>0</v>
      </c>
      <c r="M378" s="339">
        <f>'Supply planning data'!O376</f>
        <v>0</v>
      </c>
      <c r="N378" s="317">
        <f>'Supply planning data'!P376</f>
        <v>0</v>
      </c>
      <c r="O378" s="339">
        <f>'Supply planning data'!Q376</f>
        <v>0</v>
      </c>
      <c r="P378" s="98">
        <f>'Supply planning data'!R376</f>
        <v>0</v>
      </c>
      <c r="Q378" s="98">
        <f>'Supply planning data'!S376</f>
        <v>0</v>
      </c>
      <c r="R378" s="98">
        <f>'Supply planning data'!T376</f>
        <v>0</v>
      </c>
      <c r="S378" s="98">
        <f>'Supply planning data'!U376</f>
        <v>0</v>
      </c>
      <c r="T378" s="98">
        <f>'Supply planning data'!V376</f>
        <v>0</v>
      </c>
      <c r="U378" s="325" t="str">
        <f>'Supply planning data'!W376</f>
        <v/>
      </c>
      <c r="V378" s="98">
        <f>'Supply planning data'!X376</f>
        <v>0</v>
      </c>
      <c r="W378" s="317">
        <f>'Supply planning data'!Y376</f>
        <v>0</v>
      </c>
      <c r="X378" s="328">
        <f>'Supply planning data'!Z376</f>
        <v>0</v>
      </c>
      <c r="Y378" s="98">
        <f>'Supply planning data'!AA376</f>
        <v>0</v>
      </c>
      <c r="Z378" s="98">
        <f>'Supply planning data'!AB376</f>
        <v>0</v>
      </c>
      <c r="AA378" s="98">
        <f>'Supply planning data'!AC376</f>
        <v>0</v>
      </c>
      <c r="AB378" s="98">
        <f>'Supply planning data'!AD376</f>
        <v>0</v>
      </c>
      <c r="AC378" s="98">
        <f>'Supply planning data'!AE376</f>
        <v>0</v>
      </c>
      <c r="AD378" s="325" t="str">
        <f>'Supply planning data'!AF376</f>
        <v/>
      </c>
      <c r="AE378" s="98">
        <f>'Supply planning data'!AG376</f>
        <v>0</v>
      </c>
      <c r="AF378" s="317">
        <f>'Supply planning data'!AH376</f>
        <v>0</v>
      </c>
      <c r="AG378" s="175">
        <f>'Supply planning data'!AI376</f>
        <v>0</v>
      </c>
      <c r="AH378" s="98">
        <f>'Supply planning data'!AJ376</f>
        <v>0</v>
      </c>
      <c r="AI378" s="98">
        <f>'Supply planning data'!AK376</f>
        <v>0</v>
      </c>
      <c r="AJ378" s="98">
        <f>'Supply planning data'!AL376</f>
        <v>0</v>
      </c>
      <c r="AK378" s="98">
        <f>'Supply planning data'!AM376</f>
        <v>0</v>
      </c>
      <c r="AL378" s="98">
        <f>'Supply planning data'!AN376</f>
        <v>0</v>
      </c>
      <c r="AM378" s="325" t="str">
        <f>'Supply planning data'!AO376</f>
        <v/>
      </c>
    </row>
    <row r="379" spans="1:39" hidden="1" x14ac:dyDescent="0.25">
      <c r="A379" s="90" t="str">
        <f>'Supply planning data'!C377</f>
        <v/>
      </c>
      <c r="B379" s="296">
        <f>'Supply planning data'!D377</f>
        <v>44927</v>
      </c>
      <c r="C379" s="92" t="str">
        <f>'Supply planning data'!E377</f>
        <v>No</v>
      </c>
      <c r="D379" s="92">
        <f>'Supply planning data'!F377</f>
        <v>0</v>
      </c>
      <c r="E379" s="316">
        <f>'Supply planning data'!G377</f>
        <v>0</v>
      </c>
      <c r="F379" s="317">
        <f>'Supply planning data'!H377</f>
        <v>0</v>
      </c>
      <c r="G379" s="317">
        <f>'Supply planning data'!I377</f>
        <v>0</v>
      </c>
      <c r="H379" s="98">
        <f>'Supply planning data'!J377</f>
        <v>0</v>
      </c>
      <c r="I379" s="317">
        <f>'Supply planning data'!K377</f>
        <v>0</v>
      </c>
      <c r="J379" s="175" t="str">
        <f>'Supply planning data'!L377</f>
        <v/>
      </c>
      <c r="K379" s="98">
        <f>'Supply planning data'!M377</f>
        <v>0</v>
      </c>
      <c r="L379" s="317">
        <f>'Supply planning data'!N377+'Supply planning data'!P377</f>
        <v>0</v>
      </c>
      <c r="M379" s="339">
        <f>'Supply planning data'!O377</f>
        <v>0</v>
      </c>
      <c r="N379" s="317">
        <f>'Supply planning data'!P377</f>
        <v>0</v>
      </c>
      <c r="O379" s="339">
        <f>'Supply planning data'!Q377</f>
        <v>0</v>
      </c>
      <c r="P379" s="98">
        <f>'Supply planning data'!R377</f>
        <v>0</v>
      </c>
      <c r="Q379" s="98">
        <f>'Supply planning data'!S377</f>
        <v>0</v>
      </c>
      <c r="R379" s="98">
        <f>'Supply planning data'!T377</f>
        <v>0</v>
      </c>
      <c r="S379" s="98">
        <f>'Supply planning data'!U377</f>
        <v>0</v>
      </c>
      <c r="T379" s="98">
        <f>'Supply planning data'!V377</f>
        <v>0</v>
      </c>
      <c r="U379" s="325" t="str">
        <f>'Supply planning data'!W377</f>
        <v/>
      </c>
      <c r="V379" s="98">
        <f>'Supply planning data'!X377</f>
        <v>0</v>
      </c>
      <c r="W379" s="317">
        <f>'Supply planning data'!Y377</f>
        <v>0</v>
      </c>
      <c r="X379" s="328">
        <f>'Supply planning data'!Z377</f>
        <v>0</v>
      </c>
      <c r="Y379" s="98">
        <f>'Supply planning data'!AA377</f>
        <v>0</v>
      </c>
      <c r="Z379" s="98">
        <f>'Supply planning data'!AB377</f>
        <v>0</v>
      </c>
      <c r="AA379" s="98">
        <f>'Supply planning data'!AC377</f>
        <v>0</v>
      </c>
      <c r="AB379" s="98">
        <f>'Supply planning data'!AD377</f>
        <v>0</v>
      </c>
      <c r="AC379" s="98">
        <f>'Supply planning data'!AE377</f>
        <v>0</v>
      </c>
      <c r="AD379" s="325" t="str">
        <f>'Supply planning data'!AF377</f>
        <v/>
      </c>
      <c r="AE379" s="98">
        <f>'Supply planning data'!AG377</f>
        <v>0</v>
      </c>
      <c r="AF379" s="317">
        <f>'Supply planning data'!AH377</f>
        <v>0</v>
      </c>
      <c r="AG379" s="175">
        <f>'Supply planning data'!AI377</f>
        <v>0</v>
      </c>
      <c r="AH379" s="98">
        <f>'Supply planning data'!AJ377</f>
        <v>0</v>
      </c>
      <c r="AI379" s="98">
        <f>'Supply planning data'!AK377</f>
        <v>0</v>
      </c>
      <c r="AJ379" s="98">
        <f>'Supply planning data'!AL377</f>
        <v>0</v>
      </c>
      <c r="AK379" s="98">
        <f>'Supply planning data'!AM377</f>
        <v>0</v>
      </c>
      <c r="AL379" s="98">
        <f>'Supply planning data'!AN377</f>
        <v>0</v>
      </c>
      <c r="AM379" s="325" t="str">
        <f>'Supply planning data'!AO377</f>
        <v/>
      </c>
    </row>
    <row r="380" spans="1:39" hidden="1" x14ac:dyDescent="0.25">
      <c r="A380" s="90" t="str">
        <f>'Supply planning data'!C378</f>
        <v/>
      </c>
      <c r="B380" s="296">
        <f>'Supply planning data'!D378</f>
        <v>44927</v>
      </c>
      <c r="C380" s="92" t="str">
        <f>'Supply planning data'!E378</f>
        <v>No</v>
      </c>
      <c r="D380" s="92">
        <f>'Supply planning data'!F378</f>
        <v>0</v>
      </c>
      <c r="E380" s="316">
        <f>'Supply planning data'!G378</f>
        <v>0</v>
      </c>
      <c r="F380" s="317">
        <f>'Supply planning data'!H378</f>
        <v>0</v>
      </c>
      <c r="G380" s="317">
        <f>'Supply planning data'!I378</f>
        <v>0</v>
      </c>
      <c r="H380" s="98">
        <f>'Supply planning data'!J378</f>
        <v>0</v>
      </c>
      <c r="I380" s="317">
        <f>'Supply planning data'!K378</f>
        <v>0</v>
      </c>
      <c r="J380" s="175" t="str">
        <f>'Supply planning data'!L378</f>
        <v/>
      </c>
      <c r="K380" s="98">
        <f>'Supply planning data'!M378</f>
        <v>0</v>
      </c>
      <c r="L380" s="317">
        <f>'Supply planning data'!N378+'Supply planning data'!P378</f>
        <v>0</v>
      </c>
      <c r="M380" s="339">
        <f>'Supply planning data'!O378</f>
        <v>0</v>
      </c>
      <c r="N380" s="317">
        <f>'Supply planning data'!P378</f>
        <v>0</v>
      </c>
      <c r="O380" s="339">
        <f>'Supply planning data'!Q378</f>
        <v>0</v>
      </c>
      <c r="P380" s="98">
        <f>'Supply planning data'!R378</f>
        <v>0</v>
      </c>
      <c r="Q380" s="98">
        <f>'Supply planning data'!S378</f>
        <v>0</v>
      </c>
      <c r="R380" s="98">
        <f>'Supply planning data'!T378</f>
        <v>0</v>
      </c>
      <c r="S380" s="98">
        <f>'Supply planning data'!U378</f>
        <v>0</v>
      </c>
      <c r="T380" s="98">
        <f>'Supply planning data'!V378</f>
        <v>0</v>
      </c>
      <c r="U380" s="325" t="str">
        <f>'Supply planning data'!W378</f>
        <v/>
      </c>
      <c r="V380" s="98">
        <f>'Supply planning data'!X378</f>
        <v>0</v>
      </c>
      <c r="W380" s="317">
        <f>'Supply planning data'!Y378</f>
        <v>0</v>
      </c>
      <c r="X380" s="328">
        <f>'Supply planning data'!Z378</f>
        <v>0</v>
      </c>
      <c r="Y380" s="98">
        <f>'Supply planning data'!AA378</f>
        <v>0</v>
      </c>
      <c r="Z380" s="98">
        <f>'Supply planning data'!AB378</f>
        <v>0</v>
      </c>
      <c r="AA380" s="98">
        <f>'Supply planning data'!AC378</f>
        <v>0</v>
      </c>
      <c r="AB380" s="98">
        <f>'Supply planning data'!AD378</f>
        <v>0</v>
      </c>
      <c r="AC380" s="98">
        <f>'Supply planning data'!AE378</f>
        <v>0</v>
      </c>
      <c r="AD380" s="325" t="str">
        <f>'Supply planning data'!AF378</f>
        <v/>
      </c>
      <c r="AE380" s="98">
        <f>'Supply planning data'!AG378</f>
        <v>0</v>
      </c>
      <c r="AF380" s="317">
        <f>'Supply planning data'!AH378</f>
        <v>0</v>
      </c>
      <c r="AG380" s="175">
        <f>'Supply planning data'!AI378</f>
        <v>0</v>
      </c>
      <c r="AH380" s="98">
        <f>'Supply planning data'!AJ378</f>
        <v>0</v>
      </c>
      <c r="AI380" s="98">
        <f>'Supply planning data'!AK378</f>
        <v>0</v>
      </c>
      <c r="AJ380" s="98">
        <f>'Supply planning data'!AL378</f>
        <v>0</v>
      </c>
      <c r="AK380" s="98">
        <f>'Supply planning data'!AM378</f>
        <v>0</v>
      </c>
      <c r="AL380" s="98">
        <f>'Supply planning data'!AN378</f>
        <v>0</v>
      </c>
      <c r="AM380" s="325" t="str">
        <f>'Supply planning data'!AO378</f>
        <v/>
      </c>
    </row>
    <row r="381" spans="1:39" hidden="1" x14ac:dyDescent="0.25">
      <c r="A381" s="90" t="str">
        <f>'Supply planning data'!C379</f>
        <v/>
      </c>
      <c r="B381" s="296">
        <f>'Supply planning data'!D379</f>
        <v>44927</v>
      </c>
      <c r="C381" s="92" t="str">
        <f>'Supply planning data'!E379</f>
        <v>No</v>
      </c>
      <c r="D381" s="92">
        <f>'Supply planning data'!F379</f>
        <v>0</v>
      </c>
      <c r="E381" s="316">
        <f>'Supply planning data'!G379</f>
        <v>0</v>
      </c>
      <c r="F381" s="317">
        <f>'Supply planning data'!H379</f>
        <v>0</v>
      </c>
      <c r="G381" s="317">
        <f>'Supply planning data'!I379</f>
        <v>0</v>
      </c>
      <c r="H381" s="98">
        <f>'Supply planning data'!J379</f>
        <v>0</v>
      </c>
      <c r="I381" s="317">
        <f>'Supply planning data'!K379</f>
        <v>0</v>
      </c>
      <c r="J381" s="175" t="str">
        <f>'Supply planning data'!L379</f>
        <v/>
      </c>
      <c r="K381" s="98">
        <f>'Supply planning data'!M379</f>
        <v>0</v>
      </c>
      <c r="L381" s="317">
        <f>'Supply planning data'!N379+'Supply planning data'!P379</f>
        <v>0</v>
      </c>
      <c r="M381" s="339">
        <f>'Supply planning data'!O379</f>
        <v>0</v>
      </c>
      <c r="N381" s="317">
        <f>'Supply planning data'!P379</f>
        <v>0</v>
      </c>
      <c r="O381" s="339">
        <f>'Supply planning data'!Q379</f>
        <v>0</v>
      </c>
      <c r="P381" s="98">
        <f>'Supply planning data'!R379</f>
        <v>0</v>
      </c>
      <c r="Q381" s="98">
        <f>'Supply planning data'!S379</f>
        <v>0</v>
      </c>
      <c r="R381" s="98">
        <f>'Supply planning data'!T379</f>
        <v>0</v>
      </c>
      <c r="S381" s="98">
        <f>'Supply planning data'!U379</f>
        <v>0</v>
      </c>
      <c r="T381" s="98">
        <f>'Supply planning data'!V379</f>
        <v>0</v>
      </c>
      <c r="U381" s="325" t="str">
        <f>'Supply planning data'!W379</f>
        <v/>
      </c>
      <c r="V381" s="98">
        <f>'Supply planning data'!X379</f>
        <v>0</v>
      </c>
      <c r="W381" s="317">
        <f>'Supply planning data'!Y379</f>
        <v>0</v>
      </c>
      <c r="X381" s="328">
        <f>'Supply planning data'!Z379</f>
        <v>0</v>
      </c>
      <c r="Y381" s="98">
        <f>'Supply planning data'!AA379</f>
        <v>0</v>
      </c>
      <c r="Z381" s="98">
        <f>'Supply planning data'!AB379</f>
        <v>0</v>
      </c>
      <c r="AA381" s="98">
        <f>'Supply planning data'!AC379</f>
        <v>0</v>
      </c>
      <c r="AB381" s="98">
        <f>'Supply planning data'!AD379</f>
        <v>0</v>
      </c>
      <c r="AC381" s="98">
        <f>'Supply planning data'!AE379</f>
        <v>0</v>
      </c>
      <c r="AD381" s="325" t="str">
        <f>'Supply planning data'!AF379</f>
        <v/>
      </c>
      <c r="AE381" s="98">
        <f>'Supply planning data'!AG379</f>
        <v>0</v>
      </c>
      <c r="AF381" s="317">
        <f>'Supply planning data'!AH379</f>
        <v>0</v>
      </c>
      <c r="AG381" s="175">
        <f>'Supply planning data'!AI379</f>
        <v>0</v>
      </c>
      <c r="AH381" s="98">
        <f>'Supply planning data'!AJ379</f>
        <v>0</v>
      </c>
      <c r="AI381" s="98">
        <f>'Supply planning data'!AK379</f>
        <v>0</v>
      </c>
      <c r="AJ381" s="98">
        <f>'Supply planning data'!AL379</f>
        <v>0</v>
      </c>
      <c r="AK381" s="98">
        <f>'Supply planning data'!AM379</f>
        <v>0</v>
      </c>
      <c r="AL381" s="98">
        <f>'Supply planning data'!AN379</f>
        <v>0</v>
      </c>
      <c r="AM381" s="325" t="str">
        <f>'Supply planning data'!AO379</f>
        <v/>
      </c>
    </row>
    <row r="382" spans="1:39" x14ac:dyDescent="0.25">
      <c r="A382" s="104" t="str">
        <f>'Supply planning data'!C380</f>
        <v>AstraZeneca</v>
      </c>
      <c r="B382" s="298">
        <f>'Supply planning data'!D380</f>
        <v>44958</v>
      </c>
      <c r="C382" s="105" t="str">
        <f>'Supply planning data'!E380</f>
        <v>Yes</v>
      </c>
      <c r="D382" s="105">
        <f>'Supply planning data'!F380</f>
        <v>0</v>
      </c>
      <c r="E382" s="320">
        <f>'Supply planning data'!G380</f>
        <v>0</v>
      </c>
      <c r="F382" s="320">
        <f>'Supply planning data'!H380</f>
        <v>0</v>
      </c>
      <c r="G382" s="320">
        <f>'Supply planning data'!I380</f>
        <v>0</v>
      </c>
      <c r="H382" s="105">
        <f>'Supply planning data'!J380</f>
        <v>0</v>
      </c>
      <c r="I382" s="320">
        <f>'Supply planning data'!K380</f>
        <v>0</v>
      </c>
      <c r="J382" s="177" t="str">
        <f>'Supply planning data'!L380</f>
        <v/>
      </c>
      <c r="K382" s="105">
        <f>'Supply planning data'!M380</f>
        <v>0</v>
      </c>
      <c r="L382" s="320">
        <f>'Supply planning data'!N380+'Supply planning data'!P380</f>
        <v>0</v>
      </c>
      <c r="M382" s="341">
        <f>'Supply planning data'!O380</f>
        <v>0</v>
      </c>
      <c r="N382" s="320">
        <f>'Supply planning data'!P380</f>
        <v>0</v>
      </c>
      <c r="O382" s="341">
        <f>'Supply planning data'!Q380</f>
        <v>0</v>
      </c>
      <c r="P382" s="105">
        <f>'Supply planning data'!R380</f>
        <v>0</v>
      </c>
      <c r="Q382" s="105">
        <f>'Supply planning data'!S380</f>
        <v>0</v>
      </c>
      <c r="R382" s="105">
        <f>'Supply planning data'!T380</f>
        <v>0</v>
      </c>
      <c r="S382" s="105">
        <f>'Supply planning data'!U380</f>
        <v>0</v>
      </c>
      <c r="T382" s="105">
        <f>'Supply planning data'!V380</f>
        <v>0</v>
      </c>
      <c r="U382" s="326" t="str">
        <f>'Supply planning data'!W380</f>
        <v/>
      </c>
      <c r="V382" s="105">
        <f>'Supply planning data'!X380</f>
        <v>154701</v>
      </c>
      <c r="W382" s="320">
        <f>'Supply planning data'!Y380</f>
        <v>0</v>
      </c>
      <c r="X382" s="329">
        <f>'Supply planning data'!Z380</f>
        <v>0</v>
      </c>
      <c r="Y382" s="105">
        <f>'Supply planning data'!AA380</f>
        <v>0</v>
      </c>
      <c r="Z382" s="105">
        <f>'Supply planning data'!AB380</f>
        <v>0</v>
      </c>
      <c r="AA382" s="105">
        <f>'Supply planning data'!AC380</f>
        <v>0</v>
      </c>
      <c r="AB382" s="105">
        <f>'Supply planning data'!AD380</f>
        <v>0</v>
      </c>
      <c r="AC382" s="105">
        <f>'Supply planning data'!AE380</f>
        <v>154701</v>
      </c>
      <c r="AD382" s="326" t="str">
        <f>'Supply planning data'!AF380</f>
        <v/>
      </c>
      <c r="AE382" s="105">
        <f>'Supply planning data'!AG380</f>
        <v>0</v>
      </c>
      <c r="AF382" s="320">
        <f>'Supply planning data'!AH380</f>
        <v>0</v>
      </c>
      <c r="AG382" s="177">
        <f>'Supply planning data'!AI380</f>
        <v>0</v>
      </c>
      <c r="AH382" s="105">
        <f>'Supply planning data'!AJ380</f>
        <v>0</v>
      </c>
      <c r="AI382" s="105">
        <f>'Supply planning data'!AK380</f>
        <v>0</v>
      </c>
      <c r="AJ382" s="105">
        <f>'Supply planning data'!AL380</f>
        <v>0</v>
      </c>
      <c r="AK382" s="105">
        <f>'Supply planning data'!AM380</f>
        <v>0</v>
      </c>
      <c r="AL382" s="105">
        <f>'Supply planning data'!AN380</f>
        <v>0</v>
      </c>
      <c r="AM382" s="326" t="str">
        <f>'Supply planning data'!AO380</f>
        <v/>
      </c>
    </row>
    <row r="383" spans="1:39" x14ac:dyDescent="0.25">
      <c r="A383" s="109" t="str">
        <f>'Supply planning data'!C381</f>
        <v>Jansen</v>
      </c>
      <c r="B383" s="298">
        <f>'Supply planning data'!D381</f>
        <v>44958</v>
      </c>
      <c r="C383" s="105" t="str">
        <f>'Supply planning data'!E381</f>
        <v>Yes</v>
      </c>
      <c r="D383" s="105">
        <f>'Supply planning data'!F381</f>
        <v>2258747</v>
      </c>
      <c r="E383" s="320">
        <f>'Supply planning data'!G381</f>
        <v>0</v>
      </c>
      <c r="F383" s="320">
        <f>'Supply planning data'!H381</f>
        <v>0</v>
      </c>
      <c r="G383" s="320">
        <f>'Supply planning data'!I381</f>
        <v>0</v>
      </c>
      <c r="H383" s="105">
        <f>'Supply planning data'!J381</f>
        <v>0</v>
      </c>
      <c r="I383" s="320">
        <f>'Supply planning data'!K381</f>
        <v>0</v>
      </c>
      <c r="J383" s="177" t="str">
        <f>'Supply planning data'!L381</f>
        <v/>
      </c>
      <c r="K383" s="105">
        <f>'Supply planning data'!M381</f>
        <v>0</v>
      </c>
      <c r="L383" s="321">
        <f>'Supply planning data'!N381+'Supply planning data'!P381</f>
        <v>0</v>
      </c>
      <c r="M383" s="342">
        <f>'Supply planning data'!O381</f>
        <v>0</v>
      </c>
      <c r="N383" s="321">
        <f>'Supply planning data'!P381</f>
        <v>0</v>
      </c>
      <c r="O383" s="342">
        <f>'Supply planning data'!Q381</f>
        <v>0</v>
      </c>
      <c r="P383" s="111">
        <f>'Supply planning data'!R381</f>
        <v>0</v>
      </c>
      <c r="Q383" s="111">
        <f>'Supply planning data'!S381</f>
        <v>0</v>
      </c>
      <c r="R383" s="111">
        <f>'Supply planning data'!T381</f>
        <v>0</v>
      </c>
      <c r="S383" s="111">
        <f>'Supply planning data'!U381</f>
        <v>0</v>
      </c>
      <c r="T383" s="111">
        <f>'Supply planning data'!V381</f>
        <v>2258747</v>
      </c>
      <c r="U383" s="327" t="str">
        <f>'Supply planning data'!W381</f>
        <v/>
      </c>
      <c r="V383" s="111">
        <f>'Supply planning data'!X381</f>
        <v>1698747</v>
      </c>
      <c r="W383" s="321">
        <f>'Supply planning data'!Y381</f>
        <v>0</v>
      </c>
      <c r="X383" s="329">
        <f>'Supply planning data'!Z381</f>
        <v>0</v>
      </c>
      <c r="Y383" s="111">
        <f>'Supply planning data'!AA381</f>
        <v>0</v>
      </c>
      <c r="Z383" s="111">
        <f>'Supply planning data'!AB381</f>
        <v>0</v>
      </c>
      <c r="AA383" s="111">
        <f>'Supply planning data'!AC381</f>
        <v>0</v>
      </c>
      <c r="AB383" s="111">
        <f>'Supply planning data'!AD381</f>
        <v>0</v>
      </c>
      <c r="AC383" s="111">
        <f>'Supply planning data'!AE381</f>
        <v>1698747</v>
      </c>
      <c r="AD383" s="327" t="str">
        <f>'Supply planning data'!AF381</f>
        <v/>
      </c>
      <c r="AE383" s="111">
        <f>'Supply planning data'!AG381</f>
        <v>2258747</v>
      </c>
      <c r="AF383" s="321">
        <f>'Supply planning data'!AH381</f>
        <v>0</v>
      </c>
      <c r="AG383" s="349">
        <f>'Supply planning data'!AI381</f>
        <v>0</v>
      </c>
      <c r="AH383" s="111">
        <f>'Supply planning data'!AJ381</f>
        <v>0</v>
      </c>
      <c r="AI383" s="111">
        <f>'Supply planning data'!AK381</f>
        <v>0</v>
      </c>
      <c r="AJ383" s="111">
        <f>'Supply planning data'!AL381</f>
        <v>0</v>
      </c>
      <c r="AK383" s="111">
        <f>'Supply planning data'!AM381</f>
        <v>0</v>
      </c>
      <c r="AL383" s="111">
        <f>'Supply planning data'!AN381</f>
        <v>2258747</v>
      </c>
      <c r="AM383" s="327" t="str">
        <f>'Supply planning data'!AO381</f>
        <v/>
      </c>
    </row>
    <row r="384" spans="1:39" x14ac:dyDescent="0.25">
      <c r="A384" s="104" t="str">
        <f>'Supply planning data'!C382</f>
        <v>Moderna</v>
      </c>
      <c r="B384" s="298">
        <f>'Supply planning data'!D382</f>
        <v>44958</v>
      </c>
      <c r="C384" s="105" t="str">
        <f>'Supply planning data'!E382</f>
        <v>No</v>
      </c>
      <c r="D384" s="105">
        <f>'Supply planning data'!F382</f>
        <v>0</v>
      </c>
      <c r="E384" s="320">
        <f>'Supply planning data'!G382</f>
        <v>0</v>
      </c>
      <c r="F384" s="320">
        <f>'Supply planning data'!H382</f>
        <v>0</v>
      </c>
      <c r="G384" s="320">
        <f>'Supply planning data'!I382</f>
        <v>0</v>
      </c>
      <c r="H384" s="105">
        <f>'Supply planning data'!J382</f>
        <v>0</v>
      </c>
      <c r="I384" s="320">
        <f>'Supply planning data'!K382</f>
        <v>0</v>
      </c>
      <c r="J384" s="177" t="str">
        <f>'Supply planning data'!L382</f>
        <v/>
      </c>
      <c r="K384" s="105">
        <f>'Supply planning data'!M382</f>
        <v>0</v>
      </c>
      <c r="L384" s="321">
        <f>'Supply planning data'!N382+'Supply planning data'!P382</f>
        <v>0</v>
      </c>
      <c r="M384" s="342">
        <f>'Supply planning data'!O382</f>
        <v>0</v>
      </c>
      <c r="N384" s="321">
        <f>'Supply planning data'!P382</f>
        <v>0</v>
      </c>
      <c r="O384" s="342">
        <f>'Supply planning data'!Q382</f>
        <v>0</v>
      </c>
      <c r="P384" s="111">
        <f>'Supply planning data'!R382</f>
        <v>0</v>
      </c>
      <c r="Q384" s="111">
        <f>'Supply planning data'!S382</f>
        <v>0</v>
      </c>
      <c r="R384" s="111">
        <f>'Supply planning data'!T382</f>
        <v>0</v>
      </c>
      <c r="S384" s="111">
        <f>'Supply planning data'!U382</f>
        <v>0</v>
      </c>
      <c r="T384" s="111">
        <f>'Supply planning data'!V382</f>
        <v>0</v>
      </c>
      <c r="U384" s="327" t="str">
        <f>'Supply planning data'!W382</f>
        <v/>
      </c>
      <c r="V384" s="111">
        <f>'Supply planning data'!X382</f>
        <v>0</v>
      </c>
      <c r="W384" s="321">
        <f>'Supply planning data'!Y382</f>
        <v>0</v>
      </c>
      <c r="X384" s="329">
        <f>'Supply planning data'!Z382</f>
        <v>0</v>
      </c>
      <c r="Y384" s="111">
        <f>'Supply planning data'!AA382</f>
        <v>0</v>
      </c>
      <c r="Z384" s="111">
        <f>'Supply planning data'!AB382</f>
        <v>0</v>
      </c>
      <c r="AA384" s="111">
        <f>'Supply planning data'!AC382</f>
        <v>0</v>
      </c>
      <c r="AB384" s="111">
        <f>'Supply planning data'!AD382</f>
        <v>0</v>
      </c>
      <c r="AC384" s="111">
        <f>'Supply planning data'!AE382</f>
        <v>0</v>
      </c>
      <c r="AD384" s="327" t="str">
        <f>'Supply planning data'!AF382</f>
        <v/>
      </c>
      <c r="AE384" s="111">
        <f>'Supply planning data'!AG382</f>
        <v>0</v>
      </c>
      <c r="AF384" s="321">
        <f>'Supply planning data'!AH382</f>
        <v>0</v>
      </c>
      <c r="AG384" s="349">
        <f>'Supply planning data'!AI382</f>
        <v>0</v>
      </c>
      <c r="AH384" s="111">
        <f>'Supply planning data'!AJ382</f>
        <v>0</v>
      </c>
      <c r="AI384" s="111">
        <f>'Supply planning data'!AK382</f>
        <v>0</v>
      </c>
      <c r="AJ384" s="111">
        <f>'Supply planning data'!AL382</f>
        <v>0</v>
      </c>
      <c r="AK384" s="111">
        <f>'Supply planning data'!AM382</f>
        <v>0</v>
      </c>
      <c r="AL384" s="111">
        <f>'Supply planning data'!AN382</f>
        <v>0</v>
      </c>
      <c r="AM384" s="327" t="str">
        <f>'Supply planning data'!AO382</f>
        <v/>
      </c>
    </row>
    <row r="385" spans="1:39" x14ac:dyDescent="0.25">
      <c r="A385" s="109" t="str">
        <f>'Supply planning data'!C383</f>
        <v>Pfizer</v>
      </c>
      <c r="B385" s="298">
        <f>'Supply planning data'!D383</f>
        <v>44958</v>
      </c>
      <c r="C385" s="105" t="str">
        <f>'Supply planning data'!E383</f>
        <v>Yes</v>
      </c>
      <c r="D385" s="105">
        <f>'Supply planning data'!F383</f>
        <v>3000000</v>
      </c>
      <c r="E385" s="320">
        <f>'Supply planning data'!G383</f>
        <v>0</v>
      </c>
      <c r="F385" s="320">
        <f>'Supply planning data'!H383</f>
        <v>0</v>
      </c>
      <c r="G385" s="320">
        <f>'Supply planning data'!I383</f>
        <v>0</v>
      </c>
      <c r="H385" s="105">
        <f>'Supply planning data'!J383</f>
        <v>0</v>
      </c>
      <c r="I385" s="320">
        <f>'Supply planning data'!K383</f>
        <v>0</v>
      </c>
      <c r="J385" s="177" t="str">
        <f>'Supply planning data'!L383</f>
        <v/>
      </c>
      <c r="K385" s="105">
        <f>'Supply planning data'!M383</f>
        <v>0</v>
      </c>
      <c r="L385" s="321">
        <f>'Supply planning data'!N383+'Supply planning data'!P383</f>
        <v>0</v>
      </c>
      <c r="M385" s="342">
        <f>'Supply planning data'!O383</f>
        <v>0</v>
      </c>
      <c r="N385" s="321">
        <f>'Supply planning data'!P383</f>
        <v>0</v>
      </c>
      <c r="O385" s="342">
        <f>'Supply planning data'!Q383</f>
        <v>0</v>
      </c>
      <c r="P385" s="111">
        <f>'Supply planning data'!R383</f>
        <v>0</v>
      </c>
      <c r="Q385" s="111">
        <f>'Supply planning data'!S383</f>
        <v>0</v>
      </c>
      <c r="R385" s="111">
        <f>'Supply planning data'!T383</f>
        <v>110538</v>
      </c>
      <c r="S385" s="111">
        <f>'Supply planning data'!U383</f>
        <v>0</v>
      </c>
      <c r="T385" s="111">
        <f>'Supply planning data'!V383</f>
        <v>3000000</v>
      </c>
      <c r="U385" s="327" t="str">
        <f>'Supply planning data'!W383</f>
        <v/>
      </c>
      <c r="V385" s="111">
        <f>'Supply planning data'!X383</f>
        <v>2440000</v>
      </c>
      <c r="W385" s="321">
        <f>'Supply planning data'!Y383</f>
        <v>0</v>
      </c>
      <c r="X385" s="329">
        <f>'Supply planning data'!Z383</f>
        <v>0</v>
      </c>
      <c r="Y385" s="111">
        <f>'Supply planning data'!AA383</f>
        <v>0</v>
      </c>
      <c r="Z385" s="111">
        <f>'Supply planning data'!AB383</f>
        <v>0</v>
      </c>
      <c r="AA385" s="111">
        <f>'Supply planning data'!AC383</f>
        <v>0</v>
      </c>
      <c r="AB385" s="111">
        <f>'Supply planning data'!AD383</f>
        <v>0</v>
      </c>
      <c r="AC385" s="111">
        <f>'Supply planning data'!AE383</f>
        <v>2440000</v>
      </c>
      <c r="AD385" s="327" t="str">
        <f>'Supply planning data'!AF383</f>
        <v/>
      </c>
      <c r="AE385" s="111">
        <f>'Supply planning data'!AG383</f>
        <v>3000000</v>
      </c>
      <c r="AF385" s="321">
        <f>'Supply planning data'!AH383</f>
        <v>0</v>
      </c>
      <c r="AG385" s="349">
        <f>'Supply planning data'!AI383</f>
        <v>0</v>
      </c>
      <c r="AH385" s="111">
        <f>'Supply planning data'!AJ383</f>
        <v>0</v>
      </c>
      <c r="AI385" s="111">
        <f>'Supply planning data'!AK383</f>
        <v>0</v>
      </c>
      <c r="AJ385" s="111">
        <f>'Supply planning data'!AL383</f>
        <v>110538</v>
      </c>
      <c r="AK385" s="111">
        <f>'Supply planning data'!AM383</f>
        <v>0</v>
      </c>
      <c r="AL385" s="111">
        <f>'Supply planning data'!AN383</f>
        <v>3000000</v>
      </c>
      <c r="AM385" s="327" t="str">
        <f>'Supply planning data'!AO383</f>
        <v/>
      </c>
    </row>
    <row r="386" spans="1:39" x14ac:dyDescent="0.25">
      <c r="A386" s="104" t="str">
        <f>'Supply planning data'!C384</f>
        <v>Sinovac</v>
      </c>
      <c r="B386" s="298">
        <f>'Supply planning data'!D384</f>
        <v>44958</v>
      </c>
      <c r="C386" s="105" t="str">
        <f>'Supply planning data'!E384</f>
        <v>No</v>
      </c>
      <c r="D386" s="105">
        <f>'Supply planning data'!F384</f>
        <v>0</v>
      </c>
      <c r="E386" s="320">
        <f>'Supply planning data'!G384</f>
        <v>0</v>
      </c>
      <c r="F386" s="320">
        <f>'Supply planning data'!H384</f>
        <v>0</v>
      </c>
      <c r="G386" s="320">
        <f>'Supply planning data'!I384</f>
        <v>0</v>
      </c>
      <c r="H386" s="105">
        <f>'Supply planning data'!J384</f>
        <v>0</v>
      </c>
      <c r="I386" s="320">
        <f>'Supply planning data'!K384</f>
        <v>0</v>
      </c>
      <c r="J386" s="177" t="str">
        <f>'Supply planning data'!L384</f>
        <v/>
      </c>
      <c r="K386" s="105">
        <f>'Supply planning data'!M384</f>
        <v>0</v>
      </c>
      <c r="L386" s="321">
        <f>'Supply planning data'!N384+'Supply planning data'!P384</f>
        <v>0</v>
      </c>
      <c r="M386" s="342">
        <f>'Supply planning data'!O384</f>
        <v>0</v>
      </c>
      <c r="N386" s="321">
        <f>'Supply planning data'!P384</f>
        <v>0</v>
      </c>
      <c r="O386" s="342">
        <f>'Supply planning data'!Q384</f>
        <v>0</v>
      </c>
      <c r="P386" s="111">
        <f>'Supply planning data'!R384</f>
        <v>0</v>
      </c>
      <c r="Q386" s="111">
        <f>'Supply planning data'!S384</f>
        <v>0</v>
      </c>
      <c r="R386" s="111">
        <f>'Supply planning data'!T384</f>
        <v>0</v>
      </c>
      <c r="S386" s="111">
        <f>'Supply planning data'!U384</f>
        <v>0</v>
      </c>
      <c r="T386" s="111">
        <f>'Supply planning data'!V384</f>
        <v>0</v>
      </c>
      <c r="U386" s="327" t="str">
        <f>'Supply planning data'!W384</f>
        <v/>
      </c>
      <c r="V386" s="111">
        <f>'Supply planning data'!X384</f>
        <v>0</v>
      </c>
      <c r="W386" s="321">
        <f>'Supply planning data'!Y384</f>
        <v>0</v>
      </c>
      <c r="X386" s="329">
        <f>'Supply planning data'!Z384</f>
        <v>0</v>
      </c>
      <c r="Y386" s="111">
        <f>'Supply planning data'!AA384</f>
        <v>0</v>
      </c>
      <c r="Z386" s="111">
        <f>'Supply planning data'!AB384</f>
        <v>0</v>
      </c>
      <c r="AA386" s="111">
        <f>'Supply planning data'!AC384</f>
        <v>0</v>
      </c>
      <c r="AB386" s="111">
        <f>'Supply planning data'!AD384</f>
        <v>0</v>
      </c>
      <c r="AC386" s="111">
        <f>'Supply planning data'!AE384</f>
        <v>0</v>
      </c>
      <c r="AD386" s="327" t="str">
        <f>'Supply planning data'!AF384</f>
        <v/>
      </c>
      <c r="AE386" s="111">
        <f>'Supply planning data'!AG384</f>
        <v>0</v>
      </c>
      <c r="AF386" s="321">
        <f>'Supply planning data'!AH384</f>
        <v>0</v>
      </c>
      <c r="AG386" s="349">
        <f>'Supply planning data'!AI384</f>
        <v>0</v>
      </c>
      <c r="AH386" s="111">
        <f>'Supply planning data'!AJ384</f>
        <v>0</v>
      </c>
      <c r="AI386" s="111">
        <f>'Supply planning data'!AK384</f>
        <v>0</v>
      </c>
      <c r="AJ386" s="111">
        <f>'Supply planning data'!AL384</f>
        <v>0</v>
      </c>
      <c r="AK386" s="111">
        <f>'Supply planning data'!AM384</f>
        <v>0</v>
      </c>
      <c r="AL386" s="111">
        <f>'Supply planning data'!AN384</f>
        <v>0</v>
      </c>
      <c r="AM386" s="327" t="str">
        <f>'Supply planning data'!AO384</f>
        <v/>
      </c>
    </row>
    <row r="387" spans="1:39" hidden="1" x14ac:dyDescent="0.25">
      <c r="A387" s="109" t="str">
        <f>'Supply planning data'!C385</f>
        <v/>
      </c>
      <c r="B387" s="298">
        <f>'Supply planning data'!D385</f>
        <v>44958</v>
      </c>
      <c r="C387" s="105" t="str">
        <f>'Supply planning data'!E385</f>
        <v>No</v>
      </c>
      <c r="D387" s="105">
        <f>'Supply planning data'!F385</f>
        <v>0</v>
      </c>
      <c r="E387" s="320">
        <f>'Supply planning data'!G385</f>
        <v>0</v>
      </c>
      <c r="F387" s="320">
        <f>'Supply planning data'!H385</f>
        <v>0</v>
      </c>
      <c r="G387" s="320">
        <f>'Supply planning data'!I385</f>
        <v>0</v>
      </c>
      <c r="H387" s="105">
        <f>'Supply planning data'!J385</f>
        <v>0</v>
      </c>
      <c r="I387" s="320">
        <f>'Supply planning data'!K385</f>
        <v>0</v>
      </c>
      <c r="J387" s="177" t="str">
        <f>'Supply planning data'!L385</f>
        <v/>
      </c>
      <c r="K387" s="105">
        <f>'Supply planning data'!M385</f>
        <v>0</v>
      </c>
      <c r="L387" s="321">
        <f>'Supply planning data'!N385+'Supply planning data'!P385</f>
        <v>0</v>
      </c>
      <c r="M387" s="342">
        <f>'Supply planning data'!O385</f>
        <v>0</v>
      </c>
      <c r="N387" s="321">
        <f>'Supply planning data'!P385</f>
        <v>0</v>
      </c>
      <c r="O387" s="342">
        <f>'Supply planning data'!Q385</f>
        <v>0</v>
      </c>
      <c r="P387" s="111">
        <f>'Supply planning data'!R385</f>
        <v>0</v>
      </c>
      <c r="Q387" s="111">
        <f>'Supply planning data'!S385</f>
        <v>0</v>
      </c>
      <c r="R387" s="111">
        <f>'Supply planning data'!T385</f>
        <v>0</v>
      </c>
      <c r="S387" s="111">
        <f>'Supply planning data'!U385</f>
        <v>0</v>
      </c>
      <c r="T387" s="111">
        <f>'Supply planning data'!V385</f>
        <v>0</v>
      </c>
      <c r="U387" s="327" t="str">
        <f>'Supply planning data'!W385</f>
        <v/>
      </c>
      <c r="V387" s="111">
        <f>'Supply planning data'!X385</f>
        <v>0</v>
      </c>
      <c r="W387" s="321">
        <f>'Supply planning data'!Y385</f>
        <v>0</v>
      </c>
      <c r="X387" s="329">
        <f>'Supply planning data'!Z385</f>
        <v>0</v>
      </c>
      <c r="Y387" s="111">
        <f>'Supply planning data'!AA385</f>
        <v>0</v>
      </c>
      <c r="Z387" s="111">
        <f>'Supply planning data'!AB385</f>
        <v>0</v>
      </c>
      <c r="AA387" s="111">
        <f>'Supply planning data'!AC385</f>
        <v>0</v>
      </c>
      <c r="AB387" s="111">
        <f>'Supply planning data'!AD385</f>
        <v>0</v>
      </c>
      <c r="AC387" s="111">
        <f>'Supply planning data'!AE385</f>
        <v>0</v>
      </c>
      <c r="AD387" s="327" t="str">
        <f>'Supply planning data'!AF385</f>
        <v/>
      </c>
      <c r="AE387" s="111">
        <f>'Supply planning data'!AG385</f>
        <v>0</v>
      </c>
      <c r="AF387" s="321">
        <f>'Supply planning data'!AH385</f>
        <v>0</v>
      </c>
      <c r="AG387" s="349">
        <f>'Supply planning data'!AI385</f>
        <v>0</v>
      </c>
      <c r="AH387" s="111">
        <f>'Supply planning data'!AJ385</f>
        <v>0</v>
      </c>
      <c r="AI387" s="111">
        <f>'Supply planning data'!AK385</f>
        <v>0</v>
      </c>
      <c r="AJ387" s="111">
        <f>'Supply planning data'!AL385</f>
        <v>0</v>
      </c>
      <c r="AK387" s="111">
        <f>'Supply planning data'!AM385</f>
        <v>0</v>
      </c>
      <c r="AL387" s="111">
        <f>'Supply planning data'!AN385</f>
        <v>0</v>
      </c>
      <c r="AM387" s="327" t="str">
        <f>'Supply planning data'!AO385</f>
        <v/>
      </c>
    </row>
    <row r="388" spans="1:39" hidden="1" x14ac:dyDescent="0.25">
      <c r="A388" s="104" t="str">
        <f>'Supply planning data'!C386</f>
        <v/>
      </c>
      <c r="B388" s="298">
        <f>'Supply planning data'!D386</f>
        <v>44958</v>
      </c>
      <c r="C388" s="105" t="str">
        <f>'Supply planning data'!E386</f>
        <v>No</v>
      </c>
      <c r="D388" s="105">
        <f>'Supply planning data'!F386</f>
        <v>0</v>
      </c>
      <c r="E388" s="320">
        <f>'Supply planning data'!G386</f>
        <v>0</v>
      </c>
      <c r="F388" s="320">
        <f>'Supply planning data'!H386</f>
        <v>0</v>
      </c>
      <c r="G388" s="320">
        <f>'Supply planning data'!I386</f>
        <v>0</v>
      </c>
      <c r="H388" s="105">
        <f>'Supply planning data'!J386</f>
        <v>0</v>
      </c>
      <c r="I388" s="320">
        <f>'Supply planning data'!K386</f>
        <v>0</v>
      </c>
      <c r="J388" s="177" t="str">
        <f>'Supply planning data'!L386</f>
        <v/>
      </c>
      <c r="K388" s="105">
        <f>'Supply planning data'!M386</f>
        <v>0</v>
      </c>
      <c r="L388" s="321">
        <f>'Supply planning data'!N386+'Supply planning data'!P386</f>
        <v>0</v>
      </c>
      <c r="M388" s="342">
        <f>'Supply planning data'!O386</f>
        <v>0</v>
      </c>
      <c r="N388" s="321">
        <f>'Supply planning data'!P386</f>
        <v>0</v>
      </c>
      <c r="O388" s="342">
        <f>'Supply planning data'!Q386</f>
        <v>0</v>
      </c>
      <c r="P388" s="111">
        <f>'Supply planning data'!R386</f>
        <v>0</v>
      </c>
      <c r="Q388" s="111">
        <f>'Supply planning data'!S386</f>
        <v>0</v>
      </c>
      <c r="R388" s="111">
        <f>'Supply planning data'!T386</f>
        <v>0</v>
      </c>
      <c r="S388" s="111">
        <f>'Supply planning data'!U386</f>
        <v>0</v>
      </c>
      <c r="T388" s="111">
        <f>'Supply planning data'!V386</f>
        <v>0</v>
      </c>
      <c r="U388" s="327" t="str">
        <f>'Supply planning data'!W386</f>
        <v/>
      </c>
      <c r="V388" s="111">
        <f>'Supply planning data'!X386</f>
        <v>0</v>
      </c>
      <c r="W388" s="321">
        <f>'Supply planning data'!Y386</f>
        <v>0</v>
      </c>
      <c r="X388" s="329">
        <f>'Supply planning data'!Z386</f>
        <v>0</v>
      </c>
      <c r="Y388" s="111">
        <f>'Supply planning data'!AA386</f>
        <v>0</v>
      </c>
      <c r="Z388" s="111">
        <f>'Supply planning data'!AB386</f>
        <v>0</v>
      </c>
      <c r="AA388" s="111">
        <f>'Supply planning data'!AC386</f>
        <v>0</v>
      </c>
      <c r="AB388" s="111">
        <f>'Supply planning data'!AD386</f>
        <v>0</v>
      </c>
      <c r="AC388" s="111">
        <f>'Supply planning data'!AE386</f>
        <v>0</v>
      </c>
      <c r="AD388" s="327" t="str">
        <f>'Supply planning data'!AF386</f>
        <v/>
      </c>
      <c r="AE388" s="111">
        <f>'Supply planning data'!AG386</f>
        <v>0</v>
      </c>
      <c r="AF388" s="321">
        <f>'Supply planning data'!AH386</f>
        <v>0</v>
      </c>
      <c r="AG388" s="349">
        <f>'Supply planning data'!AI386</f>
        <v>0</v>
      </c>
      <c r="AH388" s="111">
        <f>'Supply planning data'!AJ386</f>
        <v>0</v>
      </c>
      <c r="AI388" s="111">
        <f>'Supply planning data'!AK386</f>
        <v>0</v>
      </c>
      <c r="AJ388" s="111">
        <f>'Supply planning data'!AL386</f>
        <v>0</v>
      </c>
      <c r="AK388" s="111">
        <f>'Supply planning data'!AM386</f>
        <v>0</v>
      </c>
      <c r="AL388" s="111">
        <f>'Supply planning data'!AN386</f>
        <v>0</v>
      </c>
      <c r="AM388" s="327" t="str">
        <f>'Supply planning data'!AO386</f>
        <v/>
      </c>
    </row>
    <row r="389" spans="1:39" hidden="1" x14ac:dyDescent="0.25">
      <c r="A389" s="109" t="str">
        <f>'Supply planning data'!C387</f>
        <v/>
      </c>
      <c r="B389" s="298">
        <f>'Supply planning data'!D387</f>
        <v>44958</v>
      </c>
      <c r="C389" s="105" t="str">
        <f>'Supply planning data'!E387</f>
        <v>No</v>
      </c>
      <c r="D389" s="105">
        <f>'Supply planning data'!F387</f>
        <v>0</v>
      </c>
      <c r="E389" s="320">
        <f>'Supply planning data'!G387</f>
        <v>0</v>
      </c>
      <c r="F389" s="320">
        <f>'Supply planning data'!H387</f>
        <v>0</v>
      </c>
      <c r="G389" s="320">
        <f>'Supply planning data'!I387</f>
        <v>0</v>
      </c>
      <c r="H389" s="105">
        <f>'Supply planning data'!J387</f>
        <v>0</v>
      </c>
      <c r="I389" s="320">
        <f>'Supply planning data'!K387</f>
        <v>0</v>
      </c>
      <c r="J389" s="177" t="str">
        <f>'Supply planning data'!L387</f>
        <v/>
      </c>
      <c r="K389" s="105">
        <f>'Supply planning data'!M387</f>
        <v>0</v>
      </c>
      <c r="L389" s="321">
        <f>'Supply planning data'!N387+'Supply planning data'!P387</f>
        <v>0</v>
      </c>
      <c r="M389" s="342">
        <f>'Supply planning data'!O387</f>
        <v>0</v>
      </c>
      <c r="N389" s="321">
        <f>'Supply planning data'!P387</f>
        <v>0</v>
      </c>
      <c r="O389" s="342">
        <f>'Supply planning data'!Q387</f>
        <v>0</v>
      </c>
      <c r="P389" s="111">
        <f>'Supply planning data'!R387</f>
        <v>0</v>
      </c>
      <c r="Q389" s="111">
        <f>'Supply planning data'!S387</f>
        <v>0</v>
      </c>
      <c r="R389" s="111">
        <f>'Supply planning data'!T387</f>
        <v>0</v>
      </c>
      <c r="S389" s="111">
        <f>'Supply planning data'!U387</f>
        <v>0</v>
      </c>
      <c r="T389" s="111">
        <f>'Supply planning data'!V387</f>
        <v>0</v>
      </c>
      <c r="U389" s="327" t="str">
        <f>'Supply planning data'!W387</f>
        <v/>
      </c>
      <c r="V389" s="111">
        <f>'Supply planning data'!X387</f>
        <v>0</v>
      </c>
      <c r="W389" s="321">
        <f>'Supply planning data'!Y387</f>
        <v>0</v>
      </c>
      <c r="X389" s="329">
        <f>'Supply planning data'!Z387</f>
        <v>0</v>
      </c>
      <c r="Y389" s="111">
        <f>'Supply planning data'!AA387</f>
        <v>0</v>
      </c>
      <c r="Z389" s="111">
        <f>'Supply planning data'!AB387</f>
        <v>0</v>
      </c>
      <c r="AA389" s="111">
        <f>'Supply planning data'!AC387</f>
        <v>0</v>
      </c>
      <c r="AB389" s="111">
        <f>'Supply planning data'!AD387</f>
        <v>0</v>
      </c>
      <c r="AC389" s="111">
        <f>'Supply planning data'!AE387</f>
        <v>0</v>
      </c>
      <c r="AD389" s="327" t="str">
        <f>'Supply planning data'!AF387</f>
        <v/>
      </c>
      <c r="AE389" s="111">
        <f>'Supply planning data'!AG387</f>
        <v>0</v>
      </c>
      <c r="AF389" s="321">
        <f>'Supply planning data'!AH387</f>
        <v>0</v>
      </c>
      <c r="AG389" s="349">
        <f>'Supply planning data'!AI387</f>
        <v>0</v>
      </c>
      <c r="AH389" s="111">
        <f>'Supply planning data'!AJ387</f>
        <v>0</v>
      </c>
      <c r="AI389" s="111">
        <f>'Supply planning data'!AK387</f>
        <v>0</v>
      </c>
      <c r="AJ389" s="111">
        <f>'Supply planning data'!AL387</f>
        <v>0</v>
      </c>
      <c r="AK389" s="111">
        <f>'Supply planning data'!AM387</f>
        <v>0</v>
      </c>
      <c r="AL389" s="111">
        <f>'Supply planning data'!AN387</f>
        <v>0</v>
      </c>
      <c r="AM389" s="327" t="str">
        <f>'Supply planning data'!AO387</f>
        <v/>
      </c>
    </row>
    <row r="390" spans="1:39" hidden="1" x14ac:dyDescent="0.25">
      <c r="A390" s="104" t="str">
        <f>'Supply planning data'!C388</f>
        <v/>
      </c>
      <c r="B390" s="298">
        <f>'Supply planning data'!D388</f>
        <v>44958</v>
      </c>
      <c r="C390" s="105" t="str">
        <f>'Supply planning data'!E388</f>
        <v>No</v>
      </c>
      <c r="D390" s="105">
        <f>'Supply planning data'!F388</f>
        <v>0</v>
      </c>
      <c r="E390" s="320">
        <f>'Supply planning data'!G388</f>
        <v>0</v>
      </c>
      <c r="F390" s="320">
        <f>'Supply planning data'!H388</f>
        <v>0</v>
      </c>
      <c r="G390" s="320">
        <f>'Supply planning data'!I388</f>
        <v>0</v>
      </c>
      <c r="H390" s="105">
        <f>'Supply planning data'!J388</f>
        <v>0</v>
      </c>
      <c r="I390" s="320">
        <f>'Supply planning data'!K388</f>
        <v>0</v>
      </c>
      <c r="J390" s="177" t="str">
        <f>'Supply planning data'!L388</f>
        <v/>
      </c>
      <c r="K390" s="105">
        <f>'Supply planning data'!M388</f>
        <v>0</v>
      </c>
      <c r="L390" s="321">
        <f>'Supply planning data'!N388+'Supply planning data'!P388</f>
        <v>0</v>
      </c>
      <c r="M390" s="342">
        <f>'Supply planning data'!O388</f>
        <v>0</v>
      </c>
      <c r="N390" s="321">
        <f>'Supply planning data'!P388</f>
        <v>0</v>
      </c>
      <c r="O390" s="342">
        <f>'Supply planning data'!Q388</f>
        <v>0</v>
      </c>
      <c r="P390" s="111">
        <f>'Supply planning data'!R388</f>
        <v>0</v>
      </c>
      <c r="Q390" s="111">
        <f>'Supply planning data'!S388</f>
        <v>0</v>
      </c>
      <c r="R390" s="111">
        <f>'Supply planning data'!T388</f>
        <v>0</v>
      </c>
      <c r="S390" s="111">
        <f>'Supply planning data'!U388</f>
        <v>0</v>
      </c>
      <c r="T390" s="111">
        <f>'Supply planning data'!V388</f>
        <v>0</v>
      </c>
      <c r="U390" s="327" t="str">
        <f>'Supply planning data'!W388</f>
        <v/>
      </c>
      <c r="V390" s="111">
        <f>'Supply planning data'!X388</f>
        <v>0</v>
      </c>
      <c r="W390" s="321">
        <f>'Supply planning data'!Y388</f>
        <v>0</v>
      </c>
      <c r="X390" s="329">
        <f>'Supply planning data'!Z388</f>
        <v>0</v>
      </c>
      <c r="Y390" s="111">
        <f>'Supply planning data'!AA388</f>
        <v>0</v>
      </c>
      <c r="Z390" s="111">
        <f>'Supply planning data'!AB388</f>
        <v>0</v>
      </c>
      <c r="AA390" s="111">
        <f>'Supply planning data'!AC388</f>
        <v>0</v>
      </c>
      <c r="AB390" s="111">
        <f>'Supply planning data'!AD388</f>
        <v>0</v>
      </c>
      <c r="AC390" s="111">
        <f>'Supply planning data'!AE388</f>
        <v>0</v>
      </c>
      <c r="AD390" s="327" t="str">
        <f>'Supply planning data'!AF388</f>
        <v/>
      </c>
      <c r="AE390" s="111">
        <f>'Supply planning data'!AG388</f>
        <v>0</v>
      </c>
      <c r="AF390" s="321">
        <f>'Supply planning data'!AH388</f>
        <v>0</v>
      </c>
      <c r="AG390" s="349">
        <f>'Supply planning data'!AI388</f>
        <v>0</v>
      </c>
      <c r="AH390" s="111">
        <f>'Supply planning data'!AJ388</f>
        <v>0</v>
      </c>
      <c r="AI390" s="111">
        <f>'Supply planning data'!AK388</f>
        <v>0</v>
      </c>
      <c r="AJ390" s="111">
        <f>'Supply planning data'!AL388</f>
        <v>0</v>
      </c>
      <c r="AK390" s="111">
        <f>'Supply planning data'!AM388</f>
        <v>0</v>
      </c>
      <c r="AL390" s="111">
        <f>'Supply planning data'!AN388</f>
        <v>0</v>
      </c>
      <c r="AM390" s="327" t="str">
        <f>'Supply planning data'!AO388</f>
        <v/>
      </c>
    </row>
    <row r="391" spans="1:39" hidden="1" x14ac:dyDescent="0.25">
      <c r="A391" s="109" t="str">
        <f>'Supply planning data'!C389</f>
        <v/>
      </c>
      <c r="B391" s="298">
        <f>'Supply planning data'!D389</f>
        <v>44958</v>
      </c>
      <c r="C391" s="105" t="str">
        <f>'Supply planning data'!E389</f>
        <v>No</v>
      </c>
      <c r="D391" s="105">
        <f>'Supply planning data'!F389</f>
        <v>0</v>
      </c>
      <c r="E391" s="320">
        <f>'Supply planning data'!G389</f>
        <v>0</v>
      </c>
      <c r="F391" s="320">
        <f>'Supply planning data'!H389</f>
        <v>0</v>
      </c>
      <c r="G391" s="320">
        <f>'Supply planning data'!I389</f>
        <v>0</v>
      </c>
      <c r="H391" s="105">
        <f>'Supply planning data'!J389</f>
        <v>0</v>
      </c>
      <c r="I391" s="320">
        <f>'Supply planning data'!K389</f>
        <v>0</v>
      </c>
      <c r="J391" s="177" t="str">
        <f>'Supply planning data'!L389</f>
        <v/>
      </c>
      <c r="K391" s="105">
        <f>'Supply planning data'!M389</f>
        <v>0</v>
      </c>
      <c r="L391" s="321">
        <f>'Supply planning data'!N389+'Supply planning data'!P389</f>
        <v>0</v>
      </c>
      <c r="M391" s="342">
        <f>'Supply planning data'!O389</f>
        <v>0</v>
      </c>
      <c r="N391" s="321">
        <f>'Supply planning data'!P389</f>
        <v>0</v>
      </c>
      <c r="O391" s="342">
        <f>'Supply planning data'!Q389</f>
        <v>0</v>
      </c>
      <c r="P391" s="111">
        <f>'Supply planning data'!R389</f>
        <v>0</v>
      </c>
      <c r="Q391" s="111">
        <f>'Supply planning data'!S389</f>
        <v>0</v>
      </c>
      <c r="R391" s="111">
        <f>'Supply planning data'!T389</f>
        <v>0</v>
      </c>
      <c r="S391" s="111">
        <f>'Supply planning data'!U389</f>
        <v>0</v>
      </c>
      <c r="T391" s="111">
        <f>'Supply planning data'!V389</f>
        <v>0</v>
      </c>
      <c r="U391" s="327" t="str">
        <f>'Supply planning data'!W389</f>
        <v/>
      </c>
      <c r="V391" s="111">
        <f>'Supply planning data'!X389</f>
        <v>0</v>
      </c>
      <c r="W391" s="321">
        <f>'Supply planning data'!Y389</f>
        <v>0</v>
      </c>
      <c r="X391" s="329">
        <f>'Supply planning data'!Z389</f>
        <v>0</v>
      </c>
      <c r="Y391" s="111">
        <f>'Supply planning data'!AA389</f>
        <v>0</v>
      </c>
      <c r="Z391" s="111">
        <f>'Supply planning data'!AB389</f>
        <v>0</v>
      </c>
      <c r="AA391" s="111">
        <f>'Supply planning data'!AC389</f>
        <v>0</v>
      </c>
      <c r="AB391" s="111">
        <f>'Supply planning data'!AD389</f>
        <v>0</v>
      </c>
      <c r="AC391" s="111">
        <f>'Supply planning data'!AE389</f>
        <v>0</v>
      </c>
      <c r="AD391" s="327" t="str">
        <f>'Supply planning data'!AF389</f>
        <v/>
      </c>
      <c r="AE391" s="111">
        <f>'Supply planning data'!AG389</f>
        <v>0</v>
      </c>
      <c r="AF391" s="321">
        <f>'Supply planning data'!AH389</f>
        <v>0</v>
      </c>
      <c r="AG391" s="349">
        <f>'Supply planning data'!AI389</f>
        <v>0</v>
      </c>
      <c r="AH391" s="111">
        <f>'Supply planning data'!AJ389</f>
        <v>0</v>
      </c>
      <c r="AI391" s="111">
        <f>'Supply planning data'!AK389</f>
        <v>0</v>
      </c>
      <c r="AJ391" s="111">
        <f>'Supply planning data'!AL389</f>
        <v>0</v>
      </c>
      <c r="AK391" s="111">
        <f>'Supply planning data'!AM389</f>
        <v>0</v>
      </c>
      <c r="AL391" s="111">
        <f>'Supply planning data'!AN389</f>
        <v>0</v>
      </c>
      <c r="AM391" s="327" t="str">
        <f>'Supply planning data'!AO389</f>
        <v/>
      </c>
    </row>
    <row r="392" spans="1:39" hidden="1" x14ac:dyDescent="0.25">
      <c r="A392" s="104" t="str">
        <f>'Supply planning data'!C390</f>
        <v/>
      </c>
      <c r="B392" s="298">
        <f>'Supply planning data'!D390</f>
        <v>44958</v>
      </c>
      <c r="C392" s="105" t="str">
        <f>'Supply planning data'!E390</f>
        <v>No</v>
      </c>
      <c r="D392" s="105">
        <f>'Supply planning data'!F390</f>
        <v>0</v>
      </c>
      <c r="E392" s="320">
        <f>'Supply planning data'!G390</f>
        <v>0</v>
      </c>
      <c r="F392" s="320">
        <f>'Supply planning data'!H390</f>
        <v>0</v>
      </c>
      <c r="G392" s="320">
        <f>'Supply planning data'!I390</f>
        <v>0</v>
      </c>
      <c r="H392" s="105">
        <f>'Supply planning data'!J390</f>
        <v>0</v>
      </c>
      <c r="I392" s="320">
        <f>'Supply planning data'!K390</f>
        <v>0</v>
      </c>
      <c r="J392" s="177" t="str">
        <f>'Supply planning data'!L390</f>
        <v/>
      </c>
      <c r="K392" s="105">
        <f>'Supply planning data'!M390</f>
        <v>0</v>
      </c>
      <c r="L392" s="321">
        <f>'Supply planning data'!N390+'Supply planning data'!P390</f>
        <v>0</v>
      </c>
      <c r="M392" s="342">
        <f>'Supply planning data'!O390</f>
        <v>0</v>
      </c>
      <c r="N392" s="321">
        <f>'Supply planning data'!P390</f>
        <v>0</v>
      </c>
      <c r="O392" s="342">
        <f>'Supply planning data'!Q390</f>
        <v>0</v>
      </c>
      <c r="P392" s="111">
        <f>'Supply planning data'!R390</f>
        <v>0</v>
      </c>
      <c r="Q392" s="111">
        <f>'Supply planning data'!S390</f>
        <v>0</v>
      </c>
      <c r="R392" s="111">
        <f>'Supply planning data'!T390</f>
        <v>0</v>
      </c>
      <c r="S392" s="111">
        <f>'Supply planning data'!U390</f>
        <v>0</v>
      </c>
      <c r="T392" s="111">
        <f>'Supply planning data'!V390</f>
        <v>0</v>
      </c>
      <c r="U392" s="327" t="str">
        <f>'Supply planning data'!W390</f>
        <v/>
      </c>
      <c r="V392" s="111">
        <f>'Supply planning data'!X390</f>
        <v>0</v>
      </c>
      <c r="W392" s="321">
        <f>'Supply planning data'!Y390</f>
        <v>0</v>
      </c>
      <c r="X392" s="329">
        <f>'Supply planning data'!Z390</f>
        <v>0</v>
      </c>
      <c r="Y392" s="111">
        <f>'Supply planning data'!AA390</f>
        <v>0</v>
      </c>
      <c r="Z392" s="111">
        <f>'Supply planning data'!AB390</f>
        <v>0</v>
      </c>
      <c r="AA392" s="111">
        <f>'Supply planning data'!AC390</f>
        <v>0</v>
      </c>
      <c r="AB392" s="111">
        <f>'Supply planning data'!AD390</f>
        <v>0</v>
      </c>
      <c r="AC392" s="111">
        <f>'Supply planning data'!AE390</f>
        <v>0</v>
      </c>
      <c r="AD392" s="327" t="str">
        <f>'Supply planning data'!AF390</f>
        <v/>
      </c>
      <c r="AE392" s="111">
        <f>'Supply planning data'!AG390</f>
        <v>0</v>
      </c>
      <c r="AF392" s="321">
        <f>'Supply planning data'!AH390</f>
        <v>0</v>
      </c>
      <c r="AG392" s="349">
        <f>'Supply planning data'!AI390</f>
        <v>0</v>
      </c>
      <c r="AH392" s="111">
        <f>'Supply planning data'!AJ390</f>
        <v>0</v>
      </c>
      <c r="AI392" s="111">
        <f>'Supply planning data'!AK390</f>
        <v>0</v>
      </c>
      <c r="AJ392" s="111">
        <f>'Supply planning data'!AL390</f>
        <v>0</v>
      </c>
      <c r="AK392" s="111">
        <f>'Supply planning data'!AM390</f>
        <v>0</v>
      </c>
      <c r="AL392" s="111">
        <f>'Supply planning data'!AN390</f>
        <v>0</v>
      </c>
      <c r="AM392" s="327" t="str">
        <f>'Supply planning data'!AO390</f>
        <v/>
      </c>
    </row>
    <row r="393" spans="1:39" hidden="1" x14ac:dyDescent="0.25">
      <c r="A393" s="109" t="str">
        <f>'Supply planning data'!C391</f>
        <v/>
      </c>
      <c r="B393" s="298">
        <f>'Supply planning data'!D391</f>
        <v>44958</v>
      </c>
      <c r="C393" s="105" t="str">
        <f>'Supply planning data'!E391</f>
        <v>No</v>
      </c>
      <c r="D393" s="105">
        <f>'Supply planning data'!F391</f>
        <v>0</v>
      </c>
      <c r="E393" s="320">
        <f>'Supply planning data'!G391</f>
        <v>0</v>
      </c>
      <c r="F393" s="320">
        <f>'Supply planning data'!H391</f>
        <v>0</v>
      </c>
      <c r="G393" s="320">
        <f>'Supply planning data'!I391</f>
        <v>0</v>
      </c>
      <c r="H393" s="105">
        <f>'Supply planning data'!J391</f>
        <v>0</v>
      </c>
      <c r="I393" s="320">
        <f>'Supply planning data'!K391</f>
        <v>0</v>
      </c>
      <c r="J393" s="177" t="str">
        <f>'Supply planning data'!L391</f>
        <v/>
      </c>
      <c r="K393" s="105">
        <f>'Supply planning data'!M391</f>
        <v>0</v>
      </c>
      <c r="L393" s="321">
        <f>'Supply planning data'!N391+'Supply planning data'!P391</f>
        <v>0</v>
      </c>
      <c r="M393" s="342">
        <f>'Supply planning data'!O391</f>
        <v>0</v>
      </c>
      <c r="N393" s="321">
        <f>'Supply planning data'!P391</f>
        <v>0</v>
      </c>
      <c r="O393" s="342">
        <f>'Supply planning data'!Q391</f>
        <v>0</v>
      </c>
      <c r="P393" s="111">
        <f>'Supply planning data'!R391</f>
        <v>0</v>
      </c>
      <c r="Q393" s="111">
        <f>'Supply planning data'!S391</f>
        <v>0</v>
      </c>
      <c r="R393" s="111">
        <f>'Supply planning data'!T391</f>
        <v>0</v>
      </c>
      <c r="S393" s="111">
        <f>'Supply planning data'!U391</f>
        <v>0</v>
      </c>
      <c r="T393" s="111">
        <f>'Supply planning data'!V391</f>
        <v>0</v>
      </c>
      <c r="U393" s="327" t="str">
        <f>'Supply planning data'!W391</f>
        <v/>
      </c>
      <c r="V393" s="111">
        <f>'Supply planning data'!X391</f>
        <v>0</v>
      </c>
      <c r="W393" s="321">
        <f>'Supply planning data'!Y391</f>
        <v>0</v>
      </c>
      <c r="X393" s="329">
        <f>'Supply planning data'!Z391</f>
        <v>0</v>
      </c>
      <c r="Y393" s="111">
        <f>'Supply planning data'!AA391</f>
        <v>0</v>
      </c>
      <c r="Z393" s="111">
        <f>'Supply planning data'!AB391</f>
        <v>0</v>
      </c>
      <c r="AA393" s="111">
        <f>'Supply planning data'!AC391</f>
        <v>0</v>
      </c>
      <c r="AB393" s="111">
        <f>'Supply planning data'!AD391</f>
        <v>0</v>
      </c>
      <c r="AC393" s="111">
        <f>'Supply planning data'!AE391</f>
        <v>0</v>
      </c>
      <c r="AD393" s="327" t="str">
        <f>'Supply planning data'!AF391</f>
        <v/>
      </c>
      <c r="AE393" s="111">
        <f>'Supply planning data'!AG391</f>
        <v>0</v>
      </c>
      <c r="AF393" s="321">
        <f>'Supply planning data'!AH391</f>
        <v>0</v>
      </c>
      <c r="AG393" s="349">
        <f>'Supply planning data'!AI391</f>
        <v>0</v>
      </c>
      <c r="AH393" s="111">
        <f>'Supply planning data'!AJ391</f>
        <v>0</v>
      </c>
      <c r="AI393" s="111">
        <f>'Supply planning data'!AK391</f>
        <v>0</v>
      </c>
      <c r="AJ393" s="111">
        <f>'Supply planning data'!AL391</f>
        <v>0</v>
      </c>
      <c r="AK393" s="111">
        <f>'Supply planning data'!AM391</f>
        <v>0</v>
      </c>
      <c r="AL393" s="111">
        <f>'Supply planning data'!AN391</f>
        <v>0</v>
      </c>
      <c r="AM393" s="327" t="str">
        <f>'Supply planning data'!AO391</f>
        <v/>
      </c>
    </row>
    <row r="394" spans="1:39" hidden="1" x14ac:dyDescent="0.25">
      <c r="A394" s="104" t="str">
        <f>'Supply planning data'!C392</f>
        <v/>
      </c>
      <c r="B394" s="298">
        <f>'Supply planning data'!D392</f>
        <v>44958</v>
      </c>
      <c r="C394" s="105" t="str">
        <f>'Supply planning data'!E392</f>
        <v>No</v>
      </c>
      <c r="D394" s="105">
        <f>'Supply planning data'!F392</f>
        <v>0</v>
      </c>
      <c r="E394" s="320">
        <f>'Supply planning data'!G392</f>
        <v>0</v>
      </c>
      <c r="F394" s="320">
        <f>'Supply planning data'!H392</f>
        <v>0</v>
      </c>
      <c r="G394" s="320">
        <f>'Supply planning data'!I392</f>
        <v>0</v>
      </c>
      <c r="H394" s="105">
        <f>'Supply planning data'!J392</f>
        <v>0</v>
      </c>
      <c r="I394" s="320">
        <f>'Supply planning data'!K392</f>
        <v>0</v>
      </c>
      <c r="J394" s="177" t="str">
        <f>'Supply planning data'!L392</f>
        <v/>
      </c>
      <c r="K394" s="105">
        <f>'Supply planning data'!M392</f>
        <v>0</v>
      </c>
      <c r="L394" s="321">
        <f>'Supply planning data'!N392+'Supply planning data'!P392</f>
        <v>0</v>
      </c>
      <c r="M394" s="342">
        <f>'Supply planning data'!O392</f>
        <v>0</v>
      </c>
      <c r="N394" s="321">
        <f>'Supply planning data'!P392</f>
        <v>0</v>
      </c>
      <c r="O394" s="342">
        <f>'Supply planning data'!Q392</f>
        <v>0</v>
      </c>
      <c r="P394" s="111">
        <f>'Supply planning data'!R392</f>
        <v>0</v>
      </c>
      <c r="Q394" s="111">
        <f>'Supply planning data'!S392</f>
        <v>0</v>
      </c>
      <c r="R394" s="111">
        <f>'Supply planning data'!T392</f>
        <v>0</v>
      </c>
      <c r="S394" s="111">
        <f>'Supply planning data'!U392</f>
        <v>0</v>
      </c>
      <c r="T394" s="111">
        <f>'Supply planning data'!V392</f>
        <v>0</v>
      </c>
      <c r="U394" s="327" t="str">
        <f>'Supply planning data'!W392</f>
        <v/>
      </c>
      <c r="V394" s="111">
        <f>'Supply planning data'!X392</f>
        <v>0</v>
      </c>
      <c r="W394" s="321">
        <f>'Supply planning data'!Y392</f>
        <v>0</v>
      </c>
      <c r="X394" s="329">
        <f>'Supply planning data'!Z392</f>
        <v>0</v>
      </c>
      <c r="Y394" s="111">
        <f>'Supply planning data'!AA392</f>
        <v>0</v>
      </c>
      <c r="Z394" s="111">
        <f>'Supply planning data'!AB392</f>
        <v>0</v>
      </c>
      <c r="AA394" s="111">
        <f>'Supply planning data'!AC392</f>
        <v>0</v>
      </c>
      <c r="AB394" s="111">
        <f>'Supply planning data'!AD392</f>
        <v>0</v>
      </c>
      <c r="AC394" s="111">
        <f>'Supply planning data'!AE392</f>
        <v>0</v>
      </c>
      <c r="AD394" s="327" t="str">
        <f>'Supply planning data'!AF392</f>
        <v/>
      </c>
      <c r="AE394" s="111">
        <f>'Supply planning data'!AG392</f>
        <v>0</v>
      </c>
      <c r="AF394" s="321">
        <f>'Supply planning data'!AH392</f>
        <v>0</v>
      </c>
      <c r="AG394" s="349">
        <f>'Supply planning data'!AI392</f>
        <v>0</v>
      </c>
      <c r="AH394" s="111">
        <f>'Supply planning data'!AJ392</f>
        <v>0</v>
      </c>
      <c r="AI394" s="111">
        <f>'Supply planning data'!AK392</f>
        <v>0</v>
      </c>
      <c r="AJ394" s="111">
        <f>'Supply planning data'!AL392</f>
        <v>0</v>
      </c>
      <c r="AK394" s="111">
        <f>'Supply planning data'!AM392</f>
        <v>0</v>
      </c>
      <c r="AL394" s="111">
        <f>'Supply planning data'!AN392</f>
        <v>0</v>
      </c>
      <c r="AM394" s="327" t="str">
        <f>'Supply planning data'!AO392</f>
        <v/>
      </c>
    </row>
    <row r="395" spans="1:39" hidden="1" x14ac:dyDescent="0.25">
      <c r="A395" s="109" t="str">
        <f>'Supply planning data'!C393</f>
        <v/>
      </c>
      <c r="B395" s="298">
        <f>'Supply planning data'!D393</f>
        <v>44958</v>
      </c>
      <c r="C395" s="105" t="str">
        <f>'Supply planning data'!E393</f>
        <v>No</v>
      </c>
      <c r="D395" s="105">
        <f>'Supply planning data'!F393</f>
        <v>0</v>
      </c>
      <c r="E395" s="320">
        <f>'Supply planning data'!G393</f>
        <v>0</v>
      </c>
      <c r="F395" s="320">
        <f>'Supply planning data'!H393</f>
        <v>0</v>
      </c>
      <c r="G395" s="320">
        <f>'Supply planning data'!I393</f>
        <v>0</v>
      </c>
      <c r="H395" s="105">
        <f>'Supply planning data'!J393</f>
        <v>0</v>
      </c>
      <c r="I395" s="320">
        <f>'Supply planning data'!K393</f>
        <v>0</v>
      </c>
      <c r="J395" s="177" t="str">
        <f>'Supply planning data'!L393</f>
        <v/>
      </c>
      <c r="K395" s="105">
        <f>'Supply planning data'!M393</f>
        <v>0</v>
      </c>
      <c r="L395" s="321">
        <f>'Supply planning data'!N393+'Supply planning data'!P393</f>
        <v>0</v>
      </c>
      <c r="M395" s="342">
        <f>'Supply planning data'!O393</f>
        <v>0</v>
      </c>
      <c r="N395" s="321">
        <f>'Supply planning data'!P393</f>
        <v>0</v>
      </c>
      <c r="O395" s="342">
        <f>'Supply planning data'!Q393</f>
        <v>0</v>
      </c>
      <c r="P395" s="111">
        <f>'Supply planning data'!R393</f>
        <v>0</v>
      </c>
      <c r="Q395" s="111">
        <f>'Supply planning data'!S393</f>
        <v>0</v>
      </c>
      <c r="R395" s="111">
        <f>'Supply planning data'!T393</f>
        <v>0</v>
      </c>
      <c r="S395" s="111">
        <f>'Supply planning data'!U393</f>
        <v>0</v>
      </c>
      <c r="T395" s="111">
        <f>'Supply planning data'!V393</f>
        <v>0</v>
      </c>
      <c r="U395" s="327" t="str">
        <f>'Supply planning data'!W393</f>
        <v/>
      </c>
      <c r="V395" s="111">
        <f>'Supply planning data'!X393</f>
        <v>0</v>
      </c>
      <c r="W395" s="321">
        <f>'Supply planning data'!Y393</f>
        <v>0</v>
      </c>
      <c r="X395" s="329">
        <f>'Supply planning data'!Z393</f>
        <v>0</v>
      </c>
      <c r="Y395" s="111">
        <f>'Supply planning data'!AA393</f>
        <v>0</v>
      </c>
      <c r="Z395" s="111">
        <f>'Supply planning data'!AB393</f>
        <v>0</v>
      </c>
      <c r="AA395" s="111">
        <f>'Supply planning data'!AC393</f>
        <v>0</v>
      </c>
      <c r="AB395" s="111">
        <f>'Supply planning data'!AD393</f>
        <v>0</v>
      </c>
      <c r="AC395" s="111">
        <f>'Supply planning data'!AE393</f>
        <v>0</v>
      </c>
      <c r="AD395" s="327" t="str">
        <f>'Supply planning data'!AF393</f>
        <v/>
      </c>
      <c r="AE395" s="111">
        <f>'Supply planning data'!AG393</f>
        <v>0</v>
      </c>
      <c r="AF395" s="321">
        <f>'Supply planning data'!AH393</f>
        <v>0</v>
      </c>
      <c r="AG395" s="349">
        <f>'Supply planning data'!AI393</f>
        <v>0</v>
      </c>
      <c r="AH395" s="111">
        <f>'Supply planning data'!AJ393</f>
        <v>0</v>
      </c>
      <c r="AI395" s="111">
        <f>'Supply planning data'!AK393</f>
        <v>0</v>
      </c>
      <c r="AJ395" s="111">
        <f>'Supply planning data'!AL393</f>
        <v>0</v>
      </c>
      <c r="AK395" s="111">
        <f>'Supply planning data'!AM393</f>
        <v>0</v>
      </c>
      <c r="AL395" s="111">
        <f>'Supply planning data'!AN393</f>
        <v>0</v>
      </c>
      <c r="AM395" s="327" t="str">
        <f>'Supply planning data'!AO393</f>
        <v/>
      </c>
    </row>
    <row r="396" spans="1:39" hidden="1" x14ac:dyDescent="0.25">
      <c r="A396" s="104" t="str">
        <f>'Supply planning data'!C394</f>
        <v/>
      </c>
      <c r="B396" s="298">
        <f>'Supply planning data'!D394</f>
        <v>44958</v>
      </c>
      <c r="C396" s="105" t="str">
        <f>'Supply planning data'!E394</f>
        <v>No</v>
      </c>
      <c r="D396" s="105">
        <f>'Supply planning data'!F394</f>
        <v>0</v>
      </c>
      <c r="E396" s="320">
        <f>'Supply planning data'!G394</f>
        <v>0</v>
      </c>
      <c r="F396" s="320">
        <f>'Supply planning data'!H394</f>
        <v>0</v>
      </c>
      <c r="G396" s="320">
        <f>'Supply planning data'!I394</f>
        <v>0</v>
      </c>
      <c r="H396" s="105">
        <f>'Supply planning data'!J394</f>
        <v>0</v>
      </c>
      <c r="I396" s="320">
        <f>'Supply planning data'!K394</f>
        <v>0</v>
      </c>
      <c r="J396" s="177" t="str">
        <f>'Supply planning data'!L394</f>
        <v/>
      </c>
      <c r="K396" s="105">
        <f>'Supply planning data'!M394</f>
        <v>0</v>
      </c>
      <c r="L396" s="321">
        <f>'Supply planning data'!N394+'Supply planning data'!P394</f>
        <v>0</v>
      </c>
      <c r="M396" s="342">
        <f>'Supply planning data'!O394</f>
        <v>0</v>
      </c>
      <c r="N396" s="321">
        <f>'Supply planning data'!P394</f>
        <v>0</v>
      </c>
      <c r="O396" s="342">
        <f>'Supply planning data'!Q394</f>
        <v>0</v>
      </c>
      <c r="P396" s="111">
        <f>'Supply planning data'!R394</f>
        <v>0</v>
      </c>
      <c r="Q396" s="111">
        <f>'Supply planning data'!S394</f>
        <v>0</v>
      </c>
      <c r="R396" s="111">
        <f>'Supply planning data'!T394</f>
        <v>0</v>
      </c>
      <c r="S396" s="111">
        <f>'Supply planning data'!U394</f>
        <v>0</v>
      </c>
      <c r="T396" s="111">
        <f>'Supply planning data'!V394</f>
        <v>0</v>
      </c>
      <c r="U396" s="327" t="str">
        <f>'Supply planning data'!W394</f>
        <v/>
      </c>
      <c r="V396" s="111">
        <f>'Supply planning data'!X394</f>
        <v>0</v>
      </c>
      <c r="W396" s="321">
        <f>'Supply planning data'!Y394</f>
        <v>0</v>
      </c>
      <c r="X396" s="329">
        <f>'Supply planning data'!Z394</f>
        <v>0</v>
      </c>
      <c r="Y396" s="111">
        <f>'Supply planning data'!AA394</f>
        <v>0</v>
      </c>
      <c r="Z396" s="111">
        <f>'Supply planning data'!AB394</f>
        <v>0</v>
      </c>
      <c r="AA396" s="111">
        <f>'Supply planning data'!AC394</f>
        <v>0</v>
      </c>
      <c r="AB396" s="111">
        <f>'Supply planning data'!AD394</f>
        <v>0</v>
      </c>
      <c r="AC396" s="111">
        <f>'Supply planning data'!AE394</f>
        <v>0</v>
      </c>
      <c r="AD396" s="327" t="str">
        <f>'Supply planning data'!AF394</f>
        <v/>
      </c>
      <c r="AE396" s="111">
        <f>'Supply planning data'!AG394</f>
        <v>0</v>
      </c>
      <c r="AF396" s="321">
        <f>'Supply planning data'!AH394</f>
        <v>0</v>
      </c>
      <c r="AG396" s="349">
        <f>'Supply planning data'!AI394</f>
        <v>0</v>
      </c>
      <c r="AH396" s="111">
        <f>'Supply planning data'!AJ394</f>
        <v>0</v>
      </c>
      <c r="AI396" s="111">
        <f>'Supply planning data'!AK394</f>
        <v>0</v>
      </c>
      <c r="AJ396" s="111">
        <f>'Supply planning data'!AL394</f>
        <v>0</v>
      </c>
      <c r="AK396" s="111">
        <f>'Supply planning data'!AM394</f>
        <v>0</v>
      </c>
      <c r="AL396" s="111">
        <f>'Supply planning data'!AN394</f>
        <v>0</v>
      </c>
      <c r="AM396" s="327" t="str">
        <f>'Supply planning data'!AO394</f>
        <v/>
      </c>
    </row>
    <row r="397" spans="1:39" x14ac:dyDescent="0.25">
      <c r="A397" s="90" t="str">
        <f>'Supply planning data'!C395</f>
        <v>AstraZeneca</v>
      </c>
      <c r="B397" s="296">
        <f>'Supply planning data'!D395</f>
        <v>44986</v>
      </c>
      <c r="C397" s="92" t="str">
        <f>'Supply planning data'!E395</f>
        <v>Yes</v>
      </c>
      <c r="D397" s="92">
        <f>'Supply planning data'!F395</f>
        <v>0</v>
      </c>
      <c r="E397" s="316">
        <f>'Supply planning data'!G395</f>
        <v>0</v>
      </c>
      <c r="F397" s="316">
        <f>'Supply planning data'!H395</f>
        <v>0</v>
      </c>
      <c r="G397" s="316">
        <f>'Supply planning data'!I395</f>
        <v>0</v>
      </c>
      <c r="H397" s="92">
        <f>'Supply planning data'!J395</f>
        <v>0</v>
      </c>
      <c r="I397" s="316">
        <f>'Supply planning data'!K395</f>
        <v>0</v>
      </c>
      <c r="J397" s="174" t="str">
        <f>'Supply planning data'!L395</f>
        <v/>
      </c>
      <c r="K397" s="92">
        <f>'Supply planning data'!M395</f>
        <v>0</v>
      </c>
      <c r="L397" s="316">
        <f>'Supply planning data'!N395+'Supply planning data'!P395</f>
        <v>0</v>
      </c>
      <c r="M397" s="343">
        <f>'Supply planning data'!O395</f>
        <v>0</v>
      </c>
      <c r="N397" s="316">
        <f>'Supply planning data'!P395</f>
        <v>0</v>
      </c>
      <c r="O397" s="343">
        <f>'Supply planning data'!Q395</f>
        <v>0</v>
      </c>
      <c r="P397" s="92">
        <f>'Supply planning data'!R395</f>
        <v>0</v>
      </c>
      <c r="Q397" s="92">
        <f>'Supply planning data'!S395</f>
        <v>0</v>
      </c>
      <c r="R397" s="92">
        <f>'Supply planning data'!T395</f>
        <v>0</v>
      </c>
      <c r="S397" s="92">
        <f>'Supply planning data'!U395</f>
        <v>0</v>
      </c>
      <c r="T397" s="92">
        <f>'Supply planning data'!V395</f>
        <v>0</v>
      </c>
      <c r="U397" s="324" t="str">
        <f>'Supply planning data'!W395</f>
        <v/>
      </c>
      <c r="V397" s="92">
        <f>'Supply planning data'!X395</f>
        <v>154701</v>
      </c>
      <c r="W397" s="316">
        <f>'Supply planning data'!Y395</f>
        <v>0</v>
      </c>
      <c r="X397" s="328">
        <f>'Supply planning data'!Z395</f>
        <v>0</v>
      </c>
      <c r="Y397" s="92">
        <f>'Supply planning data'!AA395</f>
        <v>0</v>
      </c>
      <c r="Z397" s="92">
        <f>'Supply planning data'!AB395</f>
        <v>0</v>
      </c>
      <c r="AA397" s="92">
        <f>'Supply planning data'!AC395</f>
        <v>0</v>
      </c>
      <c r="AB397" s="92">
        <f>'Supply planning data'!AD395</f>
        <v>0</v>
      </c>
      <c r="AC397" s="92">
        <f>'Supply planning data'!AE395</f>
        <v>154701</v>
      </c>
      <c r="AD397" s="324" t="str">
        <f>'Supply planning data'!AF395</f>
        <v/>
      </c>
      <c r="AE397" s="92">
        <f>'Supply planning data'!AG395</f>
        <v>0</v>
      </c>
      <c r="AF397" s="316">
        <f>'Supply planning data'!AH395</f>
        <v>0</v>
      </c>
      <c r="AG397" s="174">
        <f>'Supply planning data'!AI395</f>
        <v>0</v>
      </c>
      <c r="AH397" s="92">
        <f>'Supply planning data'!AJ395</f>
        <v>0</v>
      </c>
      <c r="AI397" s="92">
        <f>'Supply planning data'!AK395</f>
        <v>0</v>
      </c>
      <c r="AJ397" s="92">
        <f>'Supply planning data'!AL395</f>
        <v>0</v>
      </c>
      <c r="AK397" s="92">
        <f>'Supply planning data'!AM395</f>
        <v>0</v>
      </c>
      <c r="AL397" s="92">
        <f>'Supply planning data'!AN395</f>
        <v>0</v>
      </c>
      <c r="AM397" s="324" t="str">
        <f>'Supply planning data'!AO395</f>
        <v/>
      </c>
    </row>
    <row r="398" spans="1:39" x14ac:dyDescent="0.25">
      <c r="A398" s="90" t="str">
        <f>'Supply planning data'!C396</f>
        <v>Jansen</v>
      </c>
      <c r="B398" s="296">
        <f>'Supply planning data'!D396</f>
        <v>44986</v>
      </c>
      <c r="C398" s="92" t="str">
        <f>'Supply planning data'!E396</f>
        <v>Yes</v>
      </c>
      <c r="D398" s="92">
        <f>'Supply planning data'!F396</f>
        <v>2258747</v>
      </c>
      <c r="E398" s="316">
        <f>'Supply planning data'!G396</f>
        <v>0</v>
      </c>
      <c r="F398" s="317">
        <f>'Supply planning data'!H396</f>
        <v>0</v>
      </c>
      <c r="G398" s="317">
        <f>'Supply planning data'!I396</f>
        <v>0</v>
      </c>
      <c r="H398" s="98">
        <f>'Supply planning data'!J396</f>
        <v>0</v>
      </c>
      <c r="I398" s="317">
        <f>'Supply planning data'!K396</f>
        <v>0</v>
      </c>
      <c r="J398" s="175" t="str">
        <f>'Supply planning data'!L396</f>
        <v/>
      </c>
      <c r="K398" s="98">
        <f>'Supply planning data'!M396</f>
        <v>0</v>
      </c>
      <c r="L398" s="317">
        <f>'Supply planning data'!N396+'Supply planning data'!P396</f>
        <v>0</v>
      </c>
      <c r="M398" s="339">
        <f>'Supply planning data'!O396</f>
        <v>0</v>
      </c>
      <c r="N398" s="317">
        <f>'Supply planning data'!P396</f>
        <v>0</v>
      </c>
      <c r="O398" s="339">
        <f>'Supply planning data'!Q396</f>
        <v>0</v>
      </c>
      <c r="P398" s="98">
        <f>'Supply planning data'!R396</f>
        <v>0</v>
      </c>
      <c r="Q398" s="98">
        <f>'Supply planning data'!S396</f>
        <v>0</v>
      </c>
      <c r="R398" s="98">
        <f>'Supply planning data'!T396</f>
        <v>0</v>
      </c>
      <c r="S398" s="98">
        <f>'Supply planning data'!U396</f>
        <v>0</v>
      </c>
      <c r="T398" s="98">
        <f>'Supply planning data'!V396</f>
        <v>2258747</v>
      </c>
      <c r="U398" s="325" t="str">
        <f>'Supply planning data'!W396</f>
        <v/>
      </c>
      <c r="V398" s="98">
        <f>'Supply planning data'!X396</f>
        <v>1698747</v>
      </c>
      <c r="W398" s="317">
        <f>'Supply planning data'!Y396</f>
        <v>0</v>
      </c>
      <c r="X398" s="328">
        <f>'Supply planning data'!Z396</f>
        <v>0</v>
      </c>
      <c r="Y398" s="98">
        <f>'Supply planning data'!AA396</f>
        <v>0</v>
      </c>
      <c r="Z398" s="98">
        <f>'Supply planning data'!AB396</f>
        <v>0</v>
      </c>
      <c r="AA398" s="98">
        <f>'Supply planning data'!AC396</f>
        <v>0</v>
      </c>
      <c r="AB398" s="98">
        <f>'Supply planning data'!AD396</f>
        <v>0</v>
      </c>
      <c r="AC398" s="98">
        <f>'Supply planning data'!AE396</f>
        <v>1698747</v>
      </c>
      <c r="AD398" s="325" t="str">
        <f>'Supply planning data'!AF396</f>
        <v/>
      </c>
      <c r="AE398" s="98">
        <f>'Supply planning data'!AG396</f>
        <v>2258747</v>
      </c>
      <c r="AF398" s="317">
        <f>'Supply planning data'!AH396</f>
        <v>0</v>
      </c>
      <c r="AG398" s="175">
        <f>'Supply planning data'!AI396</f>
        <v>0</v>
      </c>
      <c r="AH398" s="98">
        <f>'Supply planning data'!AJ396</f>
        <v>0</v>
      </c>
      <c r="AI398" s="98">
        <f>'Supply planning data'!AK396</f>
        <v>0</v>
      </c>
      <c r="AJ398" s="98">
        <f>'Supply planning data'!AL396</f>
        <v>0</v>
      </c>
      <c r="AK398" s="98">
        <f>'Supply planning data'!AM396</f>
        <v>0</v>
      </c>
      <c r="AL398" s="98">
        <f>'Supply planning data'!AN396</f>
        <v>2258747</v>
      </c>
      <c r="AM398" s="325" t="str">
        <f>'Supply planning data'!AO396</f>
        <v/>
      </c>
    </row>
    <row r="399" spans="1:39" x14ac:dyDescent="0.25">
      <c r="A399" s="90" t="str">
        <f>'Supply planning data'!C397</f>
        <v>Moderna</v>
      </c>
      <c r="B399" s="296">
        <f>'Supply planning data'!D397</f>
        <v>44986</v>
      </c>
      <c r="C399" s="92" t="str">
        <f>'Supply planning data'!E397</f>
        <v>No</v>
      </c>
      <c r="D399" s="92">
        <f>'Supply planning data'!F397</f>
        <v>0</v>
      </c>
      <c r="E399" s="316">
        <f>'Supply planning data'!G397</f>
        <v>0</v>
      </c>
      <c r="F399" s="317">
        <f>'Supply planning data'!H397</f>
        <v>0</v>
      </c>
      <c r="G399" s="317">
        <f>'Supply planning data'!I397</f>
        <v>0</v>
      </c>
      <c r="H399" s="98">
        <f>'Supply planning data'!J397</f>
        <v>0</v>
      </c>
      <c r="I399" s="317">
        <f>'Supply planning data'!K397</f>
        <v>0</v>
      </c>
      <c r="J399" s="175" t="str">
        <f>'Supply planning data'!L397</f>
        <v/>
      </c>
      <c r="K399" s="98">
        <f>'Supply planning data'!M397</f>
        <v>0</v>
      </c>
      <c r="L399" s="317">
        <f>'Supply planning data'!N397+'Supply planning data'!P397</f>
        <v>0</v>
      </c>
      <c r="M399" s="339">
        <f>'Supply planning data'!O397</f>
        <v>0</v>
      </c>
      <c r="N399" s="317">
        <f>'Supply planning data'!P397</f>
        <v>0</v>
      </c>
      <c r="O399" s="339">
        <f>'Supply planning data'!Q397</f>
        <v>0</v>
      </c>
      <c r="P399" s="98">
        <f>'Supply planning data'!R397</f>
        <v>0</v>
      </c>
      <c r="Q399" s="98">
        <f>'Supply planning data'!S397</f>
        <v>0</v>
      </c>
      <c r="R399" s="98">
        <f>'Supply planning data'!T397</f>
        <v>0</v>
      </c>
      <c r="S399" s="98">
        <f>'Supply planning data'!U397</f>
        <v>0</v>
      </c>
      <c r="T399" s="98">
        <f>'Supply planning data'!V397</f>
        <v>0</v>
      </c>
      <c r="U399" s="325" t="str">
        <f>'Supply planning data'!W397</f>
        <v/>
      </c>
      <c r="V399" s="98">
        <f>'Supply planning data'!X397</f>
        <v>0</v>
      </c>
      <c r="W399" s="317">
        <f>'Supply planning data'!Y397</f>
        <v>0</v>
      </c>
      <c r="X399" s="328">
        <f>'Supply planning data'!Z397</f>
        <v>0</v>
      </c>
      <c r="Y399" s="98">
        <f>'Supply planning data'!AA397</f>
        <v>0</v>
      </c>
      <c r="Z399" s="98">
        <f>'Supply planning data'!AB397</f>
        <v>0</v>
      </c>
      <c r="AA399" s="98">
        <f>'Supply planning data'!AC397</f>
        <v>0</v>
      </c>
      <c r="AB399" s="98">
        <f>'Supply planning data'!AD397</f>
        <v>0</v>
      </c>
      <c r="AC399" s="98">
        <f>'Supply planning data'!AE397</f>
        <v>0</v>
      </c>
      <c r="AD399" s="325" t="str">
        <f>'Supply planning data'!AF397</f>
        <v/>
      </c>
      <c r="AE399" s="98">
        <f>'Supply planning data'!AG397</f>
        <v>0</v>
      </c>
      <c r="AF399" s="317">
        <f>'Supply planning data'!AH397</f>
        <v>0</v>
      </c>
      <c r="AG399" s="175">
        <f>'Supply planning data'!AI397</f>
        <v>0</v>
      </c>
      <c r="AH399" s="98">
        <f>'Supply planning data'!AJ397</f>
        <v>0</v>
      </c>
      <c r="AI399" s="98">
        <f>'Supply planning data'!AK397</f>
        <v>0</v>
      </c>
      <c r="AJ399" s="98">
        <f>'Supply planning data'!AL397</f>
        <v>0</v>
      </c>
      <c r="AK399" s="98">
        <f>'Supply planning data'!AM397</f>
        <v>0</v>
      </c>
      <c r="AL399" s="98">
        <f>'Supply planning data'!AN397</f>
        <v>0</v>
      </c>
      <c r="AM399" s="325" t="str">
        <f>'Supply planning data'!AO397</f>
        <v/>
      </c>
    </row>
    <row r="400" spans="1:39" x14ac:dyDescent="0.25">
      <c r="A400" s="90" t="str">
        <f>'Supply planning data'!C398</f>
        <v>Pfizer</v>
      </c>
      <c r="B400" s="296">
        <f>'Supply planning data'!D398</f>
        <v>44986</v>
      </c>
      <c r="C400" s="92" t="str">
        <f>'Supply planning data'!E398</f>
        <v>Yes</v>
      </c>
      <c r="D400" s="92">
        <f>'Supply planning data'!F398</f>
        <v>3000000</v>
      </c>
      <c r="E400" s="316">
        <f>'Supply planning data'!G398</f>
        <v>0</v>
      </c>
      <c r="F400" s="317">
        <f>'Supply planning data'!H398</f>
        <v>0</v>
      </c>
      <c r="G400" s="317">
        <f>'Supply planning data'!I398</f>
        <v>0</v>
      </c>
      <c r="H400" s="98">
        <f>'Supply planning data'!J398</f>
        <v>0</v>
      </c>
      <c r="I400" s="317">
        <f>'Supply planning data'!K398</f>
        <v>0</v>
      </c>
      <c r="J400" s="175" t="str">
        <f>'Supply planning data'!L398</f>
        <v/>
      </c>
      <c r="K400" s="98">
        <f>'Supply planning data'!M398</f>
        <v>0</v>
      </c>
      <c r="L400" s="317">
        <f>'Supply planning data'!N398+'Supply planning data'!P398</f>
        <v>0</v>
      </c>
      <c r="M400" s="339">
        <f>'Supply planning data'!O398</f>
        <v>0</v>
      </c>
      <c r="N400" s="317">
        <f>'Supply planning data'!P398</f>
        <v>0</v>
      </c>
      <c r="O400" s="339">
        <f>'Supply planning data'!Q398</f>
        <v>0</v>
      </c>
      <c r="P400" s="98">
        <f>'Supply planning data'!R398</f>
        <v>0</v>
      </c>
      <c r="Q400" s="98">
        <f>'Supply planning data'!S398</f>
        <v>0</v>
      </c>
      <c r="R400" s="98">
        <f>'Supply planning data'!T398</f>
        <v>110538</v>
      </c>
      <c r="S400" s="98">
        <f>'Supply planning data'!U398</f>
        <v>0</v>
      </c>
      <c r="T400" s="98">
        <f>'Supply planning data'!V398</f>
        <v>3000000</v>
      </c>
      <c r="U400" s="325" t="str">
        <f>'Supply planning data'!W398</f>
        <v/>
      </c>
      <c r="V400" s="98">
        <f>'Supply planning data'!X398</f>
        <v>2440000</v>
      </c>
      <c r="W400" s="317">
        <f>'Supply planning data'!Y398</f>
        <v>0</v>
      </c>
      <c r="X400" s="328">
        <f>'Supply planning data'!Z398</f>
        <v>0</v>
      </c>
      <c r="Y400" s="98">
        <f>'Supply planning data'!AA398</f>
        <v>0</v>
      </c>
      <c r="Z400" s="98">
        <f>'Supply planning data'!AB398</f>
        <v>0</v>
      </c>
      <c r="AA400" s="98">
        <f>'Supply planning data'!AC398</f>
        <v>0</v>
      </c>
      <c r="AB400" s="98">
        <f>'Supply planning data'!AD398</f>
        <v>0</v>
      </c>
      <c r="AC400" s="98">
        <f>'Supply planning data'!AE398</f>
        <v>2440000</v>
      </c>
      <c r="AD400" s="325" t="str">
        <f>'Supply planning data'!AF398</f>
        <v/>
      </c>
      <c r="AE400" s="98">
        <f>'Supply planning data'!AG398</f>
        <v>3000000</v>
      </c>
      <c r="AF400" s="317">
        <f>'Supply planning data'!AH398</f>
        <v>0</v>
      </c>
      <c r="AG400" s="175">
        <f>'Supply planning data'!AI398</f>
        <v>0</v>
      </c>
      <c r="AH400" s="98">
        <f>'Supply planning data'!AJ398</f>
        <v>0</v>
      </c>
      <c r="AI400" s="98">
        <f>'Supply planning data'!AK398</f>
        <v>0</v>
      </c>
      <c r="AJ400" s="98">
        <f>'Supply planning data'!AL398</f>
        <v>110538</v>
      </c>
      <c r="AK400" s="98">
        <f>'Supply planning data'!AM398</f>
        <v>0</v>
      </c>
      <c r="AL400" s="98">
        <f>'Supply planning data'!AN398</f>
        <v>3000000</v>
      </c>
      <c r="AM400" s="325" t="str">
        <f>'Supply planning data'!AO398</f>
        <v/>
      </c>
    </row>
    <row r="401" spans="1:39" x14ac:dyDescent="0.25">
      <c r="A401" s="90" t="str">
        <f>'Supply planning data'!C399</f>
        <v>Sinovac</v>
      </c>
      <c r="B401" s="296">
        <f>'Supply planning data'!D399</f>
        <v>44986</v>
      </c>
      <c r="C401" s="92" t="str">
        <f>'Supply planning data'!E399</f>
        <v>No</v>
      </c>
      <c r="D401" s="92">
        <f>'Supply planning data'!F399</f>
        <v>0</v>
      </c>
      <c r="E401" s="316">
        <f>'Supply planning data'!G399</f>
        <v>0</v>
      </c>
      <c r="F401" s="317">
        <f>'Supply planning data'!H399</f>
        <v>0</v>
      </c>
      <c r="G401" s="317">
        <f>'Supply planning data'!I399</f>
        <v>0</v>
      </c>
      <c r="H401" s="98">
        <f>'Supply planning data'!J399</f>
        <v>0</v>
      </c>
      <c r="I401" s="317">
        <f>'Supply planning data'!K399</f>
        <v>0</v>
      </c>
      <c r="J401" s="175" t="str">
        <f>'Supply planning data'!L399</f>
        <v/>
      </c>
      <c r="K401" s="98">
        <f>'Supply planning data'!M399</f>
        <v>0</v>
      </c>
      <c r="L401" s="317">
        <f>'Supply planning data'!N399+'Supply planning data'!P399</f>
        <v>0</v>
      </c>
      <c r="M401" s="339">
        <f>'Supply planning data'!O399</f>
        <v>0</v>
      </c>
      <c r="N401" s="317">
        <f>'Supply planning data'!P399</f>
        <v>0</v>
      </c>
      <c r="O401" s="339">
        <f>'Supply planning data'!Q399</f>
        <v>0</v>
      </c>
      <c r="P401" s="98">
        <f>'Supply planning data'!R399</f>
        <v>0</v>
      </c>
      <c r="Q401" s="98">
        <f>'Supply planning data'!S399</f>
        <v>0</v>
      </c>
      <c r="R401" s="98">
        <f>'Supply planning data'!T399</f>
        <v>0</v>
      </c>
      <c r="S401" s="98">
        <f>'Supply planning data'!U399</f>
        <v>0</v>
      </c>
      <c r="T401" s="98">
        <f>'Supply planning data'!V399</f>
        <v>0</v>
      </c>
      <c r="U401" s="325" t="str">
        <f>'Supply planning data'!W399</f>
        <v/>
      </c>
      <c r="V401" s="98">
        <f>'Supply planning data'!X399</f>
        <v>0</v>
      </c>
      <c r="W401" s="317">
        <f>'Supply planning data'!Y399</f>
        <v>0</v>
      </c>
      <c r="X401" s="328">
        <f>'Supply planning data'!Z399</f>
        <v>0</v>
      </c>
      <c r="Y401" s="98">
        <f>'Supply planning data'!AA399</f>
        <v>0</v>
      </c>
      <c r="Z401" s="98">
        <f>'Supply planning data'!AB399</f>
        <v>0</v>
      </c>
      <c r="AA401" s="98">
        <f>'Supply planning data'!AC399</f>
        <v>0</v>
      </c>
      <c r="AB401" s="98">
        <f>'Supply planning data'!AD399</f>
        <v>0</v>
      </c>
      <c r="AC401" s="98">
        <f>'Supply planning data'!AE399</f>
        <v>0</v>
      </c>
      <c r="AD401" s="325" t="str">
        <f>'Supply planning data'!AF399</f>
        <v/>
      </c>
      <c r="AE401" s="98">
        <f>'Supply planning data'!AG399</f>
        <v>0</v>
      </c>
      <c r="AF401" s="317">
        <f>'Supply planning data'!AH399</f>
        <v>0</v>
      </c>
      <c r="AG401" s="175">
        <f>'Supply planning data'!AI399</f>
        <v>0</v>
      </c>
      <c r="AH401" s="98">
        <f>'Supply planning data'!AJ399</f>
        <v>0</v>
      </c>
      <c r="AI401" s="98">
        <f>'Supply planning data'!AK399</f>
        <v>0</v>
      </c>
      <c r="AJ401" s="98">
        <f>'Supply planning data'!AL399</f>
        <v>0</v>
      </c>
      <c r="AK401" s="98">
        <f>'Supply planning data'!AM399</f>
        <v>0</v>
      </c>
      <c r="AL401" s="98">
        <f>'Supply planning data'!AN399</f>
        <v>0</v>
      </c>
      <c r="AM401" s="325" t="str">
        <f>'Supply planning data'!AO399</f>
        <v/>
      </c>
    </row>
    <row r="402" spans="1:39" hidden="1" x14ac:dyDescent="0.25">
      <c r="A402" s="90" t="str">
        <f>'Supply planning data'!C400</f>
        <v/>
      </c>
      <c r="B402" s="296">
        <f>'Supply planning data'!D400</f>
        <v>44986</v>
      </c>
      <c r="C402" s="92" t="str">
        <f>'Supply planning data'!E400</f>
        <v>No</v>
      </c>
      <c r="D402" s="92">
        <f>'Supply planning data'!F400</f>
        <v>0</v>
      </c>
      <c r="E402" s="316">
        <f>'Supply planning data'!G400</f>
        <v>0</v>
      </c>
      <c r="F402" s="317">
        <f>'Supply planning data'!H400</f>
        <v>0</v>
      </c>
      <c r="G402" s="317">
        <f>'Supply planning data'!I400</f>
        <v>0</v>
      </c>
      <c r="H402" s="98">
        <f>'Supply planning data'!J400</f>
        <v>0</v>
      </c>
      <c r="I402" s="317">
        <f>'Supply planning data'!K400</f>
        <v>0</v>
      </c>
      <c r="J402" s="175" t="str">
        <f>'Supply planning data'!L400</f>
        <v/>
      </c>
      <c r="K402" s="98">
        <f>'Supply planning data'!M400</f>
        <v>0</v>
      </c>
      <c r="L402" s="317">
        <f>'Supply planning data'!N400+'Supply planning data'!P400</f>
        <v>0</v>
      </c>
      <c r="M402" s="339">
        <f>'Supply planning data'!O400</f>
        <v>0</v>
      </c>
      <c r="N402" s="317">
        <f>'Supply planning data'!P400</f>
        <v>0</v>
      </c>
      <c r="O402" s="339">
        <f>'Supply planning data'!Q400</f>
        <v>0</v>
      </c>
      <c r="P402" s="98">
        <f>'Supply planning data'!R400</f>
        <v>0</v>
      </c>
      <c r="Q402" s="98">
        <f>'Supply planning data'!S400</f>
        <v>0</v>
      </c>
      <c r="R402" s="98">
        <f>'Supply planning data'!T400</f>
        <v>0</v>
      </c>
      <c r="S402" s="98">
        <f>'Supply planning data'!U400</f>
        <v>0</v>
      </c>
      <c r="T402" s="98">
        <f>'Supply planning data'!V400</f>
        <v>0</v>
      </c>
      <c r="U402" s="325" t="str">
        <f>'Supply planning data'!W400</f>
        <v/>
      </c>
      <c r="V402" s="98">
        <f>'Supply planning data'!X400</f>
        <v>0</v>
      </c>
      <c r="W402" s="317">
        <f>'Supply planning data'!Y400</f>
        <v>0</v>
      </c>
      <c r="X402" s="328">
        <f>'Supply planning data'!Z400</f>
        <v>0</v>
      </c>
      <c r="Y402" s="98">
        <f>'Supply planning data'!AA400</f>
        <v>0</v>
      </c>
      <c r="Z402" s="98">
        <f>'Supply planning data'!AB400</f>
        <v>0</v>
      </c>
      <c r="AA402" s="98">
        <f>'Supply planning data'!AC400</f>
        <v>0</v>
      </c>
      <c r="AB402" s="98">
        <f>'Supply planning data'!AD400</f>
        <v>0</v>
      </c>
      <c r="AC402" s="98">
        <f>'Supply planning data'!AE400</f>
        <v>0</v>
      </c>
      <c r="AD402" s="325" t="str">
        <f>'Supply planning data'!AF400</f>
        <v/>
      </c>
      <c r="AE402" s="98">
        <f>'Supply planning data'!AG400</f>
        <v>0</v>
      </c>
      <c r="AF402" s="317">
        <f>'Supply planning data'!AH400</f>
        <v>0</v>
      </c>
      <c r="AG402" s="175">
        <f>'Supply planning data'!AI400</f>
        <v>0</v>
      </c>
      <c r="AH402" s="98">
        <f>'Supply planning data'!AJ400</f>
        <v>0</v>
      </c>
      <c r="AI402" s="98">
        <f>'Supply planning data'!AK400</f>
        <v>0</v>
      </c>
      <c r="AJ402" s="98">
        <f>'Supply planning data'!AL400</f>
        <v>0</v>
      </c>
      <c r="AK402" s="98">
        <f>'Supply planning data'!AM400</f>
        <v>0</v>
      </c>
      <c r="AL402" s="98">
        <f>'Supply planning data'!AN400</f>
        <v>0</v>
      </c>
      <c r="AM402" s="325" t="str">
        <f>'Supply planning data'!AO400</f>
        <v/>
      </c>
    </row>
    <row r="403" spans="1:39" hidden="1" x14ac:dyDescent="0.25">
      <c r="A403" s="90" t="str">
        <f>'Supply planning data'!C401</f>
        <v/>
      </c>
      <c r="B403" s="296">
        <f>'Supply planning data'!D401</f>
        <v>44986</v>
      </c>
      <c r="C403" s="92" t="str">
        <f>'Supply planning data'!E401</f>
        <v>No</v>
      </c>
      <c r="D403" s="92">
        <f>'Supply planning data'!F401</f>
        <v>0</v>
      </c>
      <c r="E403" s="316">
        <f>'Supply planning data'!G401</f>
        <v>0</v>
      </c>
      <c r="F403" s="317">
        <f>'Supply planning data'!H401</f>
        <v>0</v>
      </c>
      <c r="G403" s="317">
        <f>'Supply planning data'!I401</f>
        <v>0</v>
      </c>
      <c r="H403" s="98">
        <f>'Supply planning data'!J401</f>
        <v>0</v>
      </c>
      <c r="I403" s="317">
        <f>'Supply planning data'!K401</f>
        <v>0</v>
      </c>
      <c r="J403" s="175" t="str">
        <f>'Supply planning data'!L401</f>
        <v/>
      </c>
      <c r="K403" s="98">
        <f>'Supply planning data'!M401</f>
        <v>0</v>
      </c>
      <c r="L403" s="317">
        <f>'Supply planning data'!N401+'Supply planning data'!P401</f>
        <v>0</v>
      </c>
      <c r="M403" s="339">
        <f>'Supply planning data'!O401</f>
        <v>0</v>
      </c>
      <c r="N403" s="317">
        <f>'Supply planning data'!P401</f>
        <v>0</v>
      </c>
      <c r="O403" s="339">
        <f>'Supply planning data'!Q401</f>
        <v>0</v>
      </c>
      <c r="P403" s="98">
        <f>'Supply planning data'!R401</f>
        <v>0</v>
      </c>
      <c r="Q403" s="98">
        <f>'Supply planning data'!S401</f>
        <v>0</v>
      </c>
      <c r="R403" s="98">
        <f>'Supply planning data'!T401</f>
        <v>0</v>
      </c>
      <c r="S403" s="98">
        <f>'Supply planning data'!U401</f>
        <v>0</v>
      </c>
      <c r="T403" s="98">
        <f>'Supply planning data'!V401</f>
        <v>0</v>
      </c>
      <c r="U403" s="325" t="str">
        <f>'Supply planning data'!W401</f>
        <v/>
      </c>
      <c r="V403" s="98">
        <f>'Supply planning data'!X401</f>
        <v>0</v>
      </c>
      <c r="W403" s="317">
        <f>'Supply planning data'!Y401</f>
        <v>0</v>
      </c>
      <c r="X403" s="328">
        <f>'Supply planning data'!Z401</f>
        <v>0</v>
      </c>
      <c r="Y403" s="98">
        <f>'Supply planning data'!AA401</f>
        <v>0</v>
      </c>
      <c r="Z403" s="98">
        <f>'Supply planning data'!AB401</f>
        <v>0</v>
      </c>
      <c r="AA403" s="98">
        <f>'Supply planning data'!AC401</f>
        <v>0</v>
      </c>
      <c r="AB403" s="98">
        <f>'Supply planning data'!AD401</f>
        <v>0</v>
      </c>
      <c r="AC403" s="98">
        <f>'Supply planning data'!AE401</f>
        <v>0</v>
      </c>
      <c r="AD403" s="325" t="str">
        <f>'Supply planning data'!AF401</f>
        <v/>
      </c>
      <c r="AE403" s="98">
        <f>'Supply planning data'!AG401</f>
        <v>0</v>
      </c>
      <c r="AF403" s="317">
        <f>'Supply planning data'!AH401</f>
        <v>0</v>
      </c>
      <c r="AG403" s="175">
        <f>'Supply planning data'!AI401</f>
        <v>0</v>
      </c>
      <c r="AH403" s="98">
        <f>'Supply planning data'!AJ401</f>
        <v>0</v>
      </c>
      <c r="AI403" s="98">
        <f>'Supply planning data'!AK401</f>
        <v>0</v>
      </c>
      <c r="AJ403" s="98">
        <f>'Supply planning data'!AL401</f>
        <v>0</v>
      </c>
      <c r="AK403" s="98">
        <f>'Supply planning data'!AM401</f>
        <v>0</v>
      </c>
      <c r="AL403" s="98">
        <f>'Supply planning data'!AN401</f>
        <v>0</v>
      </c>
      <c r="AM403" s="325" t="str">
        <f>'Supply planning data'!AO401</f>
        <v/>
      </c>
    </row>
    <row r="404" spans="1:39" hidden="1" x14ac:dyDescent="0.25">
      <c r="A404" s="90" t="str">
        <f>'Supply planning data'!C402</f>
        <v/>
      </c>
      <c r="B404" s="296">
        <f>'Supply planning data'!D402</f>
        <v>44986</v>
      </c>
      <c r="C404" s="92" t="str">
        <f>'Supply planning data'!E402</f>
        <v>No</v>
      </c>
      <c r="D404" s="92">
        <f>'Supply planning data'!F402</f>
        <v>0</v>
      </c>
      <c r="E404" s="316">
        <f>'Supply planning data'!G402</f>
        <v>0</v>
      </c>
      <c r="F404" s="317">
        <f>'Supply planning data'!H402</f>
        <v>0</v>
      </c>
      <c r="G404" s="317">
        <f>'Supply planning data'!I402</f>
        <v>0</v>
      </c>
      <c r="H404" s="98">
        <f>'Supply planning data'!J402</f>
        <v>0</v>
      </c>
      <c r="I404" s="317">
        <f>'Supply planning data'!K402</f>
        <v>0</v>
      </c>
      <c r="J404" s="175" t="str">
        <f>'Supply planning data'!L402</f>
        <v/>
      </c>
      <c r="K404" s="98">
        <f>'Supply planning data'!M402</f>
        <v>0</v>
      </c>
      <c r="L404" s="317">
        <f>'Supply planning data'!N402+'Supply planning data'!P402</f>
        <v>0</v>
      </c>
      <c r="M404" s="339">
        <f>'Supply planning data'!O402</f>
        <v>0</v>
      </c>
      <c r="N404" s="317">
        <f>'Supply planning data'!P402</f>
        <v>0</v>
      </c>
      <c r="O404" s="339">
        <f>'Supply planning data'!Q402</f>
        <v>0</v>
      </c>
      <c r="P404" s="98">
        <f>'Supply planning data'!R402</f>
        <v>0</v>
      </c>
      <c r="Q404" s="98">
        <f>'Supply planning data'!S402</f>
        <v>0</v>
      </c>
      <c r="R404" s="98">
        <f>'Supply planning data'!T402</f>
        <v>0</v>
      </c>
      <c r="S404" s="98">
        <f>'Supply planning data'!U402</f>
        <v>0</v>
      </c>
      <c r="T404" s="98">
        <f>'Supply planning data'!V402</f>
        <v>0</v>
      </c>
      <c r="U404" s="325" t="str">
        <f>'Supply planning data'!W402</f>
        <v/>
      </c>
      <c r="V404" s="98">
        <f>'Supply planning data'!X402</f>
        <v>0</v>
      </c>
      <c r="W404" s="317">
        <f>'Supply planning data'!Y402</f>
        <v>0</v>
      </c>
      <c r="X404" s="328">
        <f>'Supply planning data'!Z402</f>
        <v>0</v>
      </c>
      <c r="Y404" s="98">
        <f>'Supply planning data'!AA402</f>
        <v>0</v>
      </c>
      <c r="Z404" s="98">
        <f>'Supply planning data'!AB402</f>
        <v>0</v>
      </c>
      <c r="AA404" s="98">
        <f>'Supply planning data'!AC402</f>
        <v>0</v>
      </c>
      <c r="AB404" s="98">
        <f>'Supply planning data'!AD402</f>
        <v>0</v>
      </c>
      <c r="AC404" s="98">
        <f>'Supply planning data'!AE402</f>
        <v>0</v>
      </c>
      <c r="AD404" s="325" t="str">
        <f>'Supply planning data'!AF402</f>
        <v/>
      </c>
      <c r="AE404" s="98">
        <f>'Supply planning data'!AG402</f>
        <v>0</v>
      </c>
      <c r="AF404" s="317">
        <f>'Supply planning data'!AH402</f>
        <v>0</v>
      </c>
      <c r="AG404" s="175">
        <f>'Supply planning data'!AI402</f>
        <v>0</v>
      </c>
      <c r="AH404" s="98">
        <f>'Supply planning data'!AJ402</f>
        <v>0</v>
      </c>
      <c r="AI404" s="98">
        <f>'Supply planning data'!AK402</f>
        <v>0</v>
      </c>
      <c r="AJ404" s="98">
        <f>'Supply planning data'!AL402</f>
        <v>0</v>
      </c>
      <c r="AK404" s="98">
        <f>'Supply planning data'!AM402</f>
        <v>0</v>
      </c>
      <c r="AL404" s="98">
        <f>'Supply planning data'!AN402</f>
        <v>0</v>
      </c>
      <c r="AM404" s="325" t="str">
        <f>'Supply planning data'!AO402</f>
        <v/>
      </c>
    </row>
    <row r="405" spans="1:39" hidden="1" x14ac:dyDescent="0.25">
      <c r="A405" s="90" t="str">
        <f>'Supply planning data'!C403</f>
        <v/>
      </c>
      <c r="B405" s="296">
        <f>'Supply planning data'!D403</f>
        <v>44986</v>
      </c>
      <c r="C405" s="92" t="str">
        <f>'Supply planning data'!E403</f>
        <v>No</v>
      </c>
      <c r="D405" s="92">
        <f>'Supply planning data'!F403</f>
        <v>0</v>
      </c>
      <c r="E405" s="316">
        <f>'Supply planning data'!G403</f>
        <v>0</v>
      </c>
      <c r="F405" s="317">
        <f>'Supply planning data'!H403</f>
        <v>0</v>
      </c>
      <c r="G405" s="317">
        <f>'Supply planning data'!I403</f>
        <v>0</v>
      </c>
      <c r="H405" s="98">
        <f>'Supply planning data'!J403</f>
        <v>0</v>
      </c>
      <c r="I405" s="317">
        <f>'Supply planning data'!K403</f>
        <v>0</v>
      </c>
      <c r="J405" s="175" t="str">
        <f>'Supply planning data'!L403</f>
        <v/>
      </c>
      <c r="K405" s="98">
        <f>'Supply planning data'!M403</f>
        <v>0</v>
      </c>
      <c r="L405" s="317">
        <f>'Supply planning data'!N403+'Supply planning data'!P403</f>
        <v>0</v>
      </c>
      <c r="M405" s="339">
        <f>'Supply planning data'!O403</f>
        <v>0</v>
      </c>
      <c r="N405" s="317">
        <f>'Supply planning data'!P403</f>
        <v>0</v>
      </c>
      <c r="O405" s="339">
        <f>'Supply planning data'!Q403</f>
        <v>0</v>
      </c>
      <c r="P405" s="98">
        <f>'Supply planning data'!R403</f>
        <v>0</v>
      </c>
      <c r="Q405" s="98">
        <f>'Supply planning data'!S403</f>
        <v>0</v>
      </c>
      <c r="R405" s="98">
        <f>'Supply planning data'!T403</f>
        <v>0</v>
      </c>
      <c r="S405" s="98">
        <f>'Supply planning data'!U403</f>
        <v>0</v>
      </c>
      <c r="T405" s="98">
        <f>'Supply planning data'!V403</f>
        <v>0</v>
      </c>
      <c r="U405" s="325" t="str">
        <f>'Supply planning data'!W403</f>
        <v/>
      </c>
      <c r="V405" s="98">
        <f>'Supply planning data'!X403</f>
        <v>0</v>
      </c>
      <c r="W405" s="317">
        <f>'Supply planning data'!Y403</f>
        <v>0</v>
      </c>
      <c r="X405" s="328">
        <f>'Supply planning data'!Z403</f>
        <v>0</v>
      </c>
      <c r="Y405" s="98">
        <f>'Supply planning data'!AA403</f>
        <v>0</v>
      </c>
      <c r="Z405" s="98">
        <f>'Supply planning data'!AB403</f>
        <v>0</v>
      </c>
      <c r="AA405" s="98">
        <f>'Supply planning data'!AC403</f>
        <v>0</v>
      </c>
      <c r="AB405" s="98">
        <f>'Supply planning data'!AD403</f>
        <v>0</v>
      </c>
      <c r="AC405" s="98">
        <f>'Supply planning data'!AE403</f>
        <v>0</v>
      </c>
      <c r="AD405" s="325" t="str">
        <f>'Supply planning data'!AF403</f>
        <v/>
      </c>
      <c r="AE405" s="98">
        <f>'Supply planning data'!AG403</f>
        <v>0</v>
      </c>
      <c r="AF405" s="317">
        <f>'Supply planning data'!AH403</f>
        <v>0</v>
      </c>
      <c r="AG405" s="175">
        <f>'Supply planning data'!AI403</f>
        <v>0</v>
      </c>
      <c r="AH405" s="98">
        <f>'Supply planning data'!AJ403</f>
        <v>0</v>
      </c>
      <c r="AI405" s="98">
        <f>'Supply planning data'!AK403</f>
        <v>0</v>
      </c>
      <c r="AJ405" s="98">
        <f>'Supply planning data'!AL403</f>
        <v>0</v>
      </c>
      <c r="AK405" s="98">
        <f>'Supply planning data'!AM403</f>
        <v>0</v>
      </c>
      <c r="AL405" s="98">
        <f>'Supply planning data'!AN403</f>
        <v>0</v>
      </c>
      <c r="AM405" s="325" t="str">
        <f>'Supply planning data'!AO403</f>
        <v/>
      </c>
    </row>
    <row r="406" spans="1:39" hidden="1" x14ac:dyDescent="0.25">
      <c r="A406" s="90" t="str">
        <f>'Supply planning data'!C404</f>
        <v/>
      </c>
      <c r="B406" s="296">
        <f>'Supply planning data'!D404</f>
        <v>44986</v>
      </c>
      <c r="C406" s="92" t="str">
        <f>'Supply planning data'!E404</f>
        <v>No</v>
      </c>
      <c r="D406" s="92">
        <f>'Supply planning data'!F404</f>
        <v>0</v>
      </c>
      <c r="E406" s="316">
        <f>'Supply planning data'!G404</f>
        <v>0</v>
      </c>
      <c r="F406" s="317">
        <f>'Supply planning data'!H404</f>
        <v>0</v>
      </c>
      <c r="G406" s="317">
        <f>'Supply planning data'!I404</f>
        <v>0</v>
      </c>
      <c r="H406" s="98">
        <f>'Supply planning data'!J404</f>
        <v>0</v>
      </c>
      <c r="I406" s="317">
        <f>'Supply planning data'!K404</f>
        <v>0</v>
      </c>
      <c r="J406" s="175" t="str">
        <f>'Supply planning data'!L404</f>
        <v/>
      </c>
      <c r="K406" s="98">
        <f>'Supply planning data'!M404</f>
        <v>0</v>
      </c>
      <c r="L406" s="317">
        <f>'Supply planning data'!N404+'Supply planning data'!P404</f>
        <v>0</v>
      </c>
      <c r="M406" s="339">
        <f>'Supply planning data'!O404</f>
        <v>0</v>
      </c>
      <c r="N406" s="317">
        <f>'Supply planning data'!P404</f>
        <v>0</v>
      </c>
      <c r="O406" s="339">
        <f>'Supply planning data'!Q404</f>
        <v>0</v>
      </c>
      <c r="P406" s="98">
        <f>'Supply planning data'!R404</f>
        <v>0</v>
      </c>
      <c r="Q406" s="98">
        <f>'Supply planning data'!S404</f>
        <v>0</v>
      </c>
      <c r="R406" s="98">
        <f>'Supply planning data'!T404</f>
        <v>0</v>
      </c>
      <c r="S406" s="98">
        <f>'Supply planning data'!U404</f>
        <v>0</v>
      </c>
      <c r="T406" s="98">
        <f>'Supply planning data'!V404</f>
        <v>0</v>
      </c>
      <c r="U406" s="325" t="str">
        <f>'Supply planning data'!W404</f>
        <v/>
      </c>
      <c r="V406" s="98">
        <f>'Supply planning data'!X404</f>
        <v>0</v>
      </c>
      <c r="W406" s="317">
        <f>'Supply planning data'!Y404</f>
        <v>0</v>
      </c>
      <c r="X406" s="328">
        <f>'Supply planning data'!Z404</f>
        <v>0</v>
      </c>
      <c r="Y406" s="98">
        <f>'Supply planning data'!AA404</f>
        <v>0</v>
      </c>
      <c r="Z406" s="98">
        <f>'Supply planning data'!AB404</f>
        <v>0</v>
      </c>
      <c r="AA406" s="98">
        <f>'Supply planning data'!AC404</f>
        <v>0</v>
      </c>
      <c r="AB406" s="98">
        <f>'Supply planning data'!AD404</f>
        <v>0</v>
      </c>
      <c r="AC406" s="98">
        <f>'Supply planning data'!AE404</f>
        <v>0</v>
      </c>
      <c r="AD406" s="325" t="str">
        <f>'Supply planning data'!AF404</f>
        <v/>
      </c>
      <c r="AE406" s="98">
        <f>'Supply planning data'!AG404</f>
        <v>0</v>
      </c>
      <c r="AF406" s="317">
        <f>'Supply planning data'!AH404</f>
        <v>0</v>
      </c>
      <c r="AG406" s="175">
        <f>'Supply planning data'!AI404</f>
        <v>0</v>
      </c>
      <c r="AH406" s="98">
        <f>'Supply planning data'!AJ404</f>
        <v>0</v>
      </c>
      <c r="AI406" s="98">
        <f>'Supply planning data'!AK404</f>
        <v>0</v>
      </c>
      <c r="AJ406" s="98">
        <f>'Supply planning data'!AL404</f>
        <v>0</v>
      </c>
      <c r="AK406" s="98">
        <f>'Supply planning data'!AM404</f>
        <v>0</v>
      </c>
      <c r="AL406" s="98">
        <f>'Supply planning data'!AN404</f>
        <v>0</v>
      </c>
      <c r="AM406" s="325" t="str">
        <f>'Supply planning data'!AO404</f>
        <v/>
      </c>
    </row>
    <row r="407" spans="1:39" hidden="1" x14ac:dyDescent="0.25">
      <c r="A407" s="90" t="str">
        <f>'Supply planning data'!C405</f>
        <v/>
      </c>
      <c r="B407" s="296">
        <f>'Supply planning data'!D405</f>
        <v>44986</v>
      </c>
      <c r="C407" s="92" t="str">
        <f>'Supply planning data'!E405</f>
        <v>No</v>
      </c>
      <c r="D407" s="92">
        <f>'Supply planning data'!F405</f>
        <v>0</v>
      </c>
      <c r="E407" s="316">
        <f>'Supply planning data'!G405</f>
        <v>0</v>
      </c>
      <c r="F407" s="317">
        <f>'Supply planning data'!H405</f>
        <v>0</v>
      </c>
      <c r="G407" s="317">
        <f>'Supply planning data'!I405</f>
        <v>0</v>
      </c>
      <c r="H407" s="98">
        <f>'Supply planning data'!J405</f>
        <v>0</v>
      </c>
      <c r="I407" s="317">
        <f>'Supply planning data'!K405</f>
        <v>0</v>
      </c>
      <c r="J407" s="175" t="str">
        <f>'Supply planning data'!L405</f>
        <v/>
      </c>
      <c r="K407" s="98">
        <f>'Supply planning data'!M405</f>
        <v>0</v>
      </c>
      <c r="L407" s="317">
        <f>'Supply planning data'!N405+'Supply planning data'!P405</f>
        <v>0</v>
      </c>
      <c r="M407" s="339">
        <f>'Supply planning data'!O405</f>
        <v>0</v>
      </c>
      <c r="N407" s="317">
        <f>'Supply planning data'!P405</f>
        <v>0</v>
      </c>
      <c r="O407" s="339">
        <f>'Supply planning data'!Q405</f>
        <v>0</v>
      </c>
      <c r="P407" s="98">
        <f>'Supply planning data'!R405</f>
        <v>0</v>
      </c>
      <c r="Q407" s="98">
        <f>'Supply planning data'!S405</f>
        <v>0</v>
      </c>
      <c r="R407" s="98">
        <f>'Supply planning data'!T405</f>
        <v>0</v>
      </c>
      <c r="S407" s="98">
        <f>'Supply planning data'!U405</f>
        <v>0</v>
      </c>
      <c r="T407" s="98">
        <f>'Supply planning data'!V405</f>
        <v>0</v>
      </c>
      <c r="U407" s="325" t="str">
        <f>'Supply planning data'!W405</f>
        <v/>
      </c>
      <c r="V407" s="98">
        <f>'Supply planning data'!X405</f>
        <v>0</v>
      </c>
      <c r="W407" s="317">
        <f>'Supply planning data'!Y405</f>
        <v>0</v>
      </c>
      <c r="X407" s="328">
        <f>'Supply planning data'!Z405</f>
        <v>0</v>
      </c>
      <c r="Y407" s="98">
        <f>'Supply planning data'!AA405</f>
        <v>0</v>
      </c>
      <c r="Z407" s="98">
        <f>'Supply planning data'!AB405</f>
        <v>0</v>
      </c>
      <c r="AA407" s="98">
        <f>'Supply planning data'!AC405</f>
        <v>0</v>
      </c>
      <c r="AB407" s="98">
        <f>'Supply planning data'!AD405</f>
        <v>0</v>
      </c>
      <c r="AC407" s="98">
        <f>'Supply planning data'!AE405</f>
        <v>0</v>
      </c>
      <c r="AD407" s="325" t="str">
        <f>'Supply planning data'!AF405</f>
        <v/>
      </c>
      <c r="AE407" s="98">
        <f>'Supply planning data'!AG405</f>
        <v>0</v>
      </c>
      <c r="AF407" s="317">
        <f>'Supply planning data'!AH405</f>
        <v>0</v>
      </c>
      <c r="AG407" s="175">
        <f>'Supply planning data'!AI405</f>
        <v>0</v>
      </c>
      <c r="AH407" s="98">
        <f>'Supply planning data'!AJ405</f>
        <v>0</v>
      </c>
      <c r="AI407" s="98">
        <f>'Supply planning data'!AK405</f>
        <v>0</v>
      </c>
      <c r="AJ407" s="98">
        <f>'Supply planning data'!AL405</f>
        <v>0</v>
      </c>
      <c r="AK407" s="98">
        <f>'Supply planning data'!AM405</f>
        <v>0</v>
      </c>
      <c r="AL407" s="98">
        <f>'Supply planning data'!AN405</f>
        <v>0</v>
      </c>
      <c r="AM407" s="325" t="str">
        <f>'Supply planning data'!AO405</f>
        <v/>
      </c>
    </row>
    <row r="408" spans="1:39" hidden="1" x14ac:dyDescent="0.25">
      <c r="A408" s="90" t="str">
        <f>'Supply planning data'!C406</f>
        <v/>
      </c>
      <c r="B408" s="296">
        <f>'Supply planning data'!D406</f>
        <v>44986</v>
      </c>
      <c r="C408" s="92" t="str">
        <f>'Supply planning data'!E406</f>
        <v>No</v>
      </c>
      <c r="D408" s="92">
        <f>'Supply planning data'!F406</f>
        <v>0</v>
      </c>
      <c r="E408" s="316">
        <f>'Supply planning data'!G406</f>
        <v>0</v>
      </c>
      <c r="F408" s="317">
        <f>'Supply planning data'!H406</f>
        <v>0</v>
      </c>
      <c r="G408" s="317">
        <f>'Supply planning data'!I406</f>
        <v>0</v>
      </c>
      <c r="H408" s="98">
        <f>'Supply planning data'!J406</f>
        <v>0</v>
      </c>
      <c r="I408" s="317">
        <f>'Supply planning data'!K406</f>
        <v>0</v>
      </c>
      <c r="J408" s="175" t="str">
        <f>'Supply planning data'!L406</f>
        <v/>
      </c>
      <c r="K408" s="98">
        <f>'Supply planning data'!M406</f>
        <v>0</v>
      </c>
      <c r="L408" s="317">
        <f>'Supply planning data'!N406+'Supply planning data'!P406</f>
        <v>0</v>
      </c>
      <c r="M408" s="339">
        <f>'Supply planning data'!O406</f>
        <v>0</v>
      </c>
      <c r="N408" s="317">
        <f>'Supply planning data'!P406</f>
        <v>0</v>
      </c>
      <c r="O408" s="339">
        <f>'Supply planning data'!Q406</f>
        <v>0</v>
      </c>
      <c r="P408" s="98">
        <f>'Supply planning data'!R406</f>
        <v>0</v>
      </c>
      <c r="Q408" s="98">
        <f>'Supply planning data'!S406</f>
        <v>0</v>
      </c>
      <c r="R408" s="98">
        <f>'Supply planning data'!T406</f>
        <v>0</v>
      </c>
      <c r="S408" s="98">
        <f>'Supply planning data'!U406</f>
        <v>0</v>
      </c>
      <c r="T408" s="98">
        <f>'Supply planning data'!V406</f>
        <v>0</v>
      </c>
      <c r="U408" s="325" t="str">
        <f>'Supply planning data'!W406</f>
        <v/>
      </c>
      <c r="V408" s="98">
        <f>'Supply planning data'!X406</f>
        <v>0</v>
      </c>
      <c r="W408" s="317">
        <f>'Supply planning data'!Y406</f>
        <v>0</v>
      </c>
      <c r="X408" s="328">
        <f>'Supply planning data'!Z406</f>
        <v>0</v>
      </c>
      <c r="Y408" s="98">
        <f>'Supply planning data'!AA406</f>
        <v>0</v>
      </c>
      <c r="Z408" s="98">
        <f>'Supply planning data'!AB406</f>
        <v>0</v>
      </c>
      <c r="AA408" s="98">
        <f>'Supply planning data'!AC406</f>
        <v>0</v>
      </c>
      <c r="AB408" s="98">
        <f>'Supply planning data'!AD406</f>
        <v>0</v>
      </c>
      <c r="AC408" s="98">
        <f>'Supply planning data'!AE406</f>
        <v>0</v>
      </c>
      <c r="AD408" s="325" t="str">
        <f>'Supply planning data'!AF406</f>
        <v/>
      </c>
      <c r="AE408" s="98">
        <f>'Supply planning data'!AG406</f>
        <v>0</v>
      </c>
      <c r="AF408" s="317">
        <f>'Supply planning data'!AH406</f>
        <v>0</v>
      </c>
      <c r="AG408" s="175">
        <f>'Supply planning data'!AI406</f>
        <v>0</v>
      </c>
      <c r="AH408" s="98">
        <f>'Supply planning data'!AJ406</f>
        <v>0</v>
      </c>
      <c r="AI408" s="98">
        <f>'Supply planning data'!AK406</f>
        <v>0</v>
      </c>
      <c r="AJ408" s="98">
        <f>'Supply planning data'!AL406</f>
        <v>0</v>
      </c>
      <c r="AK408" s="98">
        <f>'Supply planning data'!AM406</f>
        <v>0</v>
      </c>
      <c r="AL408" s="98">
        <f>'Supply planning data'!AN406</f>
        <v>0</v>
      </c>
      <c r="AM408" s="325" t="str">
        <f>'Supply planning data'!AO406</f>
        <v/>
      </c>
    </row>
    <row r="409" spans="1:39" hidden="1" x14ac:dyDescent="0.25">
      <c r="A409" s="90" t="str">
        <f>'Supply planning data'!C407</f>
        <v/>
      </c>
      <c r="B409" s="296">
        <f>'Supply planning data'!D407</f>
        <v>44986</v>
      </c>
      <c r="C409" s="92" t="str">
        <f>'Supply planning data'!E407</f>
        <v>No</v>
      </c>
      <c r="D409" s="92">
        <f>'Supply planning data'!F407</f>
        <v>0</v>
      </c>
      <c r="E409" s="316">
        <f>'Supply planning data'!G407</f>
        <v>0</v>
      </c>
      <c r="F409" s="317">
        <f>'Supply planning data'!H407</f>
        <v>0</v>
      </c>
      <c r="G409" s="317">
        <f>'Supply planning data'!I407</f>
        <v>0</v>
      </c>
      <c r="H409" s="98">
        <f>'Supply planning data'!J407</f>
        <v>0</v>
      </c>
      <c r="I409" s="317">
        <f>'Supply planning data'!K407</f>
        <v>0</v>
      </c>
      <c r="J409" s="175" t="str">
        <f>'Supply planning data'!L407</f>
        <v/>
      </c>
      <c r="K409" s="98">
        <f>'Supply planning data'!M407</f>
        <v>0</v>
      </c>
      <c r="L409" s="317">
        <f>'Supply planning data'!N407+'Supply planning data'!P407</f>
        <v>0</v>
      </c>
      <c r="M409" s="339">
        <f>'Supply planning data'!O407</f>
        <v>0</v>
      </c>
      <c r="N409" s="317">
        <f>'Supply planning data'!P407</f>
        <v>0</v>
      </c>
      <c r="O409" s="339">
        <f>'Supply planning data'!Q407</f>
        <v>0</v>
      </c>
      <c r="P409" s="98">
        <f>'Supply planning data'!R407</f>
        <v>0</v>
      </c>
      <c r="Q409" s="98">
        <f>'Supply planning data'!S407</f>
        <v>0</v>
      </c>
      <c r="R409" s="98">
        <f>'Supply planning data'!T407</f>
        <v>0</v>
      </c>
      <c r="S409" s="98">
        <f>'Supply planning data'!U407</f>
        <v>0</v>
      </c>
      <c r="T409" s="98">
        <f>'Supply planning data'!V407</f>
        <v>0</v>
      </c>
      <c r="U409" s="325" t="str">
        <f>'Supply planning data'!W407</f>
        <v/>
      </c>
      <c r="V409" s="98">
        <f>'Supply planning data'!X407</f>
        <v>0</v>
      </c>
      <c r="W409" s="317">
        <f>'Supply planning data'!Y407</f>
        <v>0</v>
      </c>
      <c r="X409" s="328">
        <f>'Supply planning data'!Z407</f>
        <v>0</v>
      </c>
      <c r="Y409" s="98">
        <f>'Supply planning data'!AA407</f>
        <v>0</v>
      </c>
      <c r="Z409" s="98">
        <f>'Supply planning data'!AB407</f>
        <v>0</v>
      </c>
      <c r="AA409" s="98">
        <f>'Supply planning data'!AC407</f>
        <v>0</v>
      </c>
      <c r="AB409" s="98">
        <f>'Supply planning data'!AD407</f>
        <v>0</v>
      </c>
      <c r="AC409" s="98">
        <f>'Supply planning data'!AE407</f>
        <v>0</v>
      </c>
      <c r="AD409" s="325" t="str">
        <f>'Supply planning data'!AF407</f>
        <v/>
      </c>
      <c r="AE409" s="98">
        <f>'Supply planning data'!AG407</f>
        <v>0</v>
      </c>
      <c r="AF409" s="317">
        <f>'Supply planning data'!AH407</f>
        <v>0</v>
      </c>
      <c r="AG409" s="175">
        <f>'Supply planning data'!AI407</f>
        <v>0</v>
      </c>
      <c r="AH409" s="98">
        <f>'Supply planning data'!AJ407</f>
        <v>0</v>
      </c>
      <c r="AI409" s="98">
        <f>'Supply planning data'!AK407</f>
        <v>0</v>
      </c>
      <c r="AJ409" s="98">
        <f>'Supply planning data'!AL407</f>
        <v>0</v>
      </c>
      <c r="AK409" s="98">
        <f>'Supply planning data'!AM407</f>
        <v>0</v>
      </c>
      <c r="AL409" s="98">
        <f>'Supply planning data'!AN407</f>
        <v>0</v>
      </c>
      <c r="AM409" s="325" t="str">
        <f>'Supply planning data'!AO407</f>
        <v/>
      </c>
    </row>
    <row r="410" spans="1:39" hidden="1" x14ac:dyDescent="0.25">
      <c r="A410" s="90" t="str">
        <f>'Supply planning data'!C408</f>
        <v/>
      </c>
      <c r="B410" s="296">
        <f>'Supply planning data'!D408</f>
        <v>44986</v>
      </c>
      <c r="C410" s="92" t="str">
        <f>'Supply planning data'!E408</f>
        <v>No</v>
      </c>
      <c r="D410" s="92">
        <f>'Supply planning data'!F408</f>
        <v>0</v>
      </c>
      <c r="E410" s="316">
        <f>'Supply planning data'!G408</f>
        <v>0</v>
      </c>
      <c r="F410" s="317">
        <f>'Supply planning data'!H408</f>
        <v>0</v>
      </c>
      <c r="G410" s="317">
        <f>'Supply planning data'!I408</f>
        <v>0</v>
      </c>
      <c r="H410" s="98">
        <f>'Supply planning data'!J408</f>
        <v>0</v>
      </c>
      <c r="I410" s="317">
        <f>'Supply planning data'!K408</f>
        <v>0</v>
      </c>
      <c r="J410" s="175" t="str">
        <f>'Supply planning data'!L408</f>
        <v/>
      </c>
      <c r="K410" s="98">
        <f>'Supply planning data'!M408</f>
        <v>0</v>
      </c>
      <c r="L410" s="317">
        <f>'Supply planning data'!N408+'Supply planning data'!P408</f>
        <v>0</v>
      </c>
      <c r="M410" s="339">
        <f>'Supply planning data'!O408</f>
        <v>0</v>
      </c>
      <c r="N410" s="317">
        <f>'Supply planning data'!P408</f>
        <v>0</v>
      </c>
      <c r="O410" s="339">
        <f>'Supply planning data'!Q408</f>
        <v>0</v>
      </c>
      <c r="P410" s="98">
        <f>'Supply planning data'!R408</f>
        <v>0</v>
      </c>
      <c r="Q410" s="98">
        <f>'Supply planning data'!S408</f>
        <v>0</v>
      </c>
      <c r="R410" s="98">
        <f>'Supply planning data'!T408</f>
        <v>0</v>
      </c>
      <c r="S410" s="98">
        <f>'Supply planning data'!U408</f>
        <v>0</v>
      </c>
      <c r="T410" s="98">
        <f>'Supply planning data'!V408</f>
        <v>0</v>
      </c>
      <c r="U410" s="325" t="str">
        <f>'Supply planning data'!W408</f>
        <v/>
      </c>
      <c r="V410" s="98">
        <f>'Supply planning data'!X408</f>
        <v>0</v>
      </c>
      <c r="W410" s="317">
        <f>'Supply planning data'!Y408</f>
        <v>0</v>
      </c>
      <c r="X410" s="328">
        <f>'Supply planning data'!Z408</f>
        <v>0</v>
      </c>
      <c r="Y410" s="98">
        <f>'Supply planning data'!AA408</f>
        <v>0</v>
      </c>
      <c r="Z410" s="98">
        <f>'Supply planning data'!AB408</f>
        <v>0</v>
      </c>
      <c r="AA410" s="98">
        <f>'Supply planning data'!AC408</f>
        <v>0</v>
      </c>
      <c r="AB410" s="98">
        <f>'Supply planning data'!AD408</f>
        <v>0</v>
      </c>
      <c r="AC410" s="98">
        <f>'Supply planning data'!AE408</f>
        <v>0</v>
      </c>
      <c r="AD410" s="325" t="str">
        <f>'Supply planning data'!AF408</f>
        <v/>
      </c>
      <c r="AE410" s="98">
        <f>'Supply planning data'!AG408</f>
        <v>0</v>
      </c>
      <c r="AF410" s="317">
        <f>'Supply planning data'!AH408</f>
        <v>0</v>
      </c>
      <c r="AG410" s="175">
        <f>'Supply planning data'!AI408</f>
        <v>0</v>
      </c>
      <c r="AH410" s="98">
        <f>'Supply planning data'!AJ408</f>
        <v>0</v>
      </c>
      <c r="AI410" s="98">
        <f>'Supply planning data'!AK408</f>
        <v>0</v>
      </c>
      <c r="AJ410" s="98">
        <f>'Supply planning data'!AL408</f>
        <v>0</v>
      </c>
      <c r="AK410" s="98">
        <f>'Supply planning data'!AM408</f>
        <v>0</v>
      </c>
      <c r="AL410" s="98">
        <f>'Supply planning data'!AN408</f>
        <v>0</v>
      </c>
      <c r="AM410" s="325" t="str">
        <f>'Supply planning data'!AO408</f>
        <v/>
      </c>
    </row>
    <row r="411" spans="1:39" hidden="1" x14ac:dyDescent="0.25">
      <c r="A411" s="90" t="str">
        <f>'Supply planning data'!C409</f>
        <v/>
      </c>
      <c r="B411" s="296">
        <f>'Supply planning data'!D409</f>
        <v>44986</v>
      </c>
      <c r="C411" s="92" t="str">
        <f>'Supply planning data'!E409</f>
        <v>No</v>
      </c>
      <c r="D411" s="92">
        <f>'Supply planning data'!F409</f>
        <v>0</v>
      </c>
      <c r="E411" s="316">
        <f>'Supply planning data'!G409</f>
        <v>0</v>
      </c>
      <c r="F411" s="317">
        <f>'Supply planning data'!H409</f>
        <v>0</v>
      </c>
      <c r="G411" s="317">
        <f>'Supply planning data'!I409</f>
        <v>0</v>
      </c>
      <c r="H411" s="98">
        <f>'Supply planning data'!J409</f>
        <v>0</v>
      </c>
      <c r="I411" s="317">
        <f>'Supply planning data'!K409</f>
        <v>0</v>
      </c>
      <c r="J411" s="175" t="str">
        <f>'Supply planning data'!L409</f>
        <v/>
      </c>
      <c r="K411" s="98">
        <f>'Supply planning data'!M409</f>
        <v>0</v>
      </c>
      <c r="L411" s="317">
        <f>'Supply planning data'!N409+'Supply planning data'!P409</f>
        <v>0</v>
      </c>
      <c r="M411" s="339">
        <f>'Supply planning data'!O409</f>
        <v>0</v>
      </c>
      <c r="N411" s="317">
        <f>'Supply planning data'!P409</f>
        <v>0</v>
      </c>
      <c r="O411" s="339">
        <f>'Supply planning data'!Q409</f>
        <v>0</v>
      </c>
      <c r="P411" s="98">
        <f>'Supply planning data'!R409</f>
        <v>0</v>
      </c>
      <c r="Q411" s="98">
        <f>'Supply planning data'!S409</f>
        <v>0</v>
      </c>
      <c r="R411" s="98">
        <f>'Supply planning data'!T409</f>
        <v>0</v>
      </c>
      <c r="S411" s="98">
        <f>'Supply planning data'!U409</f>
        <v>0</v>
      </c>
      <c r="T411" s="98">
        <f>'Supply planning data'!V409</f>
        <v>0</v>
      </c>
      <c r="U411" s="325" t="str">
        <f>'Supply planning data'!W409</f>
        <v/>
      </c>
      <c r="V411" s="98">
        <f>'Supply planning data'!X409</f>
        <v>0</v>
      </c>
      <c r="W411" s="317">
        <f>'Supply planning data'!Y409</f>
        <v>0</v>
      </c>
      <c r="X411" s="328">
        <f>'Supply planning data'!Z409</f>
        <v>0</v>
      </c>
      <c r="Y411" s="98">
        <f>'Supply planning data'!AA409</f>
        <v>0</v>
      </c>
      <c r="Z411" s="98">
        <f>'Supply planning data'!AB409</f>
        <v>0</v>
      </c>
      <c r="AA411" s="98">
        <f>'Supply planning data'!AC409</f>
        <v>0</v>
      </c>
      <c r="AB411" s="98">
        <f>'Supply planning data'!AD409</f>
        <v>0</v>
      </c>
      <c r="AC411" s="98">
        <f>'Supply planning data'!AE409</f>
        <v>0</v>
      </c>
      <c r="AD411" s="325" t="str">
        <f>'Supply planning data'!AF409</f>
        <v/>
      </c>
      <c r="AE411" s="98">
        <f>'Supply planning data'!AG409</f>
        <v>0</v>
      </c>
      <c r="AF411" s="317">
        <f>'Supply planning data'!AH409</f>
        <v>0</v>
      </c>
      <c r="AG411" s="175">
        <f>'Supply planning data'!AI409</f>
        <v>0</v>
      </c>
      <c r="AH411" s="98">
        <f>'Supply planning data'!AJ409</f>
        <v>0</v>
      </c>
      <c r="AI411" s="98">
        <f>'Supply planning data'!AK409</f>
        <v>0</v>
      </c>
      <c r="AJ411" s="98">
        <f>'Supply planning data'!AL409</f>
        <v>0</v>
      </c>
      <c r="AK411" s="98">
        <f>'Supply planning data'!AM409</f>
        <v>0</v>
      </c>
      <c r="AL411" s="98">
        <f>'Supply planning data'!AN409</f>
        <v>0</v>
      </c>
      <c r="AM411" s="325" t="str">
        <f>'Supply planning data'!AO409</f>
        <v/>
      </c>
    </row>
    <row r="412" spans="1:39" x14ac:dyDescent="0.25">
      <c r="A412" s="104" t="str">
        <f>'Supply planning data'!C410</f>
        <v>AstraZeneca</v>
      </c>
      <c r="B412" s="298">
        <f>'Supply planning data'!D410</f>
        <v>45017</v>
      </c>
      <c r="C412" s="105" t="str">
        <f>'Supply planning data'!E410</f>
        <v>Yes</v>
      </c>
      <c r="D412" s="105">
        <f>'Supply planning data'!F410</f>
        <v>0</v>
      </c>
      <c r="E412" s="320">
        <f>'Supply planning data'!G410</f>
        <v>0</v>
      </c>
      <c r="F412" s="320">
        <f>'Supply planning data'!H410</f>
        <v>0</v>
      </c>
      <c r="G412" s="320">
        <f>'Supply planning data'!I410</f>
        <v>0</v>
      </c>
      <c r="H412" s="105">
        <f>'Supply planning data'!J410</f>
        <v>0</v>
      </c>
      <c r="I412" s="320">
        <f>'Supply planning data'!K410</f>
        <v>0</v>
      </c>
      <c r="J412" s="177" t="str">
        <f>'Supply planning data'!L410</f>
        <v/>
      </c>
      <c r="K412" s="105">
        <f>'Supply planning data'!M410</f>
        <v>0</v>
      </c>
      <c r="L412" s="320">
        <f>'Supply planning data'!N410+'Supply planning data'!P410</f>
        <v>0</v>
      </c>
      <c r="M412" s="341">
        <f>'Supply planning data'!O410</f>
        <v>0</v>
      </c>
      <c r="N412" s="320">
        <f>'Supply planning data'!P410</f>
        <v>0</v>
      </c>
      <c r="O412" s="341">
        <f>'Supply planning data'!Q410</f>
        <v>0</v>
      </c>
      <c r="P412" s="105">
        <f>'Supply planning data'!R410</f>
        <v>0</v>
      </c>
      <c r="Q412" s="105">
        <f>'Supply planning data'!S410</f>
        <v>0</v>
      </c>
      <c r="R412" s="105">
        <f>'Supply planning data'!T410</f>
        <v>0</v>
      </c>
      <c r="S412" s="105">
        <f>'Supply planning data'!U410</f>
        <v>0</v>
      </c>
      <c r="T412" s="105">
        <f>'Supply planning data'!V410</f>
        <v>0</v>
      </c>
      <c r="U412" s="326" t="str">
        <f>'Supply planning data'!W410</f>
        <v/>
      </c>
      <c r="V412" s="105">
        <f>'Supply planning data'!X410</f>
        <v>154701</v>
      </c>
      <c r="W412" s="320">
        <f>'Supply planning data'!Y410</f>
        <v>0</v>
      </c>
      <c r="X412" s="329">
        <f>'Supply planning data'!Z410</f>
        <v>0</v>
      </c>
      <c r="Y412" s="105">
        <f>'Supply planning data'!AA410</f>
        <v>0</v>
      </c>
      <c r="Z412" s="105">
        <f>'Supply planning data'!AB410</f>
        <v>0</v>
      </c>
      <c r="AA412" s="105">
        <f>'Supply planning data'!AC410</f>
        <v>0</v>
      </c>
      <c r="AB412" s="105">
        <f>'Supply planning data'!AD410</f>
        <v>0</v>
      </c>
      <c r="AC412" s="105">
        <f>'Supply planning data'!AE410</f>
        <v>154701</v>
      </c>
      <c r="AD412" s="326" t="str">
        <f>'Supply planning data'!AF410</f>
        <v/>
      </c>
      <c r="AE412" s="105">
        <f>'Supply planning data'!AG410</f>
        <v>0</v>
      </c>
      <c r="AF412" s="320">
        <f>'Supply planning data'!AH410</f>
        <v>0</v>
      </c>
      <c r="AG412" s="177">
        <f>'Supply planning data'!AI410</f>
        <v>0</v>
      </c>
      <c r="AH412" s="105">
        <f>'Supply planning data'!AJ410</f>
        <v>0</v>
      </c>
      <c r="AI412" s="105">
        <f>'Supply planning data'!AK410</f>
        <v>0</v>
      </c>
      <c r="AJ412" s="105">
        <f>'Supply planning data'!AL410</f>
        <v>0</v>
      </c>
      <c r="AK412" s="105">
        <f>'Supply planning data'!AM410</f>
        <v>0</v>
      </c>
      <c r="AL412" s="105">
        <f>'Supply planning data'!AN410</f>
        <v>0</v>
      </c>
      <c r="AM412" s="326" t="str">
        <f>'Supply planning data'!AO410</f>
        <v/>
      </c>
    </row>
    <row r="413" spans="1:39" x14ac:dyDescent="0.25">
      <c r="A413" s="109" t="str">
        <f>'Supply planning data'!C411</f>
        <v>Jansen</v>
      </c>
      <c r="B413" s="298">
        <f>'Supply planning data'!D411</f>
        <v>45017</v>
      </c>
      <c r="C413" s="105" t="str">
        <f>'Supply planning data'!E411</f>
        <v>Yes</v>
      </c>
      <c r="D413" s="105">
        <f>'Supply planning data'!F411</f>
        <v>2258747</v>
      </c>
      <c r="E413" s="320">
        <f>'Supply planning data'!G411</f>
        <v>0</v>
      </c>
      <c r="F413" s="320">
        <f>'Supply planning data'!H411</f>
        <v>0</v>
      </c>
      <c r="G413" s="320">
        <f>'Supply planning data'!I411</f>
        <v>0</v>
      </c>
      <c r="H413" s="105">
        <f>'Supply planning data'!J411</f>
        <v>0</v>
      </c>
      <c r="I413" s="320">
        <f>'Supply planning data'!K411</f>
        <v>0</v>
      </c>
      <c r="J413" s="177" t="str">
        <f>'Supply planning data'!L411</f>
        <v/>
      </c>
      <c r="K413" s="105">
        <f>'Supply planning data'!M411</f>
        <v>0</v>
      </c>
      <c r="L413" s="321">
        <f>'Supply planning data'!N411+'Supply planning data'!P411</f>
        <v>0</v>
      </c>
      <c r="M413" s="342">
        <f>'Supply planning data'!O411</f>
        <v>0</v>
      </c>
      <c r="N413" s="321">
        <f>'Supply planning data'!P411</f>
        <v>0</v>
      </c>
      <c r="O413" s="342">
        <f>'Supply planning data'!Q411</f>
        <v>0</v>
      </c>
      <c r="P413" s="111">
        <f>'Supply planning data'!R411</f>
        <v>0</v>
      </c>
      <c r="Q413" s="111">
        <f>'Supply planning data'!S411</f>
        <v>0</v>
      </c>
      <c r="R413" s="111">
        <f>'Supply planning data'!T411</f>
        <v>0</v>
      </c>
      <c r="S413" s="111">
        <f>'Supply planning data'!U411</f>
        <v>0</v>
      </c>
      <c r="T413" s="111">
        <f>'Supply planning data'!V411</f>
        <v>2258747</v>
      </c>
      <c r="U413" s="327" t="str">
        <f>'Supply planning data'!W411</f>
        <v/>
      </c>
      <c r="V413" s="111">
        <f>'Supply planning data'!X411</f>
        <v>1698747</v>
      </c>
      <c r="W413" s="321">
        <f>'Supply planning data'!Y411</f>
        <v>0</v>
      </c>
      <c r="X413" s="329">
        <f>'Supply planning data'!Z411</f>
        <v>0</v>
      </c>
      <c r="Y413" s="111">
        <f>'Supply planning data'!AA411</f>
        <v>0</v>
      </c>
      <c r="Z413" s="111">
        <f>'Supply planning data'!AB411</f>
        <v>0</v>
      </c>
      <c r="AA413" s="111">
        <f>'Supply planning data'!AC411</f>
        <v>0</v>
      </c>
      <c r="AB413" s="111">
        <f>'Supply planning data'!AD411</f>
        <v>0</v>
      </c>
      <c r="AC413" s="111">
        <f>'Supply planning data'!AE411</f>
        <v>1698747</v>
      </c>
      <c r="AD413" s="327" t="str">
        <f>'Supply planning data'!AF411</f>
        <v/>
      </c>
      <c r="AE413" s="111">
        <f>'Supply planning data'!AG411</f>
        <v>2258747</v>
      </c>
      <c r="AF413" s="321">
        <f>'Supply planning data'!AH411</f>
        <v>0</v>
      </c>
      <c r="AG413" s="349">
        <f>'Supply planning data'!AI411</f>
        <v>0</v>
      </c>
      <c r="AH413" s="111">
        <f>'Supply planning data'!AJ411</f>
        <v>0</v>
      </c>
      <c r="AI413" s="111">
        <f>'Supply planning data'!AK411</f>
        <v>0</v>
      </c>
      <c r="AJ413" s="111">
        <f>'Supply planning data'!AL411</f>
        <v>0</v>
      </c>
      <c r="AK413" s="111">
        <f>'Supply planning data'!AM411</f>
        <v>0</v>
      </c>
      <c r="AL413" s="111">
        <f>'Supply planning data'!AN411</f>
        <v>2258747</v>
      </c>
      <c r="AM413" s="327" t="str">
        <f>'Supply planning data'!AO411</f>
        <v/>
      </c>
    </row>
    <row r="414" spans="1:39" x14ac:dyDescent="0.25">
      <c r="A414" s="104" t="str">
        <f>'Supply planning data'!C412</f>
        <v>Moderna</v>
      </c>
      <c r="B414" s="298">
        <f>'Supply planning data'!D412</f>
        <v>45017</v>
      </c>
      <c r="C414" s="105" t="str">
        <f>'Supply planning data'!E412</f>
        <v>No</v>
      </c>
      <c r="D414" s="105">
        <f>'Supply planning data'!F412</f>
        <v>0</v>
      </c>
      <c r="E414" s="320">
        <f>'Supply planning data'!G412</f>
        <v>0</v>
      </c>
      <c r="F414" s="320">
        <f>'Supply planning data'!H412</f>
        <v>0</v>
      </c>
      <c r="G414" s="320">
        <f>'Supply planning data'!I412</f>
        <v>0</v>
      </c>
      <c r="H414" s="105">
        <f>'Supply planning data'!J412</f>
        <v>0</v>
      </c>
      <c r="I414" s="320">
        <f>'Supply planning data'!K412</f>
        <v>0</v>
      </c>
      <c r="J414" s="177" t="str">
        <f>'Supply planning data'!L412</f>
        <v/>
      </c>
      <c r="K414" s="105">
        <f>'Supply planning data'!M412</f>
        <v>0</v>
      </c>
      <c r="L414" s="321">
        <f>'Supply planning data'!N412+'Supply planning data'!P412</f>
        <v>0</v>
      </c>
      <c r="M414" s="342">
        <f>'Supply planning data'!O412</f>
        <v>0</v>
      </c>
      <c r="N414" s="321">
        <f>'Supply planning data'!P412</f>
        <v>0</v>
      </c>
      <c r="O414" s="342">
        <f>'Supply planning data'!Q412</f>
        <v>0</v>
      </c>
      <c r="P414" s="111">
        <f>'Supply planning data'!R412</f>
        <v>0</v>
      </c>
      <c r="Q414" s="111">
        <f>'Supply planning data'!S412</f>
        <v>0</v>
      </c>
      <c r="R414" s="111">
        <f>'Supply planning data'!T412</f>
        <v>0</v>
      </c>
      <c r="S414" s="111">
        <f>'Supply planning data'!U412</f>
        <v>0</v>
      </c>
      <c r="T414" s="111">
        <f>'Supply planning data'!V412</f>
        <v>0</v>
      </c>
      <c r="U414" s="327" t="str">
        <f>'Supply planning data'!W412</f>
        <v/>
      </c>
      <c r="V414" s="111">
        <f>'Supply planning data'!X412</f>
        <v>0</v>
      </c>
      <c r="W414" s="321">
        <f>'Supply planning data'!Y412</f>
        <v>0</v>
      </c>
      <c r="X414" s="329">
        <f>'Supply planning data'!Z412</f>
        <v>0</v>
      </c>
      <c r="Y414" s="111">
        <f>'Supply planning data'!AA412</f>
        <v>0</v>
      </c>
      <c r="Z414" s="111">
        <f>'Supply planning data'!AB412</f>
        <v>0</v>
      </c>
      <c r="AA414" s="111">
        <f>'Supply planning data'!AC412</f>
        <v>0</v>
      </c>
      <c r="AB414" s="111">
        <f>'Supply planning data'!AD412</f>
        <v>0</v>
      </c>
      <c r="AC414" s="111">
        <f>'Supply planning data'!AE412</f>
        <v>0</v>
      </c>
      <c r="AD414" s="327" t="str">
        <f>'Supply planning data'!AF412</f>
        <v/>
      </c>
      <c r="AE414" s="111">
        <f>'Supply planning data'!AG412</f>
        <v>0</v>
      </c>
      <c r="AF414" s="321">
        <f>'Supply planning data'!AH412</f>
        <v>0</v>
      </c>
      <c r="AG414" s="349">
        <f>'Supply planning data'!AI412</f>
        <v>0</v>
      </c>
      <c r="AH414" s="111">
        <f>'Supply planning data'!AJ412</f>
        <v>0</v>
      </c>
      <c r="AI414" s="111">
        <f>'Supply planning data'!AK412</f>
        <v>0</v>
      </c>
      <c r="AJ414" s="111">
        <f>'Supply planning data'!AL412</f>
        <v>0</v>
      </c>
      <c r="AK414" s="111">
        <f>'Supply planning data'!AM412</f>
        <v>0</v>
      </c>
      <c r="AL414" s="111">
        <f>'Supply planning data'!AN412</f>
        <v>0</v>
      </c>
      <c r="AM414" s="327" t="str">
        <f>'Supply planning data'!AO412</f>
        <v/>
      </c>
    </row>
    <row r="415" spans="1:39" x14ac:dyDescent="0.25">
      <c r="A415" s="109" t="str">
        <f>'Supply planning data'!C413</f>
        <v>Pfizer</v>
      </c>
      <c r="B415" s="298">
        <f>'Supply planning data'!D413</f>
        <v>45017</v>
      </c>
      <c r="C415" s="105" t="str">
        <f>'Supply planning data'!E413</f>
        <v>Yes</v>
      </c>
      <c r="D415" s="105">
        <f>'Supply planning data'!F413</f>
        <v>3000000</v>
      </c>
      <c r="E415" s="320">
        <f>'Supply planning data'!G413</f>
        <v>0</v>
      </c>
      <c r="F415" s="320">
        <f>'Supply planning data'!H413</f>
        <v>0</v>
      </c>
      <c r="G415" s="320">
        <f>'Supply planning data'!I413</f>
        <v>0</v>
      </c>
      <c r="H415" s="105">
        <f>'Supply planning data'!J413</f>
        <v>0</v>
      </c>
      <c r="I415" s="320">
        <f>'Supply planning data'!K413</f>
        <v>0</v>
      </c>
      <c r="J415" s="177" t="str">
        <f>'Supply planning data'!L413</f>
        <v/>
      </c>
      <c r="K415" s="105">
        <f>'Supply planning data'!M413</f>
        <v>0</v>
      </c>
      <c r="L415" s="321">
        <f>'Supply planning data'!N413+'Supply planning data'!P413</f>
        <v>0</v>
      </c>
      <c r="M415" s="342">
        <f>'Supply planning data'!O413</f>
        <v>0</v>
      </c>
      <c r="N415" s="321">
        <f>'Supply planning data'!P413</f>
        <v>0</v>
      </c>
      <c r="O415" s="342">
        <f>'Supply planning data'!Q413</f>
        <v>0</v>
      </c>
      <c r="P415" s="111">
        <f>'Supply planning data'!R413</f>
        <v>0</v>
      </c>
      <c r="Q415" s="111">
        <f>'Supply planning data'!S413</f>
        <v>0</v>
      </c>
      <c r="R415" s="111">
        <f>'Supply planning data'!T413</f>
        <v>110538</v>
      </c>
      <c r="S415" s="111">
        <f>'Supply planning data'!U413</f>
        <v>0</v>
      </c>
      <c r="T415" s="111">
        <f>'Supply planning data'!V413</f>
        <v>3000000</v>
      </c>
      <c r="U415" s="327" t="str">
        <f>'Supply planning data'!W413</f>
        <v/>
      </c>
      <c r="V415" s="111">
        <f>'Supply planning data'!X413</f>
        <v>2440000</v>
      </c>
      <c r="W415" s="321">
        <f>'Supply planning data'!Y413</f>
        <v>0</v>
      </c>
      <c r="X415" s="329">
        <f>'Supply planning data'!Z413</f>
        <v>0</v>
      </c>
      <c r="Y415" s="111">
        <f>'Supply planning data'!AA413</f>
        <v>0</v>
      </c>
      <c r="Z415" s="111">
        <f>'Supply planning data'!AB413</f>
        <v>0</v>
      </c>
      <c r="AA415" s="111">
        <f>'Supply planning data'!AC413</f>
        <v>0</v>
      </c>
      <c r="AB415" s="111">
        <f>'Supply planning data'!AD413</f>
        <v>0</v>
      </c>
      <c r="AC415" s="111">
        <f>'Supply planning data'!AE413</f>
        <v>2440000</v>
      </c>
      <c r="AD415" s="327" t="str">
        <f>'Supply planning data'!AF413</f>
        <v/>
      </c>
      <c r="AE415" s="111">
        <f>'Supply planning data'!AG413</f>
        <v>3000000</v>
      </c>
      <c r="AF415" s="321">
        <f>'Supply planning data'!AH413</f>
        <v>0</v>
      </c>
      <c r="AG415" s="349">
        <f>'Supply planning data'!AI413</f>
        <v>0</v>
      </c>
      <c r="AH415" s="111">
        <f>'Supply planning data'!AJ413</f>
        <v>0</v>
      </c>
      <c r="AI415" s="111">
        <f>'Supply planning data'!AK413</f>
        <v>0</v>
      </c>
      <c r="AJ415" s="111">
        <f>'Supply planning data'!AL413</f>
        <v>110538</v>
      </c>
      <c r="AK415" s="111">
        <f>'Supply planning data'!AM413</f>
        <v>0</v>
      </c>
      <c r="AL415" s="111">
        <f>'Supply planning data'!AN413</f>
        <v>3000000</v>
      </c>
      <c r="AM415" s="327" t="str">
        <f>'Supply planning data'!AO413</f>
        <v/>
      </c>
    </row>
    <row r="416" spans="1:39" x14ac:dyDescent="0.25">
      <c r="A416" s="104" t="str">
        <f>'Supply planning data'!C414</f>
        <v>Sinovac</v>
      </c>
      <c r="B416" s="298">
        <f>'Supply planning data'!D414</f>
        <v>45017</v>
      </c>
      <c r="C416" s="105" t="str">
        <f>'Supply planning data'!E414</f>
        <v>No</v>
      </c>
      <c r="D416" s="105">
        <f>'Supply planning data'!F414</f>
        <v>0</v>
      </c>
      <c r="E416" s="320">
        <f>'Supply planning data'!G414</f>
        <v>0</v>
      </c>
      <c r="F416" s="320">
        <f>'Supply planning data'!H414</f>
        <v>0</v>
      </c>
      <c r="G416" s="320">
        <f>'Supply planning data'!I414</f>
        <v>0</v>
      </c>
      <c r="H416" s="105">
        <f>'Supply planning data'!J414</f>
        <v>0</v>
      </c>
      <c r="I416" s="320">
        <f>'Supply planning data'!K414</f>
        <v>0</v>
      </c>
      <c r="J416" s="177" t="str">
        <f>'Supply planning data'!L414</f>
        <v/>
      </c>
      <c r="K416" s="105">
        <f>'Supply planning data'!M414</f>
        <v>0</v>
      </c>
      <c r="L416" s="321">
        <f>'Supply planning data'!N414+'Supply planning data'!P414</f>
        <v>0</v>
      </c>
      <c r="M416" s="342">
        <f>'Supply planning data'!O414</f>
        <v>0</v>
      </c>
      <c r="N416" s="321">
        <f>'Supply planning data'!P414</f>
        <v>0</v>
      </c>
      <c r="O416" s="342">
        <f>'Supply planning data'!Q414</f>
        <v>0</v>
      </c>
      <c r="P416" s="111">
        <f>'Supply planning data'!R414</f>
        <v>0</v>
      </c>
      <c r="Q416" s="111">
        <f>'Supply planning data'!S414</f>
        <v>0</v>
      </c>
      <c r="R416" s="111">
        <f>'Supply planning data'!T414</f>
        <v>0</v>
      </c>
      <c r="S416" s="111">
        <f>'Supply planning data'!U414</f>
        <v>0</v>
      </c>
      <c r="T416" s="111">
        <f>'Supply planning data'!V414</f>
        <v>0</v>
      </c>
      <c r="U416" s="327" t="str">
        <f>'Supply planning data'!W414</f>
        <v/>
      </c>
      <c r="V416" s="111">
        <f>'Supply planning data'!X414</f>
        <v>0</v>
      </c>
      <c r="W416" s="321">
        <f>'Supply planning data'!Y414</f>
        <v>0</v>
      </c>
      <c r="X416" s="329">
        <f>'Supply planning data'!Z414</f>
        <v>0</v>
      </c>
      <c r="Y416" s="111">
        <f>'Supply planning data'!AA414</f>
        <v>0</v>
      </c>
      <c r="Z416" s="111">
        <f>'Supply planning data'!AB414</f>
        <v>0</v>
      </c>
      <c r="AA416" s="111">
        <f>'Supply planning data'!AC414</f>
        <v>0</v>
      </c>
      <c r="AB416" s="111">
        <f>'Supply planning data'!AD414</f>
        <v>0</v>
      </c>
      <c r="AC416" s="111">
        <f>'Supply planning data'!AE414</f>
        <v>0</v>
      </c>
      <c r="AD416" s="327" t="str">
        <f>'Supply planning data'!AF414</f>
        <v/>
      </c>
      <c r="AE416" s="111">
        <f>'Supply planning data'!AG414</f>
        <v>0</v>
      </c>
      <c r="AF416" s="321">
        <f>'Supply planning data'!AH414</f>
        <v>0</v>
      </c>
      <c r="AG416" s="349">
        <f>'Supply planning data'!AI414</f>
        <v>0</v>
      </c>
      <c r="AH416" s="111">
        <f>'Supply planning data'!AJ414</f>
        <v>0</v>
      </c>
      <c r="AI416" s="111">
        <f>'Supply planning data'!AK414</f>
        <v>0</v>
      </c>
      <c r="AJ416" s="111">
        <f>'Supply planning data'!AL414</f>
        <v>0</v>
      </c>
      <c r="AK416" s="111">
        <f>'Supply planning data'!AM414</f>
        <v>0</v>
      </c>
      <c r="AL416" s="111">
        <f>'Supply planning data'!AN414</f>
        <v>0</v>
      </c>
      <c r="AM416" s="327" t="str">
        <f>'Supply planning data'!AO414</f>
        <v/>
      </c>
    </row>
    <row r="417" spans="1:39" hidden="1" x14ac:dyDescent="0.25">
      <c r="A417" s="109" t="str">
        <f>'Supply planning data'!C415</f>
        <v/>
      </c>
      <c r="B417" s="298">
        <f>'Supply planning data'!D415</f>
        <v>45017</v>
      </c>
      <c r="C417" s="105" t="str">
        <f>'Supply planning data'!E415</f>
        <v>No</v>
      </c>
      <c r="D417" s="105">
        <f>'Supply planning data'!F415</f>
        <v>0</v>
      </c>
      <c r="E417" s="320">
        <f>'Supply planning data'!G415</f>
        <v>0</v>
      </c>
      <c r="F417" s="320">
        <f>'Supply planning data'!H415</f>
        <v>0</v>
      </c>
      <c r="G417" s="320">
        <f>'Supply planning data'!I415</f>
        <v>0</v>
      </c>
      <c r="H417" s="105">
        <f>'Supply planning data'!J415</f>
        <v>0</v>
      </c>
      <c r="I417" s="320">
        <f>'Supply planning data'!K415</f>
        <v>0</v>
      </c>
      <c r="J417" s="177" t="str">
        <f>'Supply planning data'!L415</f>
        <v/>
      </c>
      <c r="K417" s="105">
        <f>'Supply planning data'!M415</f>
        <v>0</v>
      </c>
      <c r="L417" s="321">
        <f>'Supply planning data'!N415+'Supply planning data'!P415</f>
        <v>0</v>
      </c>
      <c r="M417" s="342">
        <f>'Supply planning data'!O415</f>
        <v>0</v>
      </c>
      <c r="N417" s="321">
        <f>'Supply planning data'!P415</f>
        <v>0</v>
      </c>
      <c r="O417" s="342">
        <f>'Supply planning data'!Q415</f>
        <v>0</v>
      </c>
      <c r="P417" s="111">
        <f>'Supply planning data'!R415</f>
        <v>0</v>
      </c>
      <c r="Q417" s="111">
        <f>'Supply planning data'!S415</f>
        <v>0</v>
      </c>
      <c r="R417" s="111">
        <f>'Supply planning data'!T415</f>
        <v>0</v>
      </c>
      <c r="S417" s="111">
        <f>'Supply planning data'!U415</f>
        <v>0</v>
      </c>
      <c r="T417" s="111">
        <f>'Supply planning data'!V415</f>
        <v>0</v>
      </c>
      <c r="U417" s="327" t="str">
        <f>'Supply planning data'!W415</f>
        <v/>
      </c>
      <c r="V417" s="111">
        <f>'Supply planning data'!X415</f>
        <v>0</v>
      </c>
      <c r="W417" s="321">
        <f>'Supply planning data'!Y415</f>
        <v>0</v>
      </c>
      <c r="X417" s="329">
        <f>'Supply planning data'!Z415</f>
        <v>0</v>
      </c>
      <c r="Y417" s="111">
        <f>'Supply planning data'!AA415</f>
        <v>0</v>
      </c>
      <c r="Z417" s="111">
        <f>'Supply planning data'!AB415</f>
        <v>0</v>
      </c>
      <c r="AA417" s="111">
        <f>'Supply planning data'!AC415</f>
        <v>0</v>
      </c>
      <c r="AB417" s="111">
        <f>'Supply planning data'!AD415</f>
        <v>0</v>
      </c>
      <c r="AC417" s="111">
        <f>'Supply planning data'!AE415</f>
        <v>0</v>
      </c>
      <c r="AD417" s="327" t="str">
        <f>'Supply planning data'!AF415</f>
        <v/>
      </c>
      <c r="AE417" s="111">
        <f>'Supply planning data'!AG415</f>
        <v>0</v>
      </c>
      <c r="AF417" s="321">
        <f>'Supply planning data'!AH415</f>
        <v>0</v>
      </c>
      <c r="AG417" s="349">
        <f>'Supply planning data'!AI415</f>
        <v>0</v>
      </c>
      <c r="AH417" s="111">
        <f>'Supply planning data'!AJ415</f>
        <v>0</v>
      </c>
      <c r="AI417" s="111">
        <f>'Supply planning data'!AK415</f>
        <v>0</v>
      </c>
      <c r="AJ417" s="111">
        <f>'Supply planning data'!AL415</f>
        <v>0</v>
      </c>
      <c r="AK417" s="111">
        <f>'Supply planning data'!AM415</f>
        <v>0</v>
      </c>
      <c r="AL417" s="111">
        <f>'Supply planning data'!AN415</f>
        <v>0</v>
      </c>
      <c r="AM417" s="327" t="str">
        <f>'Supply planning data'!AO415</f>
        <v/>
      </c>
    </row>
    <row r="418" spans="1:39" hidden="1" x14ac:dyDescent="0.25">
      <c r="A418" s="104" t="str">
        <f>'Supply planning data'!C416</f>
        <v/>
      </c>
      <c r="B418" s="298">
        <f>'Supply planning data'!D416</f>
        <v>45017</v>
      </c>
      <c r="C418" s="105" t="str">
        <f>'Supply planning data'!E416</f>
        <v>No</v>
      </c>
      <c r="D418" s="105">
        <f>'Supply planning data'!F416</f>
        <v>0</v>
      </c>
      <c r="E418" s="320">
        <f>'Supply planning data'!G416</f>
        <v>0</v>
      </c>
      <c r="F418" s="320">
        <f>'Supply planning data'!H416</f>
        <v>0</v>
      </c>
      <c r="G418" s="320">
        <f>'Supply planning data'!I416</f>
        <v>0</v>
      </c>
      <c r="H418" s="105">
        <f>'Supply planning data'!J416</f>
        <v>0</v>
      </c>
      <c r="I418" s="320">
        <f>'Supply planning data'!K416</f>
        <v>0</v>
      </c>
      <c r="J418" s="177" t="str">
        <f>'Supply planning data'!L416</f>
        <v/>
      </c>
      <c r="K418" s="105">
        <f>'Supply planning data'!M416</f>
        <v>0</v>
      </c>
      <c r="L418" s="321">
        <f>'Supply planning data'!N416+'Supply planning data'!P416</f>
        <v>0</v>
      </c>
      <c r="M418" s="342">
        <f>'Supply planning data'!O416</f>
        <v>0</v>
      </c>
      <c r="N418" s="321">
        <f>'Supply planning data'!P416</f>
        <v>0</v>
      </c>
      <c r="O418" s="342">
        <f>'Supply planning data'!Q416</f>
        <v>0</v>
      </c>
      <c r="P418" s="111">
        <f>'Supply planning data'!R416</f>
        <v>0</v>
      </c>
      <c r="Q418" s="111">
        <f>'Supply planning data'!S416</f>
        <v>0</v>
      </c>
      <c r="R418" s="111">
        <f>'Supply planning data'!T416</f>
        <v>0</v>
      </c>
      <c r="S418" s="111">
        <f>'Supply planning data'!U416</f>
        <v>0</v>
      </c>
      <c r="T418" s="111">
        <f>'Supply planning data'!V416</f>
        <v>0</v>
      </c>
      <c r="U418" s="327" t="str">
        <f>'Supply planning data'!W416</f>
        <v/>
      </c>
      <c r="V418" s="111">
        <f>'Supply planning data'!X416</f>
        <v>0</v>
      </c>
      <c r="W418" s="321">
        <f>'Supply planning data'!Y416</f>
        <v>0</v>
      </c>
      <c r="X418" s="329">
        <f>'Supply planning data'!Z416</f>
        <v>0</v>
      </c>
      <c r="Y418" s="111">
        <f>'Supply planning data'!AA416</f>
        <v>0</v>
      </c>
      <c r="Z418" s="111">
        <f>'Supply planning data'!AB416</f>
        <v>0</v>
      </c>
      <c r="AA418" s="111">
        <f>'Supply planning data'!AC416</f>
        <v>0</v>
      </c>
      <c r="AB418" s="111">
        <f>'Supply planning data'!AD416</f>
        <v>0</v>
      </c>
      <c r="AC418" s="111">
        <f>'Supply planning data'!AE416</f>
        <v>0</v>
      </c>
      <c r="AD418" s="327" t="str">
        <f>'Supply planning data'!AF416</f>
        <v/>
      </c>
      <c r="AE418" s="111">
        <f>'Supply planning data'!AG416</f>
        <v>0</v>
      </c>
      <c r="AF418" s="321">
        <f>'Supply planning data'!AH416</f>
        <v>0</v>
      </c>
      <c r="AG418" s="349">
        <f>'Supply planning data'!AI416</f>
        <v>0</v>
      </c>
      <c r="AH418" s="111">
        <f>'Supply planning data'!AJ416</f>
        <v>0</v>
      </c>
      <c r="AI418" s="111">
        <f>'Supply planning data'!AK416</f>
        <v>0</v>
      </c>
      <c r="AJ418" s="111">
        <f>'Supply planning data'!AL416</f>
        <v>0</v>
      </c>
      <c r="AK418" s="111">
        <f>'Supply planning data'!AM416</f>
        <v>0</v>
      </c>
      <c r="AL418" s="111">
        <f>'Supply planning data'!AN416</f>
        <v>0</v>
      </c>
      <c r="AM418" s="327" t="str">
        <f>'Supply planning data'!AO416</f>
        <v/>
      </c>
    </row>
    <row r="419" spans="1:39" hidden="1" x14ac:dyDescent="0.25">
      <c r="A419" s="109" t="str">
        <f>'Supply planning data'!C417</f>
        <v/>
      </c>
      <c r="B419" s="298">
        <f>'Supply planning data'!D417</f>
        <v>45017</v>
      </c>
      <c r="C419" s="105" t="str">
        <f>'Supply planning data'!E417</f>
        <v>No</v>
      </c>
      <c r="D419" s="105">
        <f>'Supply planning data'!F417</f>
        <v>0</v>
      </c>
      <c r="E419" s="320">
        <f>'Supply planning data'!G417</f>
        <v>0</v>
      </c>
      <c r="F419" s="320">
        <f>'Supply planning data'!H417</f>
        <v>0</v>
      </c>
      <c r="G419" s="320">
        <f>'Supply planning data'!I417</f>
        <v>0</v>
      </c>
      <c r="H419" s="105">
        <f>'Supply planning data'!J417</f>
        <v>0</v>
      </c>
      <c r="I419" s="320">
        <f>'Supply planning data'!K417</f>
        <v>0</v>
      </c>
      <c r="J419" s="177" t="str">
        <f>'Supply planning data'!L417</f>
        <v/>
      </c>
      <c r="K419" s="105">
        <f>'Supply planning data'!M417</f>
        <v>0</v>
      </c>
      <c r="L419" s="321">
        <f>'Supply planning data'!N417+'Supply planning data'!P417</f>
        <v>0</v>
      </c>
      <c r="M419" s="342">
        <f>'Supply planning data'!O417</f>
        <v>0</v>
      </c>
      <c r="N419" s="321">
        <f>'Supply planning data'!P417</f>
        <v>0</v>
      </c>
      <c r="O419" s="342">
        <f>'Supply planning data'!Q417</f>
        <v>0</v>
      </c>
      <c r="P419" s="111">
        <f>'Supply planning data'!R417</f>
        <v>0</v>
      </c>
      <c r="Q419" s="111">
        <f>'Supply planning data'!S417</f>
        <v>0</v>
      </c>
      <c r="R419" s="111">
        <f>'Supply planning data'!T417</f>
        <v>0</v>
      </c>
      <c r="S419" s="111">
        <f>'Supply planning data'!U417</f>
        <v>0</v>
      </c>
      <c r="T419" s="111">
        <f>'Supply planning data'!V417</f>
        <v>0</v>
      </c>
      <c r="U419" s="327" t="str">
        <f>'Supply planning data'!W417</f>
        <v/>
      </c>
      <c r="V419" s="111">
        <f>'Supply planning data'!X417</f>
        <v>0</v>
      </c>
      <c r="W419" s="321">
        <f>'Supply planning data'!Y417</f>
        <v>0</v>
      </c>
      <c r="X419" s="329">
        <f>'Supply planning data'!Z417</f>
        <v>0</v>
      </c>
      <c r="Y419" s="111">
        <f>'Supply planning data'!AA417</f>
        <v>0</v>
      </c>
      <c r="Z419" s="111">
        <f>'Supply planning data'!AB417</f>
        <v>0</v>
      </c>
      <c r="AA419" s="111">
        <f>'Supply planning data'!AC417</f>
        <v>0</v>
      </c>
      <c r="AB419" s="111">
        <f>'Supply planning data'!AD417</f>
        <v>0</v>
      </c>
      <c r="AC419" s="111">
        <f>'Supply planning data'!AE417</f>
        <v>0</v>
      </c>
      <c r="AD419" s="327" t="str">
        <f>'Supply planning data'!AF417</f>
        <v/>
      </c>
      <c r="AE419" s="111">
        <f>'Supply planning data'!AG417</f>
        <v>0</v>
      </c>
      <c r="AF419" s="321">
        <f>'Supply planning data'!AH417</f>
        <v>0</v>
      </c>
      <c r="AG419" s="349">
        <f>'Supply planning data'!AI417</f>
        <v>0</v>
      </c>
      <c r="AH419" s="111">
        <f>'Supply planning data'!AJ417</f>
        <v>0</v>
      </c>
      <c r="AI419" s="111">
        <f>'Supply planning data'!AK417</f>
        <v>0</v>
      </c>
      <c r="AJ419" s="111">
        <f>'Supply planning data'!AL417</f>
        <v>0</v>
      </c>
      <c r="AK419" s="111">
        <f>'Supply planning data'!AM417</f>
        <v>0</v>
      </c>
      <c r="AL419" s="111">
        <f>'Supply planning data'!AN417</f>
        <v>0</v>
      </c>
      <c r="AM419" s="327" t="str">
        <f>'Supply planning data'!AO417</f>
        <v/>
      </c>
    </row>
    <row r="420" spans="1:39" hidden="1" x14ac:dyDescent="0.25">
      <c r="A420" s="104" t="str">
        <f>'Supply planning data'!C418</f>
        <v/>
      </c>
      <c r="B420" s="298">
        <f>'Supply planning data'!D418</f>
        <v>45017</v>
      </c>
      <c r="C420" s="105" t="str">
        <f>'Supply planning data'!E418</f>
        <v>No</v>
      </c>
      <c r="D420" s="105">
        <f>'Supply planning data'!F418</f>
        <v>0</v>
      </c>
      <c r="E420" s="320">
        <f>'Supply planning data'!G418</f>
        <v>0</v>
      </c>
      <c r="F420" s="320">
        <f>'Supply planning data'!H418</f>
        <v>0</v>
      </c>
      <c r="G420" s="320">
        <f>'Supply planning data'!I418</f>
        <v>0</v>
      </c>
      <c r="H420" s="105">
        <f>'Supply planning data'!J418</f>
        <v>0</v>
      </c>
      <c r="I420" s="320">
        <f>'Supply planning data'!K418</f>
        <v>0</v>
      </c>
      <c r="J420" s="177" t="str">
        <f>'Supply planning data'!L418</f>
        <v/>
      </c>
      <c r="K420" s="105">
        <f>'Supply planning data'!M418</f>
        <v>0</v>
      </c>
      <c r="L420" s="321">
        <f>'Supply planning data'!N418+'Supply planning data'!P418</f>
        <v>0</v>
      </c>
      <c r="M420" s="342">
        <f>'Supply planning data'!O418</f>
        <v>0</v>
      </c>
      <c r="N420" s="321">
        <f>'Supply planning data'!P418</f>
        <v>0</v>
      </c>
      <c r="O420" s="342">
        <f>'Supply planning data'!Q418</f>
        <v>0</v>
      </c>
      <c r="P420" s="111">
        <f>'Supply planning data'!R418</f>
        <v>0</v>
      </c>
      <c r="Q420" s="111">
        <f>'Supply planning data'!S418</f>
        <v>0</v>
      </c>
      <c r="R420" s="111">
        <f>'Supply planning data'!T418</f>
        <v>0</v>
      </c>
      <c r="S420" s="111">
        <f>'Supply planning data'!U418</f>
        <v>0</v>
      </c>
      <c r="T420" s="111">
        <f>'Supply planning data'!V418</f>
        <v>0</v>
      </c>
      <c r="U420" s="327" t="str">
        <f>'Supply planning data'!W418</f>
        <v/>
      </c>
      <c r="V420" s="111">
        <f>'Supply planning data'!X418</f>
        <v>0</v>
      </c>
      <c r="W420" s="321">
        <f>'Supply planning data'!Y418</f>
        <v>0</v>
      </c>
      <c r="X420" s="329">
        <f>'Supply planning data'!Z418</f>
        <v>0</v>
      </c>
      <c r="Y420" s="111">
        <f>'Supply planning data'!AA418</f>
        <v>0</v>
      </c>
      <c r="Z420" s="111">
        <f>'Supply planning data'!AB418</f>
        <v>0</v>
      </c>
      <c r="AA420" s="111">
        <f>'Supply planning data'!AC418</f>
        <v>0</v>
      </c>
      <c r="AB420" s="111">
        <f>'Supply planning data'!AD418</f>
        <v>0</v>
      </c>
      <c r="AC420" s="111">
        <f>'Supply planning data'!AE418</f>
        <v>0</v>
      </c>
      <c r="AD420" s="327" t="str">
        <f>'Supply planning data'!AF418</f>
        <v/>
      </c>
      <c r="AE420" s="111">
        <f>'Supply planning data'!AG418</f>
        <v>0</v>
      </c>
      <c r="AF420" s="321">
        <f>'Supply planning data'!AH418</f>
        <v>0</v>
      </c>
      <c r="AG420" s="349">
        <f>'Supply planning data'!AI418</f>
        <v>0</v>
      </c>
      <c r="AH420" s="111">
        <f>'Supply planning data'!AJ418</f>
        <v>0</v>
      </c>
      <c r="AI420" s="111">
        <f>'Supply planning data'!AK418</f>
        <v>0</v>
      </c>
      <c r="AJ420" s="111">
        <f>'Supply planning data'!AL418</f>
        <v>0</v>
      </c>
      <c r="AK420" s="111">
        <f>'Supply planning data'!AM418</f>
        <v>0</v>
      </c>
      <c r="AL420" s="111">
        <f>'Supply planning data'!AN418</f>
        <v>0</v>
      </c>
      <c r="AM420" s="327" t="str">
        <f>'Supply planning data'!AO418</f>
        <v/>
      </c>
    </row>
    <row r="421" spans="1:39" hidden="1" x14ac:dyDescent="0.25">
      <c r="A421" s="109" t="str">
        <f>'Supply planning data'!C419</f>
        <v/>
      </c>
      <c r="B421" s="298">
        <f>'Supply planning data'!D419</f>
        <v>45017</v>
      </c>
      <c r="C421" s="105" t="str">
        <f>'Supply planning data'!E419</f>
        <v>No</v>
      </c>
      <c r="D421" s="105">
        <f>'Supply planning data'!F419</f>
        <v>0</v>
      </c>
      <c r="E421" s="320">
        <f>'Supply planning data'!G419</f>
        <v>0</v>
      </c>
      <c r="F421" s="320">
        <f>'Supply planning data'!H419</f>
        <v>0</v>
      </c>
      <c r="G421" s="320">
        <f>'Supply planning data'!I419</f>
        <v>0</v>
      </c>
      <c r="H421" s="105">
        <f>'Supply planning data'!J419</f>
        <v>0</v>
      </c>
      <c r="I421" s="320">
        <f>'Supply planning data'!K419</f>
        <v>0</v>
      </c>
      <c r="J421" s="177" t="str">
        <f>'Supply planning data'!L419</f>
        <v/>
      </c>
      <c r="K421" s="105">
        <f>'Supply planning data'!M419</f>
        <v>0</v>
      </c>
      <c r="L421" s="321">
        <f>'Supply planning data'!N419+'Supply planning data'!P419</f>
        <v>0</v>
      </c>
      <c r="M421" s="342">
        <f>'Supply planning data'!O419</f>
        <v>0</v>
      </c>
      <c r="N421" s="321">
        <f>'Supply planning data'!P419</f>
        <v>0</v>
      </c>
      <c r="O421" s="342">
        <f>'Supply planning data'!Q419</f>
        <v>0</v>
      </c>
      <c r="P421" s="111">
        <f>'Supply planning data'!R419</f>
        <v>0</v>
      </c>
      <c r="Q421" s="111">
        <f>'Supply planning data'!S419</f>
        <v>0</v>
      </c>
      <c r="R421" s="111">
        <f>'Supply planning data'!T419</f>
        <v>0</v>
      </c>
      <c r="S421" s="111">
        <f>'Supply planning data'!U419</f>
        <v>0</v>
      </c>
      <c r="T421" s="111">
        <f>'Supply planning data'!V419</f>
        <v>0</v>
      </c>
      <c r="U421" s="327" t="str">
        <f>'Supply planning data'!W419</f>
        <v/>
      </c>
      <c r="V421" s="111">
        <f>'Supply planning data'!X419</f>
        <v>0</v>
      </c>
      <c r="W421" s="321">
        <f>'Supply planning data'!Y419</f>
        <v>0</v>
      </c>
      <c r="X421" s="329">
        <f>'Supply planning data'!Z419</f>
        <v>0</v>
      </c>
      <c r="Y421" s="111">
        <f>'Supply planning data'!AA419</f>
        <v>0</v>
      </c>
      <c r="Z421" s="111">
        <f>'Supply planning data'!AB419</f>
        <v>0</v>
      </c>
      <c r="AA421" s="111">
        <f>'Supply planning data'!AC419</f>
        <v>0</v>
      </c>
      <c r="AB421" s="111">
        <f>'Supply planning data'!AD419</f>
        <v>0</v>
      </c>
      <c r="AC421" s="111">
        <f>'Supply planning data'!AE419</f>
        <v>0</v>
      </c>
      <c r="AD421" s="327" t="str">
        <f>'Supply planning data'!AF419</f>
        <v/>
      </c>
      <c r="AE421" s="111">
        <f>'Supply planning data'!AG419</f>
        <v>0</v>
      </c>
      <c r="AF421" s="321">
        <f>'Supply planning data'!AH419</f>
        <v>0</v>
      </c>
      <c r="AG421" s="349">
        <f>'Supply planning data'!AI419</f>
        <v>0</v>
      </c>
      <c r="AH421" s="111">
        <f>'Supply planning data'!AJ419</f>
        <v>0</v>
      </c>
      <c r="AI421" s="111">
        <f>'Supply planning data'!AK419</f>
        <v>0</v>
      </c>
      <c r="AJ421" s="111">
        <f>'Supply planning data'!AL419</f>
        <v>0</v>
      </c>
      <c r="AK421" s="111">
        <f>'Supply planning data'!AM419</f>
        <v>0</v>
      </c>
      <c r="AL421" s="111">
        <f>'Supply planning data'!AN419</f>
        <v>0</v>
      </c>
      <c r="AM421" s="327" t="str">
        <f>'Supply planning data'!AO419</f>
        <v/>
      </c>
    </row>
    <row r="422" spans="1:39" hidden="1" x14ac:dyDescent="0.25">
      <c r="A422" s="104" t="str">
        <f>'Supply planning data'!C420</f>
        <v/>
      </c>
      <c r="B422" s="298">
        <f>'Supply planning data'!D420</f>
        <v>45017</v>
      </c>
      <c r="C422" s="105" t="str">
        <f>'Supply planning data'!E420</f>
        <v>No</v>
      </c>
      <c r="D422" s="105">
        <f>'Supply planning data'!F420</f>
        <v>0</v>
      </c>
      <c r="E422" s="320">
        <f>'Supply planning data'!G420</f>
        <v>0</v>
      </c>
      <c r="F422" s="320">
        <f>'Supply planning data'!H420</f>
        <v>0</v>
      </c>
      <c r="G422" s="320">
        <f>'Supply planning data'!I420</f>
        <v>0</v>
      </c>
      <c r="H422" s="105">
        <f>'Supply planning data'!J420</f>
        <v>0</v>
      </c>
      <c r="I422" s="320">
        <f>'Supply planning data'!K420</f>
        <v>0</v>
      </c>
      <c r="J422" s="177" t="str">
        <f>'Supply planning data'!L420</f>
        <v/>
      </c>
      <c r="K422" s="105">
        <f>'Supply planning data'!M420</f>
        <v>0</v>
      </c>
      <c r="L422" s="321">
        <f>'Supply planning data'!N420+'Supply planning data'!P420</f>
        <v>0</v>
      </c>
      <c r="M422" s="342">
        <f>'Supply planning data'!O420</f>
        <v>0</v>
      </c>
      <c r="N422" s="321">
        <f>'Supply planning data'!P420</f>
        <v>0</v>
      </c>
      <c r="O422" s="342">
        <f>'Supply planning data'!Q420</f>
        <v>0</v>
      </c>
      <c r="P422" s="111">
        <f>'Supply planning data'!R420</f>
        <v>0</v>
      </c>
      <c r="Q422" s="111">
        <f>'Supply planning data'!S420</f>
        <v>0</v>
      </c>
      <c r="R422" s="111">
        <f>'Supply planning data'!T420</f>
        <v>0</v>
      </c>
      <c r="S422" s="111">
        <f>'Supply planning data'!U420</f>
        <v>0</v>
      </c>
      <c r="T422" s="111">
        <f>'Supply planning data'!V420</f>
        <v>0</v>
      </c>
      <c r="U422" s="327" t="str">
        <f>'Supply planning data'!W420</f>
        <v/>
      </c>
      <c r="V422" s="111">
        <f>'Supply planning data'!X420</f>
        <v>0</v>
      </c>
      <c r="W422" s="321">
        <f>'Supply planning data'!Y420</f>
        <v>0</v>
      </c>
      <c r="X422" s="329">
        <f>'Supply planning data'!Z420</f>
        <v>0</v>
      </c>
      <c r="Y422" s="111">
        <f>'Supply planning data'!AA420</f>
        <v>0</v>
      </c>
      <c r="Z422" s="111">
        <f>'Supply planning data'!AB420</f>
        <v>0</v>
      </c>
      <c r="AA422" s="111">
        <f>'Supply planning data'!AC420</f>
        <v>0</v>
      </c>
      <c r="AB422" s="111">
        <f>'Supply planning data'!AD420</f>
        <v>0</v>
      </c>
      <c r="AC422" s="111">
        <f>'Supply planning data'!AE420</f>
        <v>0</v>
      </c>
      <c r="AD422" s="327" t="str">
        <f>'Supply planning data'!AF420</f>
        <v/>
      </c>
      <c r="AE422" s="111">
        <f>'Supply planning data'!AG420</f>
        <v>0</v>
      </c>
      <c r="AF422" s="321">
        <f>'Supply planning data'!AH420</f>
        <v>0</v>
      </c>
      <c r="AG422" s="349">
        <f>'Supply planning data'!AI420</f>
        <v>0</v>
      </c>
      <c r="AH422" s="111">
        <f>'Supply planning data'!AJ420</f>
        <v>0</v>
      </c>
      <c r="AI422" s="111">
        <f>'Supply planning data'!AK420</f>
        <v>0</v>
      </c>
      <c r="AJ422" s="111">
        <f>'Supply planning data'!AL420</f>
        <v>0</v>
      </c>
      <c r="AK422" s="111">
        <f>'Supply planning data'!AM420</f>
        <v>0</v>
      </c>
      <c r="AL422" s="111">
        <f>'Supply planning data'!AN420</f>
        <v>0</v>
      </c>
      <c r="AM422" s="327" t="str">
        <f>'Supply planning data'!AO420</f>
        <v/>
      </c>
    </row>
    <row r="423" spans="1:39" hidden="1" x14ac:dyDescent="0.25">
      <c r="A423" s="109" t="str">
        <f>'Supply planning data'!C421</f>
        <v/>
      </c>
      <c r="B423" s="298">
        <f>'Supply planning data'!D421</f>
        <v>45017</v>
      </c>
      <c r="C423" s="105" t="str">
        <f>'Supply planning data'!E421</f>
        <v>No</v>
      </c>
      <c r="D423" s="105">
        <f>'Supply planning data'!F421</f>
        <v>0</v>
      </c>
      <c r="E423" s="320">
        <f>'Supply planning data'!G421</f>
        <v>0</v>
      </c>
      <c r="F423" s="320">
        <f>'Supply planning data'!H421</f>
        <v>0</v>
      </c>
      <c r="G423" s="320">
        <f>'Supply planning data'!I421</f>
        <v>0</v>
      </c>
      <c r="H423" s="105">
        <f>'Supply planning data'!J421</f>
        <v>0</v>
      </c>
      <c r="I423" s="320">
        <f>'Supply planning data'!K421</f>
        <v>0</v>
      </c>
      <c r="J423" s="177" t="str">
        <f>'Supply planning data'!L421</f>
        <v/>
      </c>
      <c r="K423" s="105">
        <f>'Supply planning data'!M421</f>
        <v>0</v>
      </c>
      <c r="L423" s="321">
        <f>'Supply planning data'!N421+'Supply planning data'!P421</f>
        <v>0</v>
      </c>
      <c r="M423" s="342">
        <f>'Supply planning data'!O421</f>
        <v>0</v>
      </c>
      <c r="N423" s="321">
        <f>'Supply planning data'!P421</f>
        <v>0</v>
      </c>
      <c r="O423" s="342">
        <f>'Supply planning data'!Q421</f>
        <v>0</v>
      </c>
      <c r="P423" s="111">
        <f>'Supply planning data'!R421</f>
        <v>0</v>
      </c>
      <c r="Q423" s="111">
        <f>'Supply planning data'!S421</f>
        <v>0</v>
      </c>
      <c r="R423" s="111">
        <f>'Supply planning data'!T421</f>
        <v>0</v>
      </c>
      <c r="S423" s="111">
        <f>'Supply planning data'!U421</f>
        <v>0</v>
      </c>
      <c r="T423" s="111">
        <f>'Supply planning data'!V421</f>
        <v>0</v>
      </c>
      <c r="U423" s="327" t="str">
        <f>'Supply planning data'!W421</f>
        <v/>
      </c>
      <c r="V423" s="111">
        <f>'Supply planning data'!X421</f>
        <v>0</v>
      </c>
      <c r="W423" s="321">
        <f>'Supply planning data'!Y421</f>
        <v>0</v>
      </c>
      <c r="X423" s="329">
        <f>'Supply planning data'!Z421</f>
        <v>0</v>
      </c>
      <c r="Y423" s="111">
        <f>'Supply planning data'!AA421</f>
        <v>0</v>
      </c>
      <c r="Z423" s="111">
        <f>'Supply planning data'!AB421</f>
        <v>0</v>
      </c>
      <c r="AA423" s="111">
        <f>'Supply planning data'!AC421</f>
        <v>0</v>
      </c>
      <c r="AB423" s="111">
        <f>'Supply planning data'!AD421</f>
        <v>0</v>
      </c>
      <c r="AC423" s="111">
        <f>'Supply planning data'!AE421</f>
        <v>0</v>
      </c>
      <c r="AD423" s="327" t="str">
        <f>'Supply planning data'!AF421</f>
        <v/>
      </c>
      <c r="AE423" s="111">
        <f>'Supply planning data'!AG421</f>
        <v>0</v>
      </c>
      <c r="AF423" s="321">
        <f>'Supply planning data'!AH421</f>
        <v>0</v>
      </c>
      <c r="AG423" s="349">
        <f>'Supply planning data'!AI421</f>
        <v>0</v>
      </c>
      <c r="AH423" s="111">
        <f>'Supply planning data'!AJ421</f>
        <v>0</v>
      </c>
      <c r="AI423" s="111">
        <f>'Supply planning data'!AK421</f>
        <v>0</v>
      </c>
      <c r="AJ423" s="111">
        <f>'Supply planning data'!AL421</f>
        <v>0</v>
      </c>
      <c r="AK423" s="111">
        <f>'Supply planning data'!AM421</f>
        <v>0</v>
      </c>
      <c r="AL423" s="111">
        <f>'Supply planning data'!AN421</f>
        <v>0</v>
      </c>
      <c r="AM423" s="327" t="str">
        <f>'Supply planning data'!AO421</f>
        <v/>
      </c>
    </row>
    <row r="424" spans="1:39" hidden="1" x14ac:dyDescent="0.25">
      <c r="A424" s="104" t="str">
        <f>'Supply planning data'!C422</f>
        <v/>
      </c>
      <c r="B424" s="298">
        <f>'Supply planning data'!D422</f>
        <v>45017</v>
      </c>
      <c r="C424" s="105" t="str">
        <f>'Supply planning data'!E422</f>
        <v>No</v>
      </c>
      <c r="D424" s="105">
        <f>'Supply planning data'!F422</f>
        <v>0</v>
      </c>
      <c r="E424" s="320">
        <f>'Supply planning data'!G422</f>
        <v>0</v>
      </c>
      <c r="F424" s="320">
        <f>'Supply planning data'!H422</f>
        <v>0</v>
      </c>
      <c r="G424" s="320">
        <f>'Supply planning data'!I422</f>
        <v>0</v>
      </c>
      <c r="H424" s="105">
        <f>'Supply planning data'!J422</f>
        <v>0</v>
      </c>
      <c r="I424" s="320">
        <f>'Supply planning data'!K422</f>
        <v>0</v>
      </c>
      <c r="J424" s="177" t="str">
        <f>'Supply planning data'!L422</f>
        <v/>
      </c>
      <c r="K424" s="105">
        <f>'Supply planning data'!M422</f>
        <v>0</v>
      </c>
      <c r="L424" s="321">
        <f>'Supply planning data'!N422+'Supply planning data'!P422</f>
        <v>0</v>
      </c>
      <c r="M424" s="342">
        <f>'Supply planning data'!O422</f>
        <v>0</v>
      </c>
      <c r="N424" s="321">
        <f>'Supply planning data'!P422</f>
        <v>0</v>
      </c>
      <c r="O424" s="342">
        <f>'Supply planning data'!Q422</f>
        <v>0</v>
      </c>
      <c r="P424" s="111">
        <f>'Supply planning data'!R422</f>
        <v>0</v>
      </c>
      <c r="Q424" s="111">
        <f>'Supply planning data'!S422</f>
        <v>0</v>
      </c>
      <c r="R424" s="111">
        <f>'Supply planning data'!T422</f>
        <v>0</v>
      </c>
      <c r="S424" s="111">
        <f>'Supply planning data'!U422</f>
        <v>0</v>
      </c>
      <c r="T424" s="111">
        <f>'Supply planning data'!V422</f>
        <v>0</v>
      </c>
      <c r="U424" s="327" t="str">
        <f>'Supply planning data'!W422</f>
        <v/>
      </c>
      <c r="V424" s="111">
        <f>'Supply planning data'!X422</f>
        <v>0</v>
      </c>
      <c r="W424" s="321">
        <f>'Supply planning data'!Y422</f>
        <v>0</v>
      </c>
      <c r="X424" s="329">
        <f>'Supply planning data'!Z422</f>
        <v>0</v>
      </c>
      <c r="Y424" s="111">
        <f>'Supply planning data'!AA422</f>
        <v>0</v>
      </c>
      <c r="Z424" s="111">
        <f>'Supply planning data'!AB422</f>
        <v>0</v>
      </c>
      <c r="AA424" s="111">
        <f>'Supply planning data'!AC422</f>
        <v>0</v>
      </c>
      <c r="AB424" s="111">
        <f>'Supply planning data'!AD422</f>
        <v>0</v>
      </c>
      <c r="AC424" s="111">
        <f>'Supply planning data'!AE422</f>
        <v>0</v>
      </c>
      <c r="AD424" s="327" t="str">
        <f>'Supply planning data'!AF422</f>
        <v/>
      </c>
      <c r="AE424" s="111">
        <f>'Supply planning data'!AG422</f>
        <v>0</v>
      </c>
      <c r="AF424" s="321">
        <f>'Supply planning data'!AH422</f>
        <v>0</v>
      </c>
      <c r="AG424" s="349">
        <f>'Supply planning data'!AI422</f>
        <v>0</v>
      </c>
      <c r="AH424" s="111">
        <f>'Supply planning data'!AJ422</f>
        <v>0</v>
      </c>
      <c r="AI424" s="111">
        <f>'Supply planning data'!AK422</f>
        <v>0</v>
      </c>
      <c r="AJ424" s="111">
        <f>'Supply planning data'!AL422</f>
        <v>0</v>
      </c>
      <c r="AK424" s="111">
        <f>'Supply planning data'!AM422</f>
        <v>0</v>
      </c>
      <c r="AL424" s="111">
        <f>'Supply planning data'!AN422</f>
        <v>0</v>
      </c>
      <c r="AM424" s="327" t="str">
        <f>'Supply planning data'!AO422</f>
        <v/>
      </c>
    </row>
    <row r="425" spans="1:39" hidden="1" x14ac:dyDescent="0.25">
      <c r="A425" s="109" t="str">
        <f>'Supply planning data'!C423</f>
        <v/>
      </c>
      <c r="B425" s="298">
        <f>'Supply planning data'!D423</f>
        <v>45017</v>
      </c>
      <c r="C425" s="105" t="str">
        <f>'Supply planning data'!E423</f>
        <v>No</v>
      </c>
      <c r="D425" s="105">
        <f>'Supply planning data'!F423</f>
        <v>0</v>
      </c>
      <c r="E425" s="320">
        <f>'Supply planning data'!G423</f>
        <v>0</v>
      </c>
      <c r="F425" s="320">
        <f>'Supply planning data'!H423</f>
        <v>0</v>
      </c>
      <c r="G425" s="320">
        <f>'Supply planning data'!I423</f>
        <v>0</v>
      </c>
      <c r="H425" s="105">
        <f>'Supply planning data'!J423</f>
        <v>0</v>
      </c>
      <c r="I425" s="320">
        <f>'Supply planning data'!K423</f>
        <v>0</v>
      </c>
      <c r="J425" s="177" t="str">
        <f>'Supply planning data'!L423</f>
        <v/>
      </c>
      <c r="K425" s="105">
        <f>'Supply planning data'!M423</f>
        <v>0</v>
      </c>
      <c r="L425" s="321">
        <f>'Supply planning data'!N423+'Supply planning data'!P423</f>
        <v>0</v>
      </c>
      <c r="M425" s="342">
        <f>'Supply planning data'!O423</f>
        <v>0</v>
      </c>
      <c r="N425" s="321">
        <f>'Supply planning data'!P423</f>
        <v>0</v>
      </c>
      <c r="O425" s="342">
        <f>'Supply planning data'!Q423</f>
        <v>0</v>
      </c>
      <c r="P425" s="111">
        <f>'Supply planning data'!R423</f>
        <v>0</v>
      </c>
      <c r="Q425" s="111">
        <f>'Supply planning data'!S423</f>
        <v>0</v>
      </c>
      <c r="R425" s="111">
        <f>'Supply planning data'!T423</f>
        <v>0</v>
      </c>
      <c r="S425" s="111">
        <f>'Supply planning data'!U423</f>
        <v>0</v>
      </c>
      <c r="T425" s="111">
        <f>'Supply planning data'!V423</f>
        <v>0</v>
      </c>
      <c r="U425" s="327" t="str">
        <f>'Supply planning data'!W423</f>
        <v/>
      </c>
      <c r="V425" s="111">
        <f>'Supply planning data'!X423</f>
        <v>0</v>
      </c>
      <c r="W425" s="321">
        <f>'Supply planning data'!Y423</f>
        <v>0</v>
      </c>
      <c r="X425" s="329">
        <f>'Supply planning data'!Z423</f>
        <v>0</v>
      </c>
      <c r="Y425" s="111">
        <f>'Supply planning data'!AA423</f>
        <v>0</v>
      </c>
      <c r="Z425" s="111">
        <f>'Supply planning data'!AB423</f>
        <v>0</v>
      </c>
      <c r="AA425" s="111">
        <f>'Supply planning data'!AC423</f>
        <v>0</v>
      </c>
      <c r="AB425" s="111">
        <f>'Supply planning data'!AD423</f>
        <v>0</v>
      </c>
      <c r="AC425" s="111">
        <f>'Supply planning data'!AE423</f>
        <v>0</v>
      </c>
      <c r="AD425" s="327" t="str">
        <f>'Supply planning data'!AF423</f>
        <v/>
      </c>
      <c r="AE425" s="111">
        <f>'Supply planning data'!AG423</f>
        <v>0</v>
      </c>
      <c r="AF425" s="321">
        <f>'Supply planning data'!AH423</f>
        <v>0</v>
      </c>
      <c r="AG425" s="349">
        <f>'Supply planning data'!AI423</f>
        <v>0</v>
      </c>
      <c r="AH425" s="111">
        <f>'Supply planning data'!AJ423</f>
        <v>0</v>
      </c>
      <c r="AI425" s="111">
        <f>'Supply planning data'!AK423</f>
        <v>0</v>
      </c>
      <c r="AJ425" s="111">
        <f>'Supply planning data'!AL423</f>
        <v>0</v>
      </c>
      <c r="AK425" s="111">
        <f>'Supply planning data'!AM423</f>
        <v>0</v>
      </c>
      <c r="AL425" s="111">
        <f>'Supply planning data'!AN423</f>
        <v>0</v>
      </c>
      <c r="AM425" s="327" t="str">
        <f>'Supply planning data'!AO423</f>
        <v/>
      </c>
    </row>
    <row r="426" spans="1:39" hidden="1" x14ac:dyDescent="0.25">
      <c r="A426" s="104" t="str">
        <f>'Supply planning data'!C424</f>
        <v/>
      </c>
      <c r="B426" s="298">
        <f>'Supply planning data'!D424</f>
        <v>45017</v>
      </c>
      <c r="C426" s="105" t="str">
        <f>'Supply planning data'!E424</f>
        <v>No</v>
      </c>
      <c r="D426" s="105">
        <f>'Supply planning data'!F424</f>
        <v>0</v>
      </c>
      <c r="E426" s="320">
        <f>'Supply planning data'!G424</f>
        <v>0</v>
      </c>
      <c r="F426" s="320">
        <f>'Supply planning data'!H424</f>
        <v>0</v>
      </c>
      <c r="G426" s="320">
        <f>'Supply planning data'!I424</f>
        <v>0</v>
      </c>
      <c r="H426" s="105">
        <f>'Supply planning data'!J424</f>
        <v>0</v>
      </c>
      <c r="I426" s="320">
        <f>'Supply planning data'!K424</f>
        <v>0</v>
      </c>
      <c r="J426" s="177" t="str">
        <f>'Supply planning data'!L424</f>
        <v/>
      </c>
      <c r="K426" s="105">
        <f>'Supply planning data'!M424</f>
        <v>0</v>
      </c>
      <c r="L426" s="321">
        <f>'Supply planning data'!N424+'Supply planning data'!P424</f>
        <v>0</v>
      </c>
      <c r="M426" s="342">
        <f>'Supply planning data'!O424</f>
        <v>0</v>
      </c>
      <c r="N426" s="321">
        <f>'Supply planning data'!P424</f>
        <v>0</v>
      </c>
      <c r="O426" s="342">
        <f>'Supply planning data'!Q424</f>
        <v>0</v>
      </c>
      <c r="P426" s="111">
        <f>'Supply planning data'!R424</f>
        <v>0</v>
      </c>
      <c r="Q426" s="111">
        <f>'Supply planning data'!S424</f>
        <v>0</v>
      </c>
      <c r="R426" s="111">
        <f>'Supply planning data'!T424</f>
        <v>0</v>
      </c>
      <c r="S426" s="111">
        <f>'Supply planning data'!U424</f>
        <v>0</v>
      </c>
      <c r="T426" s="111">
        <f>'Supply planning data'!V424</f>
        <v>0</v>
      </c>
      <c r="U426" s="327" t="str">
        <f>'Supply planning data'!W424</f>
        <v/>
      </c>
      <c r="V426" s="111">
        <f>'Supply planning data'!X424</f>
        <v>0</v>
      </c>
      <c r="W426" s="321">
        <f>'Supply planning data'!Y424</f>
        <v>0</v>
      </c>
      <c r="X426" s="329">
        <f>'Supply planning data'!Z424</f>
        <v>0</v>
      </c>
      <c r="Y426" s="111">
        <f>'Supply planning data'!AA424</f>
        <v>0</v>
      </c>
      <c r="Z426" s="111">
        <f>'Supply planning data'!AB424</f>
        <v>0</v>
      </c>
      <c r="AA426" s="111">
        <f>'Supply planning data'!AC424</f>
        <v>0</v>
      </c>
      <c r="AB426" s="111">
        <f>'Supply planning data'!AD424</f>
        <v>0</v>
      </c>
      <c r="AC426" s="111">
        <f>'Supply planning data'!AE424</f>
        <v>0</v>
      </c>
      <c r="AD426" s="327" t="str">
        <f>'Supply planning data'!AF424</f>
        <v/>
      </c>
      <c r="AE426" s="111">
        <f>'Supply planning data'!AG424</f>
        <v>0</v>
      </c>
      <c r="AF426" s="321">
        <f>'Supply planning data'!AH424</f>
        <v>0</v>
      </c>
      <c r="AG426" s="349">
        <f>'Supply planning data'!AI424</f>
        <v>0</v>
      </c>
      <c r="AH426" s="111">
        <f>'Supply planning data'!AJ424</f>
        <v>0</v>
      </c>
      <c r="AI426" s="111">
        <f>'Supply planning data'!AK424</f>
        <v>0</v>
      </c>
      <c r="AJ426" s="111">
        <f>'Supply planning data'!AL424</f>
        <v>0</v>
      </c>
      <c r="AK426" s="111">
        <f>'Supply planning data'!AM424</f>
        <v>0</v>
      </c>
      <c r="AL426" s="111">
        <f>'Supply planning data'!AN424</f>
        <v>0</v>
      </c>
      <c r="AM426" s="327" t="str">
        <f>'Supply planning data'!AO424</f>
        <v/>
      </c>
    </row>
    <row r="427" spans="1:39" x14ac:dyDescent="0.25">
      <c r="A427" s="90" t="str">
        <f>'Supply planning data'!C425</f>
        <v>AstraZeneca</v>
      </c>
      <c r="B427" s="296">
        <f>'Supply planning data'!D425</f>
        <v>45047</v>
      </c>
      <c r="C427" s="92" t="str">
        <f>'Supply planning data'!E425</f>
        <v>Yes</v>
      </c>
      <c r="D427" s="92">
        <f>'Supply planning data'!F425</f>
        <v>0</v>
      </c>
      <c r="E427" s="316">
        <f>'Supply planning data'!G425</f>
        <v>0</v>
      </c>
      <c r="F427" s="316">
        <f>'Supply planning data'!H425</f>
        <v>0</v>
      </c>
      <c r="G427" s="316">
        <f>'Supply planning data'!I425</f>
        <v>0</v>
      </c>
      <c r="H427" s="92">
        <f>'Supply planning data'!J425</f>
        <v>0</v>
      </c>
      <c r="I427" s="316">
        <f>'Supply planning data'!K425</f>
        <v>0</v>
      </c>
      <c r="J427" s="174" t="str">
        <f>'Supply planning data'!L425</f>
        <v/>
      </c>
      <c r="K427" s="92">
        <f>'Supply planning data'!M425</f>
        <v>0</v>
      </c>
      <c r="L427" s="316">
        <f>'Supply planning data'!N425+'Supply planning data'!P425</f>
        <v>0</v>
      </c>
      <c r="M427" s="343">
        <f>'Supply planning data'!O425</f>
        <v>0</v>
      </c>
      <c r="N427" s="316">
        <f>'Supply planning data'!P425</f>
        <v>0</v>
      </c>
      <c r="O427" s="343">
        <f>'Supply planning data'!Q425</f>
        <v>0</v>
      </c>
      <c r="P427" s="92">
        <f>'Supply planning data'!R425</f>
        <v>0</v>
      </c>
      <c r="Q427" s="92">
        <f>'Supply planning data'!S425</f>
        <v>0</v>
      </c>
      <c r="R427" s="92">
        <f>'Supply planning data'!T425</f>
        <v>0</v>
      </c>
      <c r="S427" s="92">
        <f>'Supply planning data'!U425</f>
        <v>0</v>
      </c>
      <c r="T427" s="92">
        <f>'Supply planning data'!V425</f>
        <v>0</v>
      </c>
      <c r="U427" s="324" t="str">
        <f>'Supply planning data'!W425</f>
        <v/>
      </c>
      <c r="V427" s="92">
        <f>'Supply planning data'!X425</f>
        <v>154701</v>
      </c>
      <c r="W427" s="316">
        <f>'Supply planning data'!Y425</f>
        <v>0</v>
      </c>
      <c r="X427" s="328">
        <f>'Supply planning data'!Z425</f>
        <v>0</v>
      </c>
      <c r="Y427" s="92">
        <f>'Supply planning data'!AA425</f>
        <v>0</v>
      </c>
      <c r="Z427" s="92">
        <f>'Supply planning data'!AB425</f>
        <v>0</v>
      </c>
      <c r="AA427" s="92">
        <f>'Supply planning data'!AC425</f>
        <v>0</v>
      </c>
      <c r="AB427" s="92">
        <f>'Supply planning data'!AD425</f>
        <v>0</v>
      </c>
      <c r="AC427" s="92">
        <f>'Supply planning data'!AE425</f>
        <v>154701</v>
      </c>
      <c r="AD427" s="324" t="str">
        <f>'Supply planning data'!AF425</f>
        <v/>
      </c>
      <c r="AE427" s="92">
        <f>'Supply planning data'!AG425</f>
        <v>0</v>
      </c>
      <c r="AF427" s="316">
        <f>'Supply planning data'!AH425</f>
        <v>0</v>
      </c>
      <c r="AG427" s="174">
        <f>'Supply planning data'!AI425</f>
        <v>0</v>
      </c>
      <c r="AH427" s="92">
        <f>'Supply planning data'!AJ425</f>
        <v>0</v>
      </c>
      <c r="AI427" s="92">
        <f>'Supply planning data'!AK425</f>
        <v>0</v>
      </c>
      <c r="AJ427" s="92">
        <f>'Supply planning data'!AL425</f>
        <v>0</v>
      </c>
      <c r="AK427" s="92">
        <f>'Supply planning data'!AM425</f>
        <v>0</v>
      </c>
      <c r="AL427" s="92">
        <f>'Supply planning data'!AN425</f>
        <v>0</v>
      </c>
      <c r="AM427" s="324" t="str">
        <f>'Supply planning data'!AO425</f>
        <v/>
      </c>
    </row>
    <row r="428" spans="1:39" x14ac:dyDescent="0.25">
      <c r="A428" s="90" t="str">
        <f>'Supply planning data'!C426</f>
        <v>Jansen</v>
      </c>
      <c r="B428" s="296">
        <f>'Supply planning data'!D426</f>
        <v>45047</v>
      </c>
      <c r="C428" s="92" t="str">
        <f>'Supply planning data'!E426</f>
        <v>Yes</v>
      </c>
      <c r="D428" s="92">
        <f>'Supply planning data'!F426</f>
        <v>2258747</v>
      </c>
      <c r="E428" s="316">
        <f>'Supply planning data'!G426</f>
        <v>0</v>
      </c>
      <c r="F428" s="317">
        <f>'Supply planning data'!H426</f>
        <v>0</v>
      </c>
      <c r="G428" s="317">
        <f>'Supply planning data'!I426</f>
        <v>0</v>
      </c>
      <c r="H428" s="98">
        <f>'Supply planning data'!J426</f>
        <v>0</v>
      </c>
      <c r="I428" s="317">
        <f>'Supply planning data'!K426</f>
        <v>0</v>
      </c>
      <c r="J428" s="175" t="str">
        <f>'Supply planning data'!L426</f>
        <v/>
      </c>
      <c r="K428" s="98">
        <f>'Supply planning data'!M426</f>
        <v>0</v>
      </c>
      <c r="L428" s="317">
        <f>'Supply planning data'!N426+'Supply planning data'!P426</f>
        <v>0</v>
      </c>
      <c r="M428" s="339">
        <f>'Supply planning data'!O426</f>
        <v>0</v>
      </c>
      <c r="N428" s="317">
        <f>'Supply planning data'!P426</f>
        <v>0</v>
      </c>
      <c r="O428" s="339">
        <f>'Supply planning data'!Q426</f>
        <v>0</v>
      </c>
      <c r="P428" s="98">
        <f>'Supply planning data'!R426</f>
        <v>0</v>
      </c>
      <c r="Q428" s="98">
        <f>'Supply planning data'!S426</f>
        <v>0</v>
      </c>
      <c r="R428" s="98">
        <f>'Supply planning data'!T426</f>
        <v>0</v>
      </c>
      <c r="S428" s="98">
        <f>'Supply planning data'!U426</f>
        <v>0</v>
      </c>
      <c r="T428" s="98">
        <f>'Supply planning data'!V426</f>
        <v>2258747</v>
      </c>
      <c r="U428" s="325" t="str">
        <f>'Supply planning data'!W426</f>
        <v/>
      </c>
      <c r="V428" s="98">
        <f>'Supply planning data'!X426</f>
        <v>1698747</v>
      </c>
      <c r="W428" s="317">
        <f>'Supply planning data'!Y426</f>
        <v>0</v>
      </c>
      <c r="X428" s="328">
        <f>'Supply planning data'!Z426</f>
        <v>0</v>
      </c>
      <c r="Y428" s="98">
        <f>'Supply planning data'!AA426</f>
        <v>0</v>
      </c>
      <c r="Z428" s="98">
        <f>'Supply planning data'!AB426</f>
        <v>0</v>
      </c>
      <c r="AA428" s="98">
        <f>'Supply planning data'!AC426</f>
        <v>0</v>
      </c>
      <c r="AB428" s="98">
        <f>'Supply planning data'!AD426</f>
        <v>0</v>
      </c>
      <c r="AC428" s="98">
        <f>'Supply planning data'!AE426</f>
        <v>1698747</v>
      </c>
      <c r="AD428" s="325" t="str">
        <f>'Supply planning data'!AF426</f>
        <v/>
      </c>
      <c r="AE428" s="98">
        <f>'Supply planning data'!AG426</f>
        <v>2258747</v>
      </c>
      <c r="AF428" s="317">
        <f>'Supply planning data'!AH426</f>
        <v>0</v>
      </c>
      <c r="AG428" s="175">
        <f>'Supply planning data'!AI426</f>
        <v>0</v>
      </c>
      <c r="AH428" s="98">
        <f>'Supply planning data'!AJ426</f>
        <v>0</v>
      </c>
      <c r="AI428" s="98">
        <f>'Supply planning data'!AK426</f>
        <v>0</v>
      </c>
      <c r="AJ428" s="98">
        <f>'Supply planning data'!AL426</f>
        <v>0</v>
      </c>
      <c r="AK428" s="98">
        <f>'Supply planning data'!AM426</f>
        <v>0</v>
      </c>
      <c r="AL428" s="98">
        <f>'Supply planning data'!AN426</f>
        <v>2258747</v>
      </c>
      <c r="AM428" s="325" t="str">
        <f>'Supply planning data'!AO426</f>
        <v/>
      </c>
    </row>
    <row r="429" spans="1:39" x14ac:dyDescent="0.25">
      <c r="A429" s="90" t="str">
        <f>'Supply planning data'!C427</f>
        <v>Moderna</v>
      </c>
      <c r="B429" s="296">
        <f>'Supply planning data'!D427</f>
        <v>45047</v>
      </c>
      <c r="C429" s="92" t="str">
        <f>'Supply planning data'!E427</f>
        <v>No</v>
      </c>
      <c r="D429" s="92">
        <f>'Supply planning data'!F427</f>
        <v>0</v>
      </c>
      <c r="E429" s="316">
        <f>'Supply planning data'!G427</f>
        <v>0</v>
      </c>
      <c r="F429" s="317">
        <f>'Supply planning data'!H427</f>
        <v>0</v>
      </c>
      <c r="G429" s="317">
        <f>'Supply planning data'!I427</f>
        <v>0</v>
      </c>
      <c r="H429" s="98">
        <f>'Supply planning data'!J427</f>
        <v>0</v>
      </c>
      <c r="I429" s="317">
        <f>'Supply planning data'!K427</f>
        <v>0</v>
      </c>
      <c r="J429" s="175" t="str">
        <f>'Supply planning data'!L427</f>
        <v/>
      </c>
      <c r="K429" s="98">
        <f>'Supply planning data'!M427</f>
        <v>0</v>
      </c>
      <c r="L429" s="317">
        <f>'Supply planning data'!N427+'Supply planning data'!P427</f>
        <v>0</v>
      </c>
      <c r="M429" s="339">
        <f>'Supply planning data'!O427</f>
        <v>0</v>
      </c>
      <c r="N429" s="317">
        <f>'Supply planning data'!P427</f>
        <v>0</v>
      </c>
      <c r="O429" s="339">
        <f>'Supply planning data'!Q427</f>
        <v>0</v>
      </c>
      <c r="P429" s="98">
        <f>'Supply planning data'!R427</f>
        <v>0</v>
      </c>
      <c r="Q429" s="98">
        <f>'Supply planning data'!S427</f>
        <v>0</v>
      </c>
      <c r="R429" s="98">
        <f>'Supply planning data'!T427</f>
        <v>0</v>
      </c>
      <c r="S429" s="98">
        <f>'Supply planning data'!U427</f>
        <v>0</v>
      </c>
      <c r="T429" s="98">
        <f>'Supply planning data'!V427</f>
        <v>0</v>
      </c>
      <c r="U429" s="325" t="str">
        <f>'Supply planning data'!W427</f>
        <v/>
      </c>
      <c r="V429" s="98">
        <f>'Supply planning data'!X427</f>
        <v>0</v>
      </c>
      <c r="W429" s="317">
        <f>'Supply planning data'!Y427</f>
        <v>0</v>
      </c>
      <c r="X429" s="328">
        <f>'Supply planning data'!Z427</f>
        <v>0</v>
      </c>
      <c r="Y429" s="98">
        <f>'Supply planning data'!AA427</f>
        <v>0</v>
      </c>
      <c r="Z429" s="98">
        <f>'Supply planning data'!AB427</f>
        <v>0</v>
      </c>
      <c r="AA429" s="98">
        <f>'Supply planning data'!AC427</f>
        <v>0</v>
      </c>
      <c r="AB429" s="98">
        <f>'Supply planning data'!AD427</f>
        <v>0</v>
      </c>
      <c r="AC429" s="98">
        <f>'Supply planning data'!AE427</f>
        <v>0</v>
      </c>
      <c r="AD429" s="325" t="str">
        <f>'Supply planning data'!AF427</f>
        <v/>
      </c>
      <c r="AE429" s="98">
        <f>'Supply planning data'!AG427</f>
        <v>0</v>
      </c>
      <c r="AF429" s="317">
        <f>'Supply planning data'!AH427</f>
        <v>0</v>
      </c>
      <c r="AG429" s="175">
        <f>'Supply planning data'!AI427</f>
        <v>0</v>
      </c>
      <c r="AH429" s="98">
        <f>'Supply planning data'!AJ427</f>
        <v>0</v>
      </c>
      <c r="AI429" s="98">
        <f>'Supply planning data'!AK427</f>
        <v>0</v>
      </c>
      <c r="AJ429" s="98">
        <f>'Supply planning data'!AL427</f>
        <v>0</v>
      </c>
      <c r="AK429" s="98">
        <f>'Supply planning data'!AM427</f>
        <v>0</v>
      </c>
      <c r="AL429" s="98">
        <f>'Supply planning data'!AN427</f>
        <v>0</v>
      </c>
      <c r="AM429" s="325" t="str">
        <f>'Supply planning data'!AO427</f>
        <v/>
      </c>
    </row>
    <row r="430" spans="1:39" x14ac:dyDescent="0.25">
      <c r="A430" s="90" t="str">
        <f>'Supply planning data'!C428</f>
        <v>Pfizer</v>
      </c>
      <c r="B430" s="296">
        <f>'Supply planning data'!D428</f>
        <v>45047</v>
      </c>
      <c r="C430" s="92" t="str">
        <f>'Supply planning data'!E428</f>
        <v>Yes</v>
      </c>
      <c r="D430" s="92">
        <f>'Supply planning data'!F428</f>
        <v>3000000</v>
      </c>
      <c r="E430" s="316">
        <f>'Supply planning data'!G428</f>
        <v>0</v>
      </c>
      <c r="F430" s="317">
        <f>'Supply planning data'!H428</f>
        <v>0</v>
      </c>
      <c r="G430" s="317">
        <f>'Supply planning data'!I428</f>
        <v>0</v>
      </c>
      <c r="H430" s="98">
        <f>'Supply planning data'!J428</f>
        <v>0</v>
      </c>
      <c r="I430" s="317">
        <f>'Supply planning data'!K428</f>
        <v>0</v>
      </c>
      <c r="J430" s="175" t="str">
        <f>'Supply planning data'!L428</f>
        <v/>
      </c>
      <c r="K430" s="98">
        <f>'Supply planning data'!M428</f>
        <v>0</v>
      </c>
      <c r="L430" s="317">
        <f>'Supply planning data'!N428+'Supply planning data'!P428</f>
        <v>0</v>
      </c>
      <c r="M430" s="339">
        <f>'Supply planning data'!O428</f>
        <v>0</v>
      </c>
      <c r="N430" s="317">
        <f>'Supply planning data'!P428</f>
        <v>0</v>
      </c>
      <c r="O430" s="339">
        <f>'Supply planning data'!Q428</f>
        <v>0</v>
      </c>
      <c r="P430" s="98">
        <f>'Supply planning data'!R428</f>
        <v>0</v>
      </c>
      <c r="Q430" s="98">
        <f>'Supply planning data'!S428</f>
        <v>0</v>
      </c>
      <c r="R430" s="98">
        <f>'Supply planning data'!T428</f>
        <v>110538</v>
      </c>
      <c r="S430" s="98">
        <f>'Supply planning data'!U428</f>
        <v>0</v>
      </c>
      <c r="T430" s="98">
        <f>'Supply planning data'!V428</f>
        <v>3000000</v>
      </c>
      <c r="U430" s="325" t="str">
        <f>'Supply planning data'!W428</f>
        <v/>
      </c>
      <c r="V430" s="98">
        <f>'Supply planning data'!X428</f>
        <v>2440000</v>
      </c>
      <c r="W430" s="317">
        <f>'Supply planning data'!Y428</f>
        <v>0</v>
      </c>
      <c r="X430" s="328">
        <f>'Supply planning data'!Z428</f>
        <v>0</v>
      </c>
      <c r="Y430" s="98">
        <f>'Supply planning data'!AA428</f>
        <v>0</v>
      </c>
      <c r="Z430" s="98">
        <f>'Supply planning data'!AB428</f>
        <v>0</v>
      </c>
      <c r="AA430" s="98">
        <f>'Supply planning data'!AC428</f>
        <v>0</v>
      </c>
      <c r="AB430" s="98">
        <f>'Supply planning data'!AD428</f>
        <v>0</v>
      </c>
      <c r="AC430" s="98">
        <f>'Supply planning data'!AE428</f>
        <v>2440000</v>
      </c>
      <c r="AD430" s="325" t="str">
        <f>'Supply planning data'!AF428</f>
        <v/>
      </c>
      <c r="AE430" s="98">
        <f>'Supply planning data'!AG428</f>
        <v>3000000</v>
      </c>
      <c r="AF430" s="317">
        <f>'Supply planning data'!AH428</f>
        <v>0</v>
      </c>
      <c r="AG430" s="175">
        <f>'Supply planning data'!AI428</f>
        <v>0</v>
      </c>
      <c r="AH430" s="98">
        <f>'Supply planning data'!AJ428</f>
        <v>0</v>
      </c>
      <c r="AI430" s="98">
        <f>'Supply planning data'!AK428</f>
        <v>0</v>
      </c>
      <c r="AJ430" s="98">
        <f>'Supply planning data'!AL428</f>
        <v>110538</v>
      </c>
      <c r="AK430" s="98">
        <f>'Supply planning data'!AM428</f>
        <v>0</v>
      </c>
      <c r="AL430" s="98">
        <f>'Supply planning data'!AN428</f>
        <v>3000000</v>
      </c>
      <c r="AM430" s="325" t="str">
        <f>'Supply planning data'!AO428</f>
        <v/>
      </c>
    </row>
    <row r="431" spans="1:39" x14ac:dyDescent="0.25">
      <c r="A431" s="90" t="str">
        <f>'Supply planning data'!C429</f>
        <v>Sinovac</v>
      </c>
      <c r="B431" s="296">
        <f>'Supply planning data'!D429</f>
        <v>45047</v>
      </c>
      <c r="C431" s="92" t="str">
        <f>'Supply planning data'!E429</f>
        <v>No</v>
      </c>
      <c r="D431" s="92">
        <f>'Supply planning data'!F429</f>
        <v>0</v>
      </c>
      <c r="E431" s="316">
        <f>'Supply planning data'!G429</f>
        <v>0</v>
      </c>
      <c r="F431" s="317">
        <f>'Supply planning data'!H429</f>
        <v>0</v>
      </c>
      <c r="G431" s="317">
        <f>'Supply planning data'!I429</f>
        <v>0</v>
      </c>
      <c r="H431" s="98">
        <f>'Supply planning data'!J429</f>
        <v>0</v>
      </c>
      <c r="I431" s="317">
        <f>'Supply planning data'!K429</f>
        <v>0</v>
      </c>
      <c r="J431" s="175" t="str">
        <f>'Supply planning data'!L429</f>
        <v/>
      </c>
      <c r="K431" s="98">
        <f>'Supply planning data'!M429</f>
        <v>0</v>
      </c>
      <c r="L431" s="317">
        <f>'Supply planning data'!N429+'Supply planning data'!P429</f>
        <v>0</v>
      </c>
      <c r="M431" s="339">
        <f>'Supply planning data'!O429</f>
        <v>0</v>
      </c>
      <c r="N431" s="317">
        <f>'Supply planning data'!P429</f>
        <v>0</v>
      </c>
      <c r="O431" s="339">
        <f>'Supply planning data'!Q429</f>
        <v>0</v>
      </c>
      <c r="P431" s="98">
        <f>'Supply planning data'!R429</f>
        <v>0</v>
      </c>
      <c r="Q431" s="98">
        <f>'Supply planning data'!S429</f>
        <v>0</v>
      </c>
      <c r="R431" s="98">
        <f>'Supply planning data'!T429</f>
        <v>0</v>
      </c>
      <c r="S431" s="98">
        <f>'Supply planning data'!U429</f>
        <v>0</v>
      </c>
      <c r="T431" s="98">
        <f>'Supply planning data'!V429</f>
        <v>0</v>
      </c>
      <c r="U431" s="325" t="str">
        <f>'Supply planning data'!W429</f>
        <v/>
      </c>
      <c r="V431" s="98">
        <f>'Supply planning data'!X429</f>
        <v>0</v>
      </c>
      <c r="W431" s="317">
        <f>'Supply planning data'!Y429</f>
        <v>0</v>
      </c>
      <c r="X431" s="328">
        <f>'Supply planning data'!Z429</f>
        <v>0</v>
      </c>
      <c r="Y431" s="98">
        <f>'Supply planning data'!AA429</f>
        <v>0</v>
      </c>
      <c r="Z431" s="98">
        <f>'Supply planning data'!AB429</f>
        <v>0</v>
      </c>
      <c r="AA431" s="98">
        <f>'Supply planning data'!AC429</f>
        <v>0</v>
      </c>
      <c r="AB431" s="98">
        <f>'Supply planning data'!AD429</f>
        <v>0</v>
      </c>
      <c r="AC431" s="98">
        <f>'Supply planning data'!AE429</f>
        <v>0</v>
      </c>
      <c r="AD431" s="325" t="str">
        <f>'Supply planning data'!AF429</f>
        <v/>
      </c>
      <c r="AE431" s="98">
        <f>'Supply planning data'!AG429</f>
        <v>0</v>
      </c>
      <c r="AF431" s="317">
        <f>'Supply planning data'!AH429</f>
        <v>0</v>
      </c>
      <c r="AG431" s="175">
        <f>'Supply planning data'!AI429</f>
        <v>0</v>
      </c>
      <c r="AH431" s="98">
        <f>'Supply planning data'!AJ429</f>
        <v>0</v>
      </c>
      <c r="AI431" s="98">
        <f>'Supply planning data'!AK429</f>
        <v>0</v>
      </c>
      <c r="AJ431" s="98">
        <f>'Supply planning data'!AL429</f>
        <v>0</v>
      </c>
      <c r="AK431" s="98">
        <f>'Supply planning data'!AM429</f>
        <v>0</v>
      </c>
      <c r="AL431" s="98">
        <f>'Supply planning data'!AN429</f>
        <v>0</v>
      </c>
      <c r="AM431" s="325" t="str">
        <f>'Supply planning data'!AO429</f>
        <v/>
      </c>
    </row>
    <row r="432" spans="1:39" hidden="1" x14ac:dyDescent="0.25">
      <c r="A432" s="90" t="str">
        <f>'Supply planning data'!C430</f>
        <v/>
      </c>
      <c r="B432" s="296">
        <f>'Supply planning data'!D430</f>
        <v>45047</v>
      </c>
      <c r="C432" s="92" t="str">
        <f>'Supply planning data'!E430</f>
        <v>No</v>
      </c>
      <c r="D432" s="92">
        <f>'Supply planning data'!F430</f>
        <v>0</v>
      </c>
      <c r="E432" s="316">
        <f>'Supply planning data'!G430</f>
        <v>0</v>
      </c>
      <c r="F432" s="317">
        <f>'Supply planning data'!H430</f>
        <v>0</v>
      </c>
      <c r="G432" s="317">
        <f>'Supply planning data'!I430</f>
        <v>0</v>
      </c>
      <c r="H432" s="98">
        <f>'Supply planning data'!J430</f>
        <v>0</v>
      </c>
      <c r="I432" s="317">
        <f>'Supply planning data'!K430</f>
        <v>0</v>
      </c>
      <c r="J432" s="175" t="str">
        <f>'Supply planning data'!L430</f>
        <v/>
      </c>
      <c r="K432" s="98">
        <f>'Supply planning data'!M430</f>
        <v>0</v>
      </c>
      <c r="L432" s="317">
        <f>'Supply planning data'!N430+'Supply planning data'!P430</f>
        <v>0</v>
      </c>
      <c r="M432" s="339">
        <f>'Supply planning data'!O430</f>
        <v>0</v>
      </c>
      <c r="N432" s="317">
        <f>'Supply planning data'!P430</f>
        <v>0</v>
      </c>
      <c r="O432" s="339">
        <f>'Supply planning data'!Q430</f>
        <v>0</v>
      </c>
      <c r="P432" s="98">
        <f>'Supply planning data'!R430</f>
        <v>0</v>
      </c>
      <c r="Q432" s="98">
        <f>'Supply planning data'!S430</f>
        <v>0</v>
      </c>
      <c r="R432" s="98">
        <f>'Supply planning data'!T430</f>
        <v>0</v>
      </c>
      <c r="S432" s="98">
        <f>'Supply planning data'!U430</f>
        <v>0</v>
      </c>
      <c r="T432" s="98">
        <f>'Supply planning data'!V430</f>
        <v>0</v>
      </c>
      <c r="U432" s="325" t="str">
        <f>'Supply planning data'!W430</f>
        <v/>
      </c>
      <c r="V432" s="98">
        <f>'Supply planning data'!X430</f>
        <v>0</v>
      </c>
      <c r="W432" s="317">
        <f>'Supply planning data'!Y430</f>
        <v>0</v>
      </c>
      <c r="X432" s="328">
        <f>'Supply planning data'!Z430</f>
        <v>0</v>
      </c>
      <c r="Y432" s="98">
        <f>'Supply planning data'!AA430</f>
        <v>0</v>
      </c>
      <c r="Z432" s="98">
        <f>'Supply planning data'!AB430</f>
        <v>0</v>
      </c>
      <c r="AA432" s="98">
        <f>'Supply planning data'!AC430</f>
        <v>0</v>
      </c>
      <c r="AB432" s="98">
        <f>'Supply planning data'!AD430</f>
        <v>0</v>
      </c>
      <c r="AC432" s="98">
        <f>'Supply planning data'!AE430</f>
        <v>0</v>
      </c>
      <c r="AD432" s="325" t="str">
        <f>'Supply planning data'!AF430</f>
        <v/>
      </c>
      <c r="AE432" s="98">
        <f>'Supply planning data'!AG430</f>
        <v>0</v>
      </c>
      <c r="AF432" s="317">
        <f>'Supply planning data'!AH430</f>
        <v>0</v>
      </c>
      <c r="AG432" s="175">
        <f>'Supply planning data'!AI430</f>
        <v>0</v>
      </c>
      <c r="AH432" s="98">
        <f>'Supply planning data'!AJ430</f>
        <v>0</v>
      </c>
      <c r="AI432" s="98">
        <f>'Supply planning data'!AK430</f>
        <v>0</v>
      </c>
      <c r="AJ432" s="98">
        <f>'Supply planning data'!AL430</f>
        <v>0</v>
      </c>
      <c r="AK432" s="98">
        <f>'Supply planning data'!AM430</f>
        <v>0</v>
      </c>
      <c r="AL432" s="98">
        <f>'Supply planning data'!AN430</f>
        <v>0</v>
      </c>
      <c r="AM432" s="325" t="str">
        <f>'Supply planning data'!AO430</f>
        <v/>
      </c>
    </row>
    <row r="433" spans="1:39" hidden="1" x14ac:dyDescent="0.25">
      <c r="A433" s="90" t="str">
        <f>'Supply planning data'!C431</f>
        <v/>
      </c>
      <c r="B433" s="296">
        <f>'Supply planning data'!D431</f>
        <v>45047</v>
      </c>
      <c r="C433" s="92" t="str">
        <f>'Supply planning data'!E431</f>
        <v>No</v>
      </c>
      <c r="D433" s="92">
        <f>'Supply planning data'!F431</f>
        <v>0</v>
      </c>
      <c r="E433" s="316">
        <f>'Supply planning data'!G431</f>
        <v>0</v>
      </c>
      <c r="F433" s="317">
        <f>'Supply planning data'!H431</f>
        <v>0</v>
      </c>
      <c r="G433" s="317">
        <f>'Supply planning data'!I431</f>
        <v>0</v>
      </c>
      <c r="H433" s="98">
        <f>'Supply planning data'!J431</f>
        <v>0</v>
      </c>
      <c r="I433" s="317">
        <f>'Supply planning data'!K431</f>
        <v>0</v>
      </c>
      <c r="J433" s="175" t="str">
        <f>'Supply planning data'!L431</f>
        <v/>
      </c>
      <c r="K433" s="98">
        <f>'Supply planning data'!M431</f>
        <v>0</v>
      </c>
      <c r="L433" s="317">
        <f>'Supply planning data'!N431+'Supply planning data'!P431</f>
        <v>0</v>
      </c>
      <c r="M433" s="339">
        <f>'Supply planning data'!O431</f>
        <v>0</v>
      </c>
      <c r="N433" s="317">
        <f>'Supply planning data'!P431</f>
        <v>0</v>
      </c>
      <c r="O433" s="339">
        <f>'Supply planning data'!Q431</f>
        <v>0</v>
      </c>
      <c r="P433" s="98">
        <f>'Supply planning data'!R431</f>
        <v>0</v>
      </c>
      <c r="Q433" s="98">
        <f>'Supply planning data'!S431</f>
        <v>0</v>
      </c>
      <c r="R433" s="98">
        <f>'Supply planning data'!T431</f>
        <v>0</v>
      </c>
      <c r="S433" s="98">
        <f>'Supply planning data'!U431</f>
        <v>0</v>
      </c>
      <c r="T433" s="98">
        <f>'Supply planning data'!V431</f>
        <v>0</v>
      </c>
      <c r="U433" s="325" t="str">
        <f>'Supply planning data'!W431</f>
        <v/>
      </c>
      <c r="V433" s="98">
        <f>'Supply planning data'!X431</f>
        <v>0</v>
      </c>
      <c r="W433" s="317">
        <f>'Supply planning data'!Y431</f>
        <v>0</v>
      </c>
      <c r="X433" s="328">
        <f>'Supply planning data'!Z431</f>
        <v>0</v>
      </c>
      <c r="Y433" s="98">
        <f>'Supply planning data'!AA431</f>
        <v>0</v>
      </c>
      <c r="Z433" s="98">
        <f>'Supply planning data'!AB431</f>
        <v>0</v>
      </c>
      <c r="AA433" s="98">
        <f>'Supply planning data'!AC431</f>
        <v>0</v>
      </c>
      <c r="AB433" s="98">
        <f>'Supply planning data'!AD431</f>
        <v>0</v>
      </c>
      <c r="AC433" s="98">
        <f>'Supply planning data'!AE431</f>
        <v>0</v>
      </c>
      <c r="AD433" s="325" t="str">
        <f>'Supply planning data'!AF431</f>
        <v/>
      </c>
      <c r="AE433" s="98">
        <f>'Supply planning data'!AG431</f>
        <v>0</v>
      </c>
      <c r="AF433" s="317">
        <f>'Supply planning data'!AH431</f>
        <v>0</v>
      </c>
      <c r="AG433" s="175">
        <f>'Supply planning data'!AI431</f>
        <v>0</v>
      </c>
      <c r="AH433" s="98">
        <f>'Supply planning data'!AJ431</f>
        <v>0</v>
      </c>
      <c r="AI433" s="98">
        <f>'Supply planning data'!AK431</f>
        <v>0</v>
      </c>
      <c r="AJ433" s="98">
        <f>'Supply planning data'!AL431</f>
        <v>0</v>
      </c>
      <c r="AK433" s="98">
        <f>'Supply planning data'!AM431</f>
        <v>0</v>
      </c>
      <c r="AL433" s="98">
        <f>'Supply planning data'!AN431</f>
        <v>0</v>
      </c>
      <c r="AM433" s="325" t="str">
        <f>'Supply planning data'!AO431</f>
        <v/>
      </c>
    </row>
    <row r="434" spans="1:39" hidden="1" x14ac:dyDescent="0.25">
      <c r="A434" s="90" t="str">
        <f>'Supply planning data'!C432</f>
        <v/>
      </c>
      <c r="B434" s="296">
        <f>'Supply planning data'!D432</f>
        <v>45047</v>
      </c>
      <c r="C434" s="92" t="str">
        <f>'Supply planning data'!E432</f>
        <v>No</v>
      </c>
      <c r="D434" s="92">
        <f>'Supply planning data'!F432</f>
        <v>0</v>
      </c>
      <c r="E434" s="316">
        <f>'Supply planning data'!G432</f>
        <v>0</v>
      </c>
      <c r="F434" s="317">
        <f>'Supply planning data'!H432</f>
        <v>0</v>
      </c>
      <c r="G434" s="317">
        <f>'Supply planning data'!I432</f>
        <v>0</v>
      </c>
      <c r="H434" s="98">
        <f>'Supply planning data'!J432</f>
        <v>0</v>
      </c>
      <c r="I434" s="317">
        <f>'Supply planning data'!K432</f>
        <v>0</v>
      </c>
      <c r="J434" s="175" t="str">
        <f>'Supply planning data'!L432</f>
        <v/>
      </c>
      <c r="K434" s="98">
        <f>'Supply planning data'!M432</f>
        <v>0</v>
      </c>
      <c r="L434" s="317">
        <f>'Supply planning data'!N432+'Supply planning data'!P432</f>
        <v>0</v>
      </c>
      <c r="M434" s="339">
        <f>'Supply planning data'!O432</f>
        <v>0</v>
      </c>
      <c r="N434" s="317">
        <f>'Supply planning data'!P432</f>
        <v>0</v>
      </c>
      <c r="O434" s="339">
        <f>'Supply planning data'!Q432</f>
        <v>0</v>
      </c>
      <c r="P434" s="98">
        <f>'Supply planning data'!R432</f>
        <v>0</v>
      </c>
      <c r="Q434" s="98">
        <f>'Supply planning data'!S432</f>
        <v>0</v>
      </c>
      <c r="R434" s="98">
        <f>'Supply planning data'!T432</f>
        <v>0</v>
      </c>
      <c r="S434" s="98">
        <f>'Supply planning data'!U432</f>
        <v>0</v>
      </c>
      <c r="T434" s="98">
        <f>'Supply planning data'!V432</f>
        <v>0</v>
      </c>
      <c r="U434" s="325" t="str">
        <f>'Supply planning data'!W432</f>
        <v/>
      </c>
      <c r="V434" s="98">
        <f>'Supply planning data'!X432</f>
        <v>0</v>
      </c>
      <c r="W434" s="317">
        <f>'Supply planning data'!Y432</f>
        <v>0</v>
      </c>
      <c r="X434" s="328">
        <f>'Supply planning data'!Z432</f>
        <v>0</v>
      </c>
      <c r="Y434" s="98">
        <f>'Supply planning data'!AA432</f>
        <v>0</v>
      </c>
      <c r="Z434" s="98">
        <f>'Supply planning data'!AB432</f>
        <v>0</v>
      </c>
      <c r="AA434" s="98">
        <f>'Supply planning data'!AC432</f>
        <v>0</v>
      </c>
      <c r="AB434" s="98">
        <f>'Supply planning data'!AD432</f>
        <v>0</v>
      </c>
      <c r="AC434" s="98">
        <f>'Supply planning data'!AE432</f>
        <v>0</v>
      </c>
      <c r="AD434" s="325" t="str">
        <f>'Supply planning data'!AF432</f>
        <v/>
      </c>
      <c r="AE434" s="98">
        <f>'Supply planning data'!AG432</f>
        <v>0</v>
      </c>
      <c r="AF434" s="317">
        <f>'Supply planning data'!AH432</f>
        <v>0</v>
      </c>
      <c r="AG434" s="175">
        <f>'Supply planning data'!AI432</f>
        <v>0</v>
      </c>
      <c r="AH434" s="98">
        <f>'Supply planning data'!AJ432</f>
        <v>0</v>
      </c>
      <c r="AI434" s="98">
        <f>'Supply planning data'!AK432</f>
        <v>0</v>
      </c>
      <c r="AJ434" s="98">
        <f>'Supply planning data'!AL432</f>
        <v>0</v>
      </c>
      <c r="AK434" s="98">
        <f>'Supply planning data'!AM432</f>
        <v>0</v>
      </c>
      <c r="AL434" s="98">
        <f>'Supply planning data'!AN432</f>
        <v>0</v>
      </c>
      <c r="AM434" s="325" t="str">
        <f>'Supply planning data'!AO432</f>
        <v/>
      </c>
    </row>
    <row r="435" spans="1:39" hidden="1" x14ac:dyDescent="0.25">
      <c r="A435" s="90" t="str">
        <f>'Supply planning data'!C433</f>
        <v/>
      </c>
      <c r="B435" s="296">
        <f>'Supply planning data'!D433</f>
        <v>45047</v>
      </c>
      <c r="C435" s="92" t="str">
        <f>'Supply planning data'!E433</f>
        <v>No</v>
      </c>
      <c r="D435" s="92">
        <f>'Supply planning data'!F433</f>
        <v>0</v>
      </c>
      <c r="E435" s="316">
        <f>'Supply planning data'!G433</f>
        <v>0</v>
      </c>
      <c r="F435" s="317">
        <f>'Supply planning data'!H433</f>
        <v>0</v>
      </c>
      <c r="G435" s="317">
        <f>'Supply planning data'!I433</f>
        <v>0</v>
      </c>
      <c r="H435" s="98">
        <f>'Supply planning data'!J433</f>
        <v>0</v>
      </c>
      <c r="I435" s="317">
        <f>'Supply planning data'!K433</f>
        <v>0</v>
      </c>
      <c r="J435" s="175" t="str">
        <f>'Supply planning data'!L433</f>
        <v/>
      </c>
      <c r="K435" s="98">
        <f>'Supply planning data'!M433</f>
        <v>0</v>
      </c>
      <c r="L435" s="317">
        <f>'Supply planning data'!N433+'Supply planning data'!P433</f>
        <v>0</v>
      </c>
      <c r="M435" s="339">
        <f>'Supply planning data'!O433</f>
        <v>0</v>
      </c>
      <c r="N435" s="317">
        <f>'Supply planning data'!P433</f>
        <v>0</v>
      </c>
      <c r="O435" s="339">
        <f>'Supply planning data'!Q433</f>
        <v>0</v>
      </c>
      <c r="P435" s="98">
        <f>'Supply planning data'!R433</f>
        <v>0</v>
      </c>
      <c r="Q435" s="98">
        <f>'Supply planning data'!S433</f>
        <v>0</v>
      </c>
      <c r="R435" s="98">
        <f>'Supply planning data'!T433</f>
        <v>0</v>
      </c>
      <c r="S435" s="98">
        <f>'Supply planning data'!U433</f>
        <v>0</v>
      </c>
      <c r="T435" s="98">
        <f>'Supply planning data'!V433</f>
        <v>0</v>
      </c>
      <c r="U435" s="325" t="str">
        <f>'Supply planning data'!W433</f>
        <v/>
      </c>
      <c r="V435" s="98">
        <f>'Supply planning data'!X433</f>
        <v>0</v>
      </c>
      <c r="W435" s="317">
        <f>'Supply planning data'!Y433</f>
        <v>0</v>
      </c>
      <c r="X435" s="328">
        <f>'Supply planning data'!Z433</f>
        <v>0</v>
      </c>
      <c r="Y435" s="98">
        <f>'Supply planning data'!AA433</f>
        <v>0</v>
      </c>
      <c r="Z435" s="98">
        <f>'Supply planning data'!AB433</f>
        <v>0</v>
      </c>
      <c r="AA435" s="98">
        <f>'Supply planning data'!AC433</f>
        <v>0</v>
      </c>
      <c r="AB435" s="98">
        <f>'Supply planning data'!AD433</f>
        <v>0</v>
      </c>
      <c r="AC435" s="98">
        <f>'Supply planning data'!AE433</f>
        <v>0</v>
      </c>
      <c r="AD435" s="325" t="str">
        <f>'Supply planning data'!AF433</f>
        <v/>
      </c>
      <c r="AE435" s="98">
        <f>'Supply planning data'!AG433</f>
        <v>0</v>
      </c>
      <c r="AF435" s="317">
        <f>'Supply planning data'!AH433</f>
        <v>0</v>
      </c>
      <c r="AG435" s="175">
        <f>'Supply planning data'!AI433</f>
        <v>0</v>
      </c>
      <c r="AH435" s="98">
        <f>'Supply planning data'!AJ433</f>
        <v>0</v>
      </c>
      <c r="AI435" s="98">
        <f>'Supply planning data'!AK433</f>
        <v>0</v>
      </c>
      <c r="AJ435" s="98">
        <f>'Supply planning data'!AL433</f>
        <v>0</v>
      </c>
      <c r="AK435" s="98">
        <f>'Supply planning data'!AM433</f>
        <v>0</v>
      </c>
      <c r="AL435" s="98">
        <f>'Supply planning data'!AN433</f>
        <v>0</v>
      </c>
      <c r="AM435" s="325" t="str">
        <f>'Supply planning data'!AO433</f>
        <v/>
      </c>
    </row>
    <row r="436" spans="1:39" hidden="1" x14ac:dyDescent="0.25">
      <c r="A436" s="90" t="str">
        <f>'Supply planning data'!C434</f>
        <v/>
      </c>
      <c r="B436" s="296">
        <f>'Supply planning data'!D434</f>
        <v>45047</v>
      </c>
      <c r="C436" s="92" t="str">
        <f>'Supply planning data'!E434</f>
        <v>No</v>
      </c>
      <c r="D436" s="92">
        <f>'Supply planning data'!F434</f>
        <v>0</v>
      </c>
      <c r="E436" s="316">
        <f>'Supply planning data'!G434</f>
        <v>0</v>
      </c>
      <c r="F436" s="317">
        <f>'Supply planning data'!H434</f>
        <v>0</v>
      </c>
      <c r="G436" s="317">
        <f>'Supply planning data'!I434</f>
        <v>0</v>
      </c>
      <c r="H436" s="98">
        <f>'Supply planning data'!J434</f>
        <v>0</v>
      </c>
      <c r="I436" s="317">
        <f>'Supply planning data'!K434</f>
        <v>0</v>
      </c>
      <c r="J436" s="175" t="str">
        <f>'Supply planning data'!L434</f>
        <v/>
      </c>
      <c r="K436" s="98">
        <f>'Supply planning data'!M434</f>
        <v>0</v>
      </c>
      <c r="L436" s="317">
        <f>'Supply planning data'!N434+'Supply planning data'!P434</f>
        <v>0</v>
      </c>
      <c r="M436" s="339">
        <f>'Supply planning data'!O434</f>
        <v>0</v>
      </c>
      <c r="N436" s="317">
        <f>'Supply planning data'!P434</f>
        <v>0</v>
      </c>
      <c r="O436" s="339">
        <f>'Supply planning data'!Q434</f>
        <v>0</v>
      </c>
      <c r="P436" s="98">
        <f>'Supply planning data'!R434</f>
        <v>0</v>
      </c>
      <c r="Q436" s="98">
        <f>'Supply planning data'!S434</f>
        <v>0</v>
      </c>
      <c r="R436" s="98">
        <f>'Supply planning data'!T434</f>
        <v>0</v>
      </c>
      <c r="S436" s="98">
        <f>'Supply planning data'!U434</f>
        <v>0</v>
      </c>
      <c r="T436" s="98">
        <f>'Supply planning data'!V434</f>
        <v>0</v>
      </c>
      <c r="U436" s="325" t="str">
        <f>'Supply planning data'!W434</f>
        <v/>
      </c>
      <c r="V436" s="98">
        <f>'Supply planning data'!X434</f>
        <v>0</v>
      </c>
      <c r="W436" s="317">
        <f>'Supply planning data'!Y434</f>
        <v>0</v>
      </c>
      <c r="X436" s="328">
        <f>'Supply planning data'!Z434</f>
        <v>0</v>
      </c>
      <c r="Y436" s="98">
        <f>'Supply planning data'!AA434</f>
        <v>0</v>
      </c>
      <c r="Z436" s="98">
        <f>'Supply planning data'!AB434</f>
        <v>0</v>
      </c>
      <c r="AA436" s="98">
        <f>'Supply planning data'!AC434</f>
        <v>0</v>
      </c>
      <c r="AB436" s="98">
        <f>'Supply planning data'!AD434</f>
        <v>0</v>
      </c>
      <c r="AC436" s="98">
        <f>'Supply planning data'!AE434</f>
        <v>0</v>
      </c>
      <c r="AD436" s="325" t="str">
        <f>'Supply planning data'!AF434</f>
        <v/>
      </c>
      <c r="AE436" s="98">
        <f>'Supply planning data'!AG434</f>
        <v>0</v>
      </c>
      <c r="AF436" s="317">
        <f>'Supply planning data'!AH434</f>
        <v>0</v>
      </c>
      <c r="AG436" s="175">
        <f>'Supply planning data'!AI434</f>
        <v>0</v>
      </c>
      <c r="AH436" s="98">
        <f>'Supply planning data'!AJ434</f>
        <v>0</v>
      </c>
      <c r="AI436" s="98">
        <f>'Supply planning data'!AK434</f>
        <v>0</v>
      </c>
      <c r="AJ436" s="98">
        <f>'Supply planning data'!AL434</f>
        <v>0</v>
      </c>
      <c r="AK436" s="98">
        <f>'Supply planning data'!AM434</f>
        <v>0</v>
      </c>
      <c r="AL436" s="98">
        <f>'Supply planning data'!AN434</f>
        <v>0</v>
      </c>
      <c r="AM436" s="325" t="str">
        <f>'Supply planning data'!AO434</f>
        <v/>
      </c>
    </row>
    <row r="437" spans="1:39" hidden="1" x14ac:dyDescent="0.25">
      <c r="A437" s="90" t="str">
        <f>'Supply planning data'!C435</f>
        <v/>
      </c>
      <c r="B437" s="296">
        <f>'Supply planning data'!D435</f>
        <v>45047</v>
      </c>
      <c r="C437" s="92" t="str">
        <f>'Supply planning data'!E435</f>
        <v>No</v>
      </c>
      <c r="D437" s="92">
        <f>'Supply planning data'!F435</f>
        <v>0</v>
      </c>
      <c r="E437" s="316">
        <f>'Supply planning data'!G435</f>
        <v>0</v>
      </c>
      <c r="F437" s="317">
        <f>'Supply planning data'!H435</f>
        <v>0</v>
      </c>
      <c r="G437" s="317">
        <f>'Supply planning data'!I435</f>
        <v>0</v>
      </c>
      <c r="H437" s="98">
        <f>'Supply planning data'!J435</f>
        <v>0</v>
      </c>
      <c r="I437" s="317">
        <f>'Supply planning data'!K435</f>
        <v>0</v>
      </c>
      <c r="J437" s="175" t="str">
        <f>'Supply planning data'!L435</f>
        <v/>
      </c>
      <c r="K437" s="98">
        <f>'Supply planning data'!M435</f>
        <v>0</v>
      </c>
      <c r="L437" s="317">
        <f>'Supply planning data'!N435+'Supply planning data'!P435</f>
        <v>0</v>
      </c>
      <c r="M437" s="339">
        <f>'Supply planning data'!O435</f>
        <v>0</v>
      </c>
      <c r="N437" s="317">
        <f>'Supply planning data'!P435</f>
        <v>0</v>
      </c>
      <c r="O437" s="339">
        <f>'Supply planning data'!Q435</f>
        <v>0</v>
      </c>
      <c r="P437" s="98">
        <f>'Supply planning data'!R435</f>
        <v>0</v>
      </c>
      <c r="Q437" s="98">
        <f>'Supply planning data'!S435</f>
        <v>0</v>
      </c>
      <c r="R437" s="98">
        <f>'Supply planning data'!T435</f>
        <v>0</v>
      </c>
      <c r="S437" s="98">
        <f>'Supply planning data'!U435</f>
        <v>0</v>
      </c>
      <c r="T437" s="98">
        <f>'Supply planning data'!V435</f>
        <v>0</v>
      </c>
      <c r="U437" s="325" t="str">
        <f>'Supply planning data'!W435</f>
        <v/>
      </c>
      <c r="V437" s="98">
        <f>'Supply planning data'!X435</f>
        <v>0</v>
      </c>
      <c r="W437" s="317">
        <f>'Supply planning data'!Y435</f>
        <v>0</v>
      </c>
      <c r="X437" s="328">
        <f>'Supply planning data'!Z435</f>
        <v>0</v>
      </c>
      <c r="Y437" s="98">
        <f>'Supply planning data'!AA435</f>
        <v>0</v>
      </c>
      <c r="Z437" s="98">
        <f>'Supply planning data'!AB435</f>
        <v>0</v>
      </c>
      <c r="AA437" s="98">
        <f>'Supply planning data'!AC435</f>
        <v>0</v>
      </c>
      <c r="AB437" s="98">
        <f>'Supply planning data'!AD435</f>
        <v>0</v>
      </c>
      <c r="AC437" s="98">
        <f>'Supply planning data'!AE435</f>
        <v>0</v>
      </c>
      <c r="AD437" s="325" t="str">
        <f>'Supply planning data'!AF435</f>
        <v/>
      </c>
      <c r="AE437" s="98">
        <f>'Supply planning data'!AG435</f>
        <v>0</v>
      </c>
      <c r="AF437" s="317">
        <f>'Supply planning data'!AH435</f>
        <v>0</v>
      </c>
      <c r="AG437" s="175">
        <f>'Supply planning data'!AI435</f>
        <v>0</v>
      </c>
      <c r="AH437" s="98">
        <f>'Supply planning data'!AJ435</f>
        <v>0</v>
      </c>
      <c r="AI437" s="98">
        <f>'Supply planning data'!AK435</f>
        <v>0</v>
      </c>
      <c r="AJ437" s="98">
        <f>'Supply planning data'!AL435</f>
        <v>0</v>
      </c>
      <c r="AK437" s="98">
        <f>'Supply planning data'!AM435</f>
        <v>0</v>
      </c>
      <c r="AL437" s="98">
        <f>'Supply planning data'!AN435</f>
        <v>0</v>
      </c>
      <c r="AM437" s="325" t="str">
        <f>'Supply planning data'!AO435</f>
        <v/>
      </c>
    </row>
    <row r="438" spans="1:39" hidden="1" x14ac:dyDescent="0.25">
      <c r="A438" s="90" t="str">
        <f>'Supply planning data'!C436</f>
        <v/>
      </c>
      <c r="B438" s="296">
        <f>'Supply planning data'!D436</f>
        <v>45047</v>
      </c>
      <c r="C438" s="92" t="str">
        <f>'Supply planning data'!E436</f>
        <v>No</v>
      </c>
      <c r="D438" s="92">
        <f>'Supply planning data'!F436</f>
        <v>0</v>
      </c>
      <c r="E438" s="316">
        <f>'Supply planning data'!G436</f>
        <v>0</v>
      </c>
      <c r="F438" s="317">
        <f>'Supply planning data'!H436</f>
        <v>0</v>
      </c>
      <c r="G438" s="317">
        <f>'Supply planning data'!I436</f>
        <v>0</v>
      </c>
      <c r="H438" s="98">
        <f>'Supply planning data'!J436</f>
        <v>0</v>
      </c>
      <c r="I438" s="317">
        <f>'Supply planning data'!K436</f>
        <v>0</v>
      </c>
      <c r="J438" s="175" t="str">
        <f>'Supply planning data'!L436</f>
        <v/>
      </c>
      <c r="K438" s="98">
        <f>'Supply planning data'!M436</f>
        <v>0</v>
      </c>
      <c r="L438" s="317">
        <f>'Supply planning data'!N436+'Supply planning data'!P436</f>
        <v>0</v>
      </c>
      <c r="M438" s="339">
        <f>'Supply planning data'!O436</f>
        <v>0</v>
      </c>
      <c r="N438" s="317">
        <f>'Supply planning data'!P436</f>
        <v>0</v>
      </c>
      <c r="O438" s="339">
        <f>'Supply planning data'!Q436</f>
        <v>0</v>
      </c>
      <c r="P438" s="98">
        <f>'Supply planning data'!R436</f>
        <v>0</v>
      </c>
      <c r="Q438" s="98">
        <f>'Supply planning data'!S436</f>
        <v>0</v>
      </c>
      <c r="R438" s="98">
        <f>'Supply planning data'!T436</f>
        <v>0</v>
      </c>
      <c r="S438" s="98">
        <f>'Supply planning data'!U436</f>
        <v>0</v>
      </c>
      <c r="T438" s="98">
        <f>'Supply planning data'!V436</f>
        <v>0</v>
      </c>
      <c r="U438" s="325" t="str">
        <f>'Supply planning data'!W436</f>
        <v/>
      </c>
      <c r="V438" s="98">
        <f>'Supply planning data'!X436</f>
        <v>0</v>
      </c>
      <c r="W438" s="317">
        <f>'Supply planning data'!Y436</f>
        <v>0</v>
      </c>
      <c r="X438" s="328">
        <f>'Supply planning data'!Z436</f>
        <v>0</v>
      </c>
      <c r="Y438" s="98">
        <f>'Supply planning data'!AA436</f>
        <v>0</v>
      </c>
      <c r="Z438" s="98">
        <f>'Supply planning data'!AB436</f>
        <v>0</v>
      </c>
      <c r="AA438" s="98">
        <f>'Supply planning data'!AC436</f>
        <v>0</v>
      </c>
      <c r="AB438" s="98">
        <f>'Supply planning data'!AD436</f>
        <v>0</v>
      </c>
      <c r="AC438" s="98">
        <f>'Supply planning data'!AE436</f>
        <v>0</v>
      </c>
      <c r="AD438" s="325" t="str">
        <f>'Supply planning data'!AF436</f>
        <v/>
      </c>
      <c r="AE438" s="98">
        <f>'Supply planning data'!AG436</f>
        <v>0</v>
      </c>
      <c r="AF438" s="317">
        <f>'Supply planning data'!AH436</f>
        <v>0</v>
      </c>
      <c r="AG438" s="175">
        <f>'Supply planning data'!AI436</f>
        <v>0</v>
      </c>
      <c r="AH438" s="98">
        <f>'Supply planning data'!AJ436</f>
        <v>0</v>
      </c>
      <c r="AI438" s="98">
        <f>'Supply planning data'!AK436</f>
        <v>0</v>
      </c>
      <c r="AJ438" s="98">
        <f>'Supply planning data'!AL436</f>
        <v>0</v>
      </c>
      <c r="AK438" s="98">
        <f>'Supply planning data'!AM436</f>
        <v>0</v>
      </c>
      <c r="AL438" s="98">
        <f>'Supply planning data'!AN436</f>
        <v>0</v>
      </c>
      <c r="AM438" s="325" t="str">
        <f>'Supply planning data'!AO436</f>
        <v/>
      </c>
    </row>
    <row r="439" spans="1:39" hidden="1" x14ac:dyDescent="0.25">
      <c r="A439" s="90" t="str">
        <f>'Supply planning data'!C437</f>
        <v/>
      </c>
      <c r="B439" s="296">
        <f>'Supply planning data'!D437</f>
        <v>45047</v>
      </c>
      <c r="C439" s="92" t="str">
        <f>'Supply planning data'!E437</f>
        <v>No</v>
      </c>
      <c r="D439" s="92">
        <f>'Supply planning data'!F437</f>
        <v>0</v>
      </c>
      <c r="E439" s="316">
        <f>'Supply planning data'!G437</f>
        <v>0</v>
      </c>
      <c r="F439" s="317">
        <f>'Supply planning data'!H437</f>
        <v>0</v>
      </c>
      <c r="G439" s="317">
        <f>'Supply planning data'!I437</f>
        <v>0</v>
      </c>
      <c r="H439" s="98">
        <f>'Supply planning data'!J437</f>
        <v>0</v>
      </c>
      <c r="I439" s="317">
        <f>'Supply planning data'!K437</f>
        <v>0</v>
      </c>
      <c r="J439" s="175" t="str">
        <f>'Supply planning data'!L437</f>
        <v/>
      </c>
      <c r="K439" s="98">
        <f>'Supply planning data'!M437</f>
        <v>0</v>
      </c>
      <c r="L439" s="317">
        <f>'Supply planning data'!N437+'Supply planning data'!P437</f>
        <v>0</v>
      </c>
      <c r="M439" s="339">
        <f>'Supply planning data'!O437</f>
        <v>0</v>
      </c>
      <c r="N439" s="317">
        <f>'Supply planning data'!P437</f>
        <v>0</v>
      </c>
      <c r="O439" s="339">
        <f>'Supply planning data'!Q437</f>
        <v>0</v>
      </c>
      <c r="P439" s="98">
        <f>'Supply planning data'!R437</f>
        <v>0</v>
      </c>
      <c r="Q439" s="98">
        <f>'Supply planning data'!S437</f>
        <v>0</v>
      </c>
      <c r="R439" s="98">
        <f>'Supply planning data'!T437</f>
        <v>0</v>
      </c>
      <c r="S439" s="98">
        <f>'Supply planning data'!U437</f>
        <v>0</v>
      </c>
      <c r="T439" s="98">
        <f>'Supply planning data'!V437</f>
        <v>0</v>
      </c>
      <c r="U439" s="325" t="str">
        <f>'Supply planning data'!W437</f>
        <v/>
      </c>
      <c r="V439" s="98">
        <f>'Supply planning data'!X437</f>
        <v>0</v>
      </c>
      <c r="W439" s="317">
        <f>'Supply planning data'!Y437</f>
        <v>0</v>
      </c>
      <c r="X439" s="328">
        <f>'Supply planning data'!Z437</f>
        <v>0</v>
      </c>
      <c r="Y439" s="98">
        <f>'Supply planning data'!AA437</f>
        <v>0</v>
      </c>
      <c r="Z439" s="98">
        <f>'Supply planning data'!AB437</f>
        <v>0</v>
      </c>
      <c r="AA439" s="98">
        <f>'Supply planning data'!AC437</f>
        <v>0</v>
      </c>
      <c r="AB439" s="98">
        <f>'Supply planning data'!AD437</f>
        <v>0</v>
      </c>
      <c r="AC439" s="98">
        <f>'Supply planning data'!AE437</f>
        <v>0</v>
      </c>
      <c r="AD439" s="325" t="str">
        <f>'Supply planning data'!AF437</f>
        <v/>
      </c>
      <c r="AE439" s="98">
        <f>'Supply planning data'!AG437</f>
        <v>0</v>
      </c>
      <c r="AF439" s="317">
        <f>'Supply planning data'!AH437</f>
        <v>0</v>
      </c>
      <c r="AG439" s="175">
        <f>'Supply planning data'!AI437</f>
        <v>0</v>
      </c>
      <c r="AH439" s="98">
        <f>'Supply planning data'!AJ437</f>
        <v>0</v>
      </c>
      <c r="AI439" s="98">
        <f>'Supply planning data'!AK437</f>
        <v>0</v>
      </c>
      <c r="AJ439" s="98">
        <f>'Supply planning data'!AL437</f>
        <v>0</v>
      </c>
      <c r="AK439" s="98">
        <f>'Supply planning data'!AM437</f>
        <v>0</v>
      </c>
      <c r="AL439" s="98">
        <f>'Supply planning data'!AN437</f>
        <v>0</v>
      </c>
      <c r="AM439" s="325" t="str">
        <f>'Supply planning data'!AO437</f>
        <v/>
      </c>
    </row>
    <row r="440" spans="1:39" hidden="1" x14ac:dyDescent="0.25">
      <c r="A440" s="90" t="str">
        <f>'Supply planning data'!C438</f>
        <v/>
      </c>
      <c r="B440" s="296">
        <f>'Supply planning data'!D438</f>
        <v>45047</v>
      </c>
      <c r="C440" s="92" t="str">
        <f>'Supply planning data'!E438</f>
        <v>No</v>
      </c>
      <c r="D440" s="92">
        <f>'Supply planning data'!F438</f>
        <v>0</v>
      </c>
      <c r="E440" s="316">
        <f>'Supply planning data'!G438</f>
        <v>0</v>
      </c>
      <c r="F440" s="317">
        <f>'Supply planning data'!H438</f>
        <v>0</v>
      </c>
      <c r="G440" s="317">
        <f>'Supply planning data'!I438</f>
        <v>0</v>
      </c>
      <c r="H440" s="98">
        <f>'Supply planning data'!J438</f>
        <v>0</v>
      </c>
      <c r="I440" s="317">
        <f>'Supply planning data'!K438</f>
        <v>0</v>
      </c>
      <c r="J440" s="175" t="str">
        <f>'Supply planning data'!L438</f>
        <v/>
      </c>
      <c r="K440" s="98">
        <f>'Supply planning data'!M438</f>
        <v>0</v>
      </c>
      <c r="L440" s="317">
        <f>'Supply planning data'!N438+'Supply planning data'!P438</f>
        <v>0</v>
      </c>
      <c r="M440" s="339">
        <f>'Supply planning data'!O438</f>
        <v>0</v>
      </c>
      <c r="N440" s="317">
        <f>'Supply planning data'!P438</f>
        <v>0</v>
      </c>
      <c r="O440" s="339">
        <f>'Supply planning data'!Q438</f>
        <v>0</v>
      </c>
      <c r="P440" s="98">
        <f>'Supply planning data'!R438</f>
        <v>0</v>
      </c>
      <c r="Q440" s="98">
        <f>'Supply planning data'!S438</f>
        <v>0</v>
      </c>
      <c r="R440" s="98">
        <f>'Supply planning data'!T438</f>
        <v>0</v>
      </c>
      <c r="S440" s="98">
        <f>'Supply planning data'!U438</f>
        <v>0</v>
      </c>
      <c r="T440" s="98">
        <f>'Supply planning data'!V438</f>
        <v>0</v>
      </c>
      <c r="U440" s="325" t="str">
        <f>'Supply planning data'!W438</f>
        <v/>
      </c>
      <c r="V440" s="98">
        <f>'Supply planning data'!X438</f>
        <v>0</v>
      </c>
      <c r="W440" s="317">
        <f>'Supply planning data'!Y438</f>
        <v>0</v>
      </c>
      <c r="X440" s="328">
        <f>'Supply planning data'!Z438</f>
        <v>0</v>
      </c>
      <c r="Y440" s="98">
        <f>'Supply planning data'!AA438</f>
        <v>0</v>
      </c>
      <c r="Z440" s="98">
        <f>'Supply planning data'!AB438</f>
        <v>0</v>
      </c>
      <c r="AA440" s="98">
        <f>'Supply planning data'!AC438</f>
        <v>0</v>
      </c>
      <c r="AB440" s="98">
        <f>'Supply planning data'!AD438</f>
        <v>0</v>
      </c>
      <c r="AC440" s="98">
        <f>'Supply planning data'!AE438</f>
        <v>0</v>
      </c>
      <c r="AD440" s="325" t="str">
        <f>'Supply planning data'!AF438</f>
        <v/>
      </c>
      <c r="AE440" s="98">
        <f>'Supply planning data'!AG438</f>
        <v>0</v>
      </c>
      <c r="AF440" s="317">
        <f>'Supply planning data'!AH438</f>
        <v>0</v>
      </c>
      <c r="AG440" s="175">
        <f>'Supply planning data'!AI438</f>
        <v>0</v>
      </c>
      <c r="AH440" s="98">
        <f>'Supply planning data'!AJ438</f>
        <v>0</v>
      </c>
      <c r="AI440" s="98">
        <f>'Supply planning data'!AK438</f>
        <v>0</v>
      </c>
      <c r="AJ440" s="98">
        <f>'Supply planning data'!AL438</f>
        <v>0</v>
      </c>
      <c r="AK440" s="98">
        <f>'Supply planning data'!AM438</f>
        <v>0</v>
      </c>
      <c r="AL440" s="98">
        <f>'Supply planning data'!AN438</f>
        <v>0</v>
      </c>
      <c r="AM440" s="325" t="str">
        <f>'Supply planning data'!AO438</f>
        <v/>
      </c>
    </row>
    <row r="441" spans="1:39" hidden="1" x14ac:dyDescent="0.25">
      <c r="A441" s="90" t="str">
        <f>'Supply planning data'!C439</f>
        <v/>
      </c>
      <c r="B441" s="296">
        <f>'Supply planning data'!D439</f>
        <v>45047</v>
      </c>
      <c r="C441" s="92" t="str">
        <f>'Supply planning data'!E439</f>
        <v>No</v>
      </c>
      <c r="D441" s="92">
        <f>'Supply planning data'!F439</f>
        <v>0</v>
      </c>
      <c r="E441" s="316">
        <f>'Supply planning data'!G439</f>
        <v>0</v>
      </c>
      <c r="F441" s="317">
        <f>'Supply planning data'!H439</f>
        <v>0</v>
      </c>
      <c r="G441" s="317">
        <f>'Supply planning data'!I439</f>
        <v>0</v>
      </c>
      <c r="H441" s="98">
        <f>'Supply planning data'!J439</f>
        <v>0</v>
      </c>
      <c r="I441" s="317">
        <f>'Supply planning data'!K439</f>
        <v>0</v>
      </c>
      <c r="J441" s="175" t="str">
        <f>'Supply planning data'!L439</f>
        <v/>
      </c>
      <c r="K441" s="98">
        <f>'Supply planning data'!M439</f>
        <v>0</v>
      </c>
      <c r="L441" s="317">
        <f>'Supply planning data'!N439+'Supply planning data'!P439</f>
        <v>0</v>
      </c>
      <c r="M441" s="339">
        <f>'Supply planning data'!O439</f>
        <v>0</v>
      </c>
      <c r="N441" s="317">
        <f>'Supply planning data'!P439</f>
        <v>0</v>
      </c>
      <c r="O441" s="339">
        <f>'Supply planning data'!Q439</f>
        <v>0</v>
      </c>
      <c r="P441" s="98">
        <f>'Supply planning data'!R439</f>
        <v>0</v>
      </c>
      <c r="Q441" s="98">
        <f>'Supply planning data'!S439</f>
        <v>0</v>
      </c>
      <c r="R441" s="98">
        <f>'Supply planning data'!T439</f>
        <v>0</v>
      </c>
      <c r="S441" s="98">
        <f>'Supply planning data'!U439</f>
        <v>0</v>
      </c>
      <c r="T441" s="98">
        <f>'Supply planning data'!V439</f>
        <v>0</v>
      </c>
      <c r="U441" s="325" t="str">
        <f>'Supply planning data'!W439</f>
        <v/>
      </c>
      <c r="V441" s="98">
        <f>'Supply planning data'!X439</f>
        <v>0</v>
      </c>
      <c r="W441" s="317">
        <f>'Supply planning data'!Y439</f>
        <v>0</v>
      </c>
      <c r="X441" s="328">
        <f>'Supply planning data'!Z439</f>
        <v>0</v>
      </c>
      <c r="Y441" s="98">
        <f>'Supply planning data'!AA439</f>
        <v>0</v>
      </c>
      <c r="Z441" s="98">
        <f>'Supply planning data'!AB439</f>
        <v>0</v>
      </c>
      <c r="AA441" s="98">
        <f>'Supply planning data'!AC439</f>
        <v>0</v>
      </c>
      <c r="AB441" s="98">
        <f>'Supply planning data'!AD439</f>
        <v>0</v>
      </c>
      <c r="AC441" s="98">
        <f>'Supply planning data'!AE439</f>
        <v>0</v>
      </c>
      <c r="AD441" s="325" t="str">
        <f>'Supply planning data'!AF439</f>
        <v/>
      </c>
      <c r="AE441" s="98">
        <f>'Supply planning data'!AG439</f>
        <v>0</v>
      </c>
      <c r="AF441" s="317">
        <f>'Supply planning data'!AH439</f>
        <v>0</v>
      </c>
      <c r="AG441" s="175">
        <f>'Supply planning data'!AI439</f>
        <v>0</v>
      </c>
      <c r="AH441" s="98">
        <f>'Supply planning data'!AJ439</f>
        <v>0</v>
      </c>
      <c r="AI441" s="98">
        <f>'Supply planning data'!AK439</f>
        <v>0</v>
      </c>
      <c r="AJ441" s="98">
        <f>'Supply planning data'!AL439</f>
        <v>0</v>
      </c>
      <c r="AK441" s="98">
        <f>'Supply planning data'!AM439</f>
        <v>0</v>
      </c>
      <c r="AL441" s="98">
        <f>'Supply planning data'!AN439</f>
        <v>0</v>
      </c>
      <c r="AM441" s="325" t="str">
        <f>'Supply planning data'!AO439</f>
        <v/>
      </c>
    </row>
    <row r="442" spans="1:39" x14ac:dyDescent="0.25">
      <c r="A442" s="104" t="str">
        <f>'Supply planning data'!C440</f>
        <v>AstraZeneca</v>
      </c>
      <c r="B442" s="298">
        <f>'Supply planning data'!D440</f>
        <v>45078</v>
      </c>
      <c r="C442" s="105" t="str">
        <f>'Supply planning data'!E440</f>
        <v>Yes</v>
      </c>
      <c r="D442" s="105">
        <f>'Supply planning data'!F440</f>
        <v>0</v>
      </c>
      <c r="E442" s="320">
        <f>'Supply planning data'!G440</f>
        <v>0</v>
      </c>
      <c r="F442" s="320">
        <f>'Supply planning data'!H440</f>
        <v>0</v>
      </c>
      <c r="G442" s="320">
        <f>'Supply planning data'!I440</f>
        <v>0</v>
      </c>
      <c r="H442" s="105">
        <f>'Supply planning data'!J440</f>
        <v>0</v>
      </c>
      <c r="I442" s="320">
        <f>'Supply planning data'!K440</f>
        <v>0</v>
      </c>
      <c r="J442" s="177" t="str">
        <f>'Supply planning data'!L440</f>
        <v/>
      </c>
      <c r="K442" s="105">
        <f>'Supply planning data'!M440</f>
        <v>0</v>
      </c>
      <c r="L442" s="320">
        <f>'Supply planning data'!N440+'Supply planning data'!P440</f>
        <v>0</v>
      </c>
      <c r="M442" s="341">
        <f>'Supply planning data'!O440</f>
        <v>0</v>
      </c>
      <c r="N442" s="320">
        <f>'Supply planning data'!P440</f>
        <v>0</v>
      </c>
      <c r="O442" s="341">
        <f>'Supply planning data'!Q440</f>
        <v>0</v>
      </c>
      <c r="P442" s="105">
        <f>'Supply planning data'!R440</f>
        <v>0</v>
      </c>
      <c r="Q442" s="105">
        <f>'Supply planning data'!S440</f>
        <v>0</v>
      </c>
      <c r="R442" s="105">
        <f>'Supply planning data'!T440</f>
        <v>0</v>
      </c>
      <c r="S442" s="105">
        <f>'Supply planning data'!U440</f>
        <v>0</v>
      </c>
      <c r="T442" s="105">
        <f>'Supply planning data'!V440</f>
        <v>0</v>
      </c>
      <c r="U442" s="326" t="str">
        <f>'Supply planning data'!W440</f>
        <v/>
      </c>
      <c r="V442" s="105">
        <f>'Supply planning data'!X440</f>
        <v>154701</v>
      </c>
      <c r="W442" s="320">
        <f>'Supply planning data'!Y440</f>
        <v>0</v>
      </c>
      <c r="X442" s="329">
        <f>'Supply planning data'!Z440</f>
        <v>0</v>
      </c>
      <c r="Y442" s="105">
        <f>'Supply planning data'!AA440</f>
        <v>0</v>
      </c>
      <c r="Z442" s="105">
        <f>'Supply planning data'!AB440</f>
        <v>0</v>
      </c>
      <c r="AA442" s="105">
        <f>'Supply planning data'!AC440</f>
        <v>0</v>
      </c>
      <c r="AB442" s="105">
        <f>'Supply planning data'!AD440</f>
        <v>0</v>
      </c>
      <c r="AC442" s="105">
        <f>'Supply planning data'!AE440</f>
        <v>154701</v>
      </c>
      <c r="AD442" s="326" t="str">
        <f>'Supply planning data'!AF440</f>
        <v/>
      </c>
      <c r="AE442" s="105">
        <f>'Supply planning data'!AG440</f>
        <v>0</v>
      </c>
      <c r="AF442" s="320">
        <f>'Supply planning data'!AH440</f>
        <v>0</v>
      </c>
      <c r="AG442" s="177">
        <f>'Supply planning data'!AI440</f>
        <v>0</v>
      </c>
      <c r="AH442" s="105">
        <f>'Supply planning data'!AJ440</f>
        <v>0</v>
      </c>
      <c r="AI442" s="105">
        <f>'Supply planning data'!AK440</f>
        <v>0</v>
      </c>
      <c r="AJ442" s="105">
        <f>'Supply planning data'!AL440</f>
        <v>0</v>
      </c>
      <c r="AK442" s="105">
        <f>'Supply planning data'!AM440</f>
        <v>0</v>
      </c>
      <c r="AL442" s="105">
        <f>'Supply planning data'!AN440</f>
        <v>0</v>
      </c>
      <c r="AM442" s="326" t="str">
        <f>'Supply planning data'!AO440</f>
        <v/>
      </c>
    </row>
    <row r="443" spans="1:39" x14ac:dyDescent="0.25">
      <c r="A443" s="109" t="str">
        <f>'Supply planning data'!C441</f>
        <v>Jansen</v>
      </c>
      <c r="B443" s="298">
        <f>'Supply planning data'!D441</f>
        <v>45078</v>
      </c>
      <c r="C443" s="105" t="str">
        <f>'Supply planning data'!E441</f>
        <v>Yes</v>
      </c>
      <c r="D443" s="105">
        <f>'Supply planning data'!F441</f>
        <v>2258747</v>
      </c>
      <c r="E443" s="320">
        <f>'Supply planning data'!G441</f>
        <v>0</v>
      </c>
      <c r="F443" s="320">
        <f>'Supply planning data'!H441</f>
        <v>0</v>
      </c>
      <c r="G443" s="320">
        <f>'Supply planning data'!I441</f>
        <v>0</v>
      </c>
      <c r="H443" s="105">
        <f>'Supply planning data'!J441</f>
        <v>0</v>
      </c>
      <c r="I443" s="320">
        <f>'Supply planning data'!K441</f>
        <v>0</v>
      </c>
      <c r="J443" s="177" t="str">
        <f>'Supply planning data'!L441</f>
        <v/>
      </c>
      <c r="K443" s="105">
        <f>'Supply planning data'!M441</f>
        <v>0</v>
      </c>
      <c r="L443" s="321">
        <f>'Supply planning data'!N441+'Supply planning data'!P441</f>
        <v>0</v>
      </c>
      <c r="M443" s="342">
        <f>'Supply planning data'!O441</f>
        <v>0</v>
      </c>
      <c r="N443" s="321">
        <f>'Supply planning data'!P441</f>
        <v>0</v>
      </c>
      <c r="O443" s="342">
        <f>'Supply planning data'!Q441</f>
        <v>0</v>
      </c>
      <c r="P443" s="111">
        <f>'Supply planning data'!R441</f>
        <v>0</v>
      </c>
      <c r="Q443" s="111">
        <f>'Supply planning data'!S441</f>
        <v>0</v>
      </c>
      <c r="R443" s="111">
        <f>'Supply planning data'!T441</f>
        <v>0</v>
      </c>
      <c r="S443" s="111">
        <f>'Supply planning data'!U441</f>
        <v>0</v>
      </c>
      <c r="T443" s="111">
        <f>'Supply planning data'!V441</f>
        <v>2258747</v>
      </c>
      <c r="U443" s="327" t="str">
        <f>'Supply planning data'!W441</f>
        <v/>
      </c>
      <c r="V443" s="111">
        <f>'Supply planning data'!X441</f>
        <v>1698747</v>
      </c>
      <c r="W443" s="321">
        <f>'Supply planning data'!Y441</f>
        <v>0</v>
      </c>
      <c r="X443" s="329">
        <f>'Supply planning data'!Z441</f>
        <v>0</v>
      </c>
      <c r="Y443" s="111">
        <f>'Supply planning data'!AA441</f>
        <v>0</v>
      </c>
      <c r="Z443" s="111">
        <f>'Supply planning data'!AB441</f>
        <v>0</v>
      </c>
      <c r="AA443" s="111">
        <f>'Supply planning data'!AC441</f>
        <v>0</v>
      </c>
      <c r="AB443" s="111">
        <f>'Supply planning data'!AD441</f>
        <v>0</v>
      </c>
      <c r="AC443" s="111">
        <f>'Supply planning data'!AE441</f>
        <v>1698747</v>
      </c>
      <c r="AD443" s="327" t="str">
        <f>'Supply planning data'!AF441</f>
        <v/>
      </c>
      <c r="AE443" s="111">
        <f>'Supply planning data'!AG441</f>
        <v>2258747</v>
      </c>
      <c r="AF443" s="321">
        <f>'Supply planning data'!AH441</f>
        <v>0</v>
      </c>
      <c r="AG443" s="349">
        <f>'Supply planning data'!AI441</f>
        <v>0</v>
      </c>
      <c r="AH443" s="111">
        <f>'Supply planning data'!AJ441</f>
        <v>0</v>
      </c>
      <c r="AI443" s="111">
        <f>'Supply planning data'!AK441</f>
        <v>0</v>
      </c>
      <c r="AJ443" s="111">
        <f>'Supply planning data'!AL441</f>
        <v>0</v>
      </c>
      <c r="AK443" s="111">
        <f>'Supply planning data'!AM441</f>
        <v>0</v>
      </c>
      <c r="AL443" s="111">
        <f>'Supply planning data'!AN441</f>
        <v>2258747</v>
      </c>
      <c r="AM443" s="327" t="str">
        <f>'Supply planning data'!AO441</f>
        <v/>
      </c>
    </row>
    <row r="444" spans="1:39" x14ac:dyDescent="0.25">
      <c r="A444" s="104" t="str">
        <f>'Supply planning data'!C442</f>
        <v>Moderna</v>
      </c>
      <c r="B444" s="298">
        <f>'Supply planning data'!D442</f>
        <v>45078</v>
      </c>
      <c r="C444" s="105" t="str">
        <f>'Supply planning data'!E442</f>
        <v>No</v>
      </c>
      <c r="D444" s="105">
        <f>'Supply planning data'!F442</f>
        <v>0</v>
      </c>
      <c r="E444" s="320">
        <f>'Supply planning data'!G442</f>
        <v>0</v>
      </c>
      <c r="F444" s="320">
        <f>'Supply planning data'!H442</f>
        <v>0</v>
      </c>
      <c r="G444" s="320">
        <f>'Supply planning data'!I442</f>
        <v>0</v>
      </c>
      <c r="H444" s="105">
        <f>'Supply planning data'!J442</f>
        <v>0</v>
      </c>
      <c r="I444" s="320">
        <f>'Supply planning data'!K442</f>
        <v>0</v>
      </c>
      <c r="J444" s="177" t="str">
        <f>'Supply planning data'!L442</f>
        <v/>
      </c>
      <c r="K444" s="105">
        <f>'Supply planning data'!M442</f>
        <v>0</v>
      </c>
      <c r="L444" s="321">
        <f>'Supply planning data'!N442+'Supply planning data'!P442</f>
        <v>0</v>
      </c>
      <c r="M444" s="342">
        <f>'Supply planning data'!O442</f>
        <v>0</v>
      </c>
      <c r="N444" s="321">
        <f>'Supply planning data'!P442</f>
        <v>0</v>
      </c>
      <c r="O444" s="342">
        <f>'Supply planning data'!Q442</f>
        <v>0</v>
      </c>
      <c r="P444" s="111">
        <f>'Supply planning data'!R442</f>
        <v>0</v>
      </c>
      <c r="Q444" s="111">
        <f>'Supply planning data'!S442</f>
        <v>0</v>
      </c>
      <c r="R444" s="111">
        <f>'Supply planning data'!T442</f>
        <v>0</v>
      </c>
      <c r="S444" s="111">
        <f>'Supply planning data'!U442</f>
        <v>0</v>
      </c>
      <c r="T444" s="111">
        <f>'Supply planning data'!V442</f>
        <v>0</v>
      </c>
      <c r="U444" s="327" t="str">
        <f>'Supply planning data'!W442</f>
        <v/>
      </c>
      <c r="V444" s="111">
        <f>'Supply planning data'!X442</f>
        <v>0</v>
      </c>
      <c r="W444" s="321">
        <f>'Supply planning data'!Y442</f>
        <v>0</v>
      </c>
      <c r="X444" s="329">
        <f>'Supply planning data'!Z442</f>
        <v>0</v>
      </c>
      <c r="Y444" s="111">
        <f>'Supply planning data'!AA442</f>
        <v>0</v>
      </c>
      <c r="Z444" s="111">
        <f>'Supply planning data'!AB442</f>
        <v>0</v>
      </c>
      <c r="AA444" s="111">
        <f>'Supply planning data'!AC442</f>
        <v>0</v>
      </c>
      <c r="AB444" s="111">
        <f>'Supply planning data'!AD442</f>
        <v>0</v>
      </c>
      <c r="AC444" s="111">
        <f>'Supply planning data'!AE442</f>
        <v>0</v>
      </c>
      <c r="AD444" s="327" t="str">
        <f>'Supply planning data'!AF442</f>
        <v/>
      </c>
      <c r="AE444" s="111">
        <f>'Supply planning data'!AG442</f>
        <v>0</v>
      </c>
      <c r="AF444" s="321">
        <f>'Supply planning data'!AH442</f>
        <v>0</v>
      </c>
      <c r="AG444" s="349">
        <f>'Supply planning data'!AI442</f>
        <v>0</v>
      </c>
      <c r="AH444" s="111">
        <f>'Supply planning data'!AJ442</f>
        <v>0</v>
      </c>
      <c r="AI444" s="111">
        <f>'Supply planning data'!AK442</f>
        <v>0</v>
      </c>
      <c r="AJ444" s="111">
        <f>'Supply planning data'!AL442</f>
        <v>0</v>
      </c>
      <c r="AK444" s="111">
        <f>'Supply planning data'!AM442</f>
        <v>0</v>
      </c>
      <c r="AL444" s="111">
        <f>'Supply planning data'!AN442</f>
        <v>0</v>
      </c>
      <c r="AM444" s="327" t="str">
        <f>'Supply planning data'!AO442</f>
        <v/>
      </c>
    </row>
    <row r="445" spans="1:39" x14ac:dyDescent="0.25">
      <c r="A445" s="109" t="str">
        <f>'Supply planning data'!C443</f>
        <v>Pfizer</v>
      </c>
      <c r="B445" s="298">
        <f>'Supply planning data'!D443</f>
        <v>45078</v>
      </c>
      <c r="C445" s="105" t="str">
        <f>'Supply planning data'!E443</f>
        <v>Yes</v>
      </c>
      <c r="D445" s="105">
        <f>'Supply planning data'!F443</f>
        <v>3000000</v>
      </c>
      <c r="E445" s="320">
        <f>'Supply planning data'!G443</f>
        <v>0</v>
      </c>
      <c r="F445" s="320">
        <f>'Supply planning data'!H443</f>
        <v>0</v>
      </c>
      <c r="G445" s="320">
        <f>'Supply planning data'!I443</f>
        <v>0</v>
      </c>
      <c r="H445" s="105">
        <f>'Supply planning data'!J443</f>
        <v>0</v>
      </c>
      <c r="I445" s="320">
        <f>'Supply planning data'!K443</f>
        <v>0</v>
      </c>
      <c r="J445" s="177" t="str">
        <f>'Supply planning data'!L443</f>
        <v/>
      </c>
      <c r="K445" s="105">
        <f>'Supply planning data'!M443</f>
        <v>0</v>
      </c>
      <c r="L445" s="321">
        <f>'Supply planning data'!N443+'Supply planning data'!P443</f>
        <v>0</v>
      </c>
      <c r="M445" s="342">
        <f>'Supply planning data'!O443</f>
        <v>0</v>
      </c>
      <c r="N445" s="321">
        <f>'Supply planning data'!P443</f>
        <v>0</v>
      </c>
      <c r="O445" s="342">
        <f>'Supply planning data'!Q443</f>
        <v>0</v>
      </c>
      <c r="P445" s="111">
        <f>'Supply planning data'!R443</f>
        <v>0</v>
      </c>
      <c r="Q445" s="111">
        <f>'Supply planning data'!S443</f>
        <v>0</v>
      </c>
      <c r="R445" s="111">
        <f>'Supply planning data'!T443</f>
        <v>110538</v>
      </c>
      <c r="S445" s="111">
        <f>'Supply planning data'!U443</f>
        <v>0</v>
      </c>
      <c r="T445" s="111">
        <f>'Supply planning data'!V443</f>
        <v>3000000</v>
      </c>
      <c r="U445" s="327" t="str">
        <f>'Supply planning data'!W443</f>
        <v/>
      </c>
      <c r="V445" s="111">
        <f>'Supply planning data'!X443</f>
        <v>2440000</v>
      </c>
      <c r="W445" s="321">
        <f>'Supply planning data'!Y443</f>
        <v>0</v>
      </c>
      <c r="X445" s="329">
        <f>'Supply planning data'!Z443</f>
        <v>0</v>
      </c>
      <c r="Y445" s="111">
        <f>'Supply planning data'!AA443</f>
        <v>0</v>
      </c>
      <c r="Z445" s="111">
        <f>'Supply planning data'!AB443</f>
        <v>0</v>
      </c>
      <c r="AA445" s="111">
        <f>'Supply planning data'!AC443</f>
        <v>0</v>
      </c>
      <c r="AB445" s="111">
        <f>'Supply planning data'!AD443</f>
        <v>0</v>
      </c>
      <c r="AC445" s="111">
        <f>'Supply planning data'!AE443</f>
        <v>2440000</v>
      </c>
      <c r="AD445" s="327" t="str">
        <f>'Supply planning data'!AF443</f>
        <v/>
      </c>
      <c r="AE445" s="111">
        <f>'Supply planning data'!AG443</f>
        <v>3000000</v>
      </c>
      <c r="AF445" s="321">
        <f>'Supply planning data'!AH443</f>
        <v>0</v>
      </c>
      <c r="AG445" s="349">
        <f>'Supply planning data'!AI443</f>
        <v>0</v>
      </c>
      <c r="AH445" s="111">
        <f>'Supply planning data'!AJ443</f>
        <v>0</v>
      </c>
      <c r="AI445" s="111">
        <f>'Supply planning data'!AK443</f>
        <v>0</v>
      </c>
      <c r="AJ445" s="111">
        <f>'Supply planning data'!AL443</f>
        <v>110538</v>
      </c>
      <c r="AK445" s="111">
        <f>'Supply planning data'!AM443</f>
        <v>0</v>
      </c>
      <c r="AL445" s="111">
        <f>'Supply planning data'!AN443</f>
        <v>3000000</v>
      </c>
      <c r="AM445" s="327" t="str">
        <f>'Supply planning data'!AO443</f>
        <v/>
      </c>
    </row>
    <row r="446" spans="1:39" x14ac:dyDescent="0.25">
      <c r="A446" s="104" t="str">
        <f>'Supply planning data'!C444</f>
        <v>Sinovac</v>
      </c>
      <c r="B446" s="298">
        <f>'Supply planning data'!D444</f>
        <v>45078</v>
      </c>
      <c r="C446" s="105" t="str">
        <f>'Supply planning data'!E444</f>
        <v>No</v>
      </c>
      <c r="D446" s="105">
        <f>'Supply planning data'!F444</f>
        <v>0</v>
      </c>
      <c r="E446" s="320">
        <f>'Supply planning data'!G444</f>
        <v>0</v>
      </c>
      <c r="F446" s="320">
        <f>'Supply planning data'!H444</f>
        <v>0</v>
      </c>
      <c r="G446" s="320">
        <f>'Supply planning data'!I444</f>
        <v>0</v>
      </c>
      <c r="H446" s="105">
        <f>'Supply planning data'!J444</f>
        <v>0</v>
      </c>
      <c r="I446" s="320">
        <f>'Supply planning data'!K444</f>
        <v>0</v>
      </c>
      <c r="J446" s="177" t="str">
        <f>'Supply planning data'!L444</f>
        <v/>
      </c>
      <c r="K446" s="105">
        <f>'Supply planning data'!M444</f>
        <v>0</v>
      </c>
      <c r="L446" s="321">
        <f>'Supply planning data'!N444+'Supply planning data'!P444</f>
        <v>0</v>
      </c>
      <c r="M446" s="342">
        <f>'Supply planning data'!O444</f>
        <v>0</v>
      </c>
      <c r="N446" s="321">
        <f>'Supply planning data'!P444</f>
        <v>0</v>
      </c>
      <c r="O446" s="342">
        <f>'Supply planning data'!Q444</f>
        <v>0</v>
      </c>
      <c r="P446" s="111">
        <f>'Supply planning data'!R444</f>
        <v>0</v>
      </c>
      <c r="Q446" s="111">
        <f>'Supply planning data'!S444</f>
        <v>0</v>
      </c>
      <c r="R446" s="111">
        <f>'Supply planning data'!T444</f>
        <v>0</v>
      </c>
      <c r="S446" s="111">
        <f>'Supply planning data'!U444</f>
        <v>0</v>
      </c>
      <c r="T446" s="111">
        <f>'Supply planning data'!V444</f>
        <v>0</v>
      </c>
      <c r="U446" s="327" t="str">
        <f>'Supply planning data'!W444</f>
        <v/>
      </c>
      <c r="V446" s="111">
        <f>'Supply planning data'!X444</f>
        <v>0</v>
      </c>
      <c r="W446" s="321">
        <f>'Supply planning data'!Y444</f>
        <v>0</v>
      </c>
      <c r="X446" s="329">
        <f>'Supply planning data'!Z444</f>
        <v>0</v>
      </c>
      <c r="Y446" s="111">
        <f>'Supply planning data'!AA444</f>
        <v>0</v>
      </c>
      <c r="Z446" s="111">
        <f>'Supply planning data'!AB444</f>
        <v>0</v>
      </c>
      <c r="AA446" s="111">
        <f>'Supply planning data'!AC444</f>
        <v>0</v>
      </c>
      <c r="AB446" s="111">
        <f>'Supply planning data'!AD444</f>
        <v>0</v>
      </c>
      <c r="AC446" s="111">
        <f>'Supply planning data'!AE444</f>
        <v>0</v>
      </c>
      <c r="AD446" s="327" t="str">
        <f>'Supply planning data'!AF444</f>
        <v/>
      </c>
      <c r="AE446" s="111">
        <f>'Supply planning data'!AG444</f>
        <v>0</v>
      </c>
      <c r="AF446" s="321">
        <f>'Supply planning data'!AH444</f>
        <v>0</v>
      </c>
      <c r="AG446" s="349">
        <f>'Supply planning data'!AI444</f>
        <v>0</v>
      </c>
      <c r="AH446" s="111">
        <f>'Supply planning data'!AJ444</f>
        <v>0</v>
      </c>
      <c r="AI446" s="111">
        <f>'Supply planning data'!AK444</f>
        <v>0</v>
      </c>
      <c r="AJ446" s="111">
        <f>'Supply planning data'!AL444</f>
        <v>0</v>
      </c>
      <c r="AK446" s="111">
        <f>'Supply planning data'!AM444</f>
        <v>0</v>
      </c>
      <c r="AL446" s="111">
        <f>'Supply planning data'!AN444</f>
        <v>0</v>
      </c>
      <c r="AM446" s="327" t="str">
        <f>'Supply planning data'!AO444</f>
        <v/>
      </c>
    </row>
    <row r="447" spans="1:39" hidden="1" x14ac:dyDescent="0.25">
      <c r="A447" s="109" t="str">
        <f>'Supply planning data'!C445</f>
        <v/>
      </c>
      <c r="B447" s="298">
        <f>'Supply planning data'!D445</f>
        <v>45078</v>
      </c>
      <c r="C447" s="105" t="str">
        <f>'Supply planning data'!E445</f>
        <v>No</v>
      </c>
      <c r="D447" s="105">
        <f>'Supply planning data'!F445</f>
        <v>0</v>
      </c>
      <c r="E447" s="320">
        <f>'Supply planning data'!G445</f>
        <v>0</v>
      </c>
      <c r="F447" s="320">
        <f>'Supply planning data'!H445</f>
        <v>0</v>
      </c>
      <c r="G447" s="320">
        <f>'Supply planning data'!I445</f>
        <v>0</v>
      </c>
      <c r="H447" s="105">
        <f>'Supply planning data'!J445</f>
        <v>0</v>
      </c>
      <c r="I447" s="320">
        <f>'Supply planning data'!K445</f>
        <v>0</v>
      </c>
      <c r="J447" s="177" t="str">
        <f>'Supply planning data'!L445</f>
        <v/>
      </c>
      <c r="K447" s="105">
        <f>'Supply planning data'!M445</f>
        <v>0</v>
      </c>
      <c r="L447" s="321">
        <f>'Supply planning data'!N445+'Supply planning data'!P445</f>
        <v>0</v>
      </c>
      <c r="M447" s="342">
        <f>'Supply planning data'!O445</f>
        <v>0</v>
      </c>
      <c r="N447" s="321">
        <f>'Supply planning data'!P445</f>
        <v>0</v>
      </c>
      <c r="O447" s="342">
        <f>'Supply planning data'!Q445</f>
        <v>0</v>
      </c>
      <c r="P447" s="111">
        <f>'Supply planning data'!R445</f>
        <v>0</v>
      </c>
      <c r="Q447" s="111">
        <f>'Supply planning data'!S445</f>
        <v>0</v>
      </c>
      <c r="R447" s="111">
        <f>'Supply planning data'!T445</f>
        <v>0</v>
      </c>
      <c r="S447" s="111">
        <f>'Supply planning data'!U445</f>
        <v>0</v>
      </c>
      <c r="T447" s="111">
        <f>'Supply planning data'!V445</f>
        <v>0</v>
      </c>
      <c r="U447" s="327" t="str">
        <f>'Supply planning data'!W445</f>
        <v/>
      </c>
      <c r="V447" s="111">
        <f>'Supply planning data'!X445</f>
        <v>0</v>
      </c>
      <c r="W447" s="321">
        <f>'Supply planning data'!Y445</f>
        <v>0</v>
      </c>
      <c r="X447" s="329">
        <f>'Supply planning data'!Z445</f>
        <v>0</v>
      </c>
      <c r="Y447" s="111">
        <f>'Supply planning data'!AA445</f>
        <v>0</v>
      </c>
      <c r="Z447" s="111">
        <f>'Supply planning data'!AB445</f>
        <v>0</v>
      </c>
      <c r="AA447" s="111">
        <f>'Supply planning data'!AC445</f>
        <v>0</v>
      </c>
      <c r="AB447" s="111">
        <f>'Supply planning data'!AD445</f>
        <v>0</v>
      </c>
      <c r="AC447" s="111">
        <f>'Supply planning data'!AE445</f>
        <v>0</v>
      </c>
      <c r="AD447" s="327" t="str">
        <f>'Supply planning data'!AF445</f>
        <v/>
      </c>
      <c r="AE447" s="111">
        <f>'Supply planning data'!AG445</f>
        <v>0</v>
      </c>
      <c r="AF447" s="321">
        <f>'Supply planning data'!AH445</f>
        <v>0</v>
      </c>
      <c r="AG447" s="349">
        <f>'Supply planning data'!AI445</f>
        <v>0</v>
      </c>
      <c r="AH447" s="111">
        <f>'Supply planning data'!AJ445</f>
        <v>0</v>
      </c>
      <c r="AI447" s="111">
        <f>'Supply planning data'!AK445</f>
        <v>0</v>
      </c>
      <c r="AJ447" s="111">
        <f>'Supply planning data'!AL445</f>
        <v>0</v>
      </c>
      <c r="AK447" s="111">
        <f>'Supply planning data'!AM445</f>
        <v>0</v>
      </c>
      <c r="AL447" s="111">
        <f>'Supply planning data'!AN445</f>
        <v>0</v>
      </c>
      <c r="AM447" s="327" t="str">
        <f>'Supply planning data'!AO445</f>
        <v/>
      </c>
    </row>
    <row r="448" spans="1:39" hidden="1" x14ac:dyDescent="0.25">
      <c r="A448" s="104" t="str">
        <f>'Supply planning data'!C446</f>
        <v/>
      </c>
      <c r="B448" s="298">
        <f>'Supply planning data'!D446</f>
        <v>45078</v>
      </c>
      <c r="C448" s="105" t="str">
        <f>'Supply planning data'!E446</f>
        <v>No</v>
      </c>
      <c r="D448" s="105">
        <f>'Supply planning data'!F446</f>
        <v>0</v>
      </c>
      <c r="E448" s="320">
        <f>'Supply planning data'!G446</f>
        <v>0</v>
      </c>
      <c r="F448" s="320">
        <f>'Supply planning data'!H446</f>
        <v>0</v>
      </c>
      <c r="G448" s="320">
        <f>'Supply planning data'!I446</f>
        <v>0</v>
      </c>
      <c r="H448" s="105">
        <f>'Supply planning data'!J446</f>
        <v>0</v>
      </c>
      <c r="I448" s="320">
        <f>'Supply planning data'!K446</f>
        <v>0</v>
      </c>
      <c r="J448" s="177" t="str">
        <f>'Supply planning data'!L446</f>
        <v/>
      </c>
      <c r="K448" s="105">
        <f>'Supply planning data'!M446</f>
        <v>0</v>
      </c>
      <c r="L448" s="321">
        <f>'Supply planning data'!N446+'Supply planning data'!P446</f>
        <v>0</v>
      </c>
      <c r="M448" s="342">
        <f>'Supply planning data'!O446</f>
        <v>0</v>
      </c>
      <c r="N448" s="321">
        <f>'Supply planning data'!P446</f>
        <v>0</v>
      </c>
      <c r="O448" s="342">
        <f>'Supply planning data'!Q446</f>
        <v>0</v>
      </c>
      <c r="P448" s="111">
        <f>'Supply planning data'!R446</f>
        <v>0</v>
      </c>
      <c r="Q448" s="111">
        <f>'Supply planning data'!S446</f>
        <v>0</v>
      </c>
      <c r="R448" s="111">
        <f>'Supply planning data'!T446</f>
        <v>0</v>
      </c>
      <c r="S448" s="111">
        <f>'Supply planning data'!U446</f>
        <v>0</v>
      </c>
      <c r="T448" s="111">
        <f>'Supply planning data'!V446</f>
        <v>0</v>
      </c>
      <c r="U448" s="327" t="str">
        <f>'Supply planning data'!W446</f>
        <v/>
      </c>
      <c r="V448" s="111">
        <f>'Supply planning data'!X446</f>
        <v>0</v>
      </c>
      <c r="W448" s="321">
        <f>'Supply planning data'!Y446</f>
        <v>0</v>
      </c>
      <c r="X448" s="329">
        <f>'Supply planning data'!Z446</f>
        <v>0</v>
      </c>
      <c r="Y448" s="111">
        <f>'Supply planning data'!AA446</f>
        <v>0</v>
      </c>
      <c r="Z448" s="111">
        <f>'Supply planning data'!AB446</f>
        <v>0</v>
      </c>
      <c r="AA448" s="111">
        <f>'Supply planning data'!AC446</f>
        <v>0</v>
      </c>
      <c r="AB448" s="111">
        <f>'Supply planning data'!AD446</f>
        <v>0</v>
      </c>
      <c r="AC448" s="111">
        <f>'Supply planning data'!AE446</f>
        <v>0</v>
      </c>
      <c r="AD448" s="327" t="str">
        <f>'Supply planning data'!AF446</f>
        <v/>
      </c>
      <c r="AE448" s="111">
        <f>'Supply planning data'!AG446</f>
        <v>0</v>
      </c>
      <c r="AF448" s="321">
        <f>'Supply planning data'!AH446</f>
        <v>0</v>
      </c>
      <c r="AG448" s="349">
        <f>'Supply planning data'!AI446</f>
        <v>0</v>
      </c>
      <c r="AH448" s="111">
        <f>'Supply planning data'!AJ446</f>
        <v>0</v>
      </c>
      <c r="AI448" s="111">
        <f>'Supply planning data'!AK446</f>
        <v>0</v>
      </c>
      <c r="AJ448" s="111">
        <f>'Supply planning data'!AL446</f>
        <v>0</v>
      </c>
      <c r="AK448" s="111">
        <f>'Supply planning data'!AM446</f>
        <v>0</v>
      </c>
      <c r="AL448" s="111">
        <f>'Supply planning data'!AN446</f>
        <v>0</v>
      </c>
      <c r="AM448" s="327" t="str">
        <f>'Supply planning data'!AO446</f>
        <v/>
      </c>
    </row>
    <row r="449" spans="1:39" hidden="1" x14ac:dyDescent="0.25">
      <c r="A449" s="109" t="str">
        <f>'Supply planning data'!C447</f>
        <v/>
      </c>
      <c r="B449" s="298">
        <f>'Supply planning data'!D447</f>
        <v>45078</v>
      </c>
      <c r="C449" s="105" t="str">
        <f>'Supply planning data'!E447</f>
        <v>No</v>
      </c>
      <c r="D449" s="105">
        <f>'Supply planning data'!F447</f>
        <v>0</v>
      </c>
      <c r="E449" s="320">
        <f>'Supply planning data'!G447</f>
        <v>0</v>
      </c>
      <c r="F449" s="320">
        <f>'Supply planning data'!H447</f>
        <v>0</v>
      </c>
      <c r="G449" s="320">
        <f>'Supply planning data'!I447</f>
        <v>0</v>
      </c>
      <c r="H449" s="105">
        <f>'Supply planning data'!J447</f>
        <v>0</v>
      </c>
      <c r="I449" s="320">
        <f>'Supply planning data'!K447</f>
        <v>0</v>
      </c>
      <c r="J449" s="177" t="str">
        <f>'Supply planning data'!L447</f>
        <v/>
      </c>
      <c r="K449" s="105">
        <f>'Supply planning data'!M447</f>
        <v>0</v>
      </c>
      <c r="L449" s="321">
        <f>'Supply planning data'!N447+'Supply planning data'!P447</f>
        <v>0</v>
      </c>
      <c r="M449" s="342">
        <f>'Supply planning data'!O447</f>
        <v>0</v>
      </c>
      <c r="N449" s="321">
        <f>'Supply planning data'!P447</f>
        <v>0</v>
      </c>
      <c r="O449" s="342">
        <f>'Supply planning data'!Q447</f>
        <v>0</v>
      </c>
      <c r="P449" s="111">
        <f>'Supply planning data'!R447</f>
        <v>0</v>
      </c>
      <c r="Q449" s="111">
        <f>'Supply planning data'!S447</f>
        <v>0</v>
      </c>
      <c r="R449" s="111">
        <f>'Supply planning data'!T447</f>
        <v>0</v>
      </c>
      <c r="S449" s="111">
        <f>'Supply planning data'!U447</f>
        <v>0</v>
      </c>
      <c r="T449" s="111">
        <f>'Supply planning data'!V447</f>
        <v>0</v>
      </c>
      <c r="U449" s="327" t="str">
        <f>'Supply planning data'!W447</f>
        <v/>
      </c>
      <c r="V449" s="111">
        <f>'Supply planning data'!X447</f>
        <v>0</v>
      </c>
      <c r="W449" s="321">
        <f>'Supply planning data'!Y447</f>
        <v>0</v>
      </c>
      <c r="X449" s="329">
        <f>'Supply planning data'!Z447</f>
        <v>0</v>
      </c>
      <c r="Y449" s="111">
        <f>'Supply planning data'!AA447</f>
        <v>0</v>
      </c>
      <c r="Z449" s="111">
        <f>'Supply planning data'!AB447</f>
        <v>0</v>
      </c>
      <c r="AA449" s="111">
        <f>'Supply planning data'!AC447</f>
        <v>0</v>
      </c>
      <c r="AB449" s="111">
        <f>'Supply planning data'!AD447</f>
        <v>0</v>
      </c>
      <c r="AC449" s="111">
        <f>'Supply planning data'!AE447</f>
        <v>0</v>
      </c>
      <c r="AD449" s="327" t="str">
        <f>'Supply planning data'!AF447</f>
        <v/>
      </c>
      <c r="AE449" s="111">
        <f>'Supply planning data'!AG447</f>
        <v>0</v>
      </c>
      <c r="AF449" s="321">
        <f>'Supply planning data'!AH447</f>
        <v>0</v>
      </c>
      <c r="AG449" s="349">
        <f>'Supply planning data'!AI447</f>
        <v>0</v>
      </c>
      <c r="AH449" s="111">
        <f>'Supply planning data'!AJ447</f>
        <v>0</v>
      </c>
      <c r="AI449" s="111">
        <f>'Supply planning data'!AK447</f>
        <v>0</v>
      </c>
      <c r="AJ449" s="111">
        <f>'Supply planning data'!AL447</f>
        <v>0</v>
      </c>
      <c r="AK449" s="111">
        <f>'Supply planning data'!AM447</f>
        <v>0</v>
      </c>
      <c r="AL449" s="111">
        <f>'Supply planning data'!AN447</f>
        <v>0</v>
      </c>
      <c r="AM449" s="327" t="str">
        <f>'Supply planning data'!AO447</f>
        <v/>
      </c>
    </row>
    <row r="450" spans="1:39" hidden="1" x14ac:dyDescent="0.25">
      <c r="A450" s="104" t="str">
        <f>'Supply planning data'!C448</f>
        <v/>
      </c>
      <c r="B450" s="298">
        <f>'Supply planning data'!D448</f>
        <v>45078</v>
      </c>
      <c r="C450" s="105" t="str">
        <f>'Supply planning data'!E448</f>
        <v>No</v>
      </c>
      <c r="D450" s="105">
        <f>'Supply planning data'!F448</f>
        <v>0</v>
      </c>
      <c r="E450" s="320">
        <f>'Supply planning data'!G448</f>
        <v>0</v>
      </c>
      <c r="F450" s="320">
        <f>'Supply planning data'!H448</f>
        <v>0</v>
      </c>
      <c r="G450" s="320">
        <f>'Supply planning data'!I448</f>
        <v>0</v>
      </c>
      <c r="H450" s="105">
        <f>'Supply planning data'!J448</f>
        <v>0</v>
      </c>
      <c r="I450" s="320">
        <f>'Supply planning data'!K448</f>
        <v>0</v>
      </c>
      <c r="J450" s="177" t="str">
        <f>'Supply planning data'!L448</f>
        <v/>
      </c>
      <c r="K450" s="105">
        <f>'Supply planning data'!M448</f>
        <v>0</v>
      </c>
      <c r="L450" s="321">
        <f>'Supply planning data'!N448+'Supply planning data'!P448</f>
        <v>0</v>
      </c>
      <c r="M450" s="342">
        <f>'Supply planning data'!O448</f>
        <v>0</v>
      </c>
      <c r="N450" s="321">
        <f>'Supply planning data'!P448</f>
        <v>0</v>
      </c>
      <c r="O450" s="342">
        <f>'Supply planning data'!Q448</f>
        <v>0</v>
      </c>
      <c r="P450" s="111">
        <f>'Supply planning data'!R448</f>
        <v>0</v>
      </c>
      <c r="Q450" s="111">
        <f>'Supply planning data'!S448</f>
        <v>0</v>
      </c>
      <c r="R450" s="111">
        <f>'Supply planning data'!T448</f>
        <v>0</v>
      </c>
      <c r="S450" s="111">
        <f>'Supply planning data'!U448</f>
        <v>0</v>
      </c>
      <c r="T450" s="111">
        <f>'Supply planning data'!V448</f>
        <v>0</v>
      </c>
      <c r="U450" s="327" t="str">
        <f>'Supply planning data'!W448</f>
        <v/>
      </c>
      <c r="V450" s="111">
        <f>'Supply planning data'!X448</f>
        <v>0</v>
      </c>
      <c r="W450" s="321">
        <f>'Supply planning data'!Y448</f>
        <v>0</v>
      </c>
      <c r="X450" s="329">
        <f>'Supply planning data'!Z448</f>
        <v>0</v>
      </c>
      <c r="Y450" s="111">
        <f>'Supply planning data'!AA448</f>
        <v>0</v>
      </c>
      <c r="Z450" s="111">
        <f>'Supply planning data'!AB448</f>
        <v>0</v>
      </c>
      <c r="AA450" s="111">
        <f>'Supply planning data'!AC448</f>
        <v>0</v>
      </c>
      <c r="AB450" s="111">
        <f>'Supply planning data'!AD448</f>
        <v>0</v>
      </c>
      <c r="AC450" s="111">
        <f>'Supply planning data'!AE448</f>
        <v>0</v>
      </c>
      <c r="AD450" s="327" t="str">
        <f>'Supply planning data'!AF448</f>
        <v/>
      </c>
      <c r="AE450" s="111">
        <f>'Supply planning data'!AG448</f>
        <v>0</v>
      </c>
      <c r="AF450" s="321">
        <f>'Supply planning data'!AH448</f>
        <v>0</v>
      </c>
      <c r="AG450" s="349">
        <f>'Supply planning data'!AI448</f>
        <v>0</v>
      </c>
      <c r="AH450" s="111">
        <f>'Supply planning data'!AJ448</f>
        <v>0</v>
      </c>
      <c r="AI450" s="111">
        <f>'Supply planning data'!AK448</f>
        <v>0</v>
      </c>
      <c r="AJ450" s="111">
        <f>'Supply planning data'!AL448</f>
        <v>0</v>
      </c>
      <c r="AK450" s="111">
        <f>'Supply planning data'!AM448</f>
        <v>0</v>
      </c>
      <c r="AL450" s="111">
        <f>'Supply planning data'!AN448</f>
        <v>0</v>
      </c>
      <c r="AM450" s="327" t="str">
        <f>'Supply planning data'!AO448</f>
        <v/>
      </c>
    </row>
    <row r="451" spans="1:39" hidden="1" x14ac:dyDescent="0.25">
      <c r="A451" s="109" t="str">
        <f>'Supply planning data'!C449</f>
        <v/>
      </c>
      <c r="B451" s="298">
        <f>'Supply planning data'!D449</f>
        <v>45078</v>
      </c>
      <c r="C451" s="105" t="str">
        <f>'Supply planning data'!E449</f>
        <v>No</v>
      </c>
      <c r="D451" s="105">
        <f>'Supply planning data'!F449</f>
        <v>0</v>
      </c>
      <c r="E451" s="320">
        <f>'Supply planning data'!G449</f>
        <v>0</v>
      </c>
      <c r="F451" s="320">
        <f>'Supply planning data'!H449</f>
        <v>0</v>
      </c>
      <c r="G451" s="320">
        <f>'Supply planning data'!I449</f>
        <v>0</v>
      </c>
      <c r="H451" s="105">
        <f>'Supply planning data'!J449</f>
        <v>0</v>
      </c>
      <c r="I451" s="320">
        <f>'Supply planning data'!K449</f>
        <v>0</v>
      </c>
      <c r="J451" s="177" t="str">
        <f>'Supply planning data'!L449</f>
        <v/>
      </c>
      <c r="K451" s="105">
        <f>'Supply planning data'!M449</f>
        <v>0</v>
      </c>
      <c r="L451" s="321">
        <f>'Supply planning data'!N449+'Supply planning data'!P449</f>
        <v>0</v>
      </c>
      <c r="M451" s="342">
        <f>'Supply planning data'!O449</f>
        <v>0</v>
      </c>
      <c r="N451" s="321">
        <f>'Supply planning data'!P449</f>
        <v>0</v>
      </c>
      <c r="O451" s="342">
        <f>'Supply planning data'!Q449</f>
        <v>0</v>
      </c>
      <c r="P451" s="111">
        <f>'Supply planning data'!R449</f>
        <v>0</v>
      </c>
      <c r="Q451" s="111">
        <f>'Supply planning data'!S449</f>
        <v>0</v>
      </c>
      <c r="R451" s="111">
        <f>'Supply planning data'!T449</f>
        <v>0</v>
      </c>
      <c r="S451" s="111">
        <f>'Supply planning data'!U449</f>
        <v>0</v>
      </c>
      <c r="T451" s="111">
        <f>'Supply planning data'!V449</f>
        <v>0</v>
      </c>
      <c r="U451" s="327" t="str">
        <f>'Supply planning data'!W449</f>
        <v/>
      </c>
      <c r="V451" s="111">
        <f>'Supply planning data'!X449</f>
        <v>0</v>
      </c>
      <c r="W451" s="321">
        <f>'Supply planning data'!Y449</f>
        <v>0</v>
      </c>
      <c r="X451" s="329">
        <f>'Supply planning data'!Z449</f>
        <v>0</v>
      </c>
      <c r="Y451" s="111">
        <f>'Supply planning data'!AA449</f>
        <v>0</v>
      </c>
      <c r="Z451" s="111">
        <f>'Supply planning data'!AB449</f>
        <v>0</v>
      </c>
      <c r="AA451" s="111">
        <f>'Supply planning data'!AC449</f>
        <v>0</v>
      </c>
      <c r="AB451" s="111">
        <f>'Supply planning data'!AD449</f>
        <v>0</v>
      </c>
      <c r="AC451" s="111">
        <f>'Supply planning data'!AE449</f>
        <v>0</v>
      </c>
      <c r="AD451" s="327" t="str">
        <f>'Supply planning data'!AF449</f>
        <v/>
      </c>
      <c r="AE451" s="111">
        <f>'Supply planning data'!AG449</f>
        <v>0</v>
      </c>
      <c r="AF451" s="321">
        <f>'Supply planning data'!AH449</f>
        <v>0</v>
      </c>
      <c r="AG451" s="349">
        <f>'Supply planning data'!AI449</f>
        <v>0</v>
      </c>
      <c r="AH451" s="111">
        <f>'Supply planning data'!AJ449</f>
        <v>0</v>
      </c>
      <c r="AI451" s="111">
        <f>'Supply planning data'!AK449</f>
        <v>0</v>
      </c>
      <c r="AJ451" s="111">
        <f>'Supply planning data'!AL449</f>
        <v>0</v>
      </c>
      <c r="AK451" s="111">
        <f>'Supply planning data'!AM449</f>
        <v>0</v>
      </c>
      <c r="AL451" s="111">
        <f>'Supply planning data'!AN449</f>
        <v>0</v>
      </c>
      <c r="AM451" s="327" t="str">
        <f>'Supply planning data'!AO449</f>
        <v/>
      </c>
    </row>
    <row r="452" spans="1:39" hidden="1" x14ac:dyDescent="0.25">
      <c r="A452" s="104" t="str">
        <f>'Supply planning data'!C450</f>
        <v/>
      </c>
      <c r="B452" s="298">
        <f>'Supply planning data'!D450</f>
        <v>45078</v>
      </c>
      <c r="C452" s="105" t="str">
        <f>'Supply planning data'!E450</f>
        <v>No</v>
      </c>
      <c r="D452" s="105">
        <f>'Supply planning data'!F450</f>
        <v>0</v>
      </c>
      <c r="E452" s="320">
        <f>'Supply planning data'!G450</f>
        <v>0</v>
      </c>
      <c r="F452" s="320">
        <f>'Supply planning data'!H450</f>
        <v>0</v>
      </c>
      <c r="G452" s="320">
        <f>'Supply planning data'!I450</f>
        <v>0</v>
      </c>
      <c r="H452" s="105">
        <f>'Supply planning data'!J450</f>
        <v>0</v>
      </c>
      <c r="I452" s="320">
        <f>'Supply planning data'!K450</f>
        <v>0</v>
      </c>
      <c r="J452" s="177" t="str">
        <f>'Supply planning data'!L450</f>
        <v/>
      </c>
      <c r="K452" s="105">
        <f>'Supply planning data'!M450</f>
        <v>0</v>
      </c>
      <c r="L452" s="321">
        <f>'Supply planning data'!N450+'Supply planning data'!P450</f>
        <v>0</v>
      </c>
      <c r="M452" s="342">
        <f>'Supply planning data'!O450</f>
        <v>0</v>
      </c>
      <c r="N452" s="321">
        <f>'Supply planning data'!P450</f>
        <v>0</v>
      </c>
      <c r="O452" s="342">
        <f>'Supply planning data'!Q450</f>
        <v>0</v>
      </c>
      <c r="P452" s="111">
        <f>'Supply planning data'!R450</f>
        <v>0</v>
      </c>
      <c r="Q452" s="111">
        <f>'Supply planning data'!S450</f>
        <v>0</v>
      </c>
      <c r="R452" s="111">
        <f>'Supply planning data'!T450</f>
        <v>0</v>
      </c>
      <c r="S452" s="111">
        <f>'Supply planning data'!U450</f>
        <v>0</v>
      </c>
      <c r="T452" s="111">
        <f>'Supply planning data'!V450</f>
        <v>0</v>
      </c>
      <c r="U452" s="327" t="str">
        <f>'Supply planning data'!W450</f>
        <v/>
      </c>
      <c r="V452" s="111">
        <f>'Supply planning data'!X450</f>
        <v>0</v>
      </c>
      <c r="W452" s="321">
        <f>'Supply planning data'!Y450</f>
        <v>0</v>
      </c>
      <c r="X452" s="329">
        <f>'Supply planning data'!Z450</f>
        <v>0</v>
      </c>
      <c r="Y452" s="111">
        <f>'Supply planning data'!AA450</f>
        <v>0</v>
      </c>
      <c r="Z452" s="111">
        <f>'Supply planning data'!AB450</f>
        <v>0</v>
      </c>
      <c r="AA452" s="111">
        <f>'Supply planning data'!AC450</f>
        <v>0</v>
      </c>
      <c r="AB452" s="111">
        <f>'Supply planning data'!AD450</f>
        <v>0</v>
      </c>
      <c r="AC452" s="111">
        <f>'Supply planning data'!AE450</f>
        <v>0</v>
      </c>
      <c r="AD452" s="327" t="str">
        <f>'Supply planning data'!AF450</f>
        <v/>
      </c>
      <c r="AE452" s="111">
        <f>'Supply planning data'!AG450</f>
        <v>0</v>
      </c>
      <c r="AF452" s="321">
        <f>'Supply planning data'!AH450</f>
        <v>0</v>
      </c>
      <c r="AG452" s="349">
        <f>'Supply planning data'!AI450</f>
        <v>0</v>
      </c>
      <c r="AH452" s="111">
        <f>'Supply planning data'!AJ450</f>
        <v>0</v>
      </c>
      <c r="AI452" s="111">
        <f>'Supply planning data'!AK450</f>
        <v>0</v>
      </c>
      <c r="AJ452" s="111">
        <f>'Supply planning data'!AL450</f>
        <v>0</v>
      </c>
      <c r="AK452" s="111">
        <f>'Supply planning data'!AM450</f>
        <v>0</v>
      </c>
      <c r="AL452" s="111">
        <f>'Supply planning data'!AN450</f>
        <v>0</v>
      </c>
      <c r="AM452" s="327" t="str">
        <f>'Supply planning data'!AO450</f>
        <v/>
      </c>
    </row>
    <row r="453" spans="1:39" hidden="1" x14ac:dyDescent="0.25">
      <c r="A453" s="109" t="str">
        <f>'Supply planning data'!C451</f>
        <v/>
      </c>
      <c r="B453" s="298">
        <f>'Supply planning data'!D451</f>
        <v>45078</v>
      </c>
      <c r="C453" s="105" t="str">
        <f>'Supply planning data'!E451</f>
        <v>No</v>
      </c>
      <c r="D453" s="105">
        <f>'Supply planning data'!F451</f>
        <v>0</v>
      </c>
      <c r="E453" s="320">
        <f>'Supply planning data'!G451</f>
        <v>0</v>
      </c>
      <c r="F453" s="320">
        <f>'Supply planning data'!H451</f>
        <v>0</v>
      </c>
      <c r="G453" s="320">
        <f>'Supply planning data'!I451</f>
        <v>0</v>
      </c>
      <c r="H453" s="105">
        <f>'Supply planning data'!J451</f>
        <v>0</v>
      </c>
      <c r="I453" s="320">
        <f>'Supply planning data'!K451</f>
        <v>0</v>
      </c>
      <c r="J453" s="177" t="str">
        <f>'Supply planning data'!L451</f>
        <v/>
      </c>
      <c r="K453" s="105">
        <f>'Supply planning data'!M451</f>
        <v>0</v>
      </c>
      <c r="L453" s="321">
        <f>'Supply planning data'!N451+'Supply planning data'!P451</f>
        <v>0</v>
      </c>
      <c r="M453" s="342">
        <f>'Supply planning data'!O451</f>
        <v>0</v>
      </c>
      <c r="N453" s="321">
        <f>'Supply planning data'!P451</f>
        <v>0</v>
      </c>
      <c r="O453" s="342">
        <f>'Supply planning data'!Q451</f>
        <v>0</v>
      </c>
      <c r="P453" s="111">
        <f>'Supply planning data'!R451</f>
        <v>0</v>
      </c>
      <c r="Q453" s="111">
        <f>'Supply planning data'!S451</f>
        <v>0</v>
      </c>
      <c r="R453" s="111">
        <f>'Supply planning data'!T451</f>
        <v>0</v>
      </c>
      <c r="S453" s="111">
        <f>'Supply planning data'!U451</f>
        <v>0</v>
      </c>
      <c r="T453" s="111">
        <f>'Supply planning data'!V451</f>
        <v>0</v>
      </c>
      <c r="U453" s="327" t="str">
        <f>'Supply planning data'!W451</f>
        <v/>
      </c>
      <c r="V453" s="111">
        <f>'Supply planning data'!X451</f>
        <v>0</v>
      </c>
      <c r="W453" s="321">
        <f>'Supply planning data'!Y451</f>
        <v>0</v>
      </c>
      <c r="X453" s="329">
        <f>'Supply planning data'!Z451</f>
        <v>0</v>
      </c>
      <c r="Y453" s="111">
        <f>'Supply planning data'!AA451</f>
        <v>0</v>
      </c>
      <c r="Z453" s="111">
        <f>'Supply planning data'!AB451</f>
        <v>0</v>
      </c>
      <c r="AA453" s="111">
        <f>'Supply planning data'!AC451</f>
        <v>0</v>
      </c>
      <c r="AB453" s="111">
        <f>'Supply planning data'!AD451</f>
        <v>0</v>
      </c>
      <c r="AC453" s="111">
        <f>'Supply planning data'!AE451</f>
        <v>0</v>
      </c>
      <c r="AD453" s="327" t="str">
        <f>'Supply planning data'!AF451</f>
        <v/>
      </c>
      <c r="AE453" s="111">
        <f>'Supply planning data'!AG451</f>
        <v>0</v>
      </c>
      <c r="AF453" s="321">
        <f>'Supply planning data'!AH451</f>
        <v>0</v>
      </c>
      <c r="AG453" s="349">
        <f>'Supply planning data'!AI451</f>
        <v>0</v>
      </c>
      <c r="AH453" s="111">
        <f>'Supply planning data'!AJ451</f>
        <v>0</v>
      </c>
      <c r="AI453" s="111">
        <f>'Supply planning data'!AK451</f>
        <v>0</v>
      </c>
      <c r="AJ453" s="111">
        <f>'Supply planning data'!AL451</f>
        <v>0</v>
      </c>
      <c r="AK453" s="111">
        <f>'Supply planning data'!AM451</f>
        <v>0</v>
      </c>
      <c r="AL453" s="111">
        <f>'Supply planning data'!AN451</f>
        <v>0</v>
      </c>
      <c r="AM453" s="327" t="str">
        <f>'Supply planning data'!AO451</f>
        <v/>
      </c>
    </row>
    <row r="454" spans="1:39" hidden="1" x14ac:dyDescent="0.25">
      <c r="A454" s="104" t="str">
        <f>'Supply planning data'!C452</f>
        <v/>
      </c>
      <c r="B454" s="298">
        <f>'Supply planning data'!D452</f>
        <v>45078</v>
      </c>
      <c r="C454" s="105" t="str">
        <f>'Supply planning data'!E452</f>
        <v>No</v>
      </c>
      <c r="D454" s="105">
        <f>'Supply planning data'!F452</f>
        <v>0</v>
      </c>
      <c r="E454" s="320">
        <f>'Supply planning data'!G452</f>
        <v>0</v>
      </c>
      <c r="F454" s="320">
        <f>'Supply planning data'!H452</f>
        <v>0</v>
      </c>
      <c r="G454" s="320">
        <f>'Supply planning data'!I452</f>
        <v>0</v>
      </c>
      <c r="H454" s="105">
        <f>'Supply planning data'!J452</f>
        <v>0</v>
      </c>
      <c r="I454" s="320">
        <f>'Supply planning data'!K452</f>
        <v>0</v>
      </c>
      <c r="J454" s="177" t="str">
        <f>'Supply planning data'!L452</f>
        <v/>
      </c>
      <c r="K454" s="105">
        <f>'Supply planning data'!M452</f>
        <v>0</v>
      </c>
      <c r="L454" s="321">
        <f>'Supply planning data'!N452+'Supply planning data'!P452</f>
        <v>0</v>
      </c>
      <c r="M454" s="342">
        <f>'Supply planning data'!O452</f>
        <v>0</v>
      </c>
      <c r="N454" s="321">
        <f>'Supply planning data'!P452</f>
        <v>0</v>
      </c>
      <c r="O454" s="342">
        <f>'Supply planning data'!Q452</f>
        <v>0</v>
      </c>
      <c r="P454" s="111">
        <f>'Supply planning data'!R452</f>
        <v>0</v>
      </c>
      <c r="Q454" s="111">
        <f>'Supply planning data'!S452</f>
        <v>0</v>
      </c>
      <c r="R454" s="111">
        <f>'Supply planning data'!T452</f>
        <v>0</v>
      </c>
      <c r="S454" s="111">
        <f>'Supply planning data'!U452</f>
        <v>0</v>
      </c>
      <c r="T454" s="111">
        <f>'Supply planning data'!V452</f>
        <v>0</v>
      </c>
      <c r="U454" s="327" t="str">
        <f>'Supply planning data'!W452</f>
        <v/>
      </c>
      <c r="V454" s="111">
        <f>'Supply planning data'!X452</f>
        <v>0</v>
      </c>
      <c r="W454" s="321">
        <f>'Supply planning data'!Y452</f>
        <v>0</v>
      </c>
      <c r="X454" s="329">
        <f>'Supply planning data'!Z452</f>
        <v>0</v>
      </c>
      <c r="Y454" s="111">
        <f>'Supply planning data'!AA452</f>
        <v>0</v>
      </c>
      <c r="Z454" s="111">
        <f>'Supply planning data'!AB452</f>
        <v>0</v>
      </c>
      <c r="AA454" s="111">
        <f>'Supply planning data'!AC452</f>
        <v>0</v>
      </c>
      <c r="AB454" s="111">
        <f>'Supply planning data'!AD452</f>
        <v>0</v>
      </c>
      <c r="AC454" s="111">
        <f>'Supply planning data'!AE452</f>
        <v>0</v>
      </c>
      <c r="AD454" s="327" t="str">
        <f>'Supply planning data'!AF452</f>
        <v/>
      </c>
      <c r="AE454" s="111">
        <f>'Supply planning data'!AG452</f>
        <v>0</v>
      </c>
      <c r="AF454" s="321">
        <f>'Supply planning data'!AH452</f>
        <v>0</v>
      </c>
      <c r="AG454" s="349">
        <f>'Supply planning data'!AI452</f>
        <v>0</v>
      </c>
      <c r="AH454" s="111">
        <f>'Supply planning data'!AJ452</f>
        <v>0</v>
      </c>
      <c r="AI454" s="111">
        <f>'Supply planning data'!AK452</f>
        <v>0</v>
      </c>
      <c r="AJ454" s="111">
        <f>'Supply planning data'!AL452</f>
        <v>0</v>
      </c>
      <c r="AK454" s="111">
        <f>'Supply planning data'!AM452</f>
        <v>0</v>
      </c>
      <c r="AL454" s="111">
        <f>'Supply planning data'!AN452</f>
        <v>0</v>
      </c>
      <c r="AM454" s="327" t="str">
        <f>'Supply planning data'!AO452</f>
        <v/>
      </c>
    </row>
    <row r="455" spans="1:39" hidden="1" x14ac:dyDescent="0.25">
      <c r="A455" s="109" t="str">
        <f>'Supply planning data'!C453</f>
        <v/>
      </c>
      <c r="B455" s="298">
        <f>'Supply planning data'!D453</f>
        <v>45078</v>
      </c>
      <c r="C455" s="105" t="str">
        <f>'Supply planning data'!E453</f>
        <v>No</v>
      </c>
      <c r="D455" s="105">
        <f>'Supply planning data'!F453</f>
        <v>0</v>
      </c>
      <c r="E455" s="320">
        <f>'Supply planning data'!G453</f>
        <v>0</v>
      </c>
      <c r="F455" s="320">
        <f>'Supply planning data'!H453</f>
        <v>0</v>
      </c>
      <c r="G455" s="320">
        <f>'Supply planning data'!I453</f>
        <v>0</v>
      </c>
      <c r="H455" s="105">
        <f>'Supply planning data'!J453</f>
        <v>0</v>
      </c>
      <c r="I455" s="320">
        <f>'Supply planning data'!K453</f>
        <v>0</v>
      </c>
      <c r="J455" s="177" t="str">
        <f>'Supply planning data'!L453</f>
        <v/>
      </c>
      <c r="K455" s="105">
        <f>'Supply planning data'!M453</f>
        <v>0</v>
      </c>
      <c r="L455" s="321">
        <f>'Supply planning data'!N453+'Supply planning data'!P453</f>
        <v>0</v>
      </c>
      <c r="M455" s="342">
        <f>'Supply planning data'!O453</f>
        <v>0</v>
      </c>
      <c r="N455" s="321">
        <f>'Supply planning data'!P453</f>
        <v>0</v>
      </c>
      <c r="O455" s="342">
        <f>'Supply planning data'!Q453</f>
        <v>0</v>
      </c>
      <c r="P455" s="111">
        <f>'Supply planning data'!R453</f>
        <v>0</v>
      </c>
      <c r="Q455" s="111">
        <f>'Supply planning data'!S453</f>
        <v>0</v>
      </c>
      <c r="R455" s="111">
        <f>'Supply planning data'!T453</f>
        <v>0</v>
      </c>
      <c r="S455" s="111">
        <f>'Supply planning data'!U453</f>
        <v>0</v>
      </c>
      <c r="T455" s="111">
        <f>'Supply planning data'!V453</f>
        <v>0</v>
      </c>
      <c r="U455" s="327" t="str">
        <f>'Supply planning data'!W453</f>
        <v/>
      </c>
      <c r="V455" s="111">
        <f>'Supply planning data'!X453</f>
        <v>0</v>
      </c>
      <c r="W455" s="321">
        <f>'Supply planning data'!Y453</f>
        <v>0</v>
      </c>
      <c r="X455" s="329">
        <f>'Supply planning data'!Z453</f>
        <v>0</v>
      </c>
      <c r="Y455" s="111">
        <f>'Supply planning data'!AA453</f>
        <v>0</v>
      </c>
      <c r="Z455" s="111">
        <f>'Supply planning data'!AB453</f>
        <v>0</v>
      </c>
      <c r="AA455" s="111">
        <f>'Supply planning data'!AC453</f>
        <v>0</v>
      </c>
      <c r="AB455" s="111">
        <f>'Supply planning data'!AD453</f>
        <v>0</v>
      </c>
      <c r="AC455" s="111">
        <f>'Supply planning data'!AE453</f>
        <v>0</v>
      </c>
      <c r="AD455" s="327" t="str">
        <f>'Supply planning data'!AF453</f>
        <v/>
      </c>
      <c r="AE455" s="111">
        <f>'Supply planning data'!AG453</f>
        <v>0</v>
      </c>
      <c r="AF455" s="321">
        <f>'Supply planning data'!AH453</f>
        <v>0</v>
      </c>
      <c r="AG455" s="349">
        <f>'Supply planning data'!AI453</f>
        <v>0</v>
      </c>
      <c r="AH455" s="111">
        <f>'Supply planning data'!AJ453</f>
        <v>0</v>
      </c>
      <c r="AI455" s="111">
        <f>'Supply planning data'!AK453</f>
        <v>0</v>
      </c>
      <c r="AJ455" s="111">
        <f>'Supply planning data'!AL453</f>
        <v>0</v>
      </c>
      <c r="AK455" s="111">
        <f>'Supply planning data'!AM453</f>
        <v>0</v>
      </c>
      <c r="AL455" s="111">
        <f>'Supply planning data'!AN453</f>
        <v>0</v>
      </c>
      <c r="AM455" s="327" t="str">
        <f>'Supply planning data'!AO453</f>
        <v/>
      </c>
    </row>
    <row r="456" spans="1:39" hidden="1" x14ac:dyDescent="0.25">
      <c r="A456" s="104" t="str">
        <f>'Supply planning data'!C454</f>
        <v/>
      </c>
      <c r="B456" s="298">
        <f>'Supply planning data'!D454</f>
        <v>45078</v>
      </c>
      <c r="C456" s="105" t="str">
        <f>'Supply planning data'!E454</f>
        <v>No</v>
      </c>
      <c r="D456" s="105">
        <f>'Supply planning data'!F454</f>
        <v>0</v>
      </c>
      <c r="E456" s="320">
        <f>'Supply planning data'!G454</f>
        <v>0</v>
      </c>
      <c r="F456" s="320">
        <f>'Supply planning data'!H454</f>
        <v>0</v>
      </c>
      <c r="G456" s="320">
        <f>'Supply planning data'!I454</f>
        <v>0</v>
      </c>
      <c r="H456" s="105">
        <f>'Supply planning data'!J454</f>
        <v>0</v>
      </c>
      <c r="I456" s="320">
        <f>'Supply planning data'!K454</f>
        <v>0</v>
      </c>
      <c r="J456" s="177" t="str">
        <f>'Supply planning data'!L454</f>
        <v/>
      </c>
      <c r="K456" s="105">
        <f>'Supply planning data'!M454</f>
        <v>0</v>
      </c>
      <c r="L456" s="321">
        <f>'Supply planning data'!N454+'Supply planning data'!P454</f>
        <v>0</v>
      </c>
      <c r="M456" s="342">
        <f>'Supply planning data'!O454</f>
        <v>0</v>
      </c>
      <c r="N456" s="321">
        <f>'Supply planning data'!P454</f>
        <v>0</v>
      </c>
      <c r="O456" s="342">
        <f>'Supply planning data'!Q454</f>
        <v>0</v>
      </c>
      <c r="P456" s="111">
        <f>'Supply planning data'!R454</f>
        <v>0</v>
      </c>
      <c r="Q456" s="111">
        <f>'Supply planning data'!S454</f>
        <v>0</v>
      </c>
      <c r="R456" s="111">
        <f>'Supply planning data'!T454</f>
        <v>0</v>
      </c>
      <c r="S456" s="111">
        <f>'Supply planning data'!U454</f>
        <v>0</v>
      </c>
      <c r="T456" s="111">
        <f>'Supply planning data'!V454</f>
        <v>0</v>
      </c>
      <c r="U456" s="327" t="str">
        <f>'Supply planning data'!W454</f>
        <v/>
      </c>
      <c r="V456" s="111">
        <f>'Supply planning data'!X454</f>
        <v>0</v>
      </c>
      <c r="W456" s="321">
        <f>'Supply planning data'!Y454</f>
        <v>0</v>
      </c>
      <c r="X456" s="329">
        <f>'Supply planning data'!Z454</f>
        <v>0</v>
      </c>
      <c r="Y456" s="111">
        <f>'Supply planning data'!AA454</f>
        <v>0</v>
      </c>
      <c r="Z456" s="111">
        <f>'Supply planning data'!AB454</f>
        <v>0</v>
      </c>
      <c r="AA456" s="111">
        <f>'Supply planning data'!AC454</f>
        <v>0</v>
      </c>
      <c r="AB456" s="111">
        <f>'Supply planning data'!AD454</f>
        <v>0</v>
      </c>
      <c r="AC456" s="111">
        <f>'Supply planning data'!AE454</f>
        <v>0</v>
      </c>
      <c r="AD456" s="327" t="str">
        <f>'Supply planning data'!AF454</f>
        <v/>
      </c>
      <c r="AE456" s="111">
        <f>'Supply planning data'!AG454</f>
        <v>0</v>
      </c>
      <c r="AF456" s="321">
        <f>'Supply planning data'!AH454</f>
        <v>0</v>
      </c>
      <c r="AG456" s="349">
        <f>'Supply planning data'!AI454</f>
        <v>0</v>
      </c>
      <c r="AH456" s="111">
        <f>'Supply planning data'!AJ454</f>
        <v>0</v>
      </c>
      <c r="AI456" s="111">
        <f>'Supply planning data'!AK454</f>
        <v>0</v>
      </c>
      <c r="AJ456" s="111">
        <f>'Supply planning data'!AL454</f>
        <v>0</v>
      </c>
      <c r="AK456" s="111">
        <f>'Supply planning data'!AM454</f>
        <v>0</v>
      </c>
      <c r="AL456" s="111">
        <f>'Supply planning data'!AN454</f>
        <v>0</v>
      </c>
      <c r="AM456" s="327" t="str">
        <f>'Supply planning data'!AO454</f>
        <v/>
      </c>
    </row>
    <row r="457" spans="1:39" x14ac:dyDescent="0.25">
      <c r="A457" s="90" t="str">
        <f>'Supply planning data'!C455</f>
        <v>AstraZeneca</v>
      </c>
      <c r="B457" s="296">
        <f>'Supply planning data'!D455</f>
        <v>45108</v>
      </c>
      <c r="C457" s="92" t="str">
        <f>'Supply planning data'!E455</f>
        <v>Yes</v>
      </c>
      <c r="D457" s="92">
        <f>'Supply planning data'!F455</f>
        <v>0</v>
      </c>
      <c r="E457" s="316">
        <f>'Supply planning data'!G455</f>
        <v>0</v>
      </c>
      <c r="F457" s="316">
        <f>'Supply planning data'!H455</f>
        <v>0</v>
      </c>
      <c r="G457" s="316">
        <f>'Supply planning data'!I455</f>
        <v>0</v>
      </c>
      <c r="H457" s="92">
        <f>'Supply planning data'!J455</f>
        <v>0</v>
      </c>
      <c r="I457" s="316">
        <f>'Supply planning data'!K455</f>
        <v>0</v>
      </c>
      <c r="J457" s="174" t="str">
        <f>'Supply planning data'!L455</f>
        <v/>
      </c>
      <c r="K457" s="92">
        <f>'Supply planning data'!M455</f>
        <v>0</v>
      </c>
      <c r="L457" s="316">
        <f>'Supply planning data'!N455+'Supply planning data'!P455</f>
        <v>0</v>
      </c>
      <c r="M457" s="343">
        <f>'Supply planning data'!O455</f>
        <v>0</v>
      </c>
      <c r="N457" s="316">
        <f>'Supply planning data'!P455</f>
        <v>0</v>
      </c>
      <c r="O457" s="343">
        <f>'Supply planning data'!Q455</f>
        <v>0</v>
      </c>
      <c r="P457" s="92">
        <f>'Supply planning data'!R455</f>
        <v>0</v>
      </c>
      <c r="Q457" s="92">
        <f>'Supply planning data'!S455</f>
        <v>0</v>
      </c>
      <c r="R457" s="92">
        <f>'Supply planning data'!T455</f>
        <v>0</v>
      </c>
      <c r="S457" s="92">
        <f>'Supply planning data'!U455</f>
        <v>0</v>
      </c>
      <c r="T457" s="92">
        <f>'Supply planning data'!V455</f>
        <v>0</v>
      </c>
      <c r="U457" s="324" t="str">
        <f>'Supply planning data'!W455</f>
        <v/>
      </c>
      <c r="V457" s="92">
        <f>'Supply planning data'!X455</f>
        <v>154701</v>
      </c>
      <c r="W457" s="316">
        <f>'Supply planning data'!Y455</f>
        <v>0</v>
      </c>
      <c r="X457" s="328">
        <f>'Supply planning data'!Z455</f>
        <v>0</v>
      </c>
      <c r="Y457" s="92">
        <f>'Supply planning data'!AA455</f>
        <v>0</v>
      </c>
      <c r="Z457" s="92">
        <f>'Supply planning data'!AB455</f>
        <v>0</v>
      </c>
      <c r="AA457" s="92">
        <f>'Supply planning data'!AC455</f>
        <v>0</v>
      </c>
      <c r="AB457" s="92">
        <f>'Supply planning data'!AD455</f>
        <v>0</v>
      </c>
      <c r="AC457" s="92">
        <f>'Supply planning data'!AE455</f>
        <v>154701</v>
      </c>
      <c r="AD457" s="324" t="str">
        <f>'Supply planning data'!AF455</f>
        <v/>
      </c>
      <c r="AE457" s="92">
        <f>'Supply planning data'!AG455</f>
        <v>0</v>
      </c>
      <c r="AF457" s="316">
        <f>'Supply planning data'!AH455</f>
        <v>0</v>
      </c>
      <c r="AG457" s="174">
        <f>'Supply planning data'!AI455</f>
        <v>0</v>
      </c>
      <c r="AH457" s="92">
        <f>'Supply planning data'!AJ455</f>
        <v>0</v>
      </c>
      <c r="AI457" s="92">
        <f>'Supply planning data'!AK455</f>
        <v>0</v>
      </c>
      <c r="AJ457" s="92">
        <f>'Supply planning data'!AL455</f>
        <v>0</v>
      </c>
      <c r="AK457" s="92">
        <f>'Supply planning data'!AM455</f>
        <v>0</v>
      </c>
      <c r="AL457" s="92">
        <f>'Supply planning data'!AN455</f>
        <v>0</v>
      </c>
      <c r="AM457" s="324" t="str">
        <f>'Supply planning data'!AO455</f>
        <v/>
      </c>
    </row>
    <row r="458" spans="1:39" x14ac:dyDescent="0.25">
      <c r="A458" s="90" t="str">
        <f>'Supply planning data'!C456</f>
        <v>Jansen</v>
      </c>
      <c r="B458" s="296">
        <f>'Supply planning data'!D456</f>
        <v>45108</v>
      </c>
      <c r="C458" s="92" t="str">
        <f>'Supply planning data'!E456</f>
        <v>Yes</v>
      </c>
      <c r="D458" s="92">
        <f>'Supply planning data'!F456</f>
        <v>2258747</v>
      </c>
      <c r="E458" s="316">
        <f>'Supply planning data'!G456</f>
        <v>0</v>
      </c>
      <c r="F458" s="317">
        <f>'Supply planning data'!H456</f>
        <v>0</v>
      </c>
      <c r="G458" s="317">
        <f>'Supply planning data'!I456</f>
        <v>0</v>
      </c>
      <c r="H458" s="98">
        <f>'Supply planning data'!J456</f>
        <v>0</v>
      </c>
      <c r="I458" s="317">
        <f>'Supply planning data'!K456</f>
        <v>0</v>
      </c>
      <c r="J458" s="175" t="str">
        <f>'Supply planning data'!L456</f>
        <v/>
      </c>
      <c r="K458" s="98">
        <f>'Supply planning data'!M456</f>
        <v>0</v>
      </c>
      <c r="L458" s="317">
        <f>'Supply planning data'!N456+'Supply planning data'!P456</f>
        <v>0</v>
      </c>
      <c r="M458" s="339">
        <f>'Supply planning data'!O456</f>
        <v>0</v>
      </c>
      <c r="N458" s="317">
        <f>'Supply planning data'!P456</f>
        <v>0</v>
      </c>
      <c r="O458" s="339">
        <f>'Supply planning data'!Q456</f>
        <v>0</v>
      </c>
      <c r="P458" s="98">
        <f>'Supply planning data'!R456</f>
        <v>0</v>
      </c>
      <c r="Q458" s="98">
        <f>'Supply planning data'!S456</f>
        <v>0</v>
      </c>
      <c r="R458" s="98">
        <f>'Supply planning data'!T456</f>
        <v>0</v>
      </c>
      <c r="S458" s="98">
        <f>'Supply planning data'!U456</f>
        <v>0</v>
      </c>
      <c r="T458" s="98">
        <f>'Supply planning data'!V456</f>
        <v>2258747</v>
      </c>
      <c r="U458" s="325" t="str">
        <f>'Supply planning data'!W456</f>
        <v/>
      </c>
      <c r="V458" s="98">
        <f>'Supply planning data'!X456</f>
        <v>1698747</v>
      </c>
      <c r="W458" s="317">
        <f>'Supply planning data'!Y456</f>
        <v>0</v>
      </c>
      <c r="X458" s="328">
        <f>'Supply planning data'!Z456</f>
        <v>0</v>
      </c>
      <c r="Y458" s="98">
        <f>'Supply planning data'!AA456</f>
        <v>0</v>
      </c>
      <c r="Z458" s="98">
        <f>'Supply planning data'!AB456</f>
        <v>0</v>
      </c>
      <c r="AA458" s="98">
        <f>'Supply planning data'!AC456</f>
        <v>0</v>
      </c>
      <c r="AB458" s="98">
        <f>'Supply planning data'!AD456</f>
        <v>0</v>
      </c>
      <c r="AC458" s="98">
        <f>'Supply planning data'!AE456</f>
        <v>1698747</v>
      </c>
      <c r="AD458" s="325" t="str">
        <f>'Supply planning data'!AF456</f>
        <v/>
      </c>
      <c r="AE458" s="98">
        <f>'Supply planning data'!AG456</f>
        <v>2258747</v>
      </c>
      <c r="AF458" s="317">
        <f>'Supply planning data'!AH456</f>
        <v>0</v>
      </c>
      <c r="AG458" s="175">
        <f>'Supply planning data'!AI456</f>
        <v>0</v>
      </c>
      <c r="AH458" s="98">
        <f>'Supply planning data'!AJ456</f>
        <v>0</v>
      </c>
      <c r="AI458" s="98">
        <f>'Supply planning data'!AK456</f>
        <v>0</v>
      </c>
      <c r="AJ458" s="98">
        <f>'Supply planning data'!AL456</f>
        <v>0</v>
      </c>
      <c r="AK458" s="98">
        <f>'Supply planning data'!AM456</f>
        <v>0</v>
      </c>
      <c r="AL458" s="98">
        <f>'Supply planning data'!AN456</f>
        <v>2258747</v>
      </c>
      <c r="AM458" s="325" t="str">
        <f>'Supply planning data'!AO456</f>
        <v/>
      </c>
    </row>
    <row r="459" spans="1:39" x14ac:dyDescent="0.25">
      <c r="A459" s="90" t="str">
        <f>'Supply planning data'!C457</f>
        <v>Moderna</v>
      </c>
      <c r="B459" s="296">
        <f>'Supply planning data'!D457</f>
        <v>45108</v>
      </c>
      <c r="C459" s="92" t="str">
        <f>'Supply planning data'!E457</f>
        <v>No</v>
      </c>
      <c r="D459" s="92">
        <f>'Supply planning data'!F457</f>
        <v>0</v>
      </c>
      <c r="E459" s="316">
        <f>'Supply planning data'!G457</f>
        <v>0</v>
      </c>
      <c r="F459" s="317">
        <f>'Supply planning data'!H457</f>
        <v>0</v>
      </c>
      <c r="G459" s="317">
        <f>'Supply planning data'!I457</f>
        <v>0</v>
      </c>
      <c r="H459" s="98">
        <f>'Supply planning data'!J457</f>
        <v>0</v>
      </c>
      <c r="I459" s="317">
        <f>'Supply planning data'!K457</f>
        <v>0</v>
      </c>
      <c r="J459" s="175" t="str">
        <f>'Supply planning data'!L457</f>
        <v/>
      </c>
      <c r="K459" s="98">
        <f>'Supply planning data'!M457</f>
        <v>0</v>
      </c>
      <c r="L459" s="317">
        <f>'Supply planning data'!N457+'Supply planning data'!P457</f>
        <v>0</v>
      </c>
      <c r="M459" s="339">
        <f>'Supply planning data'!O457</f>
        <v>0</v>
      </c>
      <c r="N459" s="317">
        <f>'Supply planning data'!P457</f>
        <v>0</v>
      </c>
      <c r="O459" s="339">
        <f>'Supply planning data'!Q457</f>
        <v>0</v>
      </c>
      <c r="P459" s="98">
        <f>'Supply planning data'!R457</f>
        <v>0</v>
      </c>
      <c r="Q459" s="98">
        <f>'Supply planning data'!S457</f>
        <v>0</v>
      </c>
      <c r="R459" s="98">
        <f>'Supply planning data'!T457</f>
        <v>0</v>
      </c>
      <c r="S459" s="98">
        <f>'Supply planning data'!U457</f>
        <v>0</v>
      </c>
      <c r="T459" s="98">
        <f>'Supply planning data'!V457</f>
        <v>0</v>
      </c>
      <c r="U459" s="325" t="str">
        <f>'Supply planning data'!W457</f>
        <v/>
      </c>
      <c r="V459" s="98">
        <f>'Supply planning data'!X457</f>
        <v>0</v>
      </c>
      <c r="W459" s="317">
        <f>'Supply planning data'!Y457</f>
        <v>0</v>
      </c>
      <c r="X459" s="328">
        <f>'Supply planning data'!Z457</f>
        <v>0</v>
      </c>
      <c r="Y459" s="98">
        <f>'Supply planning data'!AA457</f>
        <v>0</v>
      </c>
      <c r="Z459" s="98">
        <f>'Supply planning data'!AB457</f>
        <v>0</v>
      </c>
      <c r="AA459" s="98">
        <f>'Supply planning data'!AC457</f>
        <v>0</v>
      </c>
      <c r="AB459" s="98">
        <f>'Supply planning data'!AD457</f>
        <v>0</v>
      </c>
      <c r="AC459" s="98">
        <f>'Supply planning data'!AE457</f>
        <v>0</v>
      </c>
      <c r="AD459" s="325" t="str">
        <f>'Supply planning data'!AF457</f>
        <v/>
      </c>
      <c r="AE459" s="98">
        <f>'Supply planning data'!AG457</f>
        <v>0</v>
      </c>
      <c r="AF459" s="317">
        <f>'Supply planning data'!AH457</f>
        <v>0</v>
      </c>
      <c r="AG459" s="175">
        <f>'Supply planning data'!AI457</f>
        <v>0</v>
      </c>
      <c r="AH459" s="98">
        <f>'Supply planning data'!AJ457</f>
        <v>0</v>
      </c>
      <c r="AI459" s="98">
        <f>'Supply planning data'!AK457</f>
        <v>0</v>
      </c>
      <c r="AJ459" s="98">
        <f>'Supply planning data'!AL457</f>
        <v>0</v>
      </c>
      <c r="AK459" s="98">
        <f>'Supply planning data'!AM457</f>
        <v>0</v>
      </c>
      <c r="AL459" s="98">
        <f>'Supply planning data'!AN457</f>
        <v>0</v>
      </c>
      <c r="AM459" s="325" t="str">
        <f>'Supply planning data'!AO457</f>
        <v/>
      </c>
    </row>
    <row r="460" spans="1:39" x14ac:dyDescent="0.25">
      <c r="A460" s="90" t="str">
        <f>'Supply planning data'!C458</f>
        <v>Pfizer</v>
      </c>
      <c r="B460" s="296">
        <f>'Supply planning data'!D458</f>
        <v>45108</v>
      </c>
      <c r="C460" s="92" t="str">
        <f>'Supply planning data'!E458</f>
        <v>Yes</v>
      </c>
      <c r="D460" s="92">
        <f>'Supply planning data'!F458</f>
        <v>3000000</v>
      </c>
      <c r="E460" s="316">
        <f>'Supply planning data'!G458</f>
        <v>0</v>
      </c>
      <c r="F460" s="317">
        <f>'Supply planning data'!H458</f>
        <v>0</v>
      </c>
      <c r="G460" s="317">
        <f>'Supply planning data'!I458</f>
        <v>0</v>
      </c>
      <c r="H460" s="98">
        <f>'Supply planning data'!J458</f>
        <v>0</v>
      </c>
      <c r="I460" s="317">
        <f>'Supply planning data'!K458</f>
        <v>0</v>
      </c>
      <c r="J460" s="175" t="str">
        <f>'Supply planning data'!L458</f>
        <v/>
      </c>
      <c r="K460" s="98">
        <f>'Supply planning data'!M458</f>
        <v>0</v>
      </c>
      <c r="L460" s="317">
        <f>'Supply planning data'!N458+'Supply planning data'!P458</f>
        <v>0</v>
      </c>
      <c r="M460" s="339">
        <f>'Supply planning data'!O458</f>
        <v>0</v>
      </c>
      <c r="N460" s="317">
        <f>'Supply planning data'!P458</f>
        <v>0</v>
      </c>
      <c r="O460" s="339">
        <f>'Supply planning data'!Q458</f>
        <v>0</v>
      </c>
      <c r="P460" s="98">
        <f>'Supply planning data'!R458</f>
        <v>0</v>
      </c>
      <c r="Q460" s="98">
        <f>'Supply planning data'!S458</f>
        <v>0</v>
      </c>
      <c r="R460" s="98">
        <f>'Supply planning data'!T458</f>
        <v>110538</v>
      </c>
      <c r="S460" s="98">
        <f>'Supply planning data'!U458</f>
        <v>0</v>
      </c>
      <c r="T460" s="98">
        <f>'Supply planning data'!V458</f>
        <v>3000000</v>
      </c>
      <c r="U460" s="325" t="str">
        <f>'Supply planning data'!W458</f>
        <v/>
      </c>
      <c r="V460" s="98">
        <f>'Supply planning data'!X458</f>
        <v>2440000</v>
      </c>
      <c r="W460" s="317">
        <f>'Supply planning data'!Y458</f>
        <v>0</v>
      </c>
      <c r="X460" s="328">
        <f>'Supply planning data'!Z458</f>
        <v>0</v>
      </c>
      <c r="Y460" s="98">
        <f>'Supply planning data'!AA458</f>
        <v>0</v>
      </c>
      <c r="Z460" s="98">
        <f>'Supply planning data'!AB458</f>
        <v>0</v>
      </c>
      <c r="AA460" s="98">
        <f>'Supply planning data'!AC458</f>
        <v>0</v>
      </c>
      <c r="AB460" s="98">
        <f>'Supply planning data'!AD458</f>
        <v>0</v>
      </c>
      <c r="AC460" s="98">
        <f>'Supply planning data'!AE458</f>
        <v>2440000</v>
      </c>
      <c r="AD460" s="325" t="str">
        <f>'Supply planning data'!AF458</f>
        <v/>
      </c>
      <c r="AE460" s="98">
        <f>'Supply planning data'!AG458</f>
        <v>3000000</v>
      </c>
      <c r="AF460" s="317">
        <f>'Supply planning data'!AH458</f>
        <v>0</v>
      </c>
      <c r="AG460" s="175">
        <f>'Supply planning data'!AI458</f>
        <v>0</v>
      </c>
      <c r="AH460" s="98">
        <f>'Supply planning data'!AJ458</f>
        <v>0</v>
      </c>
      <c r="AI460" s="98">
        <f>'Supply planning data'!AK458</f>
        <v>0</v>
      </c>
      <c r="AJ460" s="98">
        <f>'Supply planning data'!AL458</f>
        <v>110538</v>
      </c>
      <c r="AK460" s="98">
        <f>'Supply planning data'!AM458</f>
        <v>0</v>
      </c>
      <c r="AL460" s="98">
        <f>'Supply planning data'!AN458</f>
        <v>3000000</v>
      </c>
      <c r="AM460" s="325" t="str">
        <f>'Supply planning data'!AO458</f>
        <v/>
      </c>
    </row>
    <row r="461" spans="1:39" x14ac:dyDescent="0.25">
      <c r="A461" s="90" t="str">
        <f>'Supply planning data'!C459</f>
        <v>Sinovac</v>
      </c>
      <c r="B461" s="296">
        <f>'Supply planning data'!D459</f>
        <v>45108</v>
      </c>
      <c r="C461" s="92" t="str">
        <f>'Supply planning data'!E459</f>
        <v>No</v>
      </c>
      <c r="D461" s="92">
        <f>'Supply planning data'!F459</f>
        <v>0</v>
      </c>
      <c r="E461" s="316">
        <f>'Supply planning data'!G459</f>
        <v>0</v>
      </c>
      <c r="F461" s="317">
        <f>'Supply planning data'!H459</f>
        <v>0</v>
      </c>
      <c r="G461" s="317">
        <f>'Supply planning data'!I459</f>
        <v>0</v>
      </c>
      <c r="H461" s="98">
        <f>'Supply planning data'!J459</f>
        <v>0</v>
      </c>
      <c r="I461" s="317">
        <f>'Supply planning data'!K459</f>
        <v>0</v>
      </c>
      <c r="J461" s="175" t="str">
        <f>'Supply planning data'!L459</f>
        <v/>
      </c>
      <c r="K461" s="98">
        <f>'Supply planning data'!M459</f>
        <v>0</v>
      </c>
      <c r="L461" s="317">
        <f>'Supply planning data'!N459+'Supply planning data'!P459</f>
        <v>0</v>
      </c>
      <c r="M461" s="339">
        <f>'Supply planning data'!O459</f>
        <v>0</v>
      </c>
      <c r="N461" s="317">
        <f>'Supply planning data'!P459</f>
        <v>0</v>
      </c>
      <c r="O461" s="339">
        <f>'Supply planning data'!Q459</f>
        <v>0</v>
      </c>
      <c r="P461" s="98">
        <f>'Supply planning data'!R459</f>
        <v>0</v>
      </c>
      <c r="Q461" s="98">
        <f>'Supply planning data'!S459</f>
        <v>0</v>
      </c>
      <c r="R461" s="98">
        <f>'Supply planning data'!T459</f>
        <v>0</v>
      </c>
      <c r="S461" s="98">
        <f>'Supply planning data'!U459</f>
        <v>0</v>
      </c>
      <c r="T461" s="98">
        <f>'Supply planning data'!V459</f>
        <v>0</v>
      </c>
      <c r="U461" s="325" t="str">
        <f>'Supply planning data'!W459</f>
        <v/>
      </c>
      <c r="V461" s="98">
        <f>'Supply planning data'!X459</f>
        <v>0</v>
      </c>
      <c r="W461" s="317">
        <f>'Supply planning data'!Y459</f>
        <v>0</v>
      </c>
      <c r="X461" s="328">
        <f>'Supply planning data'!Z459</f>
        <v>0</v>
      </c>
      <c r="Y461" s="98">
        <f>'Supply planning data'!AA459</f>
        <v>0</v>
      </c>
      <c r="Z461" s="98">
        <f>'Supply planning data'!AB459</f>
        <v>0</v>
      </c>
      <c r="AA461" s="98">
        <f>'Supply planning data'!AC459</f>
        <v>0</v>
      </c>
      <c r="AB461" s="98">
        <f>'Supply planning data'!AD459</f>
        <v>0</v>
      </c>
      <c r="AC461" s="98">
        <f>'Supply planning data'!AE459</f>
        <v>0</v>
      </c>
      <c r="AD461" s="325" t="str">
        <f>'Supply planning data'!AF459</f>
        <v/>
      </c>
      <c r="AE461" s="98">
        <f>'Supply planning data'!AG459</f>
        <v>0</v>
      </c>
      <c r="AF461" s="317">
        <f>'Supply planning data'!AH459</f>
        <v>0</v>
      </c>
      <c r="AG461" s="175">
        <f>'Supply planning data'!AI459</f>
        <v>0</v>
      </c>
      <c r="AH461" s="98">
        <f>'Supply planning data'!AJ459</f>
        <v>0</v>
      </c>
      <c r="AI461" s="98">
        <f>'Supply planning data'!AK459</f>
        <v>0</v>
      </c>
      <c r="AJ461" s="98">
        <f>'Supply planning data'!AL459</f>
        <v>0</v>
      </c>
      <c r="AK461" s="98">
        <f>'Supply planning data'!AM459</f>
        <v>0</v>
      </c>
      <c r="AL461" s="98">
        <f>'Supply planning data'!AN459</f>
        <v>0</v>
      </c>
      <c r="AM461" s="325" t="str">
        <f>'Supply planning data'!AO459</f>
        <v/>
      </c>
    </row>
    <row r="462" spans="1:39" hidden="1" x14ac:dyDescent="0.25">
      <c r="A462" s="90" t="str">
        <f>'Supply planning data'!C460</f>
        <v/>
      </c>
      <c r="B462" s="296">
        <f>'Supply planning data'!D460</f>
        <v>45108</v>
      </c>
      <c r="C462" s="92" t="str">
        <f>'Supply planning data'!E460</f>
        <v>No</v>
      </c>
      <c r="D462" s="92">
        <f>'Supply planning data'!F460</f>
        <v>0</v>
      </c>
      <c r="E462" s="316">
        <f>'Supply planning data'!G460</f>
        <v>0</v>
      </c>
      <c r="F462" s="317">
        <f>'Supply planning data'!H460</f>
        <v>0</v>
      </c>
      <c r="G462" s="317">
        <f>'Supply planning data'!I460</f>
        <v>0</v>
      </c>
      <c r="H462" s="98">
        <f>'Supply planning data'!J460</f>
        <v>0</v>
      </c>
      <c r="I462" s="317">
        <f>'Supply planning data'!K460</f>
        <v>0</v>
      </c>
      <c r="J462" s="175" t="str">
        <f>'Supply planning data'!L460</f>
        <v/>
      </c>
      <c r="K462" s="98">
        <f>'Supply planning data'!M460</f>
        <v>0</v>
      </c>
      <c r="L462" s="317">
        <f>'Supply planning data'!N460+'Supply planning data'!P460</f>
        <v>0</v>
      </c>
      <c r="M462" s="339">
        <f>'Supply planning data'!O460</f>
        <v>0</v>
      </c>
      <c r="N462" s="317">
        <f>'Supply planning data'!P460</f>
        <v>0</v>
      </c>
      <c r="O462" s="339">
        <f>'Supply planning data'!Q460</f>
        <v>0</v>
      </c>
      <c r="P462" s="98">
        <f>'Supply planning data'!R460</f>
        <v>0</v>
      </c>
      <c r="Q462" s="98">
        <f>'Supply planning data'!S460</f>
        <v>0</v>
      </c>
      <c r="R462" s="98">
        <f>'Supply planning data'!T460</f>
        <v>0</v>
      </c>
      <c r="S462" s="98">
        <f>'Supply planning data'!U460</f>
        <v>0</v>
      </c>
      <c r="T462" s="98">
        <f>'Supply planning data'!V460</f>
        <v>0</v>
      </c>
      <c r="U462" s="325" t="str">
        <f>'Supply planning data'!W460</f>
        <v/>
      </c>
      <c r="V462" s="98">
        <f>'Supply planning data'!X460</f>
        <v>0</v>
      </c>
      <c r="W462" s="317">
        <f>'Supply planning data'!Y460</f>
        <v>0</v>
      </c>
      <c r="X462" s="328">
        <f>'Supply planning data'!Z460</f>
        <v>0</v>
      </c>
      <c r="Y462" s="98">
        <f>'Supply planning data'!AA460</f>
        <v>0</v>
      </c>
      <c r="Z462" s="98">
        <f>'Supply planning data'!AB460</f>
        <v>0</v>
      </c>
      <c r="AA462" s="98">
        <f>'Supply planning data'!AC460</f>
        <v>0</v>
      </c>
      <c r="AB462" s="98">
        <f>'Supply planning data'!AD460</f>
        <v>0</v>
      </c>
      <c r="AC462" s="98">
        <f>'Supply planning data'!AE460</f>
        <v>0</v>
      </c>
      <c r="AD462" s="325" t="str">
        <f>'Supply planning data'!AF460</f>
        <v/>
      </c>
      <c r="AE462" s="98">
        <f>'Supply planning data'!AG460</f>
        <v>0</v>
      </c>
      <c r="AF462" s="317">
        <f>'Supply planning data'!AH460</f>
        <v>0</v>
      </c>
      <c r="AG462" s="175">
        <f>'Supply planning data'!AI460</f>
        <v>0</v>
      </c>
      <c r="AH462" s="98">
        <f>'Supply planning data'!AJ460</f>
        <v>0</v>
      </c>
      <c r="AI462" s="98">
        <f>'Supply planning data'!AK460</f>
        <v>0</v>
      </c>
      <c r="AJ462" s="98">
        <f>'Supply planning data'!AL460</f>
        <v>0</v>
      </c>
      <c r="AK462" s="98">
        <f>'Supply planning data'!AM460</f>
        <v>0</v>
      </c>
      <c r="AL462" s="98">
        <f>'Supply planning data'!AN460</f>
        <v>0</v>
      </c>
      <c r="AM462" s="325" t="str">
        <f>'Supply planning data'!AO460</f>
        <v/>
      </c>
    </row>
    <row r="463" spans="1:39" hidden="1" x14ac:dyDescent="0.25">
      <c r="A463" s="90" t="str">
        <f>'Supply planning data'!C461</f>
        <v/>
      </c>
      <c r="B463" s="296">
        <f>'Supply planning data'!D461</f>
        <v>45108</v>
      </c>
      <c r="C463" s="92" t="str">
        <f>'Supply planning data'!E461</f>
        <v>No</v>
      </c>
      <c r="D463" s="92">
        <f>'Supply planning data'!F461</f>
        <v>0</v>
      </c>
      <c r="E463" s="316">
        <f>'Supply planning data'!G461</f>
        <v>0</v>
      </c>
      <c r="F463" s="317">
        <f>'Supply planning data'!H461</f>
        <v>0</v>
      </c>
      <c r="G463" s="317">
        <f>'Supply planning data'!I461</f>
        <v>0</v>
      </c>
      <c r="H463" s="98">
        <f>'Supply planning data'!J461</f>
        <v>0</v>
      </c>
      <c r="I463" s="317">
        <f>'Supply planning data'!K461</f>
        <v>0</v>
      </c>
      <c r="J463" s="175" t="str">
        <f>'Supply planning data'!L461</f>
        <v/>
      </c>
      <c r="K463" s="98">
        <f>'Supply planning data'!M461</f>
        <v>0</v>
      </c>
      <c r="L463" s="317">
        <f>'Supply planning data'!N461+'Supply planning data'!P461</f>
        <v>0</v>
      </c>
      <c r="M463" s="339">
        <f>'Supply planning data'!O461</f>
        <v>0</v>
      </c>
      <c r="N463" s="317">
        <f>'Supply planning data'!P461</f>
        <v>0</v>
      </c>
      <c r="O463" s="339">
        <f>'Supply planning data'!Q461</f>
        <v>0</v>
      </c>
      <c r="P463" s="98">
        <f>'Supply planning data'!R461</f>
        <v>0</v>
      </c>
      <c r="Q463" s="98">
        <f>'Supply planning data'!S461</f>
        <v>0</v>
      </c>
      <c r="R463" s="98">
        <f>'Supply planning data'!T461</f>
        <v>0</v>
      </c>
      <c r="S463" s="98">
        <f>'Supply planning data'!U461</f>
        <v>0</v>
      </c>
      <c r="T463" s="98">
        <f>'Supply planning data'!V461</f>
        <v>0</v>
      </c>
      <c r="U463" s="325" t="str">
        <f>'Supply planning data'!W461</f>
        <v/>
      </c>
      <c r="V463" s="98">
        <f>'Supply planning data'!X461</f>
        <v>0</v>
      </c>
      <c r="W463" s="317">
        <f>'Supply planning data'!Y461</f>
        <v>0</v>
      </c>
      <c r="X463" s="328">
        <f>'Supply planning data'!Z461</f>
        <v>0</v>
      </c>
      <c r="Y463" s="98">
        <f>'Supply planning data'!AA461</f>
        <v>0</v>
      </c>
      <c r="Z463" s="98">
        <f>'Supply planning data'!AB461</f>
        <v>0</v>
      </c>
      <c r="AA463" s="98">
        <f>'Supply planning data'!AC461</f>
        <v>0</v>
      </c>
      <c r="AB463" s="98">
        <f>'Supply planning data'!AD461</f>
        <v>0</v>
      </c>
      <c r="AC463" s="98">
        <f>'Supply planning data'!AE461</f>
        <v>0</v>
      </c>
      <c r="AD463" s="325" t="str">
        <f>'Supply planning data'!AF461</f>
        <v/>
      </c>
      <c r="AE463" s="98">
        <f>'Supply planning data'!AG461</f>
        <v>0</v>
      </c>
      <c r="AF463" s="317">
        <f>'Supply planning data'!AH461</f>
        <v>0</v>
      </c>
      <c r="AG463" s="175">
        <f>'Supply planning data'!AI461</f>
        <v>0</v>
      </c>
      <c r="AH463" s="98">
        <f>'Supply planning data'!AJ461</f>
        <v>0</v>
      </c>
      <c r="AI463" s="98">
        <f>'Supply planning data'!AK461</f>
        <v>0</v>
      </c>
      <c r="AJ463" s="98">
        <f>'Supply planning data'!AL461</f>
        <v>0</v>
      </c>
      <c r="AK463" s="98">
        <f>'Supply planning data'!AM461</f>
        <v>0</v>
      </c>
      <c r="AL463" s="98">
        <f>'Supply planning data'!AN461</f>
        <v>0</v>
      </c>
      <c r="AM463" s="325" t="str">
        <f>'Supply planning data'!AO461</f>
        <v/>
      </c>
    </row>
    <row r="464" spans="1:39" hidden="1" x14ac:dyDescent="0.25">
      <c r="A464" s="90" t="str">
        <f>'Supply planning data'!C462</f>
        <v/>
      </c>
      <c r="B464" s="296">
        <f>'Supply planning data'!D462</f>
        <v>45108</v>
      </c>
      <c r="C464" s="92" t="str">
        <f>'Supply planning data'!E462</f>
        <v>No</v>
      </c>
      <c r="D464" s="92">
        <f>'Supply planning data'!F462</f>
        <v>0</v>
      </c>
      <c r="E464" s="316">
        <f>'Supply planning data'!G462</f>
        <v>0</v>
      </c>
      <c r="F464" s="317">
        <f>'Supply planning data'!H462</f>
        <v>0</v>
      </c>
      <c r="G464" s="317">
        <f>'Supply planning data'!I462</f>
        <v>0</v>
      </c>
      <c r="H464" s="98">
        <f>'Supply planning data'!J462</f>
        <v>0</v>
      </c>
      <c r="I464" s="317">
        <f>'Supply planning data'!K462</f>
        <v>0</v>
      </c>
      <c r="J464" s="175" t="str">
        <f>'Supply planning data'!L462</f>
        <v/>
      </c>
      <c r="K464" s="98">
        <f>'Supply planning data'!M462</f>
        <v>0</v>
      </c>
      <c r="L464" s="317">
        <f>'Supply planning data'!N462+'Supply planning data'!P462</f>
        <v>0</v>
      </c>
      <c r="M464" s="339">
        <f>'Supply planning data'!O462</f>
        <v>0</v>
      </c>
      <c r="N464" s="317">
        <f>'Supply planning data'!P462</f>
        <v>0</v>
      </c>
      <c r="O464" s="339">
        <f>'Supply planning data'!Q462</f>
        <v>0</v>
      </c>
      <c r="P464" s="98">
        <f>'Supply planning data'!R462</f>
        <v>0</v>
      </c>
      <c r="Q464" s="98">
        <f>'Supply planning data'!S462</f>
        <v>0</v>
      </c>
      <c r="R464" s="98">
        <f>'Supply planning data'!T462</f>
        <v>0</v>
      </c>
      <c r="S464" s="98">
        <f>'Supply planning data'!U462</f>
        <v>0</v>
      </c>
      <c r="T464" s="98">
        <f>'Supply planning data'!V462</f>
        <v>0</v>
      </c>
      <c r="U464" s="325" t="str">
        <f>'Supply planning data'!W462</f>
        <v/>
      </c>
      <c r="V464" s="98">
        <f>'Supply planning data'!X462</f>
        <v>0</v>
      </c>
      <c r="W464" s="317">
        <f>'Supply planning data'!Y462</f>
        <v>0</v>
      </c>
      <c r="X464" s="328">
        <f>'Supply planning data'!Z462</f>
        <v>0</v>
      </c>
      <c r="Y464" s="98">
        <f>'Supply planning data'!AA462</f>
        <v>0</v>
      </c>
      <c r="Z464" s="98">
        <f>'Supply planning data'!AB462</f>
        <v>0</v>
      </c>
      <c r="AA464" s="98">
        <f>'Supply planning data'!AC462</f>
        <v>0</v>
      </c>
      <c r="AB464" s="98">
        <f>'Supply planning data'!AD462</f>
        <v>0</v>
      </c>
      <c r="AC464" s="98">
        <f>'Supply planning data'!AE462</f>
        <v>0</v>
      </c>
      <c r="AD464" s="325" t="str">
        <f>'Supply planning data'!AF462</f>
        <v/>
      </c>
      <c r="AE464" s="98">
        <f>'Supply planning data'!AG462</f>
        <v>0</v>
      </c>
      <c r="AF464" s="317">
        <f>'Supply planning data'!AH462</f>
        <v>0</v>
      </c>
      <c r="AG464" s="175">
        <f>'Supply planning data'!AI462</f>
        <v>0</v>
      </c>
      <c r="AH464" s="98">
        <f>'Supply planning data'!AJ462</f>
        <v>0</v>
      </c>
      <c r="AI464" s="98">
        <f>'Supply planning data'!AK462</f>
        <v>0</v>
      </c>
      <c r="AJ464" s="98">
        <f>'Supply planning data'!AL462</f>
        <v>0</v>
      </c>
      <c r="AK464" s="98">
        <f>'Supply planning data'!AM462</f>
        <v>0</v>
      </c>
      <c r="AL464" s="98">
        <f>'Supply planning data'!AN462</f>
        <v>0</v>
      </c>
      <c r="AM464" s="325" t="str">
        <f>'Supply planning data'!AO462</f>
        <v/>
      </c>
    </row>
    <row r="465" spans="1:39" hidden="1" x14ac:dyDescent="0.25">
      <c r="A465" s="90" t="str">
        <f>'Supply planning data'!C463</f>
        <v/>
      </c>
      <c r="B465" s="296">
        <f>'Supply planning data'!D463</f>
        <v>45108</v>
      </c>
      <c r="C465" s="92" t="str">
        <f>'Supply planning data'!E463</f>
        <v>No</v>
      </c>
      <c r="D465" s="92">
        <f>'Supply planning data'!F463</f>
        <v>0</v>
      </c>
      <c r="E465" s="316">
        <f>'Supply planning data'!G463</f>
        <v>0</v>
      </c>
      <c r="F465" s="317">
        <f>'Supply planning data'!H463</f>
        <v>0</v>
      </c>
      <c r="G465" s="317">
        <f>'Supply planning data'!I463</f>
        <v>0</v>
      </c>
      <c r="H465" s="98">
        <f>'Supply planning data'!J463</f>
        <v>0</v>
      </c>
      <c r="I465" s="317">
        <f>'Supply planning data'!K463</f>
        <v>0</v>
      </c>
      <c r="J465" s="175" t="str">
        <f>'Supply planning data'!L463</f>
        <v/>
      </c>
      <c r="K465" s="98">
        <f>'Supply planning data'!M463</f>
        <v>0</v>
      </c>
      <c r="L465" s="317">
        <f>'Supply planning data'!N463+'Supply planning data'!P463</f>
        <v>0</v>
      </c>
      <c r="M465" s="339">
        <f>'Supply planning data'!O463</f>
        <v>0</v>
      </c>
      <c r="N465" s="317">
        <f>'Supply planning data'!P463</f>
        <v>0</v>
      </c>
      <c r="O465" s="339">
        <f>'Supply planning data'!Q463</f>
        <v>0</v>
      </c>
      <c r="P465" s="98">
        <f>'Supply planning data'!R463</f>
        <v>0</v>
      </c>
      <c r="Q465" s="98">
        <f>'Supply planning data'!S463</f>
        <v>0</v>
      </c>
      <c r="R465" s="98">
        <f>'Supply planning data'!T463</f>
        <v>0</v>
      </c>
      <c r="S465" s="98">
        <f>'Supply planning data'!U463</f>
        <v>0</v>
      </c>
      <c r="T465" s="98">
        <f>'Supply planning data'!V463</f>
        <v>0</v>
      </c>
      <c r="U465" s="325" t="str">
        <f>'Supply planning data'!W463</f>
        <v/>
      </c>
      <c r="V465" s="98">
        <f>'Supply planning data'!X463</f>
        <v>0</v>
      </c>
      <c r="W465" s="317">
        <f>'Supply planning data'!Y463</f>
        <v>0</v>
      </c>
      <c r="X465" s="328">
        <f>'Supply planning data'!Z463</f>
        <v>0</v>
      </c>
      <c r="Y465" s="98">
        <f>'Supply planning data'!AA463</f>
        <v>0</v>
      </c>
      <c r="Z465" s="98">
        <f>'Supply planning data'!AB463</f>
        <v>0</v>
      </c>
      <c r="AA465" s="98">
        <f>'Supply planning data'!AC463</f>
        <v>0</v>
      </c>
      <c r="AB465" s="98">
        <f>'Supply planning data'!AD463</f>
        <v>0</v>
      </c>
      <c r="AC465" s="98">
        <f>'Supply planning data'!AE463</f>
        <v>0</v>
      </c>
      <c r="AD465" s="325" t="str">
        <f>'Supply planning data'!AF463</f>
        <v/>
      </c>
      <c r="AE465" s="98">
        <f>'Supply planning data'!AG463</f>
        <v>0</v>
      </c>
      <c r="AF465" s="317">
        <f>'Supply planning data'!AH463</f>
        <v>0</v>
      </c>
      <c r="AG465" s="175">
        <f>'Supply planning data'!AI463</f>
        <v>0</v>
      </c>
      <c r="AH465" s="98">
        <f>'Supply planning data'!AJ463</f>
        <v>0</v>
      </c>
      <c r="AI465" s="98">
        <f>'Supply planning data'!AK463</f>
        <v>0</v>
      </c>
      <c r="AJ465" s="98">
        <f>'Supply planning data'!AL463</f>
        <v>0</v>
      </c>
      <c r="AK465" s="98">
        <f>'Supply planning data'!AM463</f>
        <v>0</v>
      </c>
      <c r="AL465" s="98">
        <f>'Supply planning data'!AN463</f>
        <v>0</v>
      </c>
      <c r="AM465" s="325" t="str">
        <f>'Supply planning data'!AO463</f>
        <v/>
      </c>
    </row>
    <row r="466" spans="1:39" hidden="1" x14ac:dyDescent="0.25">
      <c r="A466" s="90" t="str">
        <f>'Supply planning data'!C464</f>
        <v/>
      </c>
      <c r="B466" s="296">
        <f>'Supply planning data'!D464</f>
        <v>45108</v>
      </c>
      <c r="C466" s="92" t="str">
        <f>'Supply planning data'!E464</f>
        <v>No</v>
      </c>
      <c r="D466" s="92">
        <f>'Supply planning data'!F464</f>
        <v>0</v>
      </c>
      <c r="E466" s="316">
        <f>'Supply planning data'!G464</f>
        <v>0</v>
      </c>
      <c r="F466" s="317">
        <f>'Supply planning data'!H464</f>
        <v>0</v>
      </c>
      <c r="G466" s="317">
        <f>'Supply planning data'!I464</f>
        <v>0</v>
      </c>
      <c r="H466" s="98">
        <f>'Supply planning data'!J464</f>
        <v>0</v>
      </c>
      <c r="I466" s="317">
        <f>'Supply planning data'!K464</f>
        <v>0</v>
      </c>
      <c r="J466" s="175" t="str">
        <f>'Supply planning data'!L464</f>
        <v/>
      </c>
      <c r="K466" s="98">
        <f>'Supply planning data'!M464</f>
        <v>0</v>
      </c>
      <c r="L466" s="317">
        <f>'Supply planning data'!N464+'Supply planning data'!P464</f>
        <v>0</v>
      </c>
      <c r="M466" s="339">
        <f>'Supply planning data'!O464</f>
        <v>0</v>
      </c>
      <c r="N466" s="317">
        <f>'Supply planning data'!P464</f>
        <v>0</v>
      </c>
      <c r="O466" s="339">
        <f>'Supply planning data'!Q464</f>
        <v>0</v>
      </c>
      <c r="P466" s="98">
        <f>'Supply planning data'!R464</f>
        <v>0</v>
      </c>
      <c r="Q466" s="98">
        <f>'Supply planning data'!S464</f>
        <v>0</v>
      </c>
      <c r="R466" s="98">
        <f>'Supply planning data'!T464</f>
        <v>0</v>
      </c>
      <c r="S466" s="98">
        <f>'Supply planning data'!U464</f>
        <v>0</v>
      </c>
      <c r="T466" s="98">
        <f>'Supply planning data'!V464</f>
        <v>0</v>
      </c>
      <c r="U466" s="325" t="str">
        <f>'Supply planning data'!W464</f>
        <v/>
      </c>
      <c r="V466" s="98">
        <f>'Supply planning data'!X464</f>
        <v>0</v>
      </c>
      <c r="W466" s="317">
        <f>'Supply planning data'!Y464</f>
        <v>0</v>
      </c>
      <c r="X466" s="328">
        <f>'Supply planning data'!Z464</f>
        <v>0</v>
      </c>
      <c r="Y466" s="98">
        <f>'Supply planning data'!AA464</f>
        <v>0</v>
      </c>
      <c r="Z466" s="98">
        <f>'Supply planning data'!AB464</f>
        <v>0</v>
      </c>
      <c r="AA466" s="98">
        <f>'Supply planning data'!AC464</f>
        <v>0</v>
      </c>
      <c r="AB466" s="98">
        <f>'Supply planning data'!AD464</f>
        <v>0</v>
      </c>
      <c r="AC466" s="98">
        <f>'Supply planning data'!AE464</f>
        <v>0</v>
      </c>
      <c r="AD466" s="325" t="str">
        <f>'Supply planning data'!AF464</f>
        <v/>
      </c>
      <c r="AE466" s="98">
        <f>'Supply planning data'!AG464</f>
        <v>0</v>
      </c>
      <c r="AF466" s="317">
        <f>'Supply planning data'!AH464</f>
        <v>0</v>
      </c>
      <c r="AG466" s="175">
        <f>'Supply planning data'!AI464</f>
        <v>0</v>
      </c>
      <c r="AH466" s="98">
        <f>'Supply planning data'!AJ464</f>
        <v>0</v>
      </c>
      <c r="AI466" s="98">
        <f>'Supply planning data'!AK464</f>
        <v>0</v>
      </c>
      <c r="AJ466" s="98">
        <f>'Supply planning data'!AL464</f>
        <v>0</v>
      </c>
      <c r="AK466" s="98">
        <f>'Supply planning data'!AM464</f>
        <v>0</v>
      </c>
      <c r="AL466" s="98">
        <f>'Supply planning data'!AN464</f>
        <v>0</v>
      </c>
      <c r="AM466" s="325" t="str">
        <f>'Supply planning data'!AO464</f>
        <v/>
      </c>
    </row>
    <row r="467" spans="1:39" hidden="1" x14ac:dyDescent="0.25">
      <c r="A467" s="90" t="str">
        <f>'Supply planning data'!C465</f>
        <v/>
      </c>
      <c r="B467" s="296">
        <f>'Supply planning data'!D465</f>
        <v>45108</v>
      </c>
      <c r="C467" s="92" t="str">
        <f>'Supply planning data'!E465</f>
        <v>No</v>
      </c>
      <c r="D467" s="92">
        <f>'Supply planning data'!F465</f>
        <v>0</v>
      </c>
      <c r="E467" s="316">
        <f>'Supply planning data'!G465</f>
        <v>0</v>
      </c>
      <c r="F467" s="317">
        <f>'Supply planning data'!H465</f>
        <v>0</v>
      </c>
      <c r="G467" s="317">
        <f>'Supply planning data'!I465</f>
        <v>0</v>
      </c>
      <c r="H467" s="98">
        <f>'Supply planning data'!J465</f>
        <v>0</v>
      </c>
      <c r="I467" s="317">
        <f>'Supply planning data'!K465</f>
        <v>0</v>
      </c>
      <c r="J467" s="175" t="str">
        <f>'Supply planning data'!L465</f>
        <v/>
      </c>
      <c r="K467" s="98">
        <f>'Supply planning data'!M465</f>
        <v>0</v>
      </c>
      <c r="L467" s="317">
        <f>'Supply planning data'!N465+'Supply planning data'!P465</f>
        <v>0</v>
      </c>
      <c r="M467" s="339">
        <f>'Supply planning data'!O465</f>
        <v>0</v>
      </c>
      <c r="N467" s="317">
        <f>'Supply planning data'!P465</f>
        <v>0</v>
      </c>
      <c r="O467" s="339">
        <f>'Supply planning data'!Q465</f>
        <v>0</v>
      </c>
      <c r="P467" s="98">
        <f>'Supply planning data'!R465</f>
        <v>0</v>
      </c>
      <c r="Q467" s="98">
        <f>'Supply planning data'!S465</f>
        <v>0</v>
      </c>
      <c r="R467" s="98">
        <f>'Supply planning data'!T465</f>
        <v>0</v>
      </c>
      <c r="S467" s="98">
        <f>'Supply planning data'!U465</f>
        <v>0</v>
      </c>
      <c r="T467" s="98">
        <f>'Supply planning data'!V465</f>
        <v>0</v>
      </c>
      <c r="U467" s="325" t="str">
        <f>'Supply planning data'!W465</f>
        <v/>
      </c>
      <c r="V467" s="98">
        <f>'Supply planning data'!X465</f>
        <v>0</v>
      </c>
      <c r="W467" s="317">
        <f>'Supply planning data'!Y465</f>
        <v>0</v>
      </c>
      <c r="X467" s="328">
        <f>'Supply planning data'!Z465</f>
        <v>0</v>
      </c>
      <c r="Y467" s="98">
        <f>'Supply planning data'!AA465</f>
        <v>0</v>
      </c>
      <c r="Z467" s="98">
        <f>'Supply planning data'!AB465</f>
        <v>0</v>
      </c>
      <c r="AA467" s="98">
        <f>'Supply planning data'!AC465</f>
        <v>0</v>
      </c>
      <c r="AB467" s="98">
        <f>'Supply planning data'!AD465</f>
        <v>0</v>
      </c>
      <c r="AC467" s="98">
        <f>'Supply planning data'!AE465</f>
        <v>0</v>
      </c>
      <c r="AD467" s="325" t="str">
        <f>'Supply planning data'!AF465</f>
        <v/>
      </c>
      <c r="AE467" s="98">
        <f>'Supply planning data'!AG465</f>
        <v>0</v>
      </c>
      <c r="AF467" s="317">
        <f>'Supply planning data'!AH465</f>
        <v>0</v>
      </c>
      <c r="AG467" s="175">
        <f>'Supply planning data'!AI465</f>
        <v>0</v>
      </c>
      <c r="AH467" s="98">
        <f>'Supply planning data'!AJ465</f>
        <v>0</v>
      </c>
      <c r="AI467" s="98">
        <f>'Supply planning data'!AK465</f>
        <v>0</v>
      </c>
      <c r="AJ467" s="98">
        <f>'Supply planning data'!AL465</f>
        <v>0</v>
      </c>
      <c r="AK467" s="98">
        <f>'Supply planning data'!AM465</f>
        <v>0</v>
      </c>
      <c r="AL467" s="98">
        <f>'Supply planning data'!AN465</f>
        <v>0</v>
      </c>
      <c r="AM467" s="325" t="str">
        <f>'Supply planning data'!AO465</f>
        <v/>
      </c>
    </row>
    <row r="468" spans="1:39" hidden="1" x14ac:dyDescent="0.25">
      <c r="A468" s="90" t="str">
        <f>'Supply planning data'!C466</f>
        <v/>
      </c>
      <c r="B468" s="296">
        <f>'Supply planning data'!D466</f>
        <v>45108</v>
      </c>
      <c r="C468" s="92" t="str">
        <f>'Supply planning data'!E466</f>
        <v>No</v>
      </c>
      <c r="D468" s="92">
        <f>'Supply planning data'!F466</f>
        <v>0</v>
      </c>
      <c r="E468" s="316">
        <f>'Supply planning data'!G466</f>
        <v>0</v>
      </c>
      <c r="F468" s="317">
        <f>'Supply planning data'!H466</f>
        <v>0</v>
      </c>
      <c r="G468" s="317">
        <f>'Supply planning data'!I466</f>
        <v>0</v>
      </c>
      <c r="H468" s="98">
        <f>'Supply planning data'!J466</f>
        <v>0</v>
      </c>
      <c r="I468" s="317">
        <f>'Supply planning data'!K466</f>
        <v>0</v>
      </c>
      <c r="J468" s="175" t="str">
        <f>'Supply planning data'!L466</f>
        <v/>
      </c>
      <c r="K468" s="98">
        <f>'Supply planning data'!M466</f>
        <v>0</v>
      </c>
      <c r="L468" s="317">
        <f>'Supply planning data'!N466+'Supply planning data'!P466</f>
        <v>0</v>
      </c>
      <c r="M468" s="339">
        <f>'Supply planning data'!O466</f>
        <v>0</v>
      </c>
      <c r="N468" s="317">
        <f>'Supply planning data'!P466</f>
        <v>0</v>
      </c>
      <c r="O468" s="339">
        <f>'Supply planning data'!Q466</f>
        <v>0</v>
      </c>
      <c r="P468" s="98">
        <f>'Supply planning data'!R466</f>
        <v>0</v>
      </c>
      <c r="Q468" s="98">
        <f>'Supply planning data'!S466</f>
        <v>0</v>
      </c>
      <c r="R468" s="98">
        <f>'Supply planning data'!T466</f>
        <v>0</v>
      </c>
      <c r="S468" s="98">
        <f>'Supply planning data'!U466</f>
        <v>0</v>
      </c>
      <c r="T468" s="98">
        <f>'Supply planning data'!V466</f>
        <v>0</v>
      </c>
      <c r="U468" s="325" t="str">
        <f>'Supply planning data'!W466</f>
        <v/>
      </c>
      <c r="V468" s="98">
        <f>'Supply planning data'!X466</f>
        <v>0</v>
      </c>
      <c r="W468" s="317">
        <f>'Supply planning data'!Y466</f>
        <v>0</v>
      </c>
      <c r="X468" s="328">
        <f>'Supply planning data'!Z466</f>
        <v>0</v>
      </c>
      <c r="Y468" s="98">
        <f>'Supply planning data'!AA466</f>
        <v>0</v>
      </c>
      <c r="Z468" s="98">
        <f>'Supply planning data'!AB466</f>
        <v>0</v>
      </c>
      <c r="AA468" s="98">
        <f>'Supply planning data'!AC466</f>
        <v>0</v>
      </c>
      <c r="AB468" s="98">
        <f>'Supply planning data'!AD466</f>
        <v>0</v>
      </c>
      <c r="AC468" s="98">
        <f>'Supply planning data'!AE466</f>
        <v>0</v>
      </c>
      <c r="AD468" s="325" t="str">
        <f>'Supply planning data'!AF466</f>
        <v/>
      </c>
      <c r="AE468" s="98">
        <f>'Supply planning data'!AG466</f>
        <v>0</v>
      </c>
      <c r="AF468" s="317">
        <f>'Supply planning data'!AH466</f>
        <v>0</v>
      </c>
      <c r="AG468" s="175">
        <f>'Supply planning data'!AI466</f>
        <v>0</v>
      </c>
      <c r="AH468" s="98">
        <f>'Supply planning data'!AJ466</f>
        <v>0</v>
      </c>
      <c r="AI468" s="98">
        <f>'Supply planning data'!AK466</f>
        <v>0</v>
      </c>
      <c r="AJ468" s="98">
        <f>'Supply planning data'!AL466</f>
        <v>0</v>
      </c>
      <c r="AK468" s="98">
        <f>'Supply planning data'!AM466</f>
        <v>0</v>
      </c>
      <c r="AL468" s="98">
        <f>'Supply planning data'!AN466</f>
        <v>0</v>
      </c>
      <c r="AM468" s="325" t="str">
        <f>'Supply planning data'!AO466</f>
        <v/>
      </c>
    </row>
    <row r="469" spans="1:39" hidden="1" x14ac:dyDescent="0.25">
      <c r="A469" s="90" t="str">
        <f>'Supply planning data'!C467</f>
        <v/>
      </c>
      <c r="B469" s="296">
        <f>'Supply planning data'!D467</f>
        <v>45108</v>
      </c>
      <c r="C469" s="92" t="str">
        <f>'Supply planning data'!E467</f>
        <v>No</v>
      </c>
      <c r="D469" s="92">
        <f>'Supply planning data'!F467</f>
        <v>0</v>
      </c>
      <c r="E469" s="316">
        <f>'Supply planning data'!G467</f>
        <v>0</v>
      </c>
      <c r="F469" s="317">
        <f>'Supply planning data'!H467</f>
        <v>0</v>
      </c>
      <c r="G469" s="317">
        <f>'Supply planning data'!I467</f>
        <v>0</v>
      </c>
      <c r="H469" s="98">
        <f>'Supply planning data'!J467</f>
        <v>0</v>
      </c>
      <c r="I469" s="317">
        <f>'Supply planning data'!K467</f>
        <v>0</v>
      </c>
      <c r="J469" s="175" t="str">
        <f>'Supply planning data'!L467</f>
        <v/>
      </c>
      <c r="K469" s="98">
        <f>'Supply planning data'!M467</f>
        <v>0</v>
      </c>
      <c r="L469" s="317">
        <f>'Supply planning data'!N467+'Supply planning data'!P467</f>
        <v>0</v>
      </c>
      <c r="M469" s="339">
        <f>'Supply planning data'!O467</f>
        <v>0</v>
      </c>
      <c r="N469" s="317">
        <f>'Supply planning data'!P467</f>
        <v>0</v>
      </c>
      <c r="O469" s="339">
        <f>'Supply planning data'!Q467</f>
        <v>0</v>
      </c>
      <c r="P469" s="98">
        <f>'Supply planning data'!R467</f>
        <v>0</v>
      </c>
      <c r="Q469" s="98">
        <f>'Supply planning data'!S467</f>
        <v>0</v>
      </c>
      <c r="R469" s="98">
        <f>'Supply planning data'!T467</f>
        <v>0</v>
      </c>
      <c r="S469" s="98">
        <f>'Supply planning data'!U467</f>
        <v>0</v>
      </c>
      <c r="T469" s="98">
        <f>'Supply planning data'!V467</f>
        <v>0</v>
      </c>
      <c r="U469" s="325" t="str">
        <f>'Supply planning data'!W467</f>
        <v/>
      </c>
      <c r="V469" s="98">
        <f>'Supply planning data'!X467</f>
        <v>0</v>
      </c>
      <c r="W469" s="317">
        <f>'Supply planning data'!Y467</f>
        <v>0</v>
      </c>
      <c r="X469" s="328">
        <f>'Supply planning data'!Z467</f>
        <v>0</v>
      </c>
      <c r="Y469" s="98">
        <f>'Supply planning data'!AA467</f>
        <v>0</v>
      </c>
      <c r="Z469" s="98">
        <f>'Supply planning data'!AB467</f>
        <v>0</v>
      </c>
      <c r="AA469" s="98">
        <f>'Supply planning data'!AC467</f>
        <v>0</v>
      </c>
      <c r="AB469" s="98">
        <f>'Supply planning data'!AD467</f>
        <v>0</v>
      </c>
      <c r="AC469" s="98">
        <f>'Supply planning data'!AE467</f>
        <v>0</v>
      </c>
      <c r="AD469" s="325" t="str">
        <f>'Supply planning data'!AF467</f>
        <v/>
      </c>
      <c r="AE469" s="98">
        <f>'Supply planning data'!AG467</f>
        <v>0</v>
      </c>
      <c r="AF469" s="317">
        <f>'Supply planning data'!AH467</f>
        <v>0</v>
      </c>
      <c r="AG469" s="175">
        <f>'Supply planning data'!AI467</f>
        <v>0</v>
      </c>
      <c r="AH469" s="98">
        <f>'Supply planning data'!AJ467</f>
        <v>0</v>
      </c>
      <c r="AI469" s="98">
        <f>'Supply planning data'!AK467</f>
        <v>0</v>
      </c>
      <c r="AJ469" s="98">
        <f>'Supply planning data'!AL467</f>
        <v>0</v>
      </c>
      <c r="AK469" s="98">
        <f>'Supply planning data'!AM467</f>
        <v>0</v>
      </c>
      <c r="AL469" s="98">
        <f>'Supply planning data'!AN467</f>
        <v>0</v>
      </c>
      <c r="AM469" s="325" t="str">
        <f>'Supply planning data'!AO467</f>
        <v/>
      </c>
    </row>
    <row r="470" spans="1:39" hidden="1" x14ac:dyDescent="0.25">
      <c r="A470" s="90" t="str">
        <f>'Supply planning data'!C468</f>
        <v/>
      </c>
      <c r="B470" s="296">
        <f>'Supply planning data'!D468</f>
        <v>45108</v>
      </c>
      <c r="C470" s="92" t="str">
        <f>'Supply planning data'!E468</f>
        <v>No</v>
      </c>
      <c r="D470" s="92">
        <f>'Supply planning data'!F468</f>
        <v>0</v>
      </c>
      <c r="E470" s="316">
        <f>'Supply planning data'!G468</f>
        <v>0</v>
      </c>
      <c r="F470" s="317">
        <f>'Supply planning data'!H468</f>
        <v>0</v>
      </c>
      <c r="G470" s="317">
        <f>'Supply planning data'!I468</f>
        <v>0</v>
      </c>
      <c r="H470" s="98">
        <f>'Supply planning data'!J468</f>
        <v>0</v>
      </c>
      <c r="I470" s="317">
        <f>'Supply planning data'!K468</f>
        <v>0</v>
      </c>
      <c r="J470" s="175" t="str">
        <f>'Supply planning data'!L468</f>
        <v/>
      </c>
      <c r="K470" s="98">
        <f>'Supply planning data'!M468</f>
        <v>0</v>
      </c>
      <c r="L470" s="317">
        <f>'Supply planning data'!N468+'Supply planning data'!P468</f>
        <v>0</v>
      </c>
      <c r="M470" s="339">
        <f>'Supply planning data'!O468</f>
        <v>0</v>
      </c>
      <c r="N470" s="317">
        <f>'Supply planning data'!P468</f>
        <v>0</v>
      </c>
      <c r="O470" s="339">
        <f>'Supply planning data'!Q468</f>
        <v>0</v>
      </c>
      <c r="P470" s="98">
        <f>'Supply planning data'!R468</f>
        <v>0</v>
      </c>
      <c r="Q470" s="98">
        <f>'Supply planning data'!S468</f>
        <v>0</v>
      </c>
      <c r="R470" s="98">
        <f>'Supply planning data'!T468</f>
        <v>0</v>
      </c>
      <c r="S470" s="98">
        <f>'Supply planning data'!U468</f>
        <v>0</v>
      </c>
      <c r="T470" s="98">
        <f>'Supply planning data'!V468</f>
        <v>0</v>
      </c>
      <c r="U470" s="325" t="str">
        <f>'Supply planning data'!W468</f>
        <v/>
      </c>
      <c r="V470" s="98">
        <f>'Supply planning data'!X468</f>
        <v>0</v>
      </c>
      <c r="W470" s="317">
        <f>'Supply planning data'!Y468</f>
        <v>0</v>
      </c>
      <c r="X470" s="328">
        <f>'Supply planning data'!Z468</f>
        <v>0</v>
      </c>
      <c r="Y470" s="98">
        <f>'Supply planning data'!AA468</f>
        <v>0</v>
      </c>
      <c r="Z470" s="98">
        <f>'Supply planning data'!AB468</f>
        <v>0</v>
      </c>
      <c r="AA470" s="98">
        <f>'Supply planning data'!AC468</f>
        <v>0</v>
      </c>
      <c r="AB470" s="98">
        <f>'Supply planning data'!AD468</f>
        <v>0</v>
      </c>
      <c r="AC470" s="98">
        <f>'Supply planning data'!AE468</f>
        <v>0</v>
      </c>
      <c r="AD470" s="325" t="str">
        <f>'Supply planning data'!AF468</f>
        <v/>
      </c>
      <c r="AE470" s="98">
        <f>'Supply planning data'!AG468</f>
        <v>0</v>
      </c>
      <c r="AF470" s="317">
        <f>'Supply planning data'!AH468</f>
        <v>0</v>
      </c>
      <c r="AG470" s="175">
        <f>'Supply planning data'!AI468</f>
        <v>0</v>
      </c>
      <c r="AH470" s="98">
        <f>'Supply planning data'!AJ468</f>
        <v>0</v>
      </c>
      <c r="AI470" s="98">
        <f>'Supply planning data'!AK468</f>
        <v>0</v>
      </c>
      <c r="AJ470" s="98">
        <f>'Supply planning data'!AL468</f>
        <v>0</v>
      </c>
      <c r="AK470" s="98">
        <f>'Supply planning data'!AM468</f>
        <v>0</v>
      </c>
      <c r="AL470" s="98">
        <f>'Supply planning data'!AN468</f>
        <v>0</v>
      </c>
      <c r="AM470" s="325" t="str">
        <f>'Supply planning data'!AO468</f>
        <v/>
      </c>
    </row>
    <row r="471" spans="1:39" hidden="1" x14ac:dyDescent="0.25">
      <c r="A471" s="90" t="str">
        <f>'Supply planning data'!C469</f>
        <v/>
      </c>
      <c r="B471" s="296">
        <f>'Supply planning data'!D469</f>
        <v>45108</v>
      </c>
      <c r="C471" s="92" t="str">
        <f>'Supply planning data'!E469</f>
        <v>No</v>
      </c>
      <c r="D471" s="92">
        <f>'Supply planning data'!F469</f>
        <v>0</v>
      </c>
      <c r="E471" s="316">
        <f>'Supply planning data'!G469</f>
        <v>0</v>
      </c>
      <c r="F471" s="317">
        <f>'Supply planning data'!H469</f>
        <v>0</v>
      </c>
      <c r="G471" s="317">
        <f>'Supply planning data'!I469</f>
        <v>0</v>
      </c>
      <c r="H471" s="98">
        <f>'Supply planning data'!J469</f>
        <v>0</v>
      </c>
      <c r="I471" s="317">
        <f>'Supply planning data'!K469</f>
        <v>0</v>
      </c>
      <c r="J471" s="175" t="str">
        <f>'Supply planning data'!L469</f>
        <v/>
      </c>
      <c r="K471" s="98">
        <f>'Supply planning data'!M469</f>
        <v>0</v>
      </c>
      <c r="L471" s="317">
        <f>'Supply planning data'!N469+'Supply planning data'!P469</f>
        <v>0</v>
      </c>
      <c r="M471" s="339">
        <f>'Supply planning data'!O469</f>
        <v>0</v>
      </c>
      <c r="N471" s="317">
        <f>'Supply planning data'!P469</f>
        <v>0</v>
      </c>
      <c r="O471" s="339">
        <f>'Supply planning data'!Q469</f>
        <v>0</v>
      </c>
      <c r="P471" s="98">
        <f>'Supply planning data'!R469</f>
        <v>0</v>
      </c>
      <c r="Q471" s="98">
        <f>'Supply planning data'!S469</f>
        <v>0</v>
      </c>
      <c r="R471" s="98">
        <f>'Supply planning data'!T469</f>
        <v>0</v>
      </c>
      <c r="S471" s="98">
        <f>'Supply planning data'!U469</f>
        <v>0</v>
      </c>
      <c r="T471" s="98">
        <f>'Supply planning data'!V469</f>
        <v>0</v>
      </c>
      <c r="U471" s="325" t="str">
        <f>'Supply planning data'!W469</f>
        <v/>
      </c>
      <c r="V471" s="98">
        <f>'Supply planning data'!X469</f>
        <v>0</v>
      </c>
      <c r="W471" s="317">
        <f>'Supply planning data'!Y469</f>
        <v>0</v>
      </c>
      <c r="X471" s="328">
        <f>'Supply planning data'!Z469</f>
        <v>0</v>
      </c>
      <c r="Y471" s="98">
        <f>'Supply planning data'!AA469</f>
        <v>0</v>
      </c>
      <c r="Z471" s="98">
        <f>'Supply planning data'!AB469</f>
        <v>0</v>
      </c>
      <c r="AA471" s="98">
        <f>'Supply planning data'!AC469</f>
        <v>0</v>
      </c>
      <c r="AB471" s="98">
        <f>'Supply planning data'!AD469</f>
        <v>0</v>
      </c>
      <c r="AC471" s="98">
        <f>'Supply planning data'!AE469</f>
        <v>0</v>
      </c>
      <c r="AD471" s="325" t="str">
        <f>'Supply planning data'!AF469</f>
        <v/>
      </c>
      <c r="AE471" s="98">
        <f>'Supply planning data'!AG469</f>
        <v>0</v>
      </c>
      <c r="AF471" s="317">
        <f>'Supply planning data'!AH469</f>
        <v>0</v>
      </c>
      <c r="AG471" s="175">
        <f>'Supply planning data'!AI469</f>
        <v>0</v>
      </c>
      <c r="AH471" s="98">
        <f>'Supply planning data'!AJ469</f>
        <v>0</v>
      </c>
      <c r="AI471" s="98">
        <f>'Supply planning data'!AK469</f>
        <v>0</v>
      </c>
      <c r="AJ471" s="98">
        <f>'Supply planning data'!AL469</f>
        <v>0</v>
      </c>
      <c r="AK471" s="98">
        <f>'Supply planning data'!AM469</f>
        <v>0</v>
      </c>
      <c r="AL471" s="98">
        <f>'Supply planning data'!AN469</f>
        <v>0</v>
      </c>
      <c r="AM471" s="325" t="str">
        <f>'Supply planning data'!AO469</f>
        <v/>
      </c>
    </row>
    <row r="472" spans="1:39" x14ac:dyDescent="0.25">
      <c r="A472" s="104" t="str">
        <f>'Supply planning data'!C470</f>
        <v>AstraZeneca</v>
      </c>
      <c r="B472" s="298">
        <f>'Supply planning data'!D470</f>
        <v>45139</v>
      </c>
      <c r="C472" s="105" t="str">
        <f>'Supply planning data'!E470</f>
        <v>Yes</v>
      </c>
      <c r="D472" s="105">
        <f>'Supply planning data'!F470</f>
        <v>0</v>
      </c>
      <c r="E472" s="320">
        <f>'Supply planning data'!G470</f>
        <v>0</v>
      </c>
      <c r="F472" s="320">
        <f>'Supply planning data'!H470</f>
        <v>0</v>
      </c>
      <c r="G472" s="320">
        <f>'Supply planning data'!I470</f>
        <v>0</v>
      </c>
      <c r="H472" s="105">
        <f>'Supply planning data'!J470</f>
        <v>0</v>
      </c>
      <c r="I472" s="320">
        <f>'Supply planning data'!K470</f>
        <v>0</v>
      </c>
      <c r="J472" s="177" t="str">
        <f>'Supply planning data'!L470</f>
        <v/>
      </c>
      <c r="K472" s="105">
        <f>'Supply planning data'!M470</f>
        <v>0</v>
      </c>
      <c r="L472" s="320">
        <f>'Supply planning data'!N470+'Supply planning data'!P470</f>
        <v>0</v>
      </c>
      <c r="M472" s="341">
        <f>'Supply planning data'!O470</f>
        <v>0</v>
      </c>
      <c r="N472" s="320">
        <f>'Supply planning data'!P470</f>
        <v>0</v>
      </c>
      <c r="O472" s="341">
        <f>'Supply planning data'!Q470</f>
        <v>0</v>
      </c>
      <c r="P472" s="105">
        <f>'Supply planning data'!R470</f>
        <v>0</v>
      </c>
      <c r="Q472" s="105">
        <f>'Supply planning data'!S470</f>
        <v>0</v>
      </c>
      <c r="R472" s="105">
        <f>'Supply planning data'!T470</f>
        <v>0</v>
      </c>
      <c r="S472" s="105">
        <f>'Supply planning data'!U470</f>
        <v>0</v>
      </c>
      <c r="T472" s="105">
        <f>'Supply planning data'!V470</f>
        <v>0</v>
      </c>
      <c r="U472" s="326" t="str">
        <f>'Supply planning data'!W470</f>
        <v/>
      </c>
      <c r="V472" s="105">
        <f>'Supply planning data'!X470</f>
        <v>154701</v>
      </c>
      <c r="W472" s="320">
        <f>'Supply planning data'!Y470</f>
        <v>0</v>
      </c>
      <c r="X472" s="329">
        <f>'Supply planning data'!Z470</f>
        <v>0</v>
      </c>
      <c r="Y472" s="105">
        <f>'Supply planning data'!AA470</f>
        <v>0</v>
      </c>
      <c r="Z472" s="105">
        <f>'Supply planning data'!AB470</f>
        <v>0</v>
      </c>
      <c r="AA472" s="105">
        <f>'Supply planning data'!AC470</f>
        <v>0</v>
      </c>
      <c r="AB472" s="105">
        <f>'Supply planning data'!AD470</f>
        <v>0</v>
      </c>
      <c r="AC472" s="105">
        <f>'Supply planning data'!AE470</f>
        <v>154701</v>
      </c>
      <c r="AD472" s="326" t="str">
        <f>'Supply planning data'!AF470</f>
        <v/>
      </c>
      <c r="AE472" s="105">
        <f>'Supply planning data'!AG470</f>
        <v>0</v>
      </c>
      <c r="AF472" s="320">
        <f>'Supply planning data'!AH470</f>
        <v>0</v>
      </c>
      <c r="AG472" s="177">
        <f>'Supply planning data'!AI470</f>
        <v>0</v>
      </c>
      <c r="AH472" s="105">
        <f>'Supply planning data'!AJ470</f>
        <v>0</v>
      </c>
      <c r="AI472" s="105">
        <f>'Supply planning data'!AK470</f>
        <v>0</v>
      </c>
      <c r="AJ472" s="105">
        <f>'Supply planning data'!AL470</f>
        <v>0</v>
      </c>
      <c r="AK472" s="105">
        <f>'Supply planning data'!AM470</f>
        <v>0</v>
      </c>
      <c r="AL472" s="105">
        <f>'Supply planning data'!AN470</f>
        <v>0</v>
      </c>
      <c r="AM472" s="326" t="str">
        <f>'Supply planning data'!AO470</f>
        <v/>
      </c>
    </row>
    <row r="473" spans="1:39" x14ac:dyDescent="0.25">
      <c r="A473" s="109" t="str">
        <f>'Supply planning data'!C471</f>
        <v>Jansen</v>
      </c>
      <c r="B473" s="298">
        <f>'Supply planning data'!D471</f>
        <v>45139</v>
      </c>
      <c r="C473" s="105" t="str">
        <f>'Supply planning data'!E471</f>
        <v>Yes</v>
      </c>
      <c r="D473" s="105">
        <f>'Supply planning data'!F471</f>
        <v>2258747</v>
      </c>
      <c r="E473" s="320">
        <f>'Supply planning data'!G471</f>
        <v>0</v>
      </c>
      <c r="F473" s="320">
        <f>'Supply planning data'!H471</f>
        <v>0</v>
      </c>
      <c r="G473" s="320">
        <f>'Supply planning data'!I471</f>
        <v>0</v>
      </c>
      <c r="H473" s="105">
        <f>'Supply planning data'!J471</f>
        <v>0</v>
      </c>
      <c r="I473" s="320">
        <f>'Supply planning data'!K471</f>
        <v>0</v>
      </c>
      <c r="J473" s="177" t="str">
        <f>'Supply planning data'!L471</f>
        <v/>
      </c>
      <c r="K473" s="105">
        <f>'Supply planning data'!M471</f>
        <v>0</v>
      </c>
      <c r="L473" s="321">
        <f>'Supply planning data'!N471+'Supply planning data'!P471</f>
        <v>0</v>
      </c>
      <c r="M473" s="342">
        <f>'Supply planning data'!O471</f>
        <v>0</v>
      </c>
      <c r="N473" s="321">
        <f>'Supply planning data'!P471</f>
        <v>0</v>
      </c>
      <c r="O473" s="342">
        <f>'Supply planning data'!Q471</f>
        <v>0</v>
      </c>
      <c r="P473" s="111">
        <f>'Supply planning data'!R471</f>
        <v>0</v>
      </c>
      <c r="Q473" s="111">
        <f>'Supply planning data'!S471</f>
        <v>0</v>
      </c>
      <c r="R473" s="111">
        <f>'Supply planning data'!T471</f>
        <v>0</v>
      </c>
      <c r="S473" s="111">
        <f>'Supply planning data'!U471</f>
        <v>0</v>
      </c>
      <c r="T473" s="111">
        <f>'Supply planning data'!V471</f>
        <v>2258747</v>
      </c>
      <c r="U473" s="327" t="str">
        <f>'Supply planning data'!W471</f>
        <v/>
      </c>
      <c r="V473" s="111">
        <f>'Supply planning data'!X471</f>
        <v>1698747</v>
      </c>
      <c r="W473" s="321">
        <f>'Supply planning data'!Y471</f>
        <v>0</v>
      </c>
      <c r="X473" s="329">
        <f>'Supply planning data'!Z471</f>
        <v>0</v>
      </c>
      <c r="Y473" s="111">
        <f>'Supply planning data'!AA471</f>
        <v>0</v>
      </c>
      <c r="Z473" s="111">
        <f>'Supply planning data'!AB471</f>
        <v>0</v>
      </c>
      <c r="AA473" s="111">
        <f>'Supply planning data'!AC471</f>
        <v>0</v>
      </c>
      <c r="AB473" s="111">
        <f>'Supply planning data'!AD471</f>
        <v>0</v>
      </c>
      <c r="AC473" s="111">
        <f>'Supply planning data'!AE471</f>
        <v>1698747</v>
      </c>
      <c r="AD473" s="327" t="str">
        <f>'Supply planning data'!AF471</f>
        <v/>
      </c>
      <c r="AE473" s="111">
        <f>'Supply planning data'!AG471</f>
        <v>2258747</v>
      </c>
      <c r="AF473" s="321">
        <f>'Supply planning data'!AH471</f>
        <v>0</v>
      </c>
      <c r="AG473" s="349">
        <f>'Supply planning data'!AI471</f>
        <v>0</v>
      </c>
      <c r="AH473" s="111">
        <f>'Supply planning data'!AJ471</f>
        <v>0</v>
      </c>
      <c r="AI473" s="111">
        <f>'Supply planning data'!AK471</f>
        <v>0</v>
      </c>
      <c r="AJ473" s="111">
        <f>'Supply planning data'!AL471</f>
        <v>0</v>
      </c>
      <c r="AK473" s="111">
        <f>'Supply planning data'!AM471</f>
        <v>0</v>
      </c>
      <c r="AL473" s="111">
        <f>'Supply planning data'!AN471</f>
        <v>2258747</v>
      </c>
      <c r="AM473" s="327" t="str">
        <f>'Supply planning data'!AO471</f>
        <v/>
      </c>
    </row>
    <row r="474" spans="1:39" x14ac:dyDescent="0.25">
      <c r="A474" s="104" t="str">
        <f>'Supply planning data'!C472</f>
        <v>Moderna</v>
      </c>
      <c r="B474" s="298">
        <f>'Supply planning data'!D472</f>
        <v>45139</v>
      </c>
      <c r="C474" s="105" t="str">
        <f>'Supply planning data'!E472</f>
        <v>No</v>
      </c>
      <c r="D474" s="105">
        <f>'Supply planning data'!F472</f>
        <v>0</v>
      </c>
      <c r="E474" s="320">
        <f>'Supply planning data'!G472</f>
        <v>0</v>
      </c>
      <c r="F474" s="320">
        <f>'Supply planning data'!H472</f>
        <v>0</v>
      </c>
      <c r="G474" s="320">
        <f>'Supply planning data'!I472</f>
        <v>0</v>
      </c>
      <c r="H474" s="105">
        <f>'Supply planning data'!J472</f>
        <v>0</v>
      </c>
      <c r="I474" s="320">
        <f>'Supply planning data'!K472</f>
        <v>0</v>
      </c>
      <c r="J474" s="177" t="str">
        <f>'Supply planning data'!L472</f>
        <v/>
      </c>
      <c r="K474" s="105">
        <f>'Supply planning data'!M472</f>
        <v>0</v>
      </c>
      <c r="L474" s="321">
        <f>'Supply planning data'!N472+'Supply planning data'!P472</f>
        <v>0</v>
      </c>
      <c r="M474" s="342">
        <f>'Supply planning data'!O472</f>
        <v>0</v>
      </c>
      <c r="N474" s="321">
        <f>'Supply planning data'!P472</f>
        <v>0</v>
      </c>
      <c r="O474" s="342">
        <f>'Supply planning data'!Q472</f>
        <v>0</v>
      </c>
      <c r="P474" s="111">
        <f>'Supply planning data'!R472</f>
        <v>0</v>
      </c>
      <c r="Q474" s="111">
        <f>'Supply planning data'!S472</f>
        <v>0</v>
      </c>
      <c r="R474" s="111">
        <f>'Supply planning data'!T472</f>
        <v>0</v>
      </c>
      <c r="S474" s="111">
        <f>'Supply planning data'!U472</f>
        <v>0</v>
      </c>
      <c r="T474" s="111">
        <f>'Supply planning data'!V472</f>
        <v>0</v>
      </c>
      <c r="U474" s="327" t="str">
        <f>'Supply planning data'!W472</f>
        <v/>
      </c>
      <c r="V474" s="111">
        <f>'Supply planning data'!X472</f>
        <v>0</v>
      </c>
      <c r="W474" s="321">
        <f>'Supply planning data'!Y472</f>
        <v>0</v>
      </c>
      <c r="X474" s="329">
        <f>'Supply planning data'!Z472</f>
        <v>0</v>
      </c>
      <c r="Y474" s="111">
        <f>'Supply planning data'!AA472</f>
        <v>0</v>
      </c>
      <c r="Z474" s="111">
        <f>'Supply planning data'!AB472</f>
        <v>0</v>
      </c>
      <c r="AA474" s="111">
        <f>'Supply planning data'!AC472</f>
        <v>0</v>
      </c>
      <c r="AB474" s="111">
        <f>'Supply planning data'!AD472</f>
        <v>0</v>
      </c>
      <c r="AC474" s="111">
        <f>'Supply planning data'!AE472</f>
        <v>0</v>
      </c>
      <c r="AD474" s="327" t="str">
        <f>'Supply planning data'!AF472</f>
        <v/>
      </c>
      <c r="AE474" s="111">
        <f>'Supply planning data'!AG472</f>
        <v>0</v>
      </c>
      <c r="AF474" s="321">
        <f>'Supply planning data'!AH472</f>
        <v>0</v>
      </c>
      <c r="AG474" s="349">
        <f>'Supply planning data'!AI472</f>
        <v>0</v>
      </c>
      <c r="AH474" s="111">
        <f>'Supply planning data'!AJ472</f>
        <v>0</v>
      </c>
      <c r="AI474" s="111">
        <f>'Supply planning data'!AK472</f>
        <v>0</v>
      </c>
      <c r="AJ474" s="111">
        <f>'Supply planning data'!AL472</f>
        <v>0</v>
      </c>
      <c r="AK474" s="111">
        <f>'Supply planning data'!AM472</f>
        <v>0</v>
      </c>
      <c r="AL474" s="111">
        <f>'Supply planning data'!AN472</f>
        <v>0</v>
      </c>
      <c r="AM474" s="327" t="str">
        <f>'Supply planning data'!AO472</f>
        <v/>
      </c>
    </row>
    <row r="475" spans="1:39" x14ac:dyDescent="0.25">
      <c r="A475" s="109" t="str">
        <f>'Supply planning data'!C473</f>
        <v>Pfizer</v>
      </c>
      <c r="B475" s="298">
        <f>'Supply planning data'!D473</f>
        <v>45139</v>
      </c>
      <c r="C475" s="105" t="str">
        <f>'Supply planning data'!E473</f>
        <v>Yes</v>
      </c>
      <c r="D475" s="105">
        <f>'Supply planning data'!F473</f>
        <v>3000000</v>
      </c>
      <c r="E475" s="320">
        <f>'Supply planning data'!G473</f>
        <v>0</v>
      </c>
      <c r="F475" s="320">
        <f>'Supply planning data'!H473</f>
        <v>0</v>
      </c>
      <c r="G475" s="320">
        <f>'Supply planning data'!I473</f>
        <v>0</v>
      </c>
      <c r="H475" s="105">
        <f>'Supply planning data'!J473</f>
        <v>0</v>
      </c>
      <c r="I475" s="320">
        <f>'Supply planning data'!K473</f>
        <v>0</v>
      </c>
      <c r="J475" s="177" t="str">
        <f>'Supply planning data'!L473</f>
        <v/>
      </c>
      <c r="K475" s="105">
        <f>'Supply planning data'!M473</f>
        <v>0</v>
      </c>
      <c r="L475" s="321">
        <f>'Supply planning data'!N473+'Supply planning data'!P473</f>
        <v>0</v>
      </c>
      <c r="M475" s="342">
        <f>'Supply planning data'!O473</f>
        <v>0</v>
      </c>
      <c r="N475" s="321">
        <f>'Supply planning data'!P473</f>
        <v>0</v>
      </c>
      <c r="O475" s="342">
        <f>'Supply planning data'!Q473</f>
        <v>0</v>
      </c>
      <c r="P475" s="111">
        <f>'Supply planning data'!R473</f>
        <v>0</v>
      </c>
      <c r="Q475" s="111">
        <f>'Supply planning data'!S473</f>
        <v>0</v>
      </c>
      <c r="R475" s="111">
        <f>'Supply planning data'!T473</f>
        <v>110538</v>
      </c>
      <c r="S475" s="111">
        <f>'Supply planning data'!U473</f>
        <v>0</v>
      </c>
      <c r="T475" s="111">
        <f>'Supply planning data'!V473</f>
        <v>3000000</v>
      </c>
      <c r="U475" s="327" t="str">
        <f>'Supply planning data'!W473</f>
        <v/>
      </c>
      <c r="V475" s="111">
        <f>'Supply planning data'!X473</f>
        <v>2440000</v>
      </c>
      <c r="W475" s="321">
        <f>'Supply planning data'!Y473</f>
        <v>0</v>
      </c>
      <c r="X475" s="329">
        <f>'Supply planning data'!Z473</f>
        <v>0</v>
      </c>
      <c r="Y475" s="111">
        <f>'Supply planning data'!AA473</f>
        <v>0</v>
      </c>
      <c r="Z475" s="111">
        <f>'Supply planning data'!AB473</f>
        <v>0</v>
      </c>
      <c r="AA475" s="111">
        <f>'Supply planning data'!AC473</f>
        <v>0</v>
      </c>
      <c r="AB475" s="111">
        <f>'Supply planning data'!AD473</f>
        <v>0</v>
      </c>
      <c r="AC475" s="111">
        <f>'Supply planning data'!AE473</f>
        <v>2440000</v>
      </c>
      <c r="AD475" s="327" t="str">
        <f>'Supply planning data'!AF473</f>
        <v/>
      </c>
      <c r="AE475" s="111">
        <f>'Supply planning data'!AG473</f>
        <v>3000000</v>
      </c>
      <c r="AF475" s="321">
        <f>'Supply planning data'!AH473</f>
        <v>0</v>
      </c>
      <c r="AG475" s="349">
        <f>'Supply planning data'!AI473</f>
        <v>0</v>
      </c>
      <c r="AH475" s="111">
        <f>'Supply planning data'!AJ473</f>
        <v>0</v>
      </c>
      <c r="AI475" s="111">
        <f>'Supply planning data'!AK473</f>
        <v>0</v>
      </c>
      <c r="AJ475" s="111">
        <f>'Supply planning data'!AL473</f>
        <v>110538</v>
      </c>
      <c r="AK475" s="111">
        <f>'Supply planning data'!AM473</f>
        <v>0</v>
      </c>
      <c r="AL475" s="111">
        <f>'Supply planning data'!AN473</f>
        <v>3000000</v>
      </c>
      <c r="AM475" s="327" t="str">
        <f>'Supply planning data'!AO473</f>
        <v/>
      </c>
    </row>
    <row r="476" spans="1:39" x14ac:dyDescent="0.25">
      <c r="A476" s="104" t="str">
        <f>'Supply planning data'!C474</f>
        <v>Sinovac</v>
      </c>
      <c r="B476" s="298">
        <f>'Supply planning data'!D474</f>
        <v>45139</v>
      </c>
      <c r="C476" s="105" t="str">
        <f>'Supply planning data'!E474</f>
        <v>No</v>
      </c>
      <c r="D476" s="105">
        <f>'Supply planning data'!F474</f>
        <v>0</v>
      </c>
      <c r="E476" s="320">
        <f>'Supply planning data'!G474</f>
        <v>0</v>
      </c>
      <c r="F476" s="320">
        <f>'Supply planning data'!H474</f>
        <v>0</v>
      </c>
      <c r="G476" s="320">
        <f>'Supply planning data'!I474</f>
        <v>0</v>
      </c>
      <c r="H476" s="105">
        <f>'Supply planning data'!J474</f>
        <v>0</v>
      </c>
      <c r="I476" s="320">
        <f>'Supply planning data'!K474</f>
        <v>0</v>
      </c>
      <c r="J476" s="177" t="str">
        <f>'Supply planning data'!L474</f>
        <v/>
      </c>
      <c r="K476" s="105">
        <f>'Supply planning data'!M474</f>
        <v>0</v>
      </c>
      <c r="L476" s="321">
        <f>'Supply planning data'!N474+'Supply planning data'!P474</f>
        <v>0</v>
      </c>
      <c r="M476" s="342">
        <f>'Supply planning data'!O474</f>
        <v>0</v>
      </c>
      <c r="N476" s="321">
        <f>'Supply planning data'!P474</f>
        <v>0</v>
      </c>
      <c r="O476" s="342">
        <f>'Supply planning data'!Q474</f>
        <v>0</v>
      </c>
      <c r="P476" s="111">
        <f>'Supply planning data'!R474</f>
        <v>0</v>
      </c>
      <c r="Q476" s="111">
        <f>'Supply planning data'!S474</f>
        <v>0</v>
      </c>
      <c r="R476" s="111">
        <f>'Supply planning data'!T474</f>
        <v>0</v>
      </c>
      <c r="S476" s="111">
        <f>'Supply planning data'!U474</f>
        <v>0</v>
      </c>
      <c r="T476" s="111">
        <f>'Supply planning data'!V474</f>
        <v>0</v>
      </c>
      <c r="U476" s="327" t="str">
        <f>'Supply planning data'!W474</f>
        <v/>
      </c>
      <c r="V476" s="111">
        <f>'Supply planning data'!X474</f>
        <v>0</v>
      </c>
      <c r="W476" s="321">
        <f>'Supply planning data'!Y474</f>
        <v>0</v>
      </c>
      <c r="X476" s="329">
        <f>'Supply planning data'!Z474</f>
        <v>0</v>
      </c>
      <c r="Y476" s="111">
        <f>'Supply planning data'!AA474</f>
        <v>0</v>
      </c>
      <c r="Z476" s="111">
        <f>'Supply planning data'!AB474</f>
        <v>0</v>
      </c>
      <c r="AA476" s="111">
        <f>'Supply planning data'!AC474</f>
        <v>0</v>
      </c>
      <c r="AB476" s="111">
        <f>'Supply planning data'!AD474</f>
        <v>0</v>
      </c>
      <c r="AC476" s="111">
        <f>'Supply planning data'!AE474</f>
        <v>0</v>
      </c>
      <c r="AD476" s="327" t="str">
        <f>'Supply planning data'!AF474</f>
        <v/>
      </c>
      <c r="AE476" s="111">
        <f>'Supply planning data'!AG474</f>
        <v>0</v>
      </c>
      <c r="AF476" s="321">
        <f>'Supply planning data'!AH474</f>
        <v>0</v>
      </c>
      <c r="AG476" s="349">
        <f>'Supply planning data'!AI474</f>
        <v>0</v>
      </c>
      <c r="AH476" s="111">
        <f>'Supply planning data'!AJ474</f>
        <v>0</v>
      </c>
      <c r="AI476" s="111">
        <f>'Supply planning data'!AK474</f>
        <v>0</v>
      </c>
      <c r="AJ476" s="111">
        <f>'Supply planning data'!AL474</f>
        <v>0</v>
      </c>
      <c r="AK476" s="111">
        <f>'Supply planning data'!AM474</f>
        <v>0</v>
      </c>
      <c r="AL476" s="111">
        <f>'Supply planning data'!AN474</f>
        <v>0</v>
      </c>
      <c r="AM476" s="327" t="str">
        <f>'Supply planning data'!AO474</f>
        <v/>
      </c>
    </row>
    <row r="477" spans="1:39" hidden="1" x14ac:dyDescent="0.25">
      <c r="A477" s="109" t="str">
        <f>'Supply planning data'!C475</f>
        <v/>
      </c>
      <c r="B477" s="298">
        <f>'Supply planning data'!D475</f>
        <v>45139</v>
      </c>
      <c r="C477" s="105" t="str">
        <f>'Supply planning data'!E475</f>
        <v>No</v>
      </c>
      <c r="D477" s="105">
        <f>'Supply planning data'!F475</f>
        <v>0</v>
      </c>
      <c r="E477" s="320">
        <f>'Supply planning data'!G475</f>
        <v>0</v>
      </c>
      <c r="F477" s="320">
        <f>'Supply planning data'!H475</f>
        <v>0</v>
      </c>
      <c r="G477" s="320">
        <f>'Supply planning data'!I475</f>
        <v>0</v>
      </c>
      <c r="H477" s="105">
        <f>'Supply planning data'!J475</f>
        <v>0</v>
      </c>
      <c r="I477" s="320">
        <f>'Supply planning data'!K475</f>
        <v>0</v>
      </c>
      <c r="J477" s="177" t="str">
        <f>'Supply planning data'!L475</f>
        <v/>
      </c>
      <c r="K477" s="105">
        <f>'Supply planning data'!M475</f>
        <v>0</v>
      </c>
      <c r="L477" s="321">
        <f>'Supply planning data'!N475+'Supply planning data'!P475</f>
        <v>0</v>
      </c>
      <c r="M477" s="342">
        <f>'Supply planning data'!O475</f>
        <v>0</v>
      </c>
      <c r="N477" s="321">
        <f>'Supply planning data'!P475</f>
        <v>0</v>
      </c>
      <c r="O477" s="342">
        <f>'Supply planning data'!Q475</f>
        <v>0</v>
      </c>
      <c r="P477" s="111">
        <f>'Supply planning data'!R475</f>
        <v>0</v>
      </c>
      <c r="Q477" s="111">
        <f>'Supply planning data'!S475</f>
        <v>0</v>
      </c>
      <c r="R477" s="111">
        <f>'Supply planning data'!T475</f>
        <v>0</v>
      </c>
      <c r="S477" s="111">
        <f>'Supply planning data'!U475</f>
        <v>0</v>
      </c>
      <c r="T477" s="111">
        <f>'Supply planning data'!V475</f>
        <v>0</v>
      </c>
      <c r="U477" s="327" t="str">
        <f>'Supply planning data'!W475</f>
        <v/>
      </c>
      <c r="V477" s="111">
        <f>'Supply planning data'!X475</f>
        <v>0</v>
      </c>
      <c r="W477" s="321">
        <f>'Supply planning data'!Y475</f>
        <v>0</v>
      </c>
      <c r="X477" s="329">
        <f>'Supply planning data'!Z475</f>
        <v>0</v>
      </c>
      <c r="Y477" s="111">
        <f>'Supply planning data'!AA475</f>
        <v>0</v>
      </c>
      <c r="Z477" s="111">
        <f>'Supply planning data'!AB475</f>
        <v>0</v>
      </c>
      <c r="AA477" s="111">
        <f>'Supply planning data'!AC475</f>
        <v>0</v>
      </c>
      <c r="AB477" s="111">
        <f>'Supply planning data'!AD475</f>
        <v>0</v>
      </c>
      <c r="AC477" s="111">
        <f>'Supply planning data'!AE475</f>
        <v>0</v>
      </c>
      <c r="AD477" s="327" t="str">
        <f>'Supply planning data'!AF475</f>
        <v/>
      </c>
      <c r="AE477" s="111">
        <f>'Supply planning data'!AG475</f>
        <v>0</v>
      </c>
      <c r="AF477" s="321">
        <f>'Supply planning data'!AH475</f>
        <v>0</v>
      </c>
      <c r="AG477" s="349">
        <f>'Supply planning data'!AI475</f>
        <v>0</v>
      </c>
      <c r="AH477" s="111">
        <f>'Supply planning data'!AJ475</f>
        <v>0</v>
      </c>
      <c r="AI477" s="111">
        <f>'Supply planning data'!AK475</f>
        <v>0</v>
      </c>
      <c r="AJ477" s="111">
        <f>'Supply planning data'!AL475</f>
        <v>0</v>
      </c>
      <c r="AK477" s="111">
        <f>'Supply planning data'!AM475</f>
        <v>0</v>
      </c>
      <c r="AL477" s="111">
        <f>'Supply planning data'!AN475</f>
        <v>0</v>
      </c>
      <c r="AM477" s="327" t="str">
        <f>'Supply planning data'!AO475</f>
        <v/>
      </c>
    </row>
    <row r="478" spans="1:39" hidden="1" x14ac:dyDescent="0.25">
      <c r="A478" s="104" t="str">
        <f>'Supply planning data'!C476</f>
        <v/>
      </c>
      <c r="B478" s="298">
        <f>'Supply planning data'!D476</f>
        <v>45139</v>
      </c>
      <c r="C478" s="105" t="str">
        <f>'Supply planning data'!E476</f>
        <v>No</v>
      </c>
      <c r="D478" s="105">
        <f>'Supply planning data'!F476</f>
        <v>0</v>
      </c>
      <c r="E478" s="320">
        <f>'Supply planning data'!G476</f>
        <v>0</v>
      </c>
      <c r="F478" s="320">
        <f>'Supply planning data'!H476</f>
        <v>0</v>
      </c>
      <c r="G478" s="320">
        <f>'Supply planning data'!I476</f>
        <v>0</v>
      </c>
      <c r="H478" s="105">
        <f>'Supply planning data'!J476</f>
        <v>0</v>
      </c>
      <c r="I478" s="320">
        <f>'Supply planning data'!K476</f>
        <v>0</v>
      </c>
      <c r="J478" s="177" t="str">
        <f>'Supply planning data'!L476</f>
        <v/>
      </c>
      <c r="K478" s="105">
        <f>'Supply planning data'!M476</f>
        <v>0</v>
      </c>
      <c r="L478" s="321">
        <f>'Supply planning data'!N476+'Supply planning data'!P476</f>
        <v>0</v>
      </c>
      <c r="M478" s="342">
        <f>'Supply planning data'!O476</f>
        <v>0</v>
      </c>
      <c r="N478" s="321">
        <f>'Supply planning data'!P476</f>
        <v>0</v>
      </c>
      <c r="O478" s="342">
        <f>'Supply planning data'!Q476</f>
        <v>0</v>
      </c>
      <c r="P478" s="111">
        <f>'Supply planning data'!R476</f>
        <v>0</v>
      </c>
      <c r="Q478" s="111">
        <f>'Supply planning data'!S476</f>
        <v>0</v>
      </c>
      <c r="R478" s="111">
        <f>'Supply planning data'!T476</f>
        <v>0</v>
      </c>
      <c r="S478" s="111">
        <f>'Supply planning data'!U476</f>
        <v>0</v>
      </c>
      <c r="T478" s="111">
        <f>'Supply planning data'!V476</f>
        <v>0</v>
      </c>
      <c r="U478" s="327" t="str">
        <f>'Supply planning data'!W476</f>
        <v/>
      </c>
      <c r="V478" s="111">
        <f>'Supply planning data'!X476</f>
        <v>0</v>
      </c>
      <c r="W478" s="321">
        <f>'Supply planning data'!Y476</f>
        <v>0</v>
      </c>
      <c r="X478" s="329">
        <f>'Supply planning data'!Z476</f>
        <v>0</v>
      </c>
      <c r="Y478" s="111">
        <f>'Supply planning data'!AA476</f>
        <v>0</v>
      </c>
      <c r="Z478" s="111">
        <f>'Supply planning data'!AB476</f>
        <v>0</v>
      </c>
      <c r="AA478" s="111">
        <f>'Supply planning data'!AC476</f>
        <v>0</v>
      </c>
      <c r="AB478" s="111">
        <f>'Supply planning data'!AD476</f>
        <v>0</v>
      </c>
      <c r="AC478" s="111">
        <f>'Supply planning data'!AE476</f>
        <v>0</v>
      </c>
      <c r="AD478" s="327" t="str">
        <f>'Supply planning data'!AF476</f>
        <v/>
      </c>
      <c r="AE478" s="111">
        <f>'Supply planning data'!AG476</f>
        <v>0</v>
      </c>
      <c r="AF478" s="321">
        <f>'Supply planning data'!AH476</f>
        <v>0</v>
      </c>
      <c r="AG478" s="349">
        <f>'Supply planning data'!AI476</f>
        <v>0</v>
      </c>
      <c r="AH478" s="111">
        <f>'Supply planning data'!AJ476</f>
        <v>0</v>
      </c>
      <c r="AI478" s="111">
        <f>'Supply planning data'!AK476</f>
        <v>0</v>
      </c>
      <c r="AJ478" s="111">
        <f>'Supply planning data'!AL476</f>
        <v>0</v>
      </c>
      <c r="AK478" s="111">
        <f>'Supply planning data'!AM476</f>
        <v>0</v>
      </c>
      <c r="AL478" s="111">
        <f>'Supply planning data'!AN476</f>
        <v>0</v>
      </c>
      <c r="AM478" s="327" t="str">
        <f>'Supply planning data'!AO476</f>
        <v/>
      </c>
    </row>
    <row r="479" spans="1:39" hidden="1" x14ac:dyDescent="0.25">
      <c r="A479" s="109" t="str">
        <f>'Supply planning data'!C477</f>
        <v/>
      </c>
      <c r="B479" s="298">
        <f>'Supply planning data'!D477</f>
        <v>45139</v>
      </c>
      <c r="C479" s="105" t="str">
        <f>'Supply planning data'!E477</f>
        <v>No</v>
      </c>
      <c r="D479" s="105">
        <f>'Supply planning data'!F477</f>
        <v>0</v>
      </c>
      <c r="E479" s="320">
        <f>'Supply planning data'!G477</f>
        <v>0</v>
      </c>
      <c r="F479" s="320">
        <f>'Supply planning data'!H477</f>
        <v>0</v>
      </c>
      <c r="G479" s="320">
        <f>'Supply planning data'!I477</f>
        <v>0</v>
      </c>
      <c r="H479" s="105">
        <f>'Supply planning data'!J477</f>
        <v>0</v>
      </c>
      <c r="I479" s="320">
        <f>'Supply planning data'!K477</f>
        <v>0</v>
      </c>
      <c r="J479" s="177" t="str">
        <f>'Supply planning data'!L477</f>
        <v/>
      </c>
      <c r="K479" s="105">
        <f>'Supply planning data'!M477</f>
        <v>0</v>
      </c>
      <c r="L479" s="321">
        <f>'Supply planning data'!N477+'Supply planning data'!P477</f>
        <v>0</v>
      </c>
      <c r="M479" s="342">
        <f>'Supply planning data'!O477</f>
        <v>0</v>
      </c>
      <c r="N479" s="321">
        <f>'Supply planning data'!P477</f>
        <v>0</v>
      </c>
      <c r="O479" s="342">
        <f>'Supply planning data'!Q477</f>
        <v>0</v>
      </c>
      <c r="P479" s="111">
        <f>'Supply planning data'!R477</f>
        <v>0</v>
      </c>
      <c r="Q479" s="111">
        <f>'Supply planning data'!S477</f>
        <v>0</v>
      </c>
      <c r="R479" s="111">
        <f>'Supply planning data'!T477</f>
        <v>0</v>
      </c>
      <c r="S479" s="111">
        <f>'Supply planning data'!U477</f>
        <v>0</v>
      </c>
      <c r="T479" s="111">
        <f>'Supply planning data'!V477</f>
        <v>0</v>
      </c>
      <c r="U479" s="327" t="str">
        <f>'Supply planning data'!W477</f>
        <v/>
      </c>
      <c r="V479" s="111">
        <f>'Supply planning data'!X477</f>
        <v>0</v>
      </c>
      <c r="W479" s="321">
        <f>'Supply planning data'!Y477</f>
        <v>0</v>
      </c>
      <c r="X479" s="329">
        <f>'Supply planning data'!Z477</f>
        <v>0</v>
      </c>
      <c r="Y479" s="111">
        <f>'Supply planning data'!AA477</f>
        <v>0</v>
      </c>
      <c r="Z479" s="111">
        <f>'Supply planning data'!AB477</f>
        <v>0</v>
      </c>
      <c r="AA479" s="111">
        <f>'Supply planning data'!AC477</f>
        <v>0</v>
      </c>
      <c r="AB479" s="111">
        <f>'Supply planning data'!AD477</f>
        <v>0</v>
      </c>
      <c r="AC479" s="111">
        <f>'Supply planning data'!AE477</f>
        <v>0</v>
      </c>
      <c r="AD479" s="327" t="str">
        <f>'Supply planning data'!AF477</f>
        <v/>
      </c>
      <c r="AE479" s="111">
        <f>'Supply planning data'!AG477</f>
        <v>0</v>
      </c>
      <c r="AF479" s="321">
        <f>'Supply planning data'!AH477</f>
        <v>0</v>
      </c>
      <c r="AG479" s="349">
        <f>'Supply planning data'!AI477</f>
        <v>0</v>
      </c>
      <c r="AH479" s="111">
        <f>'Supply planning data'!AJ477</f>
        <v>0</v>
      </c>
      <c r="AI479" s="111">
        <f>'Supply planning data'!AK477</f>
        <v>0</v>
      </c>
      <c r="AJ479" s="111">
        <f>'Supply planning data'!AL477</f>
        <v>0</v>
      </c>
      <c r="AK479" s="111">
        <f>'Supply planning data'!AM477</f>
        <v>0</v>
      </c>
      <c r="AL479" s="111">
        <f>'Supply planning data'!AN477</f>
        <v>0</v>
      </c>
      <c r="AM479" s="327" t="str">
        <f>'Supply planning data'!AO477</f>
        <v/>
      </c>
    </row>
    <row r="480" spans="1:39" hidden="1" x14ac:dyDescent="0.25">
      <c r="A480" s="104" t="str">
        <f>'Supply planning data'!C478</f>
        <v/>
      </c>
      <c r="B480" s="298">
        <f>'Supply planning data'!D478</f>
        <v>45139</v>
      </c>
      <c r="C480" s="105" t="str">
        <f>'Supply planning data'!E478</f>
        <v>No</v>
      </c>
      <c r="D480" s="105">
        <f>'Supply planning data'!F478</f>
        <v>0</v>
      </c>
      <c r="E480" s="320">
        <f>'Supply planning data'!G478</f>
        <v>0</v>
      </c>
      <c r="F480" s="320">
        <f>'Supply planning data'!H478</f>
        <v>0</v>
      </c>
      <c r="G480" s="320">
        <f>'Supply planning data'!I478</f>
        <v>0</v>
      </c>
      <c r="H480" s="105">
        <f>'Supply planning data'!J478</f>
        <v>0</v>
      </c>
      <c r="I480" s="320">
        <f>'Supply planning data'!K478</f>
        <v>0</v>
      </c>
      <c r="J480" s="177" t="str">
        <f>'Supply planning data'!L478</f>
        <v/>
      </c>
      <c r="K480" s="105">
        <f>'Supply planning data'!M478</f>
        <v>0</v>
      </c>
      <c r="L480" s="321">
        <f>'Supply planning data'!N478+'Supply planning data'!P478</f>
        <v>0</v>
      </c>
      <c r="M480" s="342">
        <f>'Supply planning data'!O478</f>
        <v>0</v>
      </c>
      <c r="N480" s="321">
        <f>'Supply planning data'!P478</f>
        <v>0</v>
      </c>
      <c r="O480" s="342">
        <f>'Supply planning data'!Q478</f>
        <v>0</v>
      </c>
      <c r="P480" s="111">
        <f>'Supply planning data'!R478</f>
        <v>0</v>
      </c>
      <c r="Q480" s="111">
        <f>'Supply planning data'!S478</f>
        <v>0</v>
      </c>
      <c r="R480" s="111">
        <f>'Supply planning data'!T478</f>
        <v>0</v>
      </c>
      <c r="S480" s="111">
        <f>'Supply planning data'!U478</f>
        <v>0</v>
      </c>
      <c r="T480" s="111">
        <f>'Supply planning data'!V478</f>
        <v>0</v>
      </c>
      <c r="U480" s="327" t="str">
        <f>'Supply planning data'!W478</f>
        <v/>
      </c>
      <c r="V480" s="111">
        <f>'Supply planning data'!X478</f>
        <v>0</v>
      </c>
      <c r="W480" s="321">
        <f>'Supply planning data'!Y478</f>
        <v>0</v>
      </c>
      <c r="X480" s="329">
        <f>'Supply planning data'!Z478</f>
        <v>0</v>
      </c>
      <c r="Y480" s="111">
        <f>'Supply planning data'!AA478</f>
        <v>0</v>
      </c>
      <c r="Z480" s="111">
        <f>'Supply planning data'!AB478</f>
        <v>0</v>
      </c>
      <c r="AA480" s="111">
        <f>'Supply planning data'!AC478</f>
        <v>0</v>
      </c>
      <c r="AB480" s="111">
        <f>'Supply planning data'!AD478</f>
        <v>0</v>
      </c>
      <c r="AC480" s="111">
        <f>'Supply planning data'!AE478</f>
        <v>0</v>
      </c>
      <c r="AD480" s="327" t="str">
        <f>'Supply planning data'!AF478</f>
        <v/>
      </c>
      <c r="AE480" s="111">
        <f>'Supply planning data'!AG478</f>
        <v>0</v>
      </c>
      <c r="AF480" s="321">
        <f>'Supply planning data'!AH478</f>
        <v>0</v>
      </c>
      <c r="AG480" s="349">
        <f>'Supply planning data'!AI478</f>
        <v>0</v>
      </c>
      <c r="AH480" s="111">
        <f>'Supply planning data'!AJ478</f>
        <v>0</v>
      </c>
      <c r="AI480" s="111">
        <f>'Supply planning data'!AK478</f>
        <v>0</v>
      </c>
      <c r="AJ480" s="111">
        <f>'Supply planning data'!AL478</f>
        <v>0</v>
      </c>
      <c r="AK480" s="111">
        <f>'Supply planning data'!AM478</f>
        <v>0</v>
      </c>
      <c r="AL480" s="111">
        <f>'Supply planning data'!AN478</f>
        <v>0</v>
      </c>
      <c r="AM480" s="327" t="str">
        <f>'Supply planning data'!AO478</f>
        <v/>
      </c>
    </row>
    <row r="481" spans="1:39" hidden="1" x14ac:dyDescent="0.25">
      <c r="A481" s="109" t="str">
        <f>'Supply planning data'!C479</f>
        <v/>
      </c>
      <c r="B481" s="298">
        <f>'Supply planning data'!D479</f>
        <v>45139</v>
      </c>
      <c r="C481" s="105" t="str">
        <f>'Supply planning data'!E479</f>
        <v>No</v>
      </c>
      <c r="D481" s="105">
        <f>'Supply planning data'!F479</f>
        <v>0</v>
      </c>
      <c r="E481" s="320">
        <f>'Supply planning data'!G479</f>
        <v>0</v>
      </c>
      <c r="F481" s="320">
        <f>'Supply planning data'!H479</f>
        <v>0</v>
      </c>
      <c r="G481" s="320">
        <f>'Supply planning data'!I479</f>
        <v>0</v>
      </c>
      <c r="H481" s="105">
        <f>'Supply planning data'!J479</f>
        <v>0</v>
      </c>
      <c r="I481" s="320">
        <f>'Supply planning data'!K479</f>
        <v>0</v>
      </c>
      <c r="J481" s="177" t="str">
        <f>'Supply planning data'!L479</f>
        <v/>
      </c>
      <c r="K481" s="105">
        <f>'Supply planning data'!M479</f>
        <v>0</v>
      </c>
      <c r="L481" s="321">
        <f>'Supply planning data'!N479+'Supply planning data'!P479</f>
        <v>0</v>
      </c>
      <c r="M481" s="342">
        <f>'Supply planning data'!O479</f>
        <v>0</v>
      </c>
      <c r="N481" s="321">
        <f>'Supply planning data'!P479</f>
        <v>0</v>
      </c>
      <c r="O481" s="342">
        <f>'Supply planning data'!Q479</f>
        <v>0</v>
      </c>
      <c r="P481" s="111">
        <f>'Supply planning data'!R479</f>
        <v>0</v>
      </c>
      <c r="Q481" s="111">
        <f>'Supply planning data'!S479</f>
        <v>0</v>
      </c>
      <c r="R481" s="111">
        <f>'Supply planning data'!T479</f>
        <v>0</v>
      </c>
      <c r="S481" s="111">
        <f>'Supply planning data'!U479</f>
        <v>0</v>
      </c>
      <c r="T481" s="111">
        <f>'Supply planning data'!V479</f>
        <v>0</v>
      </c>
      <c r="U481" s="327" t="str">
        <f>'Supply planning data'!W479</f>
        <v/>
      </c>
      <c r="V481" s="111">
        <f>'Supply planning data'!X479</f>
        <v>0</v>
      </c>
      <c r="W481" s="321">
        <f>'Supply planning data'!Y479</f>
        <v>0</v>
      </c>
      <c r="X481" s="329">
        <f>'Supply planning data'!Z479</f>
        <v>0</v>
      </c>
      <c r="Y481" s="111">
        <f>'Supply planning data'!AA479</f>
        <v>0</v>
      </c>
      <c r="Z481" s="111">
        <f>'Supply planning data'!AB479</f>
        <v>0</v>
      </c>
      <c r="AA481" s="111">
        <f>'Supply planning data'!AC479</f>
        <v>0</v>
      </c>
      <c r="AB481" s="111">
        <f>'Supply planning data'!AD479</f>
        <v>0</v>
      </c>
      <c r="AC481" s="111">
        <f>'Supply planning data'!AE479</f>
        <v>0</v>
      </c>
      <c r="AD481" s="327" t="str">
        <f>'Supply planning data'!AF479</f>
        <v/>
      </c>
      <c r="AE481" s="111">
        <f>'Supply planning data'!AG479</f>
        <v>0</v>
      </c>
      <c r="AF481" s="321">
        <f>'Supply planning data'!AH479</f>
        <v>0</v>
      </c>
      <c r="AG481" s="349">
        <f>'Supply planning data'!AI479</f>
        <v>0</v>
      </c>
      <c r="AH481" s="111">
        <f>'Supply planning data'!AJ479</f>
        <v>0</v>
      </c>
      <c r="AI481" s="111">
        <f>'Supply planning data'!AK479</f>
        <v>0</v>
      </c>
      <c r="AJ481" s="111">
        <f>'Supply planning data'!AL479</f>
        <v>0</v>
      </c>
      <c r="AK481" s="111">
        <f>'Supply planning data'!AM479</f>
        <v>0</v>
      </c>
      <c r="AL481" s="111">
        <f>'Supply planning data'!AN479</f>
        <v>0</v>
      </c>
      <c r="AM481" s="327" t="str">
        <f>'Supply planning data'!AO479</f>
        <v/>
      </c>
    </row>
    <row r="482" spans="1:39" hidden="1" x14ac:dyDescent="0.25">
      <c r="A482" s="104" t="str">
        <f>'Supply planning data'!C480</f>
        <v/>
      </c>
      <c r="B482" s="298">
        <f>'Supply planning data'!D480</f>
        <v>45139</v>
      </c>
      <c r="C482" s="105" t="str">
        <f>'Supply planning data'!E480</f>
        <v>No</v>
      </c>
      <c r="D482" s="105">
        <f>'Supply planning data'!F480</f>
        <v>0</v>
      </c>
      <c r="E482" s="320">
        <f>'Supply planning data'!G480</f>
        <v>0</v>
      </c>
      <c r="F482" s="320">
        <f>'Supply planning data'!H480</f>
        <v>0</v>
      </c>
      <c r="G482" s="320">
        <f>'Supply planning data'!I480</f>
        <v>0</v>
      </c>
      <c r="H482" s="105">
        <f>'Supply planning data'!J480</f>
        <v>0</v>
      </c>
      <c r="I482" s="320">
        <f>'Supply planning data'!K480</f>
        <v>0</v>
      </c>
      <c r="J482" s="177" t="str">
        <f>'Supply planning data'!L480</f>
        <v/>
      </c>
      <c r="K482" s="105">
        <f>'Supply planning data'!M480</f>
        <v>0</v>
      </c>
      <c r="L482" s="321">
        <f>'Supply planning data'!N480+'Supply planning data'!P480</f>
        <v>0</v>
      </c>
      <c r="M482" s="342">
        <f>'Supply planning data'!O480</f>
        <v>0</v>
      </c>
      <c r="N482" s="321">
        <f>'Supply planning data'!P480</f>
        <v>0</v>
      </c>
      <c r="O482" s="342">
        <f>'Supply planning data'!Q480</f>
        <v>0</v>
      </c>
      <c r="P482" s="111">
        <f>'Supply planning data'!R480</f>
        <v>0</v>
      </c>
      <c r="Q482" s="111">
        <f>'Supply planning data'!S480</f>
        <v>0</v>
      </c>
      <c r="R482" s="111">
        <f>'Supply planning data'!T480</f>
        <v>0</v>
      </c>
      <c r="S482" s="111">
        <f>'Supply planning data'!U480</f>
        <v>0</v>
      </c>
      <c r="T482" s="111">
        <f>'Supply planning data'!V480</f>
        <v>0</v>
      </c>
      <c r="U482" s="327" t="str">
        <f>'Supply planning data'!W480</f>
        <v/>
      </c>
      <c r="V482" s="111">
        <f>'Supply planning data'!X480</f>
        <v>0</v>
      </c>
      <c r="W482" s="321">
        <f>'Supply planning data'!Y480</f>
        <v>0</v>
      </c>
      <c r="X482" s="329">
        <f>'Supply planning data'!Z480</f>
        <v>0</v>
      </c>
      <c r="Y482" s="111">
        <f>'Supply planning data'!AA480</f>
        <v>0</v>
      </c>
      <c r="Z482" s="111">
        <f>'Supply planning data'!AB480</f>
        <v>0</v>
      </c>
      <c r="AA482" s="111">
        <f>'Supply planning data'!AC480</f>
        <v>0</v>
      </c>
      <c r="AB482" s="111">
        <f>'Supply planning data'!AD480</f>
        <v>0</v>
      </c>
      <c r="AC482" s="111">
        <f>'Supply planning data'!AE480</f>
        <v>0</v>
      </c>
      <c r="AD482" s="327" t="str">
        <f>'Supply planning data'!AF480</f>
        <v/>
      </c>
      <c r="AE482" s="111">
        <f>'Supply planning data'!AG480</f>
        <v>0</v>
      </c>
      <c r="AF482" s="321">
        <f>'Supply planning data'!AH480</f>
        <v>0</v>
      </c>
      <c r="AG482" s="349">
        <f>'Supply planning data'!AI480</f>
        <v>0</v>
      </c>
      <c r="AH482" s="111">
        <f>'Supply planning data'!AJ480</f>
        <v>0</v>
      </c>
      <c r="AI482" s="111">
        <f>'Supply planning data'!AK480</f>
        <v>0</v>
      </c>
      <c r="AJ482" s="111">
        <f>'Supply planning data'!AL480</f>
        <v>0</v>
      </c>
      <c r="AK482" s="111">
        <f>'Supply planning data'!AM480</f>
        <v>0</v>
      </c>
      <c r="AL482" s="111">
        <f>'Supply planning data'!AN480</f>
        <v>0</v>
      </c>
      <c r="AM482" s="327" t="str">
        <f>'Supply planning data'!AO480</f>
        <v/>
      </c>
    </row>
    <row r="483" spans="1:39" hidden="1" x14ac:dyDescent="0.25">
      <c r="A483" s="109" t="str">
        <f>'Supply planning data'!C481</f>
        <v/>
      </c>
      <c r="B483" s="298">
        <f>'Supply planning data'!D481</f>
        <v>45139</v>
      </c>
      <c r="C483" s="105" t="str">
        <f>'Supply planning data'!E481</f>
        <v>No</v>
      </c>
      <c r="D483" s="105">
        <f>'Supply planning data'!F481</f>
        <v>0</v>
      </c>
      <c r="E483" s="320">
        <f>'Supply planning data'!G481</f>
        <v>0</v>
      </c>
      <c r="F483" s="320">
        <f>'Supply planning data'!H481</f>
        <v>0</v>
      </c>
      <c r="G483" s="320">
        <f>'Supply planning data'!I481</f>
        <v>0</v>
      </c>
      <c r="H483" s="105">
        <f>'Supply planning data'!J481</f>
        <v>0</v>
      </c>
      <c r="I483" s="320">
        <f>'Supply planning data'!K481</f>
        <v>0</v>
      </c>
      <c r="J483" s="177" t="str">
        <f>'Supply planning data'!L481</f>
        <v/>
      </c>
      <c r="K483" s="105">
        <f>'Supply planning data'!M481</f>
        <v>0</v>
      </c>
      <c r="L483" s="321">
        <f>'Supply planning data'!N481+'Supply planning data'!P481</f>
        <v>0</v>
      </c>
      <c r="M483" s="342">
        <f>'Supply planning data'!O481</f>
        <v>0</v>
      </c>
      <c r="N483" s="321">
        <f>'Supply planning data'!P481</f>
        <v>0</v>
      </c>
      <c r="O483" s="342">
        <f>'Supply planning data'!Q481</f>
        <v>0</v>
      </c>
      <c r="P483" s="111">
        <f>'Supply planning data'!R481</f>
        <v>0</v>
      </c>
      <c r="Q483" s="111">
        <f>'Supply planning data'!S481</f>
        <v>0</v>
      </c>
      <c r="R483" s="111">
        <f>'Supply planning data'!T481</f>
        <v>0</v>
      </c>
      <c r="S483" s="111">
        <f>'Supply planning data'!U481</f>
        <v>0</v>
      </c>
      <c r="T483" s="111">
        <f>'Supply planning data'!V481</f>
        <v>0</v>
      </c>
      <c r="U483" s="327" t="str">
        <f>'Supply planning data'!W481</f>
        <v/>
      </c>
      <c r="V483" s="111">
        <f>'Supply planning data'!X481</f>
        <v>0</v>
      </c>
      <c r="W483" s="321">
        <f>'Supply planning data'!Y481</f>
        <v>0</v>
      </c>
      <c r="X483" s="329">
        <f>'Supply planning data'!Z481</f>
        <v>0</v>
      </c>
      <c r="Y483" s="111">
        <f>'Supply planning data'!AA481</f>
        <v>0</v>
      </c>
      <c r="Z483" s="111">
        <f>'Supply planning data'!AB481</f>
        <v>0</v>
      </c>
      <c r="AA483" s="111">
        <f>'Supply planning data'!AC481</f>
        <v>0</v>
      </c>
      <c r="AB483" s="111">
        <f>'Supply planning data'!AD481</f>
        <v>0</v>
      </c>
      <c r="AC483" s="111">
        <f>'Supply planning data'!AE481</f>
        <v>0</v>
      </c>
      <c r="AD483" s="327" t="str">
        <f>'Supply planning data'!AF481</f>
        <v/>
      </c>
      <c r="AE483" s="111">
        <f>'Supply planning data'!AG481</f>
        <v>0</v>
      </c>
      <c r="AF483" s="321">
        <f>'Supply planning data'!AH481</f>
        <v>0</v>
      </c>
      <c r="AG483" s="349">
        <f>'Supply planning data'!AI481</f>
        <v>0</v>
      </c>
      <c r="AH483" s="111">
        <f>'Supply planning data'!AJ481</f>
        <v>0</v>
      </c>
      <c r="AI483" s="111">
        <f>'Supply planning data'!AK481</f>
        <v>0</v>
      </c>
      <c r="AJ483" s="111">
        <f>'Supply planning data'!AL481</f>
        <v>0</v>
      </c>
      <c r="AK483" s="111">
        <f>'Supply planning data'!AM481</f>
        <v>0</v>
      </c>
      <c r="AL483" s="111">
        <f>'Supply planning data'!AN481</f>
        <v>0</v>
      </c>
      <c r="AM483" s="327" t="str">
        <f>'Supply planning data'!AO481</f>
        <v/>
      </c>
    </row>
    <row r="484" spans="1:39" hidden="1" x14ac:dyDescent="0.25">
      <c r="A484" s="104" t="str">
        <f>'Supply planning data'!C482</f>
        <v/>
      </c>
      <c r="B484" s="298">
        <f>'Supply planning data'!D482</f>
        <v>45139</v>
      </c>
      <c r="C484" s="105" t="str">
        <f>'Supply planning data'!E482</f>
        <v>No</v>
      </c>
      <c r="D484" s="105">
        <f>'Supply planning data'!F482</f>
        <v>0</v>
      </c>
      <c r="E484" s="320">
        <f>'Supply planning data'!G482</f>
        <v>0</v>
      </c>
      <c r="F484" s="320">
        <f>'Supply planning data'!H482</f>
        <v>0</v>
      </c>
      <c r="G484" s="320">
        <f>'Supply planning data'!I482</f>
        <v>0</v>
      </c>
      <c r="H484" s="105">
        <f>'Supply planning data'!J482</f>
        <v>0</v>
      </c>
      <c r="I484" s="320">
        <f>'Supply planning data'!K482</f>
        <v>0</v>
      </c>
      <c r="J484" s="177" t="str">
        <f>'Supply planning data'!L482</f>
        <v/>
      </c>
      <c r="K484" s="105">
        <f>'Supply planning data'!M482</f>
        <v>0</v>
      </c>
      <c r="L484" s="321">
        <f>'Supply planning data'!N482+'Supply planning data'!P482</f>
        <v>0</v>
      </c>
      <c r="M484" s="342">
        <f>'Supply planning data'!O482</f>
        <v>0</v>
      </c>
      <c r="N484" s="321">
        <f>'Supply planning data'!P482</f>
        <v>0</v>
      </c>
      <c r="O484" s="342">
        <f>'Supply planning data'!Q482</f>
        <v>0</v>
      </c>
      <c r="P484" s="111">
        <f>'Supply planning data'!R482</f>
        <v>0</v>
      </c>
      <c r="Q484" s="111">
        <f>'Supply planning data'!S482</f>
        <v>0</v>
      </c>
      <c r="R484" s="111">
        <f>'Supply planning data'!T482</f>
        <v>0</v>
      </c>
      <c r="S484" s="111">
        <f>'Supply planning data'!U482</f>
        <v>0</v>
      </c>
      <c r="T484" s="111">
        <f>'Supply planning data'!V482</f>
        <v>0</v>
      </c>
      <c r="U484" s="327" t="str">
        <f>'Supply planning data'!W482</f>
        <v/>
      </c>
      <c r="V484" s="111">
        <f>'Supply planning data'!X482</f>
        <v>0</v>
      </c>
      <c r="W484" s="321">
        <f>'Supply planning data'!Y482</f>
        <v>0</v>
      </c>
      <c r="X484" s="329">
        <f>'Supply planning data'!Z482</f>
        <v>0</v>
      </c>
      <c r="Y484" s="111">
        <f>'Supply planning data'!AA482</f>
        <v>0</v>
      </c>
      <c r="Z484" s="111">
        <f>'Supply planning data'!AB482</f>
        <v>0</v>
      </c>
      <c r="AA484" s="111">
        <f>'Supply planning data'!AC482</f>
        <v>0</v>
      </c>
      <c r="AB484" s="111">
        <f>'Supply planning data'!AD482</f>
        <v>0</v>
      </c>
      <c r="AC484" s="111">
        <f>'Supply planning data'!AE482</f>
        <v>0</v>
      </c>
      <c r="AD484" s="327" t="str">
        <f>'Supply planning data'!AF482</f>
        <v/>
      </c>
      <c r="AE484" s="111">
        <f>'Supply planning data'!AG482</f>
        <v>0</v>
      </c>
      <c r="AF484" s="321">
        <f>'Supply planning data'!AH482</f>
        <v>0</v>
      </c>
      <c r="AG484" s="349">
        <f>'Supply planning data'!AI482</f>
        <v>0</v>
      </c>
      <c r="AH484" s="111">
        <f>'Supply planning data'!AJ482</f>
        <v>0</v>
      </c>
      <c r="AI484" s="111">
        <f>'Supply planning data'!AK482</f>
        <v>0</v>
      </c>
      <c r="AJ484" s="111">
        <f>'Supply planning data'!AL482</f>
        <v>0</v>
      </c>
      <c r="AK484" s="111">
        <f>'Supply planning data'!AM482</f>
        <v>0</v>
      </c>
      <c r="AL484" s="111">
        <f>'Supply planning data'!AN482</f>
        <v>0</v>
      </c>
      <c r="AM484" s="327" t="str">
        <f>'Supply planning data'!AO482</f>
        <v/>
      </c>
    </row>
    <row r="485" spans="1:39" hidden="1" x14ac:dyDescent="0.25">
      <c r="A485" s="109" t="str">
        <f>'Supply planning data'!C483</f>
        <v/>
      </c>
      <c r="B485" s="298">
        <f>'Supply planning data'!D483</f>
        <v>45139</v>
      </c>
      <c r="C485" s="105" t="str">
        <f>'Supply planning data'!E483</f>
        <v>No</v>
      </c>
      <c r="D485" s="105">
        <f>'Supply planning data'!F483</f>
        <v>0</v>
      </c>
      <c r="E485" s="320">
        <f>'Supply planning data'!G483</f>
        <v>0</v>
      </c>
      <c r="F485" s="320">
        <f>'Supply planning data'!H483</f>
        <v>0</v>
      </c>
      <c r="G485" s="320">
        <f>'Supply planning data'!I483</f>
        <v>0</v>
      </c>
      <c r="H485" s="105">
        <f>'Supply planning data'!J483</f>
        <v>0</v>
      </c>
      <c r="I485" s="320">
        <f>'Supply planning data'!K483</f>
        <v>0</v>
      </c>
      <c r="J485" s="177" t="str">
        <f>'Supply planning data'!L483</f>
        <v/>
      </c>
      <c r="K485" s="105">
        <f>'Supply planning data'!M483</f>
        <v>0</v>
      </c>
      <c r="L485" s="321">
        <f>'Supply planning data'!N483+'Supply planning data'!P483</f>
        <v>0</v>
      </c>
      <c r="M485" s="342">
        <f>'Supply planning data'!O483</f>
        <v>0</v>
      </c>
      <c r="N485" s="321">
        <f>'Supply planning data'!P483</f>
        <v>0</v>
      </c>
      <c r="O485" s="342">
        <f>'Supply planning data'!Q483</f>
        <v>0</v>
      </c>
      <c r="P485" s="111">
        <f>'Supply planning data'!R483</f>
        <v>0</v>
      </c>
      <c r="Q485" s="111">
        <f>'Supply planning data'!S483</f>
        <v>0</v>
      </c>
      <c r="R485" s="111">
        <f>'Supply planning data'!T483</f>
        <v>0</v>
      </c>
      <c r="S485" s="111">
        <f>'Supply planning data'!U483</f>
        <v>0</v>
      </c>
      <c r="T485" s="111">
        <f>'Supply planning data'!V483</f>
        <v>0</v>
      </c>
      <c r="U485" s="327" t="str">
        <f>'Supply planning data'!W483</f>
        <v/>
      </c>
      <c r="V485" s="111">
        <f>'Supply planning data'!X483</f>
        <v>0</v>
      </c>
      <c r="W485" s="321">
        <f>'Supply planning data'!Y483</f>
        <v>0</v>
      </c>
      <c r="X485" s="329">
        <f>'Supply planning data'!Z483</f>
        <v>0</v>
      </c>
      <c r="Y485" s="111">
        <f>'Supply planning data'!AA483</f>
        <v>0</v>
      </c>
      <c r="Z485" s="111">
        <f>'Supply planning data'!AB483</f>
        <v>0</v>
      </c>
      <c r="AA485" s="111">
        <f>'Supply planning data'!AC483</f>
        <v>0</v>
      </c>
      <c r="AB485" s="111">
        <f>'Supply planning data'!AD483</f>
        <v>0</v>
      </c>
      <c r="AC485" s="111">
        <f>'Supply planning data'!AE483</f>
        <v>0</v>
      </c>
      <c r="AD485" s="327" t="str">
        <f>'Supply planning data'!AF483</f>
        <v/>
      </c>
      <c r="AE485" s="111">
        <f>'Supply planning data'!AG483</f>
        <v>0</v>
      </c>
      <c r="AF485" s="321">
        <f>'Supply planning data'!AH483</f>
        <v>0</v>
      </c>
      <c r="AG485" s="349">
        <f>'Supply planning data'!AI483</f>
        <v>0</v>
      </c>
      <c r="AH485" s="111">
        <f>'Supply planning data'!AJ483</f>
        <v>0</v>
      </c>
      <c r="AI485" s="111">
        <f>'Supply planning data'!AK483</f>
        <v>0</v>
      </c>
      <c r="AJ485" s="111">
        <f>'Supply planning data'!AL483</f>
        <v>0</v>
      </c>
      <c r="AK485" s="111">
        <f>'Supply planning data'!AM483</f>
        <v>0</v>
      </c>
      <c r="AL485" s="111">
        <f>'Supply planning data'!AN483</f>
        <v>0</v>
      </c>
      <c r="AM485" s="327" t="str">
        <f>'Supply planning data'!AO483</f>
        <v/>
      </c>
    </row>
    <row r="486" spans="1:39" hidden="1" x14ac:dyDescent="0.25">
      <c r="A486" s="104" t="str">
        <f>'Supply planning data'!C484</f>
        <v/>
      </c>
      <c r="B486" s="298">
        <f>'Supply planning data'!D484</f>
        <v>45139</v>
      </c>
      <c r="C486" s="105" t="str">
        <f>'Supply planning data'!E484</f>
        <v>No</v>
      </c>
      <c r="D486" s="105">
        <f>'Supply planning data'!F484</f>
        <v>0</v>
      </c>
      <c r="E486" s="320">
        <f>'Supply planning data'!G484</f>
        <v>0</v>
      </c>
      <c r="F486" s="320">
        <f>'Supply planning data'!H484</f>
        <v>0</v>
      </c>
      <c r="G486" s="320">
        <f>'Supply planning data'!I484</f>
        <v>0</v>
      </c>
      <c r="H486" s="105">
        <f>'Supply planning data'!J484</f>
        <v>0</v>
      </c>
      <c r="I486" s="320">
        <f>'Supply planning data'!K484</f>
        <v>0</v>
      </c>
      <c r="J486" s="177" t="str">
        <f>'Supply planning data'!L484</f>
        <v/>
      </c>
      <c r="K486" s="105">
        <f>'Supply planning data'!M484</f>
        <v>0</v>
      </c>
      <c r="L486" s="321">
        <f>'Supply planning data'!N484+'Supply planning data'!P484</f>
        <v>0</v>
      </c>
      <c r="M486" s="342">
        <f>'Supply planning data'!O484</f>
        <v>0</v>
      </c>
      <c r="N486" s="321">
        <f>'Supply planning data'!P484</f>
        <v>0</v>
      </c>
      <c r="O486" s="342">
        <f>'Supply planning data'!Q484</f>
        <v>0</v>
      </c>
      <c r="P486" s="111">
        <f>'Supply planning data'!R484</f>
        <v>0</v>
      </c>
      <c r="Q486" s="111">
        <f>'Supply planning data'!S484</f>
        <v>0</v>
      </c>
      <c r="R486" s="111">
        <f>'Supply planning data'!T484</f>
        <v>0</v>
      </c>
      <c r="S486" s="111">
        <f>'Supply planning data'!U484</f>
        <v>0</v>
      </c>
      <c r="T486" s="111">
        <f>'Supply planning data'!V484</f>
        <v>0</v>
      </c>
      <c r="U486" s="327" t="str">
        <f>'Supply planning data'!W484</f>
        <v/>
      </c>
      <c r="V486" s="111">
        <f>'Supply planning data'!X484</f>
        <v>0</v>
      </c>
      <c r="W486" s="321">
        <f>'Supply planning data'!Y484</f>
        <v>0</v>
      </c>
      <c r="X486" s="329">
        <f>'Supply planning data'!Z484</f>
        <v>0</v>
      </c>
      <c r="Y486" s="111">
        <f>'Supply planning data'!AA484</f>
        <v>0</v>
      </c>
      <c r="Z486" s="111">
        <f>'Supply planning data'!AB484</f>
        <v>0</v>
      </c>
      <c r="AA486" s="111">
        <f>'Supply planning data'!AC484</f>
        <v>0</v>
      </c>
      <c r="AB486" s="111">
        <f>'Supply planning data'!AD484</f>
        <v>0</v>
      </c>
      <c r="AC486" s="111">
        <f>'Supply planning data'!AE484</f>
        <v>0</v>
      </c>
      <c r="AD486" s="327" t="str">
        <f>'Supply planning data'!AF484</f>
        <v/>
      </c>
      <c r="AE486" s="111">
        <f>'Supply planning data'!AG484</f>
        <v>0</v>
      </c>
      <c r="AF486" s="321">
        <f>'Supply planning data'!AH484</f>
        <v>0</v>
      </c>
      <c r="AG486" s="349">
        <f>'Supply planning data'!AI484</f>
        <v>0</v>
      </c>
      <c r="AH486" s="111">
        <f>'Supply planning data'!AJ484</f>
        <v>0</v>
      </c>
      <c r="AI486" s="111">
        <f>'Supply planning data'!AK484</f>
        <v>0</v>
      </c>
      <c r="AJ486" s="111">
        <f>'Supply planning data'!AL484</f>
        <v>0</v>
      </c>
      <c r="AK486" s="111">
        <f>'Supply planning data'!AM484</f>
        <v>0</v>
      </c>
      <c r="AL486" s="111">
        <f>'Supply planning data'!AN484</f>
        <v>0</v>
      </c>
      <c r="AM486" s="327" t="str">
        <f>'Supply planning data'!AO484</f>
        <v/>
      </c>
    </row>
    <row r="487" spans="1:39" x14ac:dyDescent="0.25">
      <c r="A487" s="90" t="str">
        <f>'Supply planning data'!C485</f>
        <v>AstraZeneca</v>
      </c>
      <c r="B487" s="296">
        <f>'Supply planning data'!D485</f>
        <v>45170</v>
      </c>
      <c r="C487" s="92" t="str">
        <f>'Supply planning data'!E485</f>
        <v>Yes</v>
      </c>
      <c r="D487" s="92">
        <f>'Supply planning data'!F485</f>
        <v>0</v>
      </c>
      <c r="E487" s="316">
        <f>'Supply planning data'!G485</f>
        <v>0</v>
      </c>
      <c r="F487" s="316">
        <f>'Supply planning data'!H485</f>
        <v>0</v>
      </c>
      <c r="G487" s="316">
        <f>'Supply planning data'!I485</f>
        <v>0</v>
      </c>
      <c r="H487" s="92">
        <f>'Supply planning data'!J485</f>
        <v>0</v>
      </c>
      <c r="I487" s="316">
        <f>'Supply planning data'!K485</f>
        <v>0</v>
      </c>
      <c r="J487" s="174" t="str">
        <f>'Supply planning data'!L485</f>
        <v/>
      </c>
      <c r="K487" s="92">
        <f>'Supply planning data'!M485</f>
        <v>0</v>
      </c>
      <c r="L487" s="316">
        <f>'Supply planning data'!N485+'Supply planning data'!P485</f>
        <v>0</v>
      </c>
      <c r="M487" s="343">
        <f>'Supply planning data'!O485</f>
        <v>0</v>
      </c>
      <c r="N487" s="316">
        <f>'Supply planning data'!P485</f>
        <v>0</v>
      </c>
      <c r="O487" s="343">
        <f>'Supply planning data'!Q485</f>
        <v>0</v>
      </c>
      <c r="P487" s="92">
        <f>'Supply planning data'!R485</f>
        <v>0</v>
      </c>
      <c r="Q487" s="92">
        <f>'Supply planning data'!S485</f>
        <v>0</v>
      </c>
      <c r="R487" s="92">
        <f>'Supply planning data'!T485</f>
        <v>0</v>
      </c>
      <c r="S487" s="92">
        <f>'Supply planning data'!U485</f>
        <v>0</v>
      </c>
      <c r="T487" s="92">
        <f>'Supply planning data'!V485</f>
        <v>0</v>
      </c>
      <c r="U487" s="324" t="str">
        <f>'Supply planning data'!W485</f>
        <v/>
      </c>
      <c r="V487" s="92">
        <f>'Supply planning data'!X485</f>
        <v>154701</v>
      </c>
      <c r="W487" s="316">
        <f>'Supply planning data'!Y485</f>
        <v>0</v>
      </c>
      <c r="X487" s="328">
        <f>'Supply planning data'!Z485</f>
        <v>0</v>
      </c>
      <c r="Y487" s="92">
        <f>'Supply planning data'!AA485</f>
        <v>0</v>
      </c>
      <c r="Z487" s="92">
        <f>'Supply planning data'!AB485</f>
        <v>0</v>
      </c>
      <c r="AA487" s="92">
        <f>'Supply planning data'!AC485</f>
        <v>0</v>
      </c>
      <c r="AB487" s="92">
        <f>'Supply planning data'!AD485</f>
        <v>0</v>
      </c>
      <c r="AC487" s="92">
        <f>'Supply planning data'!AE485</f>
        <v>154701</v>
      </c>
      <c r="AD487" s="324" t="str">
        <f>'Supply planning data'!AF485</f>
        <v/>
      </c>
      <c r="AE487" s="92">
        <f>'Supply planning data'!AG485</f>
        <v>0</v>
      </c>
      <c r="AF487" s="316">
        <f>'Supply planning data'!AH485</f>
        <v>0</v>
      </c>
      <c r="AG487" s="174">
        <f>'Supply planning data'!AI485</f>
        <v>0</v>
      </c>
      <c r="AH487" s="92">
        <f>'Supply planning data'!AJ485</f>
        <v>0</v>
      </c>
      <c r="AI487" s="92">
        <f>'Supply planning data'!AK485</f>
        <v>0</v>
      </c>
      <c r="AJ487" s="92">
        <f>'Supply planning data'!AL485</f>
        <v>0</v>
      </c>
      <c r="AK487" s="92">
        <f>'Supply planning data'!AM485</f>
        <v>0</v>
      </c>
      <c r="AL487" s="92">
        <f>'Supply planning data'!AN485</f>
        <v>0</v>
      </c>
      <c r="AM487" s="324" t="str">
        <f>'Supply planning data'!AO485</f>
        <v/>
      </c>
    </row>
    <row r="488" spans="1:39" x14ac:dyDescent="0.25">
      <c r="A488" s="90" t="str">
        <f>'Supply planning data'!C486</f>
        <v>Jansen</v>
      </c>
      <c r="B488" s="296">
        <f>'Supply planning data'!D486</f>
        <v>45170</v>
      </c>
      <c r="C488" s="92" t="str">
        <f>'Supply planning data'!E486</f>
        <v>Yes</v>
      </c>
      <c r="D488" s="92">
        <f>'Supply planning data'!F486</f>
        <v>2258747</v>
      </c>
      <c r="E488" s="316">
        <f>'Supply planning data'!G486</f>
        <v>0</v>
      </c>
      <c r="F488" s="317">
        <f>'Supply planning data'!H486</f>
        <v>0</v>
      </c>
      <c r="G488" s="317">
        <f>'Supply planning data'!I486</f>
        <v>0</v>
      </c>
      <c r="H488" s="98">
        <f>'Supply planning data'!J486</f>
        <v>0</v>
      </c>
      <c r="I488" s="317">
        <f>'Supply planning data'!K486</f>
        <v>0</v>
      </c>
      <c r="J488" s="175" t="str">
        <f>'Supply planning data'!L486</f>
        <v/>
      </c>
      <c r="K488" s="98">
        <f>'Supply planning data'!M486</f>
        <v>0</v>
      </c>
      <c r="L488" s="317">
        <f>'Supply planning data'!N486+'Supply planning data'!P486</f>
        <v>0</v>
      </c>
      <c r="M488" s="339">
        <f>'Supply planning data'!O486</f>
        <v>0</v>
      </c>
      <c r="N488" s="317">
        <f>'Supply planning data'!P486</f>
        <v>0</v>
      </c>
      <c r="O488" s="339">
        <f>'Supply planning data'!Q486</f>
        <v>0</v>
      </c>
      <c r="P488" s="98">
        <f>'Supply planning data'!R486</f>
        <v>0</v>
      </c>
      <c r="Q488" s="98">
        <f>'Supply planning data'!S486</f>
        <v>0</v>
      </c>
      <c r="R488" s="98">
        <f>'Supply planning data'!T486</f>
        <v>0</v>
      </c>
      <c r="S488" s="98">
        <f>'Supply planning data'!U486</f>
        <v>0</v>
      </c>
      <c r="T488" s="98">
        <f>'Supply planning data'!V486</f>
        <v>2258747</v>
      </c>
      <c r="U488" s="325" t="str">
        <f>'Supply planning data'!W486</f>
        <v/>
      </c>
      <c r="V488" s="98">
        <f>'Supply planning data'!X486</f>
        <v>1698747</v>
      </c>
      <c r="W488" s="317">
        <f>'Supply planning data'!Y486</f>
        <v>0</v>
      </c>
      <c r="X488" s="328">
        <f>'Supply planning data'!Z486</f>
        <v>0</v>
      </c>
      <c r="Y488" s="98">
        <f>'Supply planning data'!AA486</f>
        <v>0</v>
      </c>
      <c r="Z488" s="98">
        <f>'Supply planning data'!AB486</f>
        <v>0</v>
      </c>
      <c r="AA488" s="98">
        <f>'Supply planning data'!AC486</f>
        <v>0</v>
      </c>
      <c r="AB488" s="98">
        <f>'Supply planning data'!AD486</f>
        <v>0</v>
      </c>
      <c r="AC488" s="98">
        <f>'Supply planning data'!AE486</f>
        <v>1698747</v>
      </c>
      <c r="AD488" s="325" t="str">
        <f>'Supply planning data'!AF486</f>
        <v/>
      </c>
      <c r="AE488" s="98">
        <f>'Supply planning data'!AG486</f>
        <v>2258747</v>
      </c>
      <c r="AF488" s="317">
        <f>'Supply planning data'!AH486</f>
        <v>0</v>
      </c>
      <c r="AG488" s="175">
        <f>'Supply planning data'!AI486</f>
        <v>0</v>
      </c>
      <c r="AH488" s="98">
        <f>'Supply planning data'!AJ486</f>
        <v>0</v>
      </c>
      <c r="AI488" s="98">
        <f>'Supply planning data'!AK486</f>
        <v>0</v>
      </c>
      <c r="AJ488" s="98">
        <f>'Supply planning data'!AL486</f>
        <v>0</v>
      </c>
      <c r="AK488" s="98">
        <f>'Supply planning data'!AM486</f>
        <v>0</v>
      </c>
      <c r="AL488" s="98">
        <f>'Supply planning data'!AN486</f>
        <v>2258747</v>
      </c>
      <c r="AM488" s="325" t="str">
        <f>'Supply planning data'!AO486</f>
        <v/>
      </c>
    </row>
    <row r="489" spans="1:39" x14ac:dyDescent="0.25">
      <c r="A489" s="90" t="str">
        <f>'Supply planning data'!C487</f>
        <v>Moderna</v>
      </c>
      <c r="B489" s="296">
        <f>'Supply planning data'!D487</f>
        <v>45170</v>
      </c>
      <c r="C489" s="92" t="str">
        <f>'Supply planning data'!E487</f>
        <v>No</v>
      </c>
      <c r="D489" s="92">
        <f>'Supply planning data'!F487</f>
        <v>0</v>
      </c>
      <c r="E489" s="316">
        <f>'Supply planning data'!G487</f>
        <v>0</v>
      </c>
      <c r="F489" s="317">
        <f>'Supply planning data'!H487</f>
        <v>0</v>
      </c>
      <c r="G489" s="317">
        <f>'Supply planning data'!I487</f>
        <v>0</v>
      </c>
      <c r="H489" s="98">
        <f>'Supply planning data'!J487</f>
        <v>0</v>
      </c>
      <c r="I489" s="317">
        <f>'Supply planning data'!K487</f>
        <v>0</v>
      </c>
      <c r="J489" s="175" t="str">
        <f>'Supply planning data'!L487</f>
        <v/>
      </c>
      <c r="K489" s="98">
        <f>'Supply planning data'!M487</f>
        <v>0</v>
      </c>
      <c r="L489" s="317">
        <f>'Supply planning data'!N487+'Supply planning data'!P487</f>
        <v>0</v>
      </c>
      <c r="M489" s="339">
        <f>'Supply planning data'!O487</f>
        <v>0</v>
      </c>
      <c r="N489" s="317">
        <f>'Supply planning data'!P487</f>
        <v>0</v>
      </c>
      <c r="O489" s="339">
        <f>'Supply planning data'!Q487</f>
        <v>0</v>
      </c>
      <c r="P489" s="98">
        <f>'Supply planning data'!R487</f>
        <v>0</v>
      </c>
      <c r="Q489" s="98">
        <f>'Supply planning data'!S487</f>
        <v>0</v>
      </c>
      <c r="R489" s="98">
        <f>'Supply planning data'!T487</f>
        <v>0</v>
      </c>
      <c r="S489" s="98">
        <f>'Supply planning data'!U487</f>
        <v>0</v>
      </c>
      <c r="T489" s="98">
        <f>'Supply planning data'!V487</f>
        <v>0</v>
      </c>
      <c r="U489" s="325" t="str">
        <f>'Supply planning data'!W487</f>
        <v/>
      </c>
      <c r="V489" s="98">
        <f>'Supply planning data'!X487</f>
        <v>0</v>
      </c>
      <c r="W489" s="317">
        <f>'Supply planning data'!Y487</f>
        <v>0</v>
      </c>
      <c r="X489" s="328">
        <f>'Supply planning data'!Z487</f>
        <v>0</v>
      </c>
      <c r="Y489" s="98">
        <f>'Supply planning data'!AA487</f>
        <v>0</v>
      </c>
      <c r="Z489" s="98">
        <f>'Supply planning data'!AB487</f>
        <v>0</v>
      </c>
      <c r="AA489" s="98">
        <f>'Supply planning data'!AC487</f>
        <v>0</v>
      </c>
      <c r="AB489" s="98">
        <f>'Supply planning data'!AD487</f>
        <v>0</v>
      </c>
      <c r="AC489" s="98">
        <f>'Supply planning data'!AE487</f>
        <v>0</v>
      </c>
      <c r="AD489" s="325" t="str">
        <f>'Supply planning data'!AF487</f>
        <v/>
      </c>
      <c r="AE489" s="98">
        <f>'Supply planning data'!AG487</f>
        <v>0</v>
      </c>
      <c r="AF489" s="317">
        <f>'Supply planning data'!AH487</f>
        <v>0</v>
      </c>
      <c r="AG489" s="175">
        <f>'Supply planning data'!AI487</f>
        <v>0</v>
      </c>
      <c r="AH489" s="98">
        <f>'Supply planning data'!AJ487</f>
        <v>0</v>
      </c>
      <c r="AI489" s="98">
        <f>'Supply planning data'!AK487</f>
        <v>0</v>
      </c>
      <c r="AJ489" s="98">
        <f>'Supply planning data'!AL487</f>
        <v>0</v>
      </c>
      <c r="AK489" s="98">
        <f>'Supply planning data'!AM487</f>
        <v>0</v>
      </c>
      <c r="AL489" s="98">
        <f>'Supply planning data'!AN487</f>
        <v>0</v>
      </c>
      <c r="AM489" s="325" t="str">
        <f>'Supply planning data'!AO487</f>
        <v/>
      </c>
    </row>
    <row r="490" spans="1:39" x14ac:dyDescent="0.25">
      <c r="A490" s="90" t="str">
        <f>'Supply planning data'!C488</f>
        <v>Pfizer</v>
      </c>
      <c r="B490" s="296">
        <f>'Supply planning data'!D488</f>
        <v>45170</v>
      </c>
      <c r="C490" s="92" t="str">
        <f>'Supply planning data'!E488</f>
        <v>Yes</v>
      </c>
      <c r="D490" s="92">
        <f>'Supply planning data'!F488</f>
        <v>3000000</v>
      </c>
      <c r="E490" s="316">
        <f>'Supply planning data'!G488</f>
        <v>0</v>
      </c>
      <c r="F490" s="317">
        <f>'Supply planning data'!H488</f>
        <v>0</v>
      </c>
      <c r="G490" s="317">
        <f>'Supply planning data'!I488</f>
        <v>0</v>
      </c>
      <c r="H490" s="98">
        <f>'Supply planning data'!J488</f>
        <v>0</v>
      </c>
      <c r="I490" s="317">
        <f>'Supply planning data'!K488</f>
        <v>0</v>
      </c>
      <c r="J490" s="175" t="str">
        <f>'Supply planning data'!L488</f>
        <v/>
      </c>
      <c r="K490" s="98">
        <f>'Supply planning data'!M488</f>
        <v>0</v>
      </c>
      <c r="L490" s="317">
        <f>'Supply planning data'!N488+'Supply planning data'!P488</f>
        <v>0</v>
      </c>
      <c r="M490" s="339">
        <f>'Supply planning data'!O488</f>
        <v>0</v>
      </c>
      <c r="N490" s="317">
        <f>'Supply planning data'!P488</f>
        <v>0</v>
      </c>
      <c r="O490" s="339">
        <f>'Supply planning data'!Q488</f>
        <v>0</v>
      </c>
      <c r="P490" s="98">
        <f>'Supply planning data'!R488</f>
        <v>0</v>
      </c>
      <c r="Q490" s="98">
        <f>'Supply planning data'!S488</f>
        <v>0</v>
      </c>
      <c r="R490" s="98">
        <f>'Supply planning data'!T488</f>
        <v>110538</v>
      </c>
      <c r="S490" s="98">
        <f>'Supply planning data'!U488</f>
        <v>0</v>
      </c>
      <c r="T490" s="98">
        <f>'Supply planning data'!V488</f>
        <v>3000000</v>
      </c>
      <c r="U490" s="325" t="str">
        <f>'Supply planning data'!W488</f>
        <v/>
      </c>
      <c r="V490" s="98">
        <f>'Supply planning data'!X488</f>
        <v>2440000</v>
      </c>
      <c r="W490" s="317">
        <f>'Supply planning data'!Y488</f>
        <v>0</v>
      </c>
      <c r="X490" s="328">
        <f>'Supply planning data'!Z488</f>
        <v>0</v>
      </c>
      <c r="Y490" s="98">
        <f>'Supply planning data'!AA488</f>
        <v>0</v>
      </c>
      <c r="Z490" s="98">
        <f>'Supply planning data'!AB488</f>
        <v>0</v>
      </c>
      <c r="AA490" s="98">
        <f>'Supply planning data'!AC488</f>
        <v>0</v>
      </c>
      <c r="AB490" s="98">
        <f>'Supply planning data'!AD488</f>
        <v>0</v>
      </c>
      <c r="AC490" s="98">
        <f>'Supply planning data'!AE488</f>
        <v>2440000</v>
      </c>
      <c r="AD490" s="325" t="str">
        <f>'Supply planning data'!AF488</f>
        <v/>
      </c>
      <c r="AE490" s="98">
        <f>'Supply planning data'!AG488</f>
        <v>3000000</v>
      </c>
      <c r="AF490" s="317">
        <f>'Supply planning data'!AH488</f>
        <v>0</v>
      </c>
      <c r="AG490" s="175">
        <f>'Supply planning data'!AI488</f>
        <v>0</v>
      </c>
      <c r="AH490" s="98">
        <f>'Supply planning data'!AJ488</f>
        <v>0</v>
      </c>
      <c r="AI490" s="98">
        <f>'Supply planning data'!AK488</f>
        <v>0</v>
      </c>
      <c r="AJ490" s="98">
        <f>'Supply planning data'!AL488</f>
        <v>110538</v>
      </c>
      <c r="AK490" s="98">
        <f>'Supply planning data'!AM488</f>
        <v>0</v>
      </c>
      <c r="AL490" s="98">
        <f>'Supply planning data'!AN488</f>
        <v>3000000</v>
      </c>
      <c r="AM490" s="325" t="str">
        <f>'Supply planning data'!AO488</f>
        <v/>
      </c>
    </row>
    <row r="491" spans="1:39" x14ac:dyDescent="0.25">
      <c r="A491" s="90" t="str">
        <f>'Supply planning data'!C489</f>
        <v>Sinovac</v>
      </c>
      <c r="B491" s="296">
        <f>'Supply planning data'!D489</f>
        <v>45170</v>
      </c>
      <c r="C491" s="92" t="str">
        <f>'Supply planning data'!E489</f>
        <v>No</v>
      </c>
      <c r="D491" s="92">
        <f>'Supply planning data'!F489</f>
        <v>0</v>
      </c>
      <c r="E491" s="316">
        <f>'Supply planning data'!G489</f>
        <v>0</v>
      </c>
      <c r="F491" s="317">
        <f>'Supply planning data'!H489</f>
        <v>0</v>
      </c>
      <c r="G491" s="317">
        <f>'Supply planning data'!I489</f>
        <v>0</v>
      </c>
      <c r="H491" s="98">
        <f>'Supply planning data'!J489</f>
        <v>0</v>
      </c>
      <c r="I491" s="317">
        <f>'Supply planning data'!K489</f>
        <v>0</v>
      </c>
      <c r="J491" s="175" t="str">
        <f>'Supply planning data'!L489</f>
        <v/>
      </c>
      <c r="K491" s="98">
        <f>'Supply planning data'!M489</f>
        <v>0</v>
      </c>
      <c r="L491" s="317">
        <f>'Supply planning data'!N489+'Supply planning data'!P489</f>
        <v>0</v>
      </c>
      <c r="M491" s="339">
        <f>'Supply planning data'!O489</f>
        <v>0</v>
      </c>
      <c r="N491" s="317">
        <f>'Supply planning data'!P489</f>
        <v>0</v>
      </c>
      <c r="O491" s="339">
        <f>'Supply planning data'!Q489</f>
        <v>0</v>
      </c>
      <c r="P491" s="98">
        <f>'Supply planning data'!R489</f>
        <v>0</v>
      </c>
      <c r="Q491" s="98">
        <f>'Supply planning data'!S489</f>
        <v>0</v>
      </c>
      <c r="R491" s="98">
        <f>'Supply planning data'!T489</f>
        <v>0</v>
      </c>
      <c r="S491" s="98">
        <f>'Supply planning data'!U489</f>
        <v>0</v>
      </c>
      <c r="T491" s="98">
        <f>'Supply planning data'!V489</f>
        <v>0</v>
      </c>
      <c r="U491" s="325" t="str">
        <f>'Supply planning data'!W489</f>
        <v/>
      </c>
      <c r="V491" s="98">
        <f>'Supply planning data'!X489</f>
        <v>0</v>
      </c>
      <c r="W491" s="317">
        <f>'Supply planning data'!Y489</f>
        <v>0</v>
      </c>
      <c r="X491" s="328">
        <f>'Supply planning data'!Z489</f>
        <v>0</v>
      </c>
      <c r="Y491" s="98">
        <f>'Supply planning data'!AA489</f>
        <v>0</v>
      </c>
      <c r="Z491" s="98">
        <f>'Supply planning data'!AB489</f>
        <v>0</v>
      </c>
      <c r="AA491" s="98">
        <f>'Supply planning data'!AC489</f>
        <v>0</v>
      </c>
      <c r="AB491" s="98">
        <f>'Supply planning data'!AD489</f>
        <v>0</v>
      </c>
      <c r="AC491" s="98">
        <f>'Supply planning data'!AE489</f>
        <v>0</v>
      </c>
      <c r="AD491" s="325" t="str">
        <f>'Supply planning data'!AF489</f>
        <v/>
      </c>
      <c r="AE491" s="98">
        <f>'Supply planning data'!AG489</f>
        <v>0</v>
      </c>
      <c r="AF491" s="317">
        <f>'Supply planning data'!AH489</f>
        <v>0</v>
      </c>
      <c r="AG491" s="175">
        <f>'Supply planning data'!AI489</f>
        <v>0</v>
      </c>
      <c r="AH491" s="98">
        <f>'Supply planning data'!AJ489</f>
        <v>0</v>
      </c>
      <c r="AI491" s="98">
        <f>'Supply planning data'!AK489</f>
        <v>0</v>
      </c>
      <c r="AJ491" s="98">
        <f>'Supply planning data'!AL489</f>
        <v>0</v>
      </c>
      <c r="AK491" s="98">
        <f>'Supply planning data'!AM489</f>
        <v>0</v>
      </c>
      <c r="AL491" s="98">
        <f>'Supply planning data'!AN489</f>
        <v>0</v>
      </c>
      <c r="AM491" s="325" t="str">
        <f>'Supply planning data'!AO489</f>
        <v/>
      </c>
    </row>
    <row r="492" spans="1:39" hidden="1" x14ac:dyDescent="0.25">
      <c r="A492" s="90" t="str">
        <f>'Supply planning data'!C490</f>
        <v/>
      </c>
      <c r="B492" s="296">
        <f>'Supply planning data'!D490</f>
        <v>45170</v>
      </c>
      <c r="C492" s="92" t="str">
        <f>'Supply planning data'!E490</f>
        <v>No</v>
      </c>
      <c r="D492" s="92">
        <f>'Supply planning data'!F490</f>
        <v>0</v>
      </c>
      <c r="E492" s="316">
        <f>'Supply planning data'!G490</f>
        <v>0</v>
      </c>
      <c r="F492" s="317">
        <f>'Supply planning data'!H490</f>
        <v>0</v>
      </c>
      <c r="G492" s="317">
        <f>'Supply planning data'!I490</f>
        <v>0</v>
      </c>
      <c r="H492" s="98">
        <f>'Supply planning data'!J490</f>
        <v>0</v>
      </c>
      <c r="I492" s="317">
        <f>'Supply planning data'!K490</f>
        <v>0</v>
      </c>
      <c r="J492" s="175" t="str">
        <f>'Supply planning data'!L490</f>
        <v/>
      </c>
      <c r="K492" s="98">
        <f>'Supply planning data'!M490</f>
        <v>0</v>
      </c>
      <c r="L492" s="317">
        <f>'Supply planning data'!N490+'Supply planning data'!P490</f>
        <v>0</v>
      </c>
      <c r="M492" s="339">
        <f>'Supply planning data'!O490</f>
        <v>0</v>
      </c>
      <c r="N492" s="317">
        <f>'Supply planning data'!P490</f>
        <v>0</v>
      </c>
      <c r="O492" s="339">
        <f>'Supply planning data'!Q490</f>
        <v>0</v>
      </c>
      <c r="P492" s="98">
        <f>'Supply planning data'!R490</f>
        <v>0</v>
      </c>
      <c r="Q492" s="98">
        <f>'Supply planning data'!S490</f>
        <v>0</v>
      </c>
      <c r="R492" s="98">
        <f>'Supply planning data'!T490</f>
        <v>0</v>
      </c>
      <c r="S492" s="98">
        <f>'Supply planning data'!U490</f>
        <v>0</v>
      </c>
      <c r="T492" s="98">
        <f>'Supply planning data'!V490</f>
        <v>0</v>
      </c>
      <c r="U492" s="325" t="str">
        <f>'Supply planning data'!W490</f>
        <v/>
      </c>
      <c r="V492" s="98">
        <f>'Supply planning data'!X490</f>
        <v>0</v>
      </c>
      <c r="W492" s="317">
        <f>'Supply planning data'!Y490</f>
        <v>0</v>
      </c>
      <c r="X492" s="328">
        <f>'Supply planning data'!Z490</f>
        <v>0</v>
      </c>
      <c r="Y492" s="98">
        <f>'Supply planning data'!AA490</f>
        <v>0</v>
      </c>
      <c r="Z492" s="98">
        <f>'Supply planning data'!AB490</f>
        <v>0</v>
      </c>
      <c r="AA492" s="98">
        <f>'Supply planning data'!AC490</f>
        <v>0</v>
      </c>
      <c r="AB492" s="98">
        <f>'Supply planning data'!AD490</f>
        <v>0</v>
      </c>
      <c r="AC492" s="98">
        <f>'Supply planning data'!AE490</f>
        <v>0</v>
      </c>
      <c r="AD492" s="325" t="str">
        <f>'Supply planning data'!AF490</f>
        <v/>
      </c>
      <c r="AE492" s="98">
        <f>'Supply planning data'!AG490</f>
        <v>0</v>
      </c>
      <c r="AF492" s="317">
        <f>'Supply planning data'!AH490</f>
        <v>0</v>
      </c>
      <c r="AG492" s="175">
        <f>'Supply planning data'!AI490</f>
        <v>0</v>
      </c>
      <c r="AH492" s="98">
        <f>'Supply planning data'!AJ490</f>
        <v>0</v>
      </c>
      <c r="AI492" s="98">
        <f>'Supply planning data'!AK490</f>
        <v>0</v>
      </c>
      <c r="AJ492" s="98">
        <f>'Supply planning data'!AL490</f>
        <v>0</v>
      </c>
      <c r="AK492" s="98">
        <f>'Supply planning data'!AM490</f>
        <v>0</v>
      </c>
      <c r="AL492" s="98">
        <f>'Supply planning data'!AN490</f>
        <v>0</v>
      </c>
      <c r="AM492" s="325" t="str">
        <f>'Supply planning data'!AO490</f>
        <v/>
      </c>
    </row>
    <row r="493" spans="1:39" hidden="1" x14ac:dyDescent="0.25">
      <c r="A493" s="90" t="str">
        <f>'Supply planning data'!C491</f>
        <v/>
      </c>
      <c r="B493" s="296">
        <f>'Supply planning data'!D491</f>
        <v>45170</v>
      </c>
      <c r="C493" s="92" t="str">
        <f>'Supply planning data'!E491</f>
        <v>No</v>
      </c>
      <c r="D493" s="92">
        <f>'Supply planning data'!F491</f>
        <v>0</v>
      </c>
      <c r="E493" s="316">
        <f>'Supply planning data'!G491</f>
        <v>0</v>
      </c>
      <c r="F493" s="317">
        <f>'Supply planning data'!H491</f>
        <v>0</v>
      </c>
      <c r="G493" s="317">
        <f>'Supply planning data'!I491</f>
        <v>0</v>
      </c>
      <c r="H493" s="98">
        <f>'Supply planning data'!J491</f>
        <v>0</v>
      </c>
      <c r="I493" s="317">
        <f>'Supply planning data'!K491</f>
        <v>0</v>
      </c>
      <c r="J493" s="175" t="str">
        <f>'Supply planning data'!L491</f>
        <v/>
      </c>
      <c r="K493" s="98">
        <f>'Supply planning data'!M491</f>
        <v>0</v>
      </c>
      <c r="L493" s="317">
        <f>'Supply planning data'!N491+'Supply planning data'!P491</f>
        <v>0</v>
      </c>
      <c r="M493" s="339">
        <f>'Supply planning data'!O491</f>
        <v>0</v>
      </c>
      <c r="N493" s="317">
        <f>'Supply planning data'!P491</f>
        <v>0</v>
      </c>
      <c r="O493" s="339">
        <f>'Supply planning data'!Q491</f>
        <v>0</v>
      </c>
      <c r="P493" s="98">
        <f>'Supply planning data'!R491</f>
        <v>0</v>
      </c>
      <c r="Q493" s="98">
        <f>'Supply planning data'!S491</f>
        <v>0</v>
      </c>
      <c r="R493" s="98">
        <f>'Supply planning data'!T491</f>
        <v>0</v>
      </c>
      <c r="S493" s="98">
        <f>'Supply planning data'!U491</f>
        <v>0</v>
      </c>
      <c r="T493" s="98">
        <f>'Supply planning data'!V491</f>
        <v>0</v>
      </c>
      <c r="U493" s="325" t="str">
        <f>'Supply planning data'!W491</f>
        <v/>
      </c>
      <c r="V493" s="98">
        <f>'Supply planning data'!X491</f>
        <v>0</v>
      </c>
      <c r="W493" s="317">
        <f>'Supply planning data'!Y491</f>
        <v>0</v>
      </c>
      <c r="X493" s="328">
        <f>'Supply planning data'!Z491</f>
        <v>0</v>
      </c>
      <c r="Y493" s="98">
        <f>'Supply planning data'!AA491</f>
        <v>0</v>
      </c>
      <c r="Z493" s="98">
        <f>'Supply planning data'!AB491</f>
        <v>0</v>
      </c>
      <c r="AA493" s="98">
        <f>'Supply planning data'!AC491</f>
        <v>0</v>
      </c>
      <c r="AB493" s="98">
        <f>'Supply planning data'!AD491</f>
        <v>0</v>
      </c>
      <c r="AC493" s="98">
        <f>'Supply planning data'!AE491</f>
        <v>0</v>
      </c>
      <c r="AD493" s="325" t="str">
        <f>'Supply planning data'!AF491</f>
        <v/>
      </c>
      <c r="AE493" s="98">
        <f>'Supply planning data'!AG491</f>
        <v>0</v>
      </c>
      <c r="AF493" s="317">
        <f>'Supply planning data'!AH491</f>
        <v>0</v>
      </c>
      <c r="AG493" s="175">
        <f>'Supply planning data'!AI491</f>
        <v>0</v>
      </c>
      <c r="AH493" s="98">
        <f>'Supply planning data'!AJ491</f>
        <v>0</v>
      </c>
      <c r="AI493" s="98">
        <f>'Supply planning data'!AK491</f>
        <v>0</v>
      </c>
      <c r="AJ493" s="98">
        <f>'Supply planning data'!AL491</f>
        <v>0</v>
      </c>
      <c r="AK493" s="98">
        <f>'Supply planning data'!AM491</f>
        <v>0</v>
      </c>
      <c r="AL493" s="98">
        <f>'Supply planning data'!AN491</f>
        <v>0</v>
      </c>
      <c r="AM493" s="325" t="str">
        <f>'Supply planning data'!AO491</f>
        <v/>
      </c>
    </row>
    <row r="494" spans="1:39" hidden="1" x14ac:dyDescent="0.25">
      <c r="A494" s="90" t="str">
        <f>'Supply planning data'!C492</f>
        <v/>
      </c>
      <c r="B494" s="296">
        <f>'Supply planning data'!D492</f>
        <v>45170</v>
      </c>
      <c r="C494" s="92" t="str">
        <f>'Supply planning data'!E492</f>
        <v>No</v>
      </c>
      <c r="D494" s="92">
        <f>'Supply planning data'!F492</f>
        <v>0</v>
      </c>
      <c r="E494" s="316">
        <f>'Supply planning data'!G492</f>
        <v>0</v>
      </c>
      <c r="F494" s="317">
        <f>'Supply planning data'!H492</f>
        <v>0</v>
      </c>
      <c r="G494" s="317">
        <f>'Supply planning data'!I492</f>
        <v>0</v>
      </c>
      <c r="H494" s="98">
        <f>'Supply planning data'!J492</f>
        <v>0</v>
      </c>
      <c r="I494" s="317">
        <f>'Supply planning data'!K492</f>
        <v>0</v>
      </c>
      <c r="J494" s="175" t="str">
        <f>'Supply planning data'!L492</f>
        <v/>
      </c>
      <c r="K494" s="98">
        <f>'Supply planning data'!M492</f>
        <v>0</v>
      </c>
      <c r="L494" s="317">
        <f>'Supply planning data'!N492+'Supply planning data'!P492</f>
        <v>0</v>
      </c>
      <c r="M494" s="339">
        <f>'Supply planning data'!O492</f>
        <v>0</v>
      </c>
      <c r="N494" s="317">
        <f>'Supply planning data'!P492</f>
        <v>0</v>
      </c>
      <c r="O494" s="339">
        <f>'Supply planning data'!Q492</f>
        <v>0</v>
      </c>
      <c r="P494" s="98">
        <f>'Supply planning data'!R492</f>
        <v>0</v>
      </c>
      <c r="Q494" s="98">
        <f>'Supply planning data'!S492</f>
        <v>0</v>
      </c>
      <c r="R494" s="98">
        <f>'Supply planning data'!T492</f>
        <v>0</v>
      </c>
      <c r="S494" s="98">
        <f>'Supply planning data'!U492</f>
        <v>0</v>
      </c>
      <c r="T494" s="98">
        <f>'Supply planning data'!V492</f>
        <v>0</v>
      </c>
      <c r="U494" s="325" t="str">
        <f>'Supply planning data'!W492</f>
        <v/>
      </c>
      <c r="V494" s="98">
        <f>'Supply planning data'!X492</f>
        <v>0</v>
      </c>
      <c r="W494" s="317">
        <f>'Supply planning data'!Y492</f>
        <v>0</v>
      </c>
      <c r="X494" s="328">
        <f>'Supply planning data'!Z492</f>
        <v>0</v>
      </c>
      <c r="Y494" s="98">
        <f>'Supply planning data'!AA492</f>
        <v>0</v>
      </c>
      <c r="Z494" s="98">
        <f>'Supply planning data'!AB492</f>
        <v>0</v>
      </c>
      <c r="AA494" s="98">
        <f>'Supply planning data'!AC492</f>
        <v>0</v>
      </c>
      <c r="AB494" s="98">
        <f>'Supply planning data'!AD492</f>
        <v>0</v>
      </c>
      <c r="AC494" s="98">
        <f>'Supply planning data'!AE492</f>
        <v>0</v>
      </c>
      <c r="AD494" s="325" t="str">
        <f>'Supply planning data'!AF492</f>
        <v/>
      </c>
      <c r="AE494" s="98">
        <f>'Supply planning data'!AG492</f>
        <v>0</v>
      </c>
      <c r="AF494" s="317">
        <f>'Supply planning data'!AH492</f>
        <v>0</v>
      </c>
      <c r="AG494" s="175">
        <f>'Supply planning data'!AI492</f>
        <v>0</v>
      </c>
      <c r="AH494" s="98">
        <f>'Supply planning data'!AJ492</f>
        <v>0</v>
      </c>
      <c r="AI494" s="98">
        <f>'Supply planning data'!AK492</f>
        <v>0</v>
      </c>
      <c r="AJ494" s="98">
        <f>'Supply planning data'!AL492</f>
        <v>0</v>
      </c>
      <c r="AK494" s="98">
        <f>'Supply planning data'!AM492</f>
        <v>0</v>
      </c>
      <c r="AL494" s="98">
        <f>'Supply planning data'!AN492</f>
        <v>0</v>
      </c>
      <c r="AM494" s="325" t="str">
        <f>'Supply planning data'!AO492</f>
        <v/>
      </c>
    </row>
    <row r="495" spans="1:39" hidden="1" x14ac:dyDescent="0.25">
      <c r="A495" s="90" t="str">
        <f>'Supply planning data'!C493</f>
        <v/>
      </c>
      <c r="B495" s="296">
        <f>'Supply planning data'!D493</f>
        <v>45170</v>
      </c>
      <c r="C495" s="92" t="str">
        <f>'Supply planning data'!E493</f>
        <v>No</v>
      </c>
      <c r="D495" s="92">
        <f>'Supply planning data'!F493</f>
        <v>0</v>
      </c>
      <c r="E495" s="316">
        <f>'Supply planning data'!G493</f>
        <v>0</v>
      </c>
      <c r="F495" s="317">
        <f>'Supply planning data'!H493</f>
        <v>0</v>
      </c>
      <c r="G495" s="317">
        <f>'Supply planning data'!I493</f>
        <v>0</v>
      </c>
      <c r="H495" s="98">
        <f>'Supply planning data'!J493</f>
        <v>0</v>
      </c>
      <c r="I495" s="317">
        <f>'Supply planning data'!K493</f>
        <v>0</v>
      </c>
      <c r="J495" s="175" t="str">
        <f>'Supply planning data'!L493</f>
        <v/>
      </c>
      <c r="K495" s="98">
        <f>'Supply planning data'!M493</f>
        <v>0</v>
      </c>
      <c r="L495" s="317">
        <f>'Supply planning data'!N493+'Supply planning data'!P493</f>
        <v>0</v>
      </c>
      <c r="M495" s="339">
        <f>'Supply planning data'!O493</f>
        <v>0</v>
      </c>
      <c r="N495" s="317">
        <f>'Supply planning data'!P493</f>
        <v>0</v>
      </c>
      <c r="O495" s="339">
        <f>'Supply planning data'!Q493</f>
        <v>0</v>
      </c>
      <c r="P495" s="98">
        <f>'Supply planning data'!R493</f>
        <v>0</v>
      </c>
      <c r="Q495" s="98">
        <f>'Supply planning data'!S493</f>
        <v>0</v>
      </c>
      <c r="R495" s="98">
        <f>'Supply planning data'!T493</f>
        <v>0</v>
      </c>
      <c r="S495" s="98">
        <f>'Supply planning data'!U493</f>
        <v>0</v>
      </c>
      <c r="T495" s="98">
        <f>'Supply planning data'!V493</f>
        <v>0</v>
      </c>
      <c r="U495" s="325" t="str">
        <f>'Supply planning data'!W493</f>
        <v/>
      </c>
      <c r="V495" s="98">
        <f>'Supply planning data'!X493</f>
        <v>0</v>
      </c>
      <c r="W495" s="317">
        <f>'Supply planning data'!Y493</f>
        <v>0</v>
      </c>
      <c r="X495" s="328">
        <f>'Supply planning data'!Z493</f>
        <v>0</v>
      </c>
      <c r="Y495" s="98">
        <f>'Supply planning data'!AA493</f>
        <v>0</v>
      </c>
      <c r="Z495" s="98">
        <f>'Supply planning data'!AB493</f>
        <v>0</v>
      </c>
      <c r="AA495" s="98">
        <f>'Supply planning data'!AC493</f>
        <v>0</v>
      </c>
      <c r="AB495" s="98">
        <f>'Supply planning data'!AD493</f>
        <v>0</v>
      </c>
      <c r="AC495" s="98">
        <f>'Supply planning data'!AE493</f>
        <v>0</v>
      </c>
      <c r="AD495" s="325" t="str">
        <f>'Supply planning data'!AF493</f>
        <v/>
      </c>
      <c r="AE495" s="98">
        <f>'Supply planning data'!AG493</f>
        <v>0</v>
      </c>
      <c r="AF495" s="317">
        <f>'Supply planning data'!AH493</f>
        <v>0</v>
      </c>
      <c r="AG495" s="175">
        <f>'Supply planning data'!AI493</f>
        <v>0</v>
      </c>
      <c r="AH495" s="98">
        <f>'Supply planning data'!AJ493</f>
        <v>0</v>
      </c>
      <c r="AI495" s="98">
        <f>'Supply planning data'!AK493</f>
        <v>0</v>
      </c>
      <c r="AJ495" s="98">
        <f>'Supply planning data'!AL493</f>
        <v>0</v>
      </c>
      <c r="AK495" s="98">
        <f>'Supply planning data'!AM493</f>
        <v>0</v>
      </c>
      <c r="AL495" s="98">
        <f>'Supply planning data'!AN493</f>
        <v>0</v>
      </c>
      <c r="AM495" s="325" t="str">
        <f>'Supply planning data'!AO493</f>
        <v/>
      </c>
    </row>
    <row r="496" spans="1:39" hidden="1" x14ac:dyDescent="0.25">
      <c r="A496" s="90" t="str">
        <f>'Supply planning data'!C494</f>
        <v/>
      </c>
      <c r="B496" s="296">
        <f>'Supply planning data'!D494</f>
        <v>45170</v>
      </c>
      <c r="C496" s="92" t="str">
        <f>'Supply planning data'!E494</f>
        <v>No</v>
      </c>
      <c r="D496" s="92">
        <f>'Supply planning data'!F494</f>
        <v>0</v>
      </c>
      <c r="E496" s="316">
        <f>'Supply planning data'!G494</f>
        <v>0</v>
      </c>
      <c r="F496" s="317">
        <f>'Supply planning data'!H494</f>
        <v>0</v>
      </c>
      <c r="G496" s="317">
        <f>'Supply planning data'!I494</f>
        <v>0</v>
      </c>
      <c r="H496" s="98">
        <f>'Supply planning data'!J494</f>
        <v>0</v>
      </c>
      <c r="I496" s="317">
        <f>'Supply planning data'!K494</f>
        <v>0</v>
      </c>
      <c r="J496" s="175" t="str">
        <f>'Supply planning data'!L494</f>
        <v/>
      </c>
      <c r="K496" s="98">
        <f>'Supply planning data'!M494</f>
        <v>0</v>
      </c>
      <c r="L496" s="317">
        <f>'Supply planning data'!N494+'Supply planning data'!P494</f>
        <v>0</v>
      </c>
      <c r="M496" s="339">
        <f>'Supply planning data'!O494</f>
        <v>0</v>
      </c>
      <c r="N496" s="317">
        <f>'Supply planning data'!P494</f>
        <v>0</v>
      </c>
      <c r="O496" s="339">
        <f>'Supply planning data'!Q494</f>
        <v>0</v>
      </c>
      <c r="P496" s="98">
        <f>'Supply planning data'!R494</f>
        <v>0</v>
      </c>
      <c r="Q496" s="98">
        <f>'Supply planning data'!S494</f>
        <v>0</v>
      </c>
      <c r="R496" s="98">
        <f>'Supply planning data'!T494</f>
        <v>0</v>
      </c>
      <c r="S496" s="98">
        <f>'Supply planning data'!U494</f>
        <v>0</v>
      </c>
      <c r="T496" s="98">
        <f>'Supply planning data'!V494</f>
        <v>0</v>
      </c>
      <c r="U496" s="325" t="str">
        <f>'Supply planning data'!W494</f>
        <v/>
      </c>
      <c r="V496" s="98">
        <f>'Supply planning data'!X494</f>
        <v>0</v>
      </c>
      <c r="W496" s="317">
        <f>'Supply planning data'!Y494</f>
        <v>0</v>
      </c>
      <c r="X496" s="328">
        <f>'Supply planning data'!Z494</f>
        <v>0</v>
      </c>
      <c r="Y496" s="98">
        <f>'Supply planning data'!AA494</f>
        <v>0</v>
      </c>
      <c r="Z496" s="98">
        <f>'Supply planning data'!AB494</f>
        <v>0</v>
      </c>
      <c r="AA496" s="98">
        <f>'Supply planning data'!AC494</f>
        <v>0</v>
      </c>
      <c r="AB496" s="98">
        <f>'Supply planning data'!AD494</f>
        <v>0</v>
      </c>
      <c r="AC496" s="98">
        <f>'Supply planning data'!AE494</f>
        <v>0</v>
      </c>
      <c r="AD496" s="325" t="str">
        <f>'Supply planning data'!AF494</f>
        <v/>
      </c>
      <c r="AE496" s="98">
        <f>'Supply planning data'!AG494</f>
        <v>0</v>
      </c>
      <c r="AF496" s="317">
        <f>'Supply planning data'!AH494</f>
        <v>0</v>
      </c>
      <c r="AG496" s="175">
        <f>'Supply planning data'!AI494</f>
        <v>0</v>
      </c>
      <c r="AH496" s="98">
        <f>'Supply planning data'!AJ494</f>
        <v>0</v>
      </c>
      <c r="AI496" s="98">
        <f>'Supply planning data'!AK494</f>
        <v>0</v>
      </c>
      <c r="AJ496" s="98">
        <f>'Supply planning data'!AL494</f>
        <v>0</v>
      </c>
      <c r="AK496" s="98">
        <f>'Supply planning data'!AM494</f>
        <v>0</v>
      </c>
      <c r="AL496" s="98">
        <f>'Supply planning data'!AN494</f>
        <v>0</v>
      </c>
      <c r="AM496" s="325" t="str">
        <f>'Supply planning data'!AO494</f>
        <v/>
      </c>
    </row>
    <row r="497" spans="1:39" hidden="1" x14ac:dyDescent="0.25">
      <c r="A497" s="90" t="str">
        <f>'Supply planning data'!C495</f>
        <v/>
      </c>
      <c r="B497" s="296">
        <f>'Supply planning data'!D495</f>
        <v>45170</v>
      </c>
      <c r="C497" s="92" t="str">
        <f>'Supply planning data'!E495</f>
        <v>No</v>
      </c>
      <c r="D497" s="92">
        <f>'Supply planning data'!F495</f>
        <v>0</v>
      </c>
      <c r="E497" s="316">
        <f>'Supply planning data'!G495</f>
        <v>0</v>
      </c>
      <c r="F497" s="317">
        <f>'Supply planning data'!H495</f>
        <v>0</v>
      </c>
      <c r="G497" s="317">
        <f>'Supply planning data'!I495</f>
        <v>0</v>
      </c>
      <c r="H497" s="98">
        <f>'Supply planning data'!J495</f>
        <v>0</v>
      </c>
      <c r="I497" s="317">
        <f>'Supply planning data'!K495</f>
        <v>0</v>
      </c>
      <c r="J497" s="175" t="str">
        <f>'Supply planning data'!L495</f>
        <v/>
      </c>
      <c r="K497" s="98">
        <f>'Supply planning data'!M495</f>
        <v>0</v>
      </c>
      <c r="L497" s="317">
        <f>'Supply planning data'!N495+'Supply planning data'!P495</f>
        <v>0</v>
      </c>
      <c r="M497" s="339">
        <f>'Supply planning data'!O495</f>
        <v>0</v>
      </c>
      <c r="N497" s="317">
        <f>'Supply planning data'!P495</f>
        <v>0</v>
      </c>
      <c r="O497" s="339">
        <f>'Supply planning data'!Q495</f>
        <v>0</v>
      </c>
      <c r="P497" s="98">
        <f>'Supply planning data'!R495</f>
        <v>0</v>
      </c>
      <c r="Q497" s="98">
        <f>'Supply planning data'!S495</f>
        <v>0</v>
      </c>
      <c r="R497" s="98">
        <f>'Supply planning data'!T495</f>
        <v>0</v>
      </c>
      <c r="S497" s="98">
        <f>'Supply planning data'!U495</f>
        <v>0</v>
      </c>
      <c r="T497" s="98">
        <f>'Supply planning data'!V495</f>
        <v>0</v>
      </c>
      <c r="U497" s="325" t="str">
        <f>'Supply planning data'!W495</f>
        <v/>
      </c>
      <c r="V497" s="98">
        <f>'Supply planning data'!X495</f>
        <v>0</v>
      </c>
      <c r="W497" s="317">
        <f>'Supply planning data'!Y495</f>
        <v>0</v>
      </c>
      <c r="X497" s="328">
        <f>'Supply planning data'!Z495</f>
        <v>0</v>
      </c>
      <c r="Y497" s="98">
        <f>'Supply planning data'!AA495</f>
        <v>0</v>
      </c>
      <c r="Z497" s="98">
        <f>'Supply planning data'!AB495</f>
        <v>0</v>
      </c>
      <c r="AA497" s="98">
        <f>'Supply planning data'!AC495</f>
        <v>0</v>
      </c>
      <c r="AB497" s="98">
        <f>'Supply planning data'!AD495</f>
        <v>0</v>
      </c>
      <c r="AC497" s="98">
        <f>'Supply planning data'!AE495</f>
        <v>0</v>
      </c>
      <c r="AD497" s="325" t="str">
        <f>'Supply planning data'!AF495</f>
        <v/>
      </c>
      <c r="AE497" s="98">
        <f>'Supply planning data'!AG495</f>
        <v>0</v>
      </c>
      <c r="AF497" s="317">
        <f>'Supply planning data'!AH495</f>
        <v>0</v>
      </c>
      <c r="AG497" s="175">
        <f>'Supply planning data'!AI495</f>
        <v>0</v>
      </c>
      <c r="AH497" s="98">
        <f>'Supply planning data'!AJ495</f>
        <v>0</v>
      </c>
      <c r="AI497" s="98">
        <f>'Supply planning data'!AK495</f>
        <v>0</v>
      </c>
      <c r="AJ497" s="98">
        <f>'Supply planning data'!AL495</f>
        <v>0</v>
      </c>
      <c r="AK497" s="98">
        <f>'Supply planning data'!AM495</f>
        <v>0</v>
      </c>
      <c r="AL497" s="98">
        <f>'Supply planning data'!AN495</f>
        <v>0</v>
      </c>
      <c r="AM497" s="325" t="str">
        <f>'Supply planning data'!AO495</f>
        <v/>
      </c>
    </row>
    <row r="498" spans="1:39" hidden="1" x14ac:dyDescent="0.25">
      <c r="A498" s="90" t="str">
        <f>'Supply planning data'!C496</f>
        <v/>
      </c>
      <c r="B498" s="296">
        <f>'Supply planning data'!D496</f>
        <v>45170</v>
      </c>
      <c r="C498" s="92" t="str">
        <f>'Supply planning data'!E496</f>
        <v>No</v>
      </c>
      <c r="D498" s="92">
        <f>'Supply planning data'!F496</f>
        <v>0</v>
      </c>
      <c r="E498" s="316">
        <f>'Supply planning data'!G496</f>
        <v>0</v>
      </c>
      <c r="F498" s="317">
        <f>'Supply planning data'!H496</f>
        <v>0</v>
      </c>
      <c r="G498" s="317">
        <f>'Supply planning data'!I496</f>
        <v>0</v>
      </c>
      <c r="H498" s="98">
        <f>'Supply planning data'!J496</f>
        <v>0</v>
      </c>
      <c r="I498" s="317">
        <f>'Supply planning data'!K496</f>
        <v>0</v>
      </c>
      <c r="J498" s="175" t="str">
        <f>'Supply planning data'!L496</f>
        <v/>
      </c>
      <c r="K498" s="98">
        <f>'Supply planning data'!M496</f>
        <v>0</v>
      </c>
      <c r="L498" s="317">
        <f>'Supply planning data'!N496+'Supply planning data'!P496</f>
        <v>0</v>
      </c>
      <c r="M498" s="339">
        <f>'Supply planning data'!O496</f>
        <v>0</v>
      </c>
      <c r="N498" s="317">
        <f>'Supply planning data'!P496</f>
        <v>0</v>
      </c>
      <c r="O498" s="339">
        <f>'Supply planning data'!Q496</f>
        <v>0</v>
      </c>
      <c r="P498" s="98">
        <f>'Supply planning data'!R496</f>
        <v>0</v>
      </c>
      <c r="Q498" s="98">
        <f>'Supply planning data'!S496</f>
        <v>0</v>
      </c>
      <c r="R498" s="98">
        <f>'Supply planning data'!T496</f>
        <v>0</v>
      </c>
      <c r="S498" s="98">
        <f>'Supply planning data'!U496</f>
        <v>0</v>
      </c>
      <c r="T498" s="98">
        <f>'Supply planning data'!V496</f>
        <v>0</v>
      </c>
      <c r="U498" s="325" t="str">
        <f>'Supply planning data'!W496</f>
        <v/>
      </c>
      <c r="V498" s="98">
        <f>'Supply planning data'!X496</f>
        <v>0</v>
      </c>
      <c r="W498" s="317">
        <f>'Supply planning data'!Y496</f>
        <v>0</v>
      </c>
      <c r="X498" s="328">
        <f>'Supply planning data'!Z496</f>
        <v>0</v>
      </c>
      <c r="Y498" s="98">
        <f>'Supply planning data'!AA496</f>
        <v>0</v>
      </c>
      <c r="Z498" s="98">
        <f>'Supply planning data'!AB496</f>
        <v>0</v>
      </c>
      <c r="AA498" s="98">
        <f>'Supply planning data'!AC496</f>
        <v>0</v>
      </c>
      <c r="AB498" s="98">
        <f>'Supply planning data'!AD496</f>
        <v>0</v>
      </c>
      <c r="AC498" s="98">
        <f>'Supply planning data'!AE496</f>
        <v>0</v>
      </c>
      <c r="AD498" s="325" t="str">
        <f>'Supply planning data'!AF496</f>
        <v/>
      </c>
      <c r="AE498" s="98">
        <f>'Supply planning data'!AG496</f>
        <v>0</v>
      </c>
      <c r="AF498" s="317">
        <f>'Supply planning data'!AH496</f>
        <v>0</v>
      </c>
      <c r="AG498" s="175">
        <f>'Supply planning data'!AI496</f>
        <v>0</v>
      </c>
      <c r="AH498" s="98">
        <f>'Supply planning data'!AJ496</f>
        <v>0</v>
      </c>
      <c r="AI498" s="98">
        <f>'Supply planning data'!AK496</f>
        <v>0</v>
      </c>
      <c r="AJ498" s="98">
        <f>'Supply planning data'!AL496</f>
        <v>0</v>
      </c>
      <c r="AK498" s="98">
        <f>'Supply planning data'!AM496</f>
        <v>0</v>
      </c>
      <c r="AL498" s="98">
        <f>'Supply planning data'!AN496</f>
        <v>0</v>
      </c>
      <c r="AM498" s="325" t="str">
        <f>'Supply planning data'!AO496</f>
        <v/>
      </c>
    </row>
    <row r="499" spans="1:39" hidden="1" x14ac:dyDescent="0.25">
      <c r="A499" s="90" t="str">
        <f>'Supply planning data'!C497</f>
        <v/>
      </c>
      <c r="B499" s="296">
        <f>'Supply planning data'!D497</f>
        <v>45170</v>
      </c>
      <c r="C499" s="92" t="str">
        <f>'Supply planning data'!E497</f>
        <v>No</v>
      </c>
      <c r="D499" s="92">
        <f>'Supply planning data'!F497</f>
        <v>0</v>
      </c>
      <c r="E499" s="316">
        <f>'Supply planning data'!G497</f>
        <v>0</v>
      </c>
      <c r="F499" s="317">
        <f>'Supply planning data'!H497</f>
        <v>0</v>
      </c>
      <c r="G499" s="317">
        <f>'Supply planning data'!I497</f>
        <v>0</v>
      </c>
      <c r="H499" s="98">
        <f>'Supply planning data'!J497</f>
        <v>0</v>
      </c>
      <c r="I499" s="317">
        <f>'Supply planning data'!K497</f>
        <v>0</v>
      </c>
      <c r="J499" s="175" t="str">
        <f>'Supply planning data'!L497</f>
        <v/>
      </c>
      <c r="K499" s="98">
        <f>'Supply planning data'!M497</f>
        <v>0</v>
      </c>
      <c r="L499" s="317">
        <f>'Supply planning data'!N497+'Supply planning data'!P497</f>
        <v>0</v>
      </c>
      <c r="M499" s="339">
        <f>'Supply planning data'!O497</f>
        <v>0</v>
      </c>
      <c r="N499" s="317">
        <f>'Supply planning data'!P497</f>
        <v>0</v>
      </c>
      <c r="O499" s="339">
        <f>'Supply planning data'!Q497</f>
        <v>0</v>
      </c>
      <c r="P499" s="98">
        <f>'Supply planning data'!R497</f>
        <v>0</v>
      </c>
      <c r="Q499" s="98">
        <f>'Supply planning data'!S497</f>
        <v>0</v>
      </c>
      <c r="R499" s="98">
        <f>'Supply planning data'!T497</f>
        <v>0</v>
      </c>
      <c r="S499" s="98">
        <f>'Supply planning data'!U497</f>
        <v>0</v>
      </c>
      <c r="T499" s="98">
        <f>'Supply planning data'!V497</f>
        <v>0</v>
      </c>
      <c r="U499" s="325" t="str">
        <f>'Supply planning data'!W497</f>
        <v/>
      </c>
      <c r="V499" s="98">
        <f>'Supply planning data'!X497</f>
        <v>0</v>
      </c>
      <c r="W499" s="317">
        <f>'Supply planning data'!Y497</f>
        <v>0</v>
      </c>
      <c r="X499" s="328">
        <f>'Supply planning data'!Z497</f>
        <v>0</v>
      </c>
      <c r="Y499" s="98">
        <f>'Supply planning data'!AA497</f>
        <v>0</v>
      </c>
      <c r="Z499" s="98">
        <f>'Supply planning data'!AB497</f>
        <v>0</v>
      </c>
      <c r="AA499" s="98">
        <f>'Supply planning data'!AC497</f>
        <v>0</v>
      </c>
      <c r="AB499" s="98">
        <f>'Supply planning data'!AD497</f>
        <v>0</v>
      </c>
      <c r="AC499" s="98">
        <f>'Supply planning data'!AE497</f>
        <v>0</v>
      </c>
      <c r="AD499" s="325" t="str">
        <f>'Supply planning data'!AF497</f>
        <v/>
      </c>
      <c r="AE499" s="98">
        <f>'Supply planning data'!AG497</f>
        <v>0</v>
      </c>
      <c r="AF499" s="317">
        <f>'Supply planning data'!AH497</f>
        <v>0</v>
      </c>
      <c r="AG499" s="175">
        <f>'Supply planning data'!AI497</f>
        <v>0</v>
      </c>
      <c r="AH499" s="98">
        <f>'Supply planning data'!AJ497</f>
        <v>0</v>
      </c>
      <c r="AI499" s="98">
        <f>'Supply planning data'!AK497</f>
        <v>0</v>
      </c>
      <c r="AJ499" s="98">
        <f>'Supply planning data'!AL497</f>
        <v>0</v>
      </c>
      <c r="AK499" s="98">
        <f>'Supply planning data'!AM497</f>
        <v>0</v>
      </c>
      <c r="AL499" s="98">
        <f>'Supply planning data'!AN497</f>
        <v>0</v>
      </c>
      <c r="AM499" s="325" t="str">
        <f>'Supply planning data'!AO497</f>
        <v/>
      </c>
    </row>
    <row r="500" spans="1:39" hidden="1" x14ac:dyDescent="0.25">
      <c r="A500" s="90" t="str">
        <f>'Supply planning data'!C498</f>
        <v/>
      </c>
      <c r="B500" s="296">
        <f>'Supply planning data'!D498</f>
        <v>45170</v>
      </c>
      <c r="C500" s="92" t="str">
        <f>'Supply planning data'!E498</f>
        <v>No</v>
      </c>
      <c r="D500" s="92">
        <f>'Supply planning data'!F498</f>
        <v>0</v>
      </c>
      <c r="E500" s="316">
        <f>'Supply planning data'!G498</f>
        <v>0</v>
      </c>
      <c r="F500" s="317">
        <f>'Supply planning data'!H498</f>
        <v>0</v>
      </c>
      <c r="G500" s="317">
        <f>'Supply planning data'!I498</f>
        <v>0</v>
      </c>
      <c r="H500" s="98">
        <f>'Supply planning data'!J498</f>
        <v>0</v>
      </c>
      <c r="I500" s="317">
        <f>'Supply planning data'!K498</f>
        <v>0</v>
      </c>
      <c r="J500" s="175" t="str">
        <f>'Supply planning data'!L498</f>
        <v/>
      </c>
      <c r="K500" s="98">
        <f>'Supply planning data'!M498</f>
        <v>0</v>
      </c>
      <c r="L500" s="317">
        <f>'Supply planning data'!N498+'Supply planning data'!P498</f>
        <v>0</v>
      </c>
      <c r="M500" s="339">
        <f>'Supply planning data'!O498</f>
        <v>0</v>
      </c>
      <c r="N500" s="317">
        <f>'Supply planning data'!P498</f>
        <v>0</v>
      </c>
      <c r="O500" s="339">
        <f>'Supply planning data'!Q498</f>
        <v>0</v>
      </c>
      <c r="P500" s="98">
        <f>'Supply planning data'!R498</f>
        <v>0</v>
      </c>
      <c r="Q500" s="98">
        <f>'Supply planning data'!S498</f>
        <v>0</v>
      </c>
      <c r="R500" s="98">
        <f>'Supply planning data'!T498</f>
        <v>0</v>
      </c>
      <c r="S500" s="98">
        <f>'Supply planning data'!U498</f>
        <v>0</v>
      </c>
      <c r="T500" s="98">
        <f>'Supply planning data'!V498</f>
        <v>0</v>
      </c>
      <c r="U500" s="325" t="str">
        <f>'Supply planning data'!W498</f>
        <v/>
      </c>
      <c r="V500" s="98">
        <f>'Supply planning data'!X498</f>
        <v>0</v>
      </c>
      <c r="W500" s="317">
        <f>'Supply planning data'!Y498</f>
        <v>0</v>
      </c>
      <c r="X500" s="328">
        <f>'Supply planning data'!Z498</f>
        <v>0</v>
      </c>
      <c r="Y500" s="98">
        <f>'Supply planning data'!AA498</f>
        <v>0</v>
      </c>
      <c r="Z500" s="98">
        <f>'Supply planning data'!AB498</f>
        <v>0</v>
      </c>
      <c r="AA500" s="98">
        <f>'Supply planning data'!AC498</f>
        <v>0</v>
      </c>
      <c r="AB500" s="98">
        <f>'Supply planning data'!AD498</f>
        <v>0</v>
      </c>
      <c r="AC500" s="98">
        <f>'Supply planning data'!AE498</f>
        <v>0</v>
      </c>
      <c r="AD500" s="325" t="str">
        <f>'Supply planning data'!AF498</f>
        <v/>
      </c>
      <c r="AE500" s="98">
        <f>'Supply planning data'!AG498</f>
        <v>0</v>
      </c>
      <c r="AF500" s="317">
        <f>'Supply planning data'!AH498</f>
        <v>0</v>
      </c>
      <c r="AG500" s="175">
        <f>'Supply planning data'!AI498</f>
        <v>0</v>
      </c>
      <c r="AH500" s="98">
        <f>'Supply planning data'!AJ498</f>
        <v>0</v>
      </c>
      <c r="AI500" s="98">
        <f>'Supply planning data'!AK498</f>
        <v>0</v>
      </c>
      <c r="AJ500" s="98">
        <f>'Supply planning data'!AL498</f>
        <v>0</v>
      </c>
      <c r="AK500" s="98">
        <f>'Supply planning data'!AM498</f>
        <v>0</v>
      </c>
      <c r="AL500" s="98">
        <f>'Supply planning data'!AN498</f>
        <v>0</v>
      </c>
      <c r="AM500" s="325" t="str">
        <f>'Supply planning data'!AO498</f>
        <v/>
      </c>
    </row>
    <row r="501" spans="1:39" hidden="1" x14ac:dyDescent="0.25">
      <c r="A501" s="90" t="str">
        <f>'Supply planning data'!C499</f>
        <v/>
      </c>
      <c r="B501" s="296">
        <f>'Supply planning data'!D499</f>
        <v>45170</v>
      </c>
      <c r="C501" s="92" t="str">
        <f>'Supply planning data'!E499</f>
        <v>No</v>
      </c>
      <c r="D501" s="92">
        <f>'Supply planning data'!F499</f>
        <v>0</v>
      </c>
      <c r="E501" s="316">
        <f>'Supply planning data'!G499</f>
        <v>0</v>
      </c>
      <c r="F501" s="317">
        <f>'Supply planning data'!H499</f>
        <v>0</v>
      </c>
      <c r="G501" s="317">
        <f>'Supply planning data'!I499</f>
        <v>0</v>
      </c>
      <c r="H501" s="98">
        <f>'Supply planning data'!J499</f>
        <v>0</v>
      </c>
      <c r="I501" s="317">
        <f>'Supply planning data'!K499</f>
        <v>0</v>
      </c>
      <c r="J501" s="175" t="str">
        <f>'Supply planning data'!L499</f>
        <v/>
      </c>
      <c r="K501" s="98">
        <f>'Supply planning data'!M499</f>
        <v>0</v>
      </c>
      <c r="L501" s="317">
        <f>'Supply planning data'!N499+'Supply planning data'!P499</f>
        <v>0</v>
      </c>
      <c r="M501" s="339">
        <f>'Supply planning data'!O499</f>
        <v>0</v>
      </c>
      <c r="N501" s="317">
        <f>'Supply planning data'!P499</f>
        <v>0</v>
      </c>
      <c r="O501" s="339">
        <f>'Supply planning data'!Q499</f>
        <v>0</v>
      </c>
      <c r="P501" s="98">
        <f>'Supply planning data'!R499</f>
        <v>0</v>
      </c>
      <c r="Q501" s="98">
        <f>'Supply planning data'!S499</f>
        <v>0</v>
      </c>
      <c r="R501" s="98">
        <f>'Supply planning data'!T499</f>
        <v>0</v>
      </c>
      <c r="S501" s="98">
        <f>'Supply planning data'!U499</f>
        <v>0</v>
      </c>
      <c r="T501" s="98">
        <f>'Supply planning data'!V499</f>
        <v>0</v>
      </c>
      <c r="U501" s="325" t="str">
        <f>'Supply planning data'!W499</f>
        <v/>
      </c>
      <c r="V501" s="98">
        <f>'Supply planning data'!X499</f>
        <v>0</v>
      </c>
      <c r="W501" s="317">
        <f>'Supply planning data'!Y499</f>
        <v>0</v>
      </c>
      <c r="X501" s="328">
        <f>'Supply planning data'!Z499</f>
        <v>0</v>
      </c>
      <c r="Y501" s="98">
        <f>'Supply planning data'!AA499</f>
        <v>0</v>
      </c>
      <c r="Z501" s="98">
        <f>'Supply planning data'!AB499</f>
        <v>0</v>
      </c>
      <c r="AA501" s="98">
        <f>'Supply planning data'!AC499</f>
        <v>0</v>
      </c>
      <c r="AB501" s="98">
        <f>'Supply planning data'!AD499</f>
        <v>0</v>
      </c>
      <c r="AC501" s="98">
        <f>'Supply planning data'!AE499</f>
        <v>0</v>
      </c>
      <c r="AD501" s="325" t="str">
        <f>'Supply planning data'!AF499</f>
        <v/>
      </c>
      <c r="AE501" s="98">
        <f>'Supply planning data'!AG499</f>
        <v>0</v>
      </c>
      <c r="AF501" s="317">
        <f>'Supply planning data'!AH499</f>
        <v>0</v>
      </c>
      <c r="AG501" s="175">
        <f>'Supply planning data'!AI499</f>
        <v>0</v>
      </c>
      <c r="AH501" s="98">
        <f>'Supply planning data'!AJ499</f>
        <v>0</v>
      </c>
      <c r="AI501" s="98">
        <f>'Supply planning data'!AK499</f>
        <v>0</v>
      </c>
      <c r="AJ501" s="98">
        <f>'Supply planning data'!AL499</f>
        <v>0</v>
      </c>
      <c r="AK501" s="98">
        <f>'Supply planning data'!AM499</f>
        <v>0</v>
      </c>
      <c r="AL501" s="98">
        <f>'Supply planning data'!AN499</f>
        <v>0</v>
      </c>
      <c r="AM501" s="325" t="str">
        <f>'Supply planning data'!AO499</f>
        <v/>
      </c>
    </row>
    <row r="502" spans="1:39" x14ac:dyDescent="0.25">
      <c r="A502" s="104" t="str">
        <f>'Supply planning data'!C500</f>
        <v>AstraZeneca</v>
      </c>
      <c r="B502" s="298">
        <f>'Supply planning data'!D500</f>
        <v>45200</v>
      </c>
      <c r="C502" s="105" t="str">
        <f>'Supply planning data'!E500</f>
        <v>Yes</v>
      </c>
      <c r="D502" s="105">
        <f>'Supply planning data'!F500</f>
        <v>0</v>
      </c>
      <c r="E502" s="320">
        <f>'Supply planning data'!G500</f>
        <v>0</v>
      </c>
      <c r="F502" s="320">
        <f>'Supply planning data'!H500</f>
        <v>0</v>
      </c>
      <c r="G502" s="320">
        <f>'Supply planning data'!I500</f>
        <v>0</v>
      </c>
      <c r="H502" s="105">
        <f>'Supply planning data'!J500</f>
        <v>0</v>
      </c>
      <c r="I502" s="320">
        <f>'Supply planning data'!K500</f>
        <v>0</v>
      </c>
      <c r="J502" s="177" t="str">
        <f>'Supply planning data'!L500</f>
        <v/>
      </c>
      <c r="K502" s="105">
        <f>'Supply planning data'!M500</f>
        <v>0</v>
      </c>
      <c r="L502" s="320">
        <f>'Supply planning data'!N500+'Supply planning data'!P500</f>
        <v>0</v>
      </c>
      <c r="M502" s="341">
        <f>'Supply planning data'!O500</f>
        <v>0</v>
      </c>
      <c r="N502" s="320">
        <f>'Supply planning data'!P500</f>
        <v>0</v>
      </c>
      <c r="O502" s="341">
        <f>'Supply planning data'!Q500</f>
        <v>0</v>
      </c>
      <c r="P502" s="105">
        <f>'Supply planning data'!R500</f>
        <v>0</v>
      </c>
      <c r="Q502" s="105">
        <f>'Supply planning data'!S500</f>
        <v>0</v>
      </c>
      <c r="R502" s="105">
        <f>'Supply planning data'!T500</f>
        <v>0</v>
      </c>
      <c r="S502" s="105">
        <f>'Supply planning data'!U500</f>
        <v>0</v>
      </c>
      <c r="T502" s="105">
        <f>'Supply planning data'!V500</f>
        <v>0</v>
      </c>
      <c r="U502" s="326" t="str">
        <f>'Supply planning data'!W500</f>
        <v/>
      </c>
      <c r="V502" s="105">
        <f>'Supply planning data'!X500</f>
        <v>154701</v>
      </c>
      <c r="W502" s="320">
        <f>'Supply planning data'!Y500</f>
        <v>0</v>
      </c>
      <c r="X502" s="329">
        <f>'Supply planning data'!Z500</f>
        <v>0</v>
      </c>
      <c r="Y502" s="105">
        <f>'Supply planning data'!AA500</f>
        <v>0</v>
      </c>
      <c r="Z502" s="105">
        <f>'Supply planning data'!AB500</f>
        <v>0</v>
      </c>
      <c r="AA502" s="105">
        <f>'Supply planning data'!AC500</f>
        <v>0</v>
      </c>
      <c r="AB502" s="105">
        <f>'Supply planning data'!AD500</f>
        <v>0</v>
      </c>
      <c r="AC502" s="105">
        <f>'Supply planning data'!AE500</f>
        <v>154701</v>
      </c>
      <c r="AD502" s="326" t="str">
        <f>'Supply planning data'!AF500</f>
        <v/>
      </c>
      <c r="AE502" s="105">
        <f>'Supply planning data'!AG500</f>
        <v>0</v>
      </c>
      <c r="AF502" s="320">
        <f>'Supply planning data'!AH500</f>
        <v>0</v>
      </c>
      <c r="AG502" s="177">
        <f>'Supply planning data'!AI500</f>
        <v>0</v>
      </c>
      <c r="AH502" s="105">
        <f>'Supply planning data'!AJ500</f>
        <v>0</v>
      </c>
      <c r="AI502" s="105">
        <f>'Supply planning data'!AK500</f>
        <v>0</v>
      </c>
      <c r="AJ502" s="105">
        <f>'Supply planning data'!AL500</f>
        <v>0</v>
      </c>
      <c r="AK502" s="105">
        <f>'Supply planning data'!AM500</f>
        <v>0</v>
      </c>
      <c r="AL502" s="105">
        <f>'Supply planning data'!AN500</f>
        <v>0</v>
      </c>
      <c r="AM502" s="326" t="str">
        <f>'Supply planning data'!AO500</f>
        <v/>
      </c>
    </row>
    <row r="503" spans="1:39" x14ac:dyDescent="0.25">
      <c r="A503" s="109" t="str">
        <f>'Supply planning data'!C501</f>
        <v>Jansen</v>
      </c>
      <c r="B503" s="298">
        <f>'Supply planning data'!D501</f>
        <v>45200</v>
      </c>
      <c r="C503" s="105" t="str">
        <f>'Supply planning data'!E501</f>
        <v>Yes</v>
      </c>
      <c r="D503" s="105">
        <f>'Supply planning data'!F501</f>
        <v>2258747</v>
      </c>
      <c r="E503" s="320">
        <f>'Supply planning data'!G501</f>
        <v>0</v>
      </c>
      <c r="F503" s="320">
        <f>'Supply planning data'!H501</f>
        <v>0</v>
      </c>
      <c r="G503" s="320">
        <f>'Supply planning data'!I501</f>
        <v>0</v>
      </c>
      <c r="H503" s="105">
        <f>'Supply planning data'!J501</f>
        <v>0</v>
      </c>
      <c r="I503" s="320">
        <f>'Supply planning data'!K501</f>
        <v>0</v>
      </c>
      <c r="J503" s="177" t="str">
        <f>'Supply planning data'!L501</f>
        <v/>
      </c>
      <c r="K503" s="105">
        <f>'Supply planning data'!M501</f>
        <v>0</v>
      </c>
      <c r="L503" s="321">
        <f>'Supply planning data'!N501+'Supply planning data'!P501</f>
        <v>0</v>
      </c>
      <c r="M503" s="342">
        <f>'Supply planning data'!O501</f>
        <v>0</v>
      </c>
      <c r="N503" s="321">
        <f>'Supply planning data'!P501</f>
        <v>0</v>
      </c>
      <c r="O503" s="342">
        <f>'Supply planning data'!Q501</f>
        <v>0</v>
      </c>
      <c r="P503" s="111">
        <f>'Supply planning data'!R501</f>
        <v>0</v>
      </c>
      <c r="Q503" s="111">
        <f>'Supply planning data'!S501</f>
        <v>0</v>
      </c>
      <c r="R503" s="111">
        <f>'Supply planning data'!T501</f>
        <v>0</v>
      </c>
      <c r="S503" s="111">
        <f>'Supply planning data'!U501</f>
        <v>0</v>
      </c>
      <c r="T503" s="111">
        <f>'Supply planning data'!V501</f>
        <v>2258747</v>
      </c>
      <c r="U503" s="327" t="str">
        <f>'Supply planning data'!W501</f>
        <v/>
      </c>
      <c r="V503" s="111">
        <f>'Supply planning data'!X501</f>
        <v>1698747</v>
      </c>
      <c r="W503" s="321">
        <f>'Supply planning data'!Y501</f>
        <v>0</v>
      </c>
      <c r="X503" s="329">
        <f>'Supply planning data'!Z501</f>
        <v>0</v>
      </c>
      <c r="Y503" s="111">
        <f>'Supply planning data'!AA501</f>
        <v>0</v>
      </c>
      <c r="Z503" s="111">
        <f>'Supply planning data'!AB501</f>
        <v>0</v>
      </c>
      <c r="AA503" s="111">
        <f>'Supply planning data'!AC501</f>
        <v>0</v>
      </c>
      <c r="AB503" s="111">
        <f>'Supply planning data'!AD501</f>
        <v>0</v>
      </c>
      <c r="AC503" s="111">
        <f>'Supply planning data'!AE501</f>
        <v>1698747</v>
      </c>
      <c r="AD503" s="327" t="str">
        <f>'Supply planning data'!AF501</f>
        <v/>
      </c>
      <c r="AE503" s="111">
        <f>'Supply planning data'!AG501</f>
        <v>2258747</v>
      </c>
      <c r="AF503" s="321">
        <f>'Supply planning data'!AH501</f>
        <v>0</v>
      </c>
      <c r="AG503" s="349">
        <f>'Supply planning data'!AI501</f>
        <v>0</v>
      </c>
      <c r="AH503" s="111">
        <f>'Supply planning data'!AJ501</f>
        <v>0</v>
      </c>
      <c r="AI503" s="111">
        <f>'Supply planning data'!AK501</f>
        <v>0</v>
      </c>
      <c r="AJ503" s="111">
        <f>'Supply planning data'!AL501</f>
        <v>0</v>
      </c>
      <c r="AK503" s="111">
        <f>'Supply planning data'!AM501</f>
        <v>0</v>
      </c>
      <c r="AL503" s="111">
        <f>'Supply planning data'!AN501</f>
        <v>2258747</v>
      </c>
      <c r="AM503" s="327" t="str">
        <f>'Supply planning data'!AO501</f>
        <v/>
      </c>
    </row>
    <row r="504" spans="1:39" x14ac:dyDescent="0.25">
      <c r="A504" s="104" t="str">
        <f>'Supply planning data'!C502</f>
        <v>Moderna</v>
      </c>
      <c r="B504" s="298">
        <f>'Supply planning data'!D502</f>
        <v>45200</v>
      </c>
      <c r="C504" s="105" t="str">
        <f>'Supply planning data'!E502</f>
        <v>No</v>
      </c>
      <c r="D504" s="105">
        <f>'Supply planning data'!F502</f>
        <v>0</v>
      </c>
      <c r="E504" s="320">
        <f>'Supply planning data'!G502</f>
        <v>0</v>
      </c>
      <c r="F504" s="320">
        <f>'Supply planning data'!H502</f>
        <v>0</v>
      </c>
      <c r="G504" s="320">
        <f>'Supply planning data'!I502</f>
        <v>0</v>
      </c>
      <c r="H504" s="105">
        <f>'Supply planning data'!J502</f>
        <v>0</v>
      </c>
      <c r="I504" s="320">
        <f>'Supply planning data'!K502</f>
        <v>0</v>
      </c>
      <c r="J504" s="177" t="str">
        <f>'Supply planning data'!L502</f>
        <v/>
      </c>
      <c r="K504" s="105">
        <f>'Supply planning data'!M502</f>
        <v>0</v>
      </c>
      <c r="L504" s="321">
        <f>'Supply planning data'!N502+'Supply planning data'!P502</f>
        <v>0</v>
      </c>
      <c r="M504" s="342">
        <f>'Supply planning data'!O502</f>
        <v>0</v>
      </c>
      <c r="N504" s="321">
        <f>'Supply planning data'!P502</f>
        <v>0</v>
      </c>
      <c r="O504" s="342">
        <f>'Supply planning data'!Q502</f>
        <v>0</v>
      </c>
      <c r="P504" s="111">
        <f>'Supply planning data'!R502</f>
        <v>0</v>
      </c>
      <c r="Q504" s="111">
        <f>'Supply planning data'!S502</f>
        <v>0</v>
      </c>
      <c r="R504" s="111">
        <f>'Supply planning data'!T502</f>
        <v>0</v>
      </c>
      <c r="S504" s="111">
        <f>'Supply planning data'!U502</f>
        <v>0</v>
      </c>
      <c r="T504" s="111">
        <f>'Supply planning data'!V502</f>
        <v>0</v>
      </c>
      <c r="U504" s="327" t="str">
        <f>'Supply planning data'!W502</f>
        <v/>
      </c>
      <c r="V504" s="111">
        <f>'Supply planning data'!X502</f>
        <v>0</v>
      </c>
      <c r="W504" s="321">
        <f>'Supply planning data'!Y502</f>
        <v>0</v>
      </c>
      <c r="X504" s="329">
        <f>'Supply planning data'!Z502</f>
        <v>0</v>
      </c>
      <c r="Y504" s="111">
        <f>'Supply planning data'!AA502</f>
        <v>0</v>
      </c>
      <c r="Z504" s="111">
        <f>'Supply planning data'!AB502</f>
        <v>0</v>
      </c>
      <c r="AA504" s="111">
        <f>'Supply planning data'!AC502</f>
        <v>0</v>
      </c>
      <c r="AB504" s="111">
        <f>'Supply planning data'!AD502</f>
        <v>0</v>
      </c>
      <c r="AC504" s="111">
        <f>'Supply planning data'!AE502</f>
        <v>0</v>
      </c>
      <c r="AD504" s="327" t="str">
        <f>'Supply planning data'!AF502</f>
        <v/>
      </c>
      <c r="AE504" s="111">
        <f>'Supply planning data'!AG502</f>
        <v>0</v>
      </c>
      <c r="AF504" s="321">
        <f>'Supply planning data'!AH502</f>
        <v>0</v>
      </c>
      <c r="AG504" s="349">
        <f>'Supply planning data'!AI502</f>
        <v>0</v>
      </c>
      <c r="AH504" s="111">
        <f>'Supply planning data'!AJ502</f>
        <v>0</v>
      </c>
      <c r="AI504" s="111">
        <f>'Supply planning data'!AK502</f>
        <v>0</v>
      </c>
      <c r="AJ504" s="111">
        <f>'Supply planning data'!AL502</f>
        <v>0</v>
      </c>
      <c r="AK504" s="111">
        <f>'Supply planning data'!AM502</f>
        <v>0</v>
      </c>
      <c r="AL504" s="111">
        <f>'Supply planning data'!AN502</f>
        <v>0</v>
      </c>
      <c r="AM504" s="327" t="str">
        <f>'Supply planning data'!AO502</f>
        <v/>
      </c>
    </row>
    <row r="505" spans="1:39" x14ac:dyDescent="0.25">
      <c r="A505" s="109" t="str">
        <f>'Supply planning data'!C503</f>
        <v>Pfizer</v>
      </c>
      <c r="B505" s="298">
        <f>'Supply planning data'!D503</f>
        <v>45200</v>
      </c>
      <c r="C505" s="105" t="str">
        <f>'Supply planning data'!E503</f>
        <v>Yes</v>
      </c>
      <c r="D505" s="105">
        <f>'Supply planning data'!F503</f>
        <v>3000000</v>
      </c>
      <c r="E505" s="320">
        <f>'Supply planning data'!G503</f>
        <v>0</v>
      </c>
      <c r="F505" s="320">
        <f>'Supply planning data'!H503</f>
        <v>0</v>
      </c>
      <c r="G505" s="320">
        <f>'Supply planning data'!I503</f>
        <v>0</v>
      </c>
      <c r="H505" s="105">
        <f>'Supply planning data'!J503</f>
        <v>0</v>
      </c>
      <c r="I505" s="320">
        <f>'Supply planning data'!K503</f>
        <v>0</v>
      </c>
      <c r="J505" s="177" t="str">
        <f>'Supply planning data'!L503</f>
        <v/>
      </c>
      <c r="K505" s="105">
        <f>'Supply planning data'!M503</f>
        <v>0</v>
      </c>
      <c r="L505" s="321">
        <f>'Supply planning data'!N503+'Supply planning data'!P503</f>
        <v>0</v>
      </c>
      <c r="M505" s="342">
        <f>'Supply planning data'!O503</f>
        <v>0</v>
      </c>
      <c r="N505" s="321">
        <f>'Supply planning data'!P503</f>
        <v>0</v>
      </c>
      <c r="O505" s="342">
        <f>'Supply planning data'!Q503</f>
        <v>0</v>
      </c>
      <c r="P505" s="111">
        <f>'Supply planning data'!R503</f>
        <v>0</v>
      </c>
      <c r="Q505" s="111">
        <f>'Supply planning data'!S503</f>
        <v>0</v>
      </c>
      <c r="R505" s="111">
        <f>'Supply planning data'!T503</f>
        <v>110538</v>
      </c>
      <c r="S505" s="111">
        <f>'Supply planning data'!U503</f>
        <v>0</v>
      </c>
      <c r="T505" s="111">
        <f>'Supply planning data'!V503</f>
        <v>3000000</v>
      </c>
      <c r="U505" s="327" t="str">
        <f>'Supply planning data'!W503</f>
        <v/>
      </c>
      <c r="V505" s="111">
        <f>'Supply planning data'!X503</f>
        <v>2440000</v>
      </c>
      <c r="W505" s="321">
        <f>'Supply planning data'!Y503</f>
        <v>0</v>
      </c>
      <c r="X505" s="329">
        <f>'Supply planning data'!Z503</f>
        <v>0</v>
      </c>
      <c r="Y505" s="111">
        <f>'Supply planning data'!AA503</f>
        <v>0</v>
      </c>
      <c r="Z505" s="111">
        <f>'Supply planning data'!AB503</f>
        <v>0</v>
      </c>
      <c r="AA505" s="111">
        <f>'Supply planning data'!AC503</f>
        <v>0</v>
      </c>
      <c r="AB505" s="111">
        <f>'Supply planning data'!AD503</f>
        <v>0</v>
      </c>
      <c r="AC505" s="111">
        <f>'Supply planning data'!AE503</f>
        <v>2440000</v>
      </c>
      <c r="AD505" s="327" t="str">
        <f>'Supply planning data'!AF503</f>
        <v/>
      </c>
      <c r="AE505" s="111">
        <f>'Supply planning data'!AG503</f>
        <v>3000000</v>
      </c>
      <c r="AF505" s="321">
        <f>'Supply planning data'!AH503</f>
        <v>0</v>
      </c>
      <c r="AG505" s="349">
        <f>'Supply planning data'!AI503</f>
        <v>0</v>
      </c>
      <c r="AH505" s="111">
        <f>'Supply planning data'!AJ503</f>
        <v>0</v>
      </c>
      <c r="AI505" s="111">
        <f>'Supply planning data'!AK503</f>
        <v>0</v>
      </c>
      <c r="AJ505" s="111">
        <f>'Supply planning data'!AL503</f>
        <v>110538</v>
      </c>
      <c r="AK505" s="111">
        <f>'Supply planning data'!AM503</f>
        <v>0</v>
      </c>
      <c r="AL505" s="111">
        <f>'Supply planning data'!AN503</f>
        <v>3000000</v>
      </c>
      <c r="AM505" s="327" t="str">
        <f>'Supply planning data'!AO503</f>
        <v/>
      </c>
    </row>
    <row r="506" spans="1:39" x14ac:dyDescent="0.25">
      <c r="A506" s="104" t="str">
        <f>'Supply planning data'!C504</f>
        <v>Sinovac</v>
      </c>
      <c r="B506" s="298">
        <f>'Supply planning data'!D504</f>
        <v>45200</v>
      </c>
      <c r="C506" s="105" t="str">
        <f>'Supply planning data'!E504</f>
        <v>No</v>
      </c>
      <c r="D506" s="105">
        <f>'Supply planning data'!F504</f>
        <v>0</v>
      </c>
      <c r="E506" s="320">
        <f>'Supply planning data'!G504</f>
        <v>0</v>
      </c>
      <c r="F506" s="320">
        <f>'Supply planning data'!H504</f>
        <v>0</v>
      </c>
      <c r="G506" s="320">
        <f>'Supply planning data'!I504</f>
        <v>0</v>
      </c>
      <c r="H506" s="105">
        <f>'Supply planning data'!J504</f>
        <v>0</v>
      </c>
      <c r="I506" s="320">
        <f>'Supply planning data'!K504</f>
        <v>0</v>
      </c>
      <c r="J506" s="177" t="str">
        <f>'Supply planning data'!L504</f>
        <v/>
      </c>
      <c r="K506" s="105">
        <f>'Supply planning data'!M504</f>
        <v>0</v>
      </c>
      <c r="L506" s="321">
        <f>'Supply planning data'!N504+'Supply planning data'!P504</f>
        <v>0</v>
      </c>
      <c r="M506" s="342">
        <f>'Supply planning data'!O504</f>
        <v>0</v>
      </c>
      <c r="N506" s="321">
        <f>'Supply planning data'!P504</f>
        <v>0</v>
      </c>
      <c r="O506" s="342">
        <f>'Supply planning data'!Q504</f>
        <v>0</v>
      </c>
      <c r="P506" s="111">
        <f>'Supply planning data'!R504</f>
        <v>0</v>
      </c>
      <c r="Q506" s="111">
        <f>'Supply planning data'!S504</f>
        <v>0</v>
      </c>
      <c r="R506" s="111">
        <f>'Supply planning data'!T504</f>
        <v>0</v>
      </c>
      <c r="S506" s="111">
        <f>'Supply planning data'!U504</f>
        <v>0</v>
      </c>
      <c r="T506" s="111">
        <f>'Supply planning data'!V504</f>
        <v>0</v>
      </c>
      <c r="U506" s="327" t="str">
        <f>'Supply planning data'!W504</f>
        <v/>
      </c>
      <c r="V506" s="111">
        <f>'Supply planning data'!X504</f>
        <v>0</v>
      </c>
      <c r="W506" s="321">
        <f>'Supply planning data'!Y504</f>
        <v>0</v>
      </c>
      <c r="X506" s="329">
        <f>'Supply planning data'!Z504</f>
        <v>0</v>
      </c>
      <c r="Y506" s="111">
        <f>'Supply planning data'!AA504</f>
        <v>0</v>
      </c>
      <c r="Z506" s="111">
        <f>'Supply planning data'!AB504</f>
        <v>0</v>
      </c>
      <c r="AA506" s="111">
        <f>'Supply planning data'!AC504</f>
        <v>0</v>
      </c>
      <c r="AB506" s="111">
        <f>'Supply planning data'!AD504</f>
        <v>0</v>
      </c>
      <c r="AC506" s="111">
        <f>'Supply planning data'!AE504</f>
        <v>0</v>
      </c>
      <c r="AD506" s="327" t="str">
        <f>'Supply planning data'!AF504</f>
        <v/>
      </c>
      <c r="AE506" s="111">
        <f>'Supply planning data'!AG504</f>
        <v>0</v>
      </c>
      <c r="AF506" s="321">
        <f>'Supply planning data'!AH504</f>
        <v>0</v>
      </c>
      <c r="AG506" s="349">
        <f>'Supply planning data'!AI504</f>
        <v>0</v>
      </c>
      <c r="AH506" s="111">
        <f>'Supply planning data'!AJ504</f>
        <v>0</v>
      </c>
      <c r="AI506" s="111">
        <f>'Supply planning data'!AK504</f>
        <v>0</v>
      </c>
      <c r="AJ506" s="111">
        <f>'Supply planning data'!AL504</f>
        <v>0</v>
      </c>
      <c r="AK506" s="111">
        <f>'Supply planning data'!AM504</f>
        <v>0</v>
      </c>
      <c r="AL506" s="111">
        <f>'Supply planning data'!AN504</f>
        <v>0</v>
      </c>
      <c r="AM506" s="327" t="str">
        <f>'Supply planning data'!AO504</f>
        <v/>
      </c>
    </row>
    <row r="507" spans="1:39" hidden="1" x14ac:dyDescent="0.25">
      <c r="A507" s="109" t="str">
        <f>'Supply planning data'!C505</f>
        <v/>
      </c>
      <c r="B507" s="298">
        <f>'Supply planning data'!D505</f>
        <v>45200</v>
      </c>
      <c r="C507" s="105" t="str">
        <f>'Supply planning data'!E505</f>
        <v>No</v>
      </c>
      <c r="D507" s="105">
        <f>'Supply planning data'!F505</f>
        <v>0</v>
      </c>
      <c r="E507" s="320">
        <f>'Supply planning data'!G505</f>
        <v>0</v>
      </c>
      <c r="F507" s="320">
        <f>'Supply planning data'!H505</f>
        <v>0</v>
      </c>
      <c r="G507" s="320">
        <f>'Supply planning data'!I505</f>
        <v>0</v>
      </c>
      <c r="H507" s="105">
        <f>'Supply planning data'!J505</f>
        <v>0</v>
      </c>
      <c r="I507" s="320">
        <f>'Supply planning data'!K505</f>
        <v>0</v>
      </c>
      <c r="J507" s="177" t="str">
        <f>'Supply planning data'!L505</f>
        <v/>
      </c>
      <c r="K507" s="105">
        <f>'Supply planning data'!M505</f>
        <v>0</v>
      </c>
      <c r="L507" s="321">
        <f>'Supply planning data'!N505+'Supply planning data'!P505</f>
        <v>0</v>
      </c>
      <c r="M507" s="342">
        <f>'Supply planning data'!O505</f>
        <v>0</v>
      </c>
      <c r="N507" s="321">
        <f>'Supply planning data'!P505</f>
        <v>0</v>
      </c>
      <c r="O507" s="342">
        <f>'Supply planning data'!Q505</f>
        <v>0</v>
      </c>
      <c r="P507" s="111">
        <f>'Supply planning data'!R505</f>
        <v>0</v>
      </c>
      <c r="Q507" s="111">
        <f>'Supply planning data'!S505</f>
        <v>0</v>
      </c>
      <c r="R507" s="111">
        <f>'Supply planning data'!T505</f>
        <v>0</v>
      </c>
      <c r="S507" s="111">
        <f>'Supply planning data'!U505</f>
        <v>0</v>
      </c>
      <c r="T507" s="111">
        <f>'Supply planning data'!V505</f>
        <v>0</v>
      </c>
      <c r="U507" s="327" t="str">
        <f>'Supply planning data'!W505</f>
        <v/>
      </c>
      <c r="V507" s="111">
        <f>'Supply planning data'!X505</f>
        <v>0</v>
      </c>
      <c r="W507" s="321">
        <f>'Supply planning data'!Y505</f>
        <v>0</v>
      </c>
      <c r="X507" s="329">
        <f>'Supply planning data'!Z505</f>
        <v>0</v>
      </c>
      <c r="Y507" s="111">
        <f>'Supply planning data'!AA505</f>
        <v>0</v>
      </c>
      <c r="Z507" s="111">
        <f>'Supply planning data'!AB505</f>
        <v>0</v>
      </c>
      <c r="AA507" s="111">
        <f>'Supply planning data'!AC505</f>
        <v>0</v>
      </c>
      <c r="AB507" s="111">
        <f>'Supply planning data'!AD505</f>
        <v>0</v>
      </c>
      <c r="AC507" s="111">
        <f>'Supply planning data'!AE505</f>
        <v>0</v>
      </c>
      <c r="AD507" s="327" t="str">
        <f>'Supply planning data'!AF505</f>
        <v/>
      </c>
      <c r="AE507" s="111">
        <f>'Supply planning data'!AG505</f>
        <v>0</v>
      </c>
      <c r="AF507" s="321">
        <f>'Supply planning data'!AH505</f>
        <v>0</v>
      </c>
      <c r="AG507" s="349">
        <f>'Supply planning data'!AI505</f>
        <v>0</v>
      </c>
      <c r="AH507" s="111">
        <f>'Supply planning data'!AJ505</f>
        <v>0</v>
      </c>
      <c r="AI507" s="111">
        <f>'Supply planning data'!AK505</f>
        <v>0</v>
      </c>
      <c r="AJ507" s="111">
        <f>'Supply planning data'!AL505</f>
        <v>0</v>
      </c>
      <c r="AK507" s="111">
        <f>'Supply planning data'!AM505</f>
        <v>0</v>
      </c>
      <c r="AL507" s="111">
        <f>'Supply planning data'!AN505</f>
        <v>0</v>
      </c>
      <c r="AM507" s="327" t="str">
        <f>'Supply planning data'!AO505</f>
        <v/>
      </c>
    </row>
    <row r="508" spans="1:39" hidden="1" x14ac:dyDescent="0.25">
      <c r="A508" s="104" t="str">
        <f>'Supply planning data'!C506</f>
        <v/>
      </c>
      <c r="B508" s="298">
        <f>'Supply planning data'!D506</f>
        <v>45200</v>
      </c>
      <c r="C508" s="105" t="str">
        <f>'Supply planning data'!E506</f>
        <v>No</v>
      </c>
      <c r="D508" s="105">
        <f>'Supply planning data'!F506</f>
        <v>0</v>
      </c>
      <c r="E508" s="320">
        <f>'Supply planning data'!G506</f>
        <v>0</v>
      </c>
      <c r="F508" s="320">
        <f>'Supply planning data'!H506</f>
        <v>0</v>
      </c>
      <c r="G508" s="320">
        <f>'Supply planning data'!I506</f>
        <v>0</v>
      </c>
      <c r="H508" s="105">
        <f>'Supply planning data'!J506</f>
        <v>0</v>
      </c>
      <c r="I508" s="320">
        <f>'Supply planning data'!K506</f>
        <v>0</v>
      </c>
      <c r="J508" s="177" t="str">
        <f>'Supply planning data'!L506</f>
        <v/>
      </c>
      <c r="K508" s="105">
        <f>'Supply planning data'!M506</f>
        <v>0</v>
      </c>
      <c r="L508" s="321">
        <f>'Supply planning data'!N506+'Supply planning data'!P506</f>
        <v>0</v>
      </c>
      <c r="M508" s="342">
        <f>'Supply planning data'!O506</f>
        <v>0</v>
      </c>
      <c r="N508" s="321">
        <f>'Supply planning data'!P506</f>
        <v>0</v>
      </c>
      <c r="O508" s="342">
        <f>'Supply planning data'!Q506</f>
        <v>0</v>
      </c>
      <c r="P508" s="111">
        <f>'Supply planning data'!R506</f>
        <v>0</v>
      </c>
      <c r="Q508" s="111">
        <f>'Supply planning data'!S506</f>
        <v>0</v>
      </c>
      <c r="R508" s="111">
        <f>'Supply planning data'!T506</f>
        <v>0</v>
      </c>
      <c r="S508" s="111">
        <f>'Supply planning data'!U506</f>
        <v>0</v>
      </c>
      <c r="T508" s="111">
        <f>'Supply planning data'!V506</f>
        <v>0</v>
      </c>
      <c r="U508" s="327" t="str">
        <f>'Supply planning data'!W506</f>
        <v/>
      </c>
      <c r="V508" s="111">
        <f>'Supply planning data'!X506</f>
        <v>0</v>
      </c>
      <c r="W508" s="321">
        <f>'Supply planning data'!Y506</f>
        <v>0</v>
      </c>
      <c r="X508" s="329">
        <f>'Supply planning data'!Z506</f>
        <v>0</v>
      </c>
      <c r="Y508" s="111">
        <f>'Supply planning data'!AA506</f>
        <v>0</v>
      </c>
      <c r="Z508" s="111">
        <f>'Supply planning data'!AB506</f>
        <v>0</v>
      </c>
      <c r="AA508" s="111">
        <f>'Supply planning data'!AC506</f>
        <v>0</v>
      </c>
      <c r="AB508" s="111">
        <f>'Supply planning data'!AD506</f>
        <v>0</v>
      </c>
      <c r="AC508" s="111">
        <f>'Supply planning data'!AE506</f>
        <v>0</v>
      </c>
      <c r="AD508" s="327" t="str">
        <f>'Supply planning data'!AF506</f>
        <v/>
      </c>
      <c r="AE508" s="111">
        <f>'Supply planning data'!AG506</f>
        <v>0</v>
      </c>
      <c r="AF508" s="321">
        <f>'Supply planning data'!AH506</f>
        <v>0</v>
      </c>
      <c r="AG508" s="349">
        <f>'Supply planning data'!AI506</f>
        <v>0</v>
      </c>
      <c r="AH508" s="111">
        <f>'Supply planning data'!AJ506</f>
        <v>0</v>
      </c>
      <c r="AI508" s="111">
        <f>'Supply planning data'!AK506</f>
        <v>0</v>
      </c>
      <c r="AJ508" s="111">
        <f>'Supply planning data'!AL506</f>
        <v>0</v>
      </c>
      <c r="AK508" s="111">
        <f>'Supply planning data'!AM506</f>
        <v>0</v>
      </c>
      <c r="AL508" s="111">
        <f>'Supply planning data'!AN506</f>
        <v>0</v>
      </c>
      <c r="AM508" s="327" t="str">
        <f>'Supply planning data'!AO506</f>
        <v/>
      </c>
    </row>
    <row r="509" spans="1:39" hidden="1" x14ac:dyDescent="0.25">
      <c r="A509" s="109" t="str">
        <f>'Supply planning data'!C507</f>
        <v/>
      </c>
      <c r="B509" s="298">
        <f>'Supply planning data'!D507</f>
        <v>45200</v>
      </c>
      <c r="C509" s="105" t="str">
        <f>'Supply planning data'!E507</f>
        <v>No</v>
      </c>
      <c r="D509" s="105">
        <f>'Supply planning data'!F507</f>
        <v>0</v>
      </c>
      <c r="E509" s="320">
        <f>'Supply planning data'!G507</f>
        <v>0</v>
      </c>
      <c r="F509" s="320">
        <f>'Supply planning data'!H507</f>
        <v>0</v>
      </c>
      <c r="G509" s="320">
        <f>'Supply planning data'!I507</f>
        <v>0</v>
      </c>
      <c r="H509" s="105">
        <f>'Supply planning data'!J507</f>
        <v>0</v>
      </c>
      <c r="I509" s="320">
        <f>'Supply planning data'!K507</f>
        <v>0</v>
      </c>
      <c r="J509" s="177" t="str">
        <f>'Supply planning data'!L507</f>
        <v/>
      </c>
      <c r="K509" s="105">
        <f>'Supply planning data'!M507</f>
        <v>0</v>
      </c>
      <c r="L509" s="321">
        <f>'Supply planning data'!N507+'Supply planning data'!P507</f>
        <v>0</v>
      </c>
      <c r="M509" s="342">
        <f>'Supply planning data'!O507</f>
        <v>0</v>
      </c>
      <c r="N509" s="321">
        <f>'Supply planning data'!P507</f>
        <v>0</v>
      </c>
      <c r="O509" s="342">
        <f>'Supply planning data'!Q507</f>
        <v>0</v>
      </c>
      <c r="P509" s="111">
        <f>'Supply planning data'!R507</f>
        <v>0</v>
      </c>
      <c r="Q509" s="111">
        <f>'Supply planning data'!S507</f>
        <v>0</v>
      </c>
      <c r="R509" s="111">
        <f>'Supply planning data'!T507</f>
        <v>0</v>
      </c>
      <c r="S509" s="111">
        <f>'Supply planning data'!U507</f>
        <v>0</v>
      </c>
      <c r="T509" s="111">
        <f>'Supply planning data'!V507</f>
        <v>0</v>
      </c>
      <c r="U509" s="327" t="str">
        <f>'Supply planning data'!W507</f>
        <v/>
      </c>
      <c r="V509" s="111">
        <f>'Supply planning data'!X507</f>
        <v>0</v>
      </c>
      <c r="W509" s="321">
        <f>'Supply planning data'!Y507</f>
        <v>0</v>
      </c>
      <c r="X509" s="329">
        <f>'Supply planning data'!Z507</f>
        <v>0</v>
      </c>
      <c r="Y509" s="111">
        <f>'Supply planning data'!AA507</f>
        <v>0</v>
      </c>
      <c r="Z509" s="111">
        <f>'Supply planning data'!AB507</f>
        <v>0</v>
      </c>
      <c r="AA509" s="111">
        <f>'Supply planning data'!AC507</f>
        <v>0</v>
      </c>
      <c r="AB509" s="111">
        <f>'Supply planning data'!AD507</f>
        <v>0</v>
      </c>
      <c r="AC509" s="111">
        <f>'Supply planning data'!AE507</f>
        <v>0</v>
      </c>
      <c r="AD509" s="327" t="str">
        <f>'Supply planning data'!AF507</f>
        <v/>
      </c>
      <c r="AE509" s="111">
        <f>'Supply planning data'!AG507</f>
        <v>0</v>
      </c>
      <c r="AF509" s="321">
        <f>'Supply planning data'!AH507</f>
        <v>0</v>
      </c>
      <c r="AG509" s="349">
        <f>'Supply planning data'!AI507</f>
        <v>0</v>
      </c>
      <c r="AH509" s="111">
        <f>'Supply planning data'!AJ507</f>
        <v>0</v>
      </c>
      <c r="AI509" s="111">
        <f>'Supply planning data'!AK507</f>
        <v>0</v>
      </c>
      <c r="AJ509" s="111">
        <f>'Supply planning data'!AL507</f>
        <v>0</v>
      </c>
      <c r="AK509" s="111">
        <f>'Supply planning data'!AM507</f>
        <v>0</v>
      </c>
      <c r="AL509" s="111">
        <f>'Supply planning data'!AN507</f>
        <v>0</v>
      </c>
      <c r="AM509" s="327" t="str">
        <f>'Supply planning data'!AO507</f>
        <v/>
      </c>
    </row>
    <row r="510" spans="1:39" hidden="1" x14ac:dyDescent="0.25">
      <c r="A510" s="104" t="str">
        <f>'Supply planning data'!C508</f>
        <v/>
      </c>
      <c r="B510" s="298">
        <f>'Supply planning data'!D508</f>
        <v>45200</v>
      </c>
      <c r="C510" s="105" t="str">
        <f>'Supply planning data'!E508</f>
        <v>No</v>
      </c>
      <c r="D510" s="105">
        <f>'Supply planning data'!F508</f>
        <v>0</v>
      </c>
      <c r="E510" s="320">
        <f>'Supply planning data'!G508</f>
        <v>0</v>
      </c>
      <c r="F510" s="320">
        <f>'Supply planning data'!H508</f>
        <v>0</v>
      </c>
      <c r="G510" s="320">
        <f>'Supply planning data'!I508</f>
        <v>0</v>
      </c>
      <c r="H510" s="105">
        <f>'Supply planning data'!J508</f>
        <v>0</v>
      </c>
      <c r="I510" s="320">
        <f>'Supply planning data'!K508</f>
        <v>0</v>
      </c>
      <c r="J510" s="177" t="str">
        <f>'Supply planning data'!L508</f>
        <v/>
      </c>
      <c r="K510" s="105">
        <f>'Supply planning data'!M508</f>
        <v>0</v>
      </c>
      <c r="L510" s="321">
        <f>'Supply planning data'!N508+'Supply planning data'!P508</f>
        <v>0</v>
      </c>
      <c r="M510" s="342">
        <f>'Supply planning data'!O508</f>
        <v>0</v>
      </c>
      <c r="N510" s="321">
        <f>'Supply planning data'!P508</f>
        <v>0</v>
      </c>
      <c r="O510" s="342">
        <f>'Supply planning data'!Q508</f>
        <v>0</v>
      </c>
      <c r="P510" s="111">
        <f>'Supply planning data'!R508</f>
        <v>0</v>
      </c>
      <c r="Q510" s="111">
        <f>'Supply planning data'!S508</f>
        <v>0</v>
      </c>
      <c r="R510" s="111">
        <f>'Supply planning data'!T508</f>
        <v>0</v>
      </c>
      <c r="S510" s="111">
        <f>'Supply planning data'!U508</f>
        <v>0</v>
      </c>
      <c r="T510" s="111">
        <f>'Supply planning data'!V508</f>
        <v>0</v>
      </c>
      <c r="U510" s="327" t="str">
        <f>'Supply planning data'!W508</f>
        <v/>
      </c>
      <c r="V510" s="111">
        <f>'Supply planning data'!X508</f>
        <v>0</v>
      </c>
      <c r="W510" s="321">
        <f>'Supply planning data'!Y508</f>
        <v>0</v>
      </c>
      <c r="X510" s="329">
        <f>'Supply planning data'!Z508</f>
        <v>0</v>
      </c>
      <c r="Y510" s="111">
        <f>'Supply planning data'!AA508</f>
        <v>0</v>
      </c>
      <c r="Z510" s="111">
        <f>'Supply planning data'!AB508</f>
        <v>0</v>
      </c>
      <c r="AA510" s="111">
        <f>'Supply planning data'!AC508</f>
        <v>0</v>
      </c>
      <c r="AB510" s="111">
        <f>'Supply planning data'!AD508</f>
        <v>0</v>
      </c>
      <c r="AC510" s="111">
        <f>'Supply planning data'!AE508</f>
        <v>0</v>
      </c>
      <c r="AD510" s="327" t="str">
        <f>'Supply planning data'!AF508</f>
        <v/>
      </c>
      <c r="AE510" s="111">
        <f>'Supply planning data'!AG508</f>
        <v>0</v>
      </c>
      <c r="AF510" s="321">
        <f>'Supply planning data'!AH508</f>
        <v>0</v>
      </c>
      <c r="AG510" s="349">
        <f>'Supply planning data'!AI508</f>
        <v>0</v>
      </c>
      <c r="AH510" s="111">
        <f>'Supply planning data'!AJ508</f>
        <v>0</v>
      </c>
      <c r="AI510" s="111">
        <f>'Supply planning data'!AK508</f>
        <v>0</v>
      </c>
      <c r="AJ510" s="111">
        <f>'Supply planning data'!AL508</f>
        <v>0</v>
      </c>
      <c r="AK510" s="111">
        <f>'Supply planning data'!AM508</f>
        <v>0</v>
      </c>
      <c r="AL510" s="111">
        <f>'Supply planning data'!AN508</f>
        <v>0</v>
      </c>
      <c r="AM510" s="327" t="str">
        <f>'Supply planning data'!AO508</f>
        <v/>
      </c>
    </row>
    <row r="511" spans="1:39" hidden="1" x14ac:dyDescent="0.25">
      <c r="A511" s="109" t="str">
        <f>'Supply planning data'!C509</f>
        <v/>
      </c>
      <c r="B511" s="298">
        <f>'Supply planning data'!D509</f>
        <v>45200</v>
      </c>
      <c r="C511" s="105" t="str">
        <f>'Supply planning data'!E509</f>
        <v>No</v>
      </c>
      <c r="D511" s="105">
        <f>'Supply planning data'!F509</f>
        <v>0</v>
      </c>
      <c r="E511" s="320">
        <f>'Supply planning data'!G509</f>
        <v>0</v>
      </c>
      <c r="F511" s="320">
        <f>'Supply planning data'!H509</f>
        <v>0</v>
      </c>
      <c r="G511" s="320">
        <f>'Supply planning data'!I509</f>
        <v>0</v>
      </c>
      <c r="H511" s="105">
        <f>'Supply planning data'!J509</f>
        <v>0</v>
      </c>
      <c r="I511" s="320">
        <f>'Supply planning data'!K509</f>
        <v>0</v>
      </c>
      <c r="J511" s="177" t="str">
        <f>'Supply planning data'!L509</f>
        <v/>
      </c>
      <c r="K511" s="105">
        <f>'Supply planning data'!M509</f>
        <v>0</v>
      </c>
      <c r="L511" s="321">
        <f>'Supply planning data'!N509+'Supply planning data'!P509</f>
        <v>0</v>
      </c>
      <c r="M511" s="342">
        <f>'Supply planning data'!O509</f>
        <v>0</v>
      </c>
      <c r="N511" s="321">
        <f>'Supply planning data'!P509</f>
        <v>0</v>
      </c>
      <c r="O511" s="342">
        <f>'Supply planning data'!Q509</f>
        <v>0</v>
      </c>
      <c r="P511" s="111">
        <f>'Supply planning data'!R509</f>
        <v>0</v>
      </c>
      <c r="Q511" s="111">
        <f>'Supply planning data'!S509</f>
        <v>0</v>
      </c>
      <c r="R511" s="111">
        <f>'Supply planning data'!T509</f>
        <v>0</v>
      </c>
      <c r="S511" s="111">
        <f>'Supply planning data'!U509</f>
        <v>0</v>
      </c>
      <c r="T511" s="111">
        <f>'Supply planning data'!V509</f>
        <v>0</v>
      </c>
      <c r="U511" s="327" t="str">
        <f>'Supply planning data'!W509</f>
        <v/>
      </c>
      <c r="V511" s="111">
        <f>'Supply planning data'!X509</f>
        <v>0</v>
      </c>
      <c r="W511" s="321">
        <f>'Supply planning data'!Y509</f>
        <v>0</v>
      </c>
      <c r="X511" s="329">
        <f>'Supply planning data'!Z509</f>
        <v>0</v>
      </c>
      <c r="Y511" s="111">
        <f>'Supply planning data'!AA509</f>
        <v>0</v>
      </c>
      <c r="Z511" s="111">
        <f>'Supply planning data'!AB509</f>
        <v>0</v>
      </c>
      <c r="AA511" s="111">
        <f>'Supply planning data'!AC509</f>
        <v>0</v>
      </c>
      <c r="AB511" s="111">
        <f>'Supply planning data'!AD509</f>
        <v>0</v>
      </c>
      <c r="AC511" s="111">
        <f>'Supply planning data'!AE509</f>
        <v>0</v>
      </c>
      <c r="AD511" s="327" t="str">
        <f>'Supply planning data'!AF509</f>
        <v/>
      </c>
      <c r="AE511" s="111">
        <f>'Supply planning data'!AG509</f>
        <v>0</v>
      </c>
      <c r="AF511" s="321">
        <f>'Supply planning data'!AH509</f>
        <v>0</v>
      </c>
      <c r="AG511" s="349">
        <f>'Supply planning data'!AI509</f>
        <v>0</v>
      </c>
      <c r="AH511" s="111">
        <f>'Supply planning data'!AJ509</f>
        <v>0</v>
      </c>
      <c r="AI511" s="111">
        <f>'Supply planning data'!AK509</f>
        <v>0</v>
      </c>
      <c r="AJ511" s="111">
        <f>'Supply planning data'!AL509</f>
        <v>0</v>
      </c>
      <c r="AK511" s="111">
        <f>'Supply planning data'!AM509</f>
        <v>0</v>
      </c>
      <c r="AL511" s="111">
        <f>'Supply planning data'!AN509</f>
        <v>0</v>
      </c>
      <c r="AM511" s="327" t="str">
        <f>'Supply planning data'!AO509</f>
        <v/>
      </c>
    </row>
    <row r="512" spans="1:39" hidden="1" x14ac:dyDescent="0.25">
      <c r="A512" s="104" t="str">
        <f>'Supply planning data'!C510</f>
        <v/>
      </c>
      <c r="B512" s="298">
        <f>'Supply planning data'!D510</f>
        <v>45200</v>
      </c>
      <c r="C512" s="105" t="str">
        <f>'Supply planning data'!E510</f>
        <v>No</v>
      </c>
      <c r="D512" s="105">
        <f>'Supply planning data'!F510</f>
        <v>0</v>
      </c>
      <c r="E512" s="320">
        <f>'Supply planning data'!G510</f>
        <v>0</v>
      </c>
      <c r="F512" s="320">
        <f>'Supply planning data'!H510</f>
        <v>0</v>
      </c>
      <c r="G512" s="320">
        <f>'Supply planning data'!I510</f>
        <v>0</v>
      </c>
      <c r="H512" s="105">
        <f>'Supply planning data'!J510</f>
        <v>0</v>
      </c>
      <c r="I512" s="320">
        <f>'Supply planning data'!K510</f>
        <v>0</v>
      </c>
      <c r="J512" s="177" t="str">
        <f>'Supply planning data'!L510</f>
        <v/>
      </c>
      <c r="K512" s="105">
        <f>'Supply planning data'!M510</f>
        <v>0</v>
      </c>
      <c r="L512" s="321">
        <f>'Supply planning data'!N510+'Supply planning data'!P510</f>
        <v>0</v>
      </c>
      <c r="M512" s="342">
        <f>'Supply planning data'!O510</f>
        <v>0</v>
      </c>
      <c r="N512" s="321">
        <f>'Supply planning data'!P510</f>
        <v>0</v>
      </c>
      <c r="O512" s="342">
        <f>'Supply planning data'!Q510</f>
        <v>0</v>
      </c>
      <c r="P512" s="111">
        <f>'Supply planning data'!R510</f>
        <v>0</v>
      </c>
      <c r="Q512" s="111">
        <f>'Supply planning data'!S510</f>
        <v>0</v>
      </c>
      <c r="R512" s="111">
        <f>'Supply planning data'!T510</f>
        <v>0</v>
      </c>
      <c r="S512" s="111">
        <f>'Supply planning data'!U510</f>
        <v>0</v>
      </c>
      <c r="T512" s="111">
        <f>'Supply planning data'!V510</f>
        <v>0</v>
      </c>
      <c r="U512" s="327" t="str">
        <f>'Supply planning data'!W510</f>
        <v/>
      </c>
      <c r="V512" s="111">
        <f>'Supply planning data'!X510</f>
        <v>0</v>
      </c>
      <c r="W512" s="321">
        <f>'Supply planning data'!Y510</f>
        <v>0</v>
      </c>
      <c r="X512" s="329">
        <f>'Supply planning data'!Z510</f>
        <v>0</v>
      </c>
      <c r="Y512" s="111">
        <f>'Supply planning data'!AA510</f>
        <v>0</v>
      </c>
      <c r="Z512" s="111">
        <f>'Supply planning data'!AB510</f>
        <v>0</v>
      </c>
      <c r="AA512" s="111">
        <f>'Supply planning data'!AC510</f>
        <v>0</v>
      </c>
      <c r="AB512" s="111">
        <f>'Supply planning data'!AD510</f>
        <v>0</v>
      </c>
      <c r="AC512" s="111">
        <f>'Supply planning data'!AE510</f>
        <v>0</v>
      </c>
      <c r="AD512" s="327" t="str">
        <f>'Supply planning data'!AF510</f>
        <v/>
      </c>
      <c r="AE512" s="111">
        <f>'Supply planning data'!AG510</f>
        <v>0</v>
      </c>
      <c r="AF512" s="321">
        <f>'Supply planning data'!AH510</f>
        <v>0</v>
      </c>
      <c r="AG512" s="349">
        <f>'Supply planning data'!AI510</f>
        <v>0</v>
      </c>
      <c r="AH512" s="111">
        <f>'Supply planning data'!AJ510</f>
        <v>0</v>
      </c>
      <c r="AI512" s="111">
        <f>'Supply planning data'!AK510</f>
        <v>0</v>
      </c>
      <c r="AJ512" s="111">
        <f>'Supply planning data'!AL510</f>
        <v>0</v>
      </c>
      <c r="AK512" s="111">
        <f>'Supply planning data'!AM510</f>
        <v>0</v>
      </c>
      <c r="AL512" s="111">
        <f>'Supply planning data'!AN510</f>
        <v>0</v>
      </c>
      <c r="AM512" s="327" t="str">
        <f>'Supply planning data'!AO510</f>
        <v/>
      </c>
    </row>
    <row r="513" spans="1:39" hidden="1" x14ac:dyDescent="0.25">
      <c r="A513" s="109" t="str">
        <f>'Supply planning data'!C511</f>
        <v/>
      </c>
      <c r="B513" s="298">
        <f>'Supply planning data'!D511</f>
        <v>45200</v>
      </c>
      <c r="C513" s="105" t="str">
        <f>'Supply planning data'!E511</f>
        <v>No</v>
      </c>
      <c r="D513" s="105">
        <f>'Supply planning data'!F511</f>
        <v>0</v>
      </c>
      <c r="E513" s="320">
        <f>'Supply planning data'!G511</f>
        <v>0</v>
      </c>
      <c r="F513" s="320">
        <f>'Supply planning data'!H511</f>
        <v>0</v>
      </c>
      <c r="G513" s="320">
        <f>'Supply planning data'!I511</f>
        <v>0</v>
      </c>
      <c r="H513" s="105">
        <f>'Supply planning data'!J511</f>
        <v>0</v>
      </c>
      <c r="I513" s="320">
        <f>'Supply planning data'!K511</f>
        <v>0</v>
      </c>
      <c r="J513" s="177" t="str">
        <f>'Supply planning data'!L511</f>
        <v/>
      </c>
      <c r="K513" s="105">
        <f>'Supply planning data'!M511</f>
        <v>0</v>
      </c>
      <c r="L513" s="321">
        <f>'Supply planning data'!N511+'Supply planning data'!P511</f>
        <v>0</v>
      </c>
      <c r="M513" s="342">
        <f>'Supply planning data'!O511</f>
        <v>0</v>
      </c>
      <c r="N513" s="321">
        <f>'Supply planning data'!P511</f>
        <v>0</v>
      </c>
      <c r="O513" s="342">
        <f>'Supply planning data'!Q511</f>
        <v>0</v>
      </c>
      <c r="P513" s="111">
        <f>'Supply planning data'!R511</f>
        <v>0</v>
      </c>
      <c r="Q513" s="111">
        <f>'Supply planning data'!S511</f>
        <v>0</v>
      </c>
      <c r="R513" s="111">
        <f>'Supply planning data'!T511</f>
        <v>0</v>
      </c>
      <c r="S513" s="111">
        <f>'Supply planning data'!U511</f>
        <v>0</v>
      </c>
      <c r="T513" s="111">
        <f>'Supply planning data'!V511</f>
        <v>0</v>
      </c>
      <c r="U513" s="327" t="str">
        <f>'Supply planning data'!W511</f>
        <v/>
      </c>
      <c r="V513" s="111">
        <f>'Supply planning data'!X511</f>
        <v>0</v>
      </c>
      <c r="W513" s="321">
        <f>'Supply planning data'!Y511</f>
        <v>0</v>
      </c>
      <c r="X513" s="329">
        <f>'Supply planning data'!Z511</f>
        <v>0</v>
      </c>
      <c r="Y513" s="111">
        <f>'Supply planning data'!AA511</f>
        <v>0</v>
      </c>
      <c r="Z513" s="111">
        <f>'Supply planning data'!AB511</f>
        <v>0</v>
      </c>
      <c r="AA513" s="111">
        <f>'Supply planning data'!AC511</f>
        <v>0</v>
      </c>
      <c r="AB513" s="111">
        <f>'Supply planning data'!AD511</f>
        <v>0</v>
      </c>
      <c r="AC513" s="111">
        <f>'Supply planning data'!AE511</f>
        <v>0</v>
      </c>
      <c r="AD513" s="327" t="str">
        <f>'Supply planning data'!AF511</f>
        <v/>
      </c>
      <c r="AE513" s="111">
        <f>'Supply planning data'!AG511</f>
        <v>0</v>
      </c>
      <c r="AF513" s="321">
        <f>'Supply planning data'!AH511</f>
        <v>0</v>
      </c>
      <c r="AG513" s="349">
        <f>'Supply planning data'!AI511</f>
        <v>0</v>
      </c>
      <c r="AH513" s="111">
        <f>'Supply planning data'!AJ511</f>
        <v>0</v>
      </c>
      <c r="AI513" s="111">
        <f>'Supply planning data'!AK511</f>
        <v>0</v>
      </c>
      <c r="AJ513" s="111">
        <f>'Supply planning data'!AL511</f>
        <v>0</v>
      </c>
      <c r="AK513" s="111">
        <f>'Supply planning data'!AM511</f>
        <v>0</v>
      </c>
      <c r="AL513" s="111">
        <f>'Supply planning data'!AN511</f>
        <v>0</v>
      </c>
      <c r="AM513" s="327" t="str">
        <f>'Supply planning data'!AO511</f>
        <v/>
      </c>
    </row>
    <row r="514" spans="1:39" hidden="1" x14ac:dyDescent="0.25">
      <c r="A514" s="104" t="str">
        <f>'Supply planning data'!C512</f>
        <v/>
      </c>
      <c r="B514" s="298">
        <f>'Supply planning data'!D512</f>
        <v>45200</v>
      </c>
      <c r="C514" s="105" t="str">
        <f>'Supply planning data'!E512</f>
        <v>No</v>
      </c>
      <c r="D514" s="105">
        <f>'Supply planning data'!F512</f>
        <v>0</v>
      </c>
      <c r="E514" s="320">
        <f>'Supply planning data'!G512</f>
        <v>0</v>
      </c>
      <c r="F514" s="320">
        <f>'Supply planning data'!H512</f>
        <v>0</v>
      </c>
      <c r="G514" s="320">
        <f>'Supply planning data'!I512</f>
        <v>0</v>
      </c>
      <c r="H514" s="105">
        <f>'Supply planning data'!J512</f>
        <v>0</v>
      </c>
      <c r="I514" s="320">
        <f>'Supply planning data'!K512</f>
        <v>0</v>
      </c>
      <c r="J514" s="177" t="str">
        <f>'Supply planning data'!L512</f>
        <v/>
      </c>
      <c r="K514" s="105">
        <f>'Supply planning data'!M512</f>
        <v>0</v>
      </c>
      <c r="L514" s="321">
        <f>'Supply planning data'!N512+'Supply planning data'!P512</f>
        <v>0</v>
      </c>
      <c r="M514" s="342">
        <f>'Supply planning data'!O512</f>
        <v>0</v>
      </c>
      <c r="N514" s="321">
        <f>'Supply planning data'!P512</f>
        <v>0</v>
      </c>
      <c r="O514" s="342">
        <f>'Supply planning data'!Q512</f>
        <v>0</v>
      </c>
      <c r="P514" s="111">
        <f>'Supply planning data'!R512</f>
        <v>0</v>
      </c>
      <c r="Q514" s="111">
        <f>'Supply planning data'!S512</f>
        <v>0</v>
      </c>
      <c r="R514" s="111">
        <f>'Supply planning data'!T512</f>
        <v>0</v>
      </c>
      <c r="S514" s="111">
        <f>'Supply planning data'!U512</f>
        <v>0</v>
      </c>
      <c r="T514" s="111">
        <f>'Supply planning data'!V512</f>
        <v>0</v>
      </c>
      <c r="U514" s="327" t="str">
        <f>'Supply planning data'!W512</f>
        <v/>
      </c>
      <c r="V514" s="111">
        <f>'Supply planning data'!X512</f>
        <v>0</v>
      </c>
      <c r="W514" s="321">
        <f>'Supply planning data'!Y512</f>
        <v>0</v>
      </c>
      <c r="X514" s="329">
        <f>'Supply planning data'!Z512</f>
        <v>0</v>
      </c>
      <c r="Y514" s="111">
        <f>'Supply planning data'!AA512</f>
        <v>0</v>
      </c>
      <c r="Z514" s="111">
        <f>'Supply planning data'!AB512</f>
        <v>0</v>
      </c>
      <c r="AA514" s="111">
        <f>'Supply planning data'!AC512</f>
        <v>0</v>
      </c>
      <c r="AB514" s="111">
        <f>'Supply planning data'!AD512</f>
        <v>0</v>
      </c>
      <c r="AC514" s="111">
        <f>'Supply planning data'!AE512</f>
        <v>0</v>
      </c>
      <c r="AD514" s="327" t="str">
        <f>'Supply planning data'!AF512</f>
        <v/>
      </c>
      <c r="AE514" s="111">
        <f>'Supply planning data'!AG512</f>
        <v>0</v>
      </c>
      <c r="AF514" s="321">
        <f>'Supply planning data'!AH512</f>
        <v>0</v>
      </c>
      <c r="AG514" s="349">
        <f>'Supply planning data'!AI512</f>
        <v>0</v>
      </c>
      <c r="AH514" s="111">
        <f>'Supply planning data'!AJ512</f>
        <v>0</v>
      </c>
      <c r="AI514" s="111">
        <f>'Supply planning data'!AK512</f>
        <v>0</v>
      </c>
      <c r="AJ514" s="111">
        <f>'Supply planning data'!AL512</f>
        <v>0</v>
      </c>
      <c r="AK514" s="111">
        <f>'Supply planning data'!AM512</f>
        <v>0</v>
      </c>
      <c r="AL514" s="111">
        <f>'Supply planning data'!AN512</f>
        <v>0</v>
      </c>
      <c r="AM514" s="327" t="str">
        <f>'Supply planning data'!AO512</f>
        <v/>
      </c>
    </row>
    <row r="515" spans="1:39" hidden="1" x14ac:dyDescent="0.25">
      <c r="A515" s="109" t="str">
        <f>'Supply planning data'!C513</f>
        <v/>
      </c>
      <c r="B515" s="298">
        <f>'Supply planning data'!D513</f>
        <v>45200</v>
      </c>
      <c r="C515" s="105" t="str">
        <f>'Supply planning data'!E513</f>
        <v>No</v>
      </c>
      <c r="D515" s="105">
        <f>'Supply planning data'!F513</f>
        <v>0</v>
      </c>
      <c r="E515" s="320">
        <f>'Supply planning data'!G513</f>
        <v>0</v>
      </c>
      <c r="F515" s="320">
        <f>'Supply planning data'!H513</f>
        <v>0</v>
      </c>
      <c r="G515" s="320">
        <f>'Supply planning data'!I513</f>
        <v>0</v>
      </c>
      <c r="H515" s="105">
        <f>'Supply planning data'!J513</f>
        <v>0</v>
      </c>
      <c r="I515" s="320">
        <f>'Supply planning data'!K513</f>
        <v>0</v>
      </c>
      <c r="J515" s="177" t="str">
        <f>'Supply planning data'!L513</f>
        <v/>
      </c>
      <c r="K515" s="105">
        <f>'Supply planning data'!M513</f>
        <v>0</v>
      </c>
      <c r="L515" s="321">
        <f>'Supply planning data'!N513+'Supply planning data'!P513</f>
        <v>0</v>
      </c>
      <c r="M515" s="342">
        <f>'Supply planning data'!O513</f>
        <v>0</v>
      </c>
      <c r="N515" s="321">
        <f>'Supply planning data'!P513</f>
        <v>0</v>
      </c>
      <c r="O515" s="342">
        <f>'Supply planning data'!Q513</f>
        <v>0</v>
      </c>
      <c r="P515" s="111">
        <f>'Supply planning data'!R513</f>
        <v>0</v>
      </c>
      <c r="Q515" s="111">
        <f>'Supply planning data'!S513</f>
        <v>0</v>
      </c>
      <c r="R515" s="111">
        <f>'Supply planning data'!T513</f>
        <v>0</v>
      </c>
      <c r="S515" s="111">
        <f>'Supply planning data'!U513</f>
        <v>0</v>
      </c>
      <c r="T515" s="111">
        <f>'Supply planning data'!V513</f>
        <v>0</v>
      </c>
      <c r="U515" s="327" t="str">
        <f>'Supply planning data'!W513</f>
        <v/>
      </c>
      <c r="V515" s="111">
        <f>'Supply planning data'!X513</f>
        <v>0</v>
      </c>
      <c r="W515" s="321">
        <f>'Supply planning data'!Y513</f>
        <v>0</v>
      </c>
      <c r="X515" s="329">
        <f>'Supply planning data'!Z513</f>
        <v>0</v>
      </c>
      <c r="Y515" s="111">
        <f>'Supply planning data'!AA513</f>
        <v>0</v>
      </c>
      <c r="Z515" s="111">
        <f>'Supply planning data'!AB513</f>
        <v>0</v>
      </c>
      <c r="AA515" s="111">
        <f>'Supply planning data'!AC513</f>
        <v>0</v>
      </c>
      <c r="AB515" s="111">
        <f>'Supply planning data'!AD513</f>
        <v>0</v>
      </c>
      <c r="AC515" s="111">
        <f>'Supply planning data'!AE513</f>
        <v>0</v>
      </c>
      <c r="AD515" s="327" t="str">
        <f>'Supply planning data'!AF513</f>
        <v/>
      </c>
      <c r="AE515" s="111">
        <f>'Supply planning data'!AG513</f>
        <v>0</v>
      </c>
      <c r="AF515" s="321">
        <f>'Supply planning data'!AH513</f>
        <v>0</v>
      </c>
      <c r="AG515" s="349">
        <f>'Supply planning data'!AI513</f>
        <v>0</v>
      </c>
      <c r="AH515" s="111">
        <f>'Supply planning data'!AJ513</f>
        <v>0</v>
      </c>
      <c r="AI515" s="111">
        <f>'Supply planning data'!AK513</f>
        <v>0</v>
      </c>
      <c r="AJ515" s="111">
        <f>'Supply planning data'!AL513</f>
        <v>0</v>
      </c>
      <c r="AK515" s="111">
        <f>'Supply planning data'!AM513</f>
        <v>0</v>
      </c>
      <c r="AL515" s="111">
        <f>'Supply planning data'!AN513</f>
        <v>0</v>
      </c>
      <c r="AM515" s="327" t="str">
        <f>'Supply planning data'!AO513</f>
        <v/>
      </c>
    </row>
    <row r="516" spans="1:39" hidden="1" x14ac:dyDescent="0.25">
      <c r="A516" s="104" t="str">
        <f>'Supply planning data'!C514</f>
        <v/>
      </c>
      <c r="B516" s="298">
        <f>'Supply planning data'!D514</f>
        <v>45200</v>
      </c>
      <c r="C516" s="105" t="str">
        <f>'Supply planning data'!E514</f>
        <v>No</v>
      </c>
      <c r="D516" s="105">
        <f>'Supply planning data'!F514</f>
        <v>0</v>
      </c>
      <c r="E516" s="320">
        <f>'Supply planning data'!G514</f>
        <v>0</v>
      </c>
      <c r="F516" s="320">
        <f>'Supply planning data'!H514</f>
        <v>0</v>
      </c>
      <c r="G516" s="320">
        <f>'Supply planning data'!I514</f>
        <v>0</v>
      </c>
      <c r="H516" s="105">
        <f>'Supply planning data'!J514</f>
        <v>0</v>
      </c>
      <c r="I516" s="320">
        <f>'Supply planning data'!K514</f>
        <v>0</v>
      </c>
      <c r="J516" s="177" t="str">
        <f>'Supply planning data'!L514</f>
        <v/>
      </c>
      <c r="K516" s="105">
        <f>'Supply planning data'!M514</f>
        <v>0</v>
      </c>
      <c r="L516" s="321">
        <f>'Supply planning data'!N514+'Supply planning data'!P514</f>
        <v>0</v>
      </c>
      <c r="M516" s="342">
        <f>'Supply planning data'!O514</f>
        <v>0</v>
      </c>
      <c r="N516" s="321">
        <f>'Supply planning data'!P514</f>
        <v>0</v>
      </c>
      <c r="O516" s="342">
        <f>'Supply planning data'!Q514</f>
        <v>0</v>
      </c>
      <c r="P516" s="111">
        <f>'Supply planning data'!R514</f>
        <v>0</v>
      </c>
      <c r="Q516" s="111">
        <f>'Supply planning data'!S514</f>
        <v>0</v>
      </c>
      <c r="R516" s="111">
        <f>'Supply planning data'!T514</f>
        <v>0</v>
      </c>
      <c r="S516" s="111">
        <f>'Supply planning data'!U514</f>
        <v>0</v>
      </c>
      <c r="T516" s="111">
        <f>'Supply planning data'!V514</f>
        <v>0</v>
      </c>
      <c r="U516" s="327" t="str">
        <f>'Supply planning data'!W514</f>
        <v/>
      </c>
      <c r="V516" s="111">
        <f>'Supply planning data'!X514</f>
        <v>0</v>
      </c>
      <c r="W516" s="321">
        <f>'Supply planning data'!Y514</f>
        <v>0</v>
      </c>
      <c r="X516" s="329">
        <f>'Supply planning data'!Z514</f>
        <v>0</v>
      </c>
      <c r="Y516" s="111">
        <f>'Supply planning data'!AA514</f>
        <v>0</v>
      </c>
      <c r="Z516" s="111">
        <f>'Supply planning data'!AB514</f>
        <v>0</v>
      </c>
      <c r="AA516" s="111">
        <f>'Supply planning data'!AC514</f>
        <v>0</v>
      </c>
      <c r="AB516" s="111">
        <f>'Supply planning data'!AD514</f>
        <v>0</v>
      </c>
      <c r="AC516" s="111">
        <f>'Supply planning data'!AE514</f>
        <v>0</v>
      </c>
      <c r="AD516" s="327" t="str">
        <f>'Supply planning data'!AF514</f>
        <v/>
      </c>
      <c r="AE516" s="111">
        <f>'Supply planning data'!AG514</f>
        <v>0</v>
      </c>
      <c r="AF516" s="321">
        <f>'Supply planning data'!AH514</f>
        <v>0</v>
      </c>
      <c r="AG516" s="349">
        <f>'Supply planning data'!AI514</f>
        <v>0</v>
      </c>
      <c r="AH516" s="111">
        <f>'Supply planning data'!AJ514</f>
        <v>0</v>
      </c>
      <c r="AI516" s="111">
        <f>'Supply planning data'!AK514</f>
        <v>0</v>
      </c>
      <c r="AJ516" s="111">
        <f>'Supply planning data'!AL514</f>
        <v>0</v>
      </c>
      <c r="AK516" s="111">
        <f>'Supply planning data'!AM514</f>
        <v>0</v>
      </c>
      <c r="AL516" s="111">
        <f>'Supply planning data'!AN514</f>
        <v>0</v>
      </c>
      <c r="AM516" s="327" t="str">
        <f>'Supply planning data'!AO514</f>
        <v/>
      </c>
    </row>
    <row r="517" spans="1:39" x14ac:dyDescent="0.25">
      <c r="A517" s="90" t="str">
        <f>'Supply planning data'!C515</f>
        <v>AstraZeneca</v>
      </c>
      <c r="B517" s="296">
        <f>'Supply planning data'!D515</f>
        <v>45231</v>
      </c>
      <c r="C517" s="92" t="str">
        <f>'Supply planning data'!E515</f>
        <v>Yes</v>
      </c>
      <c r="D517" s="92">
        <f>'Supply planning data'!F515</f>
        <v>0</v>
      </c>
      <c r="E517" s="316">
        <f>'Supply planning data'!G515</f>
        <v>0</v>
      </c>
      <c r="F517" s="316">
        <f>'Supply planning data'!H515</f>
        <v>0</v>
      </c>
      <c r="G517" s="316">
        <f>'Supply planning data'!I515</f>
        <v>0</v>
      </c>
      <c r="H517" s="92">
        <f>'Supply planning data'!J515</f>
        <v>0</v>
      </c>
      <c r="I517" s="316">
        <f>'Supply planning data'!K515</f>
        <v>0</v>
      </c>
      <c r="J517" s="174" t="str">
        <f>'Supply planning data'!L515</f>
        <v/>
      </c>
      <c r="K517" s="92">
        <f>'Supply planning data'!M515</f>
        <v>0</v>
      </c>
      <c r="L517" s="316">
        <f>'Supply planning data'!N515+'Supply planning data'!P515</f>
        <v>0</v>
      </c>
      <c r="M517" s="343">
        <f>'Supply planning data'!O515</f>
        <v>0</v>
      </c>
      <c r="N517" s="316">
        <f>'Supply planning data'!P515</f>
        <v>0</v>
      </c>
      <c r="O517" s="343">
        <f>'Supply planning data'!Q515</f>
        <v>0</v>
      </c>
      <c r="P517" s="92">
        <f>'Supply planning data'!R515</f>
        <v>0</v>
      </c>
      <c r="Q517" s="92">
        <f>'Supply planning data'!S515</f>
        <v>0</v>
      </c>
      <c r="R517" s="92">
        <f>'Supply planning data'!T515</f>
        <v>0</v>
      </c>
      <c r="S517" s="92">
        <f>'Supply planning data'!U515</f>
        <v>0</v>
      </c>
      <c r="T517" s="92">
        <f>'Supply planning data'!V515</f>
        <v>0</v>
      </c>
      <c r="U517" s="324" t="str">
        <f>'Supply planning data'!W515</f>
        <v/>
      </c>
      <c r="V517" s="92">
        <f>'Supply planning data'!X515</f>
        <v>154701</v>
      </c>
      <c r="W517" s="316">
        <f>'Supply planning data'!Y515</f>
        <v>0</v>
      </c>
      <c r="X517" s="328">
        <f>'Supply planning data'!Z515</f>
        <v>0</v>
      </c>
      <c r="Y517" s="92">
        <f>'Supply planning data'!AA515</f>
        <v>0</v>
      </c>
      <c r="Z517" s="92">
        <f>'Supply planning data'!AB515</f>
        <v>0</v>
      </c>
      <c r="AA517" s="92">
        <f>'Supply planning data'!AC515</f>
        <v>0</v>
      </c>
      <c r="AB517" s="92">
        <f>'Supply planning data'!AD515</f>
        <v>0</v>
      </c>
      <c r="AC517" s="92">
        <f>'Supply planning data'!AE515</f>
        <v>154701</v>
      </c>
      <c r="AD517" s="324" t="str">
        <f>'Supply planning data'!AF515</f>
        <v/>
      </c>
      <c r="AE517" s="92">
        <f>'Supply planning data'!AG515</f>
        <v>0</v>
      </c>
      <c r="AF517" s="316">
        <f>'Supply planning data'!AH515</f>
        <v>0</v>
      </c>
      <c r="AG517" s="174">
        <f>'Supply planning data'!AI515</f>
        <v>0</v>
      </c>
      <c r="AH517" s="92">
        <f>'Supply planning data'!AJ515</f>
        <v>0</v>
      </c>
      <c r="AI517" s="92">
        <f>'Supply planning data'!AK515</f>
        <v>0</v>
      </c>
      <c r="AJ517" s="92">
        <f>'Supply planning data'!AL515</f>
        <v>0</v>
      </c>
      <c r="AK517" s="92">
        <f>'Supply planning data'!AM515</f>
        <v>0</v>
      </c>
      <c r="AL517" s="92">
        <f>'Supply planning data'!AN515</f>
        <v>0</v>
      </c>
      <c r="AM517" s="324" t="str">
        <f>'Supply planning data'!AO515</f>
        <v/>
      </c>
    </row>
    <row r="518" spans="1:39" x14ac:dyDescent="0.25">
      <c r="A518" s="90" t="str">
        <f>'Supply planning data'!C516</f>
        <v>Jansen</v>
      </c>
      <c r="B518" s="296">
        <f>'Supply planning data'!D516</f>
        <v>45231</v>
      </c>
      <c r="C518" s="92" t="str">
        <f>'Supply planning data'!E516</f>
        <v>Yes</v>
      </c>
      <c r="D518" s="92">
        <f>'Supply planning data'!F516</f>
        <v>2258747</v>
      </c>
      <c r="E518" s="316">
        <f>'Supply planning data'!G516</f>
        <v>0</v>
      </c>
      <c r="F518" s="317">
        <f>'Supply planning data'!H516</f>
        <v>0</v>
      </c>
      <c r="G518" s="317">
        <f>'Supply planning data'!I516</f>
        <v>0</v>
      </c>
      <c r="H518" s="98">
        <f>'Supply planning data'!J516</f>
        <v>0</v>
      </c>
      <c r="I518" s="317">
        <f>'Supply planning data'!K516</f>
        <v>0</v>
      </c>
      <c r="J518" s="175" t="str">
        <f>'Supply planning data'!L516</f>
        <v/>
      </c>
      <c r="K518" s="98">
        <f>'Supply planning data'!M516</f>
        <v>0</v>
      </c>
      <c r="L518" s="317">
        <f>'Supply planning data'!N516+'Supply planning data'!P516</f>
        <v>0</v>
      </c>
      <c r="M518" s="339">
        <f>'Supply planning data'!O516</f>
        <v>0</v>
      </c>
      <c r="N518" s="317">
        <f>'Supply planning data'!P516</f>
        <v>0</v>
      </c>
      <c r="O518" s="339">
        <f>'Supply planning data'!Q516</f>
        <v>0</v>
      </c>
      <c r="P518" s="98">
        <f>'Supply planning data'!R516</f>
        <v>0</v>
      </c>
      <c r="Q518" s="98">
        <f>'Supply planning data'!S516</f>
        <v>0</v>
      </c>
      <c r="R518" s="98">
        <f>'Supply planning data'!T516</f>
        <v>187547</v>
      </c>
      <c r="S518" s="98">
        <f>'Supply planning data'!U516</f>
        <v>187547</v>
      </c>
      <c r="T518" s="98">
        <f>'Supply planning data'!V516</f>
        <v>2071200</v>
      </c>
      <c r="U518" s="325" t="str">
        <f>'Supply planning data'!W516</f>
        <v/>
      </c>
      <c r="V518" s="98">
        <f>'Supply planning data'!X516</f>
        <v>1698747</v>
      </c>
      <c r="W518" s="317">
        <f>'Supply planning data'!Y516</f>
        <v>0</v>
      </c>
      <c r="X518" s="328">
        <f>'Supply planning data'!Z516</f>
        <v>0</v>
      </c>
      <c r="Y518" s="98">
        <f>'Supply planning data'!AA516</f>
        <v>0</v>
      </c>
      <c r="Z518" s="98">
        <f>'Supply planning data'!AB516</f>
        <v>0</v>
      </c>
      <c r="AA518" s="98">
        <f>'Supply planning data'!AC516</f>
        <v>0</v>
      </c>
      <c r="AB518" s="98">
        <f>'Supply planning data'!AD516</f>
        <v>0</v>
      </c>
      <c r="AC518" s="98">
        <f>'Supply planning data'!AE516</f>
        <v>1511200</v>
      </c>
      <c r="AD518" s="325" t="str">
        <f>'Supply planning data'!AF516</f>
        <v/>
      </c>
      <c r="AE518" s="98">
        <f>'Supply planning data'!AG516</f>
        <v>2258747</v>
      </c>
      <c r="AF518" s="317">
        <f>'Supply planning data'!AH516</f>
        <v>0</v>
      </c>
      <c r="AG518" s="175">
        <f>'Supply planning data'!AI516</f>
        <v>0</v>
      </c>
      <c r="AH518" s="98">
        <f>'Supply planning data'!AJ516</f>
        <v>0</v>
      </c>
      <c r="AI518" s="98">
        <f>'Supply planning data'!AK516</f>
        <v>0</v>
      </c>
      <c r="AJ518" s="98">
        <f>'Supply planning data'!AL516</f>
        <v>187547</v>
      </c>
      <c r="AK518" s="98">
        <f>'Supply planning data'!AM516</f>
        <v>187547</v>
      </c>
      <c r="AL518" s="98">
        <f>'Supply planning data'!AN516</f>
        <v>2071200</v>
      </c>
      <c r="AM518" s="325" t="str">
        <f>'Supply planning data'!AO516</f>
        <v/>
      </c>
    </row>
    <row r="519" spans="1:39" x14ac:dyDescent="0.25">
      <c r="A519" s="90" t="str">
        <f>'Supply planning data'!C517</f>
        <v>Moderna</v>
      </c>
      <c r="B519" s="296">
        <f>'Supply planning data'!D517</f>
        <v>45231</v>
      </c>
      <c r="C519" s="92" t="str">
        <f>'Supply planning data'!E517</f>
        <v>No</v>
      </c>
      <c r="D519" s="92">
        <f>'Supply planning data'!F517</f>
        <v>0</v>
      </c>
      <c r="E519" s="316">
        <f>'Supply planning data'!G517</f>
        <v>0</v>
      </c>
      <c r="F519" s="317">
        <f>'Supply planning data'!H517</f>
        <v>0</v>
      </c>
      <c r="G519" s="317">
        <f>'Supply planning data'!I517</f>
        <v>0</v>
      </c>
      <c r="H519" s="98">
        <f>'Supply planning data'!J517</f>
        <v>0</v>
      </c>
      <c r="I519" s="317">
        <f>'Supply planning data'!K517</f>
        <v>0</v>
      </c>
      <c r="J519" s="175" t="str">
        <f>'Supply planning data'!L517</f>
        <v/>
      </c>
      <c r="K519" s="98">
        <f>'Supply planning data'!M517</f>
        <v>0</v>
      </c>
      <c r="L519" s="317">
        <f>'Supply planning data'!N517+'Supply planning data'!P517</f>
        <v>0</v>
      </c>
      <c r="M519" s="339">
        <f>'Supply planning data'!O517</f>
        <v>0</v>
      </c>
      <c r="N519" s="317">
        <f>'Supply planning data'!P517</f>
        <v>0</v>
      </c>
      <c r="O519" s="339">
        <f>'Supply planning data'!Q517</f>
        <v>0</v>
      </c>
      <c r="P519" s="98">
        <f>'Supply planning data'!R517</f>
        <v>0</v>
      </c>
      <c r="Q519" s="98">
        <f>'Supply planning data'!S517</f>
        <v>0</v>
      </c>
      <c r="R519" s="98">
        <f>'Supply planning data'!T517</f>
        <v>0</v>
      </c>
      <c r="S519" s="98">
        <f>'Supply planning data'!U517</f>
        <v>0</v>
      </c>
      <c r="T519" s="98">
        <f>'Supply planning data'!V517</f>
        <v>0</v>
      </c>
      <c r="U519" s="325" t="str">
        <f>'Supply planning data'!W517</f>
        <v/>
      </c>
      <c r="V519" s="98">
        <f>'Supply planning data'!X517</f>
        <v>0</v>
      </c>
      <c r="W519" s="317">
        <f>'Supply planning data'!Y517</f>
        <v>0</v>
      </c>
      <c r="X519" s="328">
        <f>'Supply planning data'!Z517</f>
        <v>0</v>
      </c>
      <c r="Y519" s="98">
        <f>'Supply planning data'!AA517</f>
        <v>0</v>
      </c>
      <c r="Z519" s="98">
        <f>'Supply planning data'!AB517</f>
        <v>0</v>
      </c>
      <c r="AA519" s="98">
        <f>'Supply planning data'!AC517</f>
        <v>0</v>
      </c>
      <c r="AB519" s="98">
        <f>'Supply planning data'!AD517</f>
        <v>0</v>
      </c>
      <c r="AC519" s="98">
        <f>'Supply planning data'!AE517</f>
        <v>0</v>
      </c>
      <c r="AD519" s="325" t="str">
        <f>'Supply planning data'!AF517</f>
        <v/>
      </c>
      <c r="AE519" s="98">
        <f>'Supply planning data'!AG517</f>
        <v>0</v>
      </c>
      <c r="AF519" s="317">
        <f>'Supply planning data'!AH517</f>
        <v>0</v>
      </c>
      <c r="AG519" s="175">
        <f>'Supply planning data'!AI517</f>
        <v>0</v>
      </c>
      <c r="AH519" s="98">
        <f>'Supply planning data'!AJ517</f>
        <v>0</v>
      </c>
      <c r="AI519" s="98">
        <f>'Supply planning data'!AK517</f>
        <v>0</v>
      </c>
      <c r="AJ519" s="98">
        <f>'Supply planning data'!AL517</f>
        <v>0</v>
      </c>
      <c r="AK519" s="98">
        <f>'Supply planning data'!AM517</f>
        <v>0</v>
      </c>
      <c r="AL519" s="98">
        <f>'Supply planning data'!AN517</f>
        <v>0</v>
      </c>
      <c r="AM519" s="325" t="str">
        <f>'Supply planning data'!AO517</f>
        <v/>
      </c>
    </row>
    <row r="520" spans="1:39" x14ac:dyDescent="0.25">
      <c r="A520" s="90" t="str">
        <f>'Supply planning data'!C518</f>
        <v>Pfizer</v>
      </c>
      <c r="B520" s="296">
        <f>'Supply planning data'!D518</f>
        <v>45231</v>
      </c>
      <c r="C520" s="92" t="str">
        <f>'Supply planning data'!E518</f>
        <v>Yes</v>
      </c>
      <c r="D520" s="92">
        <f>'Supply planning data'!F518</f>
        <v>3000000</v>
      </c>
      <c r="E520" s="316">
        <f>'Supply planning data'!G518</f>
        <v>0</v>
      </c>
      <c r="F520" s="317">
        <f>'Supply planning data'!H518</f>
        <v>0</v>
      </c>
      <c r="G520" s="317">
        <f>'Supply planning data'!I518</f>
        <v>0</v>
      </c>
      <c r="H520" s="98">
        <f>'Supply planning data'!J518</f>
        <v>0</v>
      </c>
      <c r="I520" s="317">
        <f>'Supply planning data'!K518</f>
        <v>0</v>
      </c>
      <c r="J520" s="175" t="str">
        <f>'Supply planning data'!L518</f>
        <v/>
      </c>
      <c r="K520" s="98">
        <f>'Supply planning data'!M518</f>
        <v>0</v>
      </c>
      <c r="L520" s="317">
        <f>'Supply planning data'!N518+'Supply planning data'!P518</f>
        <v>0</v>
      </c>
      <c r="M520" s="339">
        <f>'Supply planning data'!O518</f>
        <v>0</v>
      </c>
      <c r="N520" s="317">
        <f>'Supply planning data'!P518</f>
        <v>0</v>
      </c>
      <c r="O520" s="339">
        <f>'Supply planning data'!Q518</f>
        <v>0</v>
      </c>
      <c r="P520" s="98">
        <f>'Supply planning data'!R518</f>
        <v>0</v>
      </c>
      <c r="Q520" s="98">
        <f>'Supply planning data'!S518</f>
        <v>0</v>
      </c>
      <c r="R520" s="98">
        <f>'Supply planning data'!T518</f>
        <v>110538</v>
      </c>
      <c r="S520" s="98">
        <f>'Supply planning data'!U518</f>
        <v>0</v>
      </c>
      <c r="T520" s="98">
        <f>'Supply planning data'!V518</f>
        <v>3000000</v>
      </c>
      <c r="U520" s="325" t="str">
        <f>'Supply planning data'!W518</f>
        <v/>
      </c>
      <c r="V520" s="98">
        <f>'Supply planning data'!X518</f>
        <v>2440000</v>
      </c>
      <c r="W520" s="317">
        <f>'Supply planning data'!Y518</f>
        <v>0</v>
      </c>
      <c r="X520" s="328">
        <f>'Supply planning data'!Z518</f>
        <v>0</v>
      </c>
      <c r="Y520" s="98">
        <f>'Supply planning data'!AA518</f>
        <v>0</v>
      </c>
      <c r="Z520" s="98">
        <f>'Supply planning data'!AB518</f>
        <v>0</v>
      </c>
      <c r="AA520" s="98">
        <f>'Supply planning data'!AC518</f>
        <v>0</v>
      </c>
      <c r="AB520" s="98">
        <f>'Supply planning data'!AD518</f>
        <v>0</v>
      </c>
      <c r="AC520" s="98">
        <f>'Supply planning data'!AE518</f>
        <v>2440000</v>
      </c>
      <c r="AD520" s="325" t="str">
        <f>'Supply planning data'!AF518</f>
        <v/>
      </c>
      <c r="AE520" s="98">
        <f>'Supply planning data'!AG518</f>
        <v>3000000</v>
      </c>
      <c r="AF520" s="317">
        <f>'Supply planning data'!AH518</f>
        <v>0</v>
      </c>
      <c r="AG520" s="175">
        <f>'Supply planning data'!AI518</f>
        <v>0</v>
      </c>
      <c r="AH520" s="98">
        <f>'Supply planning data'!AJ518</f>
        <v>0</v>
      </c>
      <c r="AI520" s="98">
        <f>'Supply planning data'!AK518</f>
        <v>0</v>
      </c>
      <c r="AJ520" s="98">
        <f>'Supply planning data'!AL518</f>
        <v>110538</v>
      </c>
      <c r="AK520" s="98">
        <f>'Supply planning data'!AM518</f>
        <v>0</v>
      </c>
      <c r="AL520" s="98">
        <f>'Supply planning data'!AN518</f>
        <v>3000000</v>
      </c>
      <c r="AM520" s="325" t="str">
        <f>'Supply planning data'!AO518</f>
        <v/>
      </c>
    </row>
    <row r="521" spans="1:39" x14ac:dyDescent="0.25">
      <c r="A521" s="90" t="str">
        <f>'Supply planning data'!C519</f>
        <v>Sinovac</v>
      </c>
      <c r="B521" s="296">
        <f>'Supply planning data'!D519</f>
        <v>45231</v>
      </c>
      <c r="C521" s="92" t="str">
        <f>'Supply planning data'!E519</f>
        <v>No</v>
      </c>
      <c r="D521" s="92">
        <f>'Supply planning data'!F519</f>
        <v>0</v>
      </c>
      <c r="E521" s="316">
        <f>'Supply planning data'!G519</f>
        <v>0</v>
      </c>
      <c r="F521" s="317">
        <f>'Supply planning data'!H519</f>
        <v>0</v>
      </c>
      <c r="G521" s="317">
        <f>'Supply planning data'!I519</f>
        <v>0</v>
      </c>
      <c r="H521" s="98">
        <f>'Supply planning data'!J519</f>
        <v>0</v>
      </c>
      <c r="I521" s="317">
        <f>'Supply planning data'!K519</f>
        <v>0</v>
      </c>
      <c r="J521" s="175" t="str">
        <f>'Supply planning data'!L519</f>
        <v/>
      </c>
      <c r="K521" s="98">
        <f>'Supply planning data'!M519</f>
        <v>0</v>
      </c>
      <c r="L521" s="317">
        <f>'Supply planning data'!N519+'Supply planning data'!P519</f>
        <v>0</v>
      </c>
      <c r="M521" s="339">
        <f>'Supply planning data'!O519</f>
        <v>0</v>
      </c>
      <c r="N521" s="317">
        <f>'Supply planning data'!P519</f>
        <v>0</v>
      </c>
      <c r="O521" s="339">
        <f>'Supply planning data'!Q519</f>
        <v>0</v>
      </c>
      <c r="P521" s="98">
        <f>'Supply planning data'!R519</f>
        <v>0</v>
      </c>
      <c r="Q521" s="98">
        <f>'Supply planning data'!S519</f>
        <v>0</v>
      </c>
      <c r="R521" s="98">
        <f>'Supply planning data'!T519</f>
        <v>0</v>
      </c>
      <c r="S521" s="98">
        <f>'Supply planning data'!U519</f>
        <v>0</v>
      </c>
      <c r="T521" s="98">
        <f>'Supply planning data'!V519</f>
        <v>0</v>
      </c>
      <c r="U521" s="325" t="str">
        <f>'Supply planning data'!W519</f>
        <v/>
      </c>
      <c r="V521" s="98">
        <f>'Supply planning data'!X519</f>
        <v>0</v>
      </c>
      <c r="W521" s="317">
        <f>'Supply planning data'!Y519</f>
        <v>0</v>
      </c>
      <c r="X521" s="328">
        <f>'Supply planning data'!Z519</f>
        <v>0</v>
      </c>
      <c r="Y521" s="98">
        <f>'Supply planning data'!AA519</f>
        <v>0</v>
      </c>
      <c r="Z521" s="98">
        <f>'Supply planning data'!AB519</f>
        <v>0</v>
      </c>
      <c r="AA521" s="98">
        <f>'Supply planning data'!AC519</f>
        <v>0</v>
      </c>
      <c r="AB521" s="98">
        <f>'Supply planning data'!AD519</f>
        <v>0</v>
      </c>
      <c r="AC521" s="98">
        <f>'Supply planning data'!AE519</f>
        <v>0</v>
      </c>
      <c r="AD521" s="325" t="str">
        <f>'Supply planning data'!AF519</f>
        <v/>
      </c>
      <c r="AE521" s="98">
        <f>'Supply planning data'!AG519</f>
        <v>0</v>
      </c>
      <c r="AF521" s="317">
        <f>'Supply planning data'!AH519</f>
        <v>0</v>
      </c>
      <c r="AG521" s="175">
        <f>'Supply planning data'!AI519</f>
        <v>0</v>
      </c>
      <c r="AH521" s="98">
        <f>'Supply planning data'!AJ519</f>
        <v>0</v>
      </c>
      <c r="AI521" s="98">
        <f>'Supply planning data'!AK519</f>
        <v>0</v>
      </c>
      <c r="AJ521" s="98">
        <f>'Supply planning data'!AL519</f>
        <v>0</v>
      </c>
      <c r="AK521" s="98">
        <f>'Supply planning data'!AM519</f>
        <v>0</v>
      </c>
      <c r="AL521" s="98">
        <f>'Supply planning data'!AN519</f>
        <v>0</v>
      </c>
      <c r="AM521" s="325" t="str">
        <f>'Supply planning data'!AO519</f>
        <v/>
      </c>
    </row>
    <row r="522" spans="1:39" hidden="1" x14ac:dyDescent="0.25">
      <c r="A522" s="90" t="str">
        <f>'Supply planning data'!C520</f>
        <v/>
      </c>
      <c r="B522" s="296">
        <f>'Supply planning data'!D520</f>
        <v>45231</v>
      </c>
      <c r="C522" s="92" t="str">
        <f>'Supply planning data'!E520</f>
        <v>No</v>
      </c>
      <c r="D522" s="92">
        <f>'Supply planning data'!F520</f>
        <v>0</v>
      </c>
      <c r="E522" s="316">
        <f>'Supply planning data'!G520</f>
        <v>0</v>
      </c>
      <c r="F522" s="317">
        <f>'Supply planning data'!H520</f>
        <v>0</v>
      </c>
      <c r="G522" s="317">
        <f>'Supply planning data'!I520</f>
        <v>0</v>
      </c>
      <c r="H522" s="98">
        <f>'Supply planning data'!J520</f>
        <v>0</v>
      </c>
      <c r="I522" s="317">
        <f>'Supply planning data'!K520</f>
        <v>0</v>
      </c>
      <c r="J522" s="175" t="str">
        <f>'Supply planning data'!L520</f>
        <v/>
      </c>
      <c r="K522" s="98">
        <f>'Supply planning data'!M520</f>
        <v>0</v>
      </c>
      <c r="L522" s="317">
        <f>'Supply planning data'!N520+'Supply planning data'!P520</f>
        <v>0</v>
      </c>
      <c r="M522" s="339">
        <f>'Supply planning data'!O520</f>
        <v>0</v>
      </c>
      <c r="N522" s="317">
        <f>'Supply planning data'!P520</f>
        <v>0</v>
      </c>
      <c r="O522" s="339">
        <f>'Supply planning data'!Q520</f>
        <v>0</v>
      </c>
      <c r="P522" s="98">
        <f>'Supply planning data'!R520</f>
        <v>0</v>
      </c>
      <c r="Q522" s="98">
        <f>'Supply planning data'!S520</f>
        <v>0</v>
      </c>
      <c r="R522" s="98">
        <f>'Supply planning data'!T520</f>
        <v>0</v>
      </c>
      <c r="S522" s="98">
        <f>'Supply planning data'!U520</f>
        <v>0</v>
      </c>
      <c r="T522" s="98">
        <f>'Supply planning data'!V520</f>
        <v>0</v>
      </c>
      <c r="U522" s="325" t="str">
        <f>'Supply planning data'!W520</f>
        <v/>
      </c>
      <c r="V522" s="98">
        <f>'Supply planning data'!X520</f>
        <v>0</v>
      </c>
      <c r="W522" s="317">
        <f>'Supply planning data'!Y520</f>
        <v>0</v>
      </c>
      <c r="X522" s="328">
        <f>'Supply planning data'!Z520</f>
        <v>0</v>
      </c>
      <c r="Y522" s="98">
        <f>'Supply planning data'!AA520</f>
        <v>0</v>
      </c>
      <c r="Z522" s="98">
        <f>'Supply planning data'!AB520</f>
        <v>0</v>
      </c>
      <c r="AA522" s="98">
        <f>'Supply planning data'!AC520</f>
        <v>0</v>
      </c>
      <c r="AB522" s="98">
        <f>'Supply planning data'!AD520</f>
        <v>0</v>
      </c>
      <c r="AC522" s="98">
        <f>'Supply planning data'!AE520</f>
        <v>0</v>
      </c>
      <c r="AD522" s="325" t="str">
        <f>'Supply planning data'!AF520</f>
        <v/>
      </c>
      <c r="AE522" s="98">
        <f>'Supply planning data'!AG520</f>
        <v>0</v>
      </c>
      <c r="AF522" s="317">
        <f>'Supply planning data'!AH520</f>
        <v>0</v>
      </c>
      <c r="AG522" s="175">
        <f>'Supply planning data'!AI520</f>
        <v>0</v>
      </c>
      <c r="AH522" s="98">
        <f>'Supply planning data'!AJ520</f>
        <v>0</v>
      </c>
      <c r="AI522" s="98">
        <f>'Supply planning data'!AK520</f>
        <v>0</v>
      </c>
      <c r="AJ522" s="98">
        <f>'Supply planning data'!AL520</f>
        <v>0</v>
      </c>
      <c r="AK522" s="98">
        <f>'Supply planning data'!AM520</f>
        <v>0</v>
      </c>
      <c r="AL522" s="98">
        <f>'Supply planning data'!AN520</f>
        <v>0</v>
      </c>
      <c r="AM522" s="325" t="str">
        <f>'Supply planning data'!AO520</f>
        <v/>
      </c>
    </row>
    <row r="523" spans="1:39" hidden="1" x14ac:dyDescent="0.25">
      <c r="A523" s="90" t="str">
        <f>'Supply planning data'!C521</f>
        <v/>
      </c>
      <c r="B523" s="296">
        <f>'Supply planning data'!D521</f>
        <v>45231</v>
      </c>
      <c r="C523" s="92" t="str">
        <f>'Supply planning data'!E521</f>
        <v>No</v>
      </c>
      <c r="D523" s="92">
        <f>'Supply planning data'!F521</f>
        <v>0</v>
      </c>
      <c r="E523" s="316">
        <f>'Supply planning data'!G521</f>
        <v>0</v>
      </c>
      <c r="F523" s="317">
        <f>'Supply planning data'!H521</f>
        <v>0</v>
      </c>
      <c r="G523" s="317">
        <f>'Supply planning data'!I521</f>
        <v>0</v>
      </c>
      <c r="H523" s="98">
        <f>'Supply planning data'!J521</f>
        <v>0</v>
      </c>
      <c r="I523" s="317">
        <f>'Supply planning data'!K521</f>
        <v>0</v>
      </c>
      <c r="J523" s="175" t="str">
        <f>'Supply planning data'!L521</f>
        <v/>
      </c>
      <c r="K523" s="98">
        <f>'Supply planning data'!M521</f>
        <v>0</v>
      </c>
      <c r="L523" s="317">
        <f>'Supply planning data'!N521+'Supply planning data'!P521</f>
        <v>0</v>
      </c>
      <c r="M523" s="339">
        <f>'Supply planning data'!O521</f>
        <v>0</v>
      </c>
      <c r="N523" s="317">
        <f>'Supply planning data'!P521</f>
        <v>0</v>
      </c>
      <c r="O523" s="339">
        <f>'Supply planning data'!Q521</f>
        <v>0</v>
      </c>
      <c r="P523" s="98">
        <f>'Supply planning data'!R521</f>
        <v>0</v>
      </c>
      <c r="Q523" s="98">
        <f>'Supply planning data'!S521</f>
        <v>0</v>
      </c>
      <c r="R523" s="98">
        <f>'Supply planning data'!T521</f>
        <v>0</v>
      </c>
      <c r="S523" s="98">
        <f>'Supply planning data'!U521</f>
        <v>0</v>
      </c>
      <c r="T523" s="98">
        <f>'Supply planning data'!V521</f>
        <v>0</v>
      </c>
      <c r="U523" s="325" t="str">
        <f>'Supply planning data'!W521</f>
        <v/>
      </c>
      <c r="V523" s="98">
        <f>'Supply planning data'!X521</f>
        <v>0</v>
      </c>
      <c r="W523" s="317">
        <f>'Supply planning data'!Y521</f>
        <v>0</v>
      </c>
      <c r="X523" s="328">
        <f>'Supply planning data'!Z521</f>
        <v>0</v>
      </c>
      <c r="Y523" s="98">
        <f>'Supply planning data'!AA521</f>
        <v>0</v>
      </c>
      <c r="Z523" s="98">
        <f>'Supply planning data'!AB521</f>
        <v>0</v>
      </c>
      <c r="AA523" s="98">
        <f>'Supply planning data'!AC521</f>
        <v>0</v>
      </c>
      <c r="AB523" s="98">
        <f>'Supply planning data'!AD521</f>
        <v>0</v>
      </c>
      <c r="AC523" s="98">
        <f>'Supply planning data'!AE521</f>
        <v>0</v>
      </c>
      <c r="AD523" s="325" t="str">
        <f>'Supply planning data'!AF521</f>
        <v/>
      </c>
      <c r="AE523" s="98">
        <f>'Supply planning data'!AG521</f>
        <v>0</v>
      </c>
      <c r="AF523" s="317">
        <f>'Supply planning data'!AH521</f>
        <v>0</v>
      </c>
      <c r="AG523" s="175">
        <f>'Supply planning data'!AI521</f>
        <v>0</v>
      </c>
      <c r="AH523" s="98">
        <f>'Supply planning data'!AJ521</f>
        <v>0</v>
      </c>
      <c r="AI523" s="98">
        <f>'Supply planning data'!AK521</f>
        <v>0</v>
      </c>
      <c r="AJ523" s="98">
        <f>'Supply planning data'!AL521</f>
        <v>0</v>
      </c>
      <c r="AK523" s="98">
        <f>'Supply planning data'!AM521</f>
        <v>0</v>
      </c>
      <c r="AL523" s="98">
        <f>'Supply planning data'!AN521</f>
        <v>0</v>
      </c>
      <c r="AM523" s="325" t="str">
        <f>'Supply planning data'!AO521</f>
        <v/>
      </c>
    </row>
    <row r="524" spans="1:39" hidden="1" x14ac:dyDescent="0.25">
      <c r="A524" s="90" t="str">
        <f>'Supply planning data'!C522</f>
        <v/>
      </c>
      <c r="B524" s="296">
        <f>'Supply planning data'!D522</f>
        <v>45231</v>
      </c>
      <c r="C524" s="92" t="str">
        <f>'Supply planning data'!E522</f>
        <v>No</v>
      </c>
      <c r="D524" s="92">
        <f>'Supply planning data'!F522</f>
        <v>0</v>
      </c>
      <c r="E524" s="316">
        <f>'Supply planning data'!G522</f>
        <v>0</v>
      </c>
      <c r="F524" s="317">
        <f>'Supply planning data'!H522</f>
        <v>0</v>
      </c>
      <c r="G524" s="317">
        <f>'Supply planning data'!I522</f>
        <v>0</v>
      </c>
      <c r="H524" s="98">
        <f>'Supply planning data'!J522</f>
        <v>0</v>
      </c>
      <c r="I524" s="317">
        <f>'Supply planning data'!K522</f>
        <v>0</v>
      </c>
      <c r="J524" s="175" t="str">
        <f>'Supply planning data'!L522</f>
        <v/>
      </c>
      <c r="K524" s="98">
        <f>'Supply planning data'!M522</f>
        <v>0</v>
      </c>
      <c r="L524" s="317">
        <f>'Supply planning data'!N522+'Supply planning data'!P522</f>
        <v>0</v>
      </c>
      <c r="M524" s="339">
        <f>'Supply planning data'!O522</f>
        <v>0</v>
      </c>
      <c r="N524" s="317">
        <f>'Supply planning data'!P522</f>
        <v>0</v>
      </c>
      <c r="O524" s="339">
        <f>'Supply planning data'!Q522</f>
        <v>0</v>
      </c>
      <c r="P524" s="98">
        <f>'Supply planning data'!R522</f>
        <v>0</v>
      </c>
      <c r="Q524" s="98">
        <f>'Supply planning data'!S522</f>
        <v>0</v>
      </c>
      <c r="R524" s="98">
        <f>'Supply planning data'!T522</f>
        <v>0</v>
      </c>
      <c r="S524" s="98">
        <f>'Supply planning data'!U522</f>
        <v>0</v>
      </c>
      <c r="T524" s="98">
        <f>'Supply planning data'!V522</f>
        <v>0</v>
      </c>
      <c r="U524" s="325" t="str">
        <f>'Supply planning data'!W522</f>
        <v/>
      </c>
      <c r="V524" s="98">
        <f>'Supply planning data'!X522</f>
        <v>0</v>
      </c>
      <c r="W524" s="317">
        <f>'Supply planning data'!Y522</f>
        <v>0</v>
      </c>
      <c r="X524" s="328">
        <f>'Supply planning data'!Z522</f>
        <v>0</v>
      </c>
      <c r="Y524" s="98">
        <f>'Supply planning data'!AA522</f>
        <v>0</v>
      </c>
      <c r="Z524" s="98">
        <f>'Supply planning data'!AB522</f>
        <v>0</v>
      </c>
      <c r="AA524" s="98">
        <f>'Supply planning data'!AC522</f>
        <v>0</v>
      </c>
      <c r="AB524" s="98">
        <f>'Supply planning data'!AD522</f>
        <v>0</v>
      </c>
      <c r="AC524" s="98">
        <f>'Supply planning data'!AE522</f>
        <v>0</v>
      </c>
      <c r="AD524" s="325" t="str">
        <f>'Supply planning data'!AF522</f>
        <v/>
      </c>
      <c r="AE524" s="98">
        <f>'Supply planning data'!AG522</f>
        <v>0</v>
      </c>
      <c r="AF524" s="317">
        <f>'Supply planning data'!AH522</f>
        <v>0</v>
      </c>
      <c r="AG524" s="175">
        <f>'Supply planning data'!AI522</f>
        <v>0</v>
      </c>
      <c r="AH524" s="98">
        <f>'Supply planning data'!AJ522</f>
        <v>0</v>
      </c>
      <c r="AI524" s="98">
        <f>'Supply planning data'!AK522</f>
        <v>0</v>
      </c>
      <c r="AJ524" s="98">
        <f>'Supply planning data'!AL522</f>
        <v>0</v>
      </c>
      <c r="AK524" s="98">
        <f>'Supply planning data'!AM522</f>
        <v>0</v>
      </c>
      <c r="AL524" s="98">
        <f>'Supply planning data'!AN522</f>
        <v>0</v>
      </c>
      <c r="AM524" s="325" t="str">
        <f>'Supply planning data'!AO522</f>
        <v/>
      </c>
    </row>
    <row r="525" spans="1:39" hidden="1" x14ac:dyDescent="0.25">
      <c r="A525" s="90" t="str">
        <f>'Supply planning data'!C523</f>
        <v/>
      </c>
      <c r="B525" s="296">
        <f>'Supply planning data'!D523</f>
        <v>45231</v>
      </c>
      <c r="C525" s="92" t="str">
        <f>'Supply planning data'!E523</f>
        <v>No</v>
      </c>
      <c r="D525" s="92">
        <f>'Supply planning data'!F523</f>
        <v>0</v>
      </c>
      <c r="E525" s="316">
        <f>'Supply planning data'!G523</f>
        <v>0</v>
      </c>
      <c r="F525" s="317">
        <f>'Supply planning data'!H523</f>
        <v>0</v>
      </c>
      <c r="G525" s="317">
        <f>'Supply planning data'!I523</f>
        <v>0</v>
      </c>
      <c r="H525" s="98">
        <f>'Supply planning data'!J523</f>
        <v>0</v>
      </c>
      <c r="I525" s="317">
        <f>'Supply planning data'!K523</f>
        <v>0</v>
      </c>
      <c r="J525" s="175" t="str">
        <f>'Supply planning data'!L523</f>
        <v/>
      </c>
      <c r="K525" s="98">
        <f>'Supply planning data'!M523</f>
        <v>0</v>
      </c>
      <c r="L525" s="317">
        <f>'Supply planning data'!N523+'Supply planning data'!P523</f>
        <v>0</v>
      </c>
      <c r="M525" s="339">
        <f>'Supply planning data'!O523</f>
        <v>0</v>
      </c>
      <c r="N525" s="317">
        <f>'Supply planning data'!P523</f>
        <v>0</v>
      </c>
      <c r="O525" s="339">
        <f>'Supply planning data'!Q523</f>
        <v>0</v>
      </c>
      <c r="P525" s="98">
        <f>'Supply planning data'!R523</f>
        <v>0</v>
      </c>
      <c r="Q525" s="98">
        <f>'Supply planning data'!S523</f>
        <v>0</v>
      </c>
      <c r="R525" s="98">
        <f>'Supply planning data'!T523</f>
        <v>0</v>
      </c>
      <c r="S525" s="98">
        <f>'Supply planning data'!U523</f>
        <v>0</v>
      </c>
      <c r="T525" s="98">
        <f>'Supply planning data'!V523</f>
        <v>0</v>
      </c>
      <c r="U525" s="325" t="str">
        <f>'Supply planning data'!W523</f>
        <v/>
      </c>
      <c r="V525" s="98">
        <f>'Supply planning data'!X523</f>
        <v>0</v>
      </c>
      <c r="W525" s="317">
        <f>'Supply planning data'!Y523</f>
        <v>0</v>
      </c>
      <c r="X525" s="328">
        <f>'Supply planning data'!Z523</f>
        <v>0</v>
      </c>
      <c r="Y525" s="98">
        <f>'Supply planning data'!AA523</f>
        <v>0</v>
      </c>
      <c r="Z525" s="98">
        <f>'Supply planning data'!AB523</f>
        <v>0</v>
      </c>
      <c r="AA525" s="98">
        <f>'Supply planning data'!AC523</f>
        <v>0</v>
      </c>
      <c r="AB525" s="98">
        <f>'Supply planning data'!AD523</f>
        <v>0</v>
      </c>
      <c r="AC525" s="98">
        <f>'Supply planning data'!AE523</f>
        <v>0</v>
      </c>
      <c r="AD525" s="325" t="str">
        <f>'Supply planning data'!AF523</f>
        <v/>
      </c>
      <c r="AE525" s="98">
        <f>'Supply planning data'!AG523</f>
        <v>0</v>
      </c>
      <c r="AF525" s="317">
        <f>'Supply planning data'!AH523</f>
        <v>0</v>
      </c>
      <c r="AG525" s="175">
        <f>'Supply planning data'!AI523</f>
        <v>0</v>
      </c>
      <c r="AH525" s="98">
        <f>'Supply planning data'!AJ523</f>
        <v>0</v>
      </c>
      <c r="AI525" s="98">
        <f>'Supply planning data'!AK523</f>
        <v>0</v>
      </c>
      <c r="AJ525" s="98">
        <f>'Supply planning data'!AL523</f>
        <v>0</v>
      </c>
      <c r="AK525" s="98">
        <f>'Supply planning data'!AM523</f>
        <v>0</v>
      </c>
      <c r="AL525" s="98">
        <f>'Supply planning data'!AN523</f>
        <v>0</v>
      </c>
      <c r="AM525" s="325" t="str">
        <f>'Supply planning data'!AO523</f>
        <v/>
      </c>
    </row>
    <row r="526" spans="1:39" hidden="1" x14ac:dyDescent="0.25">
      <c r="A526" s="90" t="str">
        <f>'Supply planning data'!C524</f>
        <v/>
      </c>
      <c r="B526" s="296">
        <f>'Supply planning data'!D524</f>
        <v>45231</v>
      </c>
      <c r="C526" s="92" t="str">
        <f>'Supply planning data'!E524</f>
        <v>No</v>
      </c>
      <c r="D526" s="92">
        <f>'Supply planning data'!F524</f>
        <v>0</v>
      </c>
      <c r="E526" s="316">
        <f>'Supply planning data'!G524</f>
        <v>0</v>
      </c>
      <c r="F526" s="317">
        <f>'Supply planning data'!H524</f>
        <v>0</v>
      </c>
      <c r="G526" s="317">
        <f>'Supply planning data'!I524</f>
        <v>0</v>
      </c>
      <c r="H526" s="98">
        <f>'Supply planning data'!J524</f>
        <v>0</v>
      </c>
      <c r="I526" s="317">
        <f>'Supply planning data'!K524</f>
        <v>0</v>
      </c>
      <c r="J526" s="175" t="str">
        <f>'Supply planning data'!L524</f>
        <v/>
      </c>
      <c r="K526" s="98">
        <f>'Supply planning data'!M524</f>
        <v>0</v>
      </c>
      <c r="L526" s="317">
        <f>'Supply planning data'!N524+'Supply planning data'!P524</f>
        <v>0</v>
      </c>
      <c r="M526" s="339">
        <f>'Supply planning data'!O524</f>
        <v>0</v>
      </c>
      <c r="N526" s="317">
        <f>'Supply planning data'!P524</f>
        <v>0</v>
      </c>
      <c r="O526" s="339">
        <f>'Supply planning data'!Q524</f>
        <v>0</v>
      </c>
      <c r="P526" s="98">
        <f>'Supply planning data'!R524</f>
        <v>0</v>
      </c>
      <c r="Q526" s="98">
        <f>'Supply planning data'!S524</f>
        <v>0</v>
      </c>
      <c r="R526" s="98">
        <f>'Supply planning data'!T524</f>
        <v>0</v>
      </c>
      <c r="S526" s="98">
        <f>'Supply planning data'!U524</f>
        <v>0</v>
      </c>
      <c r="T526" s="98">
        <f>'Supply planning data'!V524</f>
        <v>0</v>
      </c>
      <c r="U526" s="325" t="str">
        <f>'Supply planning data'!W524</f>
        <v/>
      </c>
      <c r="V526" s="98">
        <f>'Supply planning data'!X524</f>
        <v>0</v>
      </c>
      <c r="W526" s="317">
        <f>'Supply planning data'!Y524</f>
        <v>0</v>
      </c>
      <c r="X526" s="328">
        <f>'Supply planning data'!Z524</f>
        <v>0</v>
      </c>
      <c r="Y526" s="98">
        <f>'Supply planning data'!AA524</f>
        <v>0</v>
      </c>
      <c r="Z526" s="98">
        <f>'Supply planning data'!AB524</f>
        <v>0</v>
      </c>
      <c r="AA526" s="98">
        <f>'Supply planning data'!AC524</f>
        <v>0</v>
      </c>
      <c r="AB526" s="98">
        <f>'Supply planning data'!AD524</f>
        <v>0</v>
      </c>
      <c r="AC526" s="98">
        <f>'Supply planning data'!AE524</f>
        <v>0</v>
      </c>
      <c r="AD526" s="325" t="str">
        <f>'Supply planning data'!AF524</f>
        <v/>
      </c>
      <c r="AE526" s="98">
        <f>'Supply planning data'!AG524</f>
        <v>0</v>
      </c>
      <c r="AF526" s="317">
        <f>'Supply planning data'!AH524</f>
        <v>0</v>
      </c>
      <c r="AG526" s="175">
        <f>'Supply planning data'!AI524</f>
        <v>0</v>
      </c>
      <c r="AH526" s="98">
        <f>'Supply planning data'!AJ524</f>
        <v>0</v>
      </c>
      <c r="AI526" s="98">
        <f>'Supply planning data'!AK524</f>
        <v>0</v>
      </c>
      <c r="AJ526" s="98">
        <f>'Supply planning data'!AL524</f>
        <v>0</v>
      </c>
      <c r="AK526" s="98">
        <f>'Supply planning data'!AM524</f>
        <v>0</v>
      </c>
      <c r="AL526" s="98">
        <f>'Supply planning data'!AN524</f>
        <v>0</v>
      </c>
      <c r="AM526" s="325" t="str">
        <f>'Supply planning data'!AO524</f>
        <v/>
      </c>
    </row>
    <row r="527" spans="1:39" hidden="1" x14ac:dyDescent="0.25">
      <c r="A527" s="90" t="str">
        <f>'Supply planning data'!C525</f>
        <v/>
      </c>
      <c r="B527" s="296">
        <f>'Supply planning data'!D525</f>
        <v>45231</v>
      </c>
      <c r="C527" s="92" t="str">
        <f>'Supply planning data'!E525</f>
        <v>No</v>
      </c>
      <c r="D527" s="92">
        <f>'Supply planning data'!F525</f>
        <v>0</v>
      </c>
      <c r="E527" s="316">
        <f>'Supply planning data'!G525</f>
        <v>0</v>
      </c>
      <c r="F527" s="317">
        <f>'Supply planning data'!H525</f>
        <v>0</v>
      </c>
      <c r="G527" s="317">
        <f>'Supply planning data'!I525</f>
        <v>0</v>
      </c>
      <c r="H527" s="98">
        <f>'Supply planning data'!J525</f>
        <v>0</v>
      </c>
      <c r="I527" s="317">
        <f>'Supply planning data'!K525</f>
        <v>0</v>
      </c>
      <c r="J527" s="175" t="str">
        <f>'Supply planning data'!L525</f>
        <v/>
      </c>
      <c r="K527" s="98">
        <f>'Supply planning data'!M525</f>
        <v>0</v>
      </c>
      <c r="L527" s="317">
        <f>'Supply planning data'!N525+'Supply planning data'!P525</f>
        <v>0</v>
      </c>
      <c r="M527" s="339">
        <f>'Supply planning data'!O525</f>
        <v>0</v>
      </c>
      <c r="N527" s="317">
        <f>'Supply planning data'!P525</f>
        <v>0</v>
      </c>
      <c r="O527" s="339">
        <f>'Supply planning data'!Q525</f>
        <v>0</v>
      </c>
      <c r="P527" s="98">
        <f>'Supply planning data'!R525</f>
        <v>0</v>
      </c>
      <c r="Q527" s="98">
        <f>'Supply planning data'!S525</f>
        <v>0</v>
      </c>
      <c r="R527" s="98">
        <f>'Supply planning data'!T525</f>
        <v>0</v>
      </c>
      <c r="S527" s="98">
        <f>'Supply planning data'!U525</f>
        <v>0</v>
      </c>
      <c r="T527" s="98">
        <f>'Supply planning data'!V525</f>
        <v>0</v>
      </c>
      <c r="U527" s="325" t="str">
        <f>'Supply planning data'!W525</f>
        <v/>
      </c>
      <c r="V527" s="98">
        <f>'Supply planning data'!X525</f>
        <v>0</v>
      </c>
      <c r="W527" s="317">
        <f>'Supply planning data'!Y525</f>
        <v>0</v>
      </c>
      <c r="X527" s="328">
        <f>'Supply planning data'!Z525</f>
        <v>0</v>
      </c>
      <c r="Y527" s="98">
        <f>'Supply planning data'!AA525</f>
        <v>0</v>
      </c>
      <c r="Z527" s="98">
        <f>'Supply planning data'!AB525</f>
        <v>0</v>
      </c>
      <c r="AA527" s="98">
        <f>'Supply planning data'!AC525</f>
        <v>0</v>
      </c>
      <c r="AB527" s="98">
        <f>'Supply planning data'!AD525</f>
        <v>0</v>
      </c>
      <c r="AC527" s="98">
        <f>'Supply planning data'!AE525</f>
        <v>0</v>
      </c>
      <c r="AD527" s="325" t="str">
        <f>'Supply planning data'!AF525</f>
        <v/>
      </c>
      <c r="AE527" s="98">
        <f>'Supply planning data'!AG525</f>
        <v>0</v>
      </c>
      <c r="AF527" s="317">
        <f>'Supply planning data'!AH525</f>
        <v>0</v>
      </c>
      <c r="AG527" s="175">
        <f>'Supply planning data'!AI525</f>
        <v>0</v>
      </c>
      <c r="AH527" s="98">
        <f>'Supply planning data'!AJ525</f>
        <v>0</v>
      </c>
      <c r="AI527" s="98">
        <f>'Supply planning data'!AK525</f>
        <v>0</v>
      </c>
      <c r="AJ527" s="98">
        <f>'Supply planning data'!AL525</f>
        <v>0</v>
      </c>
      <c r="AK527" s="98">
        <f>'Supply planning data'!AM525</f>
        <v>0</v>
      </c>
      <c r="AL527" s="98">
        <f>'Supply planning data'!AN525</f>
        <v>0</v>
      </c>
      <c r="AM527" s="325" t="str">
        <f>'Supply planning data'!AO525</f>
        <v/>
      </c>
    </row>
    <row r="528" spans="1:39" hidden="1" x14ac:dyDescent="0.25">
      <c r="A528" s="90" t="str">
        <f>'Supply planning data'!C526</f>
        <v/>
      </c>
      <c r="B528" s="296">
        <f>'Supply planning data'!D526</f>
        <v>45231</v>
      </c>
      <c r="C528" s="92" t="str">
        <f>'Supply planning data'!E526</f>
        <v>No</v>
      </c>
      <c r="D528" s="92">
        <f>'Supply planning data'!F526</f>
        <v>0</v>
      </c>
      <c r="E528" s="316">
        <f>'Supply planning data'!G526</f>
        <v>0</v>
      </c>
      <c r="F528" s="317">
        <f>'Supply planning data'!H526</f>
        <v>0</v>
      </c>
      <c r="G528" s="317">
        <f>'Supply planning data'!I526</f>
        <v>0</v>
      </c>
      <c r="H528" s="98">
        <f>'Supply planning data'!J526</f>
        <v>0</v>
      </c>
      <c r="I528" s="317">
        <f>'Supply planning data'!K526</f>
        <v>0</v>
      </c>
      <c r="J528" s="175" t="str">
        <f>'Supply planning data'!L526</f>
        <v/>
      </c>
      <c r="K528" s="98">
        <f>'Supply planning data'!M526</f>
        <v>0</v>
      </c>
      <c r="L528" s="317">
        <f>'Supply planning data'!N526+'Supply planning data'!P526</f>
        <v>0</v>
      </c>
      <c r="M528" s="339">
        <f>'Supply planning data'!O526</f>
        <v>0</v>
      </c>
      <c r="N528" s="317">
        <f>'Supply planning data'!P526</f>
        <v>0</v>
      </c>
      <c r="O528" s="339">
        <f>'Supply planning data'!Q526</f>
        <v>0</v>
      </c>
      <c r="P528" s="98">
        <f>'Supply planning data'!R526</f>
        <v>0</v>
      </c>
      <c r="Q528" s="98">
        <f>'Supply planning data'!S526</f>
        <v>0</v>
      </c>
      <c r="R528" s="98">
        <f>'Supply planning data'!T526</f>
        <v>0</v>
      </c>
      <c r="S528" s="98">
        <f>'Supply planning data'!U526</f>
        <v>0</v>
      </c>
      <c r="T528" s="98">
        <f>'Supply planning data'!V526</f>
        <v>0</v>
      </c>
      <c r="U528" s="325" t="str">
        <f>'Supply planning data'!W526</f>
        <v/>
      </c>
      <c r="V528" s="98">
        <f>'Supply planning data'!X526</f>
        <v>0</v>
      </c>
      <c r="W528" s="317">
        <f>'Supply planning data'!Y526</f>
        <v>0</v>
      </c>
      <c r="X528" s="328">
        <f>'Supply planning data'!Z526</f>
        <v>0</v>
      </c>
      <c r="Y528" s="98">
        <f>'Supply planning data'!AA526</f>
        <v>0</v>
      </c>
      <c r="Z528" s="98">
        <f>'Supply planning data'!AB526</f>
        <v>0</v>
      </c>
      <c r="AA528" s="98">
        <f>'Supply planning data'!AC526</f>
        <v>0</v>
      </c>
      <c r="AB528" s="98">
        <f>'Supply planning data'!AD526</f>
        <v>0</v>
      </c>
      <c r="AC528" s="98">
        <f>'Supply planning data'!AE526</f>
        <v>0</v>
      </c>
      <c r="AD528" s="325" t="str">
        <f>'Supply planning data'!AF526</f>
        <v/>
      </c>
      <c r="AE528" s="98">
        <f>'Supply planning data'!AG526</f>
        <v>0</v>
      </c>
      <c r="AF528" s="317">
        <f>'Supply planning data'!AH526</f>
        <v>0</v>
      </c>
      <c r="AG528" s="175">
        <f>'Supply planning data'!AI526</f>
        <v>0</v>
      </c>
      <c r="AH528" s="98">
        <f>'Supply planning data'!AJ526</f>
        <v>0</v>
      </c>
      <c r="AI528" s="98">
        <f>'Supply planning data'!AK526</f>
        <v>0</v>
      </c>
      <c r="AJ528" s="98">
        <f>'Supply planning data'!AL526</f>
        <v>0</v>
      </c>
      <c r="AK528" s="98">
        <f>'Supply planning data'!AM526</f>
        <v>0</v>
      </c>
      <c r="AL528" s="98">
        <f>'Supply planning data'!AN526</f>
        <v>0</v>
      </c>
      <c r="AM528" s="325" t="str">
        <f>'Supply planning data'!AO526</f>
        <v/>
      </c>
    </row>
    <row r="529" spans="1:39" hidden="1" x14ac:dyDescent="0.25">
      <c r="A529" s="90" t="str">
        <f>'Supply planning data'!C527</f>
        <v/>
      </c>
      <c r="B529" s="296">
        <f>'Supply planning data'!D527</f>
        <v>45231</v>
      </c>
      <c r="C529" s="92" t="str">
        <f>'Supply planning data'!E527</f>
        <v>No</v>
      </c>
      <c r="D529" s="92">
        <f>'Supply planning data'!F527</f>
        <v>0</v>
      </c>
      <c r="E529" s="316">
        <f>'Supply planning data'!G527</f>
        <v>0</v>
      </c>
      <c r="F529" s="317">
        <f>'Supply planning data'!H527</f>
        <v>0</v>
      </c>
      <c r="G529" s="317">
        <f>'Supply planning data'!I527</f>
        <v>0</v>
      </c>
      <c r="H529" s="98">
        <f>'Supply planning data'!J527</f>
        <v>0</v>
      </c>
      <c r="I529" s="317">
        <f>'Supply planning data'!K527</f>
        <v>0</v>
      </c>
      <c r="J529" s="175" t="str">
        <f>'Supply planning data'!L527</f>
        <v/>
      </c>
      <c r="K529" s="98">
        <f>'Supply planning data'!M527</f>
        <v>0</v>
      </c>
      <c r="L529" s="317">
        <f>'Supply planning data'!N527+'Supply planning data'!P527</f>
        <v>0</v>
      </c>
      <c r="M529" s="339">
        <f>'Supply planning data'!O527</f>
        <v>0</v>
      </c>
      <c r="N529" s="317">
        <f>'Supply planning data'!P527</f>
        <v>0</v>
      </c>
      <c r="O529" s="339">
        <f>'Supply planning data'!Q527</f>
        <v>0</v>
      </c>
      <c r="P529" s="98">
        <f>'Supply planning data'!R527</f>
        <v>0</v>
      </c>
      <c r="Q529" s="98">
        <f>'Supply planning data'!S527</f>
        <v>0</v>
      </c>
      <c r="R529" s="98">
        <f>'Supply planning data'!T527</f>
        <v>0</v>
      </c>
      <c r="S529" s="98">
        <f>'Supply planning data'!U527</f>
        <v>0</v>
      </c>
      <c r="T529" s="98">
        <f>'Supply planning data'!V527</f>
        <v>0</v>
      </c>
      <c r="U529" s="325" t="str">
        <f>'Supply planning data'!W527</f>
        <v/>
      </c>
      <c r="V529" s="98">
        <f>'Supply planning data'!X527</f>
        <v>0</v>
      </c>
      <c r="W529" s="317">
        <f>'Supply planning data'!Y527</f>
        <v>0</v>
      </c>
      <c r="X529" s="328">
        <f>'Supply planning data'!Z527</f>
        <v>0</v>
      </c>
      <c r="Y529" s="98">
        <f>'Supply planning data'!AA527</f>
        <v>0</v>
      </c>
      <c r="Z529" s="98">
        <f>'Supply planning data'!AB527</f>
        <v>0</v>
      </c>
      <c r="AA529" s="98">
        <f>'Supply planning data'!AC527</f>
        <v>0</v>
      </c>
      <c r="AB529" s="98">
        <f>'Supply planning data'!AD527</f>
        <v>0</v>
      </c>
      <c r="AC529" s="98">
        <f>'Supply planning data'!AE527</f>
        <v>0</v>
      </c>
      <c r="AD529" s="325" t="str">
        <f>'Supply planning data'!AF527</f>
        <v/>
      </c>
      <c r="AE529" s="98">
        <f>'Supply planning data'!AG527</f>
        <v>0</v>
      </c>
      <c r="AF529" s="317">
        <f>'Supply planning data'!AH527</f>
        <v>0</v>
      </c>
      <c r="AG529" s="175">
        <f>'Supply planning data'!AI527</f>
        <v>0</v>
      </c>
      <c r="AH529" s="98">
        <f>'Supply planning data'!AJ527</f>
        <v>0</v>
      </c>
      <c r="AI529" s="98">
        <f>'Supply planning data'!AK527</f>
        <v>0</v>
      </c>
      <c r="AJ529" s="98">
        <f>'Supply planning data'!AL527</f>
        <v>0</v>
      </c>
      <c r="AK529" s="98">
        <f>'Supply planning data'!AM527</f>
        <v>0</v>
      </c>
      <c r="AL529" s="98">
        <f>'Supply planning data'!AN527</f>
        <v>0</v>
      </c>
      <c r="AM529" s="325" t="str">
        <f>'Supply planning data'!AO527</f>
        <v/>
      </c>
    </row>
    <row r="530" spans="1:39" hidden="1" x14ac:dyDescent="0.25">
      <c r="A530" s="90" t="str">
        <f>'Supply planning data'!C528</f>
        <v/>
      </c>
      <c r="B530" s="296">
        <f>'Supply planning data'!D528</f>
        <v>45231</v>
      </c>
      <c r="C530" s="92" t="str">
        <f>'Supply planning data'!E528</f>
        <v>No</v>
      </c>
      <c r="D530" s="92">
        <f>'Supply planning data'!F528</f>
        <v>0</v>
      </c>
      <c r="E530" s="316">
        <f>'Supply planning data'!G528</f>
        <v>0</v>
      </c>
      <c r="F530" s="317">
        <f>'Supply planning data'!H528</f>
        <v>0</v>
      </c>
      <c r="G530" s="317">
        <f>'Supply planning data'!I528</f>
        <v>0</v>
      </c>
      <c r="H530" s="98">
        <f>'Supply planning data'!J528</f>
        <v>0</v>
      </c>
      <c r="I530" s="317">
        <f>'Supply planning data'!K528</f>
        <v>0</v>
      </c>
      <c r="J530" s="175" t="str">
        <f>'Supply planning data'!L528</f>
        <v/>
      </c>
      <c r="K530" s="98">
        <f>'Supply planning data'!M528</f>
        <v>0</v>
      </c>
      <c r="L530" s="317">
        <f>'Supply planning data'!N528+'Supply planning data'!P528</f>
        <v>0</v>
      </c>
      <c r="M530" s="339">
        <f>'Supply planning data'!O528</f>
        <v>0</v>
      </c>
      <c r="N530" s="317">
        <f>'Supply planning data'!P528</f>
        <v>0</v>
      </c>
      <c r="O530" s="339">
        <f>'Supply planning data'!Q528</f>
        <v>0</v>
      </c>
      <c r="P530" s="98">
        <f>'Supply planning data'!R528</f>
        <v>0</v>
      </c>
      <c r="Q530" s="98">
        <f>'Supply planning data'!S528</f>
        <v>0</v>
      </c>
      <c r="R530" s="98">
        <f>'Supply planning data'!T528</f>
        <v>0</v>
      </c>
      <c r="S530" s="98">
        <f>'Supply planning data'!U528</f>
        <v>0</v>
      </c>
      <c r="T530" s="98">
        <f>'Supply planning data'!V528</f>
        <v>0</v>
      </c>
      <c r="U530" s="325" t="str">
        <f>'Supply planning data'!W528</f>
        <v/>
      </c>
      <c r="V530" s="98">
        <f>'Supply planning data'!X528</f>
        <v>0</v>
      </c>
      <c r="W530" s="317">
        <f>'Supply planning data'!Y528</f>
        <v>0</v>
      </c>
      <c r="X530" s="328">
        <f>'Supply planning data'!Z528</f>
        <v>0</v>
      </c>
      <c r="Y530" s="98">
        <f>'Supply planning data'!AA528</f>
        <v>0</v>
      </c>
      <c r="Z530" s="98">
        <f>'Supply planning data'!AB528</f>
        <v>0</v>
      </c>
      <c r="AA530" s="98">
        <f>'Supply planning data'!AC528</f>
        <v>0</v>
      </c>
      <c r="AB530" s="98">
        <f>'Supply planning data'!AD528</f>
        <v>0</v>
      </c>
      <c r="AC530" s="98">
        <f>'Supply planning data'!AE528</f>
        <v>0</v>
      </c>
      <c r="AD530" s="325" t="str">
        <f>'Supply planning data'!AF528</f>
        <v/>
      </c>
      <c r="AE530" s="98">
        <f>'Supply planning data'!AG528</f>
        <v>0</v>
      </c>
      <c r="AF530" s="317">
        <f>'Supply planning data'!AH528</f>
        <v>0</v>
      </c>
      <c r="AG530" s="175">
        <f>'Supply planning data'!AI528</f>
        <v>0</v>
      </c>
      <c r="AH530" s="98">
        <f>'Supply planning data'!AJ528</f>
        <v>0</v>
      </c>
      <c r="AI530" s="98">
        <f>'Supply planning data'!AK528</f>
        <v>0</v>
      </c>
      <c r="AJ530" s="98">
        <f>'Supply planning data'!AL528</f>
        <v>0</v>
      </c>
      <c r="AK530" s="98">
        <f>'Supply planning data'!AM528</f>
        <v>0</v>
      </c>
      <c r="AL530" s="98">
        <f>'Supply planning data'!AN528</f>
        <v>0</v>
      </c>
      <c r="AM530" s="325" t="str">
        <f>'Supply planning data'!AO528</f>
        <v/>
      </c>
    </row>
    <row r="531" spans="1:39" hidden="1" x14ac:dyDescent="0.25">
      <c r="A531" s="90" t="str">
        <f>'Supply planning data'!C529</f>
        <v/>
      </c>
      <c r="B531" s="296">
        <f>'Supply planning data'!D529</f>
        <v>45231</v>
      </c>
      <c r="C531" s="92" t="str">
        <f>'Supply planning data'!E529</f>
        <v>No</v>
      </c>
      <c r="D531" s="92">
        <f>'Supply planning data'!F529</f>
        <v>0</v>
      </c>
      <c r="E531" s="316">
        <f>'Supply planning data'!G529</f>
        <v>0</v>
      </c>
      <c r="F531" s="317">
        <f>'Supply planning data'!H529</f>
        <v>0</v>
      </c>
      <c r="G531" s="317">
        <f>'Supply planning data'!I529</f>
        <v>0</v>
      </c>
      <c r="H531" s="98">
        <f>'Supply planning data'!J529</f>
        <v>0</v>
      </c>
      <c r="I531" s="317">
        <f>'Supply planning data'!K529</f>
        <v>0</v>
      </c>
      <c r="J531" s="175" t="str">
        <f>'Supply planning data'!L529</f>
        <v/>
      </c>
      <c r="K531" s="98">
        <f>'Supply planning data'!M529</f>
        <v>0</v>
      </c>
      <c r="L531" s="317">
        <f>'Supply planning data'!N529+'Supply planning data'!P529</f>
        <v>0</v>
      </c>
      <c r="M531" s="339">
        <f>'Supply planning data'!O529</f>
        <v>0</v>
      </c>
      <c r="N531" s="317">
        <f>'Supply planning data'!P529</f>
        <v>0</v>
      </c>
      <c r="O531" s="339">
        <f>'Supply planning data'!Q529</f>
        <v>0</v>
      </c>
      <c r="P531" s="98">
        <f>'Supply planning data'!R529</f>
        <v>0</v>
      </c>
      <c r="Q531" s="98">
        <f>'Supply planning data'!S529</f>
        <v>0</v>
      </c>
      <c r="R531" s="98">
        <f>'Supply planning data'!T529</f>
        <v>0</v>
      </c>
      <c r="S531" s="98">
        <f>'Supply planning data'!U529</f>
        <v>0</v>
      </c>
      <c r="T531" s="98">
        <f>'Supply planning data'!V529</f>
        <v>0</v>
      </c>
      <c r="U531" s="325" t="str">
        <f>'Supply planning data'!W529</f>
        <v/>
      </c>
      <c r="V531" s="98">
        <f>'Supply planning data'!X529</f>
        <v>0</v>
      </c>
      <c r="W531" s="317">
        <f>'Supply planning data'!Y529</f>
        <v>0</v>
      </c>
      <c r="X531" s="328">
        <f>'Supply planning data'!Z529</f>
        <v>0</v>
      </c>
      <c r="Y531" s="98">
        <f>'Supply planning data'!AA529</f>
        <v>0</v>
      </c>
      <c r="Z531" s="98">
        <f>'Supply planning data'!AB529</f>
        <v>0</v>
      </c>
      <c r="AA531" s="98">
        <f>'Supply planning data'!AC529</f>
        <v>0</v>
      </c>
      <c r="AB531" s="98">
        <f>'Supply planning data'!AD529</f>
        <v>0</v>
      </c>
      <c r="AC531" s="98">
        <f>'Supply planning data'!AE529</f>
        <v>0</v>
      </c>
      <c r="AD531" s="325" t="str">
        <f>'Supply planning data'!AF529</f>
        <v/>
      </c>
      <c r="AE531" s="98">
        <f>'Supply planning data'!AG529</f>
        <v>0</v>
      </c>
      <c r="AF531" s="317">
        <f>'Supply planning data'!AH529</f>
        <v>0</v>
      </c>
      <c r="AG531" s="175">
        <f>'Supply planning data'!AI529</f>
        <v>0</v>
      </c>
      <c r="AH531" s="98">
        <f>'Supply planning data'!AJ529</f>
        <v>0</v>
      </c>
      <c r="AI531" s="98">
        <f>'Supply planning data'!AK529</f>
        <v>0</v>
      </c>
      <c r="AJ531" s="98">
        <f>'Supply planning data'!AL529</f>
        <v>0</v>
      </c>
      <c r="AK531" s="98">
        <f>'Supply planning data'!AM529</f>
        <v>0</v>
      </c>
      <c r="AL531" s="98">
        <f>'Supply planning data'!AN529</f>
        <v>0</v>
      </c>
      <c r="AM531" s="325" t="str">
        <f>'Supply planning data'!AO529</f>
        <v/>
      </c>
    </row>
    <row r="532" spans="1:39" x14ac:dyDescent="0.25">
      <c r="A532" s="104" t="str">
        <f>'Supply planning data'!C530</f>
        <v>AstraZeneca</v>
      </c>
      <c r="B532" s="298">
        <f>'Supply planning data'!D530</f>
        <v>45261</v>
      </c>
      <c r="C532" s="105" t="str">
        <f>'Supply planning data'!E530</f>
        <v>Yes</v>
      </c>
      <c r="D532" s="105">
        <f>'Supply planning data'!F530</f>
        <v>0</v>
      </c>
      <c r="E532" s="320">
        <f>'Supply planning data'!G530</f>
        <v>0</v>
      </c>
      <c r="F532" s="320">
        <f>'Supply planning data'!H530</f>
        <v>0</v>
      </c>
      <c r="G532" s="320">
        <f>'Supply planning data'!I530</f>
        <v>0</v>
      </c>
      <c r="H532" s="105">
        <f>'Supply planning data'!J530</f>
        <v>0</v>
      </c>
      <c r="I532" s="320">
        <f>'Supply planning data'!K530</f>
        <v>0</v>
      </c>
      <c r="J532" s="177" t="str">
        <f>'Supply planning data'!L530</f>
        <v/>
      </c>
      <c r="K532" s="105">
        <f>'Supply planning data'!M530</f>
        <v>0</v>
      </c>
      <c r="L532" s="320">
        <f>'Supply planning data'!N530+'Supply planning data'!P530</f>
        <v>0</v>
      </c>
      <c r="M532" s="341">
        <f>'Supply planning data'!O530</f>
        <v>0</v>
      </c>
      <c r="N532" s="320">
        <f>'Supply planning data'!P530</f>
        <v>0</v>
      </c>
      <c r="O532" s="341">
        <f>'Supply planning data'!Q530</f>
        <v>0</v>
      </c>
      <c r="P532" s="105">
        <f>'Supply planning data'!R530</f>
        <v>0</v>
      </c>
      <c r="Q532" s="105">
        <f>'Supply planning data'!S530</f>
        <v>0</v>
      </c>
      <c r="R532" s="105">
        <f>'Supply planning data'!T530</f>
        <v>0</v>
      </c>
      <c r="S532" s="105">
        <f>'Supply planning data'!U530</f>
        <v>0</v>
      </c>
      <c r="T532" s="105">
        <f>'Supply planning data'!V530</f>
        <v>0</v>
      </c>
      <c r="U532" s="326" t="str">
        <f>'Supply planning data'!W530</f>
        <v/>
      </c>
      <c r="V532" s="105">
        <f>'Supply planning data'!X530</f>
        <v>154701</v>
      </c>
      <c r="W532" s="320">
        <f>'Supply planning data'!Y530</f>
        <v>0</v>
      </c>
      <c r="X532" s="329">
        <f>'Supply planning data'!Z530</f>
        <v>0</v>
      </c>
      <c r="Y532" s="105">
        <f>'Supply planning data'!AA530</f>
        <v>0</v>
      </c>
      <c r="Z532" s="105">
        <f>'Supply planning data'!AB530</f>
        <v>0</v>
      </c>
      <c r="AA532" s="105">
        <f>'Supply planning data'!AC530</f>
        <v>0</v>
      </c>
      <c r="AB532" s="105">
        <f>'Supply planning data'!AD530</f>
        <v>0</v>
      </c>
      <c r="AC532" s="105">
        <f>'Supply planning data'!AE530</f>
        <v>154701</v>
      </c>
      <c r="AD532" s="326" t="str">
        <f>'Supply planning data'!AF530</f>
        <v/>
      </c>
      <c r="AE532" s="105">
        <f>'Supply planning data'!AG530</f>
        <v>0</v>
      </c>
      <c r="AF532" s="320">
        <f>'Supply planning data'!AH530</f>
        <v>0</v>
      </c>
      <c r="AG532" s="177">
        <f>'Supply planning data'!AI530</f>
        <v>0</v>
      </c>
      <c r="AH532" s="105">
        <f>'Supply planning data'!AJ530</f>
        <v>0</v>
      </c>
      <c r="AI532" s="105">
        <f>'Supply planning data'!AK530</f>
        <v>0</v>
      </c>
      <c r="AJ532" s="105">
        <f>'Supply planning data'!AL530</f>
        <v>0</v>
      </c>
      <c r="AK532" s="105">
        <f>'Supply planning data'!AM530</f>
        <v>0</v>
      </c>
      <c r="AL532" s="105">
        <f>'Supply planning data'!AN530</f>
        <v>0</v>
      </c>
      <c r="AM532" s="326" t="str">
        <f>'Supply planning data'!AO530</f>
        <v/>
      </c>
    </row>
    <row r="533" spans="1:39" x14ac:dyDescent="0.25">
      <c r="A533" s="109" t="str">
        <f>'Supply planning data'!C531</f>
        <v>Jansen</v>
      </c>
      <c r="B533" s="298">
        <f>'Supply planning data'!D531</f>
        <v>45261</v>
      </c>
      <c r="C533" s="105" t="str">
        <f>'Supply planning data'!E531</f>
        <v>Yes</v>
      </c>
      <c r="D533" s="105">
        <f>'Supply planning data'!F531</f>
        <v>2071200</v>
      </c>
      <c r="E533" s="320">
        <f>'Supply planning data'!G531</f>
        <v>0</v>
      </c>
      <c r="F533" s="320">
        <f>'Supply planning data'!H531</f>
        <v>0</v>
      </c>
      <c r="G533" s="320">
        <f>'Supply planning data'!I531</f>
        <v>0</v>
      </c>
      <c r="H533" s="105">
        <f>'Supply planning data'!J531</f>
        <v>0</v>
      </c>
      <c r="I533" s="320">
        <f>'Supply planning data'!K531</f>
        <v>0</v>
      </c>
      <c r="J533" s="177" t="str">
        <f>'Supply planning data'!L531</f>
        <v/>
      </c>
      <c r="K533" s="105">
        <f>'Supply planning data'!M531</f>
        <v>0</v>
      </c>
      <c r="L533" s="321">
        <f>'Supply planning data'!N531+'Supply planning data'!P531</f>
        <v>0</v>
      </c>
      <c r="M533" s="342">
        <f>'Supply planning data'!O531</f>
        <v>0</v>
      </c>
      <c r="N533" s="321">
        <f>'Supply planning data'!P531</f>
        <v>0</v>
      </c>
      <c r="O533" s="342">
        <f>'Supply planning data'!Q531</f>
        <v>0</v>
      </c>
      <c r="P533" s="111">
        <f>'Supply planning data'!R531</f>
        <v>0</v>
      </c>
      <c r="Q533" s="111">
        <f>'Supply planning data'!S531</f>
        <v>0</v>
      </c>
      <c r="R533" s="111">
        <f>'Supply planning data'!T531</f>
        <v>387547</v>
      </c>
      <c r="S533" s="111">
        <f>'Supply planning data'!U531</f>
        <v>200000</v>
      </c>
      <c r="T533" s="111">
        <f>'Supply planning data'!V531</f>
        <v>1871200</v>
      </c>
      <c r="U533" s="327" t="str">
        <f>'Supply planning data'!W531</f>
        <v/>
      </c>
      <c r="V533" s="111">
        <f>'Supply planning data'!X531</f>
        <v>1511200</v>
      </c>
      <c r="W533" s="321">
        <f>'Supply planning data'!Y531</f>
        <v>0</v>
      </c>
      <c r="X533" s="329">
        <f>'Supply planning data'!Z531</f>
        <v>0</v>
      </c>
      <c r="Y533" s="111">
        <f>'Supply planning data'!AA531</f>
        <v>0</v>
      </c>
      <c r="Z533" s="111">
        <f>'Supply planning data'!AB531</f>
        <v>0</v>
      </c>
      <c r="AA533" s="111">
        <f>'Supply planning data'!AC531</f>
        <v>0</v>
      </c>
      <c r="AB533" s="111">
        <f>'Supply planning data'!AD531</f>
        <v>0</v>
      </c>
      <c r="AC533" s="111">
        <f>'Supply planning data'!AE531</f>
        <v>1311200</v>
      </c>
      <c r="AD533" s="327" t="str">
        <f>'Supply planning data'!AF531</f>
        <v/>
      </c>
      <c r="AE533" s="111">
        <f>'Supply planning data'!AG531</f>
        <v>2071200</v>
      </c>
      <c r="AF533" s="321">
        <f>'Supply planning data'!AH531</f>
        <v>0</v>
      </c>
      <c r="AG533" s="349">
        <f>'Supply planning data'!AI531</f>
        <v>0</v>
      </c>
      <c r="AH533" s="111">
        <f>'Supply planning data'!AJ531</f>
        <v>0</v>
      </c>
      <c r="AI533" s="111">
        <f>'Supply planning data'!AK531</f>
        <v>0</v>
      </c>
      <c r="AJ533" s="111">
        <f>'Supply planning data'!AL531</f>
        <v>387547</v>
      </c>
      <c r="AK533" s="111">
        <f>'Supply planning data'!AM531</f>
        <v>200000</v>
      </c>
      <c r="AL533" s="111">
        <f>'Supply planning data'!AN531</f>
        <v>1871200</v>
      </c>
      <c r="AM533" s="327" t="str">
        <f>'Supply planning data'!AO531</f>
        <v/>
      </c>
    </row>
    <row r="534" spans="1:39" x14ac:dyDescent="0.25">
      <c r="A534" s="104" t="str">
        <f>'Supply planning data'!C532</f>
        <v>Moderna</v>
      </c>
      <c r="B534" s="298">
        <f>'Supply planning data'!D532</f>
        <v>45261</v>
      </c>
      <c r="C534" s="105" t="str">
        <f>'Supply planning data'!E532</f>
        <v>No</v>
      </c>
      <c r="D534" s="105">
        <f>'Supply planning data'!F532</f>
        <v>0</v>
      </c>
      <c r="E534" s="320">
        <f>'Supply planning data'!G532</f>
        <v>0</v>
      </c>
      <c r="F534" s="320">
        <f>'Supply planning data'!H532</f>
        <v>0</v>
      </c>
      <c r="G534" s="320">
        <f>'Supply planning data'!I532</f>
        <v>0</v>
      </c>
      <c r="H534" s="105">
        <f>'Supply planning data'!J532</f>
        <v>0</v>
      </c>
      <c r="I534" s="320">
        <f>'Supply planning data'!K532</f>
        <v>0</v>
      </c>
      <c r="J534" s="177" t="str">
        <f>'Supply planning data'!L532</f>
        <v/>
      </c>
      <c r="K534" s="105">
        <f>'Supply planning data'!M532</f>
        <v>0</v>
      </c>
      <c r="L534" s="321">
        <f>'Supply planning data'!N532+'Supply planning data'!P532</f>
        <v>0</v>
      </c>
      <c r="M534" s="342">
        <f>'Supply planning data'!O532</f>
        <v>0</v>
      </c>
      <c r="N534" s="321">
        <f>'Supply planning data'!P532</f>
        <v>0</v>
      </c>
      <c r="O534" s="342">
        <f>'Supply planning data'!Q532</f>
        <v>0</v>
      </c>
      <c r="P534" s="111">
        <f>'Supply planning data'!R532</f>
        <v>0</v>
      </c>
      <c r="Q534" s="111">
        <f>'Supply planning data'!S532</f>
        <v>0</v>
      </c>
      <c r="R534" s="111">
        <f>'Supply planning data'!T532</f>
        <v>0</v>
      </c>
      <c r="S534" s="111">
        <f>'Supply planning data'!U532</f>
        <v>0</v>
      </c>
      <c r="T534" s="111">
        <f>'Supply planning data'!V532</f>
        <v>0</v>
      </c>
      <c r="U534" s="327" t="str">
        <f>'Supply planning data'!W532</f>
        <v/>
      </c>
      <c r="V534" s="111">
        <f>'Supply planning data'!X532</f>
        <v>0</v>
      </c>
      <c r="W534" s="321">
        <f>'Supply planning data'!Y532</f>
        <v>0</v>
      </c>
      <c r="X534" s="329">
        <f>'Supply planning data'!Z532</f>
        <v>0</v>
      </c>
      <c r="Y534" s="111">
        <f>'Supply planning data'!AA532</f>
        <v>0</v>
      </c>
      <c r="Z534" s="111">
        <f>'Supply planning data'!AB532</f>
        <v>0</v>
      </c>
      <c r="AA534" s="111">
        <f>'Supply planning data'!AC532</f>
        <v>0</v>
      </c>
      <c r="AB534" s="111">
        <f>'Supply planning data'!AD532</f>
        <v>0</v>
      </c>
      <c r="AC534" s="111">
        <f>'Supply planning data'!AE532</f>
        <v>0</v>
      </c>
      <c r="AD534" s="327" t="str">
        <f>'Supply planning data'!AF532</f>
        <v/>
      </c>
      <c r="AE534" s="111">
        <f>'Supply planning data'!AG532</f>
        <v>0</v>
      </c>
      <c r="AF534" s="321">
        <f>'Supply planning data'!AH532</f>
        <v>0</v>
      </c>
      <c r="AG534" s="349">
        <f>'Supply planning data'!AI532</f>
        <v>0</v>
      </c>
      <c r="AH534" s="111">
        <f>'Supply planning data'!AJ532</f>
        <v>0</v>
      </c>
      <c r="AI534" s="111">
        <f>'Supply planning data'!AK532</f>
        <v>0</v>
      </c>
      <c r="AJ534" s="111">
        <f>'Supply planning data'!AL532</f>
        <v>0</v>
      </c>
      <c r="AK534" s="111">
        <f>'Supply planning data'!AM532</f>
        <v>0</v>
      </c>
      <c r="AL534" s="111">
        <f>'Supply planning data'!AN532</f>
        <v>0</v>
      </c>
      <c r="AM534" s="327" t="str">
        <f>'Supply planning data'!AO532</f>
        <v/>
      </c>
    </row>
    <row r="535" spans="1:39" x14ac:dyDescent="0.25">
      <c r="A535" s="109" t="str">
        <f>'Supply planning data'!C533</f>
        <v>Pfizer</v>
      </c>
      <c r="B535" s="298">
        <f>'Supply planning data'!D533</f>
        <v>45261</v>
      </c>
      <c r="C535" s="105" t="str">
        <f>'Supply planning data'!E533</f>
        <v>Yes</v>
      </c>
      <c r="D535" s="105">
        <f>'Supply planning data'!F533</f>
        <v>3000000</v>
      </c>
      <c r="E535" s="320">
        <f>'Supply planning data'!G533</f>
        <v>0</v>
      </c>
      <c r="F535" s="320">
        <f>'Supply planning data'!H533</f>
        <v>0</v>
      </c>
      <c r="G535" s="320">
        <f>'Supply planning data'!I533</f>
        <v>0</v>
      </c>
      <c r="H535" s="105">
        <f>'Supply planning data'!J533</f>
        <v>0</v>
      </c>
      <c r="I535" s="320">
        <f>'Supply planning data'!K533</f>
        <v>0</v>
      </c>
      <c r="J535" s="177" t="str">
        <f>'Supply planning data'!L533</f>
        <v/>
      </c>
      <c r="K535" s="105">
        <f>'Supply planning data'!M533</f>
        <v>0</v>
      </c>
      <c r="L535" s="321">
        <f>'Supply planning data'!N533+'Supply planning data'!P533</f>
        <v>0</v>
      </c>
      <c r="M535" s="342">
        <f>'Supply planning data'!O533</f>
        <v>0</v>
      </c>
      <c r="N535" s="321">
        <f>'Supply planning data'!P533</f>
        <v>0</v>
      </c>
      <c r="O535" s="342">
        <f>'Supply planning data'!Q533</f>
        <v>0</v>
      </c>
      <c r="P535" s="111">
        <f>'Supply planning data'!R533</f>
        <v>0</v>
      </c>
      <c r="Q535" s="111">
        <f>'Supply planning data'!S533</f>
        <v>0</v>
      </c>
      <c r="R535" s="111">
        <f>'Supply planning data'!T533</f>
        <v>110538</v>
      </c>
      <c r="S535" s="111">
        <f>'Supply planning data'!U533</f>
        <v>0</v>
      </c>
      <c r="T535" s="111">
        <f>'Supply planning data'!V533</f>
        <v>3000000</v>
      </c>
      <c r="U535" s="327" t="str">
        <f>'Supply planning data'!W533</f>
        <v/>
      </c>
      <c r="V535" s="111">
        <f>'Supply planning data'!X533</f>
        <v>2440000</v>
      </c>
      <c r="W535" s="321">
        <f>'Supply planning data'!Y533</f>
        <v>0</v>
      </c>
      <c r="X535" s="329">
        <f>'Supply planning data'!Z533</f>
        <v>0</v>
      </c>
      <c r="Y535" s="111">
        <f>'Supply planning data'!AA533</f>
        <v>0</v>
      </c>
      <c r="Z535" s="111">
        <f>'Supply planning data'!AB533</f>
        <v>0</v>
      </c>
      <c r="AA535" s="111">
        <f>'Supply planning data'!AC533</f>
        <v>0</v>
      </c>
      <c r="AB535" s="111">
        <f>'Supply planning data'!AD533</f>
        <v>0</v>
      </c>
      <c r="AC535" s="111">
        <f>'Supply planning data'!AE533</f>
        <v>2440000</v>
      </c>
      <c r="AD535" s="327" t="str">
        <f>'Supply planning data'!AF533</f>
        <v/>
      </c>
      <c r="AE535" s="111">
        <f>'Supply planning data'!AG533</f>
        <v>3000000</v>
      </c>
      <c r="AF535" s="321">
        <f>'Supply planning data'!AH533</f>
        <v>0</v>
      </c>
      <c r="AG535" s="349">
        <f>'Supply planning data'!AI533</f>
        <v>0</v>
      </c>
      <c r="AH535" s="111">
        <f>'Supply planning data'!AJ533</f>
        <v>0</v>
      </c>
      <c r="AI535" s="111">
        <f>'Supply planning data'!AK533</f>
        <v>0</v>
      </c>
      <c r="AJ535" s="111">
        <f>'Supply planning data'!AL533</f>
        <v>110538</v>
      </c>
      <c r="AK535" s="111">
        <f>'Supply planning data'!AM533</f>
        <v>0</v>
      </c>
      <c r="AL535" s="111">
        <f>'Supply planning data'!AN533</f>
        <v>3000000</v>
      </c>
      <c r="AM535" s="327" t="str">
        <f>'Supply planning data'!AO533</f>
        <v/>
      </c>
    </row>
    <row r="536" spans="1:39" x14ac:dyDescent="0.25">
      <c r="A536" s="104" t="str">
        <f>'Supply planning data'!C534</f>
        <v>Sinovac</v>
      </c>
      <c r="B536" s="298">
        <f>'Supply planning data'!D534</f>
        <v>45261</v>
      </c>
      <c r="C536" s="105" t="str">
        <f>'Supply planning data'!E534</f>
        <v>No</v>
      </c>
      <c r="D536" s="105">
        <f>'Supply planning data'!F534</f>
        <v>0</v>
      </c>
      <c r="E536" s="320">
        <f>'Supply planning data'!G534</f>
        <v>0</v>
      </c>
      <c r="F536" s="320">
        <f>'Supply planning data'!H534</f>
        <v>0</v>
      </c>
      <c r="G536" s="320">
        <f>'Supply planning data'!I534</f>
        <v>0</v>
      </c>
      <c r="H536" s="105">
        <f>'Supply planning data'!J534</f>
        <v>0</v>
      </c>
      <c r="I536" s="320">
        <f>'Supply planning data'!K534</f>
        <v>0</v>
      </c>
      <c r="J536" s="177" t="str">
        <f>'Supply planning data'!L534</f>
        <v/>
      </c>
      <c r="K536" s="105">
        <f>'Supply planning data'!M534</f>
        <v>0</v>
      </c>
      <c r="L536" s="321">
        <f>'Supply planning data'!N534+'Supply planning data'!P534</f>
        <v>0</v>
      </c>
      <c r="M536" s="342">
        <f>'Supply planning data'!O534</f>
        <v>0</v>
      </c>
      <c r="N536" s="321">
        <f>'Supply planning data'!P534</f>
        <v>0</v>
      </c>
      <c r="O536" s="342">
        <f>'Supply planning data'!Q534</f>
        <v>0</v>
      </c>
      <c r="P536" s="111">
        <f>'Supply planning data'!R534</f>
        <v>0</v>
      </c>
      <c r="Q536" s="111">
        <f>'Supply planning data'!S534</f>
        <v>0</v>
      </c>
      <c r="R536" s="111">
        <f>'Supply planning data'!T534</f>
        <v>0</v>
      </c>
      <c r="S536" s="111">
        <f>'Supply planning data'!U534</f>
        <v>0</v>
      </c>
      <c r="T536" s="111">
        <f>'Supply planning data'!V534</f>
        <v>0</v>
      </c>
      <c r="U536" s="327" t="str">
        <f>'Supply planning data'!W534</f>
        <v/>
      </c>
      <c r="V536" s="111">
        <f>'Supply planning data'!X534</f>
        <v>0</v>
      </c>
      <c r="W536" s="321">
        <f>'Supply planning data'!Y534</f>
        <v>0</v>
      </c>
      <c r="X536" s="329">
        <f>'Supply planning data'!Z534</f>
        <v>0</v>
      </c>
      <c r="Y536" s="111">
        <f>'Supply planning data'!AA534</f>
        <v>0</v>
      </c>
      <c r="Z536" s="111">
        <f>'Supply planning data'!AB534</f>
        <v>0</v>
      </c>
      <c r="AA536" s="111">
        <f>'Supply planning data'!AC534</f>
        <v>0</v>
      </c>
      <c r="AB536" s="111">
        <f>'Supply planning data'!AD534</f>
        <v>0</v>
      </c>
      <c r="AC536" s="111">
        <f>'Supply planning data'!AE534</f>
        <v>0</v>
      </c>
      <c r="AD536" s="327" t="str">
        <f>'Supply planning data'!AF534</f>
        <v/>
      </c>
      <c r="AE536" s="111">
        <f>'Supply planning data'!AG534</f>
        <v>0</v>
      </c>
      <c r="AF536" s="321">
        <f>'Supply planning data'!AH534</f>
        <v>0</v>
      </c>
      <c r="AG536" s="349">
        <f>'Supply planning data'!AI534</f>
        <v>0</v>
      </c>
      <c r="AH536" s="111">
        <f>'Supply planning data'!AJ534</f>
        <v>0</v>
      </c>
      <c r="AI536" s="111">
        <f>'Supply planning data'!AK534</f>
        <v>0</v>
      </c>
      <c r="AJ536" s="111">
        <f>'Supply planning data'!AL534</f>
        <v>0</v>
      </c>
      <c r="AK536" s="111">
        <f>'Supply planning data'!AM534</f>
        <v>0</v>
      </c>
      <c r="AL536" s="111">
        <f>'Supply planning data'!AN534</f>
        <v>0</v>
      </c>
      <c r="AM536" s="327" t="str">
        <f>'Supply planning data'!AO534</f>
        <v/>
      </c>
    </row>
    <row r="537" spans="1:39" hidden="1" x14ac:dyDescent="0.25">
      <c r="A537" s="109" t="str">
        <f>'Supply planning data'!C535</f>
        <v/>
      </c>
      <c r="B537" s="298">
        <f>'Supply planning data'!D535</f>
        <v>45261</v>
      </c>
      <c r="C537" s="105" t="str">
        <f>'Supply planning data'!E535</f>
        <v>No</v>
      </c>
      <c r="D537" s="105">
        <f>'Supply planning data'!F535</f>
        <v>0</v>
      </c>
      <c r="E537" s="320">
        <f>'Supply planning data'!G535</f>
        <v>0</v>
      </c>
      <c r="F537" s="320">
        <f>'Supply planning data'!H535</f>
        <v>0</v>
      </c>
      <c r="G537" s="320">
        <f>'Supply planning data'!I535</f>
        <v>0</v>
      </c>
      <c r="H537" s="105">
        <f>'Supply planning data'!J535</f>
        <v>0</v>
      </c>
      <c r="I537" s="320">
        <f>'Supply planning data'!K535</f>
        <v>0</v>
      </c>
      <c r="J537" s="177" t="str">
        <f>'Supply planning data'!L535</f>
        <v/>
      </c>
      <c r="K537" s="105">
        <f>'Supply planning data'!M535</f>
        <v>0</v>
      </c>
      <c r="L537" s="321">
        <f>'Supply planning data'!N535+'Supply planning data'!P535</f>
        <v>0</v>
      </c>
      <c r="M537" s="342">
        <f>'Supply planning data'!O535</f>
        <v>0</v>
      </c>
      <c r="N537" s="321">
        <f>'Supply planning data'!P535</f>
        <v>0</v>
      </c>
      <c r="O537" s="342">
        <f>'Supply planning data'!Q535</f>
        <v>0</v>
      </c>
      <c r="P537" s="111">
        <f>'Supply planning data'!R535</f>
        <v>0</v>
      </c>
      <c r="Q537" s="111">
        <f>'Supply planning data'!S535</f>
        <v>0</v>
      </c>
      <c r="R537" s="111">
        <f>'Supply planning data'!T535</f>
        <v>0</v>
      </c>
      <c r="S537" s="111">
        <f>'Supply planning data'!U535</f>
        <v>0</v>
      </c>
      <c r="T537" s="111">
        <f>'Supply planning data'!V535</f>
        <v>0</v>
      </c>
      <c r="U537" s="327" t="str">
        <f>'Supply planning data'!W535</f>
        <v/>
      </c>
      <c r="V537" s="111">
        <f>'Supply planning data'!X535</f>
        <v>0</v>
      </c>
      <c r="W537" s="321">
        <f>'Supply planning data'!Y535</f>
        <v>0</v>
      </c>
      <c r="X537" s="329">
        <f>'Supply planning data'!Z535</f>
        <v>0</v>
      </c>
      <c r="Y537" s="111">
        <f>'Supply planning data'!AA535</f>
        <v>0</v>
      </c>
      <c r="Z537" s="111">
        <f>'Supply planning data'!AB535</f>
        <v>0</v>
      </c>
      <c r="AA537" s="111">
        <f>'Supply planning data'!AC535</f>
        <v>0</v>
      </c>
      <c r="AB537" s="111">
        <f>'Supply planning data'!AD535</f>
        <v>0</v>
      </c>
      <c r="AC537" s="111">
        <f>'Supply planning data'!AE535</f>
        <v>0</v>
      </c>
      <c r="AD537" s="327" t="str">
        <f>'Supply planning data'!AF535</f>
        <v/>
      </c>
      <c r="AE537" s="111">
        <f>'Supply planning data'!AG535</f>
        <v>0</v>
      </c>
      <c r="AF537" s="321">
        <f>'Supply planning data'!AH535</f>
        <v>0</v>
      </c>
      <c r="AG537" s="349">
        <f>'Supply planning data'!AI535</f>
        <v>0</v>
      </c>
      <c r="AH537" s="111">
        <f>'Supply planning data'!AJ535</f>
        <v>0</v>
      </c>
      <c r="AI537" s="111">
        <f>'Supply planning data'!AK535</f>
        <v>0</v>
      </c>
      <c r="AJ537" s="111">
        <f>'Supply planning data'!AL535</f>
        <v>0</v>
      </c>
      <c r="AK537" s="111">
        <f>'Supply planning data'!AM535</f>
        <v>0</v>
      </c>
      <c r="AL537" s="111">
        <f>'Supply planning data'!AN535</f>
        <v>0</v>
      </c>
      <c r="AM537" s="327" t="str">
        <f>'Supply planning data'!AO535</f>
        <v/>
      </c>
    </row>
    <row r="538" spans="1:39" hidden="1" x14ac:dyDescent="0.25">
      <c r="A538" s="104" t="str">
        <f>'Supply planning data'!C536</f>
        <v/>
      </c>
      <c r="B538" s="298">
        <f>'Supply planning data'!D536</f>
        <v>45261</v>
      </c>
      <c r="C538" s="105" t="str">
        <f>'Supply planning data'!E536</f>
        <v>No</v>
      </c>
      <c r="D538" s="105">
        <f>'Supply planning data'!F536</f>
        <v>0</v>
      </c>
      <c r="E538" s="320">
        <f>'Supply planning data'!G536</f>
        <v>0</v>
      </c>
      <c r="F538" s="320">
        <f>'Supply planning data'!H536</f>
        <v>0</v>
      </c>
      <c r="G538" s="320">
        <f>'Supply planning data'!I536</f>
        <v>0</v>
      </c>
      <c r="H538" s="105">
        <f>'Supply planning data'!J536</f>
        <v>0</v>
      </c>
      <c r="I538" s="320">
        <f>'Supply planning data'!K536</f>
        <v>0</v>
      </c>
      <c r="J538" s="177" t="str">
        <f>'Supply planning data'!L536</f>
        <v/>
      </c>
      <c r="K538" s="105">
        <f>'Supply planning data'!M536</f>
        <v>0</v>
      </c>
      <c r="L538" s="321">
        <f>'Supply planning data'!N536+'Supply planning data'!P536</f>
        <v>0</v>
      </c>
      <c r="M538" s="342">
        <f>'Supply planning data'!O536</f>
        <v>0</v>
      </c>
      <c r="N538" s="321">
        <f>'Supply planning data'!P536</f>
        <v>0</v>
      </c>
      <c r="O538" s="342">
        <f>'Supply planning data'!Q536</f>
        <v>0</v>
      </c>
      <c r="P538" s="111">
        <f>'Supply planning data'!R536</f>
        <v>0</v>
      </c>
      <c r="Q538" s="111">
        <f>'Supply planning data'!S536</f>
        <v>0</v>
      </c>
      <c r="R538" s="111">
        <f>'Supply planning data'!T536</f>
        <v>0</v>
      </c>
      <c r="S538" s="111">
        <f>'Supply planning data'!U536</f>
        <v>0</v>
      </c>
      <c r="T538" s="111">
        <f>'Supply planning data'!V536</f>
        <v>0</v>
      </c>
      <c r="U538" s="327" t="str">
        <f>'Supply planning data'!W536</f>
        <v/>
      </c>
      <c r="V538" s="111">
        <f>'Supply planning data'!X536</f>
        <v>0</v>
      </c>
      <c r="W538" s="321">
        <f>'Supply planning data'!Y536</f>
        <v>0</v>
      </c>
      <c r="X538" s="329">
        <f>'Supply planning data'!Z536</f>
        <v>0</v>
      </c>
      <c r="Y538" s="111">
        <f>'Supply planning data'!AA536</f>
        <v>0</v>
      </c>
      <c r="Z538" s="111">
        <f>'Supply planning data'!AB536</f>
        <v>0</v>
      </c>
      <c r="AA538" s="111">
        <f>'Supply planning data'!AC536</f>
        <v>0</v>
      </c>
      <c r="AB538" s="111">
        <f>'Supply planning data'!AD536</f>
        <v>0</v>
      </c>
      <c r="AC538" s="111">
        <f>'Supply planning data'!AE536</f>
        <v>0</v>
      </c>
      <c r="AD538" s="327" t="str">
        <f>'Supply planning data'!AF536</f>
        <v/>
      </c>
      <c r="AE538" s="111">
        <f>'Supply planning data'!AG536</f>
        <v>0</v>
      </c>
      <c r="AF538" s="321">
        <f>'Supply planning data'!AH536</f>
        <v>0</v>
      </c>
      <c r="AG538" s="349">
        <f>'Supply planning data'!AI536</f>
        <v>0</v>
      </c>
      <c r="AH538" s="111">
        <f>'Supply planning data'!AJ536</f>
        <v>0</v>
      </c>
      <c r="AI538" s="111">
        <f>'Supply planning data'!AK536</f>
        <v>0</v>
      </c>
      <c r="AJ538" s="111">
        <f>'Supply planning data'!AL536</f>
        <v>0</v>
      </c>
      <c r="AK538" s="111">
        <f>'Supply planning data'!AM536</f>
        <v>0</v>
      </c>
      <c r="AL538" s="111">
        <f>'Supply planning data'!AN536</f>
        <v>0</v>
      </c>
      <c r="AM538" s="327" t="str">
        <f>'Supply planning data'!AO536</f>
        <v/>
      </c>
    </row>
    <row r="539" spans="1:39" hidden="1" x14ac:dyDescent="0.25">
      <c r="A539" s="109" t="str">
        <f>'Supply planning data'!C537</f>
        <v/>
      </c>
      <c r="B539" s="298">
        <f>'Supply planning data'!D537</f>
        <v>45261</v>
      </c>
      <c r="C539" s="105" t="str">
        <f>'Supply planning data'!E537</f>
        <v>No</v>
      </c>
      <c r="D539" s="105">
        <f>'Supply planning data'!F537</f>
        <v>0</v>
      </c>
      <c r="E539" s="320">
        <f>'Supply planning data'!G537</f>
        <v>0</v>
      </c>
      <c r="F539" s="320">
        <f>'Supply planning data'!H537</f>
        <v>0</v>
      </c>
      <c r="G539" s="320">
        <f>'Supply planning data'!I537</f>
        <v>0</v>
      </c>
      <c r="H539" s="105">
        <f>'Supply planning data'!J537</f>
        <v>0</v>
      </c>
      <c r="I539" s="320">
        <f>'Supply planning data'!K537</f>
        <v>0</v>
      </c>
      <c r="J539" s="177" t="str">
        <f>'Supply planning data'!L537</f>
        <v/>
      </c>
      <c r="K539" s="105">
        <f>'Supply planning data'!M537</f>
        <v>0</v>
      </c>
      <c r="L539" s="321">
        <f>'Supply planning data'!N537+'Supply planning data'!P537</f>
        <v>0</v>
      </c>
      <c r="M539" s="342">
        <f>'Supply planning data'!O537</f>
        <v>0</v>
      </c>
      <c r="N539" s="321">
        <f>'Supply planning data'!P537</f>
        <v>0</v>
      </c>
      <c r="O539" s="342">
        <f>'Supply planning data'!Q537</f>
        <v>0</v>
      </c>
      <c r="P539" s="111">
        <f>'Supply planning data'!R537</f>
        <v>0</v>
      </c>
      <c r="Q539" s="111">
        <f>'Supply planning data'!S537</f>
        <v>0</v>
      </c>
      <c r="R539" s="111">
        <f>'Supply planning data'!T537</f>
        <v>0</v>
      </c>
      <c r="S539" s="111">
        <f>'Supply planning data'!U537</f>
        <v>0</v>
      </c>
      <c r="T539" s="111">
        <f>'Supply planning data'!V537</f>
        <v>0</v>
      </c>
      <c r="U539" s="327" t="str">
        <f>'Supply planning data'!W537</f>
        <v/>
      </c>
      <c r="V539" s="111">
        <f>'Supply planning data'!X537</f>
        <v>0</v>
      </c>
      <c r="W539" s="321">
        <f>'Supply planning data'!Y537</f>
        <v>0</v>
      </c>
      <c r="X539" s="329">
        <f>'Supply planning data'!Z537</f>
        <v>0</v>
      </c>
      <c r="Y539" s="111">
        <f>'Supply planning data'!AA537</f>
        <v>0</v>
      </c>
      <c r="Z539" s="111">
        <f>'Supply planning data'!AB537</f>
        <v>0</v>
      </c>
      <c r="AA539" s="111">
        <f>'Supply planning data'!AC537</f>
        <v>0</v>
      </c>
      <c r="AB539" s="111">
        <f>'Supply planning data'!AD537</f>
        <v>0</v>
      </c>
      <c r="AC539" s="111">
        <f>'Supply planning data'!AE537</f>
        <v>0</v>
      </c>
      <c r="AD539" s="327" t="str">
        <f>'Supply planning data'!AF537</f>
        <v/>
      </c>
      <c r="AE539" s="111">
        <f>'Supply planning data'!AG537</f>
        <v>0</v>
      </c>
      <c r="AF539" s="321">
        <f>'Supply planning data'!AH537</f>
        <v>0</v>
      </c>
      <c r="AG539" s="349">
        <f>'Supply planning data'!AI537</f>
        <v>0</v>
      </c>
      <c r="AH539" s="111">
        <f>'Supply planning data'!AJ537</f>
        <v>0</v>
      </c>
      <c r="AI539" s="111">
        <f>'Supply planning data'!AK537</f>
        <v>0</v>
      </c>
      <c r="AJ539" s="111">
        <f>'Supply planning data'!AL537</f>
        <v>0</v>
      </c>
      <c r="AK539" s="111">
        <f>'Supply planning data'!AM537</f>
        <v>0</v>
      </c>
      <c r="AL539" s="111">
        <f>'Supply planning data'!AN537</f>
        <v>0</v>
      </c>
      <c r="AM539" s="327" t="str">
        <f>'Supply planning data'!AO537</f>
        <v/>
      </c>
    </row>
    <row r="540" spans="1:39" hidden="1" x14ac:dyDescent="0.25">
      <c r="A540" s="104" t="str">
        <f>'Supply planning data'!C538</f>
        <v/>
      </c>
      <c r="B540" s="298">
        <f>'Supply planning data'!D538</f>
        <v>45261</v>
      </c>
      <c r="C540" s="105" t="str">
        <f>'Supply planning data'!E538</f>
        <v>No</v>
      </c>
      <c r="D540" s="105">
        <f>'Supply planning data'!F538</f>
        <v>0</v>
      </c>
      <c r="E540" s="320">
        <f>'Supply planning data'!G538</f>
        <v>0</v>
      </c>
      <c r="F540" s="320">
        <f>'Supply planning data'!H538</f>
        <v>0</v>
      </c>
      <c r="G540" s="320">
        <f>'Supply planning data'!I538</f>
        <v>0</v>
      </c>
      <c r="H540" s="105">
        <f>'Supply planning data'!J538</f>
        <v>0</v>
      </c>
      <c r="I540" s="320">
        <f>'Supply planning data'!K538</f>
        <v>0</v>
      </c>
      <c r="J540" s="177" t="str">
        <f>'Supply planning data'!L538</f>
        <v/>
      </c>
      <c r="K540" s="105">
        <f>'Supply planning data'!M538</f>
        <v>0</v>
      </c>
      <c r="L540" s="321">
        <f>'Supply planning data'!N538+'Supply planning data'!P538</f>
        <v>0</v>
      </c>
      <c r="M540" s="342">
        <f>'Supply planning data'!O538</f>
        <v>0</v>
      </c>
      <c r="N540" s="321">
        <f>'Supply planning data'!P538</f>
        <v>0</v>
      </c>
      <c r="O540" s="342">
        <f>'Supply planning data'!Q538</f>
        <v>0</v>
      </c>
      <c r="P540" s="111">
        <f>'Supply planning data'!R538</f>
        <v>0</v>
      </c>
      <c r="Q540" s="111">
        <f>'Supply planning data'!S538</f>
        <v>0</v>
      </c>
      <c r="R540" s="111">
        <f>'Supply planning data'!T538</f>
        <v>0</v>
      </c>
      <c r="S540" s="111">
        <f>'Supply planning data'!U538</f>
        <v>0</v>
      </c>
      <c r="T540" s="111">
        <f>'Supply planning data'!V538</f>
        <v>0</v>
      </c>
      <c r="U540" s="327" t="str">
        <f>'Supply planning data'!W538</f>
        <v/>
      </c>
      <c r="V540" s="111">
        <f>'Supply planning data'!X538</f>
        <v>0</v>
      </c>
      <c r="W540" s="321">
        <f>'Supply planning data'!Y538</f>
        <v>0</v>
      </c>
      <c r="X540" s="329">
        <f>'Supply planning data'!Z538</f>
        <v>0</v>
      </c>
      <c r="Y540" s="111">
        <f>'Supply planning data'!AA538</f>
        <v>0</v>
      </c>
      <c r="Z540" s="111">
        <f>'Supply planning data'!AB538</f>
        <v>0</v>
      </c>
      <c r="AA540" s="111">
        <f>'Supply planning data'!AC538</f>
        <v>0</v>
      </c>
      <c r="AB540" s="111">
        <f>'Supply planning data'!AD538</f>
        <v>0</v>
      </c>
      <c r="AC540" s="111">
        <f>'Supply planning data'!AE538</f>
        <v>0</v>
      </c>
      <c r="AD540" s="327" t="str">
        <f>'Supply planning data'!AF538</f>
        <v/>
      </c>
      <c r="AE540" s="111">
        <f>'Supply planning data'!AG538</f>
        <v>0</v>
      </c>
      <c r="AF540" s="321">
        <f>'Supply planning data'!AH538</f>
        <v>0</v>
      </c>
      <c r="AG540" s="349">
        <f>'Supply planning data'!AI538</f>
        <v>0</v>
      </c>
      <c r="AH540" s="111">
        <f>'Supply planning data'!AJ538</f>
        <v>0</v>
      </c>
      <c r="AI540" s="111">
        <f>'Supply planning data'!AK538</f>
        <v>0</v>
      </c>
      <c r="AJ540" s="111">
        <f>'Supply planning data'!AL538</f>
        <v>0</v>
      </c>
      <c r="AK540" s="111">
        <f>'Supply planning data'!AM538</f>
        <v>0</v>
      </c>
      <c r="AL540" s="111">
        <f>'Supply planning data'!AN538</f>
        <v>0</v>
      </c>
      <c r="AM540" s="327" t="str">
        <f>'Supply planning data'!AO538</f>
        <v/>
      </c>
    </row>
    <row r="541" spans="1:39" hidden="1" x14ac:dyDescent="0.25">
      <c r="A541" s="109" t="str">
        <f>'Supply planning data'!C539</f>
        <v/>
      </c>
      <c r="B541" s="298">
        <f>'Supply planning data'!D539</f>
        <v>45261</v>
      </c>
      <c r="C541" s="105" t="str">
        <f>'Supply planning data'!E539</f>
        <v>No</v>
      </c>
      <c r="D541" s="105">
        <f>'Supply planning data'!F539</f>
        <v>0</v>
      </c>
      <c r="E541" s="320">
        <f>'Supply planning data'!G539</f>
        <v>0</v>
      </c>
      <c r="F541" s="320">
        <f>'Supply planning data'!H539</f>
        <v>0</v>
      </c>
      <c r="G541" s="320">
        <f>'Supply planning data'!I539</f>
        <v>0</v>
      </c>
      <c r="H541" s="105">
        <f>'Supply planning data'!J539</f>
        <v>0</v>
      </c>
      <c r="I541" s="320">
        <f>'Supply planning data'!K539</f>
        <v>0</v>
      </c>
      <c r="J541" s="177" t="str">
        <f>'Supply planning data'!L539</f>
        <v/>
      </c>
      <c r="K541" s="105">
        <f>'Supply planning data'!M539</f>
        <v>0</v>
      </c>
      <c r="L541" s="321">
        <f>'Supply planning data'!N539+'Supply planning data'!P539</f>
        <v>0</v>
      </c>
      <c r="M541" s="342">
        <f>'Supply planning data'!O539</f>
        <v>0</v>
      </c>
      <c r="N541" s="321">
        <f>'Supply planning data'!P539</f>
        <v>0</v>
      </c>
      <c r="O541" s="342">
        <f>'Supply planning data'!Q539</f>
        <v>0</v>
      </c>
      <c r="P541" s="111">
        <f>'Supply planning data'!R539</f>
        <v>0</v>
      </c>
      <c r="Q541" s="111">
        <f>'Supply planning data'!S539</f>
        <v>0</v>
      </c>
      <c r="R541" s="111">
        <f>'Supply planning data'!T539</f>
        <v>0</v>
      </c>
      <c r="S541" s="111">
        <f>'Supply planning data'!U539</f>
        <v>0</v>
      </c>
      <c r="T541" s="111">
        <f>'Supply planning data'!V539</f>
        <v>0</v>
      </c>
      <c r="U541" s="327" t="str">
        <f>'Supply planning data'!W539</f>
        <v/>
      </c>
      <c r="V541" s="111">
        <f>'Supply planning data'!X539</f>
        <v>0</v>
      </c>
      <c r="W541" s="321">
        <f>'Supply planning data'!Y539</f>
        <v>0</v>
      </c>
      <c r="X541" s="329">
        <f>'Supply planning data'!Z539</f>
        <v>0</v>
      </c>
      <c r="Y541" s="111">
        <f>'Supply planning data'!AA539</f>
        <v>0</v>
      </c>
      <c r="Z541" s="111">
        <f>'Supply planning data'!AB539</f>
        <v>0</v>
      </c>
      <c r="AA541" s="111">
        <f>'Supply planning data'!AC539</f>
        <v>0</v>
      </c>
      <c r="AB541" s="111">
        <f>'Supply planning data'!AD539</f>
        <v>0</v>
      </c>
      <c r="AC541" s="111">
        <f>'Supply planning data'!AE539</f>
        <v>0</v>
      </c>
      <c r="AD541" s="327" t="str">
        <f>'Supply planning data'!AF539</f>
        <v/>
      </c>
      <c r="AE541" s="111">
        <f>'Supply planning data'!AG539</f>
        <v>0</v>
      </c>
      <c r="AF541" s="321">
        <f>'Supply planning data'!AH539</f>
        <v>0</v>
      </c>
      <c r="AG541" s="349">
        <f>'Supply planning data'!AI539</f>
        <v>0</v>
      </c>
      <c r="AH541" s="111">
        <f>'Supply planning data'!AJ539</f>
        <v>0</v>
      </c>
      <c r="AI541" s="111">
        <f>'Supply planning data'!AK539</f>
        <v>0</v>
      </c>
      <c r="AJ541" s="111">
        <f>'Supply planning data'!AL539</f>
        <v>0</v>
      </c>
      <c r="AK541" s="111">
        <f>'Supply planning data'!AM539</f>
        <v>0</v>
      </c>
      <c r="AL541" s="111">
        <f>'Supply planning data'!AN539</f>
        <v>0</v>
      </c>
      <c r="AM541" s="327" t="str">
        <f>'Supply planning data'!AO539</f>
        <v/>
      </c>
    </row>
    <row r="542" spans="1:39" hidden="1" x14ac:dyDescent="0.25">
      <c r="A542" s="104" t="str">
        <f>'Supply planning data'!C540</f>
        <v/>
      </c>
      <c r="B542" s="298">
        <f>'Supply planning data'!D540</f>
        <v>45261</v>
      </c>
      <c r="C542" s="105" t="str">
        <f>'Supply planning data'!E540</f>
        <v>No</v>
      </c>
      <c r="D542" s="105">
        <f>'Supply planning data'!F540</f>
        <v>0</v>
      </c>
      <c r="E542" s="320">
        <f>'Supply planning data'!G540</f>
        <v>0</v>
      </c>
      <c r="F542" s="320">
        <f>'Supply planning data'!H540</f>
        <v>0</v>
      </c>
      <c r="G542" s="320">
        <f>'Supply planning data'!I540</f>
        <v>0</v>
      </c>
      <c r="H542" s="105">
        <f>'Supply planning data'!J540</f>
        <v>0</v>
      </c>
      <c r="I542" s="320">
        <f>'Supply planning data'!K540</f>
        <v>0</v>
      </c>
      <c r="J542" s="177" t="str">
        <f>'Supply planning data'!L540</f>
        <v/>
      </c>
      <c r="K542" s="105">
        <f>'Supply planning data'!M540</f>
        <v>0</v>
      </c>
      <c r="L542" s="321">
        <f>'Supply planning data'!N540+'Supply planning data'!P540</f>
        <v>0</v>
      </c>
      <c r="M542" s="342">
        <f>'Supply planning data'!O540</f>
        <v>0</v>
      </c>
      <c r="N542" s="321">
        <f>'Supply planning data'!P540</f>
        <v>0</v>
      </c>
      <c r="O542" s="342">
        <f>'Supply planning data'!Q540</f>
        <v>0</v>
      </c>
      <c r="P542" s="111">
        <f>'Supply planning data'!R540</f>
        <v>0</v>
      </c>
      <c r="Q542" s="111">
        <f>'Supply planning data'!S540</f>
        <v>0</v>
      </c>
      <c r="R542" s="111">
        <f>'Supply planning data'!T540</f>
        <v>0</v>
      </c>
      <c r="S542" s="111">
        <f>'Supply planning data'!U540</f>
        <v>0</v>
      </c>
      <c r="T542" s="111">
        <f>'Supply planning data'!V540</f>
        <v>0</v>
      </c>
      <c r="U542" s="327" t="str">
        <f>'Supply planning data'!W540</f>
        <v/>
      </c>
      <c r="V542" s="111">
        <f>'Supply planning data'!X540</f>
        <v>0</v>
      </c>
      <c r="W542" s="321">
        <f>'Supply planning data'!Y540</f>
        <v>0</v>
      </c>
      <c r="X542" s="329">
        <f>'Supply planning data'!Z540</f>
        <v>0</v>
      </c>
      <c r="Y542" s="111">
        <f>'Supply planning data'!AA540</f>
        <v>0</v>
      </c>
      <c r="Z542" s="111">
        <f>'Supply planning data'!AB540</f>
        <v>0</v>
      </c>
      <c r="AA542" s="111">
        <f>'Supply planning data'!AC540</f>
        <v>0</v>
      </c>
      <c r="AB542" s="111">
        <f>'Supply planning data'!AD540</f>
        <v>0</v>
      </c>
      <c r="AC542" s="111">
        <f>'Supply planning data'!AE540</f>
        <v>0</v>
      </c>
      <c r="AD542" s="327" t="str">
        <f>'Supply planning data'!AF540</f>
        <v/>
      </c>
      <c r="AE542" s="111">
        <f>'Supply planning data'!AG540</f>
        <v>0</v>
      </c>
      <c r="AF542" s="321">
        <f>'Supply planning data'!AH540</f>
        <v>0</v>
      </c>
      <c r="AG542" s="349">
        <f>'Supply planning data'!AI540</f>
        <v>0</v>
      </c>
      <c r="AH542" s="111">
        <f>'Supply planning data'!AJ540</f>
        <v>0</v>
      </c>
      <c r="AI542" s="111">
        <f>'Supply planning data'!AK540</f>
        <v>0</v>
      </c>
      <c r="AJ542" s="111">
        <f>'Supply planning data'!AL540</f>
        <v>0</v>
      </c>
      <c r="AK542" s="111">
        <f>'Supply planning data'!AM540</f>
        <v>0</v>
      </c>
      <c r="AL542" s="111">
        <f>'Supply planning data'!AN540</f>
        <v>0</v>
      </c>
      <c r="AM542" s="327" t="str">
        <f>'Supply planning data'!AO540</f>
        <v/>
      </c>
    </row>
    <row r="543" spans="1:39" hidden="1" x14ac:dyDescent="0.25">
      <c r="A543" s="109" t="str">
        <f>'Supply planning data'!C541</f>
        <v/>
      </c>
      <c r="B543" s="298">
        <f>'Supply planning data'!D541</f>
        <v>45261</v>
      </c>
      <c r="C543" s="105" t="str">
        <f>'Supply planning data'!E541</f>
        <v>No</v>
      </c>
      <c r="D543" s="105">
        <f>'Supply planning data'!F541</f>
        <v>0</v>
      </c>
      <c r="E543" s="320">
        <f>'Supply planning data'!G541</f>
        <v>0</v>
      </c>
      <c r="F543" s="320">
        <f>'Supply planning data'!H541</f>
        <v>0</v>
      </c>
      <c r="G543" s="320">
        <f>'Supply planning data'!I541</f>
        <v>0</v>
      </c>
      <c r="H543" s="105">
        <f>'Supply planning data'!J541</f>
        <v>0</v>
      </c>
      <c r="I543" s="320">
        <f>'Supply planning data'!K541</f>
        <v>0</v>
      </c>
      <c r="J543" s="177" t="str">
        <f>'Supply planning data'!L541</f>
        <v/>
      </c>
      <c r="K543" s="105">
        <f>'Supply planning data'!M541</f>
        <v>0</v>
      </c>
      <c r="L543" s="321">
        <f>'Supply planning data'!N541+'Supply planning data'!P541</f>
        <v>0</v>
      </c>
      <c r="M543" s="342">
        <f>'Supply planning data'!O541</f>
        <v>0</v>
      </c>
      <c r="N543" s="321">
        <f>'Supply planning data'!P541</f>
        <v>0</v>
      </c>
      <c r="O543" s="342">
        <f>'Supply planning data'!Q541</f>
        <v>0</v>
      </c>
      <c r="P543" s="111">
        <f>'Supply planning data'!R541</f>
        <v>0</v>
      </c>
      <c r="Q543" s="111">
        <f>'Supply planning data'!S541</f>
        <v>0</v>
      </c>
      <c r="R543" s="111">
        <f>'Supply planning data'!T541</f>
        <v>0</v>
      </c>
      <c r="S543" s="111">
        <f>'Supply planning data'!U541</f>
        <v>0</v>
      </c>
      <c r="T543" s="111">
        <f>'Supply planning data'!V541</f>
        <v>0</v>
      </c>
      <c r="U543" s="327" t="str">
        <f>'Supply planning data'!W541</f>
        <v/>
      </c>
      <c r="V543" s="111">
        <f>'Supply planning data'!X541</f>
        <v>0</v>
      </c>
      <c r="W543" s="321">
        <f>'Supply planning data'!Y541</f>
        <v>0</v>
      </c>
      <c r="X543" s="329">
        <f>'Supply planning data'!Z541</f>
        <v>0</v>
      </c>
      <c r="Y543" s="111">
        <f>'Supply planning data'!AA541</f>
        <v>0</v>
      </c>
      <c r="Z543" s="111">
        <f>'Supply planning data'!AB541</f>
        <v>0</v>
      </c>
      <c r="AA543" s="111">
        <f>'Supply planning data'!AC541</f>
        <v>0</v>
      </c>
      <c r="AB543" s="111">
        <f>'Supply planning data'!AD541</f>
        <v>0</v>
      </c>
      <c r="AC543" s="111">
        <f>'Supply planning data'!AE541</f>
        <v>0</v>
      </c>
      <c r="AD543" s="327" t="str">
        <f>'Supply planning data'!AF541</f>
        <v/>
      </c>
      <c r="AE543" s="111">
        <f>'Supply planning data'!AG541</f>
        <v>0</v>
      </c>
      <c r="AF543" s="321">
        <f>'Supply planning data'!AH541</f>
        <v>0</v>
      </c>
      <c r="AG543" s="349">
        <f>'Supply planning data'!AI541</f>
        <v>0</v>
      </c>
      <c r="AH543" s="111">
        <f>'Supply planning data'!AJ541</f>
        <v>0</v>
      </c>
      <c r="AI543" s="111">
        <f>'Supply planning data'!AK541</f>
        <v>0</v>
      </c>
      <c r="AJ543" s="111">
        <f>'Supply planning data'!AL541</f>
        <v>0</v>
      </c>
      <c r="AK543" s="111">
        <f>'Supply planning data'!AM541</f>
        <v>0</v>
      </c>
      <c r="AL543" s="111">
        <f>'Supply planning data'!AN541</f>
        <v>0</v>
      </c>
      <c r="AM543" s="327" t="str">
        <f>'Supply planning data'!AO541</f>
        <v/>
      </c>
    </row>
    <row r="544" spans="1:39" hidden="1" x14ac:dyDescent="0.25">
      <c r="A544" s="104" t="str">
        <f>'Supply planning data'!C542</f>
        <v/>
      </c>
      <c r="B544" s="298">
        <f>'Supply planning data'!D542</f>
        <v>45261</v>
      </c>
      <c r="C544" s="105" t="str">
        <f>'Supply planning data'!E542</f>
        <v>No</v>
      </c>
      <c r="D544" s="105">
        <f>'Supply planning data'!F542</f>
        <v>0</v>
      </c>
      <c r="E544" s="320">
        <f>'Supply planning data'!G542</f>
        <v>0</v>
      </c>
      <c r="F544" s="320">
        <f>'Supply planning data'!H542</f>
        <v>0</v>
      </c>
      <c r="G544" s="320">
        <f>'Supply planning data'!I542</f>
        <v>0</v>
      </c>
      <c r="H544" s="105">
        <f>'Supply planning data'!J542</f>
        <v>0</v>
      </c>
      <c r="I544" s="320">
        <f>'Supply planning data'!K542</f>
        <v>0</v>
      </c>
      <c r="J544" s="177" t="str">
        <f>'Supply planning data'!L542</f>
        <v/>
      </c>
      <c r="K544" s="105">
        <f>'Supply planning data'!M542</f>
        <v>0</v>
      </c>
      <c r="L544" s="321">
        <f>'Supply planning data'!N542+'Supply planning data'!P542</f>
        <v>0</v>
      </c>
      <c r="M544" s="342">
        <f>'Supply planning data'!O542</f>
        <v>0</v>
      </c>
      <c r="N544" s="321">
        <f>'Supply planning data'!P542</f>
        <v>0</v>
      </c>
      <c r="O544" s="342">
        <f>'Supply planning data'!Q542</f>
        <v>0</v>
      </c>
      <c r="P544" s="111">
        <f>'Supply planning data'!R542</f>
        <v>0</v>
      </c>
      <c r="Q544" s="111">
        <f>'Supply planning data'!S542</f>
        <v>0</v>
      </c>
      <c r="R544" s="111">
        <f>'Supply planning data'!T542</f>
        <v>0</v>
      </c>
      <c r="S544" s="111">
        <f>'Supply planning data'!U542</f>
        <v>0</v>
      </c>
      <c r="T544" s="111">
        <f>'Supply planning data'!V542</f>
        <v>0</v>
      </c>
      <c r="U544" s="327" t="str">
        <f>'Supply planning data'!W542</f>
        <v/>
      </c>
      <c r="V544" s="111">
        <f>'Supply planning data'!X542</f>
        <v>0</v>
      </c>
      <c r="W544" s="321">
        <f>'Supply planning data'!Y542</f>
        <v>0</v>
      </c>
      <c r="X544" s="329">
        <f>'Supply planning data'!Z542</f>
        <v>0</v>
      </c>
      <c r="Y544" s="111">
        <f>'Supply planning data'!AA542</f>
        <v>0</v>
      </c>
      <c r="Z544" s="111">
        <f>'Supply planning data'!AB542</f>
        <v>0</v>
      </c>
      <c r="AA544" s="111">
        <f>'Supply planning data'!AC542</f>
        <v>0</v>
      </c>
      <c r="AB544" s="111">
        <f>'Supply planning data'!AD542</f>
        <v>0</v>
      </c>
      <c r="AC544" s="111">
        <f>'Supply planning data'!AE542</f>
        <v>0</v>
      </c>
      <c r="AD544" s="327" t="str">
        <f>'Supply planning data'!AF542</f>
        <v/>
      </c>
      <c r="AE544" s="111">
        <f>'Supply planning data'!AG542</f>
        <v>0</v>
      </c>
      <c r="AF544" s="321">
        <f>'Supply planning data'!AH542</f>
        <v>0</v>
      </c>
      <c r="AG544" s="349">
        <f>'Supply planning data'!AI542</f>
        <v>0</v>
      </c>
      <c r="AH544" s="111">
        <f>'Supply planning data'!AJ542</f>
        <v>0</v>
      </c>
      <c r="AI544" s="111">
        <f>'Supply planning data'!AK542</f>
        <v>0</v>
      </c>
      <c r="AJ544" s="111">
        <f>'Supply planning data'!AL542</f>
        <v>0</v>
      </c>
      <c r="AK544" s="111">
        <f>'Supply planning data'!AM542</f>
        <v>0</v>
      </c>
      <c r="AL544" s="111">
        <f>'Supply planning data'!AN542</f>
        <v>0</v>
      </c>
      <c r="AM544" s="327" t="str">
        <f>'Supply planning data'!AO542</f>
        <v/>
      </c>
    </row>
    <row r="545" spans="1:39" hidden="1" x14ac:dyDescent="0.25">
      <c r="A545" s="109" t="str">
        <f>'Supply planning data'!C543</f>
        <v/>
      </c>
      <c r="B545" s="298">
        <f>'Supply planning data'!D543</f>
        <v>45261</v>
      </c>
      <c r="C545" s="105" t="str">
        <f>'Supply planning data'!E543</f>
        <v>No</v>
      </c>
      <c r="D545" s="105">
        <f>'Supply planning data'!F543</f>
        <v>0</v>
      </c>
      <c r="E545" s="320">
        <f>'Supply planning data'!G543</f>
        <v>0</v>
      </c>
      <c r="F545" s="320">
        <f>'Supply planning data'!H543</f>
        <v>0</v>
      </c>
      <c r="G545" s="320">
        <f>'Supply planning data'!I543</f>
        <v>0</v>
      </c>
      <c r="H545" s="105">
        <f>'Supply planning data'!J543</f>
        <v>0</v>
      </c>
      <c r="I545" s="320">
        <f>'Supply planning data'!K543</f>
        <v>0</v>
      </c>
      <c r="J545" s="177" t="str">
        <f>'Supply planning data'!L543</f>
        <v/>
      </c>
      <c r="K545" s="105">
        <f>'Supply planning data'!M543</f>
        <v>0</v>
      </c>
      <c r="L545" s="321">
        <f>'Supply planning data'!N543+'Supply planning data'!P543</f>
        <v>0</v>
      </c>
      <c r="M545" s="342">
        <f>'Supply planning data'!O543</f>
        <v>0</v>
      </c>
      <c r="N545" s="321">
        <f>'Supply planning data'!P543</f>
        <v>0</v>
      </c>
      <c r="O545" s="342">
        <f>'Supply planning data'!Q543</f>
        <v>0</v>
      </c>
      <c r="P545" s="111">
        <f>'Supply planning data'!R543</f>
        <v>0</v>
      </c>
      <c r="Q545" s="111">
        <f>'Supply planning data'!S543</f>
        <v>0</v>
      </c>
      <c r="R545" s="111">
        <f>'Supply planning data'!T543</f>
        <v>0</v>
      </c>
      <c r="S545" s="111">
        <f>'Supply planning data'!U543</f>
        <v>0</v>
      </c>
      <c r="T545" s="111">
        <f>'Supply planning data'!V543</f>
        <v>0</v>
      </c>
      <c r="U545" s="327" t="str">
        <f>'Supply planning data'!W543</f>
        <v/>
      </c>
      <c r="V545" s="111">
        <f>'Supply planning data'!X543</f>
        <v>0</v>
      </c>
      <c r="W545" s="321">
        <f>'Supply planning data'!Y543</f>
        <v>0</v>
      </c>
      <c r="X545" s="329">
        <f>'Supply planning data'!Z543</f>
        <v>0</v>
      </c>
      <c r="Y545" s="111">
        <f>'Supply planning data'!AA543</f>
        <v>0</v>
      </c>
      <c r="Z545" s="111">
        <f>'Supply planning data'!AB543</f>
        <v>0</v>
      </c>
      <c r="AA545" s="111">
        <f>'Supply planning data'!AC543</f>
        <v>0</v>
      </c>
      <c r="AB545" s="111">
        <f>'Supply planning data'!AD543</f>
        <v>0</v>
      </c>
      <c r="AC545" s="111">
        <f>'Supply planning data'!AE543</f>
        <v>0</v>
      </c>
      <c r="AD545" s="327" t="str">
        <f>'Supply planning data'!AF543</f>
        <v/>
      </c>
      <c r="AE545" s="111">
        <f>'Supply planning data'!AG543</f>
        <v>0</v>
      </c>
      <c r="AF545" s="321">
        <f>'Supply planning data'!AH543</f>
        <v>0</v>
      </c>
      <c r="AG545" s="349">
        <f>'Supply planning data'!AI543</f>
        <v>0</v>
      </c>
      <c r="AH545" s="111">
        <f>'Supply planning data'!AJ543</f>
        <v>0</v>
      </c>
      <c r="AI545" s="111">
        <f>'Supply planning data'!AK543</f>
        <v>0</v>
      </c>
      <c r="AJ545" s="111">
        <f>'Supply planning data'!AL543</f>
        <v>0</v>
      </c>
      <c r="AK545" s="111">
        <f>'Supply planning data'!AM543</f>
        <v>0</v>
      </c>
      <c r="AL545" s="111">
        <f>'Supply planning data'!AN543</f>
        <v>0</v>
      </c>
      <c r="AM545" s="327" t="str">
        <f>'Supply planning data'!AO543</f>
        <v/>
      </c>
    </row>
    <row r="546" spans="1:39" hidden="1" x14ac:dyDescent="0.25">
      <c r="A546" s="104" t="str">
        <f>'Supply planning data'!C544</f>
        <v/>
      </c>
      <c r="B546" s="298">
        <f>'Supply planning data'!D544</f>
        <v>45261</v>
      </c>
      <c r="C546" s="105" t="str">
        <f>'Supply planning data'!E544</f>
        <v>No</v>
      </c>
      <c r="D546" s="105">
        <f>'Supply planning data'!F544</f>
        <v>0</v>
      </c>
      <c r="E546" s="320">
        <f>'Supply planning data'!G544</f>
        <v>0</v>
      </c>
      <c r="F546" s="320">
        <f>'Supply planning data'!H544</f>
        <v>0</v>
      </c>
      <c r="G546" s="320">
        <f>'Supply planning data'!I544</f>
        <v>0</v>
      </c>
      <c r="H546" s="105">
        <f>'Supply planning data'!J544</f>
        <v>0</v>
      </c>
      <c r="I546" s="320">
        <f>'Supply planning data'!K544</f>
        <v>0</v>
      </c>
      <c r="J546" s="177" t="str">
        <f>'Supply planning data'!L544</f>
        <v/>
      </c>
      <c r="K546" s="105">
        <f>'Supply planning data'!M544</f>
        <v>0</v>
      </c>
      <c r="L546" s="321">
        <f>'Supply planning data'!N544+'Supply planning data'!P544</f>
        <v>0</v>
      </c>
      <c r="M546" s="342">
        <f>'Supply planning data'!O544</f>
        <v>0</v>
      </c>
      <c r="N546" s="321">
        <f>'Supply planning data'!P544</f>
        <v>0</v>
      </c>
      <c r="O546" s="342">
        <f>'Supply planning data'!Q544</f>
        <v>0</v>
      </c>
      <c r="P546" s="111">
        <f>'Supply planning data'!R544</f>
        <v>0</v>
      </c>
      <c r="Q546" s="111">
        <f>'Supply planning data'!S544</f>
        <v>0</v>
      </c>
      <c r="R546" s="111">
        <f>'Supply planning data'!T544</f>
        <v>0</v>
      </c>
      <c r="S546" s="111">
        <f>'Supply planning data'!U544</f>
        <v>0</v>
      </c>
      <c r="T546" s="111">
        <f>'Supply planning data'!V544</f>
        <v>0</v>
      </c>
      <c r="U546" s="327" t="str">
        <f>'Supply planning data'!W544</f>
        <v/>
      </c>
      <c r="V546" s="111">
        <f>'Supply planning data'!X544</f>
        <v>0</v>
      </c>
      <c r="W546" s="321">
        <f>'Supply planning data'!Y544</f>
        <v>0</v>
      </c>
      <c r="X546" s="329">
        <f>'Supply planning data'!Z544</f>
        <v>0</v>
      </c>
      <c r="Y546" s="111">
        <f>'Supply planning data'!AA544</f>
        <v>0</v>
      </c>
      <c r="Z546" s="111">
        <f>'Supply planning data'!AB544</f>
        <v>0</v>
      </c>
      <c r="AA546" s="111">
        <f>'Supply planning data'!AC544</f>
        <v>0</v>
      </c>
      <c r="AB546" s="111">
        <f>'Supply planning data'!AD544</f>
        <v>0</v>
      </c>
      <c r="AC546" s="111">
        <f>'Supply planning data'!AE544</f>
        <v>0</v>
      </c>
      <c r="AD546" s="327" t="str">
        <f>'Supply planning data'!AF544</f>
        <v/>
      </c>
      <c r="AE546" s="111">
        <f>'Supply planning data'!AG544</f>
        <v>0</v>
      </c>
      <c r="AF546" s="321">
        <f>'Supply planning data'!AH544</f>
        <v>0</v>
      </c>
      <c r="AG546" s="349">
        <f>'Supply planning data'!AI544</f>
        <v>0</v>
      </c>
      <c r="AH546" s="111">
        <f>'Supply planning data'!AJ544</f>
        <v>0</v>
      </c>
      <c r="AI546" s="111">
        <f>'Supply planning data'!AK544</f>
        <v>0</v>
      </c>
      <c r="AJ546" s="111">
        <f>'Supply planning data'!AL544</f>
        <v>0</v>
      </c>
      <c r="AK546" s="111">
        <f>'Supply planning data'!AM544</f>
        <v>0</v>
      </c>
      <c r="AL546" s="111">
        <f>'Supply planning data'!AN544</f>
        <v>0</v>
      </c>
      <c r="AM546" s="327" t="str">
        <f>'Supply planning data'!AO544</f>
        <v/>
      </c>
    </row>
    <row r="547" spans="1:39" x14ac:dyDescent="0.25">
      <c r="A547" s="90" t="str">
        <f>'Supply planning data'!C545</f>
        <v>AstraZeneca</v>
      </c>
      <c r="B547" s="296">
        <f>'Supply planning data'!D545</f>
        <v>45292</v>
      </c>
      <c r="C547" s="92" t="str">
        <f>'Supply planning data'!E545</f>
        <v>Yes</v>
      </c>
      <c r="D547" s="92">
        <f>'Supply planning data'!F545</f>
        <v>0</v>
      </c>
      <c r="E547" s="316">
        <f>'Supply planning data'!G545</f>
        <v>0</v>
      </c>
      <c r="F547" s="316">
        <f>'Supply planning data'!H545</f>
        <v>0</v>
      </c>
      <c r="G547" s="316">
        <f>'Supply planning data'!I545</f>
        <v>0</v>
      </c>
      <c r="H547" s="92">
        <f>'Supply planning data'!J545</f>
        <v>0</v>
      </c>
      <c r="I547" s="316">
        <f>'Supply planning data'!K545</f>
        <v>0</v>
      </c>
      <c r="J547" s="174" t="str">
        <f>'Supply planning data'!L545</f>
        <v/>
      </c>
      <c r="K547" s="92">
        <f>'Supply planning data'!M545</f>
        <v>0</v>
      </c>
      <c r="L547" s="316">
        <f>'Supply planning data'!N545+'Supply planning data'!P545</f>
        <v>0</v>
      </c>
      <c r="M547" s="343">
        <f>'Supply planning data'!O545</f>
        <v>0</v>
      </c>
      <c r="N547" s="316">
        <f>'Supply planning data'!P545</f>
        <v>0</v>
      </c>
      <c r="O547" s="343">
        <f>'Supply planning data'!Q545</f>
        <v>0</v>
      </c>
      <c r="P547" s="92">
        <f>'Supply planning data'!R545</f>
        <v>0</v>
      </c>
      <c r="Q547" s="92">
        <f>'Supply planning data'!S545</f>
        <v>0</v>
      </c>
      <c r="R547" s="92">
        <f>'Supply planning data'!T545</f>
        <v>0</v>
      </c>
      <c r="S547" s="92">
        <f>'Supply planning data'!U545</f>
        <v>0</v>
      </c>
      <c r="T547" s="92">
        <f>'Supply planning data'!V545</f>
        <v>0</v>
      </c>
      <c r="U547" s="324" t="str">
        <f>'Supply planning data'!W545</f>
        <v/>
      </c>
      <c r="V547" s="92">
        <f>'Supply planning data'!X545</f>
        <v>154701</v>
      </c>
      <c r="W547" s="316">
        <f>'Supply planning data'!Y545</f>
        <v>0</v>
      </c>
      <c r="X547" s="328">
        <f>'Supply planning data'!Z545</f>
        <v>0</v>
      </c>
      <c r="Y547" s="92">
        <f>'Supply planning data'!AA545</f>
        <v>0</v>
      </c>
      <c r="Z547" s="92">
        <f>'Supply planning data'!AB545</f>
        <v>0</v>
      </c>
      <c r="AA547" s="92">
        <f>'Supply planning data'!AC545</f>
        <v>0</v>
      </c>
      <c r="AB547" s="92">
        <f>'Supply planning data'!AD545</f>
        <v>0</v>
      </c>
      <c r="AC547" s="92">
        <f>'Supply planning data'!AE545</f>
        <v>154701</v>
      </c>
      <c r="AD547" s="324" t="str">
        <f>'Supply planning data'!AF545</f>
        <v/>
      </c>
      <c r="AE547" s="92">
        <f>'Supply planning data'!AG545</f>
        <v>0</v>
      </c>
      <c r="AF547" s="316">
        <f>'Supply planning data'!AH545</f>
        <v>0</v>
      </c>
      <c r="AG547" s="174">
        <f>'Supply planning data'!AI545</f>
        <v>0</v>
      </c>
      <c r="AH547" s="92">
        <f>'Supply planning data'!AJ545</f>
        <v>0</v>
      </c>
      <c r="AI547" s="92">
        <f>'Supply planning data'!AK545</f>
        <v>0</v>
      </c>
      <c r="AJ547" s="92">
        <f>'Supply planning data'!AL545</f>
        <v>0</v>
      </c>
      <c r="AK547" s="92">
        <f>'Supply planning data'!AM545</f>
        <v>0</v>
      </c>
      <c r="AL547" s="92">
        <f>'Supply planning data'!AN545</f>
        <v>0</v>
      </c>
      <c r="AM547" s="324" t="str">
        <f>'Supply planning data'!AO545</f>
        <v/>
      </c>
    </row>
    <row r="548" spans="1:39" x14ac:dyDescent="0.25">
      <c r="A548" s="90" t="str">
        <f>'Supply planning data'!C546</f>
        <v>Jansen</v>
      </c>
      <c r="B548" s="296">
        <f>'Supply planning data'!D546</f>
        <v>45292</v>
      </c>
      <c r="C548" s="92" t="str">
        <f>'Supply planning data'!E546</f>
        <v>Yes</v>
      </c>
      <c r="D548" s="92">
        <f>'Supply planning data'!F546</f>
        <v>1871200</v>
      </c>
      <c r="E548" s="316">
        <f>'Supply planning data'!G546</f>
        <v>0</v>
      </c>
      <c r="F548" s="317">
        <f>'Supply planning data'!H546</f>
        <v>0</v>
      </c>
      <c r="G548" s="317">
        <f>'Supply planning data'!I546</f>
        <v>0</v>
      </c>
      <c r="H548" s="98">
        <f>'Supply planning data'!J546</f>
        <v>0</v>
      </c>
      <c r="I548" s="317">
        <f>'Supply planning data'!K546</f>
        <v>0</v>
      </c>
      <c r="J548" s="175" t="str">
        <f>'Supply planning data'!L546</f>
        <v/>
      </c>
      <c r="K548" s="98">
        <f>'Supply planning data'!M546</f>
        <v>0</v>
      </c>
      <c r="L548" s="317">
        <f>'Supply planning data'!N546+'Supply planning data'!P546</f>
        <v>0</v>
      </c>
      <c r="M548" s="339">
        <f>'Supply planning data'!O546</f>
        <v>0</v>
      </c>
      <c r="N548" s="317">
        <f>'Supply planning data'!P546</f>
        <v>0</v>
      </c>
      <c r="O548" s="339">
        <f>'Supply planning data'!Q546</f>
        <v>0</v>
      </c>
      <c r="P548" s="98">
        <f>'Supply planning data'!R546</f>
        <v>0</v>
      </c>
      <c r="Q548" s="98">
        <f>'Supply planning data'!S546</f>
        <v>0</v>
      </c>
      <c r="R548" s="98">
        <f>'Supply planning data'!T546</f>
        <v>387547</v>
      </c>
      <c r="S548" s="98">
        <f>'Supply planning data'!U546</f>
        <v>0</v>
      </c>
      <c r="T548" s="98">
        <f>'Supply planning data'!V546</f>
        <v>1871200</v>
      </c>
      <c r="U548" s="325" t="str">
        <f>'Supply planning data'!W546</f>
        <v/>
      </c>
      <c r="V548" s="98">
        <f>'Supply planning data'!X546</f>
        <v>1311200</v>
      </c>
      <c r="W548" s="317">
        <f>'Supply planning data'!Y546</f>
        <v>0</v>
      </c>
      <c r="X548" s="328">
        <f>'Supply planning data'!Z546</f>
        <v>0</v>
      </c>
      <c r="Y548" s="98">
        <f>'Supply planning data'!AA546</f>
        <v>0</v>
      </c>
      <c r="Z548" s="98">
        <f>'Supply planning data'!AB546</f>
        <v>0</v>
      </c>
      <c r="AA548" s="98">
        <f>'Supply planning data'!AC546</f>
        <v>0</v>
      </c>
      <c r="AB548" s="98">
        <f>'Supply planning data'!AD546</f>
        <v>0</v>
      </c>
      <c r="AC548" s="98">
        <f>'Supply planning data'!AE546</f>
        <v>1311200</v>
      </c>
      <c r="AD548" s="325" t="str">
        <f>'Supply planning data'!AF546</f>
        <v/>
      </c>
      <c r="AE548" s="98">
        <f>'Supply planning data'!AG546</f>
        <v>1871200</v>
      </c>
      <c r="AF548" s="317">
        <f>'Supply planning data'!AH546</f>
        <v>0</v>
      </c>
      <c r="AG548" s="175">
        <f>'Supply planning data'!AI546</f>
        <v>0</v>
      </c>
      <c r="AH548" s="98">
        <f>'Supply planning data'!AJ546</f>
        <v>0</v>
      </c>
      <c r="AI548" s="98">
        <f>'Supply planning data'!AK546</f>
        <v>0</v>
      </c>
      <c r="AJ548" s="98">
        <f>'Supply planning data'!AL546</f>
        <v>387547</v>
      </c>
      <c r="AK548" s="98">
        <f>'Supply planning data'!AM546</f>
        <v>0</v>
      </c>
      <c r="AL548" s="98">
        <f>'Supply planning data'!AN546</f>
        <v>1871200</v>
      </c>
      <c r="AM548" s="325" t="str">
        <f>'Supply planning data'!AO546</f>
        <v/>
      </c>
    </row>
    <row r="549" spans="1:39" x14ac:dyDescent="0.25">
      <c r="A549" s="90" t="str">
        <f>'Supply planning data'!C547</f>
        <v>Moderna</v>
      </c>
      <c r="B549" s="296">
        <f>'Supply planning data'!D547</f>
        <v>45292</v>
      </c>
      <c r="C549" s="92" t="str">
        <f>'Supply planning data'!E547</f>
        <v>No</v>
      </c>
      <c r="D549" s="92">
        <f>'Supply planning data'!F547</f>
        <v>0</v>
      </c>
      <c r="E549" s="316">
        <f>'Supply planning data'!G547</f>
        <v>0</v>
      </c>
      <c r="F549" s="317">
        <f>'Supply planning data'!H547</f>
        <v>0</v>
      </c>
      <c r="G549" s="317">
        <f>'Supply planning data'!I547</f>
        <v>0</v>
      </c>
      <c r="H549" s="98">
        <f>'Supply planning data'!J547</f>
        <v>0</v>
      </c>
      <c r="I549" s="317">
        <f>'Supply planning data'!K547</f>
        <v>0</v>
      </c>
      <c r="J549" s="175" t="str">
        <f>'Supply planning data'!L547</f>
        <v/>
      </c>
      <c r="K549" s="98">
        <f>'Supply planning data'!M547</f>
        <v>0</v>
      </c>
      <c r="L549" s="317">
        <f>'Supply planning data'!N547+'Supply planning data'!P547</f>
        <v>0</v>
      </c>
      <c r="M549" s="339">
        <f>'Supply planning data'!O547</f>
        <v>0</v>
      </c>
      <c r="N549" s="317">
        <f>'Supply planning data'!P547</f>
        <v>0</v>
      </c>
      <c r="O549" s="339">
        <f>'Supply planning data'!Q547</f>
        <v>0</v>
      </c>
      <c r="P549" s="98">
        <f>'Supply planning data'!R547</f>
        <v>0</v>
      </c>
      <c r="Q549" s="98">
        <f>'Supply planning data'!S547</f>
        <v>0</v>
      </c>
      <c r="R549" s="98">
        <f>'Supply planning data'!T547</f>
        <v>0</v>
      </c>
      <c r="S549" s="98">
        <f>'Supply planning data'!U547</f>
        <v>0</v>
      </c>
      <c r="T549" s="98">
        <f>'Supply planning data'!V547</f>
        <v>0</v>
      </c>
      <c r="U549" s="325" t="str">
        <f>'Supply planning data'!W547</f>
        <v/>
      </c>
      <c r="V549" s="98">
        <f>'Supply planning data'!X547</f>
        <v>0</v>
      </c>
      <c r="W549" s="317">
        <f>'Supply planning data'!Y547</f>
        <v>0</v>
      </c>
      <c r="X549" s="328">
        <f>'Supply planning data'!Z547</f>
        <v>0</v>
      </c>
      <c r="Y549" s="98">
        <f>'Supply planning data'!AA547</f>
        <v>0</v>
      </c>
      <c r="Z549" s="98">
        <f>'Supply planning data'!AB547</f>
        <v>0</v>
      </c>
      <c r="AA549" s="98">
        <f>'Supply planning data'!AC547</f>
        <v>0</v>
      </c>
      <c r="AB549" s="98">
        <f>'Supply planning data'!AD547</f>
        <v>0</v>
      </c>
      <c r="AC549" s="98">
        <f>'Supply planning data'!AE547</f>
        <v>0</v>
      </c>
      <c r="AD549" s="325" t="str">
        <f>'Supply planning data'!AF547</f>
        <v/>
      </c>
      <c r="AE549" s="98">
        <f>'Supply planning data'!AG547</f>
        <v>0</v>
      </c>
      <c r="AF549" s="317">
        <f>'Supply planning data'!AH547</f>
        <v>0</v>
      </c>
      <c r="AG549" s="175">
        <f>'Supply planning data'!AI547</f>
        <v>0</v>
      </c>
      <c r="AH549" s="98">
        <f>'Supply planning data'!AJ547</f>
        <v>0</v>
      </c>
      <c r="AI549" s="98">
        <f>'Supply planning data'!AK547</f>
        <v>0</v>
      </c>
      <c r="AJ549" s="98">
        <f>'Supply planning data'!AL547</f>
        <v>0</v>
      </c>
      <c r="AK549" s="98">
        <f>'Supply planning data'!AM547</f>
        <v>0</v>
      </c>
      <c r="AL549" s="98">
        <f>'Supply planning data'!AN547</f>
        <v>0</v>
      </c>
      <c r="AM549" s="325" t="str">
        <f>'Supply planning data'!AO547</f>
        <v/>
      </c>
    </row>
    <row r="550" spans="1:39" x14ac:dyDescent="0.25">
      <c r="A550" s="90" t="str">
        <f>'Supply planning data'!C548</f>
        <v>Pfizer</v>
      </c>
      <c r="B550" s="296">
        <f>'Supply planning data'!D548</f>
        <v>45292</v>
      </c>
      <c r="C550" s="92" t="str">
        <f>'Supply planning data'!E548</f>
        <v>Yes</v>
      </c>
      <c r="D550" s="92">
        <f>'Supply planning data'!F548</f>
        <v>3000000</v>
      </c>
      <c r="E550" s="316">
        <f>'Supply planning data'!G548</f>
        <v>0</v>
      </c>
      <c r="F550" s="317">
        <f>'Supply planning data'!H548</f>
        <v>0</v>
      </c>
      <c r="G550" s="317">
        <f>'Supply planning data'!I548</f>
        <v>0</v>
      </c>
      <c r="H550" s="98">
        <f>'Supply planning data'!J548</f>
        <v>0</v>
      </c>
      <c r="I550" s="317">
        <f>'Supply planning data'!K548</f>
        <v>0</v>
      </c>
      <c r="J550" s="175" t="str">
        <f>'Supply planning data'!L548</f>
        <v/>
      </c>
      <c r="K550" s="98">
        <f>'Supply planning data'!M548</f>
        <v>0</v>
      </c>
      <c r="L550" s="317">
        <f>'Supply planning data'!N548+'Supply planning data'!P548</f>
        <v>0</v>
      </c>
      <c r="M550" s="339">
        <f>'Supply planning data'!O548</f>
        <v>0</v>
      </c>
      <c r="N550" s="317">
        <f>'Supply planning data'!P548</f>
        <v>0</v>
      </c>
      <c r="O550" s="339">
        <f>'Supply planning data'!Q548</f>
        <v>0</v>
      </c>
      <c r="P550" s="98">
        <f>'Supply planning data'!R548</f>
        <v>0</v>
      </c>
      <c r="Q550" s="98">
        <f>'Supply planning data'!S548</f>
        <v>0</v>
      </c>
      <c r="R550" s="98">
        <f>'Supply planning data'!T548</f>
        <v>110538</v>
      </c>
      <c r="S550" s="98">
        <f>'Supply planning data'!U548</f>
        <v>0</v>
      </c>
      <c r="T550" s="98">
        <f>'Supply planning data'!V548</f>
        <v>3000000</v>
      </c>
      <c r="U550" s="325" t="str">
        <f>'Supply planning data'!W548</f>
        <v/>
      </c>
      <c r="V550" s="98">
        <f>'Supply planning data'!X548</f>
        <v>2440000</v>
      </c>
      <c r="W550" s="317">
        <f>'Supply planning data'!Y548</f>
        <v>0</v>
      </c>
      <c r="X550" s="328">
        <f>'Supply planning data'!Z548</f>
        <v>0</v>
      </c>
      <c r="Y550" s="98">
        <f>'Supply planning data'!AA548</f>
        <v>0</v>
      </c>
      <c r="Z550" s="98">
        <f>'Supply planning data'!AB548</f>
        <v>0</v>
      </c>
      <c r="AA550" s="98">
        <f>'Supply planning data'!AC548</f>
        <v>0</v>
      </c>
      <c r="AB550" s="98">
        <f>'Supply planning data'!AD548</f>
        <v>0</v>
      </c>
      <c r="AC550" s="98">
        <f>'Supply planning data'!AE548</f>
        <v>2440000</v>
      </c>
      <c r="AD550" s="325" t="str">
        <f>'Supply planning data'!AF548</f>
        <v/>
      </c>
      <c r="AE550" s="98">
        <f>'Supply planning data'!AG548</f>
        <v>3000000</v>
      </c>
      <c r="AF550" s="317">
        <f>'Supply planning data'!AH548</f>
        <v>0</v>
      </c>
      <c r="AG550" s="175">
        <f>'Supply planning data'!AI548</f>
        <v>0</v>
      </c>
      <c r="AH550" s="98">
        <f>'Supply planning data'!AJ548</f>
        <v>0</v>
      </c>
      <c r="AI550" s="98">
        <f>'Supply planning data'!AK548</f>
        <v>0</v>
      </c>
      <c r="AJ550" s="98">
        <f>'Supply planning data'!AL548</f>
        <v>110538</v>
      </c>
      <c r="AK550" s="98">
        <f>'Supply planning data'!AM548</f>
        <v>0</v>
      </c>
      <c r="AL550" s="98">
        <f>'Supply planning data'!AN548</f>
        <v>3000000</v>
      </c>
      <c r="AM550" s="325" t="str">
        <f>'Supply planning data'!AO548</f>
        <v/>
      </c>
    </row>
    <row r="551" spans="1:39" x14ac:dyDescent="0.25">
      <c r="A551" s="90" t="str">
        <f>'Supply planning data'!C549</f>
        <v>Sinovac</v>
      </c>
      <c r="B551" s="296">
        <f>'Supply planning data'!D549</f>
        <v>45292</v>
      </c>
      <c r="C551" s="92" t="str">
        <f>'Supply planning data'!E549</f>
        <v>No</v>
      </c>
      <c r="D551" s="92">
        <f>'Supply planning data'!F549</f>
        <v>0</v>
      </c>
      <c r="E551" s="316">
        <f>'Supply planning data'!G549</f>
        <v>0</v>
      </c>
      <c r="F551" s="317">
        <f>'Supply planning data'!H549</f>
        <v>0</v>
      </c>
      <c r="G551" s="317">
        <f>'Supply planning data'!I549</f>
        <v>0</v>
      </c>
      <c r="H551" s="98">
        <f>'Supply planning data'!J549</f>
        <v>0</v>
      </c>
      <c r="I551" s="317">
        <f>'Supply planning data'!K549</f>
        <v>0</v>
      </c>
      <c r="J551" s="175" t="str">
        <f>'Supply planning data'!L549</f>
        <v/>
      </c>
      <c r="K551" s="98">
        <f>'Supply planning data'!M549</f>
        <v>0</v>
      </c>
      <c r="L551" s="317">
        <f>'Supply planning data'!N549+'Supply planning data'!P549</f>
        <v>0</v>
      </c>
      <c r="M551" s="339">
        <f>'Supply planning data'!O549</f>
        <v>0</v>
      </c>
      <c r="N551" s="317">
        <f>'Supply planning data'!P549</f>
        <v>0</v>
      </c>
      <c r="O551" s="339">
        <f>'Supply planning data'!Q549</f>
        <v>0</v>
      </c>
      <c r="P551" s="98">
        <f>'Supply planning data'!R549</f>
        <v>0</v>
      </c>
      <c r="Q551" s="98">
        <f>'Supply planning data'!S549</f>
        <v>0</v>
      </c>
      <c r="R551" s="98">
        <f>'Supply planning data'!T549</f>
        <v>0</v>
      </c>
      <c r="S551" s="98">
        <f>'Supply planning data'!U549</f>
        <v>0</v>
      </c>
      <c r="T551" s="98">
        <f>'Supply planning data'!V549</f>
        <v>0</v>
      </c>
      <c r="U551" s="325" t="str">
        <f>'Supply planning data'!W549</f>
        <v/>
      </c>
      <c r="V551" s="98">
        <f>'Supply planning data'!X549</f>
        <v>0</v>
      </c>
      <c r="W551" s="317">
        <f>'Supply planning data'!Y549</f>
        <v>0</v>
      </c>
      <c r="X551" s="328">
        <f>'Supply planning data'!Z549</f>
        <v>0</v>
      </c>
      <c r="Y551" s="98">
        <f>'Supply planning data'!AA549</f>
        <v>0</v>
      </c>
      <c r="Z551" s="98">
        <f>'Supply planning data'!AB549</f>
        <v>0</v>
      </c>
      <c r="AA551" s="98">
        <f>'Supply planning data'!AC549</f>
        <v>0</v>
      </c>
      <c r="AB551" s="98">
        <f>'Supply planning data'!AD549</f>
        <v>0</v>
      </c>
      <c r="AC551" s="98">
        <f>'Supply planning data'!AE549</f>
        <v>0</v>
      </c>
      <c r="AD551" s="325" t="str">
        <f>'Supply planning data'!AF549</f>
        <v/>
      </c>
      <c r="AE551" s="98">
        <f>'Supply planning data'!AG549</f>
        <v>0</v>
      </c>
      <c r="AF551" s="317">
        <f>'Supply planning data'!AH549</f>
        <v>0</v>
      </c>
      <c r="AG551" s="175">
        <f>'Supply planning data'!AI549</f>
        <v>0</v>
      </c>
      <c r="AH551" s="98">
        <f>'Supply planning data'!AJ549</f>
        <v>0</v>
      </c>
      <c r="AI551" s="98">
        <f>'Supply planning data'!AK549</f>
        <v>0</v>
      </c>
      <c r="AJ551" s="98">
        <f>'Supply planning data'!AL549</f>
        <v>0</v>
      </c>
      <c r="AK551" s="98">
        <f>'Supply planning data'!AM549</f>
        <v>0</v>
      </c>
      <c r="AL551" s="98">
        <f>'Supply planning data'!AN549</f>
        <v>0</v>
      </c>
      <c r="AM551" s="325" t="str">
        <f>'Supply planning data'!AO549</f>
        <v/>
      </c>
    </row>
    <row r="552" spans="1:39" hidden="1" x14ac:dyDescent="0.25">
      <c r="A552" s="90" t="str">
        <f>'Supply planning data'!C550</f>
        <v/>
      </c>
      <c r="B552" s="296">
        <f>'Supply planning data'!D550</f>
        <v>45292</v>
      </c>
      <c r="C552" s="92" t="str">
        <f>'Supply planning data'!E550</f>
        <v>No</v>
      </c>
      <c r="D552" s="92">
        <f>'Supply planning data'!F550</f>
        <v>0</v>
      </c>
      <c r="E552" s="316">
        <f>'Supply planning data'!G550</f>
        <v>0</v>
      </c>
      <c r="F552" s="317">
        <f>'Supply planning data'!H550</f>
        <v>0</v>
      </c>
      <c r="G552" s="317">
        <f>'Supply planning data'!I550</f>
        <v>0</v>
      </c>
      <c r="H552" s="98">
        <f>'Supply planning data'!J550</f>
        <v>0</v>
      </c>
      <c r="I552" s="317">
        <f>'Supply planning data'!K550</f>
        <v>0</v>
      </c>
      <c r="J552" s="175" t="str">
        <f>'Supply planning data'!L550</f>
        <v/>
      </c>
      <c r="K552" s="98">
        <f>'Supply planning data'!M550</f>
        <v>0</v>
      </c>
      <c r="L552" s="317">
        <f>'Supply planning data'!N550+'Supply planning data'!P550</f>
        <v>0</v>
      </c>
      <c r="M552" s="339">
        <f>'Supply planning data'!O550</f>
        <v>0</v>
      </c>
      <c r="N552" s="317">
        <f>'Supply planning data'!P550</f>
        <v>0</v>
      </c>
      <c r="O552" s="339">
        <f>'Supply planning data'!Q550</f>
        <v>0</v>
      </c>
      <c r="P552" s="98">
        <f>'Supply planning data'!R550</f>
        <v>0</v>
      </c>
      <c r="Q552" s="98">
        <f>'Supply planning data'!S550</f>
        <v>0</v>
      </c>
      <c r="R552" s="98">
        <f>'Supply planning data'!T550</f>
        <v>0</v>
      </c>
      <c r="S552" s="98">
        <f>'Supply planning data'!U550</f>
        <v>0</v>
      </c>
      <c r="T552" s="98">
        <f>'Supply planning data'!V550</f>
        <v>0</v>
      </c>
      <c r="U552" s="325" t="str">
        <f>'Supply planning data'!W550</f>
        <v/>
      </c>
      <c r="V552" s="98">
        <f>'Supply planning data'!X550</f>
        <v>0</v>
      </c>
      <c r="W552" s="317">
        <f>'Supply planning data'!Y550</f>
        <v>0</v>
      </c>
      <c r="X552" s="328">
        <f>'Supply planning data'!Z550</f>
        <v>0</v>
      </c>
      <c r="Y552" s="98">
        <f>'Supply planning data'!AA550</f>
        <v>0</v>
      </c>
      <c r="Z552" s="98">
        <f>'Supply planning data'!AB550</f>
        <v>0</v>
      </c>
      <c r="AA552" s="98">
        <f>'Supply planning data'!AC550</f>
        <v>0</v>
      </c>
      <c r="AB552" s="98">
        <f>'Supply planning data'!AD550</f>
        <v>0</v>
      </c>
      <c r="AC552" s="98">
        <f>'Supply planning data'!AE550</f>
        <v>0</v>
      </c>
      <c r="AD552" s="325" t="str">
        <f>'Supply planning data'!AF550</f>
        <v/>
      </c>
      <c r="AE552" s="98">
        <f>'Supply planning data'!AG550</f>
        <v>0</v>
      </c>
      <c r="AF552" s="317">
        <f>'Supply planning data'!AH550</f>
        <v>0</v>
      </c>
      <c r="AG552" s="175">
        <f>'Supply planning data'!AI550</f>
        <v>0</v>
      </c>
      <c r="AH552" s="98">
        <f>'Supply planning data'!AJ550</f>
        <v>0</v>
      </c>
      <c r="AI552" s="98">
        <f>'Supply planning data'!AK550</f>
        <v>0</v>
      </c>
      <c r="AJ552" s="98">
        <f>'Supply planning data'!AL550</f>
        <v>0</v>
      </c>
      <c r="AK552" s="98">
        <f>'Supply planning data'!AM550</f>
        <v>0</v>
      </c>
      <c r="AL552" s="98">
        <f>'Supply planning data'!AN550</f>
        <v>0</v>
      </c>
      <c r="AM552" s="325" t="str">
        <f>'Supply planning data'!AO550</f>
        <v/>
      </c>
    </row>
    <row r="553" spans="1:39" hidden="1" x14ac:dyDescent="0.25">
      <c r="A553" s="90" t="str">
        <f>'Supply planning data'!C551</f>
        <v/>
      </c>
      <c r="B553" s="296">
        <f>'Supply planning data'!D551</f>
        <v>45292</v>
      </c>
      <c r="C553" s="92" t="str">
        <f>'Supply planning data'!E551</f>
        <v>No</v>
      </c>
      <c r="D553" s="92">
        <f>'Supply planning data'!F551</f>
        <v>0</v>
      </c>
      <c r="E553" s="316">
        <f>'Supply planning data'!G551</f>
        <v>0</v>
      </c>
      <c r="F553" s="317">
        <f>'Supply planning data'!H551</f>
        <v>0</v>
      </c>
      <c r="G553" s="317">
        <f>'Supply planning data'!I551</f>
        <v>0</v>
      </c>
      <c r="H553" s="98">
        <f>'Supply planning data'!J551</f>
        <v>0</v>
      </c>
      <c r="I553" s="317">
        <f>'Supply planning data'!K551</f>
        <v>0</v>
      </c>
      <c r="J553" s="175" t="str">
        <f>'Supply planning data'!L551</f>
        <v/>
      </c>
      <c r="K553" s="98">
        <f>'Supply planning data'!M551</f>
        <v>0</v>
      </c>
      <c r="L553" s="317">
        <f>'Supply planning data'!N551+'Supply planning data'!P551</f>
        <v>0</v>
      </c>
      <c r="M553" s="339">
        <f>'Supply planning data'!O551</f>
        <v>0</v>
      </c>
      <c r="N553" s="317">
        <f>'Supply planning data'!P551</f>
        <v>0</v>
      </c>
      <c r="O553" s="339">
        <f>'Supply planning data'!Q551</f>
        <v>0</v>
      </c>
      <c r="P553" s="98">
        <f>'Supply planning data'!R551</f>
        <v>0</v>
      </c>
      <c r="Q553" s="98">
        <f>'Supply planning data'!S551</f>
        <v>0</v>
      </c>
      <c r="R553" s="98">
        <f>'Supply planning data'!T551</f>
        <v>0</v>
      </c>
      <c r="S553" s="98">
        <f>'Supply planning data'!U551</f>
        <v>0</v>
      </c>
      <c r="T553" s="98">
        <f>'Supply planning data'!V551</f>
        <v>0</v>
      </c>
      <c r="U553" s="325" t="str">
        <f>'Supply planning data'!W551</f>
        <v/>
      </c>
      <c r="V553" s="98">
        <f>'Supply planning data'!X551</f>
        <v>0</v>
      </c>
      <c r="W553" s="317">
        <f>'Supply planning data'!Y551</f>
        <v>0</v>
      </c>
      <c r="X553" s="328">
        <f>'Supply planning data'!Z551</f>
        <v>0</v>
      </c>
      <c r="Y553" s="98">
        <f>'Supply planning data'!AA551</f>
        <v>0</v>
      </c>
      <c r="Z553" s="98">
        <f>'Supply planning data'!AB551</f>
        <v>0</v>
      </c>
      <c r="AA553" s="98">
        <f>'Supply planning data'!AC551</f>
        <v>0</v>
      </c>
      <c r="AB553" s="98">
        <f>'Supply planning data'!AD551</f>
        <v>0</v>
      </c>
      <c r="AC553" s="98">
        <f>'Supply planning data'!AE551</f>
        <v>0</v>
      </c>
      <c r="AD553" s="325" t="str">
        <f>'Supply planning data'!AF551</f>
        <v/>
      </c>
      <c r="AE553" s="98">
        <f>'Supply planning data'!AG551</f>
        <v>0</v>
      </c>
      <c r="AF553" s="317">
        <f>'Supply planning data'!AH551</f>
        <v>0</v>
      </c>
      <c r="AG553" s="175">
        <f>'Supply planning data'!AI551</f>
        <v>0</v>
      </c>
      <c r="AH553" s="98">
        <f>'Supply planning data'!AJ551</f>
        <v>0</v>
      </c>
      <c r="AI553" s="98">
        <f>'Supply planning data'!AK551</f>
        <v>0</v>
      </c>
      <c r="AJ553" s="98">
        <f>'Supply planning data'!AL551</f>
        <v>0</v>
      </c>
      <c r="AK553" s="98">
        <f>'Supply planning data'!AM551</f>
        <v>0</v>
      </c>
      <c r="AL553" s="98">
        <f>'Supply planning data'!AN551</f>
        <v>0</v>
      </c>
      <c r="AM553" s="325" t="str">
        <f>'Supply planning data'!AO551</f>
        <v/>
      </c>
    </row>
    <row r="554" spans="1:39" hidden="1" x14ac:dyDescent="0.25">
      <c r="A554" s="90" t="str">
        <f>'Supply planning data'!C552</f>
        <v/>
      </c>
      <c r="B554" s="296">
        <f>'Supply planning data'!D552</f>
        <v>45292</v>
      </c>
      <c r="C554" s="92" t="str">
        <f>'Supply planning data'!E552</f>
        <v>No</v>
      </c>
      <c r="D554" s="92">
        <f>'Supply planning data'!F552</f>
        <v>0</v>
      </c>
      <c r="E554" s="316">
        <f>'Supply planning data'!G552</f>
        <v>0</v>
      </c>
      <c r="F554" s="317">
        <f>'Supply planning data'!H552</f>
        <v>0</v>
      </c>
      <c r="G554" s="317">
        <f>'Supply planning data'!I552</f>
        <v>0</v>
      </c>
      <c r="H554" s="98">
        <f>'Supply planning data'!J552</f>
        <v>0</v>
      </c>
      <c r="I554" s="317">
        <f>'Supply planning data'!K552</f>
        <v>0</v>
      </c>
      <c r="J554" s="175" t="str">
        <f>'Supply planning data'!L552</f>
        <v/>
      </c>
      <c r="K554" s="98">
        <f>'Supply planning data'!M552</f>
        <v>0</v>
      </c>
      <c r="L554" s="317">
        <f>'Supply planning data'!N552+'Supply planning data'!P552</f>
        <v>0</v>
      </c>
      <c r="M554" s="339">
        <f>'Supply planning data'!O552</f>
        <v>0</v>
      </c>
      <c r="N554" s="317">
        <f>'Supply planning data'!P552</f>
        <v>0</v>
      </c>
      <c r="O554" s="339">
        <f>'Supply planning data'!Q552</f>
        <v>0</v>
      </c>
      <c r="P554" s="98">
        <f>'Supply planning data'!R552</f>
        <v>0</v>
      </c>
      <c r="Q554" s="98">
        <f>'Supply planning data'!S552</f>
        <v>0</v>
      </c>
      <c r="R554" s="98">
        <f>'Supply planning data'!T552</f>
        <v>0</v>
      </c>
      <c r="S554" s="98">
        <f>'Supply planning data'!U552</f>
        <v>0</v>
      </c>
      <c r="T554" s="98">
        <f>'Supply planning data'!V552</f>
        <v>0</v>
      </c>
      <c r="U554" s="325" t="str">
        <f>'Supply planning data'!W552</f>
        <v/>
      </c>
      <c r="V554" s="98">
        <f>'Supply planning data'!X552</f>
        <v>0</v>
      </c>
      <c r="W554" s="317">
        <f>'Supply planning data'!Y552</f>
        <v>0</v>
      </c>
      <c r="X554" s="328">
        <f>'Supply planning data'!Z552</f>
        <v>0</v>
      </c>
      <c r="Y554" s="98">
        <f>'Supply planning data'!AA552</f>
        <v>0</v>
      </c>
      <c r="Z554" s="98">
        <f>'Supply planning data'!AB552</f>
        <v>0</v>
      </c>
      <c r="AA554" s="98">
        <f>'Supply planning data'!AC552</f>
        <v>0</v>
      </c>
      <c r="AB554" s="98">
        <f>'Supply planning data'!AD552</f>
        <v>0</v>
      </c>
      <c r="AC554" s="98">
        <f>'Supply planning data'!AE552</f>
        <v>0</v>
      </c>
      <c r="AD554" s="325" t="str">
        <f>'Supply planning data'!AF552</f>
        <v/>
      </c>
      <c r="AE554" s="98">
        <f>'Supply planning data'!AG552</f>
        <v>0</v>
      </c>
      <c r="AF554" s="317">
        <f>'Supply planning data'!AH552</f>
        <v>0</v>
      </c>
      <c r="AG554" s="175">
        <f>'Supply planning data'!AI552</f>
        <v>0</v>
      </c>
      <c r="AH554" s="98">
        <f>'Supply planning data'!AJ552</f>
        <v>0</v>
      </c>
      <c r="AI554" s="98">
        <f>'Supply planning data'!AK552</f>
        <v>0</v>
      </c>
      <c r="AJ554" s="98">
        <f>'Supply planning data'!AL552</f>
        <v>0</v>
      </c>
      <c r="AK554" s="98">
        <f>'Supply planning data'!AM552</f>
        <v>0</v>
      </c>
      <c r="AL554" s="98">
        <f>'Supply planning data'!AN552</f>
        <v>0</v>
      </c>
      <c r="AM554" s="325" t="str">
        <f>'Supply planning data'!AO552</f>
        <v/>
      </c>
    </row>
    <row r="555" spans="1:39" hidden="1" x14ac:dyDescent="0.25">
      <c r="A555" s="90" t="str">
        <f>'Supply planning data'!C553</f>
        <v/>
      </c>
      <c r="B555" s="296">
        <f>'Supply planning data'!D553</f>
        <v>45292</v>
      </c>
      <c r="C555" s="92" t="str">
        <f>'Supply planning data'!E553</f>
        <v>No</v>
      </c>
      <c r="D555" s="92">
        <f>'Supply planning data'!F553</f>
        <v>0</v>
      </c>
      <c r="E555" s="316">
        <f>'Supply planning data'!G553</f>
        <v>0</v>
      </c>
      <c r="F555" s="317">
        <f>'Supply planning data'!H553</f>
        <v>0</v>
      </c>
      <c r="G555" s="317">
        <f>'Supply planning data'!I553</f>
        <v>0</v>
      </c>
      <c r="H555" s="98">
        <f>'Supply planning data'!J553</f>
        <v>0</v>
      </c>
      <c r="I555" s="317">
        <f>'Supply planning data'!K553</f>
        <v>0</v>
      </c>
      <c r="J555" s="175" t="str">
        <f>'Supply planning data'!L553</f>
        <v/>
      </c>
      <c r="K555" s="98">
        <f>'Supply planning data'!M553</f>
        <v>0</v>
      </c>
      <c r="L555" s="317">
        <f>'Supply planning data'!N553+'Supply planning data'!P553</f>
        <v>0</v>
      </c>
      <c r="M555" s="339">
        <f>'Supply planning data'!O553</f>
        <v>0</v>
      </c>
      <c r="N555" s="317">
        <f>'Supply planning data'!P553</f>
        <v>0</v>
      </c>
      <c r="O555" s="339">
        <f>'Supply planning data'!Q553</f>
        <v>0</v>
      </c>
      <c r="P555" s="98">
        <f>'Supply planning data'!R553</f>
        <v>0</v>
      </c>
      <c r="Q555" s="98">
        <f>'Supply planning data'!S553</f>
        <v>0</v>
      </c>
      <c r="R555" s="98">
        <f>'Supply planning data'!T553</f>
        <v>0</v>
      </c>
      <c r="S555" s="98">
        <f>'Supply planning data'!U553</f>
        <v>0</v>
      </c>
      <c r="T555" s="98">
        <f>'Supply planning data'!V553</f>
        <v>0</v>
      </c>
      <c r="U555" s="325" t="str">
        <f>'Supply planning data'!W553</f>
        <v/>
      </c>
      <c r="V555" s="98">
        <f>'Supply planning data'!X553</f>
        <v>0</v>
      </c>
      <c r="W555" s="317">
        <f>'Supply planning data'!Y553</f>
        <v>0</v>
      </c>
      <c r="X555" s="328">
        <f>'Supply planning data'!Z553</f>
        <v>0</v>
      </c>
      <c r="Y555" s="98">
        <f>'Supply planning data'!AA553</f>
        <v>0</v>
      </c>
      <c r="Z555" s="98">
        <f>'Supply planning data'!AB553</f>
        <v>0</v>
      </c>
      <c r="AA555" s="98">
        <f>'Supply planning data'!AC553</f>
        <v>0</v>
      </c>
      <c r="AB555" s="98">
        <f>'Supply planning data'!AD553</f>
        <v>0</v>
      </c>
      <c r="AC555" s="98">
        <f>'Supply planning data'!AE553</f>
        <v>0</v>
      </c>
      <c r="AD555" s="325" t="str">
        <f>'Supply planning data'!AF553</f>
        <v/>
      </c>
      <c r="AE555" s="98">
        <f>'Supply planning data'!AG553</f>
        <v>0</v>
      </c>
      <c r="AF555" s="317">
        <f>'Supply planning data'!AH553</f>
        <v>0</v>
      </c>
      <c r="AG555" s="175">
        <f>'Supply planning data'!AI553</f>
        <v>0</v>
      </c>
      <c r="AH555" s="98">
        <f>'Supply planning data'!AJ553</f>
        <v>0</v>
      </c>
      <c r="AI555" s="98">
        <f>'Supply planning data'!AK553</f>
        <v>0</v>
      </c>
      <c r="AJ555" s="98">
        <f>'Supply planning data'!AL553</f>
        <v>0</v>
      </c>
      <c r="AK555" s="98">
        <f>'Supply planning data'!AM553</f>
        <v>0</v>
      </c>
      <c r="AL555" s="98">
        <f>'Supply planning data'!AN553</f>
        <v>0</v>
      </c>
      <c r="AM555" s="325" t="str">
        <f>'Supply planning data'!AO553</f>
        <v/>
      </c>
    </row>
    <row r="556" spans="1:39" hidden="1" x14ac:dyDescent="0.25">
      <c r="A556" s="90" t="str">
        <f>'Supply planning data'!C554</f>
        <v/>
      </c>
      <c r="B556" s="296">
        <f>'Supply planning data'!D554</f>
        <v>45292</v>
      </c>
      <c r="C556" s="92" t="str">
        <f>'Supply planning data'!E554</f>
        <v>No</v>
      </c>
      <c r="D556" s="92">
        <f>'Supply planning data'!F554</f>
        <v>0</v>
      </c>
      <c r="E556" s="316">
        <f>'Supply planning data'!G554</f>
        <v>0</v>
      </c>
      <c r="F556" s="317">
        <f>'Supply planning data'!H554</f>
        <v>0</v>
      </c>
      <c r="G556" s="317">
        <f>'Supply planning data'!I554</f>
        <v>0</v>
      </c>
      <c r="H556" s="98">
        <f>'Supply planning data'!J554</f>
        <v>0</v>
      </c>
      <c r="I556" s="317">
        <f>'Supply planning data'!K554</f>
        <v>0</v>
      </c>
      <c r="J556" s="175" t="str">
        <f>'Supply planning data'!L554</f>
        <v/>
      </c>
      <c r="K556" s="98">
        <f>'Supply planning data'!M554</f>
        <v>0</v>
      </c>
      <c r="L556" s="317">
        <f>'Supply planning data'!N554+'Supply planning data'!P554</f>
        <v>0</v>
      </c>
      <c r="M556" s="339">
        <f>'Supply planning data'!O554</f>
        <v>0</v>
      </c>
      <c r="N556" s="317">
        <f>'Supply planning data'!P554</f>
        <v>0</v>
      </c>
      <c r="O556" s="339">
        <f>'Supply planning data'!Q554</f>
        <v>0</v>
      </c>
      <c r="P556" s="98">
        <f>'Supply planning data'!R554</f>
        <v>0</v>
      </c>
      <c r="Q556" s="98">
        <f>'Supply planning data'!S554</f>
        <v>0</v>
      </c>
      <c r="R556" s="98">
        <f>'Supply planning data'!T554</f>
        <v>0</v>
      </c>
      <c r="S556" s="98">
        <f>'Supply planning data'!U554</f>
        <v>0</v>
      </c>
      <c r="T556" s="98">
        <f>'Supply planning data'!V554</f>
        <v>0</v>
      </c>
      <c r="U556" s="325" t="str">
        <f>'Supply planning data'!W554</f>
        <v/>
      </c>
      <c r="V556" s="98">
        <f>'Supply planning data'!X554</f>
        <v>0</v>
      </c>
      <c r="W556" s="317">
        <f>'Supply planning data'!Y554</f>
        <v>0</v>
      </c>
      <c r="X556" s="328">
        <f>'Supply planning data'!Z554</f>
        <v>0</v>
      </c>
      <c r="Y556" s="98">
        <f>'Supply planning data'!AA554</f>
        <v>0</v>
      </c>
      <c r="Z556" s="98">
        <f>'Supply planning data'!AB554</f>
        <v>0</v>
      </c>
      <c r="AA556" s="98">
        <f>'Supply planning data'!AC554</f>
        <v>0</v>
      </c>
      <c r="AB556" s="98">
        <f>'Supply planning data'!AD554</f>
        <v>0</v>
      </c>
      <c r="AC556" s="98">
        <f>'Supply planning data'!AE554</f>
        <v>0</v>
      </c>
      <c r="AD556" s="325" t="str">
        <f>'Supply planning data'!AF554</f>
        <v/>
      </c>
      <c r="AE556" s="98">
        <f>'Supply planning data'!AG554</f>
        <v>0</v>
      </c>
      <c r="AF556" s="317">
        <f>'Supply planning data'!AH554</f>
        <v>0</v>
      </c>
      <c r="AG556" s="175">
        <f>'Supply planning data'!AI554</f>
        <v>0</v>
      </c>
      <c r="AH556" s="98">
        <f>'Supply planning data'!AJ554</f>
        <v>0</v>
      </c>
      <c r="AI556" s="98">
        <f>'Supply planning data'!AK554</f>
        <v>0</v>
      </c>
      <c r="AJ556" s="98">
        <f>'Supply planning data'!AL554</f>
        <v>0</v>
      </c>
      <c r="AK556" s="98">
        <f>'Supply planning data'!AM554</f>
        <v>0</v>
      </c>
      <c r="AL556" s="98">
        <f>'Supply planning data'!AN554</f>
        <v>0</v>
      </c>
      <c r="AM556" s="325" t="str">
        <f>'Supply planning data'!AO554</f>
        <v/>
      </c>
    </row>
    <row r="557" spans="1:39" hidden="1" x14ac:dyDescent="0.25">
      <c r="A557" s="90" t="str">
        <f>'Supply planning data'!C555</f>
        <v/>
      </c>
      <c r="B557" s="296">
        <f>'Supply planning data'!D555</f>
        <v>45292</v>
      </c>
      <c r="C557" s="92" t="str">
        <f>'Supply planning data'!E555</f>
        <v>No</v>
      </c>
      <c r="D557" s="92">
        <f>'Supply planning data'!F555</f>
        <v>0</v>
      </c>
      <c r="E557" s="316">
        <f>'Supply planning data'!G555</f>
        <v>0</v>
      </c>
      <c r="F557" s="317">
        <f>'Supply planning data'!H555</f>
        <v>0</v>
      </c>
      <c r="G557" s="317">
        <f>'Supply planning data'!I555</f>
        <v>0</v>
      </c>
      <c r="H557" s="98">
        <f>'Supply planning data'!J555</f>
        <v>0</v>
      </c>
      <c r="I557" s="317">
        <f>'Supply planning data'!K555</f>
        <v>0</v>
      </c>
      <c r="J557" s="175" t="str">
        <f>'Supply planning data'!L555</f>
        <v/>
      </c>
      <c r="K557" s="98">
        <f>'Supply planning data'!M555</f>
        <v>0</v>
      </c>
      <c r="L557" s="317">
        <f>'Supply planning data'!N555+'Supply planning data'!P555</f>
        <v>0</v>
      </c>
      <c r="M557" s="339">
        <f>'Supply planning data'!O555</f>
        <v>0</v>
      </c>
      <c r="N557" s="317">
        <f>'Supply planning data'!P555</f>
        <v>0</v>
      </c>
      <c r="O557" s="339">
        <f>'Supply planning data'!Q555</f>
        <v>0</v>
      </c>
      <c r="P557" s="98">
        <f>'Supply planning data'!R555</f>
        <v>0</v>
      </c>
      <c r="Q557" s="98">
        <f>'Supply planning data'!S555</f>
        <v>0</v>
      </c>
      <c r="R557" s="98">
        <f>'Supply planning data'!T555</f>
        <v>0</v>
      </c>
      <c r="S557" s="98">
        <f>'Supply planning data'!U555</f>
        <v>0</v>
      </c>
      <c r="T557" s="98">
        <f>'Supply planning data'!V555</f>
        <v>0</v>
      </c>
      <c r="U557" s="325" t="str">
        <f>'Supply planning data'!W555</f>
        <v/>
      </c>
      <c r="V557" s="98">
        <f>'Supply planning data'!X555</f>
        <v>0</v>
      </c>
      <c r="W557" s="317">
        <f>'Supply planning data'!Y555</f>
        <v>0</v>
      </c>
      <c r="X557" s="328">
        <f>'Supply planning data'!Z555</f>
        <v>0</v>
      </c>
      <c r="Y557" s="98">
        <f>'Supply planning data'!AA555</f>
        <v>0</v>
      </c>
      <c r="Z557" s="98">
        <f>'Supply planning data'!AB555</f>
        <v>0</v>
      </c>
      <c r="AA557" s="98">
        <f>'Supply planning data'!AC555</f>
        <v>0</v>
      </c>
      <c r="AB557" s="98">
        <f>'Supply planning data'!AD555</f>
        <v>0</v>
      </c>
      <c r="AC557" s="98">
        <f>'Supply planning data'!AE555</f>
        <v>0</v>
      </c>
      <c r="AD557" s="325" t="str">
        <f>'Supply planning data'!AF555</f>
        <v/>
      </c>
      <c r="AE557" s="98">
        <f>'Supply planning data'!AG555</f>
        <v>0</v>
      </c>
      <c r="AF557" s="317">
        <f>'Supply planning data'!AH555</f>
        <v>0</v>
      </c>
      <c r="AG557" s="175">
        <f>'Supply planning data'!AI555</f>
        <v>0</v>
      </c>
      <c r="AH557" s="98">
        <f>'Supply planning data'!AJ555</f>
        <v>0</v>
      </c>
      <c r="AI557" s="98">
        <f>'Supply planning data'!AK555</f>
        <v>0</v>
      </c>
      <c r="AJ557" s="98">
        <f>'Supply planning data'!AL555</f>
        <v>0</v>
      </c>
      <c r="AK557" s="98">
        <f>'Supply planning data'!AM555</f>
        <v>0</v>
      </c>
      <c r="AL557" s="98">
        <f>'Supply planning data'!AN555</f>
        <v>0</v>
      </c>
      <c r="AM557" s="325" t="str">
        <f>'Supply planning data'!AO555</f>
        <v/>
      </c>
    </row>
    <row r="558" spans="1:39" hidden="1" x14ac:dyDescent="0.25">
      <c r="A558" s="90" t="str">
        <f>'Supply planning data'!C556</f>
        <v/>
      </c>
      <c r="B558" s="296">
        <f>'Supply planning data'!D556</f>
        <v>45292</v>
      </c>
      <c r="C558" s="92" t="str">
        <f>'Supply planning data'!E556</f>
        <v>No</v>
      </c>
      <c r="D558" s="92">
        <f>'Supply planning data'!F556</f>
        <v>0</v>
      </c>
      <c r="E558" s="316">
        <f>'Supply planning data'!G556</f>
        <v>0</v>
      </c>
      <c r="F558" s="317">
        <f>'Supply planning data'!H556</f>
        <v>0</v>
      </c>
      <c r="G558" s="317">
        <f>'Supply planning data'!I556</f>
        <v>0</v>
      </c>
      <c r="H558" s="98">
        <f>'Supply planning data'!J556</f>
        <v>0</v>
      </c>
      <c r="I558" s="317">
        <f>'Supply planning data'!K556</f>
        <v>0</v>
      </c>
      <c r="J558" s="175" t="str">
        <f>'Supply planning data'!L556</f>
        <v/>
      </c>
      <c r="K558" s="98">
        <f>'Supply planning data'!M556</f>
        <v>0</v>
      </c>
      <c r="L558" s="317">
        <f>'Supply planning data'!N556+'Supply planning data'!P556</f>
        <v>0</v>
      </c>
      <c r="M558" s="339">
        <f>'Supply planning data'!O556</f>
        <v>0</v>
      </c>
      <c r="N558" s="317">
        <f>'Supply planning data'!P556</f>
        <v>0</v>
      </c>
      <c r="O558" s="339">
        <f>'Supply planning data'!Q556</f>
        <v>0</v>
      </c>
      <c r="P558" s="98">
        <f>'Supply planning data'!R556</f>
        <v>0</v>
      </c>
      <c r="Q558" s="98">
        <f>'Supply planning data'!S556</f>
        <v>0</v>
      </c>
      <c r="R558" s="98">
        <f>'Supply planning data'!T556</f>
        <v>0</v>
      </c>
      <c r="S558" s="98">
        <f>'Supply planning data'!U556</f>
        <v>0</v>
      </c>
      <c r="T558" s="98">
        <f>'Supply planning data'!V556</f>
        <v>0</v>
      </c>
      <c r="U558" s="325" t="str">
        <f>'Supply planning data'!W556</f>
        <v/>
      </c>
      <c r="V558" s="98">
        <f>'Supply planning data'!X556</f>
        <v>0</v>
      </c>
      <c r="W558" s="317">
        <f>'Supply planning data'!Y556</f>
        <v>0</v>
      </c>
      <c r="X558" s="328">
        <f>'Supply planning data'!Z556</f>
        <v>0</v>
      </c>
      <c r="Y558" s="98">
        <f>'Supply planning data'!AA556</f>
        <v>0</v>
      </c>
      <c r="Z558" s="98">
        <f>'Supply planning data'!AB556</f>
        <v>0</v>
      </c>
      <c r="AA558" s="98">
        <f>'Supply planning data'!AC556</f>
        <v>0</v>
      </c>
      <c r="AB558" s="98">
        <f>'Supply planning data'!AD556</f>
        <v>0</v>
      </c>
      <c r="AC558" s="98">
        <f>'Supply planning data'!AE556</f>
        <v>0</v>
      </c>
      <c r="AD558" s="325" t="str">
        <f>'Supply planning data'!AF556</f>
        <v/>
      </c>
      <c r="AE558" s="98">
        <f>'Supply planning data'!AG556</f>
        <v>0</v>
      </c>
      <c r="AF558" s="317">
        <f>'Supply planning data'!AH556</f>
        <v>0</v>
      </c>
      <c r="AG558" s="175">
        <f>'Supply planning data'!AI556</f>
        <v>0</v>
      </c>
      <c r="AH558" s="98">
        <f>'Supply planning data'!AJ556</f>
        <v>0</v>
      </c>
      <c r="AI558" s="98">
        <f>'Supply planning data'!AK556</f>
        <v>0</v>
      </c>
      <c r="AJ558" s="98">
        <f>'Supply planning data'!AL556</f>
        <v>0</v>
      </c>
      <c r="AK558" s="98">
        <f>'Supply planning data'!AM556</f>
        <v>0</v>
      </c>
      <c r="AL558" s="98">
        <f>'Supply planning data'!AN556</f>
        <v>0</v>
      </c>
      <c r="AM558" s="325" t="str">
        <f>'Supply planning data'!AO556</f>
        <v/>
      </c>
    </row>
    <row r="559" spans="1:39" hidden="1" x14ac:dyDescent="0.25">
      <c r="A559" s="90" t="str">
        <f>'Supply planning data'!C557</f>
        <v/>
      </c>
      <c r="B559" s="296">
        <f>'Supply planning data'!D557</f>
        <v>45292</v>
      </c>
      <c r="C559" s="92" t="str">
        <f>'Supply planning data'!E557</f>
        <v>No</v>
      </c>
      <c r="D559" s="92">
        <f>'Supply planning data'!F557</f>
        <v>0</v>
      </c>
      <c r="E559" s="316">
        <f>'Supply planning data'!G557</f>
        <v>0</v>
      </c>
      <c r="F559" s="317">
        <f>'Supply planning data'!H557</f>
        <v>0</v>
      </c>
      <c r="G559" s="317">
        <f>'Supply planning data'!I557</f>
        <v>0</v>
      </c>
      <c r="H559" s="98">
        <f>'Supply planning data'!J557</f>
        <v>0</v>
      </c>
      <c r="I559" s="317">
        <f>'Supply planning data'!K557</f>
        <v>0</v>
      </c>
      <c r="J559" s="175" t="str">
        <f>'Supply planning data'!L557</f>
        <v/>
      </c>
      <c r="K559" s="98">
        <f>'Supply planning data'!M557</f>
        <v>0</v>
      </c>
      <c r="L559" s="317">
        <f>'Supply planning data'!N557+'Supply planning data'!P557</f>
        <v>0</v>
      </c>
      <c r="M559" s="339">
        <f>'Supply planning data'!O557</f>
        <v>0</v>
      </c>
      <c r="N559" s="317">
        <f>'Supply planning data'!P557</f>
        <v>0</v>
      </c>
      <c r="O559" s="339">
        <f>'Supply planning data'!Q557</f>
        <v>0</v>
      </c>
      <c r="P559" s="98">
        <f>'Supply planning data'!R557</f>
        <v>0</v>
      </c>
      <c r="Q559" s="98">
        <f>'Supply planning data'!S557</f>
        <v>0</v>
      </c>
      <c r="R559" s="98">
        <f>'Supply planning data'!T557</f>
        <v>0</v>
      </c>
      <c r="S559" s="98">
        <f>'Supply planning data'!U557</f>
        <v>0</v>
      </c>
      <c r="T559" s="98">
        <f>'Supply planning data'!V557</f>
        <v>0</v>
      </c>
      <c r="U559" s="325" t="str">
        <f>'Supply planning data'!W557</f>
        <v/>
      </c>
      <c r="V559" s="98">
        <f>'Supply planning data'!X557</f>
        <v>0</v>
      </c>
      <c r="W559" s="317">
        <f>'Supply planning data'!Y557</f>
        <v>0</v>
      </c>
      <c r="X559" s="328">
        <f>'Supply planning data'!Z557</f>
        <v>0</v>
      </c>
      <c r="Y559" s="98">
        <f>'Supply planning data'!AA557</f>
        <v>0</v>
      </c>
      <c r="Z559" s="98">
        <f>'Supply planning data'!AB557</f>
        <v>0</v>
      </c>
      <c r="AA559" s="98">
        <f>'Supply planning data'!AC557</f>
        <v>0</v>
      </c>
      <c r="AB559" s="98">
        <f>'Supply planning data'!AD557</f>
        <v>0</v>
      </c>
      <c r="AC559" s="98">
        <f>'Supply planning data'!AE557</f>
        <v>0</v>
      </c>
      <c r="AD559" s="325" t="str">
        <f>'Supply planning data'!AF557</f>
        <v/>
      </c>
      <c r="AE559" s="98">
        <f>'Supply planning data'!AG557</f>
        <v>0</v>
      </c>
      <c r="AF559" s="317">
        <f>'Supply planning data'!AH557</f>
        <v>0</v>
      </c>
      <c r="AG559" s="175">
        <f>'Supply planning data'!AI557</f>
        <v>0</v>
      </c>
      <c r="AH559" s="98">
        <f>'Supply planning data'!AJ557</f>
        <v>0</v>
      </c>
      <c r="AI559" s="98">
        <f>'Supply planning data'!AK557</f>
        <v>0</v>
      </c>
      <c r="AJ559" s="98">
        <f>'Supply planning data'!AL557</f>
        <v>0</v>
      </c>
      <c r="AK559" s="98">
        <f>'Supply planning data'!AM557</f>
        <v>0</v>
      </c>
      <c r="AL559" s="98">
        <f>'Supply planning data'!AN557</f>
        <v>0</v>
      </c>
      <c r="AM559" s="325" t="str">
        <f>'Supply planning data'!AO557</f>
        <v/>
      </c>
    </row>
    <row r="560" spans="1:39" hidden="1" x14ac:dyDescent="0.25">
      <c r="A560" s="90" t="str">
        <f>'Supply planning data'!C558</f>
        <v/>
      </c>
      <c r="B560" s="296">
        <f>'Supply planning data'!D558</f>
        <v>45292</v>
      </c>
      <c r="C560" s="92" t="str">
        <f>'Supply planning data'!E558</f>
        <v>No</v>
      </c>
      <c r="D560" s="92">
        <f>'Supply planning data'!F558</f>
        <v>0</v>
      </c>
      <c r="E560" s="316">
        <f>'Supply planning data'!G558</f>
        <v>0</v>
      </c>
      <c r="F560" s="317">
        <f>'Supply planning data'!H558</f>
        <v>0</v>
      </c>
      <c r="G560" s="317">
        <f>'Supply planning data'!I558</f>
        <v>0</v>
      </c>
      <c r="H560" s="98">
        <f>'Supply planning data'!J558</f>
        <v>0</v>
      </c>
      <c r="I560" s="317">
        <f>'Supply planning data'!K558</f>
        <v>0</v>
      </c>
      <c r="J560" s="175" t="str">
        <f>'Supply planning data'!L558</f>
        <v/>
      </c>
      <c r="K560" s="98">
        <f>'Supply planning data'!M558</f>
        <v>0</v>
      </c>
      <c r="L560" s="317">
        <f>'Supply planning data'!N558+'Supply planning data'!P558</f>
        <v>0</v>
      </c>
      <c r="M560" s="339">
        <f>'Supply planning data'!O558</f>
        <v>0</v>
      </c>
      <c r="N560" s="317">
        <f>'Supply planning data'!P558</f>
        <v>0</v>
      </c>
      <c r="O560" s="339">
        <f>'Supply planning data'!Q558</f>
        <v>0</v>
      </c>
      <c r="P560" s="98">
        <f>'Supply planning data'!R558</f>
        <v>0</v>
      </c>
      <c r="Q560" s="98">
        <f>'Supply planning data'!S558</f>
        <v>0</v>
      </c>
      <c r="R560" s="98">
        <f>'Supply planning data'!T558</f>
        <v>0</v>
      </c>
      <c r="S560" s="98">
        <f>'Supply planning data'!U558</f>
        <v>0</v>
      </c>
      <c r="T560" s="98">
        <f>'Supply planning data'!V558</f>
        <v>0</v>
      </c>
      <c r="U560" s="325" t="str">
        <f>'Supply planning data'!W558</f>
        <v/>
      </c>
      <c r="V560" s="98">
        <f>'Supply planning data'!X558</f>
        <v>0</v>
      </c>
      <c r="W560" s="317">
        <f>'Supply planning data'!Y558</f>
        <v>0</v>
      </c>
      <c r="X560" s="328">
        <f>'Supply planning data'!Z558</f>
        <v>0</v>
      </c>
      <c r="Y560" s="98">
        <f>'Supply planning data'!AA558</f>
        <v>0</v>
      </c>
      <c r="Z560" s="98">
        <f>'Supply planning data'!AB558</f>
        <v>0</v>
      </c>
      <c r="AA560" s="98">
        <f>'Supply planning data'!AC558</f>
        <v>0</v>
      </c>
      <c r="AB560" s="98">
        <f>'Supply planning data'!AD558</f>
        <v>0</v>
      </c>
      <c r="AC560" s="98">
        <f>'Supply planning data'!AE558</f>
        <v>0</v>
      </c>
      <c r="AD560" s="325" t="str">
        <f>'Supply planning data'!AF558</f>
        <v/>
      </c>
      <c r="AE560" s="98">
        <f>'Supply planning data'!AG558</f>
        <v>0</v>
      </c>
      <c r="AF560" s="317">
        <f>'Supply planning data'!AH558</f>
        <v>0</v>
      </c>
      <c r="AG560" s="175">
        <f>'Supply planning data'!AI558</f>
        <v>0</v>
      </c>
      <c r="AH560" s="98">
        <f>'Supply planning data'!AJ558</f>
        <v>0</v>
      </c>
      <c r="AI560" s="98">
        <f>'Supply planning data'!AK558</f>
        <v>0</v>
      </c>
      <c r="AJ560" s="98">
        <f>'Supply planning data'!AL558</f>
        <v>0</v>
      </c>
      <c r="AK560" s="98">
        <f>'Supply planning data'!AM558</f>
        <v>0</v>
      </c>
      <c r="AL560" s="98">
        <f>'Supply planning data'!AN558</f>
        <v>0</v>
      </c>
      <c r="AM560" s="325" t="str">
        <f>'Supply planning data'!AO558</f>
        <v/>
      </c>
    </row>
    <row r="561" spans="1:39" hidden="1" x14ac:dyDescent="0.25">
      <c r="A561" s="90" t="str">
        <f>'Supply planning data'!C559</f>
        <v/>
      </c>
      <c r="B561" s="296">
        <f>'Supply planning data'!D559</f>
        <v>45292</v>
      </c>
      <c r="C561" s="92" t="str">
        <f>'Supply planning data'!E559</f>
        <v>No</v>
      </c>
      <c r="D561" s="92">
        <f>'Supply planning data'!F559</f>
        <v>0</v>
      </c>
      <c r="E561" s="316">
        <f>'Supply planning data'!G559</f>
        <v>0</v>
      </c>
      <c r="F561" s="317">
        <f>'Supply planning data'!H559</f>
        <v>0</v>
      </c>
      <c r="G561" s="317">
        <f>'Supply planning data'!I559</f>
        <v>0</v>
      </c>
      <c r="H561" s="98">
        <f>'Supply planning data'!J559</f>
        <v>0</v>
      </c>
      <c r="I561" s="317">
        <f>'Supply planning data'!K559</f>
        <v>0</v>
      </c>
      <c r="J561" s="175" t="str">
        <f>'Supply planning data'!L559</f>
        <v/>
      </c>
      <c r="K561" s="98">
        <f>'Supply planning data'!M559</f>
        <v>0</v>
      </c>
      <c r="L561" s="317">
        <f>'Supply planning data'!N559+'Supply planning data'!P559</f>
        <v>0</v>
      </c>
      <c r="M561" s="339">
        <f>'Supply planning data'!O559</f>
        <v>0</v>
      </c>
      <c r="N561" s="317">
        <f>'Supply planning data'!P559</f>
        <v>0</v>
      </c>
      <c r="O561" s="339">
        <f>'Supply planning data'!Q559</f>
        <v>0</v>
      </c>
      <c r="P561" s="98">
        <f>'Supply planning data'!R559</f>
        <v>0</v>
      </c>
      <c r="Q561" s="98">
        <f>'Supply planning data'!S559</f>
        <v>0</v>
      </c>
      <c r="R561" s="98">
        <f>'Supply planning data'!T559</f>
        <v>0</v>
      </c>
      <c r="S561" s="98">
        <f>'Supply planning data'!U559</f>
        <v>0</v>
      </c>
      <c r="T561" s="98">
        <f>'Supply planning data'!V559</f>
        <v>0</v>
      </c>
      <c r="U561" s="325" t="str">
        <f>'Supply planning data'!W559</f>
        <v/>
      </c>
      <c r="V561" s="98">
        <f>'Supply planning data'!X559</f>
        <v>0</v>
      </c>
      <c r="W561" s="317">
        <f>'Supply planning data'!Y559</f>
        <v>0</v>
      </c>
      <c r="X561" s="328">
        <f>'Supply planning data'!Z559</f>
        <v>0</v>
      </c>
      <c r="Y561" s="98">
        <f>'Supply planning data'!AA559</f>
        <v>0</v>
      </c>
      <c r="Z561" s="98">
        <f>'Supply planning data'!AB559</f>
        <v>0</v>
      </c>
      <c r="AA561" s="98">
        <f>'Supply planning data'!AC559</f>
        <v>0</v>
      </c>
      <c r="AB561" s="98">
        <f>'Supply planning data'!AD559</f>
        <v>0</v>
      </c>
      <c r="AC561" s="98">
        <f>'Supply planning data'!AE559</f>
        <v>0</v>
      </c>
      <c r="AD561" s="325" t="str">
        <f>'Supply planning data'!AF559</f>
        <v/>
      </c>
      <c r="AE561" s="98">
        <f>'Supply planning data'!AG559</f>
        <v>0</v>
      </c>
      <c r="AF561" s="317">
        <f>'Supply planning data'!AH559</f>
        <v>0</v>
      </c>
      <c r="AG561" s="175">
        <f>'Supply planning data'!AI559</f>
        <v>0</v>
      </c>
      <c r="AH561" s="98">
        <f>'Supply planning data'!AJ559</f>
        <v>0</v>
      </c>
      <c r="AI561" s="98">
        <f>'Supply planning data'!AK559</f>
        <v>0</v>
      </c>
      <c r="AJ561" s="98">
        <f>'Supply planning data'!AL559</f>
        <v>0</v>
      </c>
      <c r="AK561" s="98">
        <f>'Supply planning data'!AM559</f>
        <v>0</v>
      </c>
      <c r="AL561" s="98">
        <f>'Supply planning data'!AN559</f>
        <v>0</v>
      </c>
      <c r="AM561" s="325" t="str">
        <f>'Supply planning data'!AO559</f>
        <v/>
      </c>
    </row>
    <row r="562" spans="1:39" x14ac:dyDescent="0.25">
      <c r="A562" s="104" t="str">
        <f>'Supply planning data'!C560</f>
        <v>AstraZeneca</v>
      </c>
      <c r="B562" s="298">
        <f>'Supply planning data'!D560</f>
        <v>45323</v>
      </c>
      <c r="C562" s="105" t="str">
        <f>'Supply planning data'!E560</f>
        <v>Yes</v>
      </c>
      <c r="D562" s="105">
        <f>'Supply planning data'!F560</f>
        <v>0</v>
      </c>
      <c r="E562" s="320">
        <f>'Supply planning data'!G560</f>
        <v>0</v>
      </c>
      <c r="F562" s="320">
        <f>'Supply planning data'!H560</f>
        <v>0</v>
      </c>
      <c r="G562" s="320">
        <f>'Supply planning data'!I560</f>
        <v>0</v>
      </c>
      <c r="H562" s="105">
        <f>'Supply planning data'!J560</f>
        <v>0</v>
      </c>
      <c r="I562" s="320">
        <f>'Supply planning data'!K560</f>
        <v>0</v>
      </c>
      <c r="J562" s="177" t="str">
        <f>'Supply planning data'!L560</f>
        <v/>
      </c>
      <c r="K562" s="105">
        <f>'Supply planning data'!M560</f>
        <v>0</v>
      </c>
      <c r="L562" s="320">
        <f>'Supply planning data'!N560+'Supply planning data'!P560</f>
        <v>0</v>
      </c>
      <c r="M562" s="341">
        <f>'Supply planning data'!O560</f>
        <v>0</v>
      </c>
      <c r="N562" s="320">
        <f>'Supply planning data'!P560</f>
        <v>0</v>
      </c>
      <c r="O562" s="341">
        <f>'Supply planning data'!Q560</f>
        <v>0</v>
      </c>
      <c r="P562" s="105">
        <f>'Supply planning data'!R560</f>
        <v>0</v>
      </c>
      <c r="Q562" s="105">
        <f>'Supply planning data'!S560</f>
        <v>0</v>
      </c>
      <c r="R562" s="105">
        <f>'Supply planning data'!T560</f>
        <v>0</v>
      </c>
      <c r="S562" s="105">
        <f>'Supply planning data'!U560</f>
        <v>0</v>
      </c>
      <c r="T562" s="105">
        <f>'Supply planning data'!V560</f>
        <v>0</v>
      </c>
      <c r="U562" s="326" t="str">
        <f>'Supply planning data'!W560</f>
        <v/>
      </c>
      <c r="V562" s="105">
        <f>'Supply planning data'!X560</f>
        <v>154701</v>
      </c>
      <c r="W562" s="320">
        <f>'Supply planning data'!Y560</f>
        <v>0</v>
      </c>
      <c r="X562" s="329">
        <f>'Supply planning data'!Z560</f>
        <v>0</v>
      </c>
      <c r="Y562" s="105">
        <f>'Supply planning data'!AA560</f>
        <v>0</v>
      </c>
      <c r="Z562" s="105">
        <f>'Supply planning data'!AB560</f>
        <v>0</v>
      </c>
      <c r="AA562" s="105">
        <f>'Supply planning data'!AC560</f>
        <v>0</v>
      </c>
      <c r="AB562" s="105">
        <f>'Supply planning data'!AD560</f>
        <v>0</v>
      </c>
      <c r="AC562" s="105">
        <f>'Supply planning data'!AE560</f>
        <v>154701</v>
      </c>
      <c r="AD562" s="326" t="str">
        <f>'Supply planning data'!AF560</f>
        <v/>
      </c>
      <c r="AE562" s="105">
        <f>'Supply planning data'!AG560</f>
        <v>0</v>
      </c>
      <c r="AF562" s="320">
        <f>'Supply planning data'!AH560</f>
        <v>0</v>
      </c>
      <c r="AG562" s="177">
        <f>'Supply planning data'!AI560</f>
        <v>0</v>
      </c>
      <c r="AH562" s="105">
        <f>'Supply planning data'!AJ560</f>
        <v>0</v>
      </c>
      <c r="AI562" s="105">
        <f>'Supply planning data'!AK560</f>
        <v>0</v>
      </c>
      <c r="AJ562" s="105">
        <f>'Supply planning data'!AL560</f>
        <v>0</v>
      </c>
      <c r="AK562" s="105">
        <f>'Supply planning data'!AM560</f>
        <v>0</v>
      </c>
      <c r="AL562" s="105">
        <f>'Supply planning data'!AN560</f>
        <v>0</v>
      </c>
      <c r="AM562" s="326" t="str">
        <f>'Supply planning data'!AO560</f>
        <v/>
      </c>
    </row>
    <row r="563" spans="1:39" x14ac:dyDescent="0.25">
      <c r="A563" s="109" t="str">
        <f>'Supply planning data'!C561</f>
        <v>Jansen</v>
      </c>
      <c r="B563" s="298">
        <f>'Supply planning data'!D561</f>
        <v>45323</v>
      </c>
      <c r="C563" s="105" t="str">
        <f>'Supply planning data'!E561</f>
        <v>Yes</v>
      </c>
      <c r="D563" s="105">
        <f>'Supply planning data'!F561</f>
        <v>1871200</v>
      </c>
      <c r="E563" s="320">
        <f>'Supply planning data'!G561</f>
        <v>0</v>
      </c>
      <c r="F563" s="320">
        <f>'Supply planning data'!H561</f>
        <v>0</v>
      </c>
      <c r="G563" s="320">
        <f>'Supply planning data'!I561</f>
        <v>0</v>
      </c>
      <c r="H563" s="105">
        <f>'Supply planning data'!J561</f>
        <v>0</v>
      </c>
      <c r="I563" s="320">
        <f>'Supply planning data'!K561</f>
        <v>0</v>
      </c>
      <c r="J563" s="177" t="str">
        <f>'Supply planning data'!L561</f>
        <v/>
      </c>
      <c r="K563" s="105">
        <f>'Supply planning data'!M561</f>
        <v>0</v>
      </c>
      <c r="L563" s="321">
        <f>'Supply planning data'!N561+'Supply planning data'!P561</f>
        <v>0</v>
      </c>
      <c r="M563" s="342">
        <f>'Supply planning data'!O561</f>
        <v>0</v>
      </c>
      <c r="N563" s="321">
        <f>'Supply planning data'!P561</f>
        <v>0</v>
      </c>
      <c r="O563" s="342">
        <f>'Supply planning data'!Q561</f>
        <v>0</v>
      </c>
      <c r="P563" s="111">
        <f>'Supply planning data'!R561</f>
        <v>0</v>
      </c>
      <c r="Q563" s="111">
        <f>'Supply planning data'!S561</f>
        <v>0</v>
      </c>
      <c r="R563" s="111">
        <f>'Supply planning data'!T561</f>
        <v>387547</v>
      </c>
      <c r="S563" s="111">
        <f>'Supply planning data'!U561</f>
        <v>0</v>
      </c>
      <c r="T563" s="111">
        <f>'Supply planning data'!V561</f>
        <v>1871200</v>
      </c>
      <c r="U563" s="327" t="str">
        <f>'Supply planning data'!W561</f>
        <v/>
      </c>
      <c r="V563" s="111">
        <f>'Supply planning data'!X561</f>
        <v>1311200</v>
      </c>
      <c r="W563" s="321">
        <f>'Supply planning data'!Y561</f>
        <v>0</v>
      </c>
      <c r="X563" s="329">
        <f>'Supply planning data'!Z561</f>
        <v>0</v>
      </c>
      <c r="Y563" s="111">
        <f>'Supply planning data'!AA561</f>
        <v>0</v>
      </c>
      <c r="Z563" s="111">
        <f>'Supply planning data'!AB561</f>
        <v>0</v>
      </c>
      <c r="AA563" s="111">
        <f>'Supply planning data'!AC561</f>
        <v>0</v>
      </c>
      <c r="AB563" s="111">
        <f>'Supply planning data'!AD561</f>
        <v>0</v>
      </c>
      <c r="AC563" s="111">
        <f>'Supply planning data'!AE561</f>
        <v>1311200</v>
      </c>
      <c r="AD563" s="327" t="str">
        <f>'Supply planning data'!AF561</f>
        <v/>
      </c>
      <c r="AE563" s="111">
        <f>'Supply planning data'!AG561</f>
        <v>1871200</v>
      </c>
      <c r="AF563" s="321">
        <f>'Supply planning data'!AH561</f>
        <v>0</v>
      </c>
      <c r="AG563" s="349">
        <f>'Supply planning data'!AI561</f>
        <v>0</v>
      </c>
      <c r="AH563" s="111">
        <f>'Supply planning data'!AJ561</f>
        <v>0</v>
      </c>
      <c r="AI563" s="111">
        <f>'Supply planning data'!AK561</f>
        <v>0</v>
      </c>
      <c r="AJ563" s="111">
        <f>'Supply planning data'!AL561</f>
        <v>387547</v>
      </c>
      <c r="AK563" s="111">
        <f>'Supply planning data'!AM561</f>
        <v>0</v>
      </c>
      <c r="AL563" s="111">
        <f>'Supply planning data'!AN561</f>
        <v>1871200</v>
      </c>
      <c r="AM563" s="327" t="str">
        <f>'Supply planning data'!AO561</f>
        <v/>
      </c>
    </row>
    <row r="564" spans="1:39" x14ac:dyDescent="0.25">
      <c r="A564" s="104" t="str">
        <f>'Supply planning data'!C562</f>
        <v>Moderna</v>
      </c>
      <c r="B564" s="298">
        <f>'Supply planning data'!D562</f>
        <v>45323</v>
      </c>
      <c r="C564" s="105" t="str">
        <f>'Supply planning data'!E562</f>
        <v>No</v>
      </c>
      <c r="D564" s="105">
        <f>'Supply planning data'!F562</f>
        <v>0</v>
      </c>
      <c r="E564" s="320">
        <f>'Supply planning data'!G562</f>
        <v>0</v>
      </c>
      <c r="F564" s="320">
        <f>'Supply planning data'!H562</f>
        <v>0</v>
      </c>
      <c r="G564" s="320">
        <f>'Supply planning data'!I562</f>
        <v>0</v>
      </c>
      <c r="H564" s="105">
        <f>'Supply planning data'!J562</f>
        <v>0</v>
      </c>
      <c r="I564" s="320">
        <f>'Supply planning data'!K562</f>
        <v>0</v>
      </c>
      <c r="J564" s="177" t="str">
        <f>'Supply planning data'!L562</f>
        <v/>
      </c>
      <c r="K564" s="105">
        <f>'Supply planning data'!M562</f>
        <v>0</v>
      </c>
      <c r="L564" s="321">
        <f>'Supply planning data'!N562+'Supply planning data'!P562</f>
        <v>0</v>
      </c>
      <c r="M564" s="342">
        <f>'Supply planning data'!O562</f>
        <v>0</v>
      </c>
      <c r="N564" s="321">
        <f>'Supply planning data'!P562</f>
        <v>0</v>
      </c>
      <c r="O564" s="342">
        <f>'Supply planning data'!Q562</f>
        <v>0</v>
      </c>
      <c r="P564" s="111">
        <f>'Supply planning data'!R562</f>
        <v>0</v>
      </c>
      <c r="Q564" s="111">
        <f>'Supply planning data'!S562</f>
        <v>0</v>
      </c>
      <c r="R564" s="111">
        <f>'Supply planning data'!T562</f>
        <v>0</v>
      </c>
      <c r="S564" s="111">
        <f>'Supply planning data'!U562</f>
        <v>0</v>
      </c>
      <c r="T564" s="111">
        <f>'Supply planning data'!V562</f>
        <v>0</v>
      </c>
      <c r="U564" s="327" t="str">
        <f>'Supply planning data'!W562</f>
        <v/>
      </c>
      <c r="V564" s="111">
        <f>'Supply planning data'!X562</f>
        <v>0</v>
      </c>
      <c r="W564" s="321">
        <f>'Supply planning data'!Y562</f>
        <v>0</v>
      </c>
      <c r="X564" s="329">
        <f>'Supply planning data'!Z562</f>
        <v>0</v>
      </c>
      <c r="Y564" s="111">
        <f>'Supply planning data'!AA562</f>
        <v>0</v>
      </c>
      <c r="Z564" s="111">
        <f>'Supply planning data'!AB562</f>
        <v>0</v>
      </c>
      <c r="AA564" s="111">
        <f>'Supply planning data'!AC562</f>
        <v>0</v>
      </c>
      <c r="AB564" s="111">
        <f>'Supply planning data'!AD562</f>
        <v>0</v>
      </c>
      <c r="AC564" s="111">
        <f>'Supply planning data'!AE562</f>
        <v>0</v>
      </c>
      <c r="AD564" s="327" t="str">
        <f>'Supply planning data'!AF562</f>
        <v/>
      </c>
      <c r="AE564" s="111">
        <f>'Supply planning data'!AG562</f>
        <v>0</v>
      </c>
      <c r="AF564" s="321">
        <f>'Supply planning data'!AH562</f>
        <v>0</v>
      </c>
      <c r="AG564" s="349">
        <f>'Supply planning data'!AI562</f>
        <v>0</v>
      </c>
      <c r="AH564" s="111">
        <f>'Supply planning data'!AJ562</f>
        <v>0</v>
      </c>
      <c r="AI564" s="111">
        <f>'Supply planning data'!AK562</f>
        <v>0</v>
      </c>
      <c r="AJ564" s="111">
        <f>'Supply planning data'!AL562</f>
        <v>0</v>
      </c>
      <c r="AK564" s="111">
        <f>'Supply planning data'!AM562</f>
        <v>0</v>
      </c>
      <c r="AL564" s="111">
        <f>'Supply planning data'!AN562</f>
        <v>0</v>
      </c>
      <c r="AM564" s="327" t="str">
        <f>'Supply planning data'!AO562</f>
        <v/>
      </c>
    </row>
    <row r="565" spans="1:39" x14ac:dyDescent="0.25">
      <c r="A565" s="109" t="str">
        <f>'Supply planning data'!C563</f>
        <v>Pfizer</v>
      </c>
      <c r="B565" s="298">
        <f>'Supply planning data'!D563</f>
        <v>45323</v>
      </c>
      <c r="C565" s="105" t="str">
        <f>'Supply planning data'!E563</f>
        <v>Yes</v>
      </c>
      <c r="D565" s="105">
        <f>'Supply planning data'!F563</f>
        <v>3000000</v>
      </c>
      <c r="E565" s="320">
        <f>'Supply planning data'!G563</f>
        <v>0</v>
      </c>
      <c r="F565" s="320">
        <f>'Supply planning data'!H563</f>
        <v>0</v>
      </c>
      <c r="G565" s="320">
        <f>'Supply planning data'!I563</f>
        <v>0</v>
      </c>
      <c r="H565" s="105">
        <f>'Supply planning data'!J563</f>
        <v>0</v>
      </c>
      <c r="I565" s="320">
        <f>'Supply planning data'!K563</f>
        <v>0</v>
      </c>
      <c r="J565" s="177" t="str">
        <f>'Supply planning data'!L563</f>
        <v/>
      </c>
      <c r="K565" s="105">
        <f>'Supply planning data'!M563</f>
        <v>0</v>
      </c>
      <c r="L565" s="321">
        <f>'Supply planning data'!N563+'Supply planning data'!P563</f>
        <v>0</v>
      </c>
      <c r="M565" s="342">
        <f>'Supply planning data'!O563</f>
        <v>0</v>
      </c>
      <c r="N565" s="321">
        <f>'Supply planning data'!P563</f>
        <v>0</v>
      </c>
      <c r="O565" s="342">
        <f>'Supply planning data'!Q563</f>
        <v>0</v>
      </c>
      <c r="P565" s="111">
        <f>'Supply planning data'!R563</f>
        <v>0</v>
      </c>
      <c r="Q565" s="111">
        <f>'Supply planning data'!S563</f>
        <v>0</v>
      </c>
      <c r="R565" s="111">
        <f>'Supply planning data'!T563</f>
        <v>110538</v>
      </c>
      <c r="S565" s="111">
        <f>'Supply planning data'!U563</f>
        <v>0</v>
      </c>
      <c r="T565" s="111">
        <f>'Supply planning data'!V563</f>
        <v>3000000</v>
      </c>
      <c r="U565" s="327" t="str">
        <f>'Supply planning data'!W563</f>
        <v/>
      </c>
      <c r="V565" s="111">
        <f>'Supply planning data'!X563</f>
        <v>2440000</v>
      </c>
      <c r="W565" s="321">
        <f>'Supply planning data'!Y563</f>
        <v>0</v>
      </c>
      <c r="X565" s="329">
        <f>'Supply planning data'!Z563</f>
        <v>0</v>
      </c>
      <c r="Y565" s="111">
        <f>'Supply planning data'!AA563</f>
        <v>0</v>
      </c>
      <c r="Z565" s="111">
        <f>'Supply planning data'!AB563</f>
        <v>0</v>
      </c>
      <c r="AA565" s="111">
        <f>'Supply planning data'!AC563</f>
        <v>0</v>
      </c>
      <c r="AB565" s="111">
        <f>'Supply planning data'!AD563</f>
        <v>0</v>
      </c>
      <c r="AC565" s="111">
        <f>'Supply planning data'!AE563</f>
        <v>2440000</v>
      </c>
      <c r="AD565" s="327" t="str">
        <f>'Supply planning data'!AF563</f>
        <v/>
      </c>
      <c r="AE565" s="111">
        <f>'Supply planning data'!AG563</f>
        <v>3000000</v>
      </c>
      <c r="AF565" s="321">
        <f>'Supply planning data'!AH563</f>
        <v>0</v>
      </c>
      <c r="AG565" s="349">
        <f>'Supply planning data'!AI563</f>
        <v>0</v>
      </c>
      <c r="AH565" s="111">
        <f>'Supply planning data'!AJ563</f>
        <v>0</v>
      </c>
      <c r="AI565" s="111">
        <f>'Supply planning data'!AK563</f>
        <v>0</v>
      </c>
      <c r="AJ565" s="111">
        <f>'Supply planning data'!AL563</f>
        <v>110538</v>
      </c>
      <c r="AK565" s="111">
        <f>'Supply planning data'!AM563</f>
        <v>0</v>
      </c>
      <c r="AL565" s="111">
        <f>'Supply planning data'!AN563</f>
        <v>3000000</v>
      </c>
      <c r="AM565" s="327" t="str">
        <f>'Supply planning data'!AO563</f>
        <v/>
      </c>
    </row>
    <row r="566" spans="1:39" x14ac:dyDescent="0.25">
      <c r="A566" s="104" t="str">
        <f>'Supply planning data'!C564</f>
        <v>Sinovac</v>
      </c>
      <c r="B566" s="298">
        <f>'Supply planning data'!D564</f>
        <v>45323</v>
      </c>
      <c r="C566" s="105" t="str">
        <f>'Supply planning data'!E564</f>
        <v>No</v>
      </c>
      <c r="D566" s="105">
        <f>'Supply planning data'!F564</f>
        <v>0</v>
      </c>
      <c r="E566" s="320">
        <f>'Supply planning data'!G564</f>
        <v>0</v>
      </c>
      <c r="F566" s="320">
        <f>'Supply planning data'!H564</f>
        <v>0</v>
      </c>
      <c r="G566" s="320">
        <f>'Supply planning data'!I564</f>
        <v>0</v>
      </c>
      <c r="H566" s="105">
        <f>'Supply planning data'!J564</f>
        <v>0</v>
      </c>
      <c r="I566" s="320">
        <f>'Supply planning data'!K564</f>
        <v>0</v>
      </c>
      <c r="J566" s="177" t="str">
        <f>'Supply planning data'!L564</f>
        <v/>
      </c>
      <c r="K566" s="105">
        <f>'Supply planning data'!M564</f>
        <v>0</v>
      </c>
      <c r="L566" s="321">
        <f>'Supply planning data'!N564+'Supply planning data'!P564</f>
        <v>0</v>
      </c>
      <c r="M566" s="342">
        <f>'Supply planning data'!O564</f>
        <v>0</v>
      </c>
      <c r="N566" s="321">
        <f>'Supply planning data'!P564</f>
        <v>0</v>
      </c>
      <c r="O566" s="342">
        <f>'Supply planning data'!Q564</f>
        <v>0</v>
      </c>
      <c r="P566" s="111">
        <f>'Supply planning data'!R564</f>
        <v>0</v>
      </c>
      <c r="Q566" s="111">
        <f>'Supply planning data'!S564</f>
        <v>0</v>
      </c>
      <c r="R566" s="111">
        <f>'Supply planning data'!T564</f>
        <v>0</v>
      </c>
      <c r="S566" s="111">
        <f>'Supply planning data'!U564</f>
        <v>0</v>
      </c>
      <c r="T566" s="111">
        <f>'Supply planning data'!V564</f>
        <v>0</v>
      </c>
      <c r="U566" s="327" t="str">
        <f>'Supply planning data'!W564</f>
        <v/>
      </c>
      <c r="V566" s="111">
        <f>'Supply planning data'!X564</f>
        <v>0</v>
      </c>
      <c r="W566" s="321">
        <f>'Supply planning data'!Y564</f>
        <v>0</v>
      </c>
      <c r="X566" s="329">
        <f>'Supply planning data'!Z564</f>
        <v>0</v>
      </c>
      <c r="Y566" s="111">
        <f>'Supply planning data'!AA564</f>
        <v>0</v>
      </c>
      <c r="Z566" s="111">
        <f>'Supply planning data'!AB564</f>
        <v>0</v>
      </c>
      <c r="AA566" s="111">
        <f>'Supply planning data'!AC564</f>
        <v>0</v>
      </c>
      <c r="AB566" s="111">
        <f>'Supply planning data'!AD564</f>
        <v>0</v>
      </c>
      <c r="AC566" s="111">
        <f>'Supply planning data'!AE564</f>
        <v>0</v>
      </c>
      <c r="AD566" s="327" t="str">
        <f>'Supply planning data'!AF564</f>
        <v/>
      </c>
      <c r="AE566" s="111">
        <f>'Supply planning data'!AG564</f>
        <v>0</v>
      </c>
      <c r="AF566" s="321">
        <f>'Supply planning data'!AH564</f>
        <v>0</v>
      </c>
      <c r="AG566" s="349">
        <f>'Supply planning data'!AI564</f>
        <v>0</v>
      </c>
      <c r="AH566" s="111">
        <f>'Supply planning data'!AJ564</f>
        <v>0</v>
      </c>
      <c r="AI566" s="111">
        <f>'Supply planning data'!AK564</f>
        <v>0</v>
      </c>
      <c r="AJ566" s="111">
        <f>'Supply planning data'!AL564</f>
        <v>0</v>
      </c>
      <c r="AK566" s="111">
        <f>'Supply planning data'!AM564</f>
        <v>0</v>
      </c>
      <c r="AL566" s="111">
        <f>'Supply planning data'!AN564</f>
        <v>0</v>
      </c>
      <c r="AM566" s="327" t="str">
        <f>'Supply planning data'!AO564</f>
        <v/>
      </c>
    </row>
    <row r="567" spans="1:39" hidden="1" x14ac:dyDescent="0.25">
      <c r="A567" s="109" t="str">
        <f>'Supply planning data'!C565</f>
        <v/>
      </c>
      <c r="B567" s="298">
        <f>'Supply planning data'!D565</f>
        <v>45323</v>
      </c>
      <c r="C567" s="105" t="str">
        <f>'Supply planning data'!E565</f>
        <v>No</v>
      </c>
      <c r="D567" s="105">
        <f>'Supply planning data'!F565</f>
        <v>0</v>
      </c>
      <c r="E567" s="320">
        <f>'Supply planning data'!G565</f>
        <v>0</v>
      </c>
      <c r="F567" s="320">
        <f>'Supply planning data'!H565</f>
        <v>0</v>
      </c>
      <c r="G567" s="320">
        <f>'Supply planning data'!I565</f>
        <v>0</v>
      </c>
      <c r="H567" s="105">
        <f>'Supply planning data'!J565</f>
        <v>0</v>
      </c>
      <c r="I567" s="320">
        <f>'Supply planning data'!K565</f>
        <v>0</v>
      </c>
      <c r="J567" s="177" t="str">
        <f>'Supply planning data'!L565</f>
        <v/>
      </c>
      <c r="K567" s="105">
        <f>'Supply planning data'!M565</f>
        <v>0</v>
      </c>
      <c r="L567" s="321">
        <f>'Supply planning data'!N565+'Supply planning data'!P565</f>
        <v>0</v>
      </c>
      <c r="M567" s="342">
        <f>'Supply planning data'!O565</f>
        <v>0</v>
      </c>
      <c r="N567" s="321">
        <f>'Supply planning data'!P565</f>
        <v>0</v>
      </c>
      <c r="O567" s="342">
        <f>'Supply planning data'!Q565</f>
        <v>0</v>
      </c>
      <c r="P567" s="111">
        <f>'Supply planning data'!R565</f>
        <v>0</v>
      </c>
      <c r="Q567" s="111">
        <f>'Supply planning data'!S565</f>
        <v>0</v>
      </c>
      <c r="R567" s="111">
        <f>'Supply planning data'!T565</f>
        <v>0</v>
      </c>
      <c r="S567" s="111">
        <f>'Supply planning data'!U565</f>
        <v>0</v>
      </c>
      <c r="T567" s="111">
        <f>'Supply planning data'!V565</f>
        <v>0</v>
      </c>
      <c r="U567" s="327" t="str">
        <f>'Supply planning data'!W565</f>
        <v/>
      </c>
      <c r="V567" s="111">
        <f>'Supply planning data'!X565</f>
        <v>0</v>
      </c>
      <c r="W567" s="321">
        <f>'Supply planning data'!Y565</f>
        <v>0</v>
      </c>
      <c r="X567" s="329">
        <f>'Supply planning data'!Z565</f>
        <v>0</v>
      </c>
      <c r="Y567" s="111">
        <f>'Supply planning data'!AA565</f>
        <v>0</v>
      </c>
      <c r="Z567" s="111">
        <f>'Supply planning data'!AB565</f>
        <v>0</v>
      </c>
      <c r="AA567" s="111">
        <f>'Supply planning data'!AC565</f>
        <v>0</v>
      </c>
      <c r="AB567" s="111">
        <f>'Supply planning data'!AD565</f>
        <v>0</v>
      </c>
      <c r="AC567" s="111">
        <f>'Supply planning data'!AE565</f>
        <v>0</v>
      </c>
      <c r="AD567" s="327" t="str">
        <f>'Supply planning data'!AF565</f>
        <v/>
      </c>
      <c r="AE567" s="111">
        <f>'Supply planning data'!AG565</f>
        <v>0</v>
      </c>
      <c r="AF567" s="321">
        <f>'Supply planning data'!AH565</f>
        <v>0</v>
      </c>
      <c r="AG567" s="349">
        <f>'Supply planning data'!AI565</f>
        <v>0</v>
      </c>
      <c r="AH567" s="111">
        <f>'Supply planning data'!AJ565</f>
        <v>0</v>
      </c>
      <c r="AI567" s="111">
        <f>'Supply planning data'!AK565</f>
        <v>0</v>
      </c>
      <c r="AJ567" s="111">
        <f>'Supply planning data'!AL565</f>
        <v>0</v>
      </c>
      <c r="AK567" s="111">
        <f>'Supply planning data'!AM565</f>
        <v>0</v>
      </c>
      <c r="AL567" s="111">
        <f>'Supply planning data'!AN565</f>
        <v>0</v>
      </c>
      <c r="AM567" s="327" t="str">
        <f>'Supply planning data'!AO565</f>
        <v/>
      </c>
    </row>
    <row r="568" spans="1:39" hidden="1" x14ac:dyDescent="0.25">
      <c r="A568" s="104" t="str">
        <f>'Supply planning data'!C566</f>
        <v/>
      </c>
      <c r="B568" s="298">
        <f>'Supply planning data'!D566</f>
        <v>45323</v>
      </c>
      <c r="C568" s="105" t="str">
        <f>'Supply planning data'!E566</f>
        <v>No</v>
      </c>
      <c r="D568" s="105">
        <f>'Supply planning data'!F566</f>
        <v>0</v>
      </c>
      <c r="E568" s="320">
        <f>'Supply planning data'!G566</f>
        <v>0</v>
      </c>
      <c r="F568" s="320">
        <f>'Supply planning data'!H566</f>
        <v>0</v>
      </c>
      <c r="G568" s="320">
        <f>'Supply planning data'!I566</f>
        <v>0</v>
      </c>
      <c r="H568" s="105">
        <f>'Supply planning data'!J566</f>
        <v>0</v>
      </c>
      <c r="I568" s="320">
        <f>'Supply planning data'!K566</f>
        <v>0</v>
      </c>
      <c r="J568" s="177" t="str">
        <f>'Supply planning data'!L566</f>
        <v/>
      </c>
      <c r="K568" s="105">
        <f>'Supply planning data'!M566</f>
        <v>0</v>
      </c>
      <c r="L568" s="321">
        <f>'Supply planning data'!N566+'Supply planning data'!P566</f>
        <v>0</v>
      </c>
      <c r="M568" s="342">
        <f>'Supply planning data'!O566</f>
        <v>0</v>
      </c>
      <c r="N568" s="321">
        <f>'Supply planning data'!P566</f>
        <v>0</v>
      </c>
      <c r="O568" s="342">
        <f>'Supply planning data'!Q566</f>
        <v>0</v>
      </c>
      <c r="P568" s="111">
        <f>'Supply planning data'!R566</f>
        <v>0</v>
      </c>
      <c r="Q568" s="111">
        <f>'Supply planning data'!S566</f>
        <v>0</v>
      </c>
      <c r="R568" s="111">
        <f>'Supply planning data'!T566</f>
        <v>0</v>
      </c>
      <c r="S568" s="111">
        <f>'Supply planning data'!U566</f>
        <v>0</v>
      </c>
      <c r="T568" s="111">
        <f>'Supply planning data'!V566</f>
        <v>0</v>
      </c>
      <c r="U568" s="327" t="str">
        <f>'Supply planning data'!W566</f>
        <v/>
      </c>
      <c r="V568" s="111">
        <f>'Supply planning data'!X566</f>
        <v>0</v>
      </c>
      <c r="W568" s="321">
        <f>'Supply planning data'!Y566</f>
        <v>0</v>
      </c>
      <c r="X568" s="329">
        <f>'Supply planning data'!Z566</f>
        <v>0</v>
      </c>
      <c r="Y568" s="111">
        <f>'Supply planning data'!AA566</f>
        <v>0</v>
      </c>
      <c r="Z568" s="111">
        <f>'Supply planning data'!AB566</f>
        <v>0</v>
      </c>
      <c r="AA568" s="111">
        <f>'Supply planning data'!AC566</f>
        <v>0</v>
      </c>
      <c r="AB568" s="111">
        <f>'Supply planning data'!AD566</f>
        <v>0</v>
      </c>
      <c r="AC568" s="111">
        <f>'Supply planning data'!AE566</f>
        <v>0</v>
      </c>
      <c r="AD568" s="327" t="str">
        <f>'Supply planning data'!AF566</f>
        <v/>
      </c>
      <c r="AE568" s="111">
        <f>'Supply planning data'!AG566</f>
        <v>0</v>
      </c>
      <c r="AF568" s="321">
        <f>'Supply planning data'!AH566</f>
        <v>0</v>
      </c>
      <c r="AG568" s="349">
        <f>'Supply planning data'!AI566</f>
        <v>0</v>
      </c>
      <c r="AH568" s="111">
        <f>'Supply planning data'!AJ566</f>
        <v>0</v>
      </c>
      <c r="AI568" s="111">
        <f>'Supply planning data'!AK566</f>
        <v>0</v>
      </c>
      <c r="AJ568" s="111">
        <f>'Supply planning data'!AL566</f>
        <v>0</v>
      </c>
      <c r="AK568" s="111">
        <f>'Supply planning data'!AM566</f>
        <v>0</v>
      </c>
      <c r="AL568" s="111">
        <f>'Supply planning data'!AN566</f>
        <v>0</v>
      </c>
      <c r="AM568" s="327" t="str">
        <f>'Supply planning data'!AO566</f>
        <v/>
      </c>
    </row>
    <row r="569" spans="1:39" hidden="1" x14ac:dyDescent="0.25">
      <c r="A569" s="109" t="str">
        <f>'Supply planning data'!C567</f>
        <v/>
      </c>
      <c r="B569" s="298">
        <f>'Supply planning data'!D567</f>
        <v>45323</v>
      </c>
      <c r="C569" s="105" t="str">
        <f>'Supply planning data'!E567</f>
        <v>No</v>
      </c>
      <c r="D569" s="105">
        <f>'Supply planning data'!F567</f>
        <v>0</v>
      </c>
      <c r="E569" s="320">
        <f>'Supply planning data'!G567</f>
        <v>0</v>
      </c>
      <c r="F569" s="320">
        <f>'Supply planning data'!H567</f>
        <v>0</v>
      </c>
      <c r="G569" s="320">
        <f>'Supply planning data'!I567</f>
        <v>0</v>
      </c>
      <c r="H569" s="105">
        <f>'Supply planning data'!J567</f>
        <v>0</v>
      </c>
      <c r="I569" s="320">
        <f>'Supply planning data'!K567</f>
        <v>0</v>
      </c>
      <c r="J569" s="177" t="str">
        <f>'Supply planning data'!L567</f>
        <v/>
      </c>
      <c r="K569" s="105">
        <f>'Supply planning data'!M567</f>
        <v>0</v>
      </c>
      <c r="L569" s="321">
        <f>'Supply planning data'!N567+'Supply planning data'!P567</f>
        <v>0</v>
      </c>
      <c r="M569" s="342">
        <f>'Supply planning data'!O567</f>
        <v>0</v>
      </c>
      <c r="N569" s="321">
        <f>'Supply planning data'!P567</f>
        <v>0</v>
      </c>
      <c r="O569" s="342">
        <f>'Supply planning data'!Q567</f>
        <v>0</v>
      </c>
      <c r="P569" s="111">
        <f>'Supply planning data'!R567</f>
        <v>0</v>
      </c>
      <c r="Q569" s="111">
        <f>'Supply planning data'!S567</f>
        <v>0</v>
      </c>
      <c r="R569" s="111">
        <f>'Supply planning data'!T567</f>
        <v>0</v>
      </c>
      <c r="S569" s="111">
        <f>'Supply planning data'!U567</f>
        <v>0</v>
      </c>
      <c r="T569" s="111">
        <f>'Supply planning data'!V567</f>
        <v>0</v>
      </c>
      <c r="U569" s="327" t="str">
        <f>'Supply planning data'!W567</f>
        <v/>
      </c>
      <c r="V569" s="111">
        <f>'Supply planning data'!X567</f>
        <v>0</v>
      </c>
      <c r="W569" s="321">
        <f>'Supply planning data'!Y567</f>
        <v>0</v>
      </c>
      <c r="X569" s="329">
        <f>'Supply planning data'!Z567</f>
        <v>0</v>
      </c>
      <c r="Y569" s="111">
        <f>'Supply planning data'!AA567</f>
        <v>0</v>
      </c>
      <c r="Z569" s="111">
        <f>'Supply planning data'!AB567</f>
        <v>0</v>
      </c>
      <c r="AA569" s="111">
        <f>'Supply planning data'!AC567</f>
        <v>0</v>
      </c>
      <c r="AB569" s="111">
        <f>'Supply planning data'!AD567</f>
        <v>0</v>
      </c>
      <c r="AC569" s="111">
        <f>'Supply planning data'!AE567</f>
        <v>0</v>
      </c>
      <c r="AD569" s="327" t="str">
        <f>'Supply planning data'!AF567</f>
        <v/>
      </c>
      <c r="AE569" s="111">
        <f>'Supply planning data'!AG567</f>
        <v>0</v>
      </c>
      <c r="AF569" s="321">
        <f>'Supply planning data'!AH567</f>
        <v>0</v>
      </c>
      <c r="AG569" s="349">
        <f>'Supply planning data'!AI567</f>
        <v>0</v>
      </c>
      <c r="AH569" s="111">
        <f>'Supply planning data'!AJ567</f>
        <v>0</v>
      </c>
      <c r="AI569" s="111">
        <f>'Supply planning data'!AK567</f>
        <v>0</v>
      </c>
      <c r="AJ569" s="111">
        <f>'Supply planning data'!AL567</f>
        <v>0</v>
      </c>
      <c r="AK569" s="111">
        <f>'Supply planning data'!AM567</f>
        <v>0</v>
      </c>
      <c r="AL569" s="111">
        <f>'Supply planning data'!AN567</f>
        <v>0</v>
      </c>
      <c r="AM569" s="327" t="str">
        <f>'Supply planning data'!AO567</f>
        <v/>
      </c>
    </row>
    <row r="570" spans="1:39" hidden="1" x14ac:dyDescent="0.25">
      <c r="A570" s="104" t="str">
        <f>'Supply planning data'!C568</f>
        <v/>
      </c>
      <c r="B570" s="298">
        <f>'Supply planning data'!D568</f>
        <v>45323</v>
      </c>
      <c r="C570" s="105" t="str">
        <f>'Supply planning data'!E568</f>
        <v>No</v>
      </c>
      <c r="D570" s="105">
        <f>'Supply planning data'!F568</f>
        <v>0</v>
      </c>
      <c r="E570" s="320">
        <f>'Supply planning data'!G568</f>
        <v>0</v>
      </c>
      <c r="F570" s="320">
        <f>'Supply planning data'!H568</f>
        <v>0</v>
      </c>
      <c r="G570" s="320">
        <f>'Supply planning data'!I568</f>
        <v>0</v>
      </c>
      <c r="H570" s="105">
        <f>'Supply planning data'!J568</f>
        <v>0</v>
      </c>
      <c r="I570" s="320">
        <f>'Supply planning data'!K568</f>
        <v>0</v>
      </c>
      <c r="J570" s="177" t="str">
        <f>'Supply planning data'!L568</f>
        <v/>
      </c>
      <c r="K570" s="105">
        <f>'Supply planning data'!M568</f>
        <v>0</v>
      </c>
      <c r="L570" s="321">
        <f>'Supply planning data'!N568+'Supply planning data'!P568</f>
        <v>0</v>
      </c>
      <c r="M570" s="342">
        <f>'Supply planning data'!O568</f>
        <v>0</v>
      </c>
      <c r="N570" s="321">
        <f>'Supply planning data'!P568</f>
        <v>0</v>
      </c>
      <c r="O570" s="342">
        <f>'Supply planning data'!Q568</f>
        <v>0</v>
      </c>
      <c r="P570" s="111">
        <f>'Supply planning data'!R568</f>
        <v>0</v>
      </c>
      <c r="Q570" s="111">
        <f>'Supply planning data'!S568</f>
        <v>0</v>
      </c>
      <c r="R570" s="111">
        <f>'Supply planning data'!T568</f>
        <v>0</v>
      </c>
      <c r="S570" s="111">
        <f>'Supply planning data'!U568</f>
        <v>0</v>
      </c>
      <c r="T570" s="111">
        <f>'Supply planning data'!V568</f>
        <v>0</v>
      </c>
      <c r="U570" s="327" t="str">
        <f>'Supply planning data'!W568</f>
        <v/>
      </c>
      <c r="V570" s="111">
        <f>'Supply planning data'!X568</f>
        <v>0</v>
      </c>
      <c r="W570" s="321">
        <f>'Supply planning data'!Y568</f>
        <v>0</v>
      </c>
      <c r="X570" s="329">
        <f>'Supply planning data'!Z568</f>
        <v>0</v>
      </c>
      <c r="Y570" s="111">
        <f>'Supply planning data'!AA568</f>
        <v>0</v>
      </c>
      <c r="Z570" s="111">
        <f>'Supply planning data'!AB568</f>
        <v>0</v>
      </c>
      <c r="AA570" s="111">
        <f>'Supply planning data'!AC568</f>
        <v>0</v>
      </c>
      <c r="AB570" s="111">
        <f>'Supply planning data'!AD568</f>
        <v>0</v>
      </c>
      <c r="AC570" s="111">
        <f>'Supply planning data'!AE568</f>
        <v>0</v>
      </c>
      <c r="AD570" s="327" t="str">
        <f>'Supply planning data'!AF568</f>
        <v/>
      </c>
      <c r="AE570" s="111">
        <f>'Supply planning data'!AG568</f>
        <v>0</v>
      </c>
      <c r="AF570" s="321">
        <f>'Supply planning data'!AH568</f>
        <v>0</v>
      </c>
      <c r="AG570" s="349">
        <f>'Supply planning data'!AI568</f>
        <v>0</v>
      </c>
      <c r="AH570" s="111">
        <f>'Supply planning data'!AJ568</f>
        <v>0</v>
      </c>
      <c r="AI570" s="111">
        <f>'Supply planning data'!AK568</f>
        <v>0</v>
      </c>
      <c r="AJ570" s="111">
        <f>'Supply planning data'!AL568</f>
        <v>0</v>
      </c>
      <c r="AK570" s="111">
        <f>'Supply planning data'!AM568</f>
        <v>0</v>
      </c>
      <c r="AL570" s="111">
        <f>'Supply planning data'!AN568</f>
        <v>0</v>
      </c>
      <c r="AM570" s="327" t="str">
        <f>'Supply planning data'!AO568</f>
        <v/>
      </c>
    </row>
    <row r="571" spans="1:39" hidden="1" x14ac:dyDescent="0.25">
      <c r="A571" s="109" t="str">
        <f>'Supply planning data'!C569</f>
        <v/>
      </c>
      <c r="B571" s="298">
        <f>'Supply planning data'!D569</f>
        <v>45323</v>
      </c>
      <c r="C571" s="105" t="str">
        <f>'Supply planning data'!E569</f>
        <v>No</v>
      </c>
      <c r="D571" s="105">
        <f>'Supply planning data'!F569</f>
        <v>0</v>
      </c>
      <c r="E571" s="320">
        <f>'Supply planning data'!G569</f>
        <v>0</v>
      </c>
      <c r="F571" s="320">
        <f>'Supply planning data'!H569</f>
        <v>0</v>
      </c>
      <c r="G571" s="320">
        <f>'Supply planning data'!I569</f>
        <v>0</v>
      </c>
      <c r="H571" s="105">
        <f>'Supply planning data'!J569</f>
        <v>0</v>
      </c>
      <c r="I571" s="320">
        <f>'Supply planning data'!K569</f>
        <v>0</v>
      </c>
      <c r="J571" s="177" t="str">
        <f>'Supply planning data'!L569</f>
        <v/>
      </c>
      <c r="K571" s="105">
        <f>'Supply planning data'!M569</f>
        <v>0</v>
      </c>
      <c r="L571" s="321">
        <f>'Supply planning data'!N569+'Supply planning data'!P569</f>
        <v>0</v>
      </c>
      <c r="M571" s="342">
        <f>'Supply planning data'!O569</f>
        <v>0</v>
      </c>
      <c r="N571" s="321">
        <f>'Supply planning data'!P569</f>
        <v>0</v>
      </c>
      <c r="O571" s="342">
        <f>'Supply planning data'!Q569</f>
        <v>0</v>
      </c>
      <c r="P571" s="111">
        <f>'Supply planning data'!R569</f>
        <v>0</v>
      </c>
      <c r="Q571" s="111">
        <f>'Supply planning data'!S569</f>
        <v>0</v>
      </c>
      <c r="R571" s="111">
        <f>'Supply planning data'!T569</f>
        <v>0</v>
      </c>
      <c r="S571" s="111">
        <f>'Supply planning data'!U569</f>
        <v>0</v>
      </c>
      <c r="T571" s="111">
        <f>'Supply planning data'!V569</f>
        <v>0</v>
      </c>
      <c r="U571" s="327" t="str">
        <f>'Supply planning data'!W569</f>
        <v/>
      </c>
      <c r="V571" s="111">
        <f>'Supply planning data'!X569</f>
        <v>0</v>
      </c>
      <c r="W571" s="321">
        <f>'Supply planning data'!Y569</f>
        <v>0</v>
      </c>
      <c r="X571" s="329">
        <f>'Supply planning data'!Z569</f>
        <v>0</v>
      </c>
      <c r="Y571" s="111">
        <f>'Supply planning data'!AA569</f>
        <v>0</v>
      </c>
      <c r="Z571" s="111">
        <f>'Supply planning data'!AB569</f>
        <v>0</v>
      </c>
      <c r="AA571" s="111">
        <f>'Supply planning data'!AC569</f>
        <v>0</v>
      </c>
      <c r="AB571" s="111">
        <f>'Supply planning data'!AD569</f>
        <v>0</v>
      </c>
      <c r="AC571" s="111">
        <f>'Supply planning data'!AE569</f>
        <v>0</v>
      </c>
      <c r="AD571" s="327" t="str">
        <f>'Supply planning data'!AF569</f>
        <v/>
      </c>
      <c r="AE571" s="111">
        <f>'Supply planning data'!AG569</f>
        <v>0</v>
      </c>
      <c r="AF571" s="321">
        <f>'Supply planning data'!AH569</f>
        <v>0</v>
      </c>
      <c r="AG571" s="349">
        <f>'Supply planning data'!AI569</f>
        <v>0</v>
      </c>
      <c r="AH571" s="111">
        <f>'Supply planning data'!AJ569</f>
        <v>0</v>
      </c>
      <c r="AI571" s="111">
        <f>'Supply planning data'!AK569</f>
        <v>0</v>
      </c>
      <c r="AJ571" s="111">
        <f>'Supply planning data'!AL569</f>
        <v>0</v>
      </c>
      <c r="AK571" s="111">
        <f>'Supply planning data'!AM569</f>
        <v>0</v>
      </c>
      <c r="AL571" s="111">
        <f>'Supply planning data'!AN569</f>
        <v>0</v>
      </c>
      <c r="AM571" s="327" t="str">
        <f>'Supply planning data'!AO569</f>
        <v/>
      </c>
    </row>
    <row r="572" spans="1:39" hidden="1" x14ac:dyDescent="0.25">
      <c r="A572" s="104" t="str">
        <f>'Supply planning data'!C570</f>
        <v/>
      </c>
      <c r="B572" s="298">
        <f>'Supply planning data'!D570</f>
        <v>45323</v>
      </c>
      <c r="C572" s="105" t="str">
        <f>'Supply planning data'!E570</f>
        <v>No</v>
      </c>
      <c r="D572" s="105">
        <f>'Supply planning data'!F570</f>
        <v>0</v>
      </c>
      <c r="E572" s="320">
        <f>'Supply planning data'!G570</f>
        <v>0</v>
      </c>
      <c r="F572" s="320">
        <f>'Supply planning data'!H570</f>
        <v>0</v>
      </c>
      <c r="G572" s="320">
        <f>'Supply planning data'!I570</f>
        <v>0</v>
      </c>
      <c r="H572" s="105">
        <f>'Supply planning data'!J570</f>
        <v>0</v>
      </c>
      <c r="I572" s="320">
        <f>'Supply planning data'!K570</f>
        <v>0</v>
      </c>
      <c r="J572" s="177" t="str">
        <f>'Supply planning data'!L570</f>
        <v/>
      </c>
      <c r="K572" s="105">
        <f>'Supply planning data'!M570</f>
        <v>0</v>
      </c>
      <c r="L572" s="321">
        <f>'Supply planning data'!N570+'Supply planning data'!P570</f>
        <v>0</v>
      </c>
      <c r="M572" s="342">
        <f>'Supply planning data'!O570</f>
        <v>0</v>
      </c>
      <c r="N572" s="321">
        <f>'Supply planning data'!P570</f>
        <v>0</v>
      </c>
      <c r="O572" s="342">
        <f>'Supply planning data'!Q570</f>
        <v>0</v>
      </c>
      <c r="P572" s="111">
        <f>'Supply planning data'!R570</f>
        <v>0</v>
      </c>
      <c r="Q572" s="111">
        <f>'Supply planning data'!S570</f>
        <v>0</v>
      </c>
      <c r="R572" s="111">
        <f>'Supply planning data'!T570</f>
        <v>0</v>
      </c>
      <c r="S572" s="111">
        <f>'Supply planning data'!U570</f>
        <v>0</v>
      </c>
      <c r="T572" s="111">
        <f>'Supply planning data'!V570</f>
        <v>0</v>
      </c>
      <c r="U572" s="327" t="str">
        <f>'Supply planning data'!W570</f>
        <v/>
      </c>
      <c r="V572" s="111">
        <f>'Supply planning data'!X570</f>
        <v>0</v>
      </c>
      <c r="W572" s="321">
        <f>'Supply planning data'!Y570</f>
        <v>0</v>
      </c>
      <c r="X572" s="329">
        <f>'Supply planning data'!Z570</f>
        <v>0</v>
      </c>
      <c r="Y572" s="111">
        <f>'Supply planning data'!AA570</f>
        <v>0</v>
      </c>
      <c r="Z572" s="111">
        <f>'Supply planning data'!AB570</f>
        <v>0</v>
      </c>
      <c r="AA572" s="111">
        <f>'Supply planning data'!AC570</f>
        <v>0</v>
      </c>
      <c r="AB572" s="111">
        <f>'Supply planning data'!AD570</f>
        <v>0</v>
      </c>
      <c r="AC572" s="111">
        <f>'Supply planning data'!AE570</f>
        <v>0</v>
      </c>
      <c r="AD572" s="327" t="str">
        <f>'Supply planning data'!AF570</f>
        <v/>
      </c>
      <c r="AE572" s="111">
        <f>'Supply planning data'!AG570</f>
        <v>0</v>
      </c>
      <c r="AF572" s="321">
        <f>'Supply planning data'!AH570</f>
        <v>0</v>
      </c>
      <c r="AG572" s="349">
        <f>'Supply planning data'!AI570</f>
        <v>0</v>
      </c>
      <c r="AH572" s="111">
        <f>'Supply planning data'!AJ570</f>
        <v>0</v>
      </c>
      <c r="AI572" s="111">
        <f>'Supply planning data'!AK570</f>
        <v>0</v>
      </c>
      <c r="AJ572" s="111">
        <f>'Supply planning data'!AL570</f>
        <v>0</v>
      </c>
      <c r="AK572" s="111">
        <f>'Supply planning data'!AM570</f>
        <v>0</v>
      </c>
      <c r="AL572" s="111">
        <f>'Supply planning data'!AN570</f>
        <v>0</v>
      </c>
      <c r="AM572" s="327" t="str">
        <f>'Supply planning data'!AO570</f>
        <v/>
      </c>
    </row>
    <row r="573" spans="1:39" hidden="1" x14ac:dyDescent="0.25">
      <c r="A573" s="109" t="str">
        <f>'Supply planning data'!C571</f>
        <v/>
      </c>
      <c r="B573" s="298">
        <f>'Supply planning data'!D571</f>
        <v>45323</v>
      </c>
      <c r="C573" s="105" t="str">
        <f>'Supply planning data'!E571</f>
        <v>No</v>
      </c>
      <c r="D573" s="105">
        <f>'Supply planning data'!F571</f>
        <v>0</v>
      </c>
      <c r="E573" s="320">
        <f>'Supply planning data'!G571</f>
        <v>0</v>
      </c>
      <c r="F573" s="320">
        <f>'Supply planning data'!H571</f>
        <v>0</v>
      </c>
      <c r="G573" s="320">
        <f>'Supply planning data'!I571</f>
        <v>0</v>
      </c>
      <c r="H573" s="105">
        <f>'Supply planning data'!J571</f>
        <v>0</v>
      </c>
      <c r="I573" s="320">
        <f>'Supply planning data'!K571</f>
        <v>0</v>
      </c>
      <c r="J573" s="177" t="str">
        <f>'Supply planning data'!L571</f>
        <v/>
      </c>
      <c r="K573" s="105">
        <f>'Supply planning data'!M571</f>
        <v>0</v>
      </c>
      <c r="L573" s="321">
        <f>'Supply planning data'!N571+'Supply planning data'!P571</f>
        <v>0</v>
      </c>
      <c r="M573" s="342">
        <f>'Supply planning data'!O571</f>
        <v>0</v>
      </c>
      <c r="N573" s="321">
        <f>'Supply planning data'!P571</f>
        <v>0</v>
      </c>
      <c r="O573" s="342">
        <f>'Supply planning data'!Q571</f>
        <v>0</v>
      </c>
      <c r="P573" s="111">
        <f>'Supply planning data'!R571</f>
        <v>0</v>
      </c>
      <c r="Q573" s="111">
        <f>'Supply planning data'!S571</f>
        <v>0</v>
      </c>
      <c r="R573" s="111">
        <f>'Supply planning data'!T571</f>
        <v>0</v>
      </c>
      <c r="S573" s="111">
        <f>'Supply planning data'!U571</f>
        <v>0</v>
      </c>
      <c r="T573" s="111">
        <f>'Supply planning data'!V571</f>
        <v>0</v>
      </c>
      <c r="U573" s="327" t="str">
        <f>'Supply planning data'!W571</f>
        <v/>
      </c>
      <c r="V573" s="111">
        <f>'Supply planning data'!X571</f>
        <v>0</v>
      </c>
      <c r="W573" s="321">
        <f>'Supply planning data'!Y571</f>
        <v>0</v>
      </c>
      <c r="X573" s="329">
        <f>'Supply planning data'!Z571</f>
        <v>0</v>
      </c>
      <c r="Y573" s="111">
        <f>'Supply planning data'!AA571</f>
        <v>0</v>
      </c>
      <c r="Z573" s="111">
        <f>'Supply planning data'!AB571</f>
        <v>0</v>
      </c>
      <c r="AA573" s="111">
        <f>'Supply planning data'!AC571</f>
        <v>0</v>
      </c>
      <c r="AB573" s="111">
        <f>'Supply planning data'!AD571</f>
        <v>0</v>
      </c>
      <c r="AC573" s="111">
        <f>'Supply planning data'!AE571</f>
        <v>0</v>
      </c>
      <c r="AD573" s="327" t="str">
        <f>'Supply planning data'!AF571</f>
        <v/>
      </c>
      <c r="AE573" s="111">
        <f>'Supply planning data'!AG571</f>
        <v>0</v>
      </c>
      <c r="AF573" s="321">
        <f>'Supply planning data'!AH571</f>
        <v>0</v>
      </c>
      <c r="AG573" s="349">
        <f>'Supply planning data'!AI571</f>
        <v>0</v>
      </c>
      <c r="AH573" s="111">
        <f>'Supply planning data'!AJ571</f>
        <v>0</v>
      </c>
      <c r="AI573" s="111">
        <f>'Supply planning data'!AK571</f>
        <v>0</v>
      </c>
      <c r="AJ573" s="111">
        <f>'Supply planning data'!AL571</f>
        <v>0</v>
      </c>
      <c r="AK573" s="111">
        <f>'Supply planning data'!AM571</f>
        <v>0</v>
      </c>
      <c r="AL573" s="111">
        <f>'Supply planning data'!AN571</f>
        <v>0</v>
      </c>
      <c r="AM573" s="327" t="str">
        <f>'Supply planning data'!AO571</f>
        <v/>
      </c>
    </row>
    <row r="574" spans="1:39" hidden="1" x14ac:dyDescent="0.25">
      <c r="A574" s="104" t="str">
        <f>'Supply planning data'!C572</f>
        <v/>
      </c>
      <c r="B574" s="298">
        <f>'Supply planning data'!D572</f>
        <v>45323</v>
      </c>
      <c r="C574" s="105" t="str">
        <f>'Supply planning data'!E572</f>
        <v>No</v>
      </c>
      <c r="D574" s="105">
        <f>'Supply planning data'!F572</f>
        <v>0</v>
      </c>
      <c r="E574" s="320">
        <f>'Supply planning data'!G572</f>
        <v>0</v>
      </c>
      <c r="F574" s="320">
        <f>'Supply planning data'!H572</f>
        <v>0</v>
      </c>
      <c r="G574" s="320">
        <f>'Supply planning data'!I572</f>
        <v>0</v>
      </c>
      <c r="H574" s="105">
        <f>'Supply planning data'!J572</f>
        <v>0</v>
      </c>
      <c r="I574" s="320">
        <f>'Supply planning data'!K572</f>
        <v>0</v>
      </c>
      <c r="J574" s="177" t="str">
        <f>'Supply planning data'!L572</f>
        <v/>
      </c>
      <c r="K574" s="105">
        <f>'Supply planning data'!M572</f>
        <v>0</v>
      </c>
      <c r="L574" s="321">
        <f>'Supply planning data'!N572+'Supply planning data'!P572</f>
        <v>0</v>
      </c>
      <c r="M574" s="342">
        <f>'Supply planning data'!O572</f>
        <v>0</v>
      </c>
      <c r="N574" s="321">
        <f>'Supply planning data'!P572</f>
        <v>0</v>
      </c>
      <c r="O574" s="342">
        <f>'Supply planning data'!Q572</f>
        <v>0</v>
      </c>
      <c r="P574" s="111">
        <f>'Supply planning data'!R572</f>
        <v>0</v>
      </c>
      <c r="Q574" s="111">
        <f>'Supply planning data'!S572</f>
        <v>0</v>
      </c>
      <c r="R574" s="111">
        <f>'Supply planning data'!T572</f>
        <v>0</v>
      </c>
      <c r="S574" s="111">
        <f>'Supply planning data'!U572</f>
        <v>0</v>
      </c>
      <c r="T574" s="111">
        <f>'Supply planning data'!V572</f>
        <v>0</v>
      </c>
      <c r="U574" s="327" t="str">
        <f>'Supply planning data'!W572</f>
        <v/>
      </c>
      <c r="V574" s="111">
        <f>'Supply planning data'!X572</f>
        <v>0</v>
      </c>
      <c r="W574" s="321">
        <f>'Supply planning data'!Y572</f>
        <v>0</v>
      </c>
      <c r="X574" s="329">
        <f>'Supply planning data'!Z572</f>
        <v>0</v>
      </c>
      <c r="Y574" s="111">
        <f>'Supply planning data'!AA572</f>
        <v>0</v>
      </c>
      <c r="Z574" s="111">
        <f>'Supply planning data'!AB572</f>
        <v>0</v>
      </c>
      <c r="AA574" s="111">
        <f>'Supply planning data'!AC572</f>
        <v>0</v>
      </c>
      <c r="AB574" s="111">
        <f>'Supply planning data'!AD572</f>
        <v>0</v>
      </c>
      <c r="AC574" s="111">
        <f>'Supply planning data'!AE572</f>
        <v>0</v>
      </c>
      <c r="AD574" s="327" t="str">
        <f>'Supply planning data'!AF572</f>
        <v/>
      </c>
      <c r="AE574" s="111">
        <f>'Supply planning data'!AG572</f>
        <v>0</v>
      </c>
      <c r="AF574" s="321">
        <f>'Supply planning data'!AH572</f>
        <v>0</v>
      </c>
      <c r="AG574" s="349">
        <f>'Supply planning data'!AI572</f>
        <v>0</v>
      </c>
      <c r="AH574" s="111">
        <f>'Supply planning data'!AJ572</f>
        <v>0</v>
      </c>
      <c r="AI574" s="111">
        <f>'Supply planning data'!AK572</f>
        <v>0</v>
      </c>
      <c r="AJ574" s="111">
        <f>'Supply planning data'!AL572</f>
        <v>0</v>
      </c>
      <c r="AK574" s="111">
        <f>'Supply planning data'!AM572</f>
        <v>0</v>
      </c>
      <c r="AL574" s="111">
        <f>'Supply planning data'!AN572</f>
        <v>0</v>
      </c>
      <c r="AM574" s="327" t="str">
        <f>'Supply planning data'!AO572</f>
        <v/>
      </c>
    </row>
    <row r="575" spans="1:39" hidden="1" x14ac:dyDescent="0.25">
      <c r="A575" s="109" t="str">
        <f>'Supply planning data'!C573</f>
        <v/>
      </c>
      <c r="B575" s="298">
        <f>'Supply planning data'!D573</f>
        <v>45323</v>
      </c>
      <c r="C575" s="105" t="str">
        <f>'Supply planning data'!E573</f>
        <v>No</v>
      </c>
      <c r="D575" s="105">
        <f>'Supply planning data'!F573</f>
        <v>0</v>
      </c>
      <c r="E575" s="320">
        <f>'Supply planning data'!G573</f>
        <v>0</v>
      </c>
      <c r="F575" s="320">
        <f>'Supply planning data'!H573</f>
        <v>0</v>
      </c>
      <c r="G575" s="320">
        <f>'Supply planning data'!I573</f>
        <v>0</v>
      </c>
      <c r="H575" s="105">
        <f>'Supply planning data'!J573</f>
        <v>0</v>
      </c>
      <c r="I575" s="320">
        <f>'Supply planning data'!K573</f>
        <v>0</v>
      </c>
      <c r="J575" s="177" t="str">
        <f>'Supply planning data'!L573</f>
        <v/>
      </c>
      <c r="K575" s="105">
        <f>'Supply planning data'!M573</f>
        <v>0</v>
      </c>
      <c r="L575" s="321">
        <f>'Supply planning data'!N573+'Supply planning data'!P573</f>
        <v>0</v>
      </c>
      <c r="M575" s="342">
        <f>'Supply planning data'!O573</f>
        <v>0</v>
      </c>
      <c r="N575" s="321">
        <f>'Supply planning data'!P573</f>
        <v>0</v>
      </c>
      <c r="O575" s="342">
        <f>'Supply planning data'!Q573</f>
        <v>0</v>
      </c>
      <c r="P575" s="111">
        <f>'Supply planning data'!R573</f>
        <v>0</v>
      </c>
      <c r="Q575" s="111">
        <f>'Supply planning data'!S573</f>
        <v>0</v>
      </c>
      <c r="R575" s="111">
        <f>'Supply planning data'!T573</f>
        <v>0</v>
      </c>
      <c r="S575" s="111">
        <f>'Supply planning data'!U573</f>
        <v>0</v>
      </c>
      <c r="T575" s="111">
        <f>'Supply planning data'!V573</f>
        <v>0</v>
      </c>
      <c r="U575" s="327" t="str">
        <f>'Supply planning data'!W573</f>
        <v/>
      </c>
      <c r="V575" s="111">
        <f>'Supply planning data'!X573</f>
        <v>0</v>
      </c>
      <c r="W575" s="321">
        <f>'Supply planning data'!Y573</f>
        <v>0</v>
      </c>
      <c r="X575" s="329">
        <f>'Supply planning data'!Z573</f>
        <v>0</v>
      </c>
      <c r="Y575" s="111">
        <f>'Supply planning data'!AA573</f>
        <v>0</v>
      </c>
      <c r="Z575" s="111">
        <f>'Supply planning data'!AB573</f>
        <v>0</v>
      </c>
      <c r="AA575" s="111">
        <f>'Supply planning data'!AC573</f>
        <v>0</v>
      </c>
      <c r="AB575" s="111">
        <f>'Supply planning data'!AD573</f>
        <v>0</v>
      </c>
      <c r="AC575" s="111">
        <f>'Supply planning data'!AE573</f>
        <v>0</v>
      </c>
      <c r="AD575" s="327" t="str">
        <f>'Supply planning data'!AF573</f>
        <v/>
      </c>
      <c r="AE575" s="111">
        <f>'Supply planning data'!AG573</f>
        <v>0</v>
      </c>
      <c r="AF575" s="321">
        <f>'Supply planning data'!AH573</f>
        <v>0</v>
      </c>
      <c r="AG575" s="349">
        <f>'Supply planning data'!AI573</f>
        <v>0</v>
      </c>
      <c r="AH575" s="111">
        <f>'Supply planning data'!AJ573</f>
        <v>0</v>
      </c>
      <c r="AI575" s="111">
        <f>'Supply planning data'!AK573</f>
        <v>0</v>
      </c>
      <c r="AJ575" s="111">
        <f>'Supply planning data'!AL573</f>
        <v>0</v>
      </c>
      <c r="AK575" s="111">
        <f>'Supply planning data'!AM573</f>
        <v>0</v>
      </c>
      <c r="AL575" s="111">
        <f>'Supply planning data'!AN573</f>
        <v>0</v>
      </c>
      <c r="AM575" s="327" t="str">
        <f>'Supply planning data'!AO573</f>
        <v/>
      </c>
    </row>
    <row r="576" spans="1:39" hidden="1" x14ac:dyDescent="0.25">
      <c r="A576" s="104" t="str">
        <f>'Supply planning data'!C574</f>
        <v/>
      </c>
      <c r="B576" s="298">
        <f>'Supply planning data'!D574</f>
        <v>45323</v>
      </c>
      <c r="C576" s="105" t="str">
        <f>'Supply planning data'!E574</f>
        <v>No</v>
      </c>
      <c r="D576" s="105">
        <f>'Supply planning data'!F574</f>
        <v>0</v>
      </c>
      <c r="E576" s="320">
        <f>'Supply planning data'!G574</f>
        <v>0</v>
      </c>
      <c r="F576" s="320">
        <f>'Supply planning data'!H574</f>
        <v>0</v>
      </c>
      <c r="G576" s="320">
        <f>'Supply planning data'!I574</f>
        <v>0</v>
      </c>
      <c r="H576" s="105">
        <f>'Supply planning data'!J574</f>
        <v>0</v>
      </c>
      <c r="I576" s="320">
        <f>'Supply planning data'!K574</f>
        <v>0</v>
      </c>
      <c r="J576" s="177" t="str">
        <f>'Supply planning data'!L574</f>
        <v/>
      </c>
      <c r="K576" s="105">
        <f>'Supply planning data'!M574</f>
        <v>0</v>
      </c>
      <c r="L576" s="321">
        <f>'Supply planning data'!N574+'Supply planning data'!P574</f>
        <v>0</v>
      </c>
      <c r="M576" s="342">
        <f>'Supply planning data'!O574</f>
        <v>0</v>
      </c>
      <c r="N576" s="321">
        <f>'Supply planning data'!P574</f>
        <v>0</v>
      </c>
      <c r="O576" s="342">
        <f>'Supply planning data'!Q574</f>
        <v>0</v>
      </c>
      <c r="P576" s="111">
        <f>'Supply planning data'!R574</f>
        <v>0</v>
      </c>
      <c r="Q576" s="111">
        <f>'Supply planning data'!S574</f>
        <v>0</v>
      </c>
      <c r="R576" s="111">
        <f>'Supply planning data'!T574</f>
        <v>0</v>
      </c>
      <c r="S576" s="111">
        <f>'Supply planning data'!U574</f>
        <v>0</v>
      </c>
      <c r="T576" s="111">
        <f>'Supply planning data'!V574</f>
        <v>0</v>
      </c>
      <c r="U576" s="327" t="str">
        <f>'Supply planning data'!W574</f>
        <v/>
      </c>
      <c r="V576" s="111">
        <f>'Supply planning data'!X574</f>
        <v>0</v>
      </c>
      <c r="W576" s="321">
        <f>'Supply planning data'!Y574</f>
        <v>0</v>
      </c>
      <c r="X576" s="329">
        <f>'Supply planning data'!Z574</f>
        <v>0</v>
      </c>
      <c r="Y576" s="111">
        <f>'Supply planning data'!AA574</f>
        <v>0</v>
      </c>
      <c r="Z576" s="111">
        <f>'Supply planning data'!AB574</f>
        <v>0</v>
      </c>
      <c r="AA576" s="111">
        <f>'Supply planning data'!AC574</f>
        <v>0</v>
      </c>
      <c r="AB576" s="111">
        <f>'Supply planning data'!AD574</f>
        <v>0</v>
      </c>
      <c r="AC576" s="111">
        <f>'Supply planning data'!AE574</f>
        <v>0</v>
      </c>
      <c r="AD576" s="327" t="str">
        <f>'Supply planning data'!AF574</f>
        <v/>
      </c>
      <c r="AE576" s="111">
        <f>'Supply planning data'!AG574</f>
        <v>0</v>
      </c>
      <c r="AF576" s="321">
        <f>'Supply planning data'!AH574</f>
        <v>0</v>
      </c>
      <c r="AG576" s="349">
        <f>'Supply planning data'!AI574</f>
        <v>0</v>
      </c>
      <c r="AH576" s="111">
        <f>'Supply planning data'!AJ574</f>
        <v>0</v>
      </c>
      <c r="AI576" s="111">
        <f>'Supply planning data'!AK574</f>
        <v>0</v>
      </c>
      <c r="AJ576" s="111">
        <f>'Supply planning data'!AL574</f>
        <v>0</v>
      </c>
      <c r="AK576" s="111">
        <f>'Supply planning data'!AM574</f>
        <v>0</v>
      </c>
      <c r="AL576" s="111">
        <f>'Supply planning data'!AN574</f>
        <v>0</v>
      </c>
      <c r="AM576" s="327" t="str">
        <f>'Supply planning data'!AO574</f>
        <v/>
      </c>
    </row>
    <row r="577" spans="1:39" x14ac:dyDescent="0.25">
      <c r="A577" s="90" t="str">
        <f>'Supply planning data'!C575</f>
        <v>AstraZeneca</v>
      </c>
      <c r="B577" s="296">
        <f>'Supply planning data'!D575</f>
        <v>45352</v>
      </c>
      <c r="C577" s="92" t="str">
        <f>'Supply planning data'!E575</f>
        <v>Yes</v>
      </c>
      <c r="D577" s="92">
        <f>'Supply planning data'!F575</f>
        <v>0</v>
      </c>
      <c r="E577" s="316">
        <f>'Supply planning data'!G575</f>
        <v>0</v>
      </c>
      <c r="F577" s="316">
        <f>'Supply planning data'!H575</f>
        <v>0</v>
      </c>
      <c r="G577" s="316">
        <f>'Supply planning data'!I575</f>
        <v>0</v>
      </c>
      <c r="H577" s="92">
        <f>'Supply planning data'!J575</f>
        <v>0</v>
      </c>
      <c r="I577" s="316">
        <f>'Supply planning data'!K575</f>
        <v>0</v>
      </c>
      <c r="J577" s="174" t="str">
        <f>'Supply planning data'!L575</f>
        <v/>
      </c>
      <c r="K577" s="92">
        <f>'Supply planning data'!M575</f>
        <v>0</v>
      </c>
      <c r="L577" s="316">
        <f>'Supply planning data'!N575+'Supply planning data'!P575</f>
        <v>0</v>
      </c>
      <c r="M577" s="343">
        <f>'Supply planning data'!O575</f>
        <v>0</v>
      </c>
      <c r="N577" s="316">
        <f>'Supply planning data'!P575</f>
        <v>0</v>
      </c>
      <c r="O577" s="343">
        <f>'Supply planning data'!Q575</f>
        <v>0</v>
      </c>
      <c r="P577" s="92">
        <f>'Supply planning data'!R575</f>
        <v>0</v>
      </c>
      <c r="Q577" s="92">
        <f>'Supply planning data'!S575</f>
        <v>0</v>
      </c>
      <c r="R577" s="92">
        <f>'Supply planning data'!T575</f>
        <v>0</v>
      </c>
      <c r="S577" s="92">
        <f>'Supply planning data'!U575</f>
        <v>0</v>
      </c>
      <c r="T577" s="92">
        <f>'Supply planning data'!V575</f>
        <v>0</v>
      </c>
      <c r="U577" s="324" t="str">
        <f>'Supply planning data'!W575</f>
        <v/>
      </c>
      <c r="V577" s="92">
        <f>'Supply planning data'!X575</f>
        <v>154701</v>
      </c>
      <c r="W577" s="316">
        <f>'Supply planning data'!Y575</f>
        <v>0</v>
      </c>
      <c r="X577" s="328">
        <f>'Supply planning data'!Z575</f>
        <v>0</v>
      </c>
      <c r="Y577" s="92">
        <f>'Supply planning data'!AA575</f>
        <v>0</v>
      </c>
      <c r="Z577" s="92">
        <f>'Supply planning data'!AB575</f>
        <v>0</v>
      </c>
      <c r="AA577" s="92">
        <f>'Supply planning data'!AC575</f>
        <v>0</v>
      </c>
      <c r="AB577" s="92">
        <f>'Supply planning data'!AD575</f>
        <v>0</v>
      </c>
      <c r="AC577" s="92">
        <f>'Supply planning data'!AE575</f>
        <v>154701</v>
      </c>
      <c r="AD577" s="324" t="str">
        <f>'Supply planning data'!AF575</f>
        <v/>
      </c>
      <c r="AE577" s="92">
        <f>'Supply planning data'!AG575</f>
        <v>0</v>
      </c>
      <c r="AF577" s="316">
        <f>'Supply planning data'!AH575</f>
        <v>0</v>
      </c>
      <c r="AG577" s="174">
        <f>'Supply planning data'!AI575</f>
        <v>0</v>
      </c>
      <c r="AH577" s="92">
        <f>'Supply planning data'!AJ575</f>
        <v>0</v>
      </c>
      <c r="AI577" s="92">
        <f>'Supply planning data'!AK575</f>
        <v>0</v>
      </c>
      <c r="AJ577" s="92">
        <f>'Supply planning data'!AL575</f>
        <v>0</v>
      </c>
      <c r="AK577" s="92">
        <f>'Supply planning data'!AM575</f>
        <v>0</v>
      </c>
      <c r="AL577" s="92">
        <f>'Supply planning data'!AN575</f>
        <v>0</v>
      </c>
      <c r="AM577" s="324" t="str">
        <f>'Supply planning data'!AO575</f>
        <v/>
      </c>
    </row>
    <row r="578" spans="1:39" x14ac:dyDescent="0.25">
      <c r="A578" s="90" t="str">
        <f>'Supply planning data'!C576</f>
        <v>Jansen</v>
      </c>
      <c r="B578" s="296">
        <f>'Supply planning data'!D576</f>
        <v>45352</v>
      </c>
      <c r="C578" s="92" t="str">
        <f>'Supply planning data'!E576</f>
        <v>Yes</v>
      </c>
      <c r="D578" s="92">
        <f>'Supply planning data'!F576</f>
        <v>1871200</v>
      </c>
      <c r="E578" s="316">
        <f>'Supply planning data'!G576</f>
        <v>0</v>
      </c>
      <c r="F578" s="317">
        <f>'Supply planning data'!H576</f>
        <v>0</v>
      </c>
      <c r="G578" s="317">
        <f>'Supply planning data'!I576</f>
        <v>0</v>
      </c>
      <c r="H578" s="98">
        <f>'Supply planning data'!J576</f>
        <v>0</v>
      </c>
      <c r="I578" s="317">
        <f>'Supply planning data'!K576</f>
        <v>0</v>
      </c>
      <c r="J578" s="175" t="str">
        <f>'Supply planning data'!L576</f>
        <v/>
      </c>
      <c r="K578" s="98">
        <f>'Supply planning data'!M576</f>
        <v>0</v>
      </c>
      <c r="L578" s="317">
        <f>'Supply planning data'!N576+'Supply planning data'!P576</f>
        <v>0</v>
      </c>
      <c r="M578" s="339">
        <f>'Supply planning data'!O576</f>
        <v>0</v>
      </c>
      <c r="N578" s="317">
        <f>'Supply planning data'!P576</f>
        <v>0</v>
      </c>
      <c r="O578" s="339">
        <f>'Supply planning data'!Q576</f>
        <v>0</v>
      </c>
      <c r="P578" s="98">
        <f>'Supply planning data'!R576</f>
        <v>0</v>
      </c>
      <c r="Q578" s="98">
        <f>'Supply planning data'!S576</f>
        <v>0</v>
      </c>
      <c r="R578" s="98">
        <f>'Supply planning data'!T576</f>
        <v>387547</v>
      </c>
      <c r="S578" s="98">
        <f>'Supply planning data'!U576</f>
        <v>0</v>
      </c>
      <c r="T578" s="98">
        <f>'Supply planning data'!V576</f>
        <v>1871200</v>
      </c>
      <c r="U578" s="325" t="str">
        <f>'Supply planning data'!W576</f>
        <v/>
      </c>
      <c r="V578" s="98">
        <f>'Supply planning data'!X576</f>
        <v>1311200</v>
      </c>
      <c r="W578" s="317">
        <f>'Supply planning data'!Y576</f>
        <v>0</v>
      </c>
      <c r="X578" s="328">
        <f>'Supply planning data'!Z576</f>
        <v>0</v>
      </c>
      <c r="Y578" s="98">
        <f>'Supply planning data'!AA576</f>
        <v>0</v>
      </c>
      <c r="Z578" s="98">
        <f>'Supply planning data'!AB576</f>
        <v>0</v>
      </c>
      <c r="AA578" s="98">
        <f>'Supply planning data'!AC576</f>
        <v>0</v>
      </c>
      <c r="AB578" s="98">
        <f>'Supply planning data'!AD576</f>
        <v>0</v>
      </c>
      <c r="AC578" s="98">
        <f>'Supply planning data'!AE576</f>
        <v>1311200</v>
      </c>
      <c r="AD578" s="325" t="str">
        <f>'Supply planning data'!AF576</f>
        <v/>
      </c>
      <c r="AE578" s="98">
        <f>'Supply planning data'!AG576</f>
        <v>1871200</v>
      </c>
      <c r="AF578" s="317">
        <f>'Supply planning data'!AH576</f>
        <v>0</v>
      </c>
      <c r="AG578" s="175">
        <f>'Supply planning data'!AI576</f>
        <v>0</v>
      </c>
      <c r="AH578" s="98">
        <f>'Supply planning data'!AJ576</f>
        <v>0</v>
      </c>
      <c r="AI578" s="98">
        <f>'Supply planning data'!AK576</f>
        <v>0</v>
      </c>
      <c r="AJ578" s="98">
        <f>'Supply planning data'!AL576</f>
        <v>387547</v>
      </c>
      <c r="AK578" s="98">
        <f>'Supply planning data'!AM576</f>
        <v>0</v>
      </c>
      <c r="AL578" s="98">
        <f>'Supply planning data'!AN576</f>
        <v>1871200</v>
      </c>
      <c r="AM578" s="325" t="str">
        <f>'Supply planning data'!AO576</f>
        <v/>
      </c>
    </row>
    <row r="579" spans="1:39" x14ac:dyDescent="0.25">
      <c r="A579" s="90" t="str">
        <f>'Supply planning data'!C577</f>
        <v>Moderna</v>
      </c>
      <c r="B579" s="296">
        <f>'Supply planning data'!D577</f>
        <v>45352</v>
      </c>
      <c r="C579" s="92" t="str">
        <f>'Supply planning data'!E577</f>
        <v>No</v>
      </c>
      <c r="D579" s="92">
        <f>'Supply planning data'!F577</f>
        <v>0</v>
      </c>
      <c r="E579" s="316">
        <f>'Supply planning data'!G577</f>
        <v>0</v>
      </c>
      <c r="F579" s="317">
        <f>'Supply planning data'!H577</f>
        <v>0</v>
      </c>
      <c r="G579" s="317">
        <f>'Supply planning data'!I577</f>
        <v>0</v>
      </c>
      <c r="H579" s="98">
        <f>'Supply planning data'!J577</f>
        <v>0</v>
      </c>
      <c r="I579" s="317">
        <f>'Supply planning data'!K577</f>
        <v>0</v>
      </c>
      <c r="J579" s="175" t="str">
        <f>'Supply planning data'!L577</f>
        <v/>
      </c>
      <c r="K579" s="98">
        <f>'Supply planning data'!M577</f>
        <v>0</v>
      </c>
      <c r="L579" s="317">
        <f>'Supply planning data'!N577+'Supply planning data'!P577</f>
        <v>0</v>
      </c>
      <c r="M579" s="339">
        <f>'Supply planning data'!O577</f>
        <v>0</v>
      </c>
      <c r="N579" s="317">
        <f>'Supply planning data'!P577</f>
        <v>0</v>
      </c>
      <c r="O579" s="339">
        <f>'Supply planning data'!Q577</f>
        <v>0</v>
      </c>
      <c r="P579" s="98">
        <f>'Supply planning data'!R577</f>
        <v>0</v>
      </c>
      <c r="Q579" s="98">
        <f>'Supply planning data'!S577</f>
        <v>0</v>
      </c>
      <c r="R579" s="98">
        <f>'Supply planning data'!T577</f>
        <v>0</v>
      </c>
      <c r="S579" s="98">
        <f>'Supply planning data'!U577</f>
        <v>0</v>
      </c>
      <c r="T579" s="98">
        <f>'Supply planning data'!V577</f>
        <v>0</v>
      </c>
      <c r="U579" s="325" t="str">
        <f>'Supply planning data'!W577</f>
        <v/>
      </c>
      <c r="V579" s="98">
        <f>'Supply planning data'!X577</f>
        <v>0</v>
      </c>
      <c r="W579" s="317">
        <f>'Supply planning data'!Y577</f>
        <v>0</v>
      </c>
      <c r="X579" s="328">
        <f>'Supply planning data'!Z577</f>
        <v>0</v>
      </c>
      <c r="Y579" s="98">
        <f>'Supply planning data'!AA577</f>
        <v>0</v>
      </c>
      <c r="Z579" s="98">
        <f>'Supply planning data'!AB577</f>
        <v>0</v>
      </c>
      <c r="AA579" s="98">
        <f>'Supply planning data'!AC577</f>
        <v>0</v>
      </c>
      <c r="AB579" s="98">
        <f>'Supply planning data'!AD577</f>
        <v>0</v>
      </c>
      <c r="AC579" s="98">
        <f>'Supply planning data'!AE577</f>
        <v>0</v>
      </c>
      <c r="AD579" s="325" t="str">
        <f>'Supply planning data'!AF577</f>
        <v/>
      </c>
      <c r="AE579" s="98">
        <f>'Supply planning data'!AG577</f>
        <v>0</v>
      </c>
      <c r="AF579" s="317">
        <f>'Supply planning data'!AH577</f>
        <v>0</v>
      </c>
      <c r="AG579" s="175">
        <f>'Supply planning data'!AI577</f>
        <v>0</v>
      </c>
      <c r="AH579" s="98">
        <f>'Supply planning data'!AJ577</f>
        <v>0</v>
      </c>
      <c r="AI579" s="98">
        <f>'Supply planning data'!AK577</f>
        <v>0</v>
      </c>
      <c r="AJ579" s="98">
        <f>'Supply planning data'!AL577</f>
        <v>0</v>
      </c>
      <c r="AK579" s="98">
        <f>'Supply planning data'!AM577</f>
        <v>0</v>
      </c>
      <c r="AL579" s="98">
        <f>'Supply planning data'!AN577</f>
        <v>0</v>
      </c>
      <c r="AM579" s="325" t="str">
        <f>'Supply planning data'!AO577</f>
        <v/>
      </c>
    </row>
    <row r="580" spans="1:39" x14ac:dyDescent="0.25">
      <c r="A580" s="90" t="str">
        <f>'Supply planning data'!C578</f>
        <v>Pfizer</v>
      </c>
      <c r="B580" s="296">
        <f>'Supply planning data'!D578</f>
        <v>45352</v>
      </c>
      <c r="C580" s="92" t="str">
        <f>'Supply planning data'!E578</f>
        <v>Yes</v>
      </c>
      <c r="D580" s="92">
        <f>'Supply planning data'!F578</f>
        <v>3000000</v>
      </c>
      <c r="E580" s="316">
        <f>'Supply planning data'!G578</f>
        <v>0</v>
      </c>
      <c r="F580" s="317">
        <f>'Supply planning data'!H578</f>
        <v>0</v>
      </c>
      <c r="G580" s="317">
        <f>'Supply planning data'!I578</f>
        <v>0</v>
      </c>
      <c r="H580" s="98">
        <f>'Supply planning data'!J578</f>
        <v>0</v>
      </c>
      <c r="I580" s="317">
        <f>'Supply planning data'!K578</f>
        <v>0</v>
      </c>
      <c r="J580" s="175" t="str">
        <f>'Supply planning data'!L578</f>
        <v/>
      </c>
      <c r="K580" s="98">
        <f>'Supply planning data'!M578</f>
        <v>0</v>
      </c>
      <c r="L580" s="317">
        <f>'Supply planning data'!N578+'Supply planning data'!P578</f>
        <v>0</v>
      </c>
      <c r="M580" s="339">
        <f>'Supply planning data'!O578</f>
        <v>0</v>
      </c>
      <c r="N580" s="317">
        <f>'Supply planning data'!P578</f>
        <v>0</v>
      </c>
      <c r="O580" s="339">
        <f>'Supply planning data'!Q578</f>
        <v>0</v>
      </c>
      <c r="P580" s="98">
        <f>'Supply planning data'!R578</f>
        <v>0</v>
      </c>
      <c r="Q580" s="98">
        <f>'Supply planning data'!S578</f>
        <v>0</v>
      </c>
      <c r="R580" s="98">
        <f>'Supply planning data'!T578</f>
        <v>110538</v>
      </c>
      <c r="S580" s="98">
        <f>'Supply planning data'!U578</f>
        <v>0</v>
      </c>
      <c r="T580" s="98">
        <f>'Supply planning data'!V578</f>
        <v>3000000</v>
      </c>
      <c r="U580" s="325" t="str">
        <f>'Supply planning data'!W578</f>
        <v/>
      </c>
      <c r="V580" s="98">
        <f>'Supply planning data'!X578</f>
        <v>2440000</v>
      </c>
      <c r="W580" s="317">
        <f>'Supply planning data'!Y578</f>
        <v>0</v>
      </c>
      <c r="X580" s="328">
        <f>'Supply planning data'!Z578</f>
        <v>0</v>
      </c>
      <c r="Y580" s="98">
        <f>'Supply planning data'!AA578</f>
        <v>0</v>
      </c>
      <c r="Z580" s="98">
        <f>'Supply planning data'!AB578</f>
        <v>0</v>
      </c>
      <c r="AA580" s="98">
        <f>'Supply planning data'!AC578</f>
        <v>0</v>
      </c>
      <c r="AB580" s="98">
        <f>'Supply planning data'!AD578</f>
        <v>0</v>
      </c>
      <c r="AC580" s="98">
        <f>'Supply planning data'!AE578</f>
        <v>2440000</v>
      </c>
      <c r="AD580" s="325" t="str">
        <f>'Supply planning data'!AF578</f>
        <v/>
      </c>
      <c r="AE580" s="98">
        <f>'Supply planning data'!AG578</f>
        <v>3000000</v>
      </c>
      <c r="AF580" s="317">
        <f>'Supply planning data'!AH578</f>
        <v>0</v>
      </c>
      <c r="AG580" s="175">
        <f>'Supply planning data'!AI578</f>
        <v>0</v>
      </c>
      <c r="AH580" s="98">
        <f>'Supply planning data'!AJ578</f>
        <v>0</v>
      </c>
      <c r="AI580" s="98">
        <f>'Supply planning data'!AK578</f>
        <v>0</v>
      </c>
      <c r="AJ580" s="98">
        <f>'Supply planning data'!AL578</f>
        <v>110538</v>
      </c>
      <c r="AK580" s="98">
        <f>'Supply planning data'!AM578</f>
        <v>0</v>
      </c>
      <c r="AL580" s="98">
        <f>'Supply planning data'!AN578</f>
        <v>3000000</v>
      </c>
      <c r="AM580" s="325" t="str">
        <f>'Supply planning data'!AO578</f>
        <v/>
      </c>
    </row>
    <row r="581" spans="1:39" x14ac:dyDescent="0.25">
      <c r="A581" s="90" t="str">
        <f>'Supply planning data'!C579</f>
        <v>Sinovac</v>
      </c>
      <c r="B581" s="296">
        <f>'Supply planning data'!D579</f>
        <v>45352</v>
      </c>
      <c r="C581" s="92" t="str">
        <f>'Supply planning data'!E579</f>
        <v>No</v>
      </c>
      <c r="D581" s="92">
        <f>'Supply planning data'!F579</f>
        <v>0</v>
      </c>
      <c r="E581" s="316">
        <f>'Supply planning data'!G579</f>
        <v>0</v>
      </c>
      <c r="F581" s="317">
        <f>'Supply planning data'!H579</f>
        <v>0</v>
      </c>
      <c r="G581" s="317">
        <f>'Supply planning data'!I579</f>
        <v>0</v>
      </c>
      <c r="H581" s="98">
        <f>'Supply planning data'!J579</f>
        <v>0</v>
      </c>
      <c r="I581" s="317">
        <f>'Supply planning data'!K579</f>
        <v>0</v>
      </c>
      <c r="J581" s="175" t="str">
        <f>'Supply planning data'!L579</f>
        <v/>
      </c>
      <c r="K581" s="98">
        <f>'Supply planning data'!M579</f>
        <v>0</v>
      </c>
      <c r="L581" s="317">
        <f>'Supply planning data'!N579+'Supply planning data'!P579</f>
        <v>0</v>
      </c>
      <c r="M581" s="339">
        <f>'Supply planning data'!O579</f>
        <v>0</v>
      </c>
      <c r="N581" s="317">
        <f>'Supply planning data'!P579</f>
        <v>0</v>
      </c>
      <c r="O581" s="339">
        <f>'Supply planning data'!Q579</f>
        <v>0</v>
      </c>
      <c r="P581" s="98">
        <f>'Supply planning data'!R579</f>
        <v>0</v>
      </c>
      <c r="Q581" s="98">
        <f>'Supply planning data'!S579</f>
        <v>0</v>
      </c>
      <c r="R581" s="98">
        <f>'Supply planning data'!T579</f>
        <v>0</v>
      </c>
      <c r="S581" s="98">
        <f>'Supply planning data'!U579</f>
        <v>0</v>
      </c>
      <c r="T581" s="98">
        <f>'Supply planning data'!V579</f>
        <v>0</v>
      </c>
      <c r="U581" s="325" t="str">
        <f>'Supply planning data'!W579</f>
        <v/>
      </c>
      <c r="V581" s="98">
        <f>'Supply planning data'!X579</f>
        <v>0</v>
      </c>
      <c r="W581" s="317">
        <f>'Supply planning data'!Y579</f>
        <v>0</v>
      </c>
      <c r="X581" s="328">
        <f>'Supply planning data'!Z579</f>
        <v>0</v>
      </c>
      <c r="Y581" s="98">
        <f>'Supply planning data'!AA579</f>
        <v>0</v>
      </c>
      <c r="Z581" s="98">
        <f>'Supply planning data'!AB579</f>
        <v>0</v>
      </c>
      <c r="AA581" s="98">
        <f>'Supply planning data'!AC579</f>
        <v>0</v>
      </c>
      <c r="AB581" s="98">
        <f>'Supply planning data'!AD579</f>
        <v>0</v>
      </c>
      <c r="AC581" s="98">
        <f>'Supply planning data'!AE579</f>
        <v>0</v>
      </c>
      <c r="AD581" s="325" t="str">
        <f>'Supply planning data'!AF579</f>
        <v/>
      </c>
      <c r="AE581" s="98">
        <f>'Supply planning data'!AG579</f>
        <v>0</v>
      </c>
      <c r="AF581" s="317">
        <f>'Supply planning data'!AH579</f>
        <v>0</v>
      </c>
      <c r="AG581" s="175">
        <f>'Supply planning data'!AI579</f>
        <v>0</v>
      </c>
      <c r="AH581" s="98">
        <f>'Supply planning data'!AJ579</f>
        <v>0</v>
      </c>
      <c r="AI581" s="98">
        <f>'Supply planning data'!AK579</f>
        <v>0</v>
      </c>
      <c r="AJ581" s="98">
        <f>'Supply planning data'!AL579</f>
        <v>0</v>
      </c>
      <c r="AK581" s="98">
        <f>'Supply planning data'!AM579</f>
        <v>0</v>
      </c>
      <c r="AL581" s="98">
        <f>'Supply planning data'!AN579</f>
        <v>0</v>
      </c>
      <c r="AM581" s="325" t="str">
        <f>'Supply planning data'!AO579</f>
        <v/>
      </c>
    </row>
    <row r="582" spans="1:39" hidden="1" x14ac:dyDescent="0.25">
      <c r="A582" s="90" t="str">
        <f>'Supply planning data'!C580</f>
        <v/>
      </c>
      <c r="B582" s="296">
        <f>'Supply planning data'!D580</f>
        <v>45352</v>
      </c>
      <c r="C582" s="92" t="str">
        <f>'Supply planning data'!E580</f>
        <v>No</v>
      </c>
      <c r="D582" s="92">
        <f>'Supply planning data'!F580</f>
        <v>0</v>
      </c>
      <c r="E582" s="316">
        <f>'Supply planning data'!G580</f>
        <v>0</v>
      </c>
      <c r="F582" s="317">
        <f>'Supply planning data'!H580</f>
        <v>0</v>
      </c>
      <c r="G582" s="317">
        <f>'Supply planning data'!I580</f>
        <v>0</v>
      </c>
      <c r="H582" s="98">
        <f>'Supply planning data'!J580</f>
        <v>0</v>
      </c>
      <c r="I582" s="317">
        <f>'Supply planning data'!K580</f>
        <v>0</v>
      </c>
      <c r="J582" s="175" t="str">
        <f>'Supply planning data'!L580</f>
        <v/>
      </c>
      <c r="K582" s="98">
        <f>'Supply planning data'!M580</f>
        <v>0</v>
      </c>
      <c r="L582" s="317">
        <f>'Supply planning data'!N580+'Supply planning data'!P580</f>
        <v>0</v>
      </c>
      <c r="M582" s="339">
        <f>'Supply planning data'!O580</f>
        <v>0</v>
      </c>
      <c r="N582" s="317">
        <f>'Supply planning data'!P580</f>
        <v>0</v>
      </c>
      <c r="O582" s="339">
        <f>'Supply planning data'!Q580</f>
        <v>0</v>
      </c>
      <c r="P582" s="98">
        <f>'Supply planning data'!R580</f>
        <v>0</v>
      </c>
      <c r="Q582" s="98">
        <f>'Supply planning data'!S580</f>
        <v>0</v>
      </c>
      <c r="R582" s="98">
        <f>'Supply planning data'!T580</f>
        <v>0</v>
      </c>
      <c r="S582" s="98">
        <f>'Supply planning data'!U580</f>
        <v>0</v>
      </c>
      <c r="T582" s="98">
        <f>'Supply planning data'!V580</f>
        <v>0</v>
      </c>
      <c r="U582" s="325" t="str">
        <f>'Supply planning data'!W580</f>
        <v/>
      </c>
      <c r="V582" s="98">
        <f>'Supply planning data'!X580</f>
        <v>0</v>
      </c>
      <c r="W582" s="317">
        <f>'Supply planning data'!Y580</f>
        <v>0</v>
      </c>
      <c r="X582" s="328">
        <f>'Supply planning data'!Z580</f>
        <v>0</v>
      </c>
      <c r="Y582" s="98">
        <f>'Supply planning data'!AA580</f>
        <v>0</v>
      </c>
      <c r="Z582" s="98">
        <f>'Supply planning data'!AB580</f>
        <v>0</v>
      </c>
      <c r="AA582" s="98">
        <f>'Supply planning data'!AC580</f>
        <v>0</v>
      </c>
      <c r="AB582" s="98">
        <f>'Supply planning data'!AD580</f>
        <v>0</v>
      </c>
      <c r="AC582" s="98">
        <f>'Supply planning data'!AE580</f>
        <v>0</v>
      </c>
      <c r="AD582" s="325" t="str">
        <f>'Supply planning data'!AF580</f>
        <v/>
      </c>
      <c r="AE582" s="98">
        <f>'Supply planning data'!AG580</f>
        <v>0</v>
      </c>
      <c r="AF582" s="317">
        <f>'Supply planning data'!AH580</f>
        <v>0</v>
      </c>
      <c r="AG582" s="175">
        <f>'Supply planning data'!AI580</f>
        <v>0</v>
      </c>
      <c r="AH582" s="98">
        <f>'Supply planning data'!AJ580</f>
        <v>0</v>
      </c>
      <c r="AI582" s="98">
        <f>'Supply planning data'!AK580</f>
        <v>0</v>
      </c>
      <c r="AJ582" s="98">
        <f>'Supply planning data'!AL580</f>
        <v>0</v>
      </c>
      <c r="AK582" s="98">
        <f>'Supply planning data'!AM580</f>
        <v>0</v>
      </c>
      <c r="AL582" s="98">
        <f>'Supply planning data'!AN580</f>
        <v>0</v>
      </c>
      <c r="AM582" s="325" t="str">
        <f>'Supply planning data'!AO580</f>
        <v/>
      </c>
    </row>
    <row r="583" spans="1:39" hidden="1" x14ac:dyDescent="0.25">
      <c r="A583" s="90" t="str">
        <f>'Supply planning data'!C581</f>
        <v/>
      </c>
      <c r="B583" s="296">
        <f>'Supply planning data'!D581</f>
        <v>45352</v>
      </c>
      <c r="C583" s="92" t="str">
        <f>'Supply planning data'!E581</f>
        <v>No</v>
      </c>
      <c r="D583" s="92">
        <f>'Supply planning data'!F581</f>
        <v>0</v>
      </c>
      <c r="E583" s="316">
        <f>'Supply planning data'!G581</f>
        <v>0</v>
      </c>
      <c r="F583" s="317">
        <f>'Supply planning data'!H581</f>
        <v>0</v>
      </c>
      <c r="G583" s="317">
        <f>'Supply planning data'!I581</f>
        <v>0</v>
      </c>
      <c r="H583" s="98">
        <f>'Supply planning data'!J581</f>
        <v>0</v>
      </c>
      <c r="I583" s="317">
        <f>'Supply planning data'!K581</f>
        <v>0</v>
      </c>
      <c r="J583" s="175" t="str">
        <f>'Supply planning data'!L581</f>
        <v/>
      </c>
      <c r="K583" s="98">
        <f>'Supply planning data'!M581</f>
        <v>0</v>
      </c>
      <c r="L583" s="317">
        <f>'Supply planning data'!N581+'Supply planning data'!P581</f>
        <v>0</v>
      </c>
      <c r="M583" s="339">
        <f>'Supply planning data'!O581</f>
        <v>0</v>
      </c>
      <c r="N583" s="317">
        <f>'Supply planning data'!P581</f>
        <v>0</v>
      </c>
      <c r="O583" s="339">
        <f>'Supply planning data'!Q581</f>
        <v>0</v>
      </c>
      <c r="P583" s="98">
        <f>'Supply planning data'!R581</f>
        <v>0</v>
      </c>
      <c r="Q583" s="98">
        <f>'Supply planning data'!S581</f>
        <v>0</v>
      </c>
      <c r="R583" s="98">
        <f>'Supply planning data'!T581</f>
        <v>0</v>
      </c>
      <c r="S583" s="98">
        <f>'Supply planning data'!U581</f>
        <v>0</v>
      </c>
      <c r="T583" s="98">
        <f>'Supply planning data'!V581</f>
        <v>0</v>
      </c>
      <c r="U583" s="325" t="str">
        <f>'Supply planning data'!W581</f>
        <v/>
      </c>
      <c r="V583" s="98">
        <f>'Supply planning data'!X581</f>
        <v>0</v>
      </c>
      <c r="W583" s="317">
        <f>'Supply planning data'!Y581</f>
        <v>0</v>
      </c>
      <c r="X583" s="328">
        <f>'Supply planning data'!Z581</f>
        <v>0</v>
      </c>
      <c r="Y583" s="98">
        <f>'Supply planning data'!AA581</f>
        <v>0</v>
      </c>
      <c r="Z583" s="98">
        <f>'Supply planning data'!AB581</f>
        <v>0</v>
      </c>
      <c r="AA583" s="98">
        <f>'Supply planning data'!AC581</f>
        <v>0</v>
      </c>
      <c r="AB583" s="98">
        <f>'Supply planning data'!AD581</f>
        <v>0</v>
      </c>
      <c r="AC583" s="98">
        <f>'Supply planning data'!AE581</f>
        <v>0</v>
      </c>
      <c r="AD583" s="325" t="str">
        <f>'Supply planning data'!AF581</f>
        <v/>
      </c>
      <c r="AE583" s="98">
        <f>'Supply planning data'!AG581</f>
        <v>0</v>
      </c>
      <c r="AF583" s="317">
        <f>'Supply planning data'!AH581</f>
        <v>0</v>
      </c>
      <c r="AG583" s="175">
        <f>'Supply planning data'!AI581</f>
        <v>0</v>
      </c>
      <c r="AH583" s="98">
        <f>'Supply planning data'!AJ581</f>
        <v>0</v>
      </c>
      <c r="AI583" s="98">
        <f>'Supply planning data'!AK581</f>
        <v>0</v>
      </c>
      <c r="AJ583" s="98">
        <f>'Supply planning data'!AL581</f>
        <v>0</v>
      </c>
      <c r="AK583" s="98">
        <f>'Supply planning data'!AM581</f>
        <v>0</v>
      </c>
      <c r="AL583" s="98">
        <f>'Supply planning data'!AN581</f>
        <v>0</v>
      </c>
      <c r="AM583" s="325" t="str">
        <f>'Supply planning data'!AO581</f>
        <v/>
      </c>
    </row>
    <row r="584" spans="1:39" hidden="1" x14ac:dyDescent="0.25">
      <c r="A584" s="90" t="str">
        <f>'Supply planning data'!C582</f>
        <v/>
      </c>
      <c r="B584" s="296">
        <f>'Supply planning data'!D582</f>
        <v>45352</v>
      </c>
      <c r="C584" s="92" t="str">
        <f>'Supply planning data'!E582</f>
        <v>No</v>
      </c>
      <c r="D584" s="92">
        <f>'Supply planning data'!F582</f>
        <v>0</v>
      </c>
      <c r="E584" s="316">
        <f>'Supply planning data'!G582</f>
        <v>0</v>
      </c>
      <c r="F584" s="317">
        <f>'Supply planning data'!H582</f>
        <v>0</v>
      </c>
      <c r="G584" s="317">
        <f>'Supply planning data'!I582</f>
        <v>0</v>
      </c>
      <c r="H584" s="98">
        <f>'Supply planning data'!J582</f>
        <v>0</v>
      </c>
      <c r="I584" s="317">
        <f>'Supply planning data'!K582</f>
        <v>0</v>
      </c>
      <c r="J584" s="175" t="str">
        <f>'Supply planning data'!L582</f>
        <v/>
      </c>
      <c r="K584" s="98">
        <f>'Supply planning data'!M582</f>
        <v>0</v>
      </c>
      <c r="L584" s="317">
        <f>'Supply planning data'!N582+'Supply planning data'!P582</f>
        <v>0</v>
      </c>
      <c r="M584" s="339">
        <f>'Supply planning data'!O582</f>
        <v>0</v>
      </c>
      <c r="N584" s="317">
        <f>'Supply planning data'!P582</f>
        <v>0</v>
      </c>
      <c r="O584" s="339">
        <f>'Supply planning data'!Q582</f>
        <v>0</v>
      </c>
      <c r="P584" s="98">
        <f>'Supply planning data'!R582</f>
        <v>0</v>
      </c>
      <c r="Q584" s="98">
        <f>'Supply planning data'!S582</f>
        <v>0</v>
      </c>
      <c r="R584" s="98">
        <f>'Supply planning data'!T582</f>
        <v>0</v>
      </c>
      <c r="S584" s="98">
        <f>'Supply planning data'!U582</f>
        <v>0</v>
      </c>
      <c r="T584" s="98">
        <f>'Supply planning data'!V582</f>
        <v>0</v>
      </c>
      <c r="U584" s="325" t="str">
        <f>'Supply planning data'!W582</f>
        <v/>
      </c>
      <c r="V584" s="98">
        <f>'Supply planning data'!X582</f>
        <v>0</v>
      </c>
      <c r="W584" s="317">
        <f>'Supply planning data'!Y582</f>
        <v>0</v>
      </c>
      <c r="X584" s="328">
        <f>'Supply planning data'!Z582</f>
        <v>0</v>
      </c>
      <c r="Y584" s="98">
        <f>'Supply planning data'!AA582</f>
        <v>0</v>
      </c>
      <c r="Z584" s="98">
        <f>'Supply planning data'!AB582</f>
        <v>0</v>
      </c>
      <c r="AA584" s="98">
        <f>'Supply planning data'!AC582</f>
        <v>0</v>
      </c>
      <c r="AB584" s="98">
        <f>'Supply planning data'!AD582</f>
        <v>0</v>
      </c>
      <c r="AC584" s="98">
        <f>'Supply planning data'!AE582</f>
        <v>0</v>
      </c>
      <c r="AD584" s="325" t="str">
        <f>'Supply planning data'!AF582</f>
        <v/>
      </c>
      <c r="AE584" s="98">
        <f>'Supply planning data'!AG582</f>
        <v>0</v>
      </c>
      <c r="AF584" s="317">
        <f>'Supply planning data'!AH582</f>
        <v>0</v>
      </c>
      <c r="AG584" s="175">
        <f>'Supply planning data'!AI582</f>
        <v>0</v>
      </c>
      <c r="AH584" s="98">
        <f>'Supply planning data'!AJ582</f>
        <v>0</v>
      </c>
      <c r="AI584" s="98">
        <f>'Supply planning data'!AK582</f>
        <v>0</v>
      </c>
      <c r="AJ584" s="98">
        <f>'Supply planning data'!AL582</f>
        <v>0</v>
      </c>
      <c r="AK584" s="98">
        <f>'Supply planning data'!AM582</f>
        <v>0</v>
      </c>
      <c r="AL584" s="98">
        <f>'Supply planning data'!AN582</f>
        <v>0</v>
      </c>
      <c r="AM584" s="325" t="str">
        <f>'Supply planning data'!AO582</f>
        <v/>
      </c>
    </row>
    <row r="585" spans="1:39" hidden="1" x14ac:dyDescent="0.25">
      <c r="A585" s="90" t="str">
        <f>'Supply planning data'!C583</f>
        <v/>
      </c>
      <c r="B585" s="296">
        <f>'Supply planning data'!D583</f>
        <v>45352</v>
      </c>
      <c r="C585" s="92" t="str">
        <f>'Supply planning data'!E583</f>
        <v>No</v>
      </c>
      <c r="D585" s="92">
        <f>'Supply planning data'!F583</f>
        <v>0</v>
      </c>
      <c r="E585" s="316">
        <f>'Supply planning data'!G583</f>
        <v>0</v>
      </c>
      <c r="F585" s="317">
        <f>'Supply planning data'!H583</f>
        <v>0</v>
      </c>
      <c r="G585" s="317">
        <f>'Supply planning data'!I583</f>
        <v>0</v>
      </c>
      <c r="H585" s="98">
        <f>'Supply planning data'!J583</f>
        <v>0</v>
      </c>
      <c r="I585" s="317">
        <f>'Supply planning data'!K583</f>
        <v>0</v>
      </c>
      <c r="J585" s="175" t="str">
        <f>'Supply planning data'!L583</f>
        <v/>
      </c>
      <c r="K585" s="98">
        <f>'Supply planning data'!M583</f>
        <v>0</v>
      </c>
      <c r="L585" s="317">
        <f>'Supply planning data'!N583+'Supply planning data'!P583</f>
        <v>0</v>
      </c>
      <c r="M585" s="339">
        <f>'Supply planning data'!O583</f>
        <v>0</v>
      </c>
      <c r="N585" s="317">
        <f>'Supply planning data'!P583</f>
        <v>0</v>
      </c>
      <c r="O585" s="339">
        <f>'Supply planning data'!Q583</f>
        <v>0</v>
      </c>
      <c r="P585" s="98">
        <f>'Supply planning data'!R583</f>
        <v>0</v>
      </c>
      <c r="Q585" s="98">
        <f>'Supply planning data'!S583</f>
        <v>0</v>
      </c>
      <c r="R585" s="98">
        <f>'Supply planning data'!T583</f>
        <v>0</v>
      </c>
      <c r="S585" s="98">
        <f>'Supply planning data'!U583</f>
        <v>0</v>
      </c>
      <c r="T585" s="98">
        <f>'Supply planning data'!V583</f>
        <v>0</v>
      </c>
      <c r="U585" s="325" t="str">
        <f>'Supply planning data'!W583</f>
        <v/>
      </c>
      <c r="V585" s="98">
        <f>'Supply planning data'!X583</f>
        <v>0</v>
      </c>
      <c r="W585" s="317">
        <f>'Supply planning data'!Y583</f>
        <v>0</v>
      </c>
      <c r="X585" s="328">
        <f>'Supply planning data'!Z583</f>
        <v>0</v>
      </c>
      <c r="Y585" s="98">
        <f>'Supply planning data'!AA583</f>
        <v>0</v>
      </c>
      <c r="Z585" s="98">
        <f>'Supply planning data'!AB583</f>
        <v>0</v>
      </c>
      <c r="AA585" s="98">
        <f>'Supply planning data'!AC583</f>
        <v>0</v>
      </c>
      <c r="AB585" s="98">
        <f>'Supply planning data'!AD583</f>
        <v>0</v>
      </c>
      <c r="AC585" s="98">
        <f>'Supply planning data'!AE583</f>
        <v>0</v>
      </c>
      <c r="AD585" s="325" t="str">
        <f>'Supply planning data'!AF583</f>
        <v/>
      </c>
      <c r="AE585" s="98">
        <f>'Supply planning data'!AG583</f>
        <v>0</v>
      </c>
      <c r="AF585" s="317">
        <f>'Supply planning data'!AH583</f>
        <v>0</v>
      </c>
      <c r="AG585" s="175">
        <f>'Supply planning data'!AI583</f>
        <v>0</v>
      </c>
      <c r="AH585" s="98">
        <f>'Supply planning data'!AJ583</f>
        <v>0</v>
      </c>
      <c r="AI585" s="98">
        <f>'Supply planning data'!AK583</f>
        <v>0</v>
      </c>
      <c r="AJ585" s="98">
        <f>'Supply planning data'!AL583</f>
        <v>0</v>
      </c>
      <c r="AK585" s="98">
        <f>'Supply planning data'!AM583</f>
        <v>0</v>
      </c>
      <c r="AL585" s="98">
        <f>'Supply planning data'!AN583</f>
        <v>0</v>
      </c>
      <c r="AM585" s="325" t="str">
        <f>'Supply planning data'!AO583</f>
        <v/>
      </c>
    </row>
    <row r="586" spans="1:39" hidden="1" x14ac:dyDescent="0.25">
      <c r="A586" s="90" t="str">
        <f>'Supply planning data'!C584</f>
        <v/>
      </c>
      <c r="B586" s="296">
        <f>'Supply planning data'!D584</f>
        <v>45352</v>
      </c>
      <c r="C586" s="92" t="str">
        <f>'Supply planning data'!E584</f>
        <v>No</v>
      </c>
      <c r="D586" s="92">
        <f>'Supply planning data'!F584</f>
        <v>0</v>
      </c>
      <c r="E586" s="316">
        <f>'Supply planning data'!G584</f>
        <v>0</v>
      </c>
      <c r="F586" s="317">
        <f>'Supply planning data'!H584</f>
        <v>0</v>
      </c>
      <c r="G586" s="317">
        <f>'Supply planning data'!I584</f>
        <v>0</v>
      </c>
      <c r="H586" s="98">
        <f>'Supply planning data'!J584</f>
        <v>0</v>
      </c>
      <c r="I586" s="317">
        <f>'Supply planning data'!K584</f>
        <v>0</v>
      </c>
      <c r="J586" s="175" t="str">
        <f>'Supply planning data'!L584</f>
        <v/>
      </c>
      <c r="K586" s="98">
        <f>'Supply planning data'!M584</f>
        <v>0</v>
      </c>
      <c r="L586" s="317">
        <f>'Supply planning data'!N584+'Supply planning data'!P584</f>
        <v>0</v>
      </c>
      <c r="M586" s="339">
        <f>'Supply planning data'!O584</f>
        <v>0</v>
      </c>
      <c r="N586" s="317">
        <f>'Supply planning data'!P584</f>
        <v>0</v>
      </c>
      <c r="O586" s="339">
        <f>'Supply planning data'!Q584</f>
        <v>0</v>
      </c>
      <c r="P586" s="98">
        <f>'Supply planning data'!R584</f>
        <v>0</v>
      </c>
      <c r="Q586" s="98">
        <f>'Supply planning data'!S584</f>
        <v>0</v>
      </c>
      <c r="R586" s="98">
        <f>'Supply planning data'!T584</f>
        <v>0</v>
      </c>
      <c r="S586" s="98">
        <f>'Supply planning data'!U584</f>
        <v>0</v>
      </c>
      <c r="T586" s="98">
        <f>'Supply planning data'!V584</f>
        <v>0</v>
      </c>
      <c r="U586" s="325" t="str">
        <f>'Supply planning data'!W584</f>
        <v/>
      </c>
      <c r="V586" s="98">
        <f>'Supply planning data'!X584</f>
        <v>0</v>
      </c>
      <c r="W586" s="317">
        <f>'Supply planning data'!Y584</f>
        <v>0</v>
      </c>
      <c r="X586" s="328">
        <f>'Supply planning data'!Z584</f>
        <v>0</v>
      </c>
      <c r="Y586" s="98">
        <f>'Supply planning data'!AA584</f>
        <v>0</v>
      </c>
      <c r="Z586" s="98">
        <f>'Supply planning data'!AB584</f>
        <v>0</v>
      </c>
      <c r="AA586" s="98">
        <f>'Supply planning data'!AC584</f>
        <v>0</v>
      </c>
      <c r="AB586" s="98">
        <f>'Supply planning data'!AD584</f>
        <v>0</v>
      </c>
      <c r="AC586" s="98">
        <f>'Supply planning data'!AE584</f>
        <v>0</v>
      </c>
      <c r="AD586" s="325" t="str">
        <f>'Supply planning data'!AF584</f>
        <v/>
      </c>
      <c r="AE586" s="98">
        <f>'Supply planning data'!AG584</f>
        <v>0</v>
      </c>
      <c r="AF586" s="317">
        <f>'Supply planning data'!AH584</f>
        <v>0</v>
      </c>
      <c r="AG586" s="175">
        <f>'Supply planning data'!AI584</f>
        <v>0</v>
      </c>
      <c r="AH586" s="98">
        <f>'Supply planning data'!AJ584</f>
        <v>0</v>
      </c>
      <c r="AI586" s="98">
        <f>'Supply planning data'!AK584</f>
        <v>0</v>
      </c>
      <c r="AJ586" s="98">
        <f>'Supply planning data'!AL584</f>
        <v>0</v>
      </c>
      <c r="AK586" s="98">
        <f>'Supply planning data'!AM584</f>
        <v>0</v>
      </c>
      <c r="AL586" s="98">
        <f>'Supply planning data'!AN584</f>
        <v>0</v>
      </c>
      <c r="AM586" s="325" t="str">
        <f>'Supply planning data'!AO584</f>
        <v/>
      </c>
    </row>
    <row r="587" spans="1:39" hidden="1" x14ac:dyDescent="0.25">
      <c r="A587" s="90" t="str">
        <f>'Supply planning data'!C585</f>
        <v/>
      </c>
      <c r="B587" s="296">
        <f>'Supply planning data'!D585</f>
        <v>45352</v>
      </c>
      <c r="C587" s="92" t="str">
        <f>'Supply planning data'!E585</f>
        <v>No</v>
      </c>
      <c r="D587" s="92">
        <f>'Supply planning data'!F585</f>
        <v>0</v>
      </c>
      <c r="E587" s="316">
        <f>'Supply planning data'!G585</f>
        <v>0</v>
      </c>
      <c r="F587" s="317">
        <f>'Supply planning data'!H585</f>
        <v>0</v>
      </c>
      <c r="G587" s="317">
        <f>'Supply planning data'!I585</f>
        <v>0</v>
      </c>
      <c r="H587" s="98">
        <f>'Supply planning data'!J585</f>
        <v>0</v>
      </c>
      <c r="I587" s="317">
        <f>'Supply planning data'!K585</f>
        <v>0</v>
      </c>
      <c r="J587" s="175" t="str">
        <f>'Supply planning data'!L585</f>
        <v/>
      </c>
      <c r="K587" s="98">
        <f>'Supply planning data'!M585</f>
        <v>0</v>
      </c>
      <c r="L587" s="317">
        <f>'Supply planning data'!N585+'Supply planning data'!P585</f>
        <v>0</v>
      </c>
      <c r="M587" s="339">
        <f>'Supply planning data'!O585</f>
        <v>0</v>
      </c>
      <c r="N587" s="317">
        <f>'Supply planning data'!P585</f>
        <v>0</v>
      </c>
      <c r="O587" s="339">
        <f>'Supply planning data'!Q585</f>
        <v>0</v>
      </c>
      <c r="P587" s="98">
        <f>'Supply planning data'!R585</f>
        <v>0</v>
      </c>
      <c r="Q587" s="98">
        <f>'Supply planning data'!S585</f>
        <v>0</v>
      </c>
      <c r="R587" s="98">
        <f>'Supply planning data'!T585</f>
        <v>0</v>
      </c>
      <c r="S587" s="98">
        <f>'Supply planning data'!U585</f>
        <v>0</v>
      </c>
      <c r="T587" s="98">
        <f>'Supply planning data'!V585</f>
        <v>0</v>
      </c>
      <c r="U587" s="325" t="str">
        <f>'Supply planning data'!W585</f>
        <v/>
      </c>
      <c r="V587" s="98">
        <f>'Supply planning data'!X585</f>
        <v>0</v>
      </c>
      <c r="W587" s="317">
        <f>'Supply planning data'!Y585</f>
        <v>0</v>
      </c>
      <c r="X587" s="328">
        <f>'Supply planning data'!Z585</f>
        <v>0</v>
      </c>
      <c r="Y587" s="98">
        <f>'Supply planning data'!AA585</f>
        <v>0</v>
      </c>
      <c r="Z587" s="98">
        <f>'Supply planning data'!AB585</f>
        <v>0</v>
      </c>
      <c r="AA587" s="98">
        <f>'Supply planning data'!AC585</f>
        <v>0</v>
      </c>
      <c r="AB587" s="98">
        <f>'Supply planning data'!AD585</f>
        <v>0</v>
      </c>
      <c r="AC587" s="98">
        <f>'Supply planning data'!AE585</f>
        <v>0</v>
      </c>
      <c r="AD587" s="325" t="str">
        <f>'Supply planning data'!AF585</f>
        <v/>
      </c>
      <c r="AE587" s="98">
        <f>'Supply planning data'!AG585</f>
        <v>0</v>
      </c>
      <c r="AF587" s="317">
        <f>'Supply planning data'!AH585</f>
        <v>0</v>
      </c>
      <c r="AG587" s="175">
        <f>'Supply planning data'!AI585</f>
        <v>0</v>
      </c>
      <c r="AH587" s="98">
        <f>'Supply planning data'!AJ585</f>
        <v>0</v>
      </c>
      <c r="AI587" s="98">
        <f>'Supply planning data'!AK585</f>
        <v>0</v>
      </c>
      <c r="AJ587" s="98">
        <f>'Supply planning data'!AL585</f>
        <v>0</v>
      </c>
      <c r="AK587" s="98">
        <f>'Supply planning data'!AM585</f>
        <v>0</v>
      </c>
      <c r="AL587" s="98">
        <f>'Supply planning data'!AN585</f>
        <v>0</v>
      </c>
      <c r="AM587" s="325" t="str">
        <f>'Supply planning data'!AO585</f>
        <v/>
      </c>
    </row>
    <row r="588" spans="1:39" hidden="1" x14ac:dyDescent="0.25">
      <c r="A588" s="90" t="str">
        <f>'Supply planning data'!C586</f>
        <v/>
      </c>
      <c r="B588" s="296">
        <f>'Supply planning data'!D586</f>
        <v>45352</v>
      </c>
      <c r="C588" s="92" t="str">
        <f>'Supply planning data'!E586</f>
        <v>No</v>
      </c>
      <c r="D588" s="92">
        <f>'Supply planning data'!F586</f>
        <v>0</v>
      </c>
      <c r="E588" s="316">
        <f>'Supply planning data'!G586</f>
        <v>0</v>
      </c>
      <c r="F588" s="317">
        <f>'Supply planning data'!H586</f>
        <v>0</v>
      </c>
      <c r="G588" s="317">
        <f>'Supply planning data'!I586</f>
        <v>0</v>
      </c>
      <c r="H588" s="98">
        <f>'Supply planning data'!J586</f>
        <v>0</v>
      </c>
      <c r="I588" s="317">
        <f>'Supply planning data'!K586</f>
        <v>0</v>
      </c>
      <c r="J588" s="175" t="str">
        <f>'Supply planning data'!L586</f>
        <v/>
      </c>
      <c r="K588" s="98">
        <f>'Supply planning data'!M586</f>
        <v>0</v>
      </c>
      <c r="L588" s="317">
        <f>'Supply planning data'!N586+'Supply planning data'!P586</f>
        <v>0</v>
      </c>
      <c r="M588" s="339">
        <f>'Supply planning data'!O586</f>
        <v>0</v>
      </c>
      <c r="N588" s="317">
        <f>'Supply planning data'!P586</f>
        <v>0</v>
      </c>
      <c r="O588" s="339">
        <f>'Supply planning data'!Q586</f>
        <v>0</v>
      </c>
      <c r="P588" s="98">
        <f>'Supply planning data'!R586</f>
        <v>0</v>
      </c>
      <c r="Q588" s="98">
        <f>'Supply planning data'!S586</f>
        <v>0</v>
      </c>
      <c r="R588" s="98">
        <f>'Supply planning data'!T586</f>
        <v>0</v>
      </c>
      <c r="S588" s="98">
        <f>'Supply planning data'!U586</f>
        <v>0</v>
      </c>
      <c r="T588" s="98">
        <f>'Supply planning data'!V586</f>
        <v>0</v>
      </c>
      <c r="U588" s="325" t="str">
        <f>'Supply planning data'!W586</f>
        <v/>
      </c>
      <c r="V588" s="98">
        <f>'Supply planning data'!X586</f>
        <v>0</v>
      </c>
      <c r="W588" s="317">
        <f>'Supply planning data'!Y586</f>
        <v>0</v>
      </c>
      <c r="X588" s="328">
        <f>'Supply planning data'!Z586</f>
        <v>0</v>
      </c>
      <c r="Y588" s="98">
        <f>'Supply planning data'!AA586</f>
        <v>0</v>
      </c>
      <c r="Z588" s="98">
        <f>'Supply planning data'!AB586</f>
        <v>0</v>
      </c>
      <c r="AA588" s="98">
        <f>'Supply planning data'!AC586</f>
        <v>0</v>
      </c>
      <c r="AB588" s="98">
        <f>'Supply planning data'!AD586</f>
        <v>0</v>
      </c>
      <c r="AC588" s="98">
        <f>'Supply planning data'!AE586</f>
        <v>0</v>
      </c>
      <c r="AD588" s="325" t="str">
        <f>'Supply planning data'!AF586</f>
        <v/>
      </c>
      <c r="AE588" s="98">
        <f>'Supply planning data'!AG586</f>
        <v>0</v>
      </c>
      <c r="AF588" s="317">
        <f>'Supply planning data'!AH586</f>
        <v>0</v>
      </c>
      <c r="AG588" s="175">
        <f>'Supply planning data'!AI586</f>
        <v>0</v>
      </c>
      <c r="AH588" s="98">
        <f>'Supply planning data'!AJ586</f>
        <v>0</v>
      </c>
      <c r="AI588" s="98">
        <f>'Supply planning data'!AK586</f>
        <v>0</v>
      </c>
      <c r="AJ588" s="98">
        <f>'Supply planning data'!AL586</f>
        <v>0</v>
      </c>
      <c r="AK588" s="98">
        <f>'Supply planning data'!AM586</f>
        <v>0</v>
      </c>
      <c r="AL588" s="98">
        <f>'Supply planning data'!AN586</f>
        <v>0</v>
      </c>
      <c r="AM588" s="325" t="str">
        <f>'Supply planning data'!AO586</f>
        <v/>
      </c>
    </row>
    <row r="589" spans="1:39" hidden="1" x14ac:dyDescent="0.25">
      <c r="A589" s="90" t="str">
        <f>'Supply planning data'!C587</f>
        <v/>
      </c>
      <c r="B589" s="296">
        <f>'Supply planning data'!D587</f>
        <v>45352</v>
      </c>
      <c r="C589" s="92" t="str">
        <f>'Supply planning data'!E587</f>
        <v>No</v>
      </c>
      <c r="D589" s="92">
        <f>'Supply planning data'!F587</f>
        <v>0</v>
      </c>
      <c r="E589" s="316">
        <f>'Supply planning data'!G587</f>
        <v>0</v>
      </c>
      <c r="F589" s="317">
        <f>'Supply planning data'!H587</f>
        <v>0</v>
      </c>
      <c r="G589" s="317">
        <f>'Supply planning data'!I587</f>
        <v>0</v>
      </c>
      <c r="H589" s="98">
        <f>'Supply planning data'!J587</f>
        <v>0</v>
      </c>
      <c r="I589" s="317">
        <f>'Supply planning data'!K587</f>
        <v>0</v>
      </c>
      <c r="J589" s="175" t="str">
        <f>'Supply planning data'!L587</f>
        <v/>
      </c>
      <c r="K589" s="98">
        <f>'Supply planning data'!M587</f>
        <v>0</v>
      </c>
      <c r="L589" s="317">
        <f>'Supply planning data'!N587+'Supply planning data'!P587</f>
        <v>0</v>
      </c>
      <c r="M589" s="339">
        <f>'Supply planning data'!O587</f>
        <v>0</v>
      </c>
      <c r="N589" s="317">
        <f>'Supply planning data'!P587</f>
        <v>0</v>
      </c>
      <c r="O589" s="339">
        <f>'Supply planning data'!Q587</f>
        <v>0</v>
      </c>
      <c r="P589" s="98">
        <f>'Supply planning data'!R587</f>
        <v>0</v>
      </c>
      <c r="Q589" s="98">
        <f>'Supply planning data'!S587</f>
        <v>0</v>
      </c>
      <c r="R589" s="98">
        <f>'Supply planning data'!T587</f>
        <v>0</v>
      </c>
      <c r="S589" s="98">
        <f>'Supply planning data'!U587</f>
        <v>0</v>
      </c>
      <c r="T589" s="98">
        <f>'Supply planning data'!V587</f>
        <v>0</v>
      </c>
      <c r="U589" s="325" t="str">
        <f>'Supply planning data'!W587</f>
        <v/>
      </c>
      <c r="V589" s="98">
        <f>'Supply planning data'!X587</f>
        <v>0</v>
      </c>
      <c r="W589" s="317">
        <f>'Supply planning data'!Y587</f>
        <v>0</v>
      </c>
      <c r="X589" s="328">
        <f>'Supply planning data'!Z587</f>
        <v>0</v>
      </c>
      <c r="Y589" s="98">
        <f>'Supply planning data'!AA587</f>
        <v>0</v>
      </c>
      <c r="Z589" s="98">
        <f>'Supply planning data'!AB587</f>
        <v>0</v>
      </c>
      <c r="AA589" s="98">
        <f>'Supply planning data'!AC587</f>
        <v>0</v>
      </c>
      <c r="AB589" s="98">
        <f>'Supply planning data'!AD587</f>
        <v>0</v>
      </c>
      <c r="AC589" s="98">
        <f>'Supply planning data'!AE587</f>
        <v>0</v>
      </c>
      <c r="AD589" s="325" t="str">
        <f>'Supply planning data'!AF587</f>
        <v/>
      </c>
      <c r="AE589" s="98">
        <f>'Supply planning data'!AG587</f>
        <v>0</v>
      </c>
      <c r="AF589" s="317">
        <f>'Supply planning data'!AH587</f>
        <v>0</v>
      </c>
      <c r="AG589" s="175">
        <f>'Supply planning data'!AI587</f>
        <v>0</v>
      </c>
      <c r="AH589" s="98">
        <f>'Supply planning data'!AJ587</f>
        <v>0</v>
      </c>
      <c r="AI589" s="98">
        <f>'Supply planning data'!AK587</f>
        <v>0</v>
      </c>
      <c r="AJ589" s="98">
        <f>'Supply planning data'!AL587</f>
        <v>0</v>
      </c>
      <c r="AK589" s="98">
        <f>'Supply planning data'!AM587</f>
        <v>0</v>
      </c>
      <c r="AL589" s="98">
        <f>'Supply planning data'!AN587</f>
        <v>0</v>
      </c>
      <c r="AM589" s="325" t="str">
        <f>'Supply planning data'!AO587</f>
        <v/>
      </c>
    </row>
    <row r="590" spans="1:39" hidden="1" x14ac:dyDescent="0.25">
      <c r="A590" s="90" t="str">
        <f>'Supply planning data'!C588</f>
        <v/>
      </c>
      <c r="B590" s="296">
        <f>'Supply planning data'!D588</f>
        <v>45352</v>
      </c>
      <c r="C590" s="92" t="str">
        <f>'Supply planning data'!E588</f>
        <v>No</v>
      </c>
      <c r="D590" s="92">
        <f>'Supply planning data'!F588</f>
        <v>0</v>
      </c>
      <c r="E590" s="316">
        <f>'Supply planning data'!G588</f>
        <v>0</v>
      </c>
      <c r="F590" s="317">
        <f>'Supply planning data'!H588</f>
        <v>0</v>
      </c>
      <c r="G590" s="317">
        <f>'Supply planning data'!I588</f>
        <v>0</v>
      </c>
      <c r="H590" s="98">
        <f>'Supply planning data'!J588</f>
        <v>0</v>
      </c>
      <c r="I590" s="317">
        <f>'Supply planning data'!K588</f>
        <v>0</v>
      </c>
      <c r="J590" s="175" t="str">
        <f>'Supply planning data'!L588</f>
        <v/>
      </c>
      <c r="K590" s="98">
        <f>'Supply planning data'!M588</f>
        <v>0</v>
      </c>
      <c r="L590" s="317">
        <f>'Supply planning data'!N588+'Supply planning data'!P588</f>
        <v>0</v>
      </c>
      <c r="M590" s="339">
        <f>'Supply planning data'!O588</f>
        <v>0</v>
      </c>
      <c r="N590" s="317">
        <f>'Supply planning data'!P588</f>
        <v>0</v>
      </c>
      <c r="O590" s="339">
        <f>'Supply planning data'!Q588</f>
        <v>0</v>
      </c>
      <c r="P590" s="98">
        <f>'Supply planning data'!R588</f>
        <v>0</v>
      </c>
      <c r="Q590" s="98">
        <f>'Supply planning data'!S588</f>
        <v>0</v>
      </c>
      <c r="R590" s="98">
        <f>'Supply planning data'!T588</f>
        <v>0</v>
      </c>
      <c r="S590" s="98">
        <f>'Supply planning data'!U588</f>
        <v>0</v>
      </c>
      <c r="T590" s="98">
        <f>'Supply planning data'!V588</f>
        <v>0</v>
      </c>
      <c r="U590" s="325" t="str">
        <f>'Supply planning data'!W588</f>
        <v/>
      </c>
      <c r="V590" s="98">
        <f>'Supply planning data'!X588</f>
        <v>0</v>
      </c>
      <c r="W590" s="317">
        <f>'Supply planning data'!Y588</f>
        <v>0</v>
      </c>
      <c r="X590" s="328">
        <f>'Supply planning data'!Z588</f>
        <v>0</v>
      </c>
      <c r="Y590" s="98">
        <f>'Supply planning data'!AA588</f>
        <v>0</v>
      </c>
      <c r="Z590" s="98">
        <f>'Supply planning data'!AB588</f>
        <v>0</v>
      </c>
      <c r="AA590" s="98">
        <f>'Supply planning data'!AC588</f>
        <v>0</v>
      </c>
      <c r="AB590" s="98">
        <f>'Supply planning data'!AD588</f>
        <v>0</v>
      </c>
      <c r="AC590" s="98">
        <f>'Supply planning data'!AE588</f>
        <v>0</v>
      </c>
      <c r="AD590" s="325" t="str">
        <f>'Supply planning data'!AF588</f>
        <v/>
      </c>
      <c r="AE590" s="98">
        <f>'Supply planning data'!AG588</f>
        <v>0</v>
      </c>
      <c r="AF590" s="317">
        <f>'Supply planning data'!AH588</f>
        <v>0</v>
      </c>
      <c r="AG590" s="175">
        <f>'Supply planning data'!AI588</f>
        <v>0</v>
      </c>
      <c r="AH590" s="98">
        <f>'Supply planning data'!AJ588</f>
        <v>0</v>
      </c>
      <c r="AI590" s="98">
        <f>'Supply planning data'!AK588</f>
        <v>0</v>
      </c>
      <c r="AJ590" s="98">
        <f>'Supply planning data'!AL588</f>
        <v>0</v>
      </c>
      <c r="AK590" s="98">
        <f>'Supply planning data'!AM588</f>
        <v>0</v>
      </c>
      <c r="AL590" s="98">
        <f>'Supply planning data'!AN588</f>
        <v>0</v>
      </c>
      <c r="AM590" s="325" t="str">
        <f>'Supply planning data'!AO588</f>
        <v/>
      </c>
    </row>
    <row r="591" spans="1:39" hidden="1" x14ac:dyDescent="0.25">
      <c r="A591" s="90" t="str">
        <f>'Supply planning data'!C589</f>
        <v/>
      </c>
      <c r="B591" s="296">
        <f>'Supply planning data'!D589</f>
        <v>45352</v>
      </c>
      <c r="C591" s="92" t="str">
        <f>'Supply planning data'!E589</f>
        <v>No</v>
      </c>
      <c r="D591" s="92">
        <f>'Supply planning data'!F589</f>
        <v>0</v>
      </c>
      <c r="E591" s="316">
        <f>'Supply planning data'!G589</f>
        <v>0</v>
      </c>
      <c r="F591" s="317">
        <f>'Supply planning data'!H589</f>
        <v>0</v>
      </c>
      <c r="G591" s="317">
        <f>'Supply planning data'!I589</f>
        <v>0</v>
      </c>
      <c r="H591" s="98">
        <f>'Supply planning data'!J589</f>
        <v>0</v>
      </c>
      <c r="I591" s="317">
        <f>'Supply planning data'!K589</f>
        <v>0</v>
      </c>
      <c r="J591" s="175" t="str">
        <f>'Supply planning data'!L589</f>
        <v/>
      </c>
      <c r="K591" s="98">
        <f>'Supply planning data'!M589</f>
        <v>0</v>
      </c>
      <c r="L591" s="317">
        <f>'Supply planning data'!N589+'Supply planning data'!P589</f>
        <v>0</v>
      </c>
      <c r="M591" s="339">
        <f>'Supply planning data'!O589</f>
        <v>0</v>
      </c>
      <c r="N591" s="317">
        <f>'Supply planning data'!P589</f>
        <v>0</v>
      </c>
      <c r="O591" s="339">
        <f>'Supply planning data'!Q589</f>
        <v>0</v>
      </c>
      <c r="P591" s="98">
        <f>'Supply planning data'!R589</f>
        <v>0</v>
      </c>
      <c r="Q591" s="98">
        <f>'Supply planning data'!S589</f>
        <v>0</v>
      </c>
      <c r="R591" s="98">
        <f>'Supply planning data'!T589</f>
        <v>0</v>
      </c>
      <c r="S591" s="98">
        <f>'Supply planning data'!U589</f>
        <v>0</v>
      </c>
      <c r="T591" s="98">
        <f>'Supply planning data'!V589</f>
        <v>0</v>
      </c>
      <c r="U591" s="325" t="str">
        <f>'Supply planning data'!W589</f>
        <v/>
      </c>
      <c r="V591" s="98">
        <f>'Supply planning data'!X589</f>
        <v>0</v>
      </c>
      <c r="W591" s="317">
        <f>'Supply planning data'!Y589</f>
        <v>0</v>
      </c>
      <c r="X591" s="328">
        <f>'Supply planning data'!Z589</f>
        <v>0</v>
      </c>
      <c r="Y591" s="98">
        <f>'Supply planning data'!AA589</f>
        <v>0</v>
      </c>
      <c r="Z591" s="98">
        <f>'Supply planning data'!AB589</f>
        <v>0</v>
      </c>
      <c r="AA591" s="98">
        <f>'Supply planning data'!AC589</f>
        <v>0</v>
      </c>
      <c r="AB591" s="98">
        <f>'Supply planning data'!AD589</f>
        <v>0</v>
      </c>
      <c r="AC591" s="98">
        <f>'Supply planning data'!AE589</f>
        <v>0</v>
      </c>
      <c r="AD591" s="325" t="str">
        <f>'Supply planning data'!AF589</f>
        <v/>
      </c>
      <c r="AE591" s="98">
        <f>'Supply planning data'!AG589</f>
        <v>0</v>
      </c>
      <c r="AF591" s="317">
        <f>'Supply planning data'!AH589</f>
        <v>0</v>
      </c>
      <c r="AG591" s="175">
        <f>'Supply planning data'!AI589</f>
        <v>0</v>
      </c>
      <c r="AH591" s="98">
        <f>'Supply planning data'!AJ589</f>
        <v>0</v>
      </c>
      <c r="AI591" s="98">
        <f>'Supply planning data'!AK589</f>
        <v>0</v>
      </c>
      <c r="AJ591" s="98">
        <f>'Supply planning data'!AL589</f>
        <v>0</v>
      </c>
      <c r="AK591" s="98">
        <f>'Supply planning data'!AM589</f>
        <v>0</v>
      </c>
      <c r="AL591" s="98">
        <f>'Supply planning data'!AN589</f>
        <v>0</v>
      </c>
      <c r="AM591" s="325" t="str">
        <f>'Supply planning data'!AO589</f>
        <v/>
      </c>
    </row>
    <row r="592" spans="1:39" x14ac:dyDescent="0.25">
      <c r="A592" s="104" t="str">
        <f>'Supply planning data'!C590</f>
        <v>AstraZeneca</v>
      </c>
      <c r="B592" s="298">
        <f>'Supply planning data'!D590</f>
        <v>45383</v>
      </c>
      <c r="C592" s="105" t="str">
        <f>'Supply planning data'!E590</f>
        <v>Yes</v>
      </c>
      <c r="D592" s="105">
        <f>'Supply planning data'!F590</f>
        <v>0</v>
      </c>
      <c r="E592" s="320">
        <f>'Supply planning data'!G590</f>
        <v>0</v>
      </c>
      <c r="F592" s="320">
        <f>'Supply planning data'!H590</f>
        <v>0</v>
      </c>
      <c r="G592" s="320">
        <f>'Supply planning data'!I590</f>
        <v>0</v>
      </c>
      <c r="H592" s="105">
        <f>'Supply planning data'!J590</f>
        <v>0</v>
      </c>
      <c r="I592" s="320">
        <f>'Supply planning data'!K590</f>
        <v>0</v>
      </c>
      <c r="J592" s="177" t="str">
        <f>'Supply planning data'!L590</f>
        <v/>
      </c>
      <c r="K592" s="105">
        <f>'Supply planning data'!M590</f>
        <v>0</v>
      </c>
      <c r="L592" s="320">
        <f>'Supply planning data'!N590+'Supply planning data'!P590</f>
        <v>0</v>
      </c>
      <c r="M592" s="341">
        <f>'Supply planning data'!O590</f>
        <v>0</v>
      </c>
      <c r="N592" s="320">
        <f>'Supply planning data'!P590</f>
        <v>0</v>
      </c>
      <c r="O592" s="341">
        <f>'Supply planning data'!Q590</f>
        <v>0</v>
      </c>
      <c r="P592" s="105">
        <f>'Supply planning data'!R590</f>
        <v>0</v>
      </c>
      <c r="Q592" s="105">
        <f>'Supply planning data'!S590</f>
        <v>0</v>
      </c>
      <c r="R592" s="105">
        <f>'Supply planning data'!T590</f>
        <v>0</v>
      </c>
      <c r="S592" s="105">
        <f>'Supply planning data'!U590</f>
        <v>0</v>
      </c>
      <c r="T592" s="105">
        <f>'Supply planning data'!V590</f>
        <v>0</v>
      </c>
      <c r="U592" s="326" t="str">
        <f>'Supply planning data'!W590</f>
        <v/>
      </c>
      <c r="V592" s="105">
        <f>'Supply planning data'!X590</f>
        <v>154701</v>
      </c>
      <c r="W592" s="320">
        <f>'Supply planning data'!Y590</f>
        <v>0</v>
      </c>
      <c r="X592" s="329">
        <f>'Supply planning data'!Z590</f>
        <v>0</v>
      </c>
      <c r="Y592" s="105">
        <f>'Supply planning data'!AA590</f>
        <v>0</v>
      </c>
      <c r="Z592" s="105">
        <f>'Supply planning data'!AB590</f>
        <v>0</v>
      </c>
      <c r="AA592" s="105">
        <f>'Supply planning data'!AC590</f>
        <v>0</v>
      </c>
      <c r="AB592" s="105">
        <f>'Supply planning data'!AD590</f>
        <v>0</v>
      </c>
      <c r="AC592" s="105">
        <f>'Supply planning data'!AE590</f>
        <v>154701</v>
      </c>
      <c r="AD592" s="326" t="str">
        <f>'Supply planning data'!AF590</f>
        <v/>
      </c>
      <c r="AE592" s="105">
        <f>'Supply planning data'!AG590</f>
        <v>0</v>
      </c>
      <c r="AF592" s="320">
        <f>'Supply planning data'!AH590</f>
        <v>0</v>
      </c>
      <c r="AG592" s="177">
        <f>'Supply planning data'!AI590</f>
        <v>0</v>
      </c>
      <c r="AH592" s="105">
        <f>'Supply planning data'!AJ590</f>
        <v>0</v>
      </c>
      <c r="AI592" s="105">
        <f>'Supply planning data'!AK590</f>
        <v>0</v>
      </c>
      <c r="AJ592" s="105">
        <f>'Supply planning data'!AL590</f>
        <v>0</v>
      </c>
      <c r="AK592" s="105">
        <f>'Supply planning data'!AM590</f>
        <v>0</v>
      </c>
      <c r="AL592" s="105">
        <f>'Supply planning data'!AN590</f>
        <v>0</v>
      </c>
      <c r="AM592" s="326" t="str">
        <f>'Supply planning data'!AO590</f>
        <v/>
      </c>
    </row>
    <row r="593" spans="1:39" x14ac:dyDescent="0.25">
      <c r="A593" s="109" t="str">
        <f>'Supply planning data'!C591</f>
        <v>Jansen</v>
      </c>
      <c r="B593" s="298">
        <f>'Supply planning data'!D591</f>
        <v>45383</v>
      </c>
      <c r="C593" s="105" t="str">
        <f>'Supply planning data'!E591</f>
        <v>Yes</v>
      </c>
      <c r="D593" s="105">
        <f>'Supply planning data'!F591</f>
        <v>1871200</v>
      </c>
      <c r="E593" s="320">
        <f>'Supply planning data'!G591</f>
        <v>0</v>
      </c>
      <c r="F593" s="320">
        <f>'Supply planning data'!H591</f>
        <v>0</v>
      </c>
      <c r="G593" s="320">
        <f>'Supply planning data'!I591</f>
        <v>0</v>
      </c>
      <c r="H593" s="105">
        <f>'Supply planning data'!J591</f>
        <v>0</v>
      </c>
      <c r="I593" s="320">
        <f>'Supply planning data'!K591</f>
        <v>0</v>
      </c>
      <c r="J593" s="177" t="str">
        <f>'Supply planning data'!L591</f>
        <v/>
      </c>
      <c r="K593" s="105">
        <f>'Supply planning data'!M591</f>
        <v>0</v>
      </c>
      <c r="L593" s="321">
        <f>'Supply planning data'!N591+'Supply planning data'!P591</f>
        <v>0</v>
      </c>
      <c r="M593" s="342">
        <f>'Supply planning data'!O591</f>
        <v>0</v>
      </c>
      <c r="N593" s="321">
        <f>'Supply planning data'!P591</f>
        <v>0</v>
      </c>
      <c r="O593" s="342">
        <f>'Supply planning data'!Q591</f>
        <v>0</v>
      </c>
      <c r="P593" s="111">
        <f>'Supply planning data'!R591</f>
        <v>0</v>
      </c>
      <c r="Q593" s="111">
        <f>'Supply planning data'!S591</f>
        <v>0</v>
      </c>
      <c r="R593" s="111">
        <f>'Supply planning data'!T591</f>
        <v>387547</v>
      </c>
      <c r="S593" s="111">
        <f>'Supply planning data'!U591</f>
        <v>0</v>
      </c>
      <c r="T593" s="111">
        <f>'Supply planning data'!V591</f>
        <v>1871200</v>
      </c>
      <c r="U593" s="327" t="str">
        <f>'Supply planning data'!W591</f>
        <v/>
      </c>
      <c r="V593" s="111">
        <f>'Supply planning data'!X591</f>
        <v>1311200</v>
      </c>
      <c r="W593" s="321">
        <f>'Supply planning data'!Y591</f>
        <v>0</v>
      </c>
      <c r="X593" s="329">
        <f>'Supply planning data'!Z591</f>
        <v>0</v>
      </c>
      <c r="Y593" s="111">
        <f>'Supply planning data'!AA591</f>
        <v>0</v>
      </c>
      <c r="Z593" s="111">
        <f>'Supply planning data'!AB591</f>
        <v>0</v>
      </c>
      <c r="AA593" s="111">
        <f>'Supply planning data'!AC591</f>
        <v>0</v>
      </c>
      <c r="AB593" s="111">
        <f>'Supply planning data'!AD591</f>
        <v>0</v>
      </c>
      <c r="AC593" s="111">
        <f>'Supply planning data'!AE591</f>
        <v>1311200</v>
      </c>
      <c r="AD593" s="327" t="str">
        <f>'Supply planning data'!AF591</f>
        <v/>
      </c>
      <c r="AE593" s="111">
        <f>'Supply planning data'!AG591</f>
        <v>1871200</v>
      </c>
      <c r="AF593" s="321">
        <f>'Supply planning data'!AH591</f>
        <v>0</v>
      </c>
      <c r="AG593" s="349">
        <f>'Supply planning data'!AI591</f>
        <v>0</v>
      </c>
      <c r="AH593" s="111">
        <f>'Supply planning data'!AJ591</f>
        <v>0</v>
      </c>
      <c r="AI593" s="111">
        <f>'Supply planning data'!AK591</f>
        <v>0</v>
      </c>
      <c r="AJ593" s="111">
        <f>'Supply planning data'!AL591</f>
        <v>387547</v>
      </c>
      <c r="AK593" s="111">
        <f>'Supply planning data'!AM591</f>
        <v>0</v>
      </c>
      <c r="AL593" s="111">
        <f>'Supply planning data'!AN591</f>
        <v>1871200</v>
      </c>
      <c r="AM593" s="327" t="str">
        <f>'Supply planning data'!AO591</f>
        <v/>
      </c>
    </row>
    <row r="594" spans="1:39" x14ac:dyDescent="0.25">
      <c r="A594" s="104" t="str">
        <f>'Supply planning data'!C592</f>
        <v>Moderna</v>
      </c>
      <c r="B594" s="298">
        <f>'Supply planning data'!D592</f>
        <v>45383</v>
      </c>
      <c r="C594" s="105" t="str">
        <f>'Supply planning data'!E592</f>
        <v>No</v>
      </c>
      <c r="D594" s="105">
        <f>'Supply planning data'!F592</f>
        <v>0</v>
      </c>
      <c r="E594" s="320">
        <f>'Supply planning data'!G592</f>
        <v>0</v>
      </c>
      <c r="F594" s="320">
        <f>'Supply planning data'!H592</f>
        <v>0</v>
      </c>
      <c r="G594" s="320">
        <f>'Supply planning data'!I592</f>
        <v>0</v>
      </c>
      <c r="H594" s="105">
        <f>'Supply planning data'!J592</f>
        <v>0</v>
      </c>
      <c r="I594" s="320">
        <f>'Supply planning data'!K592</f>
        <v>0</v>
      </c>
      <c r="J594" s="177" t="str">
        <f>'Supply planning data'!L592</f>
        <v/>
      </c>
      <c r="K594" s="105">
        <f>'Supply planning data'!M592</f>
        <v>0</v>
      </c>
      <c r="L594" s="321">
        <f>'Supply planning data'!N592+'Supply planning data'!P592</f>
        <v>0</v>
      </c>
      <c r="M594" s="342">
        <f>'Supply planning data'!O592</f>
        <v>0</v>
      </c>
      <c r="N594" s="321">
        <f>'Supply planning data'!P592</f>
        <v>0</v>
      </c>
      <c r="O594" s="342">
        <f>'Supply planning data'!Q592</f>
        <v>0</v>
      </c>
      <c r="P594" s="111">
        <f>'Supply planning data'!R592</f>
        <v>0</v>
      </c>
      <c r="Q594" s="111">
        <f>'Supply planning data'!S592</f>
        <v>0</v>
      </c>
      <c r="R594" s="111">
        <f>'Supply planning data'!T592</f>
        <v>0</v>
      </c>
      <c r="S594" s="111">
        <f>'Supply planning data'!U592</f>
        <v>0</v>
      </c>
      <c r="T594" s="111">
        <f>'Supply planning data'!V592</f>
        <v>0</v>
      </c>
      <c r="U594" s="327" t="str">
        <f>'Supply planning data'!W592</f>
        <v/>
      </c>
      <c r="V594" s="111">
        <f>'Supply planning data'!X592</f>
        <v>0</v>
      </c>
      <c r="W594" s="321">
        <f>'Supply planning data'!Y592</f>
        <v>0</v>
      </c>
      <c r="X594" s="329">
        <f>'Supply planning data'!Z592</f>
        <v>0</v>
      </c>
      <c r="Y594" s="111">
        <f>'Supply planning data'!AA592</f>
        <v>0</v>
      </c>
      <c r="Z594" s="111">
        <f>'Supply planning data'!AB592</f>
        <v>0</v>
      </c>
      <c r="AA594" s="111">
        <f>'Supply planning data'!AC592</f>
        <v>0</v>
      </c>
      <c r="AB594" s="111">
        <f>'Supply planning data'!AD592</f>
        <v>0</v>
      </c>
      <c r="AC594" s="111">
        <f>'Supply planning data'!AE592</f>
        <v>0</v>
      </c>
      <c r="AD594" s="327" t="str">
        <f>'Supply planning data'!AF592</f>
        <v/>
      </c>
      <c r="AE594" s="111">
        <f>'Supply planning data'!AG592</f>
        <v>0</v>
      </c>
      <c r="AF594" s="321">
        <f>'Supply planning data'!AH592</f>
        <v>0</v>
      </c>
      <c r="AG594" s="349">
        <f>'Supply planning data'!AI592</f>
        <v>0</v>
      </c>
      <c r="AH594" s="111">
        <f>'Supply planning data'!AJ592</f>
        <v>0</v>
      </c>
      <c r="AI594" s="111">
        <f>'Supply planning data'!AK592</f>
        <v>0</v>
      </c>
      <c r="AJ594" s="111">
        <f>'Supply planning data'!AL592</f>
        <v>0</v>
      </c>
      <c r="AK594" s="111">
        <f>'Supply planning data'!AM592</f>
        <v>0</v>
      </c>
      <c r="AL594" s="111">
        <f>'Supply planning data'!AN592</f>
        <v>0</v>
      </c>
      <c r="AM594" s="327" t="str">
        <f>'Supply planning data'!AO592</f>
        <v/>
      </c>
    </row>
    <row r="595" spans="1:39" x14ac:dyDescent="0.25">
      <c r="A595" s="109" t="str">
        <f>'Supply planning data'!C593</f>
        <v>Pfizer</v>
      </c>
      <c r="B595" s="298">
        <f>'Supply planning data'!D593</f>
        <v>45383</v>
      </c>
      <c r="C595" s="105" t="str">
        <f>'Supply planning data'!E593</f>
        <v>Yes</v>
      </c>
      <c r="D595" s="105">
        <f>'Supply planning data'!F593</f>
        <v>3000000</v>
      </c>
      <c r="E595" s="320">
        <f>'Supply planning data'!G593</f>
        <v>0</v>
      </c>
      <c r="F595" s="320">
        <f>'Supply planning data'!H593</f>
        <v>0</v>
      </c>
      <c r="G595" s="320">
        <f>'Supply planning data'!I593</f>
        <v>0</v>
      </c>
      <c r="H595" s="105">
        <f>'Supply planning data'!J593</f>
        <v>0</v>
      </c>
      <c r="I595" s="320">
        <f>'Supply planning data'!K593</f>
        <v>0</v>
      </c>
      <c r="J595" s="177" t="str">
        <f>'Supply planning data'!L593</f>
        <v/>
      </c>
      <c r="K595" s="105">
        <f>'Supply planning data'!M593</f>
        <v>0</v>
      </c>
      <c r="L595" s="321">
        <f>'Supply planning data'!N593+'Supply planning data'!P593</f>
        <v>0</v>
      </c>
      <c r="M595" s="342">
        <f>'Supply planning data'!O593</f>
        <v>0</v>
      </c>
      <c r="N595" s="321">
        <f>'Supply planning data'!P593</f>
        <v>0</v>
      </c>
      <c r="O595" s="342">
        <f>'Supply planning data'!Q593</f>
        <v>0</v>
      </c>
      <c r="P595" s="111">
        <f>'Supply planning data'!R593</f>
        <v>0</v>
      </c>
      <c r="Q595" s="111">
        <f>'Supply planning data'!S593</f>
        <v>0</v>
      </c>
      <c r="R595" s="111">
        <f>'Supply planning data'!T593</f>
        <v>110538</v>
      </c>
      <c r="S595" s="111">
        <f>'Supply planning data'!U593</f>
        <v>0</v>
      </c>
      <c r="T595" s="111">
        <f>'Supply planning data'!V593</f>
        <v>3000000</v>
      </c>
      <c r="U595" s="327" t="str">
        <f>'Supply planning data'!W593</f>
        <v/>
      </c>
      <c r="V595" s="111">
        <f>'Supply planning data'!X593</f>
        <v>2440000</v>
      </c>
      <c r="W595" s="321">
        <f>'Supply planning data'!Y593</f>
        <v>0</v>
      </c>
      <c r="X595" s="329">
        <f>'Supply planning data'!Z593</f>
        <v>0</v>
      </c>
      <c r="Y595" s="111">
        <f>'Supply planning data'!AA593</f>
        <v>0</v>
      </c>
      <c r="Z595" s="111">
        <f>'Supply planning data'!AB593</f>
        <v>0</v>
      </c>
      <c r="AA595" s="111">
        <f>'Supply planning data'!AC593</f>
        <v>0</v>
      </c>
      <c r="AB595" s="111">
        <f>'Supply planning data'!AD593</f>
        <v>0</v>
      </c>
      <c r="AC595" s="111">
        <f>'Supply planning data'!AE593</f>
        <v>2440000</v>
      </c>
      <c r="AD595" s="327" t="str">
        <f>'Supply planning data'!AF593</f>
        <v/>
      </c>
      <c r="AE595" s="111">
        <f>'Supply planning data'!AG593</f>
        <v>3000000</v>
      </c>
      <c r="AF595" s="321">
        <f>'Supply planning data'!AH593</f>
        <v>0</v>
      </c>
      <c r="AG595" s="349">
        <f>'Supply planning data'!AI593</f>
        <v>0</v>
      </c>
      <c r="AH595" s="111">
        <f>'Supply planning data'!AJ593</f>
        <v>0</v>
      </c>
      <c r="AI595" s="111">
        <f>'Supply planning data'!AK593</f>
        <v>0</v>
      </c>
      <c r="AJ595" s="111">
        <f>'Supply planning data'!AL593</f>
        <v>110538</v>
      </c>
      <c r="AK595" s="111">
        <f>'Supply planning data'!AM593</f>
        <v>0</v>
      </c>
      <c r="AL595" s="111">
        <f>'Supply planning data'!AN593</f>
        <v>3000000</v>
      </c>
      <c r="AM595" s="327" t="str">
        <f>'Supply planning data'!AO593</f>
        <v/>
      </c>
    </row>
    <row r="596" spans="1:39" x14ac:dyDescent="0.25">
      <c r="A596" s="104" t="str">
        <f>'Supply planning data'!C594</f>
        <v>Sinovac</v>
      </c>
      <c r="B596" s="298">
        <f>'Supply planning data'!D594</f>
        <v>45383</v>
      </c>
      <c r="C596" s="105" t="str">
        <f>'Supply planning data'!E594</f>
        <v>No</v>
      </c>
      <c r="D596" s="105">
        <f>'Supply planning data'!F594</f>
        <v>0</v>
      </c>
      <c r="E596" s="320">
        <f>'Supply planning data'!G594</f>
        <v>0</v>
      </c>
      <c r="F596" s="320">
        <f>'Supply planning data'!H594</f>
        <v>0</v>
      </c>
      <c r="G596" s="320">
        <f>'Supply planning data'!I594</f>
        <v>0</v>
      </c>
      <c r="H596" s="105">
        <f>'Supply planning data'!J594</f>
        <v>0</v>
      </c>
      <c r="I596" s="320">
        <f>'Supply planning data'!K594</f>
        <v>0</v>
      </c>
      <c r="J596" s="177" t="str">
        <f>'Supply planning data'!L594</f>
        <v/>
      </c>
      <c r="K596" s="105">
        <f>'Supply planning data'!M594</f>
        <v>0</v>
      </c>
      <c r="L596" s="321">
        <f>'Supply planning data'!N594+'Supply planning data'!P594</f>
        <v>0</v>
      </c>
      <c r="M596" s="342">
        <f>'Supply planning data'!O594</f>
        <v>0</v>
      </c>
      <c r="N596" s="321">
        <f>'Supply planning data'!P594</f>
        <v>0</v>
      </c>
      <c r="O596" s="342">
        <f>'Supply planning data'!Q594</f>
        <v>0</v>
      </c>
      <c r="P596" s="111">
        <f>'Supply planning data'!R594</f>
        <v>0</v>
      </c>
      <c r="Q596" s="111">
        <f>'Supply planning data'!S594</f>
        <v>0</v>
      </c>
      <c r="R596" s="111">
        <f>'Supply planning data'!T594</f>
        <v>0</v>
      </c>
      <c r="S596" s="111">
        <f>'Supply planning data'!U594</f>
        <v>0</v>
      </c>
      <c r="T596" s="111">
        <f>'Supply planning data'!V594</f>
        <v>0</v>
      </c>
      <c r="U596" s="327" t="str">
        <f>'Supply planning data'!W594</f>
        <v/>
      </c>
      <c r="V596" s="111">
        <f>'Supply planning data'!X594</f>
        <v>0</v>
      </c>
      <c r="W596" s="321">
        <f>'Supply planning data'!Y594</f>
        <v>0</v>
      </c>
      <c r="X596" s="329">
        <f>'Supply planning data'!Z594</f>
        <v>0</v>
      </c>
      <c r="Y596" s="111">
        <f>'Supply planning data'!AA594</f>
        <v>0</v>
      </c>
      <c r="Z596" s="111">
        <f>'Supply planning data'!AB594</f>
        <v>0</v>
      </c>
      <c r="AA596" s="111">
        <f>'Supply planning data'!AC594</f>
        <v>0</v>
      </c>
      <c r="AB596" s="111">
        <f>'Supply planning data'!AD594</f>
        <v>0</v>
      </c>
      <c r="AC596" s="111">
        <f>'Supply planning data'!AE594</f>
        <v>0</v>
      </c>
      <c r="AD596" s="327" t="str">
        <f>'Supply planning data'!AF594</f>
        <v/>
      </c>
      <c r="AE596" s="111">
        <f>'Supply planning data'!AG594</f>
        <v>0</v>
      </c>
      <c r="AF596" s="321">
        <f>'Supply planning data'!AH594</f>
        <v>0</v>
      </c>
      <c r="AG596" s="349">
        <f>'Supply planning data'!AI594</f>
        <v>0</v>
      </c>
      <c r="AH596" s="111">
        <f>'Supply planning data'!AJ594</f>
        <v>0</v>
      </c>
      <c r="AI596" s="111">
        <f>'Supply planning data'!AK594</f>
        <v>0</v>
      </c>
      <c r="AJ596" s="111">
        <f>'Supply planning data'!AL594</f>
        <v>0</v>
      </c>
      <c r="AK596" s="111">
        <f>'Supply planning data'!AM594</f>
        <v>0</v>
      </c>
      <c r="AL596" s="111">
        <f>'Supply planning data'!AN594</f>
        <v>0</v>
      </c>
      <c r="AM596" s="327" t="str">
        <f>'Supply planning data'!AO594</f>
        <v/>
      </c>
    </row>
    <row r="597" spans="1:39" hidden="1" x14ac:dyDescent="0.25">
      <c r="A597" s="109" t="str">
        <f>'Supply planning data'!C595</f>
        <v/>
      </c>
      <c r="B597" s="298">
        <f>'Supply planning data'!D595</f>
        <v>45383</v>
      </c>
      <c r="C597" s="105" t="str">
        <f>'Supply planning data'!E595</f>
        <v>No</v>
      </c>
      <c r="D597" s="105">
        <f>'Supply planning data'!F595</f>
        <v>0</v>
      </c>
      <c r="E597" s="320">
        <f>'Supply planning data'!G595</f>
        <v>0</v>
      </c>
      <c r="F597" s="320">
        <f>'Supply planning data'!H595</f>
        <v>0</v>
      </c>
      <c r="G597" s="320">
        <f>'Supply planning data'!I595</f>
        <v>0</v>
      </c>
      <c r="H597" s="105">
        <f>'Supply planning data'!J595</f>
        <v>0</v>
      </c>
      <c r="I597" s="320">
        <f>'Supply planning data'!K595</f>
        <v>0</v>
      </c>
      <c r="J597" s="177" t="str">
        <f>'Supply planning data'!L595</f>
        <v/>
      </c>
      <c r="K597" s="105">
        <f>'Supply planning data'!M595</f>
        <v>0</v>
      </c>
      <c r="L597" s="321">
        <f>'Supply planning data'!N595+'Supply planning data'!P595</f>
        <v>0</v>
      </c>
      <c r="M597" s="342">
        <f>'Supply planning data'!O595</f>
        <v>0</v>
      </c>
      <c r="N597" s="321">
        <f>'Supply planning data'!P595</f>
        <v>0</v>
      </c>
      <c r="O597" s="342">
        <f>'Supply planning data'!Q595</f>
        <v>0</v>
      </c>
      <c r="P597" s="111">
        <f>'Supply planning data'!R595</f>
        <v>0</v>
      </c>
      <c r="Q597" s="111">
        <f>'Supply planning data'!S595</f>
        <v>0</v>
      </c>
      <c r="R597" s="111">
        <f>'Supply planning data'!T595</f>
        <v>0</v>
      </c>
      <c r="S597" s="111">
        <f>'Supply planning data'!U595</f>
        <v>0</v>
      </c>
      <c r="T597" s="111">
        <f>'Supply planning data'!V595</f>
        <v>0</v>
      </c>
      <c r="U597" s="327" t="str">
        <f>'Supply planning data'!W595</f>
        <v/>
      </c>
      <c r="V597" s="111">
        <f>'Supply planning data'!X595</f>
        <v>0</v>
      </c>
      <c r="W597" s="321">
        <f>'Supply planning data'!Y595</f>
        <v>0</v>
      </c>
      <c r="X597" s="329">
        <f>'Supply planning data'!Z595</f>
        <v>0</v>
      </c>
      <c r="Y597" s="111">
        <f>'Supply planning data'!AA595</f>
        <v>0</v>
      </c>
      <c r="Z597" s="111">
        <f>'Supply planning data'!AB595</f>
        <v>0</v>
      </c>
      <c r="AA597" s="111">
        <f>'Supply planning data'!AC595</f>
        <v>0</v>
      </c>
      <c r="AB597" s="111">
        <f>'Supply planning data'!AD595</f>
        <v>0</v>
      </c>
      <c r="AC597" s="111">
        <f>'Supply planning data'!AE595</f>
        <v>0</v>
      </c>
      <c r="AD597" s="327" t="str">
        <f>'Supply planning data'!AF595</f>
        <v/>
      </c>
      <c r="AE597" s="111">
        <f>'Supply planning data'!AG595</f>
        <v>0</v>
      </c>
      <c r="AF597" s="321">
        <f>'Supply planning data'!AH595</f>
        <v>0</v>
      </c>
      <c r="AG597" s="349">
        <f>'Supply planning data'!AI595</f>
        <v>0</v>
      </c>
      <c r="AH597" s="111">
        <f>'Supply planning data'!AJ595</f>
        <v>0</v>
      </c>
      <c r="AI597" s="111">
        <f>'Supply planning data'!AK595</f>
        <v>0</v>
      </c>
      <c r="AJ597" s="111">
        <f>'Supply planning data'!AL595</f>
        <v>0</v>
      </c>
      <c r="AK597" s="111">
        <f>'Supply planning data'!AM595</f>
        <v>0</v>
      </c>
      <c r="AL597" s="111">
        <f>'Supply planning data'!AN595</f>
        <v>0</v>
      </c>
      <c r="AM597" s="327" t="str">
        <f>'Supply planning data'!AO595</f>
        <v/>
      </c>
    </row>
    <row r="598" spans="1:39" hidden="1" x14ac:dyDescent="0.25">
      <c r="A598" s="104" t="str">
        <f>'Supply planning data'!C596</f>
        <v/>
      </c>
      <c r="B598" s="298">
        <f>'Supply planning data'!D596</f>
        <v>45383</v>
      </c>
      <c r="C598" s="105" t="str">
        <f>'Supply planning data'!E596</f>
        <v>No</v>
      </c>
      <c r="D598" s="105">
        <f>'Supply planning data'!F596</f>
        <v>0</v>
      </c>
      <c r="E598" s="320">
        <f>'Supply planning data'!G596</f>
        <v>0</v>
      </c>
      <c r="F598" s="320">
        <f>'Supply planning data'!H596</f>
        <v>0</v>
      </c>
      <c r="G598" s="320">
        <f>'Supply planning data'!I596</f>
        <v>0</v>
      </c>
      <c r="H598" s="105">
        <f>'Supply planning data'!J596</f>
        <v>0</v>
      </c>
      <c r="I598" s="320">
        <f>'Supply planning data'!K596</f>
        <v>0</v>
      </c>
      <c r="J598" s="177" t="str">
        <f>'Supply planning data'!L596</f>
        <v/>
      </c>
      <c r="K598" s="105">
        <f>'Supply planning data'!M596</f>
        <v>0</v>
      </c>
      <c r="L598" s="321">
        <f>'Supply planning data'!N596+'Supply planning data'!P596</f>
        <v>0</v>
      </c>
      <c r="M598" s="342">
        <f>'Supply planning data'!O596</f>
        <v>0</v>
      </c>
      <c r="N598" s="321">
        <f>'Supply planning data'!P596</f>
        <v>0</v>
      </c>
      <c r="O598" s="342">
        <f>'Supply planning data'!Q596</f>
        <v>0</v>
      </c>
      <c r="P598" s="111">
        <f>'Supply planning data'!R596</f>
        <v>0</v>
      </c>
      <c r="Q598" s="111">
        <f>'Supply planning data'!S596</f>
        <v>0</v>
      </c>
      <c r="R598" s="111">
        <f>'Supply planning data'!T596</f>
        <v>0</v>
      </c>
      <c r="S598" s="111">
        <f>'Supply planning data'!U596</f>
        <v>0</v>
      </c>
      <c r="T598" s="111">
        <f>'Supply planning data'!V596</f>
        <v>0</v>
      </c>
      <c r="U598" s="327" t="str">
        <f>'Supply planning data'!W596</f>
        <v/>
      </c>
      <c r="V598" s="111">
        <f>'Supply planning data'!X596</f>
        <v>0</v>
      </c>
      <c r="W598" s="321">
        <f>'Supply planning data'!Y596</f>
        <v>0</v>
      </c>
      <c r="X598" s="329">
        <f>'Supply planning data'!Z596</f>
        <v>0</v>
      </c>
      <c r="Y598" s="111">
        <f>'Supply planning data'!AA596</f>
        <v>0</v>
      </c>
      <c r="Z598" s="111">
        <f>'Supply planning data'!AB596</f>
        <v>0</v>
      </c>
      <c r="AA598" s="111">
        <f>'Supply planning data'!AC596</f>
        <v>0</v>
      </c>
      <c r="AB598" s="111">
        <f>'Supply planning data'!AD596</f>
        <v>0</v>
      </c>
      <c r="AC598" s="111">
        <f>'Supply planning data'!AE596</f>
        <v>0</v>
      </c>
      <c r="AD598" s="327" t="str">
        <f>'Supply planning data'!AF596</f>
        <v/>
      </c>
      <c r="AE598" s="111">
        <f>'Supply planning data'!AG596</f>
        <v>0</v>
      </c>
      <c r="AF598" s="321">
        <f>'Supply planning data'!AH596</f>
        <v>0</v>
      </c>
      <c r="AG598" s="349">
        <f>'Supply planning data'!AI596</f>
        <v>0</v>
      </c>
      <c r="AH598" s="111">
        <f>'Supply planning data'!AJ596</f>
        <v>0</v>
      </c>
      <c r="AI598" s="111">
        <f>'Supply planning data'!AK596</f>
        <v>0</v>
      </c>
      <c r="AJ598" s="111">
        <f>'Supply planning data'!AL596</f>
        <v>0</v>
      </c>
      <c r="AK598" s="111">
        <f>'Supply planning data'!AM596</f>
        <v>0</v>
      </c>
      <c r="AL598" s="111">
        <f>'Supply planning data'!AN596</f>
        <v>0</v>
      </c>
      <c r="AM598" s="327" t="str">
        <f>'Supply planning data'!AO596</f>
        <v/>
      </c>
    </row>
    <row r="599" spans="1:39" hidden="1" x14ac:dyDescent="0.25">
      <c r="A599" s="109" t="str">
        <f>'Supply planning data'!C597</f>
        <v/>
      </c>
      <c r="B599" s="298">
        <f>'Supply planning data'!D597</f>
        <v>45383</v>
      </c>
      <c r="C599" s="105" t="str">
        <f>'Supply planning data'!E597</f>
        <v>No</v>
      </c>
      <c r="D599" s="105">
        <f>'Supply planning data'!F597</f>
        <v>0</v>
      </c>
      <c r="E599" s="320">
        <f>'Supply planning data'!G597</f>
        <v>0</v>
      </c>
      <c r="F599" s="320">
        <f>'Supply planning data'!H597</f>
        <v>0</v>
      </c>
      <c r="G599" s="320">
        <f>'Supply planning data'!I597</f>
        <v>0</v>
      </c>
      <c r="H599" s="105">
        <f>'Supply planning data'!J597</f>
        <v>0</v>
      </c>
      <c r="I599" s="320">
        <f>'Supply planning data'!K597</f>
        <v>0</v>
      </c>
      <c r="J599" s="177" t="str">
        <f>'Supply planning data'!L597</f>
        <v/>
      </c>
      <c r="K599" s="105">
        <f>'Supply planning data'!M597</f>
        <v>0</v>
      </c>
      <c r="L599" s="321">
        <f>'Supply planning data'!N597+'Supply planning data'!P597</f>
        <v>0</v>
      </c>
      <c r="M599" s="342">
        <f>'Supply planning data'!O597</f>
        <v>0</v>
      </c>
      <c r="N599" s="321">
        <f>'Supply planning data'!P597</f>
        <v>0</v>
      </c>
      <c r="O599" s="342">
        <f>'Supply planning data'!Q597</f>
        <v>0</v>
      </c>
      <c r="P599" s="111">
        <f>'Supply planning data'!R597</f>
        <v>0</v>
      </c>
      <c r="Q599" s="111">
        <f>'Supply planning data'!S597</f>
        <v>0</v>
      </c>
      <c r="R599" s="111">
        <f>'Supply planning data'!T597</f>
        <v>0</v>
      </c>
      <c r="S599" s="111">
        <f>'Supply planning data'!U597</f>
        <v>0</v>
      </c>
      <c r="T599" s="111">
        <f>'Supply planning data'!V597</f>
        <v>0</v>
      </c>
      <c r="U599" s="327" t="str">
        <f>'Supply planning data'!W597</f>
        <v/>
      </c>
      <c r="V599" s="111">
        <f>'Supply planning data'!X597</f>
        <v>0</v>
      </c>
      <c r="W599" s="321">
        <f>'Supply planning data'!Y597</f>
        <v>0</v>
      </c>
      <c r="X599" s="329">
        <f>'Supply planning data'!Z597</f>
        <v>0</v>
      </c>
      <c r="Y599" s="111">
        <f>'Supply planning data'!AA597</f>
        <v>0</v>
      </c>
      <c r="Z599" s="111">
        <f>'Supply planning data'!AB597</f>
        <v>0</v>
      </c>
      <c r="AA599" s="111">
        <f>'Supply planning data'!AC597</f>
        <v>0</v>
      </c>
      <c r="AB599" s="111">
        <f>'Supply planning data'!AD597</f>
        <v>0</v>
      </c>
      <c r="AC599" s="111">
        <f>'Supply planning data'!AE597</f>
        <v>0</v>
      </c>
      <c r="AD599" s="327" t="str">
        <f>'Supply planning data'!AF597</f>
        <v/>
      </c>
      <c r="AE599" s="111">
        <f>'Supply planning data'!AG597</f>
        <v>0</v>
      </c>
      <c r="AF599" s="321">
        <f>'Supply planning data'!AH597</f>
        <v>0</v>
      </c>
      <c r="AG599" s="349">
        <f>'Supply planning data'!AI597</f>
        <v>0</v>
      </c>
      <c r="AH599" s="111">
        <f>'Supply planning data'!AJ597</f>
        <v>0</v>
      </c>
      <c r="AI599" s="111">
        <f>'Supply planning data'!AK597</f>
        <v>0</v>
      </c>
      <c r="AJ599" s="111">
        <f>'Supply planning data'!AL597</f>
        <v>0</v>
      </c>
      <c r="AK599" s="111">
        <f>'Supply planning data'!AM597</f>
        <v>0</v>
      </c>
      <c r="AL599" s="111">
        <f>'Supply planning data'!AN597</f>
        <v>0</v>
      </c>
      <c r="AM599" s="327" t="str">
        <f>'Supply planning data'!AO597</f>
        <v/>
      </c>
    </row>
    <row r="600" spans="1:39" hidden="1" x14ac:dyDescent="0.25">
      <c r="A600" s="104" t="str">
        <f>'Supply planning data'!C598</f>
        <v/>
      </c>
      <c r="B600" s="298">
        <f>'Supply planning data'!D598</f>
        <v>45383</v>
      </c>
      <c r="C600" s="105" t="str">
        <f>'Supply planning data'!E598</f>
        <v>No</v>
      </c>
      <c r="D600" s="105">
        <f>'Supply planning data'!F598</f>
        <v>0</v>
      </c>
      <c r="E600" s="320">
        <f>'Supply planning data'!G598</f>
        <v>0</v>
      </c>
      <c r="F600" s="320">
        <f>'Supply planning data'!H598</f>
        <v>0</v>
      </c>
      <c r="G600" s="320">
        <f>'Supply planning data'!I598</f>
        <v>0</v>
      </c>
      <c r="H600" s="105">
        <f>'Supply planning data'!J598</f>
        <v>0</v>
      </c>
      <c r="I600" s="320">
        <f>'Supply planning data'!K598</f>
        <v>0</v>
      </c>
      <c r="J600" s="177" t="str">
        <f>'Supply planning data'!L598</f>
        <v/>
      </c>
      <c r="K600" s="105">
        <f>'Supply planning data'!M598</f>
        <v>0</v>
      </c>
      <c r="L600" s="321">
        <f>'Supply planning data'!N598+'Supply planning data'!P598</f>
        <v>0</v>
      </c>
      <c r="M600" s="342">
        <f>'Supply planning data'!O598</f>
        <v>0</v>
      </c>
      <c r="N600" s="321">
        <f>'Supply planning data'!P598</f>
        <v>0</v>
      </c>
      <c r="O600" s="342">
        <f>'Supply planning data'!Q598</f>
        <v>0</v>
      </c>
      <c r="P600" s="111">
        <f>'Supply planning data'!R598</f>
        <v>0</v>
      </c>
      <c r="Q600" s="111">
        <f>'Supply planning data'!S598</f>
        <v>0</v>
      </c>
      <c r="R600" s="111">
        <f>'Supply planning data'!T598</f>
        <v>0</v>
      </c>
      <c r="S600" s="111">
        <f>'Supply planning data'!U598</f>
        <v>0</v>
      </c>
      <c r="T600" s="111">
        <f>'Supply planning data'!V598</f>
        <v>0</v>
      </c>
      <c r="U600" s="327" t="str">
        <f>'Supply planning data'!W598</f>
        <v/>
      </c>
      <c r="V600" s="111">
        <f>'Supply planning data'!X598</f>
        <v>0</v>
      </c>
      <c r="W600" s="321">
        <f>'Supply planning data'!Y598</f>
        <v>0</v>
      </c>
      <c r="X600" s="329">
        <f>'Supply planning data'!Z598</f>
        <v>0</v>
      </c>
      <c r="Y600" s="111">
        <f>'Supply planning data'!AA598</f>
        <v>0</v>
      </c>
      <c r="Z600" s="111">
        <f>'Supply planning data'!AB598</f>
        <v>0</v>
      </c>
      <c r="AA600" s="111">
        <f>'Supply planning data'!AC598</f>
        <v>0</v>
      </c>
      <c r="AB600" s="111">
        <f>'Supply planning data'!AD598</f>
        <v>0</v>
      </c>
      <c r="AC600" s="111">
        <f>'Supply planning data'!AE598</f>
        <v>0</v>
      </c>
      <c r="AD600" s="327" t="str">
        <f>'Supply planning data'!AF598</f>
        <v/>
      </c>
      <c r="AE600" s="111">
        <f>'Supply planning data'!AG598</f>
        <v>0</v>
      </c>
      <c r="AF600" s="321">
        <f>'Supply planning data'!AH598</f>
        <v>0</v>
      </c>
      <c r="AG600" s="349">
        <f>'Supply planning data'!AI598</f>
        <v>0</v>
      </c>
      <c r="AH600" s="111">
        <f>'Supply planning data'!AJ598</f>
        <v>0</v>
      </c>
      <c r="AI600" s="111">
        <f>'Supply planning data'!AK598</f>
        <v>0</v>
      </c>
      <c r="AJ600" s="111">
        <f>'Supply planning data'!AL598</f>
        <v>0</v>
      </c>
      <c r="AK600" s="111">
        <f>'Supply planning data'!AM598</f>
        <v>0</v>
      </c>
      <c r="AL600" s="111">
        <f>'Supply planning data'!AN598</f>
        <v>0</v>
      </c>
      <c r="AM600" s="327" t="str">
        <f>'Supply planning data'!AO598</f>
        <v/>
      </c>
    </row>
    <row r="601" spans="1:39" hidden="1" x14ac:dyDescent="0.25">
      <c r="A601" s="109" t="str">
        <f>'Supply planning data'!C599</f>
        <v/>
      </c>
      <c r="B601" s="298">
        <f>'Supply planning data'!D599</f>
        <v>45383</v>
      </c>
      <c r="C601" s="105" t="str">
        <f>'Supply planning data'!E599</f>
        <v>No</v>
      </c>
      <c r="D601" s="105">
        <f>'Supply planning data'!F599</f>
        <v>0</v>
      </c>
      <c r="E601" s="320">
        <f>'Supply planning data'!G599</f>
        <v>0</v>
      </c>
      <c r="F601" s="320">
        <f>'Supply planning data'!H599</f>
        <v>0</v>
      </c>
      <c r="G601" s="320">
        <f>'Supply planning data'!I599</f>
        <v>0</v>
      </c>
      <c r="H601" s="105">
        <f>'Supply planning data'!J599</f>
        <v>0</v>
      </c>
      <c r="I601" s="320">
        <f>'Supply planning data'!K599</f>
        <v>0</v>
      </c>
      <c r="J601" s="177" t="str">
        <f>'Supply planning data'!L599</f>
        <v/>
      </c>
      <c r="K601" s="105">
        <f>'Supply planning data'!M599</f>
        <v>0</v>
      </c>
      <c r="L601" s="321">
        <f>'Supply planning data'!N599+'Supply planning data'!P599</f>
        <v>0</v>
      </c>
      <c r="M601" s="342">
        <f>'Supply planning data'!O599</f>
        <v>0</v>
      </c>
      <c r="N601" s="321">
        <f>'Supply planning data'!P599</f>
        <v>0</v>
      </c>
      <c r="O601" s="342">
        <f>'Supply planning data'!Q599</f>
        <v>0</v>
      </c>
      <c r="P601" s="111">
        <f>'Supply planning data'!R599</f>
        <v>0</v>
      </c>
      <c r="Q601" s="111">
        <f>'Supply planning data'!S599</f>
        <v>0</v>
      </c>
      <c r="R601" s="111">
        <f>'Supply planning data'!T599</f>
        <v>0</v>
      </c>
      <c r="S601" s="111">
        <f>'Supply planning data'!U599</f>
        <v>0</v>
      </c>
      <c r="T601" s="111">
        <f>'Supply planning data'!V599</f>
        <v>0</v>
      </c>
      <c r="U601" s="327" t="str">
        <f>'Supply planning data'!W599</f>
        <v/>
      </c>
      <c r="V601" s="111">
        <f>'Supply planning data'!X599</f>
        <v>0</v>
      </c>
      <c r="W601" s="321">
        <f>'Supply planning data'!Y599</f>
        <v>0</v>
      </c>
      <c r="X601" s="329">
        <f>'Supply planning data'!Z599</f>
        <v>0</v>
      </c>
      <c r="Y601" s="111">
        <f>'Supply planning data'!AA599</f>
        <v>0</v>
      </c>
      <c r="Z601" s="111">
        <f>'Supply planning data'!AB599</f>
        <v>0</v>
      </c>
      <c r="AA601" s="111">
        <f>'Supply planning data'!AC599</f>
        <v>0</v>
      </c>
      <c r="AB601" s="111">
        <f>'Supply planning data'!AD599</f>
        <v>0</v>
      </c>
      <c r="AC601" s="111">
        <f>'Supply planning data'!AE599</f>
        <v>0</v>
      </c>
      <c r="AD601" s="327" t="str">
        <f>'Supply planning data'!AF599</f>
        <v/>
      </c>
      <c r="AE601" s="111">
        <f>'Supply planning data'!AG599</f>
        <v>0</v>
      </c>
      <c r="AF601" s="321">
        <f>'Supply planning data'!AH599</f>
        <v>0</v>
      </c>
      <c r="AG601" s="349">
        <f>'Supply planning data'!AI599</f>
        <v>0</v>
      </c>
      <c r="AH601" s="111">
        <f>'Supply planning data'!AJ599</f>
        <v>0</v>
      </c>
      <c r="AI601" s="111">
        <f>'Supply planning data'!AK599</f>
        <v>0</v>
      </c>
      <c r="AJ601" s="111">
        <f>'Supply planning data'!AL599</f>
        <v>0</v>
      </c>
      <c r="AK601" s="111">
        <f>'Supply planning data'!AM599</f>
        <v>0</v>
      </c>
      <c r="AL601" s="111">
        <f>'Supply planning data'!AN599</f>
        <v>0</v>
      </c>
      <c r="AM601" s="327" t="str">
        <f>'Supply planning data'!AO599</f>
        <v/>
      </c>
    </row>
    <row r="602" spans="1:39" hidden="1" x14ac:dyDescent="0.25">
      <c r="A602" s="104" t="str">
        <f>'Supply planning data'!C600</f>
        <v/>
      </c>
      <c r="B602" s="298">
        <f>'Supply planning data'!D600</f>
        <v>45383</v>
      </c>
      <c r="C602" s="105" t="str">
        <f>'Supply planning data'!E600</f>
        <v>No</v>
      </c>
      <c r="D602" s="105">
        <f>'Supply planning data'!F600</f>
        <v>0</v>
      </c>
      <c r="E602" s="320">
        <f>'Supply planning data'!G600</f>
        <v>0</v>
      </c>
      <c r="F602" s="320">
        <f>'Supply planning data'!H600</f>
        <v>0</v>
      </c>
      <c r="G602" s="320">
        <f>'Supply planning data'!I600</f>
        <v>0</v>
      </c>
      <c r="H602" s="105">
        <f>'Supply planning data'!J600</f>
        <v>0</v>
      </c>
      <c r="I602" s="320">
        <f>'Supply planning data'!K600</f>
        <v>0</v>
      </c>
      <c r="J602" s="177" t="str">
        <f>'Supply planning data'!L600</f>
        <v/>
      </c>
      <c r="K602" s="105">
        <f>'Supply planning data'!M600</f>
        <v>0</v>
      </c>
      <c r="L602" s="321">
        <f>'Supply planning data'!N600+'Supply planning data'!P600</f>
        <v>0</v>
      </c>
      <c r="M602" s="342">
        <f>'Supply planning data'!O600</f>
        <v>0</v>
      </c>
      <c r="N602" s="321">
        <f>'Supply planning data'!P600</f>
        <v>0</v>
      </c>
      <c r="O602" s="342">
        <f>'Supply planning data'!Q600</f>
        <v>0</v>
      </c>
      <c r="P602" s="111">
        <f>'Supply planning data'!R600</f>
        <v>0</v>
      </c>
      <c r="Q602" s="111">
        <f>'Supply planning data'!S600</f>
        <v>0</v>
      </c>
      <c r="R602" s="111">
        <f>'Supply planning data'!T600</f>
        <v>0</v>
      </c>
      <c r="S602" s="111">
        <f>'Supply planning data'!U600</f>
        <v>0</v>
      </c>
      <c r="T602" s="111">
        <f>'Supply planning data'!V600</f>
        <v>0</v>
      </c>
      <c r="U602" s="327" t="str">
        <f>'Supply planning data'!W600</f>
        <v/>
      </c>
      <c r="V602" s="111">
        <f>'Supply planning data'!X600</f>
        <v>0</v>
      </c>
      <c r="W602" s="321">
        <f>'Supply planning data'!Y600</f>
        <v>0</v>
      </c>
      <c r="X602" s="329">
        <f>'Supply planning data'!Z600</f>
        <v>0</v>
      </c>
      <c r="Y602" s="111">
        <f>'Supply planning data'!AA600</f>
        <v>0</v>
      </c>
      <c r="Z602" s="111">
        <f>'Supply planning data'!AB600</f>
        <v>0</v>
      </c>
      <c r="AA602" s="111">
        <f>'Supply planning data'!AC600</f>
        <v>0</v>
      </c>
      <c r="AB602" s="111">
        <f>'Supply planning data'!AD600</f>
        <v>0</v>
      </c>
      <c r="AC602" s="111">
        <f>'Supply planning data'!AE600</f>
        <v>0</v>
      </c>
      <c r="AD602" s="327" t="str">
        <f>'Supply planning data'!AF600</f>
        <v/>
      </c>
      <c r="AE602" s="111">
        <f>'Supply planning data'!AG600</f>
        <v>0</v>
      </c>
      <c r="AF602" s="321">
        <f>'Supply planning data'!AH600</f>
        <v>0</v>
      </c>
      <c r="AG602" s="349">
        <f>'Supply planning data'!AI600</f>
        <v>0</v>
      </c>
      <c r="AH602" s="111">
        <f>'Supply planning data'!AJ600</f>
        <v>0</v>
      </c>
      <c r="AI602" s="111">
        <f>'Supply planning data'!AK600</f>
        <v>0</v>
      </c>
      <c r="AJ602" s="111">
        <f>'Supply planning data'!AL600</f>
        <v>0</v>
      </c>
      <c r="AK602" s="111">
        <f>'Supply planning data'!AM600</f>
        <v>0</v>
      </c>
      <c r="AL602" s="111">
        <f>'Supply planning data'!AN600</f>
        <v>0</v>
      </c>
      <c r="AM602" s="327" t="str">
        <f>'Supply planning data'!AO600</f>
        <v/>
      </c>
    </row>
    <row r="603" spans="1:39" hidden="1" x14ac:dyDescent="0.25">
      <c r="A603" s="109" t="str">
        <f>'Supply planning data'!C601</f>
        <v/>
      </c>
      <c r="B603" s="298">
        <f>'Supply planning data'!D601</f>
        <v>45383</v>
      </c>
      <c r="C603" s="105" t="str">
        <f>'Supply planning data'!E601</f>
        <v>No</v>
      </c>
      <c r="D603" s="105">
        <f>'Supply planning data'!F601</f>
        <v>0</v>
      </c>
      <c r="E603" s="320">
        <f>'Supply planning data'!G601</f>
        <v>0</v>
      </c>
      <c r="F603" s="320">
        <f>'Supply planning data'!H601</f>
        <v>0</v>
      </c>
      <c r="G603" s="320">
        <f>'Supply planning data'!I601</f>
        <v>0</v>
      </c>
      <c r="H603" s="105">
        <f>'Supply planning data'!J601</f>
        <v>0</v>
      </c>
      <c r="I603" s="320">
        <f>'Supply planning data'!K601</f>
        <v>0</v>
      </c>
      <c r="J603" s="177" t="str">
        <f>'Supply planning data'!L601</f>
        <v/>
      </c>
      <c r="K603" s="105">
        <f>'Supply planning data'!M601</f>
        <v>0</v>
      </c>
      <c r="L603" s="321">
        <f>'Supply planning data'!N601+'Supply planning data'!P601</f>
        <v>0</v>
      </c>
      <c r="M603" s="342">
        <f>'Supply planning data'!O601</f>
        <v>0</v>
      </c>
      <c r="N603" s="321">
        <f>'Supply planning data'!P601</f>
        <v>0</v>
      </c>
      <c r="O603" s="342">
        <f>'Supply planning data'!Q601</f>
        <v>0</v>
      </c>
      <c r="P603" s="111">
        <f>'Supply planning data'!R601</f>
        <v>0</v>
      </c>
      <c r="Q603" s="111">
        <f>'Supply planning data'!S601</f>
        <v>0</v>
      </c>
      <c r="R603" s="111">
        <f>'Supply planning data'!T601</f>
        <v>0</v>
      </c>
      <c r="S603" s="111">
        <f>'Supply planning data'!U601</f>
        <v>0</v>
      </c>
      <c r="T603" s="111">
        <f>'Supply planning data'!V601</f>
        <v>0</v>
      </c>
      <c r="U603" s="327" t="str">
        <f>'Supply planning data'!W601</f>
        <v/>
      </c>
      <c r="V603" s="111">
        <f>'Supply planning data'!X601</f>
        <v>0</v>
      </c>
      <c r="W603" s="321">
        <f>'Supply planning data'!Y601</f>
        <v>0</v>
      </c>
      <c r="X603" s="329">
        <f>'Supply planning data'!Z601</f>
        <v>0</v>
      </c>
      <c r="Y603" s="111">
        <f>'Supply planning data'!AA601</f>
        <v>0</v>
      </c>
      <c r="Z603" s="111">
        <f>'Supply planning data'!AB601</f>
        <v>0</v>
      </c>
      <c r="AA603" s="111">
        <f>'Supply planning data'!AC601</f>
        <v>0</v>
      </c>
      <c r="AB603" s="111">
        <f>'Supply planning data'!AD601</f>
        <v>0</v>
      </c>
      <c r="AC603" s="111">
        <f>'Supply planning data'!AE601</f>
        <v>0</v>
      </c>
      <c r="AD603" s="327" t="str">
        <f>'Supply planning data'!AF601</f>
        <v/>
      </c>
      <c r="AE603" s="111">
        <f>'Supply planning data'!AG601</f>
        <v>0</v>
      </c>
      <c r="AF603" s="321">
        <f>'Supply planning data'!AH601</f>
        <v>0</v>
      </c>
      <c r="AG603" s="349">
        <f>'Supply planning data'!AI601</f>
        <v>0</v>
      </c>
      <c r="AH603" s="111">
        <f>'Supply planning data'!AJ601</f>
        <v>0</v>
      </c>
      <c r="AI603" s="111">
        <f>'Supply planning data'!AK601</f>
        <v>0</v>
      </c>
      <c r="AJ603" s="111">
        <f>'Supply planning data'!AL601</f>
        <v>0</v>
      </c>
      <c r="AK603" s="111">
        <f>'Supply planning data'!AM601</f>
        <v>0</v>
      </c>
      <c r="AL603" s="111">
        <f>'Supply planning data'!AN601</f>
        <v>0</v>
      </c>
      <c r="AM603" s="327" t="str">
        <f>'Supply planning data'!AO601</f>
        <v/>
      </c>
    </row>
    <row r="604" spans="1:39" hidden="1" x14ac:dyDescent="0.25">
      <c r="A604" s="104" t="str">
        <f>'Supply planning data'!C602</f>
        <v/>
      </c>
      <c r="B604" s="298">
        <f>'Supply planning data'!D602</f>
        <v>45383</v>
      </c>
      <c r="C604" s="105" t="str">
        <f>'Supply planning data'!E602</f>
        <v>No</v>
      </c>
      <c r="D604" s="105">
        <f>'Supply planning data'!F602</f>
        <v>0</v>
      </c>
      <c r="E604" s="320">
        <f>'Supply planning data'!G602</f>
        <v>0</v>
      </c>
      <c r="F604" s="320">
        <f>'Supply planning data'!H602</f>
        <v>0</v>
      </c>
      <c r="G604" s="320">
        <f>'Supply planning data'!I602</f>
        <v>0</v>
      </c>
      <c r="H604" s="105">
        <f>'Supply planning data'!J602</f>
        <v>0</v>
      </c>
      <c r="I604" s="320">
        <f>'Supply planning data'!K602</f>
        <v>0</v>
      </c>
      <c r="J604" s="177" t="str">
        <f>'Supply planning data'!L602</f>
        <v/>
      </c>
      <c r="K604" s="105">
        <f>'Supply planning data'!M602</f>
        <v>0</v>
      </c>
      <c r="L604" s="321">
        <f>'Supply planning data'!N602+'Supply planning data'!P602</f>
        <v>0</v>
      </c>
      <c r="M604" s="342">
        <f>'Supply planning data'!O602</f>
        <v>0</v>
      </c>
      <c r="N604" s="321">
        <f>'Supply planning data'!P602</f>
        <v>0</v>
      </c>
      <c r="O604" s="342">
        <f>'Supply planning data'!Q602</f>
        <v>0</v>
      </c>
      <c r="P604" s="111">
        <f>'Supply planning data'!R602</f>
        <v>0</v>
      </c>
      <c r="Q604" s="111">
        <f>'Supply planning data'!S602</f>
        <v>0</v>
      </c>
      <c r="R604" s="111">
        <f>'Supply planning data'!T602</f>
        <v>0</v>
      </c>
      <c r="S604" s="111">
        <f>'Supply planning data'!U602</f>
        <v>0</v>
      </c>
      <c r="T604" s="111">
        <f>'Supply planning data'!V602</f>
        <v>0</v>
      </c>
      <c r="U604" s="327" t="str">
        <f>'Supply planning data'!W602</f>
        <v/>
      </c>
      <c r="V604" s="111">
        <f>'Supply planning data'!X602</f>
        <v>0</v>
      </c>
      <c r="W604" s="321">
        <f>'Supply planning data'!Y602</f>
        <v>0</v>
      </c>
      <c r="X604" s="329">
        <f>'Supply planning data'!Z602</f>
        <v>0</v>
      </c>
      <c r="Y604" s="111">
        <f>'Supply planning data'!AA602</f>
        <v>0</v>
      </c>
      <c r="Z604" s="111">
        <f>'Supply planning data'!AB602</f>
        <v>0</v>
      </c>
      <c r="AA604" s="111">
        <f>'Supply planning data'!AC602</f>
        <v>0</v>
      </c>
      <c r="AB604" s="111">
        <f>'Supply planning data'!AD602</f>
        <v>0</v>
      </c>
      <c r="AC604" s="111">
        <f>'Supply planning data'!AE602</f>
        <v>0</v>
      </c>
      <c r="AD604" s="327" t="str">
        <f>'Supply planning data'!AF602</f>
        <v/>
      </c>
      <c r="AE604" s="111">
        <f>'Supply planning data'!AG602</f>
        <v>0</v>
      </c>
      <c r="AF604" s="321">
        <f>'Supply planning data'!AH602</f>
        <v>0</v>
      </c>
      <c r="AG604" s="349">
        <f>'Supply planning data'!AI602</f>
        <v>0</v>
      </c>
      <c r="AH604" s="111">
        <f>'Supply planning data'!AJ602</f>
        <v>0</v>
      </c>
      <c r="AI604" s="111">
        <f>'Supply planning data'!AK602</f>
        <v>0</v>
      </c>
      <c r="AJ604" s="111">
        <f>'Supply planning data'!AL602</f>
        <v>0</v>
      </c>
      <c r="AK604" s="111">
        <f>'Supply planning data'!AM602</f>
        <v>0</v>
      </c>
      <c r="AL604" s="111">
        <f>'Supply planning data'!AN602</f>
        <v>0</v>
      </c>
      <c r="AM604" s="327" t="str">
        <f>'Supply planning data'!AO602</f>
        <v/>
      </c>
    </row>
    <row r="605" spans="1:39" hidden="1" x14ac:dyDescent="0.25">
      <c r="A605" s="109" t="str">
        <f>'Supply planning data'!C603</f>
        <v/>
      </c>
      <c r="B605" s="298">
        <f>'Supply planning data'!D603</f>
        <v>45383</v>
      </c>
      <c r="C605" s="105" t="str">
        <f>'Supply planning data'!E603</f>
        <v>No</v>
      </c>
      <c r="D605" s="105">
        <f>'Supply planning data'!F603</f>
        <v>0</v>
      </c>
      <c r="E605" s="320">
        <f>'Supply planning data'!G603</f>
        <v>0</v>
      </c>
      <c r="F605" s="320">
        <f>'Supply planning data'!H603</f>
        <v>0</v>
      </c>
      <c r="G605" s="320">
        <f>'Supply planning data'!I603</f>
        <v>0</v>
      </c>
      <c r="H605" s="105">
        <f>'Supply planning data'!J603</f>
        <v>0</v>
      </c>
      <c r="I605" s="320">
        <f>'Supply planning data'!K603</f>
        <v>0</v>
      </c>
      <c r="J605" s="177" t="str">
        <f>'Supply planning data'!L603</f>
        <v/>
      </c>
      <c r="K605" s="105">
        <f>'Supply planning data'!M603</f>
        <v>0</v>
      </c>
      <c r="L605" s="321">
        <f>'Supply planning data'!N603+'Supply planning data'!P603</f>
        <v>0</v>
      </c>
      <c r="M605" s="342">
        <f>'Supply planning data'!O603</f>
        <v>0</v>
      </c>
      <c r="N605" s="321">
        <f>'Supply planning data'!P603</f>
        <v>0</v>
      </c>
      <c r="O605" s="342">
        <f>'Supply planning data'!Q603</f>
        <v>0</v>
      </c>
      <c r="P605" s="111">
        <f>'Supply planning data'!R603</f>
        <v>0</v>
      </c>
      <c r="Q605" s="111">
        <f>'Supply planning data'!S603</f>
        <v>0</v>
      </c>
      <c r="R605" s="111">
        <f>'Supply planning data'!T603</f>
        <v>0</v>
      </c>
      <c r="S605" s="111">
        <f>'Supply planning data'!U603</f>
        <v>0</v>
      </c>
      <c r="T605" s="111">
        <f>'Supply planning data'!V603</f>
        <v>0</v>
      </c>
      <c r="U605" s="327" t="str">
        <f>'Supply planning data'!W603</f>
        <v/>
      </c>
      <c r="V605" s="111">
        <f>'Supply planning data'!X603</f>
        <v>0</v>
      </c>
      <c r="W605" s="321">
        <f>'Supply planning data'!Y603</f>
        <v>0</v>
      </c>
      <c r="X605" s="329">
        <f>'Supply planning data'!Z603</f>
        <v>0</v>
      </c>
      <c r="Y605" s="111">
        <f>'Supply planning data'!AA603</f>
        <v>0</v>
      </c>
      <c r="Z605" s="111">
        <f>'Supply planning data'!AB603</f>
        <v>0</v>
      </c>
      <c r="AA605" s="111">
        <f>'Supply planning data'!AC603</f>
        <v>0</v>
      </c>
      <c r="AB605" s="111">
        <f>'Supply planning data'!AD603</f>
        <v>0</v>
      </c>
      <c r="AC605" s="111">
        <f>'Supply planning data'!AE603</f>
        <v>0</v>
      </c>
      <c r="AD605" s="327" t="str">
        <f>'Supply planning data'!AF603</f>
        <v/>
      </c>
      <c r="AE605" s="111">
        <f>'Supply planning data'!AG603</f>
        <v>0</v>
      </c>
      <c r="AF605" s="321">
        <f>'Supply planning data'!AH603</f>
        <v>0</v>
      </c>
      <c r="AG605" s="349">
        <f>'Supply planning data'!AI603</f>
        <v>0</v>
      </c>
      <c r="AH605" s="111">
        <f>'Supply planning data'!AJ603</f>
        <v>0</v>
      </c>
      <c r="AI605" s="111">
        <f>'Supply planning data'!AK603</f>
        <v>0</v>
      </c>
      <c r="AJ605" s="111">
        <f>'Supply planning data'!AL603</f>
        <v>0</v>
      </c>
      <c r="AK605" s="111">
        <f>'Supply planning data'!AM603</f>
        <v>0</v>
      </c>
      <c r="AL605" s="111">
        <f>'Supply planning data'!AN603</f>
        <v>0</v>
      </c>
      <c r="AM605" s="327" t="str">
        <f>'Supply planning data'!AO603</f>
        <v/>
      </c>
    </row>
    <row r="606" spans="1:39" hidden="1" x14ac:dyDescent="0.25">
      <c r="A606" s="104" t="str">
        <f>'Supply planning data'!C604</f>
        <v/>
      </c>
      <c r="B606" s="298">
        <f>'Supply planning data'!D604</f>
        <v>45383</v>
      </c>
      <c r="C606" s="105" t="str">
        <f>'Supply planning data'!E604</f>
        <v>No</v>
      </c>
      <c r="D606" s="105">
        <f>'Supply planning data'!F604</f>
        <v>0</v>
      </c>
      <c r="E606" s="320">
        <f>'Supply planning data'!G604</f>
        <v>0</v>
      </c>
      <c r="F606" s="320">
        <f>'Supply planning data'!H604</f>
        <v>0</v>
      </c>
      <c r="G606" s="320">
        <f>'Supply planning data'!I604</f>
        <v>0</v>
      </c>
      <c r="H606" s="105">
        <f>'Supply planning data'!J604</f>
        <v>0</v>
      </c>
      <c r="I606" s="320">
        <f>'Supply planning data'!K604</f>
        <v>0</v>
      </c>
      <c r="J606" s="177" t="str">
        <f>'Supply planning data'!L604</f>
        <v/>
      </c>
      <c r="K606" s="105">
        <f>'Supply planning data'!M604</f>
        <v>0</v>
      </c>
      <c r="L606" s="321">
        <f>'Supply planning data'!N604+'Supply planning data'!P604</f>
        <v>0</v>
      </c>
      <c r="M606" s="342">
        <f>'Supply planning data'!O604</f>
        <v>0</v>
      </c>
      <c r="N606" s="321">
        <f>'Supply planning data'!P604</f>
        <v>0</v>
      </c>
      <c r="O606" s="342">
        <f>'Supply planning data'!Q604</f>
        <v>0</v>
      </c>
      <c r="P606" s="111">
        <f>'Supply planning data'!R604</f>
        <v>0</v>
      </c>
      <c r="Q606" s="111">
        <f>'Supply planning data'!S604</f>
        <v>0</v>
      </c>
      <c r="R606" s="111">
        <f>'Supply planning data'!T604</f>
        <v>0</v>
      </c>
      <c r="S606" s="111">
        <f>'Supply planning data'!U604</f>
        <v>0</v>
      </c>
      <c r="T606" s="111">
        <f>'Supply planning data'!V604</f>
        <v>0</v>
      </c>
      <c r="U606" s="327" t="str">
        <f>'Supply planning data'!W604</f>
        <v/>
      </c>
      <c r="V606" s="111">
        <f>'Supply planning data'!X604</f>
        <v>0</v>
      </c>
      <c r="W606" s="321">
        <f>'Supply planning data'!Y604</f>
        <v>0</v>
      </c>
      <c r="X606" s="329">
        <f>'Supply planning data'!Z604</f>
        <v>0</v>
      </c>
      <c r="Y606" s="111">
        <f>'Supply planning data'!AA604</f>
        <v>0</v>
      </c>
      <c r="Z606" s="111">
        <f>'Supply planning data'!AB604</f>
        <v>0</v>
      </c>
      <c r="AA606" s="111">
        <f>'Supply planning data'!AC604</f>
        <v>0</v>
      </c>
      <c r="AB606" s="111">
        <f>'Supply planning data'!AD604</f>
        <v>0</v>
      </c>
      <c r="AC606" s="111">
        <f>'Supply planning data'!AE604</f>
        <v>0</v>
      </c>
      <c r="AD606" s="327" t="str">
        <f>'Supply planning data'!AF604</f>
        <v/>
      </c>
      <c r="AE606" s="111">
        <f>'Supply planning data'!AG604</f>
        <v>0</v>
      </c>
      <c r="AF606" s="321">
        <f>'Supply planning data'!AH604</f>
        <v>0</v>
      </c>
      <c r="AG606" s="349">
        <f>'Supply planning data'!AI604</f>
        <v>0</v>
      </c>
      <c r="AH606" s="111">
        <f>'Supply planning data'!AJ604</f>
        <v>0</v>
      </c>
      <c r="AI606" s="111">
        <f>'Supply planning data'!AK604</f>
        <v>0</v>
      </c>
      <c r="AJ606" s="111">
        <f>'Supply planning data'!AL604</f>
        <v>0</v>
      </c>
      <c r="AK606" s="111">
        <f>'Supply planning data'!AM604</f>
        <v>0</v>
      </c>
      <c r="AL606" s="111">
        <f>'Supply planning data'!AN604</f>
        <v>0</v>
      </c>
      <c r="AM606" s="327" t="str">
        <f>'Supply planning data'!AO604</f>
        <v/>
      </c>
    </row>
    <row r="607" spans="1:39" x14ac:dyDescent="0.25">
      <c r="A607" s="90" t="str">
        <f>'Supply planning data'!C605</f>
        <v>AstraZeneca</v>
      </c>
      <c r="B607" s="296">
        <f>'Supply planning data'!D605</f>
        <v>45413</v>
      </c>
      <c r="C607" s="92" t="str">
        <f>'Supply planning data'!E605</f>
        <v>Yes</v>
      </c>
      <c r="D607" s="92">
        <f>'Supply planning data'!F605</f>
        <v>0</v>
      </c>
      <c r="E607" s="316">
        <f>'Supply planning data'!G605</f>
        <v>0</v>
      </c>
      <c r="F607" s="316">
        <f>'Supply planning data'!H605</f>
        <v>0</v>
      </c>
      <c r="G607" s="316">
        <f>'Supply planning data'!I605</f>
        <v>0</v>
      </c>
      <c r="H607" s="92">
        <f>'Supply planning data'!J605</f>
        <v>0</v>
      </c>
      <c r="I607" s="316">
        <f>'Supply planning data'!K605</f>
        <v>0</v>
      </c>
      <c r="J607" s="174" t="str">
        <f>'Supply planning data'!L605</f>
        <v/>
      </c>
      <c r="K607" s="92">
        <f>'Supply planning data'!M605</f>
        <v>0</v>
      </c>
      <c r="L607" s="316">
        <f>'Supply planning data'!N605+'Supply planning data'!P605</f>
        <v>0</v>
      </c>
      <c r="M607" s="343">
        <f>'Supply planning data'!O605</f>
        <v>0</v>
      </c>
      <c r="N607" s="316">
        <f>'Supply planning data'!P605</f>
        <v>0</v>
      </c>
      <c r="O607" s="343">
        <f>'Supply planning data'!Q605</f>
        <v>0</v>
      </c>
      <c r="P607" s="92">
        <f>'Supply planning data'!R605</f>
        <v>0</v>
      </c>
      <c r="Q607" s="92">
        <f>'Supply planning data'!S605</f>
        <v>0</v>
      </c>
      <c r="R607" s="92">
        <f>'Supply planning data'!T605</f>
        <v>0</v>
      </c>
      <c r="S607" s="92">
        <f>'Supply planning data'!U605</f>
        <v>0</v>
      </c>
      <c r="T607" s="92">
        <f>'Supply planning data'!V605</f>
        <v>0</v>
      </c>
      <c r="U607" s="324" t="str">
        <f>'Supply planning data'!W605</f>
        <v/>
      </c>
      <c r="V607" s="92">
        <f>'Supply planning data'!X605</f>
        <v>154701</v>
      </c>
      <c r="W607" s="316">
        <f>'Supply planning data'!Y605</f>
        <v>0</v>
      </c>
      <c r="X607" s="328">
        <f>'Supply planning data'!Z605</f>
        <v>0</v>
      </c>
      <c r="Y607" s="92">
        <f>'Supply planning data'!AA605</f>
        <v>0</v>
      </c>
      <c r="Z607" s="92">
        <f>'Supply planning data'!AB605</f>
        <v>0</v>
      </c>
      <c r="AA607" s="92">
        <f>'Supply planning data'!AC605</f>
        <v>0</v>
      </c>
      <c r="AB607" s="92">
        <f>'Supply planning data'!AD605</f>
        <v>0</v>
      </c>
      <c r="AC607" s="92">
        <f>'Supply planning data'!AE605</f>
        <v>154701</v>
      </c>
      <c r="AD607" s="324" t="str">
        <f>'Supply planning data'!AF605</f>
        <v/>
      </c>
      <c r="AE607" s="92">
        <f>'Supply planning data'!AG605</f>
        <v>0</v>
      </c>
      <c r="AF607" s="316">
        <f>'Supply planning data'!AH605</f>
        <v>0</v>
      </c>
      <c r="AG607" s="174">
        <f>'Supply planning data'!AI605</f>
        <v>0</v>
      </c>
      <c r="AH607" s="92">
        <f>'Supply planning data'!AJ605</f>
        <v>0</v>
      </c>
      <c r="AI607" s="92">
        <f>'Supply planning data'!AK605</f>
        <v>0</v>
      </c>
      <c r="AJ607" s="92">
        <f>'Supply planning data'!AL605</f>
        <v>0</v>
      </c>
      <c r="AK607" s="92">
        <f>'Supply planning data'!AM605</f>
        <v>0</v>
      </c>
      <c r="AL607" s="92">
        <f>'Supply planning data'!AN605</f>
        <v>0</v>
      </c>
      <c r="AM607" s="324" t="str">
        <f>'Supply planning data'!AO605</f>
        <v/>
      </c>
    </row>
    <row r="608" spans="1:39" x14ac:dyDescent="0.25">
      <c r="A608" s="90" t="str">
        <f>'Supply planning data'!C606</f>
        <v>Jansen</v>
      </c>
      <c r="B608" s="296">
        <f>'Supply planning data'!D606</f>
        <v>45413</v>
      </c>
      <c r="C608" s="92" t="str">
        <f>'Supply planning data'!E606</f>
        <v>Yes</v>
      </c>
      <c r="D608" s="92">
        <f>'Supply planning data'!F606</f>
        <v>1871200</v>
      </c>
      <c r="E608" s="316">
        <f>'Supply planning data'!G606</f>
        <v>0</v>
      </c>
      <c r="F608" s="317">
        <f>'Supply planning data'!H606</f>
        <v>0</v>
      </c>
      <c r="G608" s="317">
        <f>'Supply planning data'!I606</f>
        <v>0</v>
      </c>
      <c r="H608" s="98">
        <f>'Supply planning data'!J606</f>
        <v>0</v>
      </c>
      <c r="I608" s="317">
        <f>'Supply planning data'!K606</f>
        <v>0</v>
      </c>
      <c r="J608" s="175" t="str">
        <f>'Supply planning data'!L606</f>
        <v/>
      </c>
      <c r="K608" s="98">
        <f>'Supply planning data'!M606</f>
        <v>0</v>
      </c>
      <c r="L608" s="317">
        <f>'Supply planning data'!N606+'Supply planning data'!P606</f>
        <v>0</v>
      </c>
      <c r="M608" s="339">
        <f>'Supply planning data'!O606</f>
        <v>0</v>
      </c>
      <c r="N608" s="317">
        <f>'Supply planning data'!P606</f>
        <v>0</v>
      </c>
      <c r="O608" s="339">
        <f>'Supply planning data'!Q606</f>
        <v>0</v>
      </c>
      <c r="P608" s="98">
        <f>'Supply planning data'!R606</f>
        <v>0</v>
      </c>
      <c r="Q608" s="98">
        <f>'Supply planning data'!S606</f>
        <v>0</v>
      </c>
      <c r="R608" s="98">
        <f>'Supply planning data'!T606</f>
        <v>387547</v>
      </c>
      <c r="S608" s="98">
        <f>'Supply planning data'!U606</f>
        <v>0</v>
      </c>
      <c r="T608" s="98">
        <f>'Supply planning data'!V606</f>
        <v>1871200</v>
      </c>
      <c r="U608" s="325" t="str">
        <f>'Supply planning data'!W606</f>
        <v/>
      </c>
      <c r="V608" s="98">
        <f>'Supply planning data'!X606</f>
        <v>1311200</v>
      </c>
      <c r="W608" s="317">
        <f>'Supply planning data'!Y606</f>
        <v>0</v>
      </c>
      <c r="X608" s="328">
        <f>'Supply planning data'!Z606</f>
        <v>0</v>
      </c>
      <c r="Y608" s="98">
        <f>'Supply planning data'!AA606</f>
        <v>0</v>
      </c>
      <c r="Z608" s="98">
        <f>'Supply planning data'!AB606</f>
        <v>0</v>
      </c>
      <c r="AA608" s="98">
        <f>'Supply planning data'!AC606</f>
        <v>0</v>
      </c>
      <c r="AB608" s="98">
        <f>'Supply planning data'!AD606</f>
        <v>0</v>
      </c>
      <c r="AC608" s="98">
        <f>'Supply planning data'!AE606</f>
        <v>1311200</v>
      </c>
      <c r="AD608" s="325" t="str">
        <f>'Supply planning data'!AF606</f>
        <v/>
      </c>
      <c r="AE608" s="98">
        <f>'Supply planning data'!AG606</f>
        <v>1871200</v>
      </c>
      <c r="AF608" s="317">
        <f>'Supply planning data'!AH606</f>
        <v>0</v>
      </c>
      <c r="AG608" s="175">
        <f>'Supply planning data'!AI606</f>
        <v>0</v>
      </c>
      <c r="AH608" s="98">
        <f>'Supply planning data'!AJ606</f>
        <v>0</v>
      </c>
      <c r="AI608" s="98">
        <f>'Supply planning data'!AK606</f>
        <v>0</v>
      </c>
      <c r="AJ608" s="98">
        <f>'Supply planning data'!AL606</f>
        <v>387547</v>
      </c>
      <c r="AK608" s="98">
        <f>'Supply planning data'!AM606</f>
        <v>0</v>
      </c>
      <c r="AL608" s="98">
        <f>'Supply planning data'!AN606</f>
        <v>1871200</v>
      </c>
      <c r="AM608" s="325" t="str">
        <f>'Supply planning data'!AO606</f>
        <v/>
      </c>
    </row>
    <row r="609" spans="1:39" x14ac:dyDescent="0.25">
      <c r="A609" s="90" t="str">
        <f>'Supply planning data'!C607</f>
        <v>Moderna</v>
      </c>
      <c r="B609" s="296">
        <f>'Supply planning data'!D607</f>
        <v>45413</v>
      </c>
      <c r="C609" s="92" t="str">
        <f>'Supply planning data'!E607</f>
        <v>No</v>
      </c>
      <c r="D609" s="92">
        <f>'Supply planning data'!F607</f>
        <v>0</v>
      </c>
      <c r="E609" s="316">
        <f>'Supply planning data'!G607</f>
        <v>0</v>
      </c>
      <c r="F609" s="317">
        <f>'Supply planning data'!H607</f>
        <v>0</v>
      </c>
      <c r="G609" s="317">
        <f>'Supply planning data'!I607</f>
        <v>0</v>
      </c>
      <c r="H609" s="98">
        <f>'Supply planning data'!J607</f>
        <v>0</v>
      </c>
      <c r="I609" s="317">
        <f>'Supply planning data'!K607</f>
        <v>0</v>
      </c>
      <c r="J609" s="175" t="str">
        <f>'Supply planning data'!L607</f>
        <v/>
      </c>
      <c r="K609" s="98">
        <f>'Supply planning data'!M607</f>
        <v>0</v>
      </c>
      <c r="L609" s="317">
        <f>'Supply planning data'!N607+'Supply planning data'!P607</f>
        <v>0</v>
      </c>
      <c r="M609" s="339">
        <f>'Supply planning data'!O607</f>
        <v>0</v>
      </c>
      <c r="N609" s="317">
        <f>'Supply planning data'!P607</f>
        <v>0</v>
      </c>
      <c r="O609" s="339">
        <f>'Supply planning data'!Q607</f>
        <v>0</v>
      </c>
      <c r="P609" s="98">
        <f>'Supply planning data'!R607</f>
        <v>0</v>
      </c>
      <c r="Q609" s="98">
        <f>'Supply planning data'!S607</f>
        <v>0</v>
      </c>
      <c r="R609" s="98">
        <f>'Supply planning data'!T607</f>
        <v>0</v>
      </c>
      <c r="S609" s="98">
        <f>'Supply planning data'!U607</f>
        <v>0</v>
      </c>
      <c r="T609" s="98">
        <f>'Supply planning data'!V607</f>
        <v>0</v>
      </c>
      <c r="U609" s="325" t="str">
        <f>'Supply planning data'!W607</f>
        <v/>
      </c>
      <c r="V609" s="98">
        <f>'Supply planning data'!X607</f>
        <v>0</v>
      </c>
      <c r="W609" s="317">
        <f>'Supply planning data'!Y607</f>
        <v>0</v>
      </c>
      <c r="X609" s="328">
        <f>'Supply planning data'!Z607</f>
        <v>0</v>
      </c>
      <c r="Y609" s="98">
        <f>'Supply planning data'!AA607</f>
        <v>0</v>
      </c>
      <c r="Z609" s="98">
        <f>'Supply planning data'!AB607</f>
        <v>0</v>
      </c>
      <c r="AA609" s="98">
        <f>'Supply planning data'!AC607</f>
        <v>0</v>
      </c>
      <c r="AB609" s="98">
        <f>'Supply planning data'!AD607</f>
        <v>0</v>
      </c>
      <c r="AC609" s="98">
        <f>'Supply planning data'!AE607</f>
        <v>0</v>
      </c>
      <c r="AD609" s="325" t="str">
        <f>'Supply planning data'!AF607</f>
        <v/>
      </c>
      <c r="AE609" s="98">
        <f>'Supply planning data'!AG607</f>
        <v>0</v>
      </c>
      <c r="AF609" s="317">
        <f>'Supply planning data'!AH607</f>
        <v>0</v>
      </c>
      <c r="AG609" s="175">
        <f>'Supply planning data'!AI607</f>
        <v>0</v>
      </c>
      <c r="AH609" s="98">
        <f>'Supply planning data'!AJ607</f>
        <v>0</v>
      </c>
      <c r="AI609" s="98">
        <f>'Supply planning data'!AK607</f>
        <v>0</v>
      </c>
      <c r="AJ609" s="98">
        <f>'Supply planning data'!AL607</f>
        <v>0</v>
      </c>
      <c r="AK609" s="98">
        <f>'Supply planning data'!AM607</f>
        <v>0</v>
      </c>
      <c r="AL609" s="98">
        <f>'Supply planning data'!AN607</f>
        <v>0</v>
      </c>
      <c r="AM609" s="325" t="str">
        <f>'Supply planning data'!AO607</f>
        <v/>
      </c>
    </row>
    <row r="610" spans="1:39" x14ac:dyDescent="0.25">
      <c r="A610" s="90" t="str">
        <f>'Supply planning data'!C608</f>
        <v>Pfizer</v>
      </c>
      <c r="B610" s="296">
        <f>'Supply planning data'!D608</f>
        <v>45413</v>
      </c>
      <c r="C610" s="92" t="str">
        <f>'Supply planning data'!E608</f>
        <v>Yes</v>
      </c>
      <c r="D610" s="92">
        <f>'Supply planning data'!F608</f>
        <v>3000000</v>
      </c>
      <c r="E610" s="316">
        <f>'Supply planning data'!G608</f>
        <v>0</v>
      </c>
      <c r="F610" s="317">
        <f>'Supply planning data'!H608</f>
        <v>0</v>
      </c>
      <c r="G610" s="317">
        <f>'Supply planning data'!I608</f>
        <v>0</v>
      </c>
      <c r="H610" s="98">
        <f>'Supply planning data'!J608</f>
        <v>0</v>
      </c>
      <c r="I610" s="317">
        <f>'Supply planning data'!K608</f>
        <v>0</v>
      </c>
      <c r="J610" s="175" t="str">
        <f>'Supply planning data'!L608</f>
        <v/>
      </c>
      <c r="K610" s="98">
        <f>'Supply planning data'!M608</f>
        <v>0</v>
      </c>
      <c r="L610" s="317">
        <f>'Supply planning data'!N608+'Supply planning data'!P608</f>
        <v>0</v>
      </c>
      <c r="M610" s="339">
        <f>'Supply planning data'!O608</f>
        <v>0</v>
      </c>
      <c r="N610" s="317">
        <f>'Supply planning data'!P608</f>
        <v>0</v>
      </c>
      <c r="O610" s="339">
        <f>'Supply planning data'!Q608</f>
        <v>0</v>
      </c>
      <c r="P610" s="98">
        <f>'Supply planning data'!R608</f>
        <v>0</v>
      </c>
      <c r="Q610" s="98">
        <f>'Supply planning data'!S608</f>
        <v>0</v>
      </c>
      <c r="R610" s="98">
        <f>'Supply planning data'!T608</f>
        <v>110538</v>
      </c>
      <c r="S610" s="98">
        <f>'Supply planning data'!U608</f>
        <v>0</v>
      </c>
      <c r="T610" s="98">
        <f>'Supply planning data'!V608</f>
        <v>3000000</v>
      </c>
      <c r="U610" s="325" t="str">
        <f>'Supply planning data'!W608</f>
        <v/>
      </c>
      <c r="V610" s="98">
        <f>'Supply planning data'!X608</f>
        <v>2440000</v>
      </c>
      <c r="W610" s="317">
        <f>'Supply planning data'!Y608</f>
        <v>0</v>
      </c>
      <c r="X610" s="328">
        <f>'Supply planning data'!Z608</f>
        <v>0</v>
      </c>
      <c r="Y610" s="98">
        <f>'Supply planning data'!AA608</f>
        <v>0</v>
      </c>
      <c r="Z610" s="98">
        <f>'Supply planning data'!AB608</f>
        <v>0</v>
      </c>
      <c r="AA610" s="98">
        <f>'Supply planning data'!AC608</f>
        <v>0</v>
      </c>
      <c r="AB610" s="98">
        <f>'Supply planning data'!AD608</f>
        <v>0</v>
      </c>
      <c r="AC610" s="98">
        <f>'Supply planning data'!AE608</f>
        <v>2440000</v>
      </c>
      <c r="AD610" s="325" t="str">
        <f>'Supply planning data'!AF608</f>
        <v/>
      </c>
      <c r="AE610" s="98">
        <f>'Supply planning data'!AG608</f>
        <v>3000000</v>
      </c>
      <c r="AF610" s="317">
        <f>'Supply planning data'!AH608</f>
        <v>0</v>
      </c>
      <c r="AG610" s="175">
        <f>'Supply planning data'!AI608</f>
        <v>0</v>
      </c>
      <c r="AH610" s="98">
        <f>'Supply planning data'!AJ608</f>
        <v>0</v>
      </c>
      <c r="AI610" s="98">
        <f>'Supply planning data'!AK608</f>
        <v>0</v>
      </c>
      <c r="AJ610" s="98">
        <f>'Supply planning data'!AL608</f>
        <v>110538</v>
      </c>
      <c r="AK610" s="98">
        <f>'Supply planning data'!AM608</f>
        <v>0</v>
      </c>
      <c r="AL610" s="98">
        <f>'Supply planning data'!AN608</f>
        <v>3000000</v>
      </c>
      <c r="AM610" s="325" t="str">
        <f>'Supply planning data'!AO608</f>
        <v/>
      </c>
    </row>
    <row r="611" spans="1:39" x14ac:dyDescent="0.25">
      <c r="A611" s="90" t="str">
        <f>'Supply planning data'!C609</f>
        <v>Sinovac</v>
      </c>
      <c r="B611" s="296">
        <f>'Supply planning data'!D609</f>
        <v>45413</v>
      </c>
      <c r="C611" s="92" t="str">
        <f>'Supply planning data'!E609</f>
        <v>No</v>
      </c>
      <c r="D611" s="92">
        <f>'Supply planning data'!F609</f>
        <v>0</v>
      </c>
      <c r="E611" s="316">
        <f>'Supply planning data'!G609</f>
        <v>0</v>
      </c>
      <c r="F611" s="317">
        <f>'Supply planning data'!H609</f>
        <v>0</v>
      </c>
      <c r="G611" s="317">
        <f>'Supply planning data'!I609</f>
        <v>0</v>
      </c>
      <c r="H611" s="98">
        <f>'Supply planning data'!J609</f>
        <v>0</v>
      </c>
      <c r="I611" s="317">
        <f>'Supply planning data'!K609</f>
        <v>0</v>
      </c>
      <c r="J611" s="175" t="str">
        <f>'Supply planning data'!L609</f>
        <v/>
      </c>
      <c r="K611" s="98">
        <f>'Supply planning data'!M609</f>
        <v>0</v>
      </c>
      <c r="L611" s="317">
        <f>'Supply planning data'!N609+'Supply planning data'!P609</f>
        <v>0</v>
      </c>
      <c r="M611" s="339">
        <f>'Supply planning data'!O609</f>
        <v>0</v>
      </c>
      <c r="N611" s="317">
        <f>'Supply planning data'!P609</f>
        <v>0</v>
      </c>
      <c r="O611" s="339">
        <f>'Supply planning data'!Q609</f>
        <v>0</v>
      </c>
      <c r="P611" s="98">
        <f>'Supply planning data'!R609</f>
        <v>0</v>
      </c>
      <c r="Q611" s="98">
        <f>'Supply planning data'!S609</f>
        <v>0</v>
      </c>
      <c r="R611" s="98">
        <f>'Supply planning data'!T609</f>
        <v>0</v>
      </c>
      <c r="S611" s="98">
        <f>'Supply planning data'!U609</f>
        <v>0</v>
      </c>
      <c r="T611" s="98">
        <f>'Supply planning data'!V609</f>
        <v>0</v>
      </c>
      <c r="U611" s="325" t="str">
        <f>'Supply planning data'!W609</f>
        <v/>
      </c>
      <c r="V611" s="98">
        <f>'Supply planning data'!X609</f>
        <v>0</v>
      </c>
      <c r="W611" s="317">
        <f>'Supply planning data'!Y609</f>
        <v>0</v>
      </c>
      <c r="X611" s="328">
        <f>'Supply planning data'!Z609</f>
        <v>0</v>
      </c>
      <c r="Y611" s="98">
        <f>'Supply planning data'!AA609</f>
        <v>0</v>
      </c>
      <c r="Z611" s="98">
        <f>'Supply planning data'!AB609</f>
        <v>0</v>
      </c>
      <c r="AA611" s="98">
        <f>'Supply planning data'!AC609</f>
        <v>0</v>
      </c>
      <c r="AB611" s="98">
        <f>'Supply planning data'!AD609</f>
        <v>0</v>
      </c>
      <c r="AC611" s="98">
        <f>'Supply planning data'!AE609</f>
        <v>0</v>
      </c>
      <c r="AD611" s="325" t="str">
        <f>'Supply planning data'!AF609</f>
        <v/>
      </c>
      <c r="AE611" s="98">
        <f>'Supply planning data'!AG609</f>
        <v>0</v>
      </c>
      <c r="AF611" s="317">
        <f>'Supply planning data'!AH609</f>
        <v>0</v>
      </c>
      <c r="AG611" s="175">
        <f>'Supply planning data'!AI609</f>
        <v>0</v>
      </c>
      <c r="AH611" s="98">
        <f>'Supply planning data'!AJ609</f>
        <v>0</v>
      </c>
      <c r="AI611" s="98">
        <f>'Supply planning data'!AK609</f>
        <v>0</v>
      </c>
      <c r="AJ611" s="98">
        <f>'Supply planning data'!AL609</f>
        <v>0</v>
      </c>
      <c r="AK611" s="98">
        <f>'Supply planning data'!AM609</f>
        <v>0</v>
      </c>
      <c r="AL611" s="98">
        <f>'Supply planning data'!AN609</f>
        <v>0</v>
      </c>
      <c r="AM611" s="325" t="str">
        <f>'Supply planning data'!AO609</f>
        <v/>
      </c>
    </row>
    <row r="612" spans="1:39" hidden="1" x14ac:dyDescent="0.25">
      <c r="A612" s="90" t="str">
        <f>'Supply planning data'!C610</f>
        <v/>
      </c>
      <c r="B612" s="296">
        <f>'Supply planning data'!D610</f>
        <v>45413</v>
      </c>
      <c r="C612" s="92" t="str">
        <f>'Supply planning data'!E610</f>
        <v>No</v>
      </c>
      <c r="D612" s="92">
        <f>'Supply planning data'!F610</f>
        <v>0</v>
      </c>
      <c r="E612" s="316">
        <f>'Supply planning data'!G610</f>
        <v>0</v>
      </c>
      <c r="F612" s="317">
        <f>'Supply planning data'!H610</f>
        <v>0</v>
      </c>
      <c r="G612" s="317">
        <f>'Supply planning data'!I610</f>
        <v>0</v>
      </c>
      <c r="H612" s="98">
        <f>'Supply planning data'!J610</f>
        <v>0</v>
      </c>
      <c r="I612" s="317">
        <f>'Supply planning data'!K610</f>
        <v>0</v>
      </c>
      <c r="J612" s="175" t="str">
        <f>'Supply planning data'!L610</f>
        <v/>
      </c>
      <c r="K612" s="98">
        <f>'Supply planning data'!M610</f>
        <v>0</v>
      </c>
      <c r="L612" s="317">
        <f>'Supply planning data'!N610+'Supply planning data'!P610</f>
        <v>0</v>
      </c>
      <c r="M612" s="339">
        <f>'Supply planning data'!O610</f>
        <v>0</v>
      </c>
      <c r="N612" s="317">
        <f>'Supply planning data'!P610</f>
        <v>0</v>
      </c>
      <c r="O612" s="339">
        <f>'Supply planning data'!Q610</f>
        <v>0</v>
      </c>
      <c r="P612" s="98">
        <f>'Supply planning data'!R610</f>
        <v>0</v>
      </c>
      <c r="Q612" s="98">
        <f>'Supply planning data'!S610</f>
        <v>0</v>
      </c>
      <c r="R612" s="98">
        <f>'Supply planning data'!T610</f>
        <v>0</v>
      </c>
      <c r="S612" s="98">
        <f>'Supply planning data'!U610</f>
        <v>0</v>
      </c>
      <c r="T612" s="98">
        <f>'Supply planning data'!V610</f>
        <v>0</v>
      </c>
      <c r="U612" s="325" t="str">
        <f>'Supply planning data'!W610</f>
        <v/>
      </c>
      <c r="V612" s="98">
        <f>'Supply planning data'!X610</f>
        <v>0</v>
      </c>
      <c r="W612" s="317">
        <f>'Supply planning data'!Y610</f>
        <v>0</v>
      </c>
      <c r="X612" s="328">
        <f>'Supply planning data'!Z610</f>
        <v>0</v>
      </c>
      <c r="Y612" s="98">
        <f>'Supply planning data'!AA610</f>
        <v>0</v>
      </c>
      <c r="Z612" s="98">
        <f>'Supply planning data'!AB610</f>
        <v>0</v>
      </c>
      <c r="AA612" s="98">
        <f>'Supply planning data'!AC610</f>
        <v>0</v>
      </c>
      <c r="AB612" s="98">
        <f>'Supply planning data'!AD610</f>
        <v>0</v>
      </c>
      <c r="AC612" s="98">
        <f>'Supply planning data'!AE610</f>
        <v>0</v>
      </c>
      <c r="AD612" s="325" t="str">
        <f>'Supply planning data'!AF610</f>
        <v/>
      </c>
      <c r="AE612" s="98">
        <f>'Supply planning data'!AG610</f>
        <v>0</v>
      </c>
      <c r="AF612" s="317">
        <f>'Supply planning data'!AH610</f>
        <v>0</v>
      </c>
      <c r="AG612" s="175">
        <f>'Supply planning data'!AI610</f>
        <v>0</v>
      </c>
      <c r="AH612" s="98">
        <f>'Supply planning data'!AJ610</f>
        <v>0</v>
      </c>
      <c r="AI612" s="98">
        <f>'Supply planning data'!AK610</f>
        <v>0</v>
      </c>
      <c r="AJ612" s="98">
        <f>'Supply planning data'!AL610</f>
        <v>0</v>
      </c>
      <c r="AK612" s="98">
        <f>'Supply planning data'!AM610</f>
        <v>0</v>
      </c>
      <c r="AL612" s="98">
        <f>'Supply planning data'!AN610</f>
        <v>0</v>
      </c>
      <c r="AM612" s="325" t="str">
        <f>'Supply planning data'!AO610</f>
        <v/>
      </c>
    </row>
    <row r="613" spans="1:39" hidden="1" x14ac:dyDescent="0.25">
      <c r="A613" s="90" t="str">
        <f>'Supply planning data'!C611</f>
        <v/>
      </c>
      <c r="B613" s="296">
        <f>'Supply planning data'!D611</f>
        <v>45413</v>
      </c>
      <c r="C613" s="92" t="str">
        <f>'Supply planning data'!E611</f>
        <v>No</v>
      </c>
      <c r="D613" s="92">
        <f>'Supply planning data'!F611</f>
        <v>0</v>
      </c>
      <c r="E613" s="316">
        <f>'Supply planning data'!G611</f>
        <v>0</v>
      </c>
      <c r="F613" s="317">
        <f>'Supply planning data'!H611</f>
        <v>0</v>
      </c>
      <c r="G613" s="317">
        <f>'Supply planning data'!I611</f>
        <v>0</v>
      </c>
      <c r="H613" s="98">
        <f>'Supply planning data'!J611</f>
        <v>0</v>
      </c>
      <c r="I613" s="317">
        <f>'Supply planning data'!K611</f>
        <v>0</v>
      </c>
      <c r="J613" s="175" t="str">
        <f>'Supply planning data'!L611</f>
        <v/>
      </c>
      <c r="K613" s="98">
        <f>'Supply planning data'!M611</f>
        <v>0</v>
      </c>
      <c r="L613" s="317">
        <f>'Supply planning data'!N611+'Supply planning data'!P611</f>
        <v>0</v>
      </c>
      <c r="M613" s="339">
        <f>'Supply planning data'!O611</f>
        <v>0</v>
      </c>
      <c r="N613" s="317">
        <f>'Supply planning data'!P611</f>
        <v>0</v>
      </c>
      <c r="O613" s="339">
        <f>'Supply planning data'!Q611</f>
        <v>0</v>
      </c>
      <c r="P613" s="98">
        <f>'Supply planning data'!R611</f>
        <v>0</v>
      </c>
      <c r="Q613" s="98">
        <f>'Supply planning data'!S611</f>
        <v>0</v>
      </c>
      <c r="R613" s="98">
        <f>'Supply planning data'!T611</f>
        <v>0</v>
      </c>
      <c r="S613" s="98">
        <f>'Supply planning data'!U611</f>
        <v>0</v>
      </c>
      <c r="T613" s="98">
        <f>'Supply planning data'!V611</f>
        <v>0</v>
      </c>
      <c r="U613" s="325" t="str">
        <f>'Supply planning data'!W611</f>
        <v/>
      </c>
      <c r="V613" s="98">
        <f>'Supply planning data'!X611</f>
        <v>0</v>
      </c>
      <c r="W613" s="317">
        <f>'Supply planning data'!Y611</f>
        <v>0</v>
      </c>
      <c r="X613" s="328">
        <f>'Supply planning data'!Z611</f>
        <v>0</v>
      </c>
      <c r="Y613" s="98">
        <f>'Supply planning data'!AA611</f>
        <v>0</v>
      </c>
      <c r="Z613" s="98">
        <f>'Supply planning data'!AB611</f>
        <v>0</v>
      </c>
      <c r="AA613" s="98">
        <f>'Supply planning data'!AC611</f>
        <v>0</v>
      </c>
      <c r="AB613" s="98">
        <f>'Supply planning data'!AD611</f>
        <v>0</v>
      </c>
      <c r="AC613" s="98">
        <f>'Supply planning data'!AE611</f>
        <v>0</v>
      </c>
      <c r="AD613" s="325" t="str">
        <f>'Supply planning data'!AF611</f>
        <v/>
      </c>
      <c r="AE613" s="98">
        <f>'Supply planning data'!AG611</f>
        <v>0</v>
      </c>
      <c r="AF613" s="317">
        <f>'Supply planning data'!AH611</f>
        <v>0</v>
      </c>
      <c r="AG613" s="175">
        <f>'Supply planning data'!AI611</f>
        <v>0</v>
      </c>
      <c r="AH613" s="98">
        <f>'Supply planning data'!AJ611</f>
        <v>0</v>
      </c>
      <c r="AI613" s="98">
        <f>'Supply planning data'!AK611</f>
        <v>0</v>
      </c>
      <c r="AJ613" s="98">
        <f>'Supply planning data'!AL611</f>
        <v>0</v>
      </c>
      <c r="AK613" s="98">
        <f>'Supply planning data'!AM611</f>
        <v>0</v>
      </c>
      <c r="AL613" s="98">
        <f>'Supply planning data'!AN611</f>
        <v>0</v>
      </c>
      <c r="AM613" s="325" t="str">
        <f>'Supply planning data'!AO611</f>
        <v/>
      </c>
    </row>
    <row r="614" spans="1:39" hidden="1" x14ac:dyDescent="0.25">
      <c r="A614" s="90" t="str">
        <f>'Supply planning data'!C612</f>
        <v/>
      </c>
      <c r="B614" s="296">
        <f>'Supply planning data'!D612</f>
        <v>45413</v>
      </c>
      <c r="C614" s="92" t="str">
        <f>'Supply planning data'!E612</f>
        <v>No</v>
      </c>
      <c r="D614" s="92">
        <f>'Supply planning data'!F612</f>
        <v>0</v>
      </c>
      <c r="E614" s="316">
        <f>'Supply planning data'!G612</f>
        <v>0</v>
      </c>
      <c r="F614" s="317">
        <f>'Supply planning data'!H612</f>
        <v>0</v>
      </c>
      <c r="G614" s="317">
        <f>'Supply planning data'!I612</f>
        <v>0</v>
      </c>
      <c r="H614" s="98">
        <f>'Supply planning data'!J612</f>
        <v>0</v>
      </c>
      <c r="I614" s="317">
        <f>'Supply planning data'!K612</f>
        <v>0</v>
      </c>
      <c r="J614" s="175" t="str">
        <f>'Supply planning data'!L612</f>
        <v/>
      </c>
      <c r="K614" s="98">
        <f>'Supply planning data'!M612</f>
        <v>0</v>
      </c>
      <c r="L614" s="317">
        <f>'Supply planning data'!N612+'Supply planning data'!P612</f>
        <v>0</v>
      </c>
      <c r="M614" s="339">
        <f>'Supply planning data'!O612</f>
        <v>0</v>
      </c>
      <c r="N614" s="317">
        <f>'Supply planning data'!P612</f>
        <v>0</v>
      </c>
      <c r="O614" s="339">
        <f>'Supply planning data'!Q612</f>
        <v>0</v>
      </c>
      <c r="P614" s="98">
        <f>'Supply planning data'!R612</f>
        <v>0</v>
      </c>
      <c r="Q614" s="98">
        <f>'Supply planning data'!S612</f>
        <v>0</v>
      </c>
      <c r="R614" s="98">
        <f>'Supply planning data'!T612</f>
        <v>0</v>
      </c>
      <c r="S614" s="98">
        <f>'Supply planning data'!U612</f>
        <v>0</v>
      </c>
      <c r="T614" s="98">
        <f>'Supply planning data'!V612</f>
        <v>0</v>
      </c>
      <c r="U614" s="325" t="str">
        <f>'Supply planning data'!W612</f>
        <v/>
      </c>
      <c r="V614" s="98">
        <f>'Supply planning data'!X612</f>
        <v>0</v>
      </c>
      <c r="W614" s="317">
        <f>'Supply planning data'!Y612</f>
        <v>0</v>
      </c>
      <c r="X614" s="328">
        <f>'Supply planning data'!Z612</f>
        <v>0</v>
      </c>
      <c r="Y614" s="98">
        <f>'Supply planning data'!AA612</f>
        <v>0</v>
      </c>
      <c r="Z614" s="98">
        <f>'Supply planning data'!AB612</f>
        <v>0</v>
      </c>
      <c r="AA614" s="98">
        <f>'Supply planning data'!AC612</f>
        <v>0</v>
      </c>
      <c r="AB614" s="98">
        <f>'Supply planning data'!AD612</f>
        <v>0</v>
      </c>
      <c r="AC614" s="98">
        <f>'Supply planning data'!AE612</f>
        <v>0</v>
      </c>
      <c r="AD614" s="325" t="str">
        <f>'Supply planning data'!AF612</f>
        <v/>
      </c>
      <c r="AE614" s="98">
        <f>'Supply planning data'!AG612</f>
        <v>0</v>
      </c>
      <c r="AF614" s="317">
        <f>'Supply planning data'!AH612</f>
        <v>0</v>
      </c>
      <c r="AG614" s="175">
        <f>'Supply planning data'!AI612</f>
        <v>0</v>
      </c>
      <c r="AH614" s="98">
        <f>'Supply planning data'!AJ612</f>
        <v>0</v>
      </c>
      <c r="AI614" s="98">
        <f>'Supply planning data'!AK612</f>
        <v>0</v>
      </c>
      <c r="AJ614" s="98">
        <f>'Supply planning data'!AL612</f>
        <v>0</v>
      </c>
      <c r="AK614" s="98">
        <f>'Supply planning data'!AM612</f>
        <v>0</v>
      </c>
      <c r="AL614" s="98">
        <f>'Supply planning data'!AN612</f>
        <v>0</v>
      </c>
      <c r="AM614" s="325" t="str">
        <f>'Supply planning data'!AO612</f>
        <v/>
      </c>
    </row>
    <row r="615" spans="1:39" hidden="1" x14ac:dyDescent="0.25">
      <c r="A615" s="90" t="str">
        <f>'Supply planning data'!C613</f>
        <v/>
      </c>
      <c r="B615" s="296">
        <f>'Supply planning data'!D613</f>
        <v>45413</v>
      </c>
      <c r="C615" s="92" t="str">
        <f>'Supply planning data'!E613</f>
        <v>No</v>
      </c>
      <c r="D615" s="92">
        <f>'Supply planning data'!F613</f>
        <v>0</v>
      </c>
      <c r="E615" s="316">
        <f>'Supply planning data'!G613</f>
        <v>0</v>
      </c>
      <c r="F615" s="317">
        <f>'Supply planning data'!H613</f>
        <v>0</v>
      </c>
      <c r="G615" s="317">
        <f>'Supply planning data'!I613</f>
        <v>0</v>
      </c>
      <c r="H615" s="98">
        <f>'Supply planning data'!J613</f>
        <v>0</v>
      </c>
      <c r="I615" s="317">
        <f>'Supply planning data'!K613</f>
        <v>0</v>
      </c>
      <c r="J615" s="175" t="str">
        <f>'Supply planning data'!L613</f>
        <v/>
      </c>
      <c r="K615" s="98">
        <f>'Supply planning data'!M613</f>
        <v>0</v>
      </c>
      <c r="L615" s="317">
        <f>'Supply planning data'!N613+'Supply planning data'!P613</f>
        <v>0</v>
      </c>
      <c r="M615" s="339">
        <f>'Supply planning data'!O613</f>
        <v>0</v>
      </c>
      <c r="N615" s="317">
        <f>'Supply planning data'!P613</f>
        <v>0</v>
      </c>
      <c r="O615" s="339">
        <f>'Supply planning data'!Q613</f>
        <v>0</v>
      </c>
      <c r="P615" s="98">
        <f>'Supply planning data'!R613</f>
        <v>0</v>
      </c>
      <c r="Q615" s="98">
        <f>'Supply planning data'!S613</f>
        <v>0</v>
      </c>
      <c r="R615" s="98">
        <f>'Supply planning data'!T613</f>
        <v>0</v>
      </c>
      <c r="S615" s="98">
        <f>'Supply planning data'!U613</f>
        <v>0</v>
      </c>
      <c r="T615" s="98">
        <f>'Supply planning data'!V613</f>
        <v>0</v>
      </c>
      <c r="U615" s="325" t="str">
        <f>'Supply planning data'!W613</f>
        <v/>
      </c>
      <c r="V615" s="98">
        <f>'Supply planning data'!X613</f>
        <v>0</v>
      </c>
      <c r="W615" s="317">
        <f>'Supply planning data'!Y613</f>
        <v>0</v>
      </c>
      <c r="X615" s="328">
        <f>'Supply planning data'!Z613</f>
        <v>0</v>
      </c>
      <c r="Y615" s="98">
        <f>'Supply planning data'!AA613</f>
        <v>0</v>
      </c>
      <c r="Z615" s="98">
        <f>'Supply planning data'!AB613</f>
        <v>0</v>
      </c>
      <c r="AA615" s="98">
        <f>'Supply planning data'!AC613</f>
        <v>0</v>
      </c>
      <c r="AB615" s="98">
        <f>'Supply planning data'!AD613</f>
        <v>0</v>
      </c>
      <c r="AC615" s="98">
        <f>'Supply planning data'!AE613</f>
        <v>0</v>
      </c>
      <c r="AD615" s="325" t="str">
        <f>'Supply planning data'!AF613</f>
        <v/>
      </c>
      <c r="AE615" s="98">
        <f>'Supply planning data'!AG613</f>
        <v>0</v>
      </c>
      <c r="AF615" s="317">
        <f>'Supply planning data'!AH613</f>
        <v>0</v>
      </c>
      <c r="AG615" s="175">
        <f>'Supply planning data'!AI613</f>
        <v>0</v>
      </c>
      <c r="AH615" s="98">
        <f>'Supply planning data'!AJ613</f>
        <v>0</v>
      </c>
      <c r="AI615" s="98">
        <f>'Supply planning data'!AK613</f>
        <v>0</v>
      </c>
      <c r="AJ615" s="98">
        <f>'Supply planning data'!AL613</f>
        <v>0</v>
      </c>
      <c r="AK615" s="98">
        <f>'Supply planning data'!AM613</f>
        <v>0</v>
      </c>
      <c r="AL615" s="98">
        <f>'Supply planning data'!AN613</f>
        <v>0</v>
      </c>
      <c r="AM615" s="325" t="str">
        <f>'Supply planning data'!AO613</f>
        <v/>
      </c>
    </row>
    <row r="616" spans="1:39" hidden="1" x14ac:dyDescent="0.25">
      <c r="A616" s="90" t="str">
        <f>'Supply planning data'!C614</f>
        <v/>
      </c>
      <c r="B616" s="296">
        <f>'Supply planning data'!D614</f>
        <v>45413</v>
      </c>
      <c r="C616" s="92" t="str">
        <f>'Supply planning data'!E614</f>
        <v>No</v>
      </c>
      <c r="D616" s="92">
        <f>'Supply planning data'!F614</f>
        <v>0</v>
      </c>
      <c r="E616" s="316">
        <f>'Supply planning data'!G614</f>
        <v>0</v>
      </c>
      <c r="F616" s="317">
        <f>'Supply planning data'!H614</f>
        <v>0</v>
      </c>
      <c r="G616" s="317">
        <f>'Supply planning data'!I614</f>
        <v>0</v>
      </c>
      <c r="H616" s="98">
        <f>'Supply planning data'!J614</f>
        <v>0</v>
      </c>
      <c r="I616" s="317">
        <f>'Supply planning data'!K614</f>
        <v>0</v>
      </c>
      <c r="J616" s="175" t="str">
        <f>'Supply planning data'!L614</f>
        <v/>
      </c>
      <c r="K616" s="98">
        <f>'Supply planning data'!M614</f>
        <v>0</v>
      </c>
      <c r="L616" s="317">
        <f>'Supply planning data'!N614+'Supply planning data'!P614</f>
        <v>0</v>
      </c>
      <c r="M616" s="339">
        <f>'Supply planning data'!O614</f>
        <v>0</v>
      </c>
      <c r="N616" s="317">
        <f>'Supply planning data'!P614</f>
        <v>0</v>
      </c>
      <c r="O616" s="339">
        <f>'Supply planning data'!Q614</f>
        <v>0</v>
      </c>
      <c r="P616" s="98">
        <f>'Supply planning data'!R614</f>
        <v>0</v>
      </c>
      <c r="Q616" s="98">
        <f>'Supply planning data'!S614</f>
        <v>0</v>
      </c>
      <c r="R616" s="98">
        <f>'Supply planning data'!T614</f>
        <v>0</v>
      </c>
      <c r="S616" s="98">
        <f>'Supply planning data'!U614</f>
        <v>0</v>
      </c>
      <c r="T616" s="98">
        <f>'Supply planning data'!V614</f>
        <v>0</v>
      </c>
      <c r="U616" s="325" t="str">
        <f>'Supply planning data'!W614</f>
        <v/>
      </c>
      <c r="V616" s="98">
        <f>'Supply planning data'!X614</f>
        <v>0</v>
      </c>
      <c r="W616" s="317">
        <f>'Supply planning data'!Y614</f>
        <v>0</v>
      </c>
      <c r="X616" s="328">
        <f>'Supply planning data'!Z614</f>
        <v>0</v>
      </c>
      <c r="Y616" s="98">
        <f>'Supply planning data'!AA614</f>
        <v>0</v>
      </c>
      <c r="Z616" s="98">
        <f>'Supply planning data'!AB614</f>
        <v>0</v>
      </c>
      <c r="AA616" s="98">
        <f>'Supply planning data'!AC614</f>
        <v>0</v>
      </c>
      <c r="AB616" s="98">
        <f>'Supply planning data'!AD614</f>
        <v>0</v>
      </c>
      <c r="AC616" s="98">
        <f>'Supply planning data'!AE614</f>
        <v>0</v>
      </c>
      <c r="AD616" s="325" t="str">
        <f>'Supply planning data'!AF614</f>
        <v/>
      </c>
      <c r="AE616" s="98">
        <f>'Supply planning data'!AG614</f>
        <v>0</v>
      </c>
      <c r="AF616" s="317">
        <f>'Supply planning data'!AH614</f>
        <v>0</v>
      </c>
      <c r="AG616" s="175">
        <f>'Supply planning data'!AI614</f>
        <v>0</v>
      </c>
      <c r="AH616" s="98">
        <f>'Supply planning data'!AJ614</f>
        <v>0</v>
      </c>
      <c r="AI616" s="98">
        <f>'Supply planning data'!AK614</f>
        <v>0</v>
      </c>
      <c r="AJ616" s="98">
        <f>'Supply planning data'!AL614</f>
        <v>0</v>
      </c>
      <c r="AK616" s="98">
        <f>'Supply planning data'!AM614</f>
        <v>0</v>
      </c>
      <c r="AL616" s="98">
        <f>'Supply planning data'!AN614</f>
        <v>0</v>
      </c>
      <c r="AM616" s="325" t="str">
        <f>'Supply planning data'!AO614</f>
        <v/>
      </c>
    </row>
    <row r="617" spans="1:39" hidden="1" x14ac:dyDescent="0.25">
      <c r="A617" s="90" t="str">
        <f>'Supply planning data'!C615</f>
        <v/>
      </c>
      <c r="B617" s="296">
        <f>'Supply planning data'!D615</f>
        <v>45413</v>
      </c>
      <c r="C617" s="92" t="str">
        <f>'Supply planning data'!E615</f>
        <v>No</v>
      </c>
      <c r="D617" s="92">
        <f>'Supply planning data'!F615</f>
        <v>0</v>
      </c>
      <c r="E617" s="316">
        <f>'Supply planning data'!G615</f>
        <v>0</v>
      </c>
      <c r="F617" s="317">
        <f>'Supply planning data'!H615</f>
        <v>0</v>
      </c>
      <c r="G617" s="317">
        <f>'Supply planning data'!I615</f>
        <v>0</v>
      </c>
      <c r="H617" s="98">
        <f>'Supply planning data'!J615</f>
        <v>0</v>
      </c>
      <c r="I617" s="317">
        <f>'Supply planning data'!K615</f>
        <v>0</v>
      </c>
      <c r="J617" s="175" t="str">
        <f>'Supply planning data'!L615</f>
        <v/>
      </c>
      <c r="K617" s="98">
        <f>'Supply planning data'!M615</f>
        <v>0</v>
      </c>
      <c r="L617" s="317">
        <f>'Supply planning data'!N615+'Supply planning data'!P615</f>
        <v>0</v>
      </c>
      <c r="M617" s="339">
        <f>'Supply planning data'!O615</f>
        <v>0</v>
      </c>
      <c r="N617" s="317">
        <f>'Supply planning data'!P615</f>
        <v>0</v>
      </c>
      <c r="O617" s="339">
        <f>'Supply planning data'!Q615</f>
        <v>0</v>
      </c>
      <c r="P617" s="98">
        <f>'Supply planning data'!R615</f>
        <v>0</v>
      </c>
      <c r="Q617" s="98">
        <f>'Supply planning data'!S615</f>
        <v>0</v>
      </c>
      <c r="R617" s="98">
        <f>'Supply planning data'!T615</f>
        <v>0</v>
      </c>
      <c r="S617" s="98">
        <f>'Supply planning data'!U615</f>
        <v>0</v>
      </c>
      <c r="T617" s="98">
        <f>'Supply planning data'!V615</f>
        <v>0</v>
      </c>
      <c r="U617" s="325" t="str">
        <f>'Supply planning data'!W615</f>
        <v/>
      </c>
      <c r="V617" s="98">
        <f>'Supply planning data'!X615</f>
        <v>0</v>
      </c>
      <c r="W617" s="317">
        <f>'Supply planning data'!Y615</f>
        <v>0</v>
      </c>
      <c r="X617" s="328">
        <f>'Supply planning data'!Z615</f>
        <v>0</v>
      </c>
      <c r="Y617" s="98">
        <f>'Supply planning data'!AA615</f>
        <v>0</v>
      </c>
      <c r="Z617" s="98">
        <f>'Supply planning data'!AB615</f>
        <v>0</v>
      </c>
      <c r="AA617" s="98">
        <f>'Supply planning data'!AC615</f>
        <v>0</v>
      </c>
      <c r="AB617" s="98">
        <f>'Supply planning data'!AD615</f>
        <v>0</v>
      </c>
      <c r="AC617" s="98">
        <f>'Supply planning data'!AE615</f>
        <v>0</v>
      </c>
      <c r="AD617" s="325" t="str">
        <f>'Supply planning data'!AF615</f>
        <v/>
      </c>
      <c r="AE617" s="98">
        <f>'Supply planning data'!AG615</f>
        <v>0</v>
      </c>
      <c r="AF617" s="317">
        <f>'Supply planning data'!AH615</f>
        <v>0</v>
      </c>
      <c r="AG617" s="175">
        <f>'Supply planning data'!AI615</f>
        <v>0</v>
      </c>
      <c r="AH617" s="98">
        <f>'Supply planning data'!AJ615</f>
        <v>0</v>
      </c>
      <c r="AI617" s="98">
        <f>'Supply planning data'!AK615</f>
        <v>0</v>
      </c>
      <c r="AJ617" s="98">
        <f>'Supply planning data'!AL615</f>
        <v>0</v>
      </c>
      <c r="AK617" s="98">
        <f>'Supply planning data'!AM615</f>
        <v>0</v>
      </c>
      <c r="AL617" s="98">
        <f>'Supply planning data'!AN615</f>
        <v>0</v>
      </c>
      <c r="AM617" s="325" t="str">
        <f>'Supply planning data'!AO615</f>
        <v/>
      </c>
    </row>
    <row r="618" spans="1:39" hidden="1" x14ac:dyDescent="0.25">
      <c r="A618" s="90" t="str">
        <f>'Supply planning data'!C616</f>
        <v/>
      </c>
      <c r="B618" s="296">
        <f>'Supply planning data'!D616</f>
        <v>45413</v>
      </c>
      <c r="C618" s="92" t="str">
        <f>'Supply planning data'!E616</f>
        <v>No</v>
      </c>
      <c r="D618" s="92">
        <f>'Supply planning data'!F616</f>
        <v>0</v>
      </c>
      <c r="E618" s="316">
        <f>'Supply planning data'!G616</f>
        <v>0</v>
      </c>
      <c r="F618" s="317">
        <f>'Supply planning data'!H616</f>
        <v>0</v>
      </c>
      <c r="G618" s="317">
        <f>'Supply planning data'!I616</f>
        <v>0</v>
      </c>
      <c r="H618" s="98">
        <f>'Supply planning data'!J616</f>
        <v>0</v>
      </c>
      <c r="I618" s="317">
        <f>'Supply planning data'!K616</f>
        <v>0</v>
      </c>
      <c r="J618" s="175" t="str">
        <f>'Supply planning data'!L616</f>
        <v/>
      </c>
      <c r="K618" s="98">
        <f>'Supply planning data'!M616</f>
        <v>0</v>
      </c>
      <c r="L618" s="317">
        <f>'Supply planning data'!N616+'Supply planning data'!P616</f>
        <v>0</v>
      </c>
      <c r="M618" s="339">
        <f>'Supply planning data'!O616</f>
        <v>0</v>
      </c>
      <c r="N618" s="317">
        <f>'Supply planning data'!P616</f>
        <v>0</v>
      </c>
      <c r="O618" s="339">
        <f>'Supply planning data'!Q616</f>
        <v>0</v>
      </c>
      <c r="P618" s="98">
        <f>'Supply planning data'!R616</f>
        <v>0</v>
      </c>
      <c r="Q618" s="98">
        <f>'Supply planning data'!S616</f>
        <v>0</v>
      </c>
      <c r="R618" s="98">
        <f>'Supply planning data'!T616</f>
        <v>0</v>
      </c>
      <c r="S618" s="98">
        <f>'Supply planning data'!U616</f>
        <v>0</v>
      </c>
      <c r="T618" s="98">
        <f>'Supply planning data'!V616</f>
        <v>0</v>
      </c>
      <c r="U618" s="325" t="str">
        <f>'Supply planning data'!W616</f>
        <v/>
      </c>
      <c r="V618" s="98">
        <f>'Supply planning data'!X616</f>
        <v>0</v>
      </c>
      <c r="W618" s="317">
        <f>'Supply planning data'!Y616</f>
        <v>0</v>
      </c>
      <c r="X618" s="328">
        <f>'Supply planning data'!Z616</f>
        <v>0</v>
      </c>
      <c r="Y618" s="98">
        <f>'Supply planning data'!AA616</f>
        <v>0</v>
      </c>
      <c r="Z618" s="98">
        <f>'Supply planning data'!AB616</f>
        <v>0</v>
      </c>
      <c r="AA618" s="98">
        <f>'Supply planning data'!AC616</f>
        <v>0</v>
      </c>
      <c r="AB618" s="98">
        <f>'Supply planning data'!AD616</f>
        <v>0</v>
      </c>
      <c r="AC618" s="98">
        <f>'Supply planning data'!AE616</f>
        <v>0</v>
      </c>
      <c r="AD618" s="325" t="str">
        <f>'Supply planning data'!AF616</f>
        <v/>
      </c>
      <c r="AE618" s="98">
        <f>'Supply planning data'!AG616</f>
        <v>0</v>
      </c>
      <c r="AF618" s="317">
        <f>'Supply planning data'!AH616</f>
        <v>0</v>
      </c>
      <c r="AG618" s="175">
        <f>'Supply planning data'!AI616</f>
        <v>0</v>
      </c>
      <c r="AH618" s="98">
        <f>'Supply planning data'!AJ616</f>
        <v>0</v>
      </c>
      <c r="AI618" s="98">
        <f>'Supply planning data'!AK616</f>
        <v>0</v>
      </c>
      <c r="AJ618" s="98">
        <f>'Supply planning data'!AL616</f>
        <v>0</v>
      </c>
      <c r="AK618" s="98">
        <f>'Supply planning data'!AM616</f>
        <v>0</v>
      </c>
      <c r="AL618" s="98">
        <f>'Supply planning data'!AN616</f>
        <v>0</v>
      </c>
      <c r="AM618" s="325" t="str">
        <f>'Supply planning data'!AO616</f>
        <v/>
      </c>
    </row>
    <row r="619" spans="1:39" hidden="1" x14ac:dyDescent="0.25">
      <c r="A619" s="90" t="str">
        <f>'Supply planning data'!C617</f>
        <v/>
      </c>
      <c r="B619" s="296">
        <f>'Supply planning data'!D617</f>
        <v>45413</v>
      </c>
      <c r="C619" s="92" t="str">
        <f>'Supply planning data'!E617</f>
        <v>No</v>
      </c>
      <c r="D619" s="92">
        <f>'Supply planning data'!F617</f>
        <v>0</v>
      </c>
      <c r="E619" s="316">
        <f>'Supply planning data'!G617</f>
        <v>0</v>
      </c>
      <c r="F619" s="317">
        <f>'Supply planning data'!H617</f>
        <v>0</v>
      </c>
      <c r="G619" s="317">
        <f>'Supply planning data'!I617</f>
        <v>0</v>
      </c>
      <c r="H619" s="98">
        <f>'Supply planning data'!J617</f>
        <v>0</v>
      </c>
      <c r="I619" s="317">
        <f>'Supply planning data'!K617</f>
        <v>0</v>
      </c>
      <c r="J619" s="175" t="str">
        <f>'Supply planning data'!L617</f>
        <v/>
      </c>
      <c r="K619" s="98">
        <f>'Supply planning data'!M617</f>
        <v>0</v>
      </c>
      <c r="L619" s="317">
        <f>'Supply planning data'!N617+'Supply planning data'!P617</f>
        <v>0</v>
      </c>
      <c r="M619" s="339">
        <f>'Supply planning data'!O617</f>
        <v>0</v>
      </c>
      <c r="N619" s="317">
        <f>'Supply planning data'!P617</f>
        <v>0</v>
      </c>
      <c r="O619" s="339">
        <f>'Supply planning data'!Q617</f>
        <v>0</v>
      </c>
      <c r="P619" s="98">
        <f>'Supply planning data'!R617</f>
        <v>0</v>
      </c>
      <c r="Q619" s="98">
        <f>'Supply planning data'!S617</f>
        <v>0</v>
      </c>
      <c r="R619" s="98">
        <f>'Supply planning data'!T617</f>
        <v>0</v>
      </c>
      <c r="S619" s="98">
        <f>'Supply planning data'!U617</f>
        <v>0</v>
      </c>
      <c r="T619" s="98">
        <f>'Supply planning data'!V617</f>
        <v>0</v>
      </c>
      <c r="U619" s="325" t="str">
        <f>'Supply planning data'!W617</f>
        <v/>
      </c>
      <c r="V619" s="98">
        <f>'Supply planning data'!X617</f>
        <v>0</v>
      </c>
      <c r="W619" s="317">
        <f>'Supply planning data'!Y617</f>
        <v>0</v>
      </c>
      <c r="X619" s="328">
        <f>'Supply planning data'!Z617</f>
        <v>0</v>
      </c>
      <c r="Y619" s="98">
        <f>'Supply planning data'!AA617</f>
        <v>0</v>
      </c>
      <c r="Z619" s="98">
        <f>'Supply planning data'!AB617</f>
        <v>0</v>
      </c>
      <c r="AA619" s="98">
        <f>'Supply planning data'!AC617</f>
        <v>0</v>
      </c>
      <c r="AB619" s="98">
        <f>'Supply planning data'!AD617</f>
        <v>0</v>
      </c>
      <c r="AC619" s="98">
        <f>'Supply planning data'!AE617</f>
        <v>0</v>
      </c>
      <c r="AD619" s="325" t="str">
        <f>'Supply planning data'!AF617</f>
        <v/>
      </c>
      <c r="AE619" s="98">
        <f>'Supply planning data'!AG617</f>
        <v>0</v>
      </c>
      <c r="AF619" s="317">
        <f>'Supply planning data'!AH617</f>
        <v>0</v>
      </c>
      <c r="AG619" s="175">
        <f>'Supply planning data'!AI617</f>
        <v>0</v>
      </c>
      <c r="AH619" s="98">
        <f>'Supply planning data'!AJ617</f>
        <v>0</v>
      </c>
      <c r="AI619" s="98">
        <f>'Supply planning data'!AK617</f>
        <v>0</v>
      </c>
      <c r="AJ619" s="98">
        <f>'Supply planning data'!AL617</f>
        <v>0</v>
      </c>
      <c r="AK619" s="98">
        <f>'Supply planning data'!AM617</f>
        <v>0</v>
      </c>
      <c r="AL619" s="98">
        <f>'Supply planning data'!AN617</f>
        <v>0</v>
      </c>
      <c r="AM619" s="325" t="str">
        <f>'Supply planning data'!AO617</f>
        <v/>
      </c>
    </row>
    <row r="620" spans="1:39" hidden="1" x14ac:dyDescent="0.25">
      <c r="A620" s="90" t="str">
        <f>'Supply planning data'!C618</f>
        <v/>
      </c>
      <c r="B620" s="296">
        <f>'Supply planning data'!D618</f>
        <v>45413</v>
      </c>
      <c r="C620" s="92" t="str">
        <f>'Supply planning data'!E618</f>
        <v>No</v>
      </c>
      <c r="D620" s="92">
        <f>'Supply planning data'!F618</f>
        <v>0</v>
      </c>
      <c r="E620" s="316">
        <f>'Supply planning data'!G618</f>
        <v>0</v>
      </c>
      <c r="F620" s="317">
        <f>'Supply planning data'!H618</f>
        <v>0</v>
      </c>
      <c r="G620" s="317">
        <f>'Supply planning data'!I618</f>
        <v>0</v>
      </c>
      <c r="H620" s="98">
        <f>'Supply planning data'!J618</f>
        <v>0</v>
      </c>
      <c r="I620" s="317">
        <f>'Supply planning data'!K618</f>
        <v>0</v>
      </c>
      <c r="J620" s="175" t="str">
        <f>'Supply planning data'!L618</f>
        <v/>
      </c>
      <c r="K620" s="98">
        <f>'Supply planning data'!M618</f>
        <v>0</v>
      </c>
      <c r="L620" s="317">
        <f>'Supply planning data'!N618+'Supply planning data'!P618</f>
        <v>0</v>
      </c>
      <c r="M620" s="339">
        <f>'Supply planning data'!O618</f>
        <v>0</v>
      </c>
      <c r="N620" s="317">
        <f>'Supply planning data'!P618</f>
        <v>0</v>
      </c>
      <c r="O620" s="339">
        <f>'Supply planning data'!Q618</f>
        <v>0</v>
      </c>
      <c r="P620" s="98">
        <f>'Supply planning data'!R618</f>
        <v>0</v>
      </c>
      <c r="Q620" s="98">
        <f>'Supply planning data'!S618</f>
        <v>0</v>
      </c>
      <c r="R620" s="98">
        <f>'Supply planning data'!T618</f>
        <v>0</v>
      </c>
      <c r="S620" s="98">
        <f>'Supply planning data'!U618</f>
        <v>0</v>
      </c>
      <c r="T620" s="98">
        <f>'Supply planning data'!V618</f>
        <v>0</v>
      </c>
      <c r="U620" s="325" t="str">
        <f>'Supply planning data'!W618</f>
        <v/>
      </c>
      <c r="V620" s="98">
        <f>'Supply planning data'!X618</f>
        <v>0</v>
      </c>
      <c r="W620" s="317">
        <f>'Supply planning data'!Y618</f>
        <v>0</v>
      </c>
      <c r="X620" s="328">
        <f>'Supply planning data'!Z618</f>
        <v>0</v>
      </c>
      <c r="Y620" s="98">
        <f>'Supply planning data'!AA618</f>
        <v>0</v>
      </c>
      <c r="Z620" s="98">
        <f>'Supply planning data'!AB618</f>
        <v>0</v>
      </c>
      <c r="AA620" s="98">
        <f>'Supply planning data'!AC618</f>
        <v>0</v>
      </c>
      <c r="AB620" s="98">
        <f>'Supply planning data'!AD618</f>
        <v>0</v>
      </c>
      <c r="AC620" s="98">
        <f>'Supply planning data'!AE618</f>
        <v>0</v>
      </c>
      <c r="AD620" s="325" t="str">
        <f>'Supply planning data'!AF618</f>
        <v/>
      </c>
      <c r="AE620" s="98">
        <f>'Supply planning data'!AG618</f>
        <v>0</v>
      </c>
      <c r="AF620" s="317">
        <f>'Supply planning data'!AH618</f>
        <v>0</v>
      </c>
      <c r="AG620" s="175">
        <f>'Supply planning data'!AI618</f>
        <v>0</v>
      </c>
      <c r="AH620" s="98">
        <f>'Supply planning data'!AJ618</f>
        <v>0</v>
      </c>
      <c r="AI620" s="98">
        <f>'Supply planning data'!AK618</f>
        <v>0</v>
      </c>
      <c r="AJ620" s="98">
        <f>'Supply planning data'!AL618</f>
        <v>0</v>
      </c>
      <c r="AK620" s="98">
        <f>'Supply planning data'!AM618</f>
        <v>0</v>
      </c>
      <c r="AL620" s="98">
        <f>'Supply planning data'!AN618</f>
        <v>0</v>
      </c>
      <c r="AM620" s="325" t="str">
        <f>'Supply planning data'!AO618</f>
        <v/>
      </c>
    </row>
    <row r="621" spans="1:39" hidden="1" x14ac:dyDescent="0.25">
      <c r="A621" s="90" t="str">
        <f>'Supply planning data'!C619</f>
        <v/>
      </c>
      <c r="B621" s="296">
        <f>'Supply planning data'!D619</f>
        <v>45413</v>
      </c>
      <c r="C621" s="92" t="str">
        <f>'Supply planning data'!E619</f>
        <v>No</v>
      </c>
      <c r="D621" s="92">
        <f>'Supply planning data'!F619</f>
        <v>0</v>
      </c>
      <c r="E621" s="316">
        <f>'Supply planning data'!G619</f>
        <v>0</v>
      </c>
      <c r="F621" s="317">
        <f>'Supply planning data'!H619</f>
        <v>0</v>
      </c>
      <c r="G621" s="317">
        <f>'Supply planning data'!I619</f>
        <v>0</v>
      </c>
      <c r="H621" s="98">
        <f>'Supply planning data'!J619</f>
        <v>0</v>
      </c>
      <c r="I621" s="317">
        <f>'Supply planning data'!K619</f>
        <v>0</v>
      </c>
      <c r="J621" s="175" t="str">
        <f>'Supply planning data'!L619</f>
        <v/>
      </c>
      <c r="K621" s="98">
        <f>'Supply planning data'!M619</f>
        <v>0</v>
      </c>
      <c r="L621" s="317">
        <f>'Supply planning data'!N619+'Supply planning data'!P619</f>
        <v>0</v>
      </c>
      <c r="M621" s="339">
        <f>'Supply planning data'!O619</f>
        <v>0</v>
      </c>
      <c r="N621" s="317">
        <f>'Supply planning data'!P619</f>
        <v>0</v>
      </c>
      <c r="O621" s="339">
        <f>'Supply planning data'!Q619</f>
        <v>0</v>
      </c>
      <c r="P621" s="98">
        <f>'Supply planning data'!R619</f>
        <v>0</v>
      </c>
      <c r="Q621" s="98">
        <f>'Supply planning data'!S619</f>
        <v>0</v>
      </c>
      <c r="R621" s="98">
        <f>'Supply planning data'!T619</f>
        <v>0</v>
      </c>
      <c r="S621" s="98">
        <f>'Supply planning data'!U619</f>
        <v>0</v>
      </c>
      <c r="T621" s="98">
        <f>'Supply planning data'!V619</f>
        <v>0</v>
      </c>
      <c r="U621" s="325" t="str">
        <f>'Supply planning data'!W619</f>
        <v/>
      </c>
      <c r="V621" s="98">
        <f>'Supply planning data'!X619</f>
        <v>0</v>
      </c>
      <c r="W621" s="317">
        <f>'Supply planning data'!Y619</f>
        <v>0</v>
      </c>
      <c r="X621" s="328">
        <f>'Supply planning data'!Z619</f>
        <v>0</v>
      </c>
      <c r="Y621" s="98">
        <f>'Supply planning data'!AA619</f>
        <v>0</v>
      </c>
      <c r="Z621" s="98">
        <f>'Supply planning data'!AB619</f>
        <v>0</v>
      </c>
      <c r="AA621" s="98">
        <f>'Supply planning data'!AC619</f>
        <v>0</v>
      </c>
      <c r="AB621" s="98">
        <f>'Supply planning data'!AD619</f>
        <v>0</v>
      </c>
      <c r="AC621" s="98">
        <f>'Supply planning data'!AE619</f>
        <v>0</v>
      </c>
      <c r="AD621" s="325" t="str">
        <f>'Supply planning data'!AF619</f>
        <v/>
      </c>
      <c r="AE621" s="98">
        <f>'Supply planning data'!AG619</f>
        <v>0</v>
      </c>
      <c r="AF621" s="317">
        <f>'Supply planning data'!AH619</f>
        <v>0</v>
      </c>
      <c r="AG621" s="175">
        <f>'Supply planning data'!AI619</f>
        <v>0</v>
      </c>
      <c r="AH621" s="98">
        <f>'Supply planning data'!AJ619</f>
        <v>0</v>
      </c>
      <c r="AI621" s="98">
        <f>'Supply planning data'!AK619</f>
        <v>0</v>
      </c>
      <c r="AJ621" s="98">
        <f>'Supply planning data'!AL619</f>
        <v>0</v>
      </c>
      <c r="AK621" s="98">
        <f>'Supply planning data'!AM619</f>
        <v>0</v>
      </c>
      <c r="AL621" s="98">
        <f>'Supply planning data'!AN619</f>
        <v>0</v>
      </c>
      <c r="AM621" s="325" t="str">
        <f>'Supply planning data'!AO619</f>
        <v/>
      </c>
    </row>
    <row r="622" spans="1:39" x14ac:dyDescent="0.25">
      <c r="A622" s="104" t="str">
        <f>'Supply planning data'!C620</f>
        <v>AstraZeneca</v>
      </c>
      <c r="B622" s="298">
        <f>'Supply planning data'!D620</f>
        <v>45444</v>
      </c>
      <c r="C622" s="105" t="str">
        <f>'Supply planning data'!E620</f>
        <v>Yes</v>
      </c>
      <c r="D622" s="105">
        <f>'Supply planning data'!F620</f>
        <v>0</v>
      </c>
      <c r="E622" s="320">
        <f>'Supply planning data'!G620</f>
        <v>0</v>
      </c>
      <c r="F622" s="320">
        <f>'Supply planning data'!H620</f>
        <v>0</v>
      </c>
      <c r="G622" s="320">
        <f>'Supply planning data'!I620</f>
        <v>0</v>
      </c>
      <c r="H622" s="105">
        <f>'Supply planning data'!J620</f>
        <v>0</v>
      </c>
      <c r="I622" s="320">
        <f>'Supply planning data'!K620</f>
        <v>0</v>
      </c>
      <c r="J622" s="177" t="str">
        <f>'Supply planning data'!L620</f>
        <v/>
      </c>
      <c r="K622" s="105">
        <f>'Supply planning data'!M620</f>
        <v>0</v>
      </c>
      <c r="L622" s="320">
        <f>'Supply planning data'!N620+'Supply planning data'!P620</f>
        <v>0</v>
      </c>
      <c r="M622" s="341">
        <f>'Supply planning data'!O620</f>
        <v>0</v>
      </c>
      <c r="N622" s="320">
        <f>'Supply planning data'!P620</f>
        <v>0</v>
      </c>
      <c r="O622" s="341">
        <f>'Supply planning data'!Q620</f>
        <v>0</v>
      </c>
      <c r="P622" s="105">
        <f>'Supply planning data'!R620</f>
        <v>0</v>
      </c>
      <c r="Q622" s="105">
        <f>'Supply planning data'!S620</f>
        <v>0</v>
      </c>
      <c r="R622" s="105">
        <f>'Supply planning data'!T620</f>
        <v>0</v>
      </c>
      <c r="S622" s="105">
        <f>'Supply planning data'!U620</f>
        <v>0</v>
      </c>
      <c r="T622" s="105">
        <f>'Supply planning data'!V620</f>
        <v>0</v>
      </c>
      <c r="U622" s="326" t="str">
        <f>'Supply planning data'!W620</f>
        <v/>
      </c>
      <c r="V622" s="105">
        <f>'Supply planning data'!X620</f>
        <v>154701</v>
      </c>
      <c r="W622" s="320">
        <f>'Supply planning data'!Y620</f>
        <v>0</v>
      </c>
      <c r="X622" s="329">
        <f>'Supply planning data'!Z620</f>
        <v>0</v>
      </c>
      <c r="Y622" s="105">
        <f>'Supply planning data'!AA620</f>
        <v>0</v>
      </c>
      <c r="Z622" s="105">
        <f>'Supply planning data'!AB620</f>
        <v>0</v>
      </c>
      <c r="AA622" s="105">
        <f>'Supply planning data'!AC620</f>
        <v>0</v>
      </c>
      <c r="AB622" s="105">
        <f>'Supply planning data'!AD620</f>
        <v>0</v>
      </c>
      <c r="AC622" s="105">
        <f>'Supply planning data'!AE620</f>
        <v>154701</v>
      </c>
      <c r="AD622" s="326" t="str">
        <f>'Supply planning data'!AF620</f>
        <v/>
      </c>
      <c r="AE622" s="105">
        <f>'Supply planning data'!AG620</f>
        <v>0</v>
      </c>
      <c r="AF622" s="320">
        <f>'Supply planning data'!AH620</f>
        <v>0</v>
      </c>
      <c r="AG622" s="177">
        <f>'Supply planning data'!AI620</f>
        <v>0</v>
      </c>
      <c r="AH622" s="105">
        <f>'Supply planning data'!AJ620</f>
        <v>0</v>
      </c>
      <c r="AI622" s="105">
        <f>'Supply planning data'!AK620</f>
        <v>0</v>
      </c>
      <c r="AJ622" s="105">
        <f>'Supply planning data'!AL620</f>
        <v>0</v>
      </c>
      <c r="AK622" s="105">
        <f>'Supply planning data'!AM620</f>
        <v>0</v>
      </c>
      <c r="AL622" s="105">
        <f>'Supply planning data'!AN620</f>
        <v>0</v>
      </c>
      <c r="AM622" s="326" t="str">
        <f>'Supply planning data'!AO620</f>
        <v/>
      </c>
    </row>
    <row r="623" spans="1:39" x14ac:dyDescent="0.25">
      <c r="A623" s="109" t="str">
        <f>'Supply planning data'!C621</f>
        <v>Jansen</v>
      </c>
      <c r="B623" s="298">
        <f>'Supply planning data'!D621</f>
        <v>45444</v>
      </c>
      <c r="C623" s="105" t="str">
        <f>'Supply planning data'!E621</f>
        <v>Yes</v>
      </c>
      <c r="D623" s="105">
        <f>'Supply planning data'!F621</f>
        <v>1871200</v>
      </c>
      <c r="E623" s="320">
        <f>'Supply planning data'!G621</f>
        <v>0</v>
      </c>
      <c r="F623" s="320">
        <f>'Supply planning data'!H621</f>
        <v>0</v>
      </c>
      <c r="G623" s="320">
        <f>'Supply planning data'!I621</f>
        <v>0</v>
      </c>
      <c r="H623" s="105">
        <f>'Supply planning data'!J621</f>
        <v>0</v>
      </c>
      <c r="I623" s="320">
        <f>'Supply planning data'!K621</f>
        <v>0</v>
      </c>
      <c r="J623" s="177" t="str">
        <f>'Supply planning data'!L621</f>
        <v/>
      </c>
      <c r="K623" s="105">
        <f>'Supply planning data'!M621</f>
        <v>0</v>
      </c>
      <c r="L623" s="321">
        <f>'Supply planning data'!N621+'Supply planning data'!P621</f>
        <v>0</v>
      </c>
      <c r="M623" s="342">
        <f>'Supply planning data'!O621</f>
        <v>0</v>
      </c>
      <c r="N623" s="321">
        <f>'Supply planning data'!P621</f>
        <v>0</v>
      </c>
      <c r="O623" s="342">
        <f>'Supply planning data'!Q621</f>
        <v>0</v>
      </c>
      <c r="P623" s="111">
        <f>'Supply planning data'!R621</f>
        <v>0</v>
      </c>
      <c r="Q623" s="111">
        <f>'Supply planning data'!S621</f>
        <v>0</v>
      </c>
      <c r="R623" s="111">
        <f>'Supply planning data'!T621</f>
        <v>387547</v>
      </c>
      <c r="S623" s="111">
        <f>'Supply planning data'!U621</f>
        <v>0</v>
      </c>
      <c r="T623" s="111">
        <f>'Supply planning data'!V621</f>
        <v>1871200</v>
      </c>
      <c r="U623" s="327" t="str">
        <f>'Supply planning data'!W621</f>
        <v/>
      </c>
      <c r="V623" s="111">
        <f>'Supply planning data'!X621</f>
        <v>1311200</v>
      </c>
      <c r="W623" s="321">
        <f>'Supply planning data'!Y621</f>
        <v>0</v>
      </c>
      <c r="X623" s="329">
        <f>'Supply planning data'!Z621</f>
        <v>0</v>
      </c>
      <c r="Y623" s="111">
        <f>'Supply planning data'!AA621</f>
        <v>0</v>
      </c>
      <c r="Z623" s="111">
        <f>'Supply planning data'!AB621</f>
        <v>0</v>
      </c>
      <c r="AA623" s="111">
        <f>'Supply planning data'!AC621</f>
        <v>0</v>
      </c>
      <c r="AB623" s="111">
        <f>'Supply planning data'!AD621</f>
        <v>0</v>
      </c>
      <c r="AC623" s="111">
        <f>'Supply planning data'!AE621</f>
        <v>1311200</v>
      </c>
      <c r="AD623" s="327" t="str">
        <f>'Supply planning data'!AF621</f>
        <v/>
      </c>
      <c r="AE623" s="111">
        <f>'Supply planning data'!AG621</f>
        <v>1871200</v>
      </c>
      <c r="AF623" s="321">
        <f>'Supply planning data'!AH621</f>
        <v>0</v>
      </c>
      <c r="AG623" s="349">
        <f>'Supply planning data'!AI621</f>
        <v>0</v>
      </c>
      <c r="AH623" s="111">
        <f>'Supply planning data'!AJ621</f>
        <v>0</v>
      </c>
      <c r="AI623" s="111">
        <f>'Supply planning data'!AK621</f>
        <v>0</v>
      </c>
      <c r="AJ623" s="111">
        <f>'Supply planning data'!AL621</f>
        <v>387547</v>
      </c>
      <c r="AK623" s="111">
        <f>'Supply planning data'!AM621</f>
        <v>0</v>
      </c>
      <c r="AL623" s="111">
        <f>'Supply planning data'!AN621</f>
        <v>1871200</v>
      </c>
      <c r="AM623" s="327" t="str">
        <f>'Supply planning data'!AO621</f>
        <v/>
      </c>
    </row>
    <row r="624" spans="1:39" x14ac:dyDescent="0.25">
      <c r="A624" s="104" t="str">
        <f>'Supply planning data'!C622</f>
        <v>Moderna</v>
      </c>
      <c r="B624" s="298">
        <f>'Supply planning data'!D622</f>
        <v>45444</v>
      </c>
      <c r="C624" s="105" t="str">
        <f>'Supply planning data'!E622</f>
        <v>No</v>
      </c>
      <c r="D624" s="105">
        <f>'Supply planning data'!F622</f>
        <v>0</v>
      </c>
      <c r="E624" s="320">
        <f>'Supply planning data'!G622</f>
        <v>0</v>
      </c>
      <c r="F624" s="320">
        <f>'Supply planning data'!H622</f>
        <v>0</v>
      </c>
      <c r="G624" s="320">
        <f>'Supply planning data'!I622</f>
        <v>0</v>
      </c>
      <c r="H624" s="105">
        <f>'Supply planning data'!J622</f>
        <v>0</v>
      </c>
      <c r="I624" s="320">
        <f>'Supply planning data'!K622</f>
        <v>0</v>
      </c>
      <c r="J624" s="177" t="str">
        <f>'Supply planning data'!L622</f>
        <v/>
      </c>
      <c r="K624" s="105">
        <f>'Supply planning data'!M622</f>
        <v>0</v>
      </c>
      <c r="L624" s="321">
        <f>'Supply planning data'!N622+'Supply planning data'!P622</f>
        <v>0</v>
      </c>
      <c r="M624" s="342">
        <f>'Supply planning data'!O622</f>
        <v>0</v>
      </c>
      <c r="N624" s="321">
        <f>'Supply planning data'!P622</f>
        <v>0</v>
      </c>
      <c r="O624" s="342">
        <f>'Supply planning data'!Q622</f>
        <v>0</v>
      </c>
      <c r="P624" s="111">
        <f>'Supply planning data'!R622</f>
        <v>0</v>
      </c>
      <c r="Q624" s="111">
        <f>'Supply planning data'!S622</f>
        <v>0</v>
      </c>
      <c r="R624" s="111">
        <f>'Supply planning data'!T622</f>
        <v>0</v>
      </c>
      <c r="S624" s="111">
        <f>'Supply planning data'!U622</f>
        <v>0</v>
      </c>
      <c r="T624" s="111">
        <f>'Supply planning data'!V622</f>
        <v>0</v>
      </c>
      <c r="U624" s="327" t="str">
        <f>'Supply planning data'!W622</f>
        <v/>
      </c>
      <c r="V624" s="111">
        <f>'Supply planning data'!X622</f>
        <v>0</v>
      </c>
      <c r="W624" s="321">
        <f>'Supply planning data'!Y622</f>
        <v>0</v>
      </c>
      <c r="X624" s="329">
        <f>'Supply planning data'!Z622</f>
        <v>0</v>
      </c>
      <c r="Y624" s="111">
        <f>'Supply planning data'!AA622</f>
        <v>0</v>
      </c>
      <c r="Z624" s="111">
        <f>'Supply planning data'!AB622</f>
        <v>0</v>
      </c>
      <c r="AA624" s="111">
        <f>'Supply planning data'!AC622</f>
        <v>0</v>
      </c>
      <c r="AB624" s="111">
        <f>'Supply planning data'!AD622</f>
        <v>0</v>
      </c>
      <c r="AC624" s="111">
        <f>'Supply planning data'!AE622</f>
        <v>0</v>
      </c>
      <c r="AD624" s="327" t="str">
        <f>'Supply planning data'!AF622</f>
        <v/>
      </c>
      <c r="AE624" s="111">
        <f>'Supply planning data'!AG622</f>
        <v>0</v>
      </c>
      <c r="AF624" s="321">
        <f>'Supply planning data'!AH622</f>
        <v>0</v>
      </c>
      <c r="AG624" s="349">
        <f>'Supply planning data'!AI622</f>
        <v>0</v>
      </c>
      <c r="AH624" s="111">
        <f>'Supply planning data'!AJ622</f>
        <v>0</v>
      </c>
      <c r="AI624" s="111">
        <f>'Supply planning data'!AK622</f>
        <v>0</v>
      </c>
      <c r="AJ624" s="111">
        <f>'Supply planning data'!AL622</f>
        <v>0</v>
      </c>
      <c r="AK624" s="111">
        <f>'Supply planning data'!AM622</f>
        <v>0</v>
      </c>
      <c r="AL624" s="111">
        <f>'Supply planning data'!AN622</f>
        <v>0</v>
      </c>
      <c r="AM624" s="327" t="str">
        <f>'Supply planning data'!AO622</f>
        <v/>
      </c>
    </row>
    <row r="625" spans="1:39" x14ac:dyDescent="0.25">
      <c r="A625" s="109" t="str">
        <f>'Supply planning data'!C623</f>
        <v>Pfizer</v>
      </c>
      <c r="B625" s="298">
        <f>'Supply planning data'!D623</f>
        <v>45444</v>
      </c>
      <c r="C625" s="105" t="str">
        <f>'Supply planning data'!E623</f>
        <v>Yes</v>
      </c>
      <c r="D625" s="105">
        <f>'Supply planning data'!F623</f>
        <v>3000000</v>
      </c>
      <c r="E625" s="320">
        <f>'Supply planning data'!G623</f>
        <v>0</v>
      </c>
      <c r="F625" s="320">
        <f>'Supply planning data'!H623</f>
        <v>0</v>
      </c>
      <c r="G625" s="320">
        <f>'Supply planning data'!I623</f>
        <v>0</v>
      </c>
      <c r="H625" s="105">
        <f>'Supply planning data'!J623</f>
        <v>0</v>
      </c>
      <c r="I625" s="320">
        <f>'Supply planning data'!K623</f>
        <v>0</v>
      </c>
      <c r="J625" s="177" t="str">
        <f>'Supply planning data'!L623</f>
        <v/>
      </c>
      <c r="K625" s="105">
        <f>'Supply planning data'!M623</f>
        <v>0</v>
      </c>
      <c r="L625" s="321">
        <f>'Supply planning data'!N623+'Supply planning data'!P623</f>
        <v>0</v>
      </c>
      <c r="M625" s="342">
        <f>'Supply planning data'!O623</f>
        <v>0</v>
      </c>
      <c r="N625" s="321">
        <f>'Supply planning data'!P623</f>
        <v>0</v>
      </c>
      <c r="O625" s="342">
        <f>'Supply planning data'!Q623</f>
        <v>0</v>
      </c>
      <c r="P625" s="111">
        <f>'Supply planning data'!R623</f>
        <v>0</v>
      </c>
      <c r="Q625" s="111">
        <f>'Supply planning data'!S623</f>
        <v>0</v>
      </c>
      <c r="R625" s="111">
        <f>'Supply planning data'!T623</f>
        <v>110538</v>
      </c>
      <c r="S625" s="111">
        <f>'Supply planning data'!U623</f>
        <v>0</v>
      </c>
      <c r="T625" s="111">
        <f>'Supply planning data'!V623</f>
        <v>3000000</v>
      </c>
      <c r="U625" s="327" t="str">
        <f>'Supply planning data'!W623</f>
        <v/>
      </c>
      <c r="V625" s="111">
        <f>'Supply planning data'!X623</f>
        <v>2440000</v>
      </c>
      <c r="W625" s="321">
        <f>'Supply planning data'!Y623</f>
        <v>0</v>
      </c>
      <c r="X625" s="329">
        <f>'Supply planning data'!Z623</f>
        <v>0</v>
      </c>
      <c r="Y625" s="111">
        <f>'Supply planning data'!AA623</f>
        <v>0</v>
      </c>
      <c r="Z625" s="111">
        <f>'Supply planning data'!AB623</f>
        <v>0</v>
      </c>
      <c r="AA625" s="111">
        <f>'Supply planning data'!AC623</f>
        <v>0</v>
      </c>
      <c r="AB625" s="111">
        <f>'Supply planning data'!AD623</f>
        <v>0</v>
      </c>
      <c r="AC625" s="111">
        <f>'Supply planning data'!AE623</f>
        <v>2440000</v>
      </c>
      <c r="AD625" s="327" t="str">
        <f>'Supply planning data'!AF623</f>
        <v/>
      </c>
      <c r="AE625" s="111">
        <f>'Supply planning data'!AG623</f>
        <v>3000000</v>
      </c>
      <c r="AF625" s="321">
        <f>'Supply planning data'!AH623</f>
        <v>0</v>
      </c>
      <c r="AG625" s="349">
        <f>'Supply planning data'!AI623</f>
        <v>0</v>
      </c>
      <c r="AH625" s="111">
        <f>'Supply planning data'!AJ623</f>
        <v>0</v>
      </c>
      <c r="AI625" s="111">
        <f>'Supply planning data'!AK623</f>
        <v>0</v>
      </c>
      <c r="AJ625" s="111">
        <f>'Supply planning data'!AL623</f>
        <v>110538</v>
      </c>
      <c r="AK625" s="111">
        <f>'Supply planning data'!AM623</f>
        <v>0</v>
      </c>
      <c r="AL625" s="111">
        <f>'Supply planning data'!AN623</f>
        <v>3000000</v>
      </c>
      <c r="AM625" s="327" t="str">
        <f>'Supply planning data'!AO623</f>
        <v/>
      </c>
    </row>
    <row r="626" spans="1:39" x14ac:dyDescent="0.25">
      <c r="A626" s="104" t="str">
        <f>'Supply planning data'!C624</f>
        <v>Sinovac</v>
      </c>
      <c r="B626" s="298">
        <f>'Supply planning data'!D624</f>
        <v>45444</v>
      </c>
      <c r="C626" s="105" t="str">
        <f>'Supply planning data'!E624</f>
        <v>No</v>
      </c>
      <c r="D626" s="105">
        <f>'Supply planning data'!F624</f>
        <v>0</v>
      </c>
      <c r="E626" s="320">
        <f>'Supply planning data'!G624</f>
        <v>0</v>
      </c>
      <c r="F626" s="320">
        <f>'Supply planning data'!H624</f>
        <v>0</v>
      </c>
      <c r="G626" s="320">
        <f>'Supply planning data'!I624</f>
        <v>0</v>
      </c>
      <c r="H626" s="105">
        <f>'Supply planning data'!J624</f>
        <v>0</v>
      </c>
      <c r="I626" s="320">
        <f>'Supply planning data'!K624</f>
        <v>0</v>
      </c>
      <c r="J626" s="177" t="str">
        <f>'Supply planning data'!L624</f>
        <v/>
      </c>
      <c r="K626" s="105">
        <f>'Supply planning data'!M624</f>
        <v>0</v>
      </c>
      <c r="L626" s="321">
        <f>'Supply planning data'!N624+'Supply planning data'!P624</f>
        <v>0</v>
      </c>
      <c r="M626" s="342">
        <f>'Supply planning data'!O624</f>
        <v>0</v>
      </c>
      <c r="N626" s="321">
        <f>'Supply planning data'!P624</f>
        <v>0</v>
      </c>
      <c r="O626" s="342">
        <f>'Supply planning data'!Q624</f>
        <v>0</v>
      </c>
      <c r="P626" s="111">
        <f>'Supply planning data'!R624</f>
        <v>0</v>
      </c>
      <c r="Q626" s="111">
        <f>'Supply planning data'!S624</f>
        <v>0</v>
      </c>
      <c r="R626" s="111">
        <f>'Supply planning data'!T624</f>
        <v>0</v>
      </c>
      <c r="S626" s="111">
        <f>'Supply planning data'!U624</f>
        <v>0</v>
      </c>
      <c r="T626" s="111">
        <f>'Supply planning data'!V624</f>
        <v>0</v>
      </c>
      <c r="U626" s="327" t="str">
        <f>'Supply planning data'!W624</f>
        <v/>
      </c>
      <c r="V626" s="111">
        <f>'Supply planning data'!X624</f>
        <v>0</v>
      </c>
      <c r="W626" s="321">
        <f>'Supply planning data'!Y624</f>
        <v>0</v>
      </c>
      <c r="X626" s="329">
        <f>'Supply planning data'!Z624</f>
        <v>0</v>
      </c>
      <c r="Y626" s="111">
        <f>'Supply planning data'!AA624</f>
        <v>0</v>
      </c>
      <c r="Z626" s="111">
        <f>'Supply planning data'!AB624</f>
        <v>0</v>
      </c>
      <c r="AA626" s="111">
        <f>'Supply planning data'!AC624</f>
        <v>0</v>
      </c>
      <c r="AB626" s="111">
        <f>'Supply planning data'!AD624</f>
        <v>0</v>
      </c>
      <c r="AC626" s="111">
        <f>'Supply planning data'!AE624</f>
        <v>0</v>
      </c>
      <c r="AD626" s="327" t="str">
        <f>'Supply planning data'!AF624</f>
        <v/>
      </c>
      <c r="AE626" s="111">
        <f>'Supply planning data'!AG624</f>
        <v>0</v>
      </c>
      <c r="AF626" s="321">
        <f>'Supply planning data'!AH624</f>
        <v>0</v>
      </c>
      <c r="AG626" s="349">
        <f>'Supply planning data'!AI624</f>
        <v>0</v>
      </c>
      <c r="AH626" s="111">
        <f>'Supply planning data'!AJ624</f>
        <v>0</v>
      </c>
      <c r="AI626" s="111">
        <f>'Supply planning data'!AK624</f>
        <v>0</v>
      </c>
      <c r="AJ626" s="111">
        <f>'Supply planning data'!AL624</f>
        <v>0</v>
      </c>
      <c r="AK626" s="111">
        <f>'Supply planning data'!AM624</f>
        <v>0</v>
      </c>
      <c r="AL626" s="111">
        <f>'Supply planning data'!AN624</f>
        <v>0</v>
      </c>
      <c r="AM626" s="327" t="str">
        <f>'Supply planning data'!AO624</f>
        <v/>
      </c>
    </row>
    <row r="627" spans="1:39" hidden="1" x14ac:dyDescent="0.25">
      <c r="A627" s="109" t="str">
        <f>'Supply planning data'!C625</f>
        <v/>
      </c>
      <c r="B627" s="298">
        <f>'Supply planning data'!D625</f>
        <v>45444</v>
      </c>
      <c r="C627" s="105" t="str">
        <f>'Supply planning data'!E625</f>
        <v>No</v>
      </c>
      <c r="D627" s="105">
        <f>'Supply planning data'!F625</f>
        <v>0</v>
      </c>
      <c r="E627" s="320">
        <f>'Supply planning data'!G625</f>
        <v>0</v>
      </c>
      <c r="F627" s="320">
        <f>'Supply planning data'!H625</f>
        <v>0</v>
      </c>
      <c r="G627" s="320">
        <f>'Supply planning data'!I625</f>
        <v>0</v>
      </c>
      <c r="H627" s="105">
        <f>'Supply planning data'!J625</f>
        <v>0</v>
      </c>
      <c r="I627" s="320">
        <f>'Supply planning data'!K625</f>
        <v>0</v>
      </c>
      <c r="J627" s="177" t="str">
        <f>'Supply planning data'!L625</f>
        <v/>
      </c>
      <c r="K627" s="105">
        <f>'Supply planning data'!M625</f>
        <v>0</v>
      </c>
      <c r="L627" s="321">
        <f>'Supply planning data'!N625+'Supply planning data'!P625</f>
        <v>0</v>
      </c>
      <c r="M627" s="342">
        <f>'Supply planning data'!O625</f>
        <v>0</v>
      </c>
      <c r="N627" s="321">
        <f>'Supply planning data'!P625</f>
        <v>0</v>
      </c>
      <c r="O627" s="342">
        <f>'Supply planning data'!Q625</f>
        <v>0</v>
      </c>
      <c r="P627" s="111">
        <f>'Supply planning data'!R625</f>
        <v>0</v>
      </c>
      <c r="Q627" s="111">
        <f>'Supply planning data'!S625</f>
        <v>0</v>
      </c>
      <c r="R627" s="111">
        <f>'Supply planning data'!T625</f>
        <v>0</v>
      </c>
      <c r="S627" s="111">
        <f>'Supply planning data'!U625</f>
        <v>0</v>
      </c>
      <c r="T627" s="111">
        <f>'Supply planning data'!V625</f>
        <v>0</v>
      </c>
      <c r="U627" s="327" t="str">
        <f>'Supply planning data'!W625</f>
        <v/>
      </c>
      <c r="V627" s="111">
        <f>'Supply planning data'!X625</f>
        <v>0</v>
      </c>
      <c r="W627" s="321">
        <f>'Supply planning data'!Y625</f>
        <v>0</v>
      </c>
      <c r="X627" s="329">
        <f>'Supply planning data'!Z625</f>
        <v>0</v>
      </c>
      <c r="Y627" s="111">
        <f>'Supply planning data'!AA625</f>
        <v>0</v>
      </c>
      <c r="Z627" s="111">
        <f>'Supply planning data'!AB625</f>
        <v>0</v>
      </c>
      <c r="AA627" s="111">
        <f>'Supply planning data'!AC625</f>
        <v>0</v>
      </c>
      <c r="AB627" s="111">
        <f>'Supply planning data'!AD625</f>
        <v>0</v>
      </c>
      <c r="AC627" s="111">
        <f>'Supply planning data'!AE625</f>
        <v>0</v>
      </c>
      <c r="AD627" s="327" t="str">
        <f>'Supply planning data'!AF625</f>
        <v/>
      </c>
      <c r="AE627" s="111">
        <f>'Supply planning data'!AG625</f>
        <v>0</v>
      </c>
      <c r="AF627" s="321">
        <f>'Supply planning data'!AH625</f>
        <v>0</v>
      </c>
      <c r="AG627" s="349">
        <f>'Supply planning data'!AI625</f>
        <v>0</v>
      </c>
      <c r="AH627" s="111">
        <f>'Supply planning data'!AJ625</f>
        <v>0</v>
      </c>
      <c r="AI627" s="111">
        <f>'Supply planning data'!AK625</f>
        <v>0</v>
      </c>
      <c r="AJ627" s="111">
        <f>'Supply planning data'!AL625</f>
        <v>0</v>
      </c>
      <c r="AK627" s="111">
        <f>'Supply planning data'!AM625</f>
        <v>0</v>
      </c>
      <c r="AL627" s="111">
        <f>'Supply planning data'!AN625</f>
        <v>0</v>
      </c>
      <c r="AM627" s="327" t="str">
        <f>'Supply planning data'!AO625</f>
        <v/>
      </c>
    </row>
    <row r="628" spans="1:39" hidden="1" x14ac:dyDescent="0.25">
      <c r="A628" s="104" t="str">
        <f>'Supply planning data'!C626</f>
        <v/>
      </c>
      <c r="B628" s="298">
        <f>'Supply planning data'!D626</f>
        <v>45444</v>
      </c>
      <c r="C628" s="105" t="str">
        <f>'Supply planning data'!E626</f>
        <v>No</v>
      </c>
      <c r="D628" s="105">
        <f>'Supply planning data'!F626</f>
        <v>0</v>
      </c>
      <c r="E628" s="320">
        <f>'Supply planning data'!G626</f>
        <v>0</v>
      </c>
      <c r="F628" s="320">
        <f>'Supply planning data'!H626</f>
        <v>0</v>
      </c>
      <c r="G628" s="320">
        <f>'Supply planning data'!I626</f>
        <v>0</v>
      </c>
      <c r="H628" s="105">
        <f>'Supply planning data'!J626</f>
        <v>0</v>
      </c>
      <c r="I628" s="320">
        <f>'Supply planning data'!K626</f>
        <v>0</v>
      </c>
      <c r="J628" s="177" t="str">
        <f>'Supply planning data'!L626</f>
        <v/>
      </c>
      <c r="K628" s="105">
        <f>'Supply planning data'!M626</f>
        <v>0</v>
      </c>
      <c r="L628" s="321">
        <f>'Supply planning data'!N626+'Supply planning data'!P626</f>
        <v>0</v>
      </c>
      <c r="M628" s="342">
        <f>'Supply planning data'!O626</f>
        <v>0</v>
      </c>
      <c r="N628" s="321">
        <f>'Supply planning data'!P626</f>
        <v>0</v>
      </c>
      <c r="O628" s="342">
        <f>'Supply planning data'!Q626</f>
        <v>0</v>
      </c>
      <c r="P628" s="111">
        <f>'Supply planning data'!R626</f>
        <v>0</v>
      </c>
      <c r="Q628" s="111">
        <f>'Supply planning data'!S626</f>
        <v>0</v>
      </c>
      <c r="R628" s="111">
        <f>'Supply planning data'!T626</f>
        <v>0</v>
      </c>
      <c r="S628" s="111">
        <f>'Supply planning data'!U626</f>
        <v>0</v>
      </c>
      <c r="T628" s="111">
        <f>'Supply planning data'!V626</f>
        <v>0</v>
      </c>
      <c r="U628" s="327" t="str">
        <f>'Supply planning data'!W626</f>
        <v/>
      </c>
      <c r="V628" s="111">
        <f>'Supply planning data'!X626</f>
        <v>0</v>
      </c>
      <c r="W628" s="321">
        <f>'Supply planning data'!Y626</f>
        <v>0</v>
      </c>
      <c r="X628" s="329">
        <f>'Supply planning data'!Z626</f>
        <v>0</v>
      </c>
      <c r="Y628" s="111">
        <f>'Supply planning data'!AA626</f>
        <v>0</v>
      </c>
      <c r="Z628" s="111">
        <f>'Supply planning data'!AB626</f>
        <v>0</v>
      </c>
      <c r="AA628" s="111">
        <f>'Supply planning data'!AC626</f>
        <v>0</v>
      </c>
      <c r="AB628" s="111">
        <f>'Supply planning data'!AD626</f>
        <v>0</v>
      </c>
      <c r="AC628" s="111">
        <f>'Supply planning data'!AE626</f>
        <v>0</v>
      </c>
      <c r="AD628" s="327" t="str">
        <f>'Supply planning data'!AF626</f>
        <v/>
      </c>
      <c r="AE628" s="111">
        <f>'Supply planning data'!AG626</f>
        <v>0</v>
      </c>
      <c r="AF628" s="321">
        <f>'Supply planning data'!AH626</f>
        <v>0</v>
      </c>
      <c r="AG628" s="349">
        <f>'Supply planning data'!AI626</f>
        <v>0</v>
      </c>
      <c r="AH628" s="111">
        <f>'Supply planning data'!AJ626</f>
        <v>0</v>
      </c>
      <c r="AI628" s="111">
        <f>'Supply planning data'!AK626</f>
        <v>0</v>
      </c>
      <c r="AJ628" s="111">
        <f>'Supply planning data'!AL626</f>
        <v>0</v>
      </c>
      <c r="AK628" s="111">
        <f>'Supply planning data'!AM626</f>
        <v>0</v>
      </c>
      <c r="AL628" s="111">
        <f>'Supply planning data'!AN626</f>
        <v>0</v>
      </c>
      <c r="AM628" s="327" t="str">
        <f>'Supply planning data'!AO626</f>
        <v/>
      </c>
    </row>
    <row r="629" spans="1:39" hidden="1" x14ac:dyDescent="0.25">
      <c r="A629" s="109" t="str">
        <f>'Supply planning data'!C627</f>
        <v/>
      </c>
      <c r="B629" s="298">
        <f>'Supply planning data'!D627</f>
        <v>45444</v>
      </c>
      <c r="C629" s="105" t="str">
        <f>'Supply planning data'!E627</f>
        <v>No</v>
      </c>
      <c r="D629" s="105">
        <f>'Supply planning data'!F627</f>
        <v>0</v>
      </c>
      <c r="E629" s="320">
        <f>'Supply planning data'!G627</f>
        <v>0</v>
      </c>
      <c r="F629" s="320">
        <f>'Supply planning data'!H627</f>
        <v>0</v>
      </c>
      <c r="G629" s="320">
        <f>'Supply planning data'!I627</f>
        <v>0</v>
      </c>
      <c r="H629" s="105">
        <f>'Supply planning data'!J627</f>
        <v>0</v>
      </c>
      <c r="I629" s="320">
        <f>'Supply planning data'!K627</f>
        <v>0</v>
      </c>
      <c r="J629" s="177" t="str">
        <f>'Supply planning data'!L627</f>
        <v/>
      </c>
      <c r="K629" s="105">
        <f>'Supply planning data'!M627</f>
        <v>0</v>
      </c>
      <c r="L629" s="321">
        <f>'Supply planning data'!N627+'Supply planning data'!P627</f>
        <v>0</v>
      </c>
      <c r="M629" s="342">
        <f>'Supply planning data'!O627</f>
        <v>0</v>
      </c>
      <c r="N629" s="321">
        <f>'Supply planning data'!P627</f>
        <v>0</v>
      </c>
      <c r="O629" s="342">
        <f>'Supply planning data'!Q627</f>
        <v>0</v>
      </c>
      <c r="P629" s="111">
        <f>'Supply planning data'!R627</f>
        <v>0</v>
      </c>
      <c r="Q629" s="111">
        <f>'Supply planning data'!S627</f>
        <v>0</v>
      </c>
      <c r="R629" s="111">
        <f>'Supply planning data'!T627</f>
        <v>0</v>
      </c>
      <c r="S629" s="111">
        <f>'Supply planning data'!U627</f>
        <v>0</v>
      </c>
      <c r="T629" s="111">
        <f>'Supply planning data'!V627</f>
        <v>0</v>
      </c>
      <c r="U629" s="327" t="str">
        <f>'Supply planning data'!W627</f>
        <v/>
      </c>
      <c r="V629" s="111">
        <f>'Supply planning data'!X627</f>
        <v>0</v>
      </c>
      <c r="W629" s="321">
        <f>'Supply planning data'!Y627</f>
        <v>0</v>
      </c>
      <c r="X629" s="329">
        <f>'Supply planning data'!Z627</f>
        <v>0</v>
      </c>
      <c r="Y629" s="111">
        <f>'Supply planning data'!AA627</f>
        <v>0</v>
      </c>
      <c r="Z629" s="111">
        <f>'Supply planning data'!AB627</f>
        <v>0</v>
      </c>
      <c r="AA629" s="111">
        <f>'Supply planning data'!AC627</f>
        <v>0</v>
      </c>
      <c r="AB629" s="111">
        <f>'Supply planning data'!AD627</f>
        <v>0</v>
      </c>
      <c r="AC629" s="111">
        <f>'Supply planning data'!AE627</f>
        <v>0</v>
      </c>
      <c r="AD629" s="327" t="str">
        <f>'Supply planning data'!AF627</f>
        <v/>
      </c>
      <c r="AE629" s="111">
        <f>'Supply planning data'!AG627</f>
        <v>0</v>
      </c>
      <c r="AF629" s="321">
        <f>'Supply planning data'!AH627</f>
        <v>0</v>
      </c>
      <c r="AG629" s="349">
        <f>'Supply planning data'!AI627</f>
        <v>0</v>
      </c>
      <c r="AH629" s="111">
        <f>'Supply planning data'!AJ627</f>
        <v>0</v>
      </c>
      <c r="AI629" s="111">
        <f>'Supply planning data'!AK627</f>
        <v>0</v>
      </c>
      <c r="AJ629" s="111">
        <f>'Supply planning data'!AL627</f>
        <v>0</v>
      </c>
      <c r="AK629" s="111">
        <f>'Supply planning data'!AM627</f>
        <v>0</v>
      </c>
      <c r="AL629" s="111">
        <f>'Supply planning data'!AN627</f>
        <v>0</v>
      </c>
      <c r="AM629" s="327" t="str">
        <f>'Supply planning data'!AO627</f>
        <v/>
      </c>
    </row>
    <row r="630" spans="1:39" hidden="1" x14ac:dyDescent="0.25">
      <c r="A630" s="104" t="str">
        <f>'Supply planning data'!C628</f>
        <v/>
      </c>
      <c r="B630" s="298">
        <f>'Supply planning data'!D628</f>
        <v>45444</v>
      </c>
      <c r="C630" s="105" t="str">
        <f>'Supply planning data'!E628</f>
        <v>No</v>
      </c>
      <c r="D630" s="105">
        <f>'Supply planning data'!F628</f>
        <v>0</v>
      </c>
      <c r="E630" s="320">
        <f>'Supply planning data'!G628</f>
        <v>0</v>
      </c>
      <c r="F630" s="320">
        <f>'Supply planning data'!H628</f>
        <v>0</v>
      </c>
      <c r="G630" s="320">
        <f>'Supply planning data'!I628</f>
        <v>0</v>
      </c>
      <c r="H630" s="105">
        <f>'Supply planning data'!J628</f>
        <v>0</v>
      </c>
      <c r="I630" s="320">
        <f>'Supply planning data'!K628</f>
        <v>0</v>
      </c>
      <c r="J630" s="177" t="str">
        <f>'Supply planning data'!L628</f>
        <v/>
      </c>
      <c r="K630" s="105">
        <f>'Supply planning data'!M628</f>
        <v>0</v>
      </c>
      <c r="L630" s="321">
        <f>'Supply planning data'!N628+'Supply planning data'!P628</f>
        <v>0</v>
      </c>
      <c r="M630" s="342">
        <f>'Supply planning data'!O628</f>
        <v>0</v>
      </c>
      <c r="N630" s="321">
        <f>'Supply planning data'!P628</f>
        <v>0</v>
      </c>
      <c r="O630" s="342">
        <f>'Supply planning data'!Q628</f>
        <v>0</v>
      </c>
      <c r="P630" s="111">
        <f>'Supply planning data'!R628</f>
        <v>0</v>
      </c>
      <c r="Q630" s="111">
        <f>'Supply planning data'!S628</f>
        <v>0</v>
      </c>
      <c r="R630" s="111">
        <f>'Supply planning data'!T628</f>
        <v>0</v>
      </c>
      <c r="S630" s="111">
        <f>'Supply planning data'!U628</f>
        <v>0</v>
      </c>
      <c r="T630" s="111">
        <f>'Supply planning data'!V628</f>
        <v>0</v>
      </c>
      <c r="U630" s="327" t="str">
        <f>'Supply planning data'!W628</f>
        <v/>
      </c>
      <c r="V630" s="111">
        <f>'Supply planning data'!X628</f>
        <v>0</v>
      </c>
      <c r="W630" s="321">
        <f>'Supply planning data'!Y628</f>
        <v>0</v>
      </c>
      <c r="X630" s="329">
        <f>'Supply planning data'!Z628</f>
        <v>0</v>
      </c>
      <c r="Y630" s="111">
        <f>'Supply planning data'!AA628</f>
        <v>0</v>
      </c>
      <c r="Z630" s="111">
        <f>'Supply planning data'!AB628</f>
        <v>0</v>
      </c>
      <c r="AA630" s="111">
        <f>'Supply planning data'!AC628</f>
        <v>0</v>
      </c>
      <c r="AB630" s="111">
        <f>'Supply planning data'!AD628</f>
        <v>0</v>
      </c>
      <c r="AC630" s="111">
        <f>'Supply planning data'!AE628</f>
        <v>0</v>
      </c>
      <c r="AD630" s="327" t="str">
        <f>'Supply planning data'!AF628</f>
        <v/>
      </c>
      <c r="AE630" s="111">
        <f>'Supply planning data'!AG628</f>
        <v>0</v>
      </c>
      <c r="AF630" s="321">
        <f>'Supply planning data'!AH628</f>
        <v>0</v>
      </c>
      <c r="AG630" s="349">
        <f>'Supply planning data'!AI628</f>
        <v>0</v>
      </c>
      <c r="AH630" s="111">
        <f>'Supply planning data'!AJ628</f>
        <v>0</v>
      </c>
      <c r="AI630" s="111">
        <f>'Supply planning data'!AK628</f>
        <v>0</v>
      </c>
      <c r="AJ630" s="111">
        <f>'Supply planning data'!AL628</f>
        <v>0</v>
      </c>
      <c r="AK630" s="111">
        <f>'Supply planning data'!AM628</f>
        <v>0</v>
      </c>
      <c r="AL630" s="111">
        <f>'Supply planning data'!AN628</f>
        <v>0</v>
      </c>
      <c r="AM630" s="327" t="str">
        <f>'Supply planning data'!AO628</f>
        <v/>
      </c>
    </row>
    <row r="631" spans="1:39" hidden="1" x14ac:dyDescent="0.25">
      <c r="A631" s="109" t="str">
        <f>'Supply planning data'!C629</f>
        <v/>
      </c>
      <c r="B631" s="298">
        <f>'Supply planning data'!D629</f>
        <v>45444</v>
      </c>
      <c r="C631" s="105" t="str">
        <f>'Supply planning data'!E629</f>
        <v>No</v>
      </c>
      <c r="D631" s="105">
        <f>'Supply planning data'!F629</f>
        <v>0</v>
      </c>
      <c r="E631" s="320">
        <f>'Supply planning data'!G629</f>
        <v>0</v>
      </c>
      <c r="F631" s="320">
        <f>'Supply planning data'!H629</f>
        <v>0</v>
      </c>
      <c r="G631" s="320">
        <f>'Supply planning data'!I629</f>
        <v>0</v>
      </c>
      <c r="H631" s="105">
        <f>'Supply planning data'!J629</f>
        <v>0</v>
      </c>
      <c r="I631" s="320">
        <f>'Supply planning data'!K629</f>
        <v>0</v>
      </c>
      <c r="J631" s="177" t="str">
        <f>'Supply planning data'!L629</f>
        <v/>
      </c>
      <c r="K631" s="105">
        <f>'Supply planning data'!M629</f>
        <v>0</v>
      </c>
      <c r="L631" s="321">
        <f>'Supply planning data'!N629+'Supply planning data'!P629</f>
        <v>0</v>
      </c>
      <c r="M631" s="342">
        <f>'Supply planning data'!O629</f>
        <v>0</v>
      </c>
      <c r="N631" s="321">
        <f>'Supply planning data'!P629</f>
        <v>0</v>
      </c>
      <c r="O631" s="342">
        <f>'Supply planning data'!Q629</f>
        <v>0</v>
      </c>
      <c r="P631" s="111">
        <f>'Supply planning data'!R629</f>
        <v>0</v>
      </c>
      <c r="Q631" s="111">
        <f>'Supply planning data'!S629</f>
        <v>0</v>
      </c>
      <c r="R631" s="111">
        <f>'Supply planning data'!T629</f>
        <v>0</v>
      </c>
      <c r="S631" s="111">
        <f>'Supply planning data'!U629</f>
        <v>0</v>
      </c>
      <c r="T631" s="111">
        <f>'Supply planning data'!V629</f>
        <v>0</v>
      </c>
      <c r="U631" s="327" t="str">
        <f>'Supply planning data'!W629</f>
        <v/>
      </c>
      <c r="V631" s="111">
        <f>'Supply planning data'!X629</f>
        <v>0</v>
      </c>
      <c r="W631" s="321">
        <f>'Supply planning data'!Y629</f>
        <v>0</v>
      </c>
      <c r="X631" s="329">
        <f>'Supply planning data'!Z629</f>
        <v>0</v>
      </c>
      <c r="Y631" s="111">
        <f>'Supply planning data'!AA629</f>
        <v>0</v>
      </c>
      <c r="Z631" s="111">
        <f>'Supply planning data'!AB629</f>
        <v>0</v>
      </c>
      <c r="AA631" s="111">
        <f>'Supply planning data'!AC629</f>
        <v>0</v>
      </c>
      <c r="AB631" s="111">
        <f>'Supply planning data'!AD629</f>
        <v>0</v>
      </c>
      <c r="AC631" s="111">
        <f>'Supply planning data'!AE629</f>
        <v>0</v>
      </c>
      <c r="AD631" s="327" t="str">
        <f>'Supply planning data'!AF629</f>
        <v/>
      </c>
      <c r="AE631" s="111">
        <f>'Supply planning data'!AG629</f>
        <v>0</v>
      </c>
      <c r="AF631" s="321">
        <f>'Supply planning data'!AH629</f>
        <v>0</v>
      </c>
      <c r="AG631" s="349">
        <f>'Supply planning data'!AI629</f>
        <v>0</v>
      </c>
      <c r="AH631" s="111">
        <f>'Supply planning data'!AJ629</f>
        <v>0</v>
      </c>
      <c r="AI631" s="111">
        <f>'Supply planning data'!AK629</f>
        <v>0</v>
      </c>
      <c r="AJ631" s="111">
        <f>'Supply planning data'!AL629</f>
        <v>0</v>
      </c>
      <c r="AK631" s="111">
        <f>'Supply planning data'!AM629</f>
        <v>0</v>
      </c>
      <c r="AL631" s="111">
        <f>'Supply planning data'!AN629</f>
        <v>0</v>
      </c>
      <c r="AM631" s="327" t="str">
        <f>'Supply planning data'!AO629</f>
        <v/>
      </c>
    </row>
    <row r="632" spans="1:39" hidden="1" x14ac:dyDescent="0.25">
      <c r="A632" s="104" t="str">
        <f>'Supply planning data'!C630</f>
        <v/>
      </c>
      <c r="B632" s="298">
        <f>'Supply planning data'!D630</f>
        <v>45444</v>
      </c>
      <c r="C632" s="105" t="str">
        <f>'Supply planning data'!E630</f>
        <v>No</v>
      </c>
      <c r="D632" s="105">
        <f>'Supply planning data'!F630</f>
        <v>0</v>
      </c>
      <c r="E632" s="320">
        <f>'Supply planning data'!G630</f>
        <v>0</v>
      </c>
      <c r="F632" s="320">
        <f>'Supply planning data'!H630</f>
        <v>0</v>
      </c>
      <c r="G632" s="320">
        <f>'Supply planning data'!I630</f>
        <v>0</v>
      </c>
      <c r="H632" s="105">
        <f>'Supply planning data'!J630</f>
        <v>0</v>
      </c>
      <c r="I632" s="320">
        <f>'Supply planning data'!K630</f>
        <v>0</v>
      </c>
      <c r="J632" s="177" t="str">
        <f>'Supply planning data'!L630</f>
        <v/>
      </c>
      <c r="K632" s="105">
        <f>'Supply planning data'!M630</f>
        <v>0</v>
      </c>
      <c r="L632" s="321">
        <f>'Supply planning data'!N630+'Supply planning data'!P630</f>
        <v>0</v>
      </c>
      <c r="M632" s="342">
        <f>'Supply planning data'!O630</f>
        <v>0</v>
      </c>
      <c r="N632" s="321">
        <f>'Supply planning data'!P630</f>
        <v>0</v>
      </c>
      <c r="O632" s="342">
        <f>'Supply planning data'!Q630</f>
        <v>0</v>
      </c>
      <c r="P632" s="111">
        <f>'Supply planning data'!R630</f>
        <v>0</v>
      </c>
      <c r="Q632" s="111">
        <f>'Supply planning data'!S630</f>
        <v>0</v>
      </c>
      <c r="R632" s="111">
        <f>'Supply planning data'!T630</f>
        <v>0</v>
      </c>
      <c r="S632" s="111">
        <f>'Supply planning data'!U630</f>
        <v>0</v>
      </c>
      <c r="T632" s="111">
        <f>'Supply planning data'!V630</f>
        <v>0</v>
      </c>
      <c r="U632" s="327" t="str">
        <f>'Supply planning data'!W630</f>
        <v/>
      </c>
      <c r="V632" s="111">
        <f>'Supply planning data'!X630</f>
        <v>0</v>
      </c>
      <c r="W632" s="321">
        <f>'Supply planning data'!Y630</f>
        <v>0</v>
      </c>
      <c r="X632" s="329">
        <f>'Supply planning data'!Z630</f>
        <v>0</v>
      </c>
      <c r="Y632" s="111">
        <f>'Supply planning data'!AA630</f>
        <v>0</v>
      </c>
      <c r="Z632" s="111">
        <f>'Supply planning data'!AB630</f>
        <v>0</v>
      </c>
      <c r="AA632" s="111">
        <f>'Supply planning data'!AC630</f>
        <v>0</v>
      </c>
      <c r="AB632" s="111">
        <f>'Supply planning data'!AD630</f>
        <v>0</v>
      </c>
      <c r="AC632" s="111">
        <f>'Supply planning data'!AE630</f>
        <v>0</v>
      </c>
      <c r="AD632" s="327" t="str">
        <f>'Supply planning data'!AF630</f>
        <v/>
      </c>
      <c r="AE632" s="111">
        <f>'Supply planning data'!AG630</f>
        <v>0</v>
      </c>
      <c r="AF632" s="321">
        <f>'Supply planning data'!AH630</f>
        <v>0</v>
      </c>
      <c r="AG632" s="349">
        <f>'Supply planning data'!AI630</f>
        <v>0</v>
      </c>
      <c r="AH632" s="111">
        <f>'Supply planning data'!AJ630</f>
        <v>0</v>
      </c>
      <c r="AI632" s="111">
        <f>'Supply planning data'!AK630</f>
        <v>0</v>
      </c>
      <c r="AJ632" s="111">
        <f>'Supply planning data'!AL630</f>
        <v>0</v>
      </c>
      <c r="AK632" s="111">
        <f>'Supply planning data'!AM630</f>
        <v>0</v>
      </c>
      <c r="AL632" s="111">
        <f>'Supply planning data'!AN630</f>
        <v>0</v>
      </c>
      <c r="AM632" s="327" t="str">
        <f>'Supply planning data'!AO630</f>
        <v/>
      </c>
    </row>
    <row r="633" spans="1:39" hidden="1" x14ac:dyDescent="0.25">
      <c r="A633" s="109" t="str">
        <f>'Supply planning data'!C631</f>
        <v/>
      </c>
      <c r="B633" s="298">
        <f>'Supply planning data'!D631</f>
        <v>45444</v>
      </c>
      <c r="C633" s="105" t="str">
        <f>'Supply planning data'!E631</f>
        <v>No</v>
      </c>
      <c r="D633" s="105">
        <f>'Supply planning data'!F631</f>
        <v>0</v>
      </c>
      <c r="E633" s="320">
        <f>'Supply planning data'!G631</f>
        <v>0</v>
      </c>
      <c r="F633" s="320">
        <f>'Supply planning data'!H631</f>
        <v>0</v>
      </c>
      <c r="G633" s="320">
        <f>'Supply planning data'!I631</f>
        <v>0</v>
      </c>
      <c r="H633" s="105">
        <f>'Supply planning data'!J631</f>
        <v>0</v>
      </c>
      <c r="I633" s="320">
        <f>'Supply planning data'!K631</f>
        <v>0</v>
      </c>
      <c r="J633" s="177" t="str">
        <f>'Supply planning data'!L631</f>
        <v/>
      </c>
      <c r="K633" s="105">
        <f>'Supply planning data'!M631</f>
        <v>0</v>
      </c>
      <c r="L633" s="321">
        <f>'Supply planning data'!N631+'Supply planning data'!P631</f>
        <v>0</v>
      </c>
      <c r="M633" s="342">
        <f>'Supply planning data'!O631</f>
        <v>0</v>
      </c>
      <c r="N633" s="321">
        <f>'Supply planning data'!P631</f>
        <v>0</v>
      </c>
      <c r="O633" s="342">
        <f>'Supply planning data'!Q631</f>
        <v>0</v>
      </c>
      <c r="P633" s="111">
        <f>'Supply planning data'!R631</f>
        <v>0</v>
      </c>
      <c r="Q633" s="111">
        <f>'Supply planning data'!S631</f>
        <v>0</v>
      </c>
      <c r="R633" s="111">
        <f>'Supply planning data'!T631</f>
        <v>0</v>
      </c>
      <c r="S633" s="111">
        <f>'Supply planning data'!U631</f>
        <v>0</v>
      </c>
      <c r="T633" s="111">
        <f>'Supply planning data'!V631</f>
        <v>0</v>
      </c>
      <c r="U633" s="327" t="str">
        <f>'Supply planning data'!W631</f>
        <v/>
      </c>
      <c r="V633" s="111">
        <f>'Supply planning data'!X631</f>
        <v>0</v>
      </c>
      <c r="W633" s="321">
        <f>'Supply planning data'!Y631</f>
        <v>0</v>
      </c>
      <c r="X633" s="329">
        <f>'Supply planning data'!Z631</f>
        <v>0</v>
      </c>
      <c r="Y633" s="111">
        <f>'Supply planning data'!AA631</f>
        <v>0</v>
      </c>
      <c r="Z633" s="111">
        <f>'Supply planning data'!AB631</f>
        <v>0</v>
      </c>
      <c r="AA633" s="111">
        <f>'Supply planning data'!AC631</f>
        <v>0</v>
      </c>
      <c r="AB633" s="111">
        <f>'Supply planning data'!AD631</f>
        <v>0</v>
      </c>
      <c r="AC633" s="111">
        <f>'Supply planning data'!AE631</f>
        <v>0</v>
      </c>
      <c r="AD633" s="327" t="str">
        <f>'Supply planning data'!AF631</f>
        <v/>
      </c>
      <c r="AE633" s="111">
        <f>'Supply planning data'!AG631</f>
        <v>0</v>
      </c>
      <c r="AF633" s="321">
        <f>'Supply planning data'!AH631</f>
        <v>0</v>
      </c>
      <c r="AG633" s="349">
        <f>'Supply planning data'!AI631</f>
        <v>0</v>
      </c>
      <c r="AH633" s="111">
        <f>'Supply planning data'!AJ631</f>
        <v>0</v>
      </c>
      <c r="AI633" s="111">
        <f>'Supply planning data'!AK631</f>
        <v>0</v>
      </c>
      <c r="AJ633" s="111">
        <f>'Supply planning data'!AL631</f>
        <v>0</v>
      </c>
      <c r="AK633" s="111">
        <f>'Supply planning data'!AM631</f>
        <v>0</v>
      </c>
      <c r="AL633" s="111">
        <f>'Supply planning data'!AN631</f>
        <v>0</v>
      </c>
      <c r="AM633" s="327" t="str">
        <f>'Supply planning data'!AO631</f>
        <v/>
      </c>
    </row>
    <row r="634" spans="1:39" hidden="1" x14ac:dyDescent="0.25">
      <c r="A634" s="104" t="str">
        <f>'Supply planning data'!C632</f>
        <v/>
      </c>
      <c r="B634" s="298">
        <f>'Supply planning data'!D632</f>
        <v>45444</v>
      </c>
      <c r="C634" s="105" t="str">
        <f>'Supply planning data'!E632</f>
        <v>No</v>
      </c>
      <c r="D634" s="105">
        <f>'Supply planning data'!F632</f>
        <v>0</v>
      </c>
      <c r="E634" s="320">
        <f>'Supply planning data'!G632</f>
        <v>0</v>
      </c>
      <c r="F634" s="320">
        <f>'Supply planning data'!H632</f>
        <v>0</v>
      </c>
      <c r="G634" s="320">
        <f>'Supply planning data'!I632</f>
        <v>0</v>
      </c>
      <c r="H634" s="105">
        <f>'Supply planning data'!J632</f>
        <v>0</v>
      </c>
      <c r="I634" s="320">
        <f>'Supply planning data'!K632</f>
        <v>0</v>
      </c>
      <c r="J634" s="177" t="str">
        <f>'Supply planning data'!L632</f>
        <v/>
      </c>
      <c r="K634" s="105">
        <f>'Supply planning data'!M632</f>
        <v>0</v>
      </c>
      <c r="L634" s="321">
        <f>'Supply planning data'!N632+'Supply planning data'!P632</f>
        <v>0</v>
      </c>
      <c r="M634" s="342">
        <f>'Supply planning data'!O632</f>
        <v>0</v>
      </c>
      <c r="N634" s="321">
        <f>'Supply planning data'!P632</f>
        <v>0</v>
      </c>
      <c r="O634" s="342">
        <f>'Supply planning data'!Q632</f>
        <v>0</v>
      </c>
      <c r="P634" s="111">
        <f>'Supply planning data'!R632</f>
        <v>0</v>
      </c>
      <c r="Q634" s="111">
        <f>'Supply planning data'!S632</f>
        <v>0</v>
      </c>
      <c r="R634" s="111">
        <f>'Supply planning data'!T632</f>
        <v>0</v>
      </c>
      <c r="S634" s="111">
        <f>'Supply planning data'!U632</f>
        <v>0</v>
      </c>
      <c r="T634" s="111">
        <f>'Supply planning data'!V632</f>
        <v>0</v>
      </c>
      <c r="U634" s="327" t="str">
        <f>'Supply planning data'!W632</f>
        <v/>
      </c>
      <c r="V634" s="111">
        <f>'Supply planning data'!X632</f>
        <v>0</v>
      </c>
      <c r="W634" s="321">
        <f>'Supply planning data'!Y632</f>
        <v>0</v>
      </c>
      <c r="X634" s="329">
        <f>'Supply planning data'!Z632</f>
        <v>0</v>
      </c>
      <c r="Y634" s="111">
        <f>'Supply planning data'!AA632</f>
        <v>0</v>
      </c>
      <c r="Z634" s="111">
        <f>'Supply planning data'!AB632</f>
        <v>0</v>
      </c>
      <c r="AA634" s="111">
        <f>'Supply planning data'!AC632</f>
        <v>0</v>
      </c>
      <c r="AB634" s="111">
        <f>'Supply planning data'!AD632</f>
        <v>0</v>
      </c>
      <c r="AC634" s="111">
        <f>'Supply planning data'!AE632</f>
        <v>0</v>
      </c>
      <c r="AD634" s="327" t="str">
        <f>'Supply planning data'!AF632</f>
        <v/>
      </c>
      <c r="AE634" s="111">
        <f>'Supply planning data'!AG632</f>
        <v>0</v>
      </c>
      <c r="AF634" s="321">
        <f>'Supply planning data'!AH632</f>
        <v>0</v>
      </c>
      <c r="AG634" s="349">
        <f>'Supply planning data'!AI632</f>
        <v>0</v>
      </c>
      <c r="AH634" s="111">
        <f>'Supply planning data'!AJ632</f>
        <v>0</v>
      </c>
      <c r="AI634" s="111">
        <f>'Supply planning data'!AK632</f>
        <v>0</v>
      </c>
      <c r="AJ634" s="111">
        <f>'Supply planning data'!AL632</f>
        <v>0</v>
      </c>
      <c r="AK634" s="111">
        <f>'Supply planning data'!AM632</f>
        <v>0</v>
      </c>
      <c r="AL634" s="111">
        <f>'Supply planning data'!AN632</f>
        <v>0</v>
      </c>
      <c r="AM634" s="327" t="str">
        <f>'Supply planning data'!AO632</f>
        <v/>
      </c>
    </row>
    <row r="635" spans="1:39" hidden="1" x14ac:dyDescent="0.25">
      <c r="A635" s="109" t="str">
        <f>'Supply planning data'!C633</f>
        <v/>
      </c>
      <c r="B635" s="298">
        <f>'Supply planning data'!D633</f>
        <v>45444</v>
      </c>
      <c r="C635" s="105" t="str">
        <f>'Supply planning data'!E633</f>
        <v>No</v>
      </c>
      <c r="D635" s="105">
        <f>'Supply planning data'!F633</f>
        <v>0</v>
      </c>
      <c r="E635" s="320">
        <f>'Supply planning data'!G633</f>
        <v>0</v>
      </c>
      <c r="F635" s="320">
        <f>'Supply planning data'!H633</f>
        <v>0</v>
      </c>
      <c r="G635" s="320">
        <f>'Supply planning data'!I633</f>
        <v>0</v>
      </c>
      <c r="H635" s="105">
        <f>'Supply planning data'!J633</f>
        <v>0</v>
      </c>
      <c r="I635" s="320">
        <f>'Supply planning data'!K633</f>
        <v>0</v>
      </c>
      <c r="J635" s="177" t="str">
        <f>'Supply planning data'!L633</f>
        <v/>
      </c>
      <c r="K635" s="105">
        <f>'Supply planning data'!M633</f>
        <v>0</v>
      </c>
      <c r="L635" s="321">
        <f>'Supply planning data'!N633+'Supply planning data'!P633</f>
        <v>0</v>
      </c>
      <c r="M635" s="342">
        <f>'Supply planning data'!O633</f>
        <v>0</v>
      </c>
      <c r="N635" s="321">
        <f>'Supply planning data'!P633</f>
        <v>0</v>
      </c>
      <c r="O635" s="342">
        <f>'Supply planning data'!Q633</f>
        <v>0</v>
      </c>
      <c r="P635" s="111">
        <f>'Supply planning data'!R633</f>
        <v>0</v>
      </c>
      <c r="Q635" s="111">
        <f>'Supply planning data'!S633</f>
        <v>0</v>
      </c>
      <c r="R635" s="111">
        <f>'Supply planning data'!T633</f>
        <v>0</v>
      </c>
      <c r="S635" s="111">
        <f>'Supply planning data'!U633</f>
        <v>0</v>
      </c>
      <c r="T635" s="111">
        <f>'Supply planning data'!V633</f>
        <v>0</v>
      </c>
      <c r="U635" s="327" t="str">
        <f>'Supply planning data'!W633</f>
        <v/>
      </c>
      <c r="V635" s="111">
        <f>'Supply planning data'!X633</f>
        <v>0</v>
      </c>
      <c r="W635" s="321">
        <f>'Supply planning data'!Y633</f>
        <v>0</v>
      </c>
      <c r="X635" s="329">
        <f>'Supply planning data'!Z633</f>
        <v>0</v>
      </c>
      <c r="Y635" s="111">
        <f>'Supply planning data'!AA633</f>
        <v>0</v>
      </c>
      <c r="Z635" s="111">
        <f>'Supply planning data'!AB633</f>
        <v>0</v>
      </c>
      <c r="AA635" s="111">
        <f>'Supply planning data'!AC633</f>
        <v>0</v>
      </c>
      <c r="AB635" s="111">
        <f>'Supply planning data'!AD633</f>
        <v>0</v>
      </c>
      <c r="AC635" s="111">
        <f>'Supply planning data'!AE633</f>
        <v>0</v>
      </c>
      <c r="AD635" s="327" t="str">
        <f>'Supply planning data'!AF633</f>
        <v/>
      </c>
      <c r="AE635" s="111">
        <f>'Supply planning data'!AG633</f>
        <v>0</v>
      </c>
      <c r="AF635" s="321">
        <f>'Supply planning data'!AH633</f>
        <v>0</v>
      </c>
      <c r="AG635" s="349">
        <f>'Supply planning data'!AI633</f>
        <v>0</v>
      </c>
      <c r="AH635" s="111">
        <f>'Supply planning data'!AJ633</f>
        <v>0</v>
      </c>
      <c r="AI635" s="111">
        <f>'Supply planning data'!AK633</f>
        <v>0</v>
      </c>
      <c r="AJ635" s="111">
        <f>'Supply planning data'!AL633</f>
        <v>0</v>
      </c>
      <c r="AK635" s="111">
        <f>'Supply planning data'!AM633</f>
        <v>0</v>
      </c>
      <c r="AL635" s="111">
        <f>'Supply planning data'!AN633</f>
        <v>0</v>
      </c>
      <c r="AM635" s="327" t="str">
        <f>'Supply planning data'!AO633</f>
        <v/>
      </c>
    </row>
    <row r="636" spans="1:39" hidden="1" x14ac:dyDescent="0.25">
      <c r="A636" s="104" t="str">
        <f>'Supply planning data'!C634</f>
        <v/>
      </c>
      <c r="B636" s="298">
        <f>'Supply planning data'!D634</f>
        <v>45444</v>
      </c>
      <c r="C636" s="105" t="str">
        <f>'Supply planning data'!E634</f>
        <v>No</v>
      </c>
      <c r="D636" s="105">
        <f>'Supply planning data'!F634</f>
        <v>0</v>
      </c>
      <c r="E636" s="320">
        <f>'Supply planning data'!G634</f>
        <v>0</v>
      </c>
      <c r="F636" s="320">
        <f>'Supply planning data'!H634</f>
        <v>0</v>
      </c>
      <c r="G636" s="320">
        <f>'Supply planning data'!I634</f>
        <v>0</v>
      </c>
      <c r="H636" s="105">
        <f>'Supply planning data'!J634</f>
        <v>0</v>
      </c>
      <c r="I636" s="320">
        <f>'Supply planning data'!K634</f>
        <v>0</v>
      </c>
      <c r="J636" s="177" t="str">
        <f>'Supply planning data'!L634</f>
        <v/>
      </c>
      <c r="K636" s="105">
        <f>'Supply planning data'!M634</f>
        <v>0</v>
      </c>
      <c r="L636" s="321">
        <f>'Supply planning data'!N634+'Supply planning data'!P634</f>
        <v>0</v>
      </c>
      <c r="M636" s="342">
        <f>'Supply planning data'!O634</f>
        <v>0</v>
      </c>
      <c r="N636" s="321">
        <f>'Supply planning data'!P634</f>
        <v>0</v>
      </c>
      <c r="O636" s="342">
        <f>'Supply planning data'!Q634</f>
        <v>0</v>
      </c>
      <c r="P636" s="111">
        <f>'Supply planning data'!R634</f>
        <v>0</v>
      </c>
      <c r="Q636" s="111">
        <f>'Supply planning data'!S634</f>
        <v>0</v>
      </c>
      <c r="R636" s="111">
        <f>'Supply planning data'!T634</f>
        <v>0</v>
      </c>
      <c r="S636" s="111">
        <f>'Supply planning data'!U634</f>
        <v>0</v>
      </c>
      <c r="T636" s="111">
        <f>'Supply planning data'!V634</f>
        <v>0</v>
      </c>
      <c r="U636" s="327" t="str">
        <f>'Supply planning data'!W634</f>
        <v/>
      </c>
      <c r="V636" s="111">
        <f>'Supply planning data'!X634</f>
        <v>0</v>
      </c>
      <c r="W636" s="321">
        <f>'Supply planning data'!Y634</f>
        <v>0</v>
      </c>
      <c r="X636" s="329">
        <f>'Supply planning data'!Z634</f>
        <v>0</v>
      </c>
      <c r="Y636" s="111">
        <f>'Supply planning data'!AA634</f>
        <v>0</v>
      </c>
      <c r="Z636" s="111">
        <f>'Supply planning data'!AB634</f>
        <v>0</v>
      </c>
      <c r="AA636" s="111">
        <f>'Supply planning data'!AC634</f>
        <v>0</v>
      </c>
      <c r="AB636" s="111">
        <f>'Supply planning data'!AD634</f>
        <v>0</v>
      </c>
      <c r="AC636" s="111">
        <f>'Supply planning data'!AE634</f>
        <v>0</v>
      </c>
      <c r="AD636" s="327" t="str">
        <f>'Supply planning data'!AF634</f>
        <v/>
      </c>
      <c r="AE636" s="111">
        <f>'Supply planning data'!AG634</f>
        <v>0</v>
      </c>
      <c r="AF636" s="321">
        <f>'Supply planning data'!AH634</f>
        <v>0</v>
      </c>
      <c r="AG636" s="349">
        <f>'Supply planning data'!AI634</f>
        <v>0</v>
      </c>
      <c r="AH636" s="111">
        <f>'Supply planning data'!AJ634</f>
        <v>0</v>
      </c>
      <c r="AI636" s="111">
        <f>'Supply planning data'!AK634</f>
        <v>0</v>
      </c>
      <c r="AJ636" s="111">
        <f>'Supply planning data'!AL634</f>
        <v>0</v>
      </c>
      <c r="AK636" s="111">
        <f>'Supply planning data'!AM634</f>
        <v>0</v>
      </c>
      <c r="AL636" s="111">
        <f>'Supply planning data'!AN634</f>
        <v>0</v>
      </c>
      <c r="AM636" s="327" t="str">
        <f>'Supply planning data'!AO634</f>
        <v/>
      </c>
    </row>
    <row r="637" spans="1:39" x14ac:dyDescent="0.25">
      <c r="A637" s="90" t="str">
        <f>'Supply planning data'!C635</f>
        <v>AstraZeneca</v>
      </c>
      <c r="B637" s="296">
        <f>'Supply planning data'!D635</f>
        <v>45474</v>
      </c>
      <c r="C637" s="92" t="str">
        <f>'Supply planning data'!E635</f>
        <v>Yes</v>
      </c>
      <c r="D637" s="92">
        <f>'Supply planning data'!F635</f>
        <v>0</v>
      </c>
      <c r="E637" s="316">
        <f>'Supply planning data'!G635</f>
        <v>0</v>
      </c>
      <c r="F637" s="316">
        <f>'Supply planning data'!H635</f>
        <v>0</v>
      </c>
      <c r="G637" s="316">
        <f>'Supply planning data'!I635</f>
        <v>0</v>
      </c>
      <c r="H637" s="92">
        <f>'Supply planning data'!J635</f>
        <v>0</v>
      </c>
      <c r="I637" s="316">
        <f>'Supply planning data'!K635</f>
        <v>0</v>
      </c>
      <c r="J637" s="174" t="str">
        <f>'Supply planning data'!L635</f>
        <v/>
      </c>
      <c r="K637" s="92">
        <f>'Supply planning data'!M635</f>
        <v>0</v>
      </c>
      <c r="L637" s="316">
        <f>'Supply planning data'!N635+'Supply planning data'!P635</f>
        <v>0</v>
      </c>
      <c r="M637" s="343">
        <f>'Supply planning data'!O635</f>
        <v>0</v>
      </c>
      <c r="N637" s="316">
        <f>'Supply planning data'!P635</f>
        <v>0</v>
      </c>
      <c r="O637" s="343">
        <f>'Supply planning data'!Q635</f>
        <v>0</v>
      </c>
      <c r="P637" s="92">
        <f>'Supply planning data'!R635</f>
        <v>0</v>
      </c>
      <c r="Q637" s="92">
        <f>'Supply planning data'!S635</f>
        <v>0</v>
      </c>
      <c r="R637" s="92">
        <f>'Supply planning data'!T635</f>
        <v>0</v>
      </c>
      <c r="S637" s="92">
        <f>'Supply planning data'!U635</f>
        <v>0</v>
      </c>
      <c r="T637" s="92">
        <f>'Supply planning data'!V635</f>
        <v>0</v>
      </c>
      <c r="U637" s="324" t="str">
        <f>'Supply planning data'!W635</f>
        <v/>
      </c>
      <c r="V637" s="92">
        <f>'Supply planning data'!X635</f>
        <v>154701</v>
      </c>
      <c r="W637" s="316">
        <f>'Supply planning data'!Y635</f>
        <v>0</v>
      </c>
      <c r="X637" s="328">
        <f>'Supply planning data'!Z635</f>
        <v>0</v>
      </c>
      <c r="Y637" s="92">
        <f>'Supply planning data'!AA635</f>
        <v>0</v>
      </c>
      <c r="Z637" s="92">
        <f>'Supply planning data'!AB635</f>
        <v>0</v>
      </c>
      <c r="AA637" s="92">
        <f>'Supply planning data'!AC635</f>
        <v>0</v>
      </c>
      <c r="AB637" s="92">
        <f>'Supply planning data'!AD635</f>
        <v>0</v>
      </c>
      <c r="AC637" s="92">
        <f>'Supply planning data'!AE635</f>
        <v>154701</v>
      </c>
      <c r="AD637" s="324" t="str">
        <f>'Supply planning data'!AF635</f>
        <v/>
      </c>
      <c r="AE637" s="92">
        <f>'Supply planning data'!AG635</f>
        <v>0</v>
      </c>
      <c r="AF637" s="316">
        <f>'Supply planning data'!AH635</f>
        <v>0</v>
      </c>
      <c r="AG637" s="174">
        <f>'Supply planning data'!AI635</f>
        <v>0</v>
      </c>
      <c r="AH637" s="92">
        <f>'Supply planning data'!AJ635</f>
        <v>0</v>
      </c>
      <c r="AI637" s="92">
        <f>'Supply planning data'!AK635</f>
        <v>0</v>
      </c>
      <c r="AJ637" s="92">
        <f>'Supply planning data'!AL635</f>
        <v>0</v>
      </c>
      <c r="AK637" s="92">
        <f>'Supply planning data'!AM635</f>
        <v>0</v>
      </c>
      <c r="AL637" s="92">
        <f>'Supply planning data'!AN635</f>
        <v>0</v>
      </c>
      <c r="AM637" s="324" t="str">
        <f>'Supply planning data'!AO635</f>
        <v/>
      </c>
    </row>
    <row r="638" spans="1:39" x14ac:dyDescent="0.25">
      <c r="A638" s="90" t="str">
        <f>'Supply planning data'!C636</f>
        <v>Jansen</v>
      </c>
      <c r="B638" s="296">
        <f>'Supply planning data'!D636</f>
        <v>45474</v>
      </c>
      <c r="C638" s="92" t="str">
        <f>'Supply planning data'!E636</f>
        <v>Yes</v>
      </c>
      <c r="D638" s="92">
        <f>'Supply planning data'!F636</f>
        <v>1871200</v>
      </c>
      <c r="E638" s="316">
        <f>'Supply planning data'!G636</f>
        <v>0</v>
      </c>
      <c r="F638" s="317">
        <f>'Supply planning data'!H636</f>
        <v>0</v>
      </c>
      <c r="G638" s="317">
        <f>'Supply planning data'!I636</f>
        <v>0</v>
      </c>
      <c r="H638" s="98">
        <f>'Supply planning data'!J636</f>
        <v>0</v>
      </c>
      <c r="I638" s="317">
        <f>'Supply planning data'!K636</f>
        <v>0</v>
      </c>
      <c r="J638" s="175" t="str">
        <f>'Supply planning data'!L636</f>
        <v/>
      </c>
      <c r="K638" s="98">
        <f>'Supply planning data'!M636</f>
        <v>0</v>
      </c>
      <c r="L638" s="317">
        <f>'Supply planning data'!N636+'Supply planning data'!P636</f>
        <v>0</v>
      </c>
      <c r="M638" s="339">
        <f>'Supply planning data'!O636</f>
        <v>0</v>
      </c>
      <c r="N638" s="317">
        <f>'Supply planning data'!P636</f>
        <v>0</v>
      </c>
      <c r="O638" s="339">
        <f>'Supply planning data'!Q636</f>
        <v>0</v>
      </c>
      <c r="P638" s="98">
        <f>'Supply planning data'!R636</f>
        <v>0</v>
      </c>
      <c r="Q638" s="98">
        <f>'Supply planning data'!S636</f>
        <v>0</v>
      </c>
      <c r="R638" s="98">
        <f>'Supply planning data'!T636</f>
        <v>387547</v>
      </c>
      <c r="S638" s="98">
        <f>'Supply planning data'!U636</f>
        <v>0</v>
      </c>
      <c r="T638" s="98">
        <f>'Supply planning data'!V636</f>
        <v>1871200</v>
      </c>
      <c r="U638" s="325" t="str">
        <f>'Supply planning data'!W636</f>
        <v/>
      </c>
      <c r="V638" s="98">
        <f>'Supply planning data'!X636</f>
        <v>1311200</v>
      </c>
      <c r="W638" s="317">
        <f>'Supply planning data'!Y636</f>
        <v>0</v>
      </c>
      <c r="X638" s="328">
        <f>'Supply planning data'!Z636</f>
        <v>0</v>
      </c>
      <c r="Y638" s="98">
        <f>'Supply planning data'!AA636</f>
        <v>0</v>
      </c>
      <c r="Z638" s="98">
        <f>'Supply planning data'!AB636</f>
        <v>0</v>
      </c>
      <c r="AA638" s="98">
        <f>'Supply planning data'!AC636</f>
        <v>0</v>
      </c>
      <c r="AB638" s="98">
        <f>'Supply planning data'!AD636</f>
        <v>0</v>
      </c>
      <c r="AC638" s="98">
        <f>'Supply planning data'!AE636</f>
        <v>1311200</v>
      </c>
      <c r="AD638" s="325" t="str">
        <f>'Supply planning data'!AF636</f>
        <v/>
      </c>
      <c r="AE638" s="98">
        <f>'Supply planning data'!AG636</f>
        <v>1871200</v>
      </c>
      <c r="AF638" s="317">
        <f>'Supply planning data'!AH636</f>
        <v>0</v>
      </c>
      <c r="AG638" s="175">
        <f>'Supply planning data'!AI636</f>
        <v>0</v>
      </c>
      <c r="AH638" s="98">
        <f>'Supply planning data'!AJ636</f>
        <v>0</v>
      </c>
      <c r="AI638" s="98">
        <f>'Supply planning data'!AK636</f>
        <v>0</v>
      </c>
      <c r="AJ638" s="98">
        <f>'Supply planning data'!AL636</f>
        <v>387547</v>
      </c>
      <c r="AK638" s="98">
        <f>'Supply planning data'!AM636</f>
        <v>0</v>
      </c>
      <c r="AL638" s="98">
        <f>'Supply planning data'!AN636</f>
        <v>1871200</v>
      </c>
      <c r="AM638" s="325" t="str">
        <f>'Supply planning data'!AO636</f>
        <v/>
      </c>
    </row>
    <row r="639" spans="1:39" x14ac:dyDescent="0.25">
      <c r="A639" s="90" t="str">
        <f>'Supply planning data'!C637</f>
        <v>Moderna</v>
      </c>
      <c r="B639" s="296">
        <f>'Supply planning data'!D637</f>
        <v>45474</v>
      </c>
      <c r="C639" s="92" t="str">
        <f>'Supply planning data'!E637</f>
        <v>No</v>
      </c>
      <c r="D639" s="92">
        <f>'Supply planning data'!F637</f>
        <v>0</v>
      </c>
      <c r="E639" s="316">
        <f>'Supply planning data'!G637</f>
        <v>0</v>
      </c>
      <c r="F639" s="317">
        <f>'Supply planning data'!H637</f>
        <v>0</v>
      </c>
      <c r="G639" s="317">
        <f>'Supply planning data'!I637</f>
        <v>0</v>
      </c>
      <c r="H639" s="98">
        <f>'Supply planning data'!J637</f>
        <v>0</v>
      </c>
      <c r="I639" s="317">
        <f>'Supply planning data'!K637</f>
        <v>0</v>
      </c>
      <c r="J639" s="175" t="str">
        <f>'Supply planning data'!L637</f>
        <v/>
      </c>
      <c r="K639" s="98">
        <f>'Supply planning data'!M637</f>
        <v>0</v>
      </c>
      <c r="L639" s="317">
        <f>'Supply planning data'!N637+'Supply planning data'!P637</f>
        <v>0</v>
      </c>
      <c r="M639" s="339">
        <f>'Supply planning data'!O637</f>
        <v>0</v>
      </c>
      <c r="N639" s="317">
        <f>'Supply planning data'!P637</f>
        <v>0</v>
      </c>
      <c r="O639" s="339">
        <f>'Supply planning data'!Q637</f>
        <v>0</v>
      </c>
      <c r="P639" s="98">
        <f>'Supply planning data'!R637</f>
        <v>0</v>
      </c>
      <c r="Q639" s="98">
        <f>'Supply planning data'!S637</f>
        <v>0</v>
      </c>
      <c r="R639" s="98">
        <f>'Supply planning data'!T637</f>
        <v>0</v>
      </c>
      <c r="S639" s="98">
        <f>'Supply planning data'!U637</f>
        <v>0</v>
      </c>
      <c r="T639" s="98">
        <f>'Supply planning data'!V637</f>
        <v>0</v>
      </c>
      <c r="U639" s="325" t="str">
        <f>'Supply planning data'!W637</f>
        <v/>
      </c>
      <c r="V639" s="98">
        <f>'Supply planning data'!X637</f>
        <v>0</v>
      </c>
      <c r="W639" s="317">
        <f>'Supply planning data'!Y637</f>
        <v>0</v>
      </c>
      <c r="X639" s="328">
        <f>'Supply planning data'!Z637</f>
        <v>0</v>
      </c>
      <c r="Y639" s="98">
        <f>'Supply planning data'!AA637</f>
        <v>0</v>
      </c>
      <c r="Z639" s="98">
        <f>'Supply planning data'!AB637</f>
        <v>0</v>
      </c>
      <c r="AA639" s="98">
        <f>'Supply planning data'!AC637</f>
        <v>0</v>
      </c>
      <c r="AB639" s="98">
        <f>'Supply planning data'!AD637</f>
        <v>0</v>
      </c>
      <c r="AC639" s="98">
        <f>'Supply planning data'!AE637</f>
        <v>0</v>
      </c>
      <c r="AD639" s="325" t="str">
        <f>'Supply planning data'!AF637</f>
        <v/>
      </c>
      <c r="AE639" s="98">
        <f>'Supply planning data'!AG637</f>
        <v>0</v>
      </c>
      <c r="AF639" s="317">
        <f>'Supply planning data'!AH637</f>
        <v>0</v>
      </c>
      <c r="AG639" s="175">
        <f>'Supply planning data'!AI637</f>
        <v>0</v>
      </c>
      <c r="AH639" s="98">
        <f>'Supply planning data'!AJ637</f>
        <v>0</v>
      </c>
      <c r="AI639" s="98">
        <f>'Supply planning data'!AK637</f>
        <v>0</v>
      </c>
      <c r="AJ639" s="98">
        <f>'Supply planning data'!AL637</f>
        <v>0</v>
      </c>
      <c r="AK639" s="98">
        <f>'Supply planning data'!AM637</f>
        <v>0</v>
      </c>
      <c r="AL639" s="98">
        <f>'Supply planning data'!AN637</f>
        <v>0</v>
      </c>
      <c r="AM639" s="325" t="str">
        <f>'Supply planning data'!AO637</f>
        <v/>
      </c>
    </row>
    <row r="640" spans="1:39" x14ac:dyDescent="0.25">
      <c r="A640" s="90" t="str">
        <f>'Supply planning data'!C638</f>
        <v>Pfizer</v>
      </c>
      <c r="B640" s="296">
        <f>'Supply planning data'!D638</f>
        <v>45474</v>
      </c>
      <c r="C640" s="92" t="str">
        <f>'Supply planning data'!E638</f>
        <v>Yes</v>
      </c>
      <c r="D640" s="92">
        <f>'Supply planning data'!F638</f>
        <v>3000000</v>
      </c>
      <c r="E640" s="316">
        <f>'Supply planning data'!G638</f>
        <v>0</v>
      </c>
      <c r="F640" s="317">
        <f>'Supply planning data'!H638</f>
        <v>0</v>
      </c>
      <c r="G640" s="317">
        <f>'Supply planning data'!I638</f>
        <v>0</v>
      </c>
      <c r="H640" s="98">
        <f>'Supply planning data'!J638</f>
        <v>0</v>
      </c>
      <c r="I640" s="317">
        <f>'Supply planning data'!K638</f>
        <v>0</v>
      </c>
      <c r="J640" s="175" t="str">
        <f>'Supply planning data'!L638</f>
        <v/>
      </c>
      <c r="K640" s="98">
        <f>'Supply planning data'!M638</f>
        <v>0</v>
      </c>
      <c r="L640" s="317">
        <f>'Supply planning data'!N638+'Supply planning data'!P638</f>
        <v>0</v>
      </c>
      <c r="M640" s="339">
        <f>'Supply planning data'!O638</f>
        <v>0</v>
      </c>
      <c r="N640" s="317">
        <f>'Supply planning data'!P638</f>
        <v>0</v>
      </c>
      <c r="O640" s="339">
        <f>'Supply planning data'!Q638</f>
        <v>0</v>
      </c>
      <c r="P640" s="98">
        <f>'Supply planning data'!R638</f>
        <v>0</v>
      </c>
      <c r="Q640" s="98">
        <f>'Supply planning data'!S638</f>
        <v>0</v>
      </c>
      <c r="R640" s="98">
        <f>'Supply planning data'!T638</f>
        <v>110538</v>
      </c>
      <c r="S640" s="98">
        <f>'Supply planning data'!U638</f>
        <v>0</v>
      </c>
      <c r="T640" s="98">
        <f>'Supply planning data'!V638</f>
        <v>3000000</v>
      </c>
      <c r="U640" s="325" t="str">
        <f>'Supply planning data'!W638</f>
        <v/>
      </c>
      <c r="V640" s="98">
        <f>'Supply planning data'!X638</f>
        <v>2440000</v>
      </c>
      <c r="W640" s="317">
        <f>'Supply planning data'!Y638</f>
        <v>0</v>
      </c>
      <c r="X640" s="328">
        <f>'Supply planning data'!Z638</f>
        <v>0</v>
      </c>
      <c r="Y640" s="98">
        <f>'Supply planning data'!AA638</f>
        <v>0</v>
      </c>
      <c r="Z640" s="98">
        <f>'Supply planning data'!AB638</f>
        <v>0</v>
      </c>
      <c r="AA640" s="98">
        <f>'Supply planning data'!AC638</f>
        <v>0</v>
      </c>
      <c r="AB640" s="98">
        <f>'Supply planning data'!AD638</f>
        <v>0</v>
      </c>
      <c r="AC640" s="98">
        <f>'Supply planning data'!AE638</f>
        <v>2440000</v>
      </c>
      <c r="AD640" s="325" t="str">
        <f>'Supply planning data'!AF638</f>
        <v/>
      </c>
      <c r="AE640" s="98">
        <f>'Supply planning data'!AG638</f>
        <v>3000000</v>
      </c>
      <c r="AF640" s="317">
        <f>'Supply planning data'!AH638</f>
        <v>0</v>
      </c>
      <c r="AG640" s="175">
        <f>'Supply planning data'!AI638</f>
        <v>0</v>
      </c>
      <c r="AH640" s="98">
        <f>'Supply planning data'!AJ638</f>
        <v>0</v>
      </c>
      <c r="AI640" s="98">
        <f>'Supply planning data'!AK638</f>
        <v>0</v>
      </c>
      <c r="AJ640" s="98">
        <f>'Supply planning data'!AL638</f>
        <v>110538</v>
      </c>
      <c r="AK640" s="98">
        <f>'Supply planning data'!AM638</f>
        <v>0</v>
      </c>
      <c r="AL640" s="98">
        <f>'Supply planning data'!AN638</f>
        <v>3000000</v>
      </c>
      <c r="AM640" s="325" t="str">
        <f>'Supply planning data'!AO638</f>
        <v/>
      </c>
    </row>
    <row r="641" spans="1:39" x14ac:dyDescent="0.25">
      <c r="A641" s="90" t="str">
        <f>'Supply planning data'!C639</f>
        <v>Sinovac</v>
      </c>
      <c r="B641" s="296">
        <f>'Supply planning data'!D639</f>
        <v>45474</v>
      </c>
      <c r="C641" s="92" t="str">
        <f>'Supply planning data'!E639</f>
        <v>No</v>
      </c>
      <c r="D641" s="92">
        <f>'Supply planning data'!F639</f>
        <v>0</v>
      </c>
      <c r="E641" s="316">
        <f>'Supply planning data'!G639</f>
        <v>0</v>
      </c>
      <c r="F641" s="317">
        <f>'Supply planning data'!H639</f>
        <v>0</v>
      </c>
      <c r="G641" s="317">
        <f>'Supply planning data'!I639</f>
        <v>0</v>
      </c>
      <c r="H641" s="98">
        <f>'Supply planning data'!J639</f>
        <v>0</v>
      </c>
      <c r="I641" s="317">
        <f>'Supply planning data'!K639</f>
        <v>0</v>
      </c>
      <c r="J641" s="175" t="str">
        <f>'Supply planning data'!L639</f>
        <v/>
      </c>
      <c r="K641" s="98">
        <f>'Supply planning data'!M639</f>
        <v>0</v>
      </c>
      <c r="L641" s="317">
        <f>'Supply planning data'!N639+'Supply planning data'!P639</f>
        <v>0</v>
      </c>
      <c r="M641" s="339">
        <f>'Supply planning data'!O639</f>
        <v>0</v>
      </c>
      <c r="N641" s="317">
        <f>'Supply planning data'!P639</f>
        <v>0</v>
      </c>
      <c r="O641" s="339">
        <f>'Supply planning data'!Q639</f>
        <v>0</v>
      </c>
      <c r="P641" s="98">
        <f>'Supply planning data'!R639</f>
        <v>0</v>
      </c>
      <c r="Q641" s="98">
        <f>'Supply planning data'!S639</f>
        <v>0</v>
      </c>
      <c r="R641" s="98">
        <f>'Supply planning data'!T639</f>
        <v>0</v>
      </c>
      <c r="S641" s="98">
        <f>'Supply planning data'!U639</f>
        <v>0</v>
      </c>
      <c r="T641" s="98">
        <f>'Supply planning data'!V639</f>
        <v>0</v>
      </c>
      <c r="U641" s="325" t="str">
        <f>'Supply planning data'!W639</f>
        <v/>
      </c>
      <c r="V641" s="98">
        <f>'Supply planning data'!X639</f>
        <v>0</v>
      </c>
      <c r="W641" s="317">
        <f>'Supply planning data'!Y639</f>
        <v>0</v>
      </c>
      <c r="X641" s="328">
        <f>'Supply planning data'!Z639</f>
        <v>0</v>
      </c>
      <c r="Y641" s="98">
        <f>'Supply planning data'!AA639</f>
        <v>0</v>
      </c>
      <c r="Z641" s="98">
        <f>'Supply planning data'!AB639</f>
        <v>0</v>
      </c>
      <c r="AA641" s="98">
        <f>'Supply planning data'!AC639</f>
        <v>0</v>
      </c>
      <c r="AB641" s="98">
        <f>'Supply planning data'!AD639</f>
        <v>0</v>
      </c>
      <c r="AC641" s="98">
        <f>'Supply planning data'!AE639</f>
        <v>0</v>
      </c>
      <c r="AD641" s="325" t="str">
        <f>'Supply planning data'!AF639</f>
        <v/>
      </c>
      <c r="AE641" s="98">
        <f>'Supply planning data'!AG639</f>
        <v>0</v>
      </c>
      <c r="AF641" s="317">
        <f>'Supply planning data'!AH639</f>
        <v>0</v>
      </c>
      <c r="AG641" s="175">
        <f>'Supply planning data'!AI639</f>
        <v>0</v>
      </c>
      <c r="AH641" s="98">
        <f>'Supply planning data'!AJ639</f>
        <v>0</v>
      </c>
      <c r="AI641" s="98">
        <f>'Supply planning data'!AK639</f>
        <v>0</v>
      </c>
      <c r="AJ641" s="98">
        <f>'Supply planning data'!AL639</f>
        <v>0</v>
      </c>
      <c r="AK641" s="98">
        <f>'Supply planning data'!AM639</f>
        <v>0</v>
      </c>
      <c r="AL641" s="98">
        <f>'Supply planning data'!AN639</f>
        <v>0</v>
      </c>
      <c r="AM641" s="325" t="str">
        <f>'Supply planning data'!AO639</f>
        <v/>
      </c>
    </row>
    <row r="642" spans="1:39" hidden="1" x14ac:dyDescent="0.25">
      <c r="A642" s="90" t="str">
        <f>'Supply planning data'!C640</f>
        <v/>
      </c>
      <c r="B642" s="296">
        <f>'Supply planning data'!D640</f>
        <v>45474</v>
      </c>
      <c r="C642" s="92" t="str">
        <f>'Supply planning data'!E640</f>
        <v>No</v>
      </c>
      <c r="D642" s="92">
        <f>'Supply planning data'!F640</f>
        <v>0</v>
      </c>
      <c r="E642" s="316">
        <f>'Supply planning data'!G640</f>
        <v>0</v>
      </c>
      <c r="F642" s="317">
        <f>'Supply planning data'!H640</f>
        <v>0</v>
      </c>
      <c r="G642" s="317">
        <f>'Supply planning data'!I640</f>
        <v>0</v>
      </c>
      <c r="H642" s="98">
        <f>'Supply planning data'!J640</f>
        <v>0</v>
      </c>
      <c r="I642" s="317">
        <f>'Supply planning data'!K640</f>
        <v>0</v>
      </c>
      <c r="J642" s="175" t="str">
        <f>'Supply planning data'!L640</f>
        <v/>
      </c>
      <c r="K642" s="98">
        <f>'Supply planning data'!M640</f>
        <v>0</v>
      </c>
      <c r="L642" s="317">
        <f>'Supply planning data'!N640+'Supply planning data'!P640</f>
        <v>0</v>
      </c>
      <c r="M642" s="339">
        <f>'Supply planning data'!O640</f>
        <v>0</v>
      </c>
      <c r="N642" s="317">
        <f>'Supply planning data'!P640</f>
        <v>0</v>
      </c>
      <c r="O642" s="339">
        <f>'Supply planning data'!Q640</f>
        <v>0</v>
      </c>
      <c r="P642" s="98">
        <f>'Supply planning data'!R640</f>
        <v>0</v>
      </c>
      <c r="Q642" s="98">
        <f>'Supply planning data'!S640</f>
        <v>0</v>
      </c>
      <c r="R642" s="98">
        <f>'Supply planning data'!T640</f>
        <v>0</v>
      </c>
      <c r="S642" s="98">
        <f>'Supply planning data'!U640</f>
        <v>0</v>
      </c>
      <c r="T642" s="98">
        <f>'Supply planning data'!V640</f>
        <v>0</v>
      </c>
      <c r="U642" s="325" t="str">
        <f>'Supply planning data'!W640</f>
        <v/>
      </c>
      <c r="V642" s="98">
        <f>'Supply planning data'!X640</f>
        <v>0</v>
      </c>
      <c r="W642" s="317">
        <f>'Supply planning data'!Y640</f>
        <v>0</v>
      </c>
      <c r="X642" s="328">
        <f>'Supply planning data'!Z640</f>
        <v>0</v>
      </c>
      <c r="Y642" s="98">
        <f>'Supply planning data'!AA640</f>
        <v>0</v>
      </c>
      <c r="Z642" s="98">
        <f>'Supply planning data'!AB640</f>
        <v>0</v>
      </c>
      <c r="AA642" s="98">
        <f>'Supply planning data'!AC640</f>
        <v>0</v>
      </c>
      <c r="AB642" s="98">
        <f>'Supply planning data'!AD640</f>
        <v>0</v>
      </c>
      <c r="AC642" s="98">
        <f>'Supply planning data'!AE640</f>
        <v>0</v>
      </c>
      <c r="AD642" s="325" t="str">
        <f>'Supply planning data'!AF640</f>
        <v/>
      </c>
      <c r="AE642" s="98">
        <f>'Supply planning data'!AG640</f>
        <v>0</v>
      </c>
      <c r="AF642" s="317">
        <f>'Supply planning data'!AH640</f>
        <v>0</v>
      </c>
      <c r="AG642" s="175">
        <f>'Supply planning data'!AI640</f>
        <v>0</v>
      </c>
      <c r="AH642" s="98">
        <f>'Supply planning data'!AJ640</f>
        <v>0</v>
      </c>
      <c r="AI642" s="98">
        <f>'Supply planning data'!AK640</f>
        <v>0</v>
      </c>
      <c r="AJ642" s="98">
        <f>'Supply planning data'!AL640</f>
        <v>0</v>
      </c>
      <c r="AK642" s="98">
        <f>'Supply planning data'!AM640</f>
        <v>0</v>
      </c>
      <c r="AL642" s="98">
        <f>'Supply planning data'!AN640</f>
        <v>0</v>
      </c>
      <c r="AM642" s="325" t="str">
        <f>'Supply planning data'!AO640</f>
        <v/>
      </c>
    </row>
    <row r="643" spans="1:39" hidden="1" x14ac:dyDescent="0.25">
      <c r="A643" s="90" t="str">
        <f>'Supply planning data'!C641</f>
        <v/>
      </c>
      <c r="B643" s="296">
        <f>'Supply planning data'!D641</f>
        <v>45474</v>
      </c>
      <c r="C643" s="92" t="str">
        <f>'Supply planning data'!E641</f>
        <v>No</v>
      </c>
      <c r="D643" s="92">
        <f>'Supply planning data'!F641</f>
        <v>0</v>
      </c>
      <c r="E643" s="316">
        <f>'Supply planning data'!G641</f>
        <v>0</v>
      </c>
      <c r="F643" s="317">
        <f>'Supply planning data'!H641</f>
        <v>0</v>
      </c>
      <c r="G643" s="317">
        <f>'Supply planning data'!I641</f>
        <v>0</v>
      </c>
      <c r="H643" s="98">
        <f>'Supply planning data'!J641</f>
        <v>0</v>
      </c>
      <c r="I643" s="317">
        <f>'Supply planning data'!K641</f>
        <v>0</v>
      </c>
      <c r="J643" s="175" t="str">
        <f>'Supply planning data'!L641</f>
        <v/>
      </c>
      <c r="K643" s="98">
        <f>'Supply planning data'!M641</f>
        <v>0</v>
      </c>
      <c r="L643" s="317">
        <f>'Supply planning data'!N641+'Supply planning data'!P641</f>
        <v>0</v>
      </c>
      <c r="M643" s="339">
        <f>'Supply planning data'!O641</f>
        <v>0</v>
      </c>
      <c r="N643" s="317">
        <f>'Supply planning data'!P641</f>
        <v>0</v>
      </c>
      <c r="O643" s="339">
        <f>'Supply planning data'!Q641</f>
        <v>0</v>
      </c>
      <c r="P643" s="98">
        <f>'Supply planning data'!R641</f>
        <v>0</v>
      </c>
      <c r="Q643" s="98">
        <f>'Supply planning data'!S641</f>
        <v>0</v>
      </c>
      <c r="R643" s="98">
        <f>'Supply planning data'!T641</f>
        <v>0</v>
      </c>
      <c r="S643" s="98">
        <f>'Supply planning data'!U641</f>
        <v>0</v>
      </c>
      <c r="T643" s="98">
        <f>'Supply planning data'!V641</f>
        <v>0</v>
      </c>
      <c r="U643" s="325" t="str">
        <f>'Supply planning data'!W641</f>
        <v/>
      </c>
      <c r="V643" s="98">
        <f>'Supply planning data'!X641</f>
        <v>0</v>
      </c>
      <c r="W643" s="317">
        <f>'Supply planning data'!Y641</f>
        <v>0</v>
      </c>
      <c r="X643" s="328">
        <f>'Supply planning data'!Z641</f>
        <v>0</v>
      </c>
      <c r="Y643" s="98">
        <f>'Supply planning data'!AA641</f>
        <v>0</v>
      </c>
      <c r="Z643" s="98">
        <f>'Supply planning data'!AB641</f>
        <v>0</v>
      </c>
      <c r="AA643" s="98">
        <f>'Supply planning data'!AC641</f>
        <v>0</v>
      </c>
      <c r="AB643" s="98">
        <f>'Supply planning data'!AD641</f>
        <v>0</v>
      </c>
      <c r="AC643" s="98">
        <f>'Supply planning data'!AE641</f>
        <v>0</v>
      </c>
      <c r="AD643" s="325" t="str">
        <f>'Supply planning data'!AF641</f>
        <v/>
      </c>
      <c r="AE643" s="98">
        <f>'Supply planning data'!AG641</f>
        <v>0</v>
      </c>
      <c r="AF643" s="317">
        <f>'Supply planning data'!AH641</f>
        <v>0</v>
      </c>
      <c r="AG643" s="175">
        <f>'Supply planning data'!AI641</f>
        <v>0</v>
      </c>
      <c r="AH643" s="98">
        <f>'Supply planning data'!AJ641</f>
        <v>0</v>
      </c>
      <c r="AI643" s="98">
        <f>'Supply planning data'!AK641</f>
        <v>0</v>
      </c>
      <c r="AJ643" s="98">
        <f>'Supply planning data'!AL641</f>
        <v>0</v>
      </c>
      <c r="AK643" s="98">
        <f>'Supply planning data'!AM641</f>
        <v>0</v>
      </c>
      <c r="AL643" s="98">
        <f>'Supply planning data'!AN641</f>
        <v>0</v>
      </c>
      <c r="AM643" s="325" t="str">
        <f>'Supply planning data'!AO641</f>
        <v/>
      </c>
    </row>
    <row r="644" spans="1:39" hidden="1" x14ac:dyDescent="0.25">
      <c r="A644" s="90" t="str">
        <f>'Supply planning data'!C642</f>
        <v/>
      </c>
      <c r="B644" s="296">
        <f>'Supply planning data'!D642</f>
        <v>45474</v>
      </c>
      <c r="C644" s="92" t="str">
        <f>'Supply planning data'!E642</f>
        <v>No</v>
      </c>
      <c r="D644" s="92">
        <f>'Supply planning data'!F642</f>
        <v>0</v>
      </c>
      <c r="E644" s="316">
        <f>'Supply planning data'!G642</f>
        <v>0</v>
      </c>
      <c r="F644" s="317">
        <f>'Supply planning data'!H642</f>
        <v>0</v>
      </c>
      <c r="G644" s="317">
        <f>'Supply planning data'!I642</f>
        <v>0</v>
      </c>
      <c r="H644" s="98">
        <f>'Supply planning data'!J642</f>
        <v>0</v>
      </c>
      <c r="I644" s="317">
        <f>'Supply planning data'!K642</f>
        <v>0</v>
      </c>
      <c r="J644" s="175" t="str">
        <f>'Supply planning data'!L642</f>
        <v/>
      </c>
      <c r="K644" s="98">
        <f>'Supply planning data'!M642</f>
        <v>0</v>
      </c>
      <c r="L644" s="317">
        <f>'Supply planning data'!N642+'Supply planning data'!P642</f>
        <v>0</v>
      </c>
      <c r="M644" s="339">
        <f>'Supply planning data'!O642</f>
        <v>0</v>
      </c>
      <c r="N644" s="317">
        <f>'Supply planning data'!P642</f>
        <v>0</v>
      </c>
      <c r="O644" s="339">
        <f>'Supply planning data'!Q642</f>
        <v>0</v>
      </c>
      <c r="P644" s="98">
        <f>'Supply planning data'!R642</f>
        <v>0</v>
      </c>
      <c r="Q644" s="98">
        <f>'Supply planning data'!S642</f>
        <v>0</v>
      </c>
      <c r="R644" s="98">
        <f>'Supply planning data'!T642</f>
        <v>0</v>
      </c>
      <c r="S644" s="98">
        <f>'Supply planning data'!U642</f>
        <v>0</v>
      </c>
      <c r="T644" s="98">
        <f>'Supply planning data'!V642</f>
        <v>0</v>
      </c>
      <c r="U644" s="325" t="str">
        <f>'Supply planning data'!W642</f>
        <v/>
      </c>
      <c r="V644" s="98">
        <f>'Supply planning data'!X642</f>
        <v>0</v>
      </c>
      <c r="W644" s="317">
        <f>'Supply planning data'!Y642</f>
        <v>0</v>
      </c>
      <c r="X644" s="328">
        <f>'Supply planning data'!Z642</f>
        <v>0</v>
      </c>
      <c r="Y644" s="98">
        <f>'Supply planning data'!AA642</f>
        <v>0</v>
      </c>
      <c r="Z644" s="98">
        <f>'Supply planning data'!AB642</f>
        <v>0</v>
      </c>
      <c r="AA644" s="98">
        <f>'Supply planning data'!AC642</f>
        <v>0</v>
      </c>
      <c r="AB644" s="98">
        <f>'Supply planning data'!AD642</f>
        <v>0</v>
      </c>
      <c r="AC644" s="98">
        <f>'Supply planning data'!AE642</f>
        <v>0</v>
      </c>
      <c r="AD644" s="325" t="str">
        <f>'Supply planning data'!AF642</f>
        <v/>
      </c>
      <c r="AE644" s="98">
        <f>'Supply planning data'!AG642</f>
        <v>0</v>
      </c>
      <c r="AF644" s="317">
        <f>'Supply planning data'!AH642</f>
        <v>0</v>
      </c>
      <c r="AG644" s="175">
        <f>'Supply planning data'!AI642</f>
        <v>0</v>
      </c>
      <c r="AH644" s="98">
        <f>'Supply planning data'!AJ642</f>
        <v>0</v>
      </c>
      <c r="AI644" s="98">
        <f>'Supply planning data'!AK642</f>
        <v>0</v>
      </c>
      <c r="AJ644" s="98">
        <f>'Supply planning data'!AL642</f>
        <v>0</v>
      </c>
      <c r="AK644" s="98">
        <f>'Supply planning data'!AM642</f>
        <v>0</v>
      </c>
      <c r="AL644" s="98">
        <f>'Supply planning data'!AN642</f>
        <v>0</v>
      </c>
      <c r="AM644" s="325" t="str">
        <f>'Supply planning data'!AO642</f>
        <v/>
      </c>
    </row>
    <row r="645" spans="1:39" hidden="1" x14ac:dyDescent="0.25">
      <c r="A645" s="90" t="str">
        <f>'Supply planning data'!C643</f>
        <v/>
      </c>
      <c r="B645" s="296">
        <f>'Supply planning data'!D643</f>
        <v>45474</v>
      </c>
      <c r="C645" s="92" t="str">
        <f>'Supply planning data'!E643</f>
        <v>No</v>
      </c>
      <c r="D645" s="92">
        <f>'Supply planning data'!F643</f>
        <v>0</v>
      </c>
      <c r="E645" s="316">
        <f>'Supply planning data'!G643</f>
        <v>0</v>
      </c>
      <c r="F645" s="317">
        <f>'Supply planning data'!H643</f>
        <v>0</v>
      </c>
      <c r="G645" s="317">
        <f>'Supply planning data'!I643</f>
        <v>0</v>
      </c>
      <c r="H645" s="98">
        <f>'Supply planning data'!J643</f>
        <v>0</v>
      </c>
      <c r="I645" s="317">
        <f>'Supply planning data'!K643</f>
        <v>0</v>
      </c>
      <c r="J645" s="175" t="str">
        <f>'Supply planning data'!L643</f>
        <v/>
      </c>
      <c r="K645" s="98">
        <f>'Supply planning data'!M643</f>
        <v>0</v>
      </c>
      <c r="L645" s="317">
        <f>'Supply planning data'!N643+'Supply planning data'!P643</f>
        <v>0</v>
      </c>
      <c r="M645" s="339">
        <f>'Supply planning data'!O643</f>
        <v>0</v>
      </c>
      <c r="N645" s="317">
        <f>'Supply planning data'!P643</f>
        <v>0</v>
      </c>
      <c r="O645" s="339">
        <f>'Supply planning data'!Q643</f>
        <v>0</v>
      </c>
      <c r="P645" s="98">
        <f>'Supply planning data'!R643</f>
        <v>0</v>
      </c>
      <c r="Q645" s="98">
        <f>'Supply planning data'!S643</f>
        <v>0</v>
      </c>
      <c r="R645" s="98">
        <f>'Supply planning data'!T643</f>
        <v>0</v>
      </c>
      <c r="S645" s="98">
        <f>'Supply planning data'!U643</f>
        <v>0</v>
      </c>
      <c r="T645" s="98">
        <f>'Supply planning data'!V643</f>
        <v>0</v>
      </c>
      <c r="U645" s="325" t="str">
        <f>'Supply planning data'!W643</f>
        <v/>
      </c>
      <c r="V645" s="98">
        <f>'Supply planning data'!X643</f>
        <v>0</v>
      </c>
      <c r="W645" s="317">
        <f>'Supply planning data'!Y643</f>
        <v>0</v>
      </c>
      <c r="X645" s="328">
        <f>'Supply planning data'!Z643</f>
        <v>0</v>
      </c>
      <c r="Y645" s="98">
        <f>'Supply planning data'!AA643</f>
        <v>0</v>
      </c>
      <c r="Z645" s="98">
        <f>'Supply planning data'!AB643</f>
        <v>0</v>
      </c>
      <c r="AA645" s="98">
        <f>'Supply planning data'!AC643</f>
        <v>0</v>
      </c>
      <c r="AB645" s="98">
        <f>'Supply planning data'!AD643</f>
        <v>0</v>
      </c>
      <c r="AC645" s="98">
        <f>'Supply planning data'!AE643</f>
        <v>0</v>
      </c>
      <c r="AD645" s="325" t="str">
        <f>'Supply planning data'!AF643</f>
        <v/>
      </c>
      <c r="AE645" s="98">
        <f>'Supply planning data'!AG643</f>
        <v>0</v>
      </c>
      <c r="AF645" s="317">
        <f>'Supply planning data'!AH643</f>
        <v>0</v>
      </c>
      <c r="AG645" s="175">
        <f>'Supply planning data'!AI643</f>
        <v>0</v>
      </c>
      <c r="AH645" s="98">
        <f>'Supply planning data'!AJ643</f>
        <v>0</v>
      </c>
      <c r="AI645" s="98">
        <f>'Supply planning data'!AK643</f>
        <v>0</v>
      </c>
      <c r="AJ645" s="98">
        <f>'Supply planning data'!AL643</f>
        <v>0</v>
      </c>
      <c r="AK645" s="98">
        <f>'Supply planning data'!AM643</f>
        <v>0</v>
      </c>
      <c r="AL645" s="98">
        <f>'Supply planning data'!AN643</f>
        <v>0</v>
      </c>
      <c r="AM645" s="325" t="str">
        <f>'Supply planning data'!AO643</f>
        <v/>
      </c>
    </row>
    <row r="646" spans="1:39" hidden="1" x14ac:dyDescent="0.25">
      <c r="A646" s="90" t="str">
        <f>'Supply planning data'!C644</f>
        <v/>
      </c>
      <c r="B646" s="296">
        <f>'Supply planning data'!D644</f>
        <v>45474</v>
      </c>
      <c r="C646" s="92" t="str">
        <f>'Supply planning data'!E644</f>
        <v>No</v>
      </c>
      <c r="D646" s="92">
        <f>'Supply planning data'!F644</f>
        <v>0</v>
      </c>
      <c r="E646" s="316">
        <f>'Supply planning data'!G644</f>
        <v>0</v>
      </c>
      <c r="F646" s="317">
        <f>'Supply planning data'!H644</f>
        <v>0</v>
      </c>
      <c r="G646" s="317">
        <f>'Supply planning data'!I644</f>
        <v>0</v>
      </c>
      <c r="H646" s="98">
        <f>'Supply planning data'!J644</f>
        <v>0</v>
      </c>
      <c r="I646" s="317">
        <f>'Supply planning data'!K644</f>
        <v>0</v>
      </c>
      <c r="J646" s="175" t="str">
        <f>'Supply planning data'!L644</f>
        <v/>
      </c>
      <c r="K646" s="98">
        <f>'Supply planning data'!M644</f>
        <v>0</v>
      </c>
      <c r="L646" s="317">
        <f>'Supply planning data'!N644+'Supply planning data'!P644</f>
        <v>0</v>
      </c>
      <c r="M646" s="339">
        <f>'Supply planning data'!O644</f>
        <v>0</v>
      </c>
      <c r="N646" s="317">
        <f>'Supply planning data'!P644</f>
        <v>0</v>
      </c>
      <c r="O646" s="339">
        <f>'Supply planning data'!Q644</f>
        <v>0</v>
      </c>
      <c r="P646" s="98">
        <f>'Supply planning data'!R644</f>
        <v>0</v>
      </c>
      <c r="Q646" s="98">
        <f>'Supply planning data'!S644</f>
        <v>0</v>
      </c>
      <c r="R646" s="98">
        <f>'Supply planning data'!T644</f>
        <v>0</v>
      </c>
      <c r="S646" s="98">
        <f>'Supply planning data'!U644</f>
        <v>0</v>
      </c>
      <c r="T646" s="98">
        <f>'Supply planning data'!V644</f>
        <v>0</v>
      </c>
      <c r="U646" s="325" t="str">
        <f>'Supply planning data'!W644</f>
        <v/>
      </c>
      <c r="V646" s="98">
        <f>'Supply planning data'!X644</f>
        <v>0</v>
      </c>
      <c r="W646" s="317">
        <f>'Supply planning data'!Y644</f>
        <v>0</v>
      </c>
      <c r="X646" s="328">
        <f>'Supply planning data'!Z644</f>
        <v>0</v>
      </c>
      <c r="Y646" s="98">
        <f>'Supply planning data'!AA644</f>
        <v>0</v>
      </c>
      <c r="Z646" s="98">
        <f>'Supply planning data'!AB644</f>
        <v>0</v>
      </c>
      <c r="AA646" s="98">
        <f>'Supply planning data'!AC644</f>
        <v>0</v>
      </c>
      <c r="AB646" s="98">
        <f>'Supply planning data'!AD644</f>
        <v>0</v>
      </c>
      <c r="AC646" s="98">
        <f>'Supply planning data'!AE644</f>
        <v>0</v>
      </c>
      <c r="AD646" s="325" t="str">
        <f>'Supply planning data'!AF644</f>
        <v/>
      </c>
      <c r="AE646" s="98">
        <f>'Supply planning data'!AG644</f>
        <v>0</v>
      </c>
      <c r="AF646" s="317">
        <f>'Supply planning data'!AH644</f>
        <v>0</v>
      </c>
      <c r="AG646" s="175">
        <f>'Supply planning data'!AI644</f>
        <v>0</v>
      </c>
      <c r="AH646" s="98">
        <f>'Supply planning data'!AJ644</f>
        <v>0</v>
      </c>
      <c r="AI646" s="98">
        <f>'Supply planning data'!AK644</f>
        <v>0</v>
      </c>
      <c r="AJ646" s="98">
        <f>'Supply planning data'!AL644</f>
        <v>0</v>
      </c>
      <c r="AK646" s="98">
        <f>'Supply planning data'!AM644</f>
        <v>0</v>
      </c>
      <c r="AL646" s="98">
        <f>'Supply planning data'!AN644</f>
        <v>0</v>
      </c>
      <c r="AM646" s="325" t="str">
        <f>'Supply planning data'!AO644</f>
        <v/>
      </c>
    </row>
    <row r="647" spans="1:39" hidden="1" x14ac:dyDescent="0.25">
      <c r="A647" s="90" t="str">
        <f>'Supply planning data'!C645</f>
        <v/>
      </c>
      <c r="B647" s="296">
        <f>'Supply planning data'!D645</f>
        <v>45474</v>
      </c>
      <c r="C647" s="92" t="str">
        <f>'Supply planning data'!E645</f>
        <v>No</v>
      </c>
      <c r="D647" s="92">
        <f>'Supply planning data'!F645</f>
        <v>0</v>
      </c>
      <c r="E647" s="316">
        <f>'Supply planning data'!G645</f>
        <v>0</v>
      </c>
      <c r="F647" s="317">
        <f>'Supply planning data'!H645</f>
        <v>0</v>
      </c>
      <c r="G647" s="317">
        <f>'Supply planning data'!I645</f>
        <v>0</v>
      </c>
      <c r="H647" s="98">
        <f>'Supply planning data'!J645</f>
        <v>0</v>
      </c>
      <c r="I647" s="317">
        <f>'Supply planning data'!K645</f>
        <v>0</v>
      </c>
      <c r="J647" s="175" t="str">
        <f>'Supply planning data'!L645</f>
        <v/>
      </c>
      <c r="K647" s="98">
        <f>'Supply planning data'!M645</f>
        <v>0</v>
      </c>
      <c r="L647" s="317">
        <f>'Supply planning data'!N645+'Supply planning data'!P645</f>
        <v>0</v>
      </c>
      <c r="M647" s="339">
        <f>'Supply planning data'!O645</f>
        <v>0</v>
      </c>
      <c r="N647" s="317">
        <f>'Supply planning data'!P645</f>
        <v>0</v>
      </c>
      <c r="O647" s="339">
        <f>'Supply planning data'!Q645</f>
        <v>0</v>
      </c>
      <c r="P647" s="98">
        <f>'Supply planning data'!R645</f>
        <v>0</v>
      </c>
      <c r="Q647" s="98">
        <f>'Supply planning data'!S645</f>
        <v>0</v>
      </c>
      <c r="R647" s="98">
        <f>'Supply planning data'!T645</f>
        <v>0</v>
      </c>
      <c r="S647" s="98">
        <f>'Supply planning data'!U645</f>
        <v>0</v>
      </c>
      <c r="T647" s="98">
        <f>'Supply planning data'!V645</f>
        <v>0</v>
      </c>
      <c r="U647" s="325" t="str">
        <f>'Supply planning data'!W645</f>
        <v/>
      </c>
      <c r="V647" s="98">
        <f>'Supply planning data'!X645</f>
        <v>0</v>
      </c>
      <c r="W647" s="317">
        <f>'Supply planning data'!Y645</f>
        <v>0</v>
      </c>
      <c r="X647" s="328">
        <f>'Supply planning data'!Z645</f>
        <v>0</v>
      </c>
      <c r="Y647" s="98">
        <f>'Supply planning data'!AA645</f>
        <v>0</v>
      </c>
      <c r="Z647" s="98">
        <f>'Supply planning data'!AB645</f>
        <v>0</v>
      </c>
      <c r="AA647" s="98">
        <f>'Supply planning data'!AC645</f>
        <v>0</v>
      </c>
      <c r="AB647" s="98">
        <f>'Supply planning data'!AD645</f>
        <v>0</v>
      </c>
      <c r="AC647" s="98">
        <f>'Supply planning data'!AE645</f>
        <v>0</v>
      </c>
      <c r="AD647" s="325" t="str">
        <f>'Supply planning data'!AF645</f>
        <v/>
      </c>
      <c r="AE647" s="98">
        <f>'Supply planning data'!AG645</f>
        <v>0</v>
      </c>
      <c r="AF647" s="317">
        <f>'Supply planning data'!AH645</f>
        <v>0</v>
      </c>
      <c r="AG647" s="175">
        <f>'Supply planning data'!AI645</f>
        <v>0</v>
      </c>
      <c r="AH647" s="98">
        <f>'Supply planning data'!AJ645</f>
        <v>0</v>
      </c>
      <c r="AI647" s="98">
        <f>'Supply planning data'!AK645</f>
        <v>0</v>
      </c>
      <c r="AJ647" s="98">
        <f>'Supply planning data'!AL645</f>
        <v>0</v>
      </c>
      <c r="AK647" s="98">
        <f>'Supply planning data'!AM645</f>
        <v>0</v>
      </c>
      <c r="AL647" s="98">
        <f>'Supply planning data'!AN645</f>
        <v>0</v>
      </c>
      <c r="AM647" s="325" t="str">
        <f>'Supply planning data'!AO645</f>
        <v/>
      </c>
    </row>
    <row r="648" spans="1:39" hidden="1" x14ac:dyDescent="0.25">
      <c r="A648" s="90" t="str">
        <f>'Supply planning data'!C646</f>
        <v/>
      </c>
      <c r="B648" s="296">
        <f>'Supply planning data'!D646</f>
        <v>45474</v>
      </c>
      <c r="C648" s="92" t="str">
        <f>'Supply planning data'!E646</f>
        <v>No</v>
      </c>
      <c r="D648" s="92">
        <f>'Supply planning data'!F646</f>
        <v>0</v>
      </c>
      <c r="E648" s="316">
        <f>'Supply planning data'!G646</f>
        <v>0</v>
      </c>
      <c r="F648" s="317">
        <f>'Supply planning data'!H646</f>
        <v>0</v>
      </c>
      <c r="G648" s="317">
        <f>'Supply planning data'!I646</f>
        <v>0</v>
      </c>
      <c r="H648" s="98">
        <f>'Supply planning data'!J646</f>
        <v>0</v>
      </c>
      <c r="I648" s="317">
        <f>'Supply planning data'!K646</f>
        <v>0</v>
      </c>
      <c r="J648" s="175" t="str">
        <f>'Supply planning data'!L646</f>
        <v/>
      </c>
      <c r="K648" s="98">
        <f>'Supply planning data'!M646</f>
        <v>0</v>
      </c>
      <c r="L648" s="317">
        <f>'Supply planning data'!N646+'Supply planning data'!P646</f>
        <v>0</v>
      </c>
      <c r="M648" s="339">
        <f>'Supply planning data'!O646</f>
        <v>0</v>
      </c>
      <c r="N648" s="317">
        <f>'Supply planning data'!P646</f>
        <v>0</v>
      </c>
      <c r="O648" s="339">
        <f>'Supply planning data'!Q646</f>
        <v>0</v>
      </c>
      <c r="P648" s="98">
        <f>'Supply planning data'!R646</f>
        <v>0</v>
      </c>
      <c r="Q648" s="98">
        <f>'Supply planning data'!S646</f>
        <v>0</v>
      </c>
      <c r="R648" s="98">
        <f>'Supply planning data'!T646</f>
        <v>0</v>
      </c>
      <c r="S648" s="98">
        <f>'Supply planning data'!U646</f>
        <v>0</v>
      </c>
      <c r="T648" s="98">
        <f>'Supply planning data'!V646</f>
        <v>0</v>
      </c>
      <c r="U648" s="325" t="str">
        <f>'Supply planning data'!W646</f>
        <v/>
      </c>
      <c r="V648" s="98">
        <f>'Supply planning data'!X646</f>
        <v>0</v>
      </c>
      <c r="W648" s="317">
        <f>'Supply planning data'!Y646</f>
        <v>0</v>
      </c>
      <c r="X648" s="328">
        <f>'Supply planning data'!Z646</f>
        <v>0</v>
      </c>
      <c r="Y648" s="98">
        <f>'Supply planning data'!AA646</f>
        <v>0</v>
      </c>
      <c r="Z648" s="98">
        <f>'Supply planning data'!AB646</f>
        <v>0</v>
      </c>
      <c r="AA648" s="98">
        <f>'Supply planning data'!AC646</f>
        <v>0</v>
      </c>
      <c r="AB648" s="98">
        <f>'Supply planning data'!AD646</f>
        <v>0</v>
      </c>
      <c r="AC648" s="98">
        <f>'Supply planning data'!AE646</f>
        <v>0</v>
      </c>
      <c r="AD648" s="325" t="str">
        <f>'Supply planning data'!AF646</f>
        <v/>
      </c>
      <c r="AE648" s="98">
        <f>'Supply planning data'!AG646</f>
        <v>0</v>
      </c>
      <c r="AF648" s="317">
        <f>'Supply planning data'!AH646</f>
        <v>0</v>
      </c>
      <c r="AG648" s="175">
        <f>'Supply planning data'!AI646</f>
        <v>0</v>
      </c>
      <c r="AH648" s="98">
        <f>'Supply planning data'!AJ646</f>
        <v>0</v>
      </c>
      <c r="AI648" s="98">
        <f>'Supply planning data'!AK646</f>
        <v>0</v>
      </c>
      <c r="AJ648" s="98">
        <f>'Supply planning data'!AL646</f>
        <v>0</v>
      </c>
      <c r="AK648" s="98">
        <f>'Supply planning data'!AM646</f>
        <v>0</v>
      </c>
      <c r="AL648" s="98">
        <f>'Supply planning data'!AN646</f>
        <v>0</v>
      </c>
      <c r="AM648" s="325" t="str">
        <f>'Supply planning data'!AO646</f>
        <v/>
      </c>
    </row>
    <row r="649" spans="1:39" hidden="1" x14ac:dyDescent="0.25">
      <c r="A649" s="90" t="str">
        <f>'Supply planning data'!C647</f>
        <v/>
      </c>
      <c r="B649" s="296">
        <f>'Supply planning data'!D647</f>
        <v>45474</v>
      </c>
      <c r="C649" s="92" t="str">
        <f>'Supply planning data'!E647</f>
        <v>No</v>
      </c>
      <c r="D649" s="92">
        <f>'Supply planning data'!F647</f>
        <v>0</v>
      </c>
      <c r="E649" s="316">
        <f>'Supply planning data'!G647</f>
        <v>0</v>
      </c>
      <c r="F649" s="317">
        <f>'Supply planning data'!H647</f>
        <v>0</v>
      </c>
      <c r="G649" s="317">
        <f>'Supply planning data'!I647</f>
        <v>0</v>
      </c>
      <c r="H649" s="98">
        <f>'Supply planning data'!J647</f>
        <v>0</v>
      </c>
      <c r="I649" s="317">
        <f>'Supply planning data'!K647</f>
        <v>0</v>
      </c>
      <c r="J649" s="175" t="str">
        <f>'Supply planning data'!L647</f>
        <v/>
      </c>
      <c r="K649" s="98">
        <f>'Supply planning data'!M647</f>
        <v>0</v>
      </c>
      <c r="L649" s="317">
        <f>'Supply planning data'!N647+'Supply planning data'!P647</f>
        <v>0</v>
      </c>
      <c r="M649" s="339">
        <f>'Supply planning data'!O647</f>
        <v>0</v>
      </c>
      <c r="N649" s="317">
        <f>'Supply planning data'!P647</f>
        <v>0</v>
      </c>
      <c r="O649" s="339">
        <f>'Supply planning data'!Q647</f>
        <v>0</v>
      </c>
      <c r="P649" s="98">
        <f>'Supply planning data'!R647</f>
        <v>0</v>
      </c>
      <c r="Q649" s="98">
        <f>'Supply planning data'!S647</f>
        <v>0</v>
      </c>
      <c r="R649" s="98">
        <f>'Supply planning data'!T647</f>
        <v>0</v>
      </c>
      <c r="S649" s="98">
        <f>'Supply planning data'!U647</f>
        <v>0</v>
      </c>
      <c r="T649" s="98">
        <f>'Supply planning data'!V647</f>
        <v>0</v>
      </c>
      <c r="U649" s="325" t="str">
        <f>'Supply planning data'!W647</f>
        <v/>
      </c>
      <c r="V649" s="98">
        <f>'Supply planning data'!X647</f>
        <v>0</v>
      </c>
      <c r="W649" s="317">
        <f>'Supply planning data'!Y647</f>
        <v>0</v>
      </c>
      <c r="X649" s="328">
        <f>'Supply planning data'!Z647</f>
        <v>0</v>
      </c>
      <c r="Y649" s="98">
        <f>'Supply planning data'!AA647</f>
        <v>0</v>
      </c>
      <c r="Z649" s="98">
        <f>'Supply planning data'!AB647</f>
        <v>0</v>
      </c>
      <c r="AA649" s="98">
        <f>'Supply planning data'!AC647</f>
        <v>0</v>
      </c>
      <c r="AB649" s="98">
        <f>'Supply planning data'!AD647</f>
        <v>0</v>
      </c>
      <c r="AC649" s="98">
        <f>'Supply planning data'!AE647</f>
        <v>0</v>
      </c>
      <c r="AD649" s="325" t="str">
        <f>'Supply planning data'!AF647</f>
        <v/>
      </c>
      <c r="AE649" s="98">
        <f>'Supply planning data'!AG647</f>
        <v>0</v>
      </c>
      <c r="AF649" s="317">
        <f>'Supply planning data'!AH647</f>
        <v>0</v>
      </c>
      <c r="AG649" s="175">
        <f>'Supply planning data'!AI647</f>
        <v>0</v>
      </c>
      <c r="AH649" s="98">
        <f>'Supply planning data'!AJ647</f>
        <v>0</v>
      </c>
      <c r="AI649" s="98">
        <f>'Supply planning data'!AK647</f>
        <v>0</v>
      </c>
      <c r="AJ649" s="98">
        <f>'Supply planning data'!AL647</f>
        <v>0</v>
      </c>
      <c r="AK649" s="98">
        <f>'Supply planning data'!AM647</f>
        <v>0</v>
      </c>
      <c r="AL649" s="98">
        <f>'Supply planning data'!AN647</f>
        <v>0</v>
      </c>
      <c r="AM649" s="325" t="str">
        <f>'Supply planning data'!AO647</f>
        <v/>
      </c>
    </row>
    <row r="650" spans="1:39" hidden="1" x14ac:dyDescent="0.25">
      <c r="A650" s="90" t="str">
        <f>'Supply planning data'!C648</f>
        <v/>
      </c>
      <c r="B650" s="296">
        <f>'Supply planning data'!D648</f>
        <v>45474</v>
      </c>
      <c r="C650" s="92" t="str">
        <f>'Supply planning data'!E648</f>
        <v>No</v>
      </c>
      <c r="D650" s="92">
        <f>'Supply planning data'!F648</f>
        <v>0</v>
      </c>
      <c r="E650" s="316">
        <f>'Supply planning data'!G648</f>
        <v>0</v>
      </c>
      <c r="F650" s="317">
        <f>'Supply planning data'!H648</f>
        <v>0</v>
      </c>
      <c r="G650" s="317">
        <f>'Supply planning data'!I648</f>
        <v>0</v>
      </c>
      <c r="H650" s="98">
        <f>'Supply planning data'!J648</f>
        <v>0</v>
      </c>
      <c r="I650" s="317">
        <f>'Supply planning data'!K648</f>
        <v>0</v>
      </c>
      <c r="J650" s="175" t="str">
        <f>'Supply planning data'!L648</f>
        <v/>
      </c>
      <c r="K650" s="98">
        <f>'Supply planning data'!M648</f>
        <v>0</v>
      </c>
      <c r="L650" s="317">
        <f>'Supply planning data'!N648+'Supply planning data'!P648</f>
        <v>0</v>
      </c>
      <c r="M650" s="339">
        <f>'Supply planning data'!O648</f>
        <v>0</v>
      </c>
      <c r="N650" s="317">
        <f>'Supply planning data'!P648</f>
        <v>0</v>
      </c>
      <c r="O650" s="339">
        <f>'Supply planning data'!Q648</f>
        <v>0</v>
      </c>
      <c r="P650" s="98">
        <f>'Supply planning data'!R648</f>
        <v>0</v>
      </c>
      <c r="Q650" s="98">
        <f>'Supply planning data'!S648</f>
        <v>0</v>
      </c>
      <c r="R650" s="98">
        <f>'Supply planning data'!T648</f>
        <v>0</v>
      </c>
      <c r="S650" s="98">
        <f>'Supply planning data'!U648</f>
        <v>0</v>
      </c>
      <c r="T650" s="98">
        <f>'Supply planning data'!V648</f>
        <v>0</v>
      </c>
      <c r="U650" s="325" t="str">
        <f>'Supply planning data'!W648</f>
        <v/>
      </c>
      <c r="V650" s="98">
        <f>'Supply planning data'!X648</f>
        <v>0</v>
      </c>
      <c r="W650" s="317">
        <f>'Supply planning data'!Y648</f>
        <v>0</v>
      </c>
      <c r="X650" s="328">
        <f>'Supply planning data'!Z648</f>
        <v>0</v>
      </c>
      <c r="Y650" s="98">
        <f>'Supply planning data'!AA648</f>
        <v>0</v>
      </c>
      <c r="Z650" s="98">
        <f>'Supply planning data'!AB648</f>
        <v>0</v>
      </c>
      <c r="AA650" s="98">
        <f>'Supply planning data'!AC648</f>
        <v>0</v>
      </c>
      <c r="AB650" s="98">
        <f>'Supply planning data'!AD648</f>
        <v>0</v>
      </c>
      <c r="AC650" s="98">
        <f>'Supply planning data'!AE648</f>
        <v>0</v>
      </c>
      <c r="AD650" s="325" t="str">
        <f>'Supply planning data'!AF648</f>
        <v/>
      </c>
      <c r="AE650" s="98">
        <f>'Supply planning data'!AG648</f>
        <v>0</v>
      </c>
      <c r="AF650" s="317">
        <f>'Supply planning data'!AH648</f>
        <v>0</v>
      </c>
      <c r="AG650" s="175">
        <f>'Supply planning data'!AI648</f>
        <v>0</v>
      </c>
      <c r="AH650" s="98">
        <f>'Supply planning data'!AJ648</f>
        <v>0</v>
      </c>
      <c r="AI650" s="98">
        <f>'Supply planning data'!AK648</f>
        <v>0</v>
      </c>
      <c r="AJ650" s="98">
        <f>'Supply planning data'!AL648</f>
        <v>0</v>
      </c>
      <c r="AK650" s="98">
        <f>'Supply planning data'!AM648</f>
        <v>0</v>
      </c>
      <c r="AL650" s="98">
        <f>'Supply planning data'!AN648</f>
        <v>0</v>
      </c>
      <c r="AM650" s="325" t="str">
        <f>'Supply planning data'!AO648</f>
        <v/>
      </c>
    </row>
    <row r="651" spans="1:39" hidden="1" x14ac:dyDescent="0.25">
      <c r="A651" s="90" t="str">
        <f>'Supply planning data'!C649</f>
        <v/>
      </c>
      <c r="B651" s="296">
        <f>'Supply planning data'!D649</f>
        <v>45474</v>
      </c>
      <c r="C651" s="92" t="str">
        <f>'Supply planning data'!E649</f>
        <v>No</v>
      </c>
      <c r="D651" s="92">
        <f>'Supply planning data'!F649</f>
        <v>0</v>
      </c>
      <c r="E651" s="316">
        <f>'Supply planning data'!G649</f>
        <v>0</v>
      </c>
      <c r="F651" s="317">
        <f>'Supply planning data'!H649</f>
        <v>0</v>
      </c>
      <c r="G651" s="317">
        <f>'Supply planning data'!I649</f>
        <v>0</v>
      </c>
      <c r="H651" s="98">
        <f>'Supply planning data'!J649</f>
        <v>0</v>
      </c>
      <c r="I651" s="317">
        <f>'Supply planning data'!K649</f>
        <v>0</v>
      </c>
      <c r="J651" s="175" t="str">
        <f>'Supply planning data'!L649</f>
        <v/>
      </c>
      <c r="K651" s="98">
        <f>'Supply planning data'!M649</f>
        <v>0</v>
      </c>
      <c r="L651" s="317">
        <f>'Supply planning data'!N649+'Supply planning data'!P649</f>
        <v>0</v>
      </c>
      <c r="M651" s="339">
        <f>'Supply planning data'!O649</f>
        <v>0</v>
      </c>
      <c r="N651" s="317">
        <f>'Supply planning data'!P649</f>
        <v>0</v>
      </c>
      <c r="O651" s="339">
        <f>'Supply planning data'!Q649</f>
        <v>0</v>
      </c>
      <c r="P651" s="98">
        <f>'Supply planning data'!R649</f>
        <v>0</v>
      </c>
      <c r="Q651" s="98">
        <f>'Supply planning data'!S649</f>
        <v>0</v>
      </c>
      <c r="R651" s="98">
        <f>'Supply planning data'!T649</f>
        <v>0</v>
      </c>
      <c r="S651" s="98">
        <f>'Supply planning data'!U649</f>
        <v>0</v>
      </c>
      <c r="T651" s="98">
        <f>'Supply planning data'!V649</f>
        <v>0</v>
      </c>
      <c r="U651" s="325" t="str">
        <f>'Supply planning data'!W649</f>
        <v/>
      </c>
      <c r="V651" s="98">
        <f>'Supply planning data'!X649</f>
        <v>0</v>
      </c>
      <c r="W651" s="317">
        <f>'Supply planning data'!Y649</f>
        <v>0</v>
      </c>
      <c r="X651" s="328">
        <f>'Supply planning data'!Z649</f>
        <v>0</v>
      </c>
      <c r="Y651" s="98">
        <f>'Supply planning data'!AA649</f>
        <v>0</v>
      </c>
      <c r="Z651" s="98">
        <f>'Supply planning data'!AB649</f>
        <v>0</v>
      </c>
      <c r="AA651" s="98">
        <f>'Supply planning data'!AC649</f>
        <v>0</v>
      </c>
      <c r="AB651" s="98">
        <f>'Supply planning data'!AD649</f>
        <v>0</v>
      </c>
      <c r="AC651" s="98">
        <f>'Supply planning data'!AE649</f>
        <v>0</v>
      </c>
      <c r="AD651" s="325" t="str">
        <f>'Supply planning data'!AF649</f>
        <v/>
      </c>
      <c r="AE651" s="98">
        <f>'Supply planning data'!AG649</f>
        <v>0</v>
      </c>
      <c r="AF651" s="317">
        <f>'Supply planning data'!AH649</f>
        <v>0</v>
      </c>
      <c r="AG651" s="175">
        <f>'Supply planning data'!AI649</f>
        <v>0</v>
      </c>
      <c r="AH651" s="98">
        <f>'Supply planning data'!AJ649</f>
        <v>0</v>
      </c>
      <c r="AI651" s="98">
        <f>'Supply planning data'!AK649</f>
        <v>0</v>
      </c>
      <c r="AJ651" s="98">
        <f>'Supply planning data'!AL649</f>
        <v>0</v>
      </c>
      <c r="AK651" s="98">
        <f>'Supply planning data'!AM649</f>
        <v>0</v>
      </c>
      <c r="AL651" s="98">
        <f>'Supply planning data'!AN649</f>
        <v>0</v>
      </c>
      <c r="AM651" s="325" t="str">
        <f>'Supply planning data'!AO649</f>
        <v/>
      </c>
    </row>
    <row r="652" spans="1:39" x14ac:dyDescent="0.25">
      <c r="A652" s="104" t="str">
        <f>'Supply planning data'!C650</f>
        <v>AstraZeneca</v>
      </c>
      <c r="B652" s="298">
        <f>'Supply planning data'!D650</f>
        <v>45505</v>
      </c>
      <c r="C652" s="105" t="str">
        <f>'Supply planning data'!E650</f>
        <v>Yes</v>
      </c>
      <c r="D652" s="105">
        <f>'Supply planning data'!F650</f>
        <v>0</v>
      </c>
      <c r="E652" s="320">
        <f>'Supply planning data'!G650</f>
        <v>0</v>
      </c>
      <c r="F652" s="320">
        <f>'Supply planning data'!H650</f>
        <v>0</v>
      </c>
      <c r="G652" s="320">
        <f>'Supply planning data'!I650</f>
        <v>0</v>
      </c>
      <c r="H652" s="105">
        <f>'Supply planning data'!J650</f>
        <v>0</v>
      </c>
      <c r="I652" s="320">
        <f>'Supply planning data'!K650</f>
        <v>0</v>
      </c>
      <c r="J652" s="177" t="str">
        <f>'Supply planning data'!L650</f>
        <v/>
      </c>
      <c r="K652" s="105">
        <f>'Supply planning data'!M650</f>
        <v>0</v>
      </c>
      <c r="L652" s="320">
        <f>'Supply planning data'!N650+'Supply planning data'!P650</f>
        <v>0</v>
      </c>
      <c r="M652" s="341">
        <f>'Supply planning data'!O650</f>
        <v>0</v>
      </c>
      <c r="N652" s="320">
        <f>'Supply planning data'!P650</f>
        <v>0</v>
      </c>
      <c r="O652" s="341">
        <f>'Supply planning data'!Q650</f>
        <v>0</v>
      </c>
      <c r="P652" s="105">
        <f>'Supply planning data'!R650</f>
        <v>0</v>
      </c>
      <c r="Q652" s="105">
        <f>'Supply planning data'!S650</f>
        <v>0</v>
      </c>
      <c r="R652" s="105">
        <f>'Supply planning data'!T650</f>
        <v>0</v>
      </c>
      <c r="S652" s="105">
        <f>'Supply planning data'!U650</f>
        <v>0</v>
      </c>
      <c r="T652" s="105">
        <f>'Supply planning data'!V650</f>
        <v>0</v>
      </c>
      <c r="U652" s="326" t="str">
        <f>'Supply planning data'!W650</f>
        <v/>
      </c>
      <c r="V652" s="105">
        <f>'Supply planning data'!X650</f>
        <v>154701</v>
      </c>
      <c r="W652" s="320">
        <f>'Supply planning data'!Y650</f>
        <v>0</v>
      </c>
      <c r="X652" s="329">
        <f>'Supply planning data'!Z650</f>
        <v>0</v>
      </c>
      <c r="Y652" s="105">
        <f>'Supply planning data'!AA650</f>
        <v>0</v>
      </c>
      <c r="Z652" s="105">
        <f>'Supply planning data'!AB650</f>
        <v>0</v>
      </c>
      <c r="AA652" s="105">
        <f>'Supply planning data'!AC650</f>
        <v>0</v>
      </c>
      <c r="AB652" s="105">
        <f>'Supply planning data'!AD650</f>
        <v>0</v>
      </c>
      <c r="AC652" s="105">
        <f>'Supply planning data'!AE650</f>
        <v>154701</v>
      </c>
      <c r="AD652" s="326" t="str">
        <f>'Supply planning data'!AF650</f>
        <v/>
      </c>
      <c r="AE652" s="105">
        <f>'Supply planning data'!AG650</f>
        <v>0</v>
      </c>
      <c r="AF652" s="320">
        <f>'Supply planning data'!AH650</f>
        <v>0</v>
      </c>
      <c r="AG652" s="177">
        <f>'Supply planning data'!AI650</f>
        <v>0</v>
      </c>
      <c r="AH652" s="105">
        <f>'Supply planning data'!AJ650</f>
        <v>0</v>
      </c>
      <c r="AI652" s="105">
        <f>'Supply planning data'!AK650</f>
        <v>0</v>
      </c>
      <c r="AJ652" s="105">
        <f>'Supply planning data'!AL650</f>
        <v>0</v>
      </c>
      <c r="AK652" s="105">
        <f>'Supply planning data'!AM650</f>
        <v>0</v>
      </c>
      <c r="AL652" s="105">
        <f>'Supply planning data'!AN650</f>
        <v>0</v>
      </c>
      <c r="AM652" s="326" t="str">
        <f>'Supply planning data'!AO650</f>
        <v/>
      </c>
    </row>
    <row r="653" spans="1:39" x14ac:dyDescent="0.25">
      <c r="A653" s="109" t="str">
        <f>'Supply planning data'!C651</f>
        <v>Jansen</v>
      </c>
      <c r="B653" s="298">
        <f>'Supply planning data'!D651</f>
        <v>45505</v>
      </c>
      <c r="C653" s="105" t="str">
        <f>'Supply planning data'!E651</f>
        <v>Yes</v>
      </c>
      <c r="D653" s="105">
        <f>'Supply planning data'!F651</f>
        <v>1871200</v>
      </c>
      <c r="E653" s="320">
        <f>'Supply planning data'!G651</f>
        <v>0</v>
      </c>
      <c r="F653" s="320">
        <f>'Supply planning data'!H651</f>
        <v>0</v>
      </c>
      <c r="G653" s="320">
        <f>'Supply planning data'!I651</f>
        <v>0</v>
      </c>
      <c r="H653" s="105">
        <f>'Supply planning data'!J651</f>
        <v>0</v>
      </c>
      <c r="I653" s="320">
        <f>'Supply planning data'!K651</f>
        <v>0</v>
      </c>
      <c r="J653" s="177" t="str">
        <f>'Supply planning data'!L651</f>
        <v/>
      </c>
      <c r="K653" s="105">
        <f>'Supply planning data'!M651</f>
        <v>0</v>
      </c>
      <c r="L653" s="321">
        <f>'Supply planning data'!N651+'Supply planning data'!P651</f>
        <v>0</v>
      </c>
      <c r="M653" s="342">
        <f>'Supply planning data'!O651</f>
        <v>0</v>
      </c>
      <c r="N653" s="321">
        <f>'Supply planning data'!P651</f>
        <v>0</v>
      </c>
      <c r="O653" s="342">
        <f>'Supply planning data'!Q651</f>
        <v>0</v>
      </c>
      <c r="P653" s="111">
        <f>'Supply planning data'!R651</f>
        <v>0</v>
      </c>
      <c r="Q653" s="111">
        <f>'Supply planning data'!S651</f>
        <v>0</v>
      </c>
      <c r="R653" s="111">
        <f>'Supply planning data'!T651</f>
        <v>387547</v>
      </c>
      <c r="S653" s="111">
        <f>'Supply planning data'!U651</f>
        <v>0</v>
      </c>
      <c r="T653" s="111">
        <f>'Supply planning data'!V651</f>
        <v>1871200</v>
      </c>
      <c r="U653" s="327" t="str">
        <f>'Supply planning data'!W651</f>
        <v/>
      </c>
      <c r="V653" s="111">
        <f>'Supply planning data'!X651</f>
        <v>1311200</v>
      </c>
      <c r="W653" s="321">
        <f>'Supply planning data'!Y651</f>
        <v>0</v>
      </c>
      <c r="X653" s="329">
        <f>'Supply planning data'!Z651</f>
        <v>0</v>
      </c>
      <c r="Y653" s="111">
        <f>'Supply planning data'!AA651</f>
        <v>0</v>
      </c>
      <c r="Z653" s="111">
        <f>'Supply planning data'!AB651</f>
        <v>0</v>
      </c>
      <c r="AA653" s="111">
        <f>'Supply planning data'!AC651</f>
        <v>0</v>
      </c>
      <c r="AB653" s="111">
        <f>'Supply planning data'!AD651</f>
        <v>0</v>
      </c>
      <c r="AC653" s="111">
        <f>'Supply planning data'!AE651</f>
        <v>1311200</v>
      </c>
      <c r="AD653" s="327" t="str">
        <f>'Supply planning data'!AF651</f>
        <v/>
      </c>
      <c r="AE653" s="111">
        <f>'Supply planning data'!AG651</f>
        <v>1871200</v>
      </c>
      <c r="AF653" s="321">
        <f>'Supply planning data'!AH651</f>
        <v>0</v>
      </c>
      <c r="AG653" s="349">
        <f>'Supply planning data'!AI651</f>
        <v>0</v>
      </c>
      <c r="AH653" s="111">
        <f>'Supply planning data'!AJ651</f>
        <v>0</v>
      </c>
      <c r="AI653" s="111">
        <f>'Supply planning data'!AK651</f>
        <v>0</v>
      </c>
      <c r="AJ653" s="111">
        <f>'Supply planning data'!AL651</f>
        <v>387547</v>
      </c>
      <c r="AK653" s="111">
        <f>'Supply planning data'!AM651</f>
        <v>0</v>
      </c>
      <c r="AL653" s="111">
        <f>'Supply planning data'!AN651</f>
        <v>1871200</v>
      </c>
      <c r="AM653" s="327" t="str">
        <f>'Supply planning data'!AO651</f>
        <v/>
      </c>
    </row>
    <row r="654" spans="1:39" x14ac:dyDescent="0.25">
      <c r="A654" s="104" t="str">
        <f>'Supply planning data'!C652</f>
        <v>Moderna</v>
      </c>
      <c r="B654" s="298">
        <f>'Supply planning data'!D652</f>
        <v>45505</v>
      </c>
      <c r="C654" s="105" t="str">
        <f>'Supply planning data'!E652</f>
        <v>No</v>
      </c>
      <c r="D654" s="105">
        <f>'Supply planning data'!F652</f>
        <v>0</v>
      </c>
      <c r="E654" s="320">
        <f>'Supply planning data'!G652</f>
        <v>0</v>
      </c>
      <c r="F654" s="320">
        <f>'Supply planning data'!H652</f>
        <v>0</v>
      </c>
      <c r="G654" s="320">
        <f>'Supply planning data'!I652</f>
        <v>0</v>
      </c>
      <c r="H654" s="105">
        <f>'Supply planning data'!J652</f>
        <v>0</v>
      </c>
      <c r="I654" s="320">
        <f>'Supply planning data'!K652</f>
        <v>0</v>
      </c>
      <c r="J654" s="177" t="str">
        <f>'Supply planning data'!L652</f>
        <v/>
      </c>
      <c r="K654" s="105">
        <f>'Supply planning data'!M652</f>
        <v>0</v>
      </c>
      <c r="L654" s="321">
        <f>'Supply planning data'!N652+'Supply planning data'!P652</f>
        <v>0</v>
      </c>
      <c r="M654" s="342">
        <f>'Supply planning data'!O652</f>
        <v>0</v>
      </c>
      <c r="N654" s="321">
        <f>'Supply planning data'!P652</f>
        <v>0</v>
      </c>
      <c r="O654" s="342">
        <f>'Supply planning data'!Q652</f>
        <v>0</v>
      </c>
      <c r="P654" s="111">
        <f>'Supply planning data'!R652</f>
        <v>0</v>
      </c>
      <c r="Q654" s="111">
        <f>'Supply planning data'!S652</f>
        <v>0</v>
      </c>
      <c r="R654" s="111">
        <f>'Supply planning data'!T652</f>
        <v>0</v>
      </c>
      <c r="S654" s="111">
        <f>'Supply planning data'!U652</f>
        <v>0</v>
      </c>
      <c r="T654" s="111">
        <f>'Supply planning data'!V652</f>
        <v>0</v>
      </c>
      <c r="U654" s="327" t="str">
        <f>'Supply planning data'!W652</f>
        <v/>
      </c>
      <c r="V654" s="111">
        <f>'Supply planning data'!X652</f>
        <v>0</v>
      </c>
      <c r="W654" s="321">
        <f>'Supply planning data'!Y652</f>
        <v>0</v>
      </c>
      <c r="X654" s="329">
        <f>'Supply planning data'!Z652</f>
        <v>0</v>
      </c>
      <c r="Y654" s="111">
        <f>'Supply planning data'!AA652</f>
        <v>0</v>
      </c>
      <c r="Z654" s="111">
        <f>'Supply planning data'!AB652</f>
        <v>0</v>
      </c>
      <c r="AA654" s="111">
        <f>'Supply planning data'!AC652</f>
        <v>0</v>
      </c>
      <c r="AB654" s="111">
        <f>'Supply planning data'!AD652</f>
        <v>0</v>
      </c>
      <c r="AC654" s="111">
        <f>'Supply planning data'!AE652</f>
        <v>0</v>
      </c>
      <c r="AD654" s="327" t="str">
        <f>'Supply planning data'!AF652</f>
        <v/>
      </c>
      <c r="AE654" s="111">
        <f>'Supply planning data'!AG652</f>
        <v>0</v>
      </c>
      <c r="AF654" s="321">
        <f>'Supply planning data'!AH652</f>
        <v>0</v>
      </c>
      <c r="AG654" s="349">
        <f>'Supply planning data'!AI652</f>
        <v>0</v>
      </c>
      <c r="AH654" s="111">
        <f>'Supply planning data'!AJ652</f>
        <v>0</v>
      </c>
      <c r="AI654" s="111">
        <f>'Supply planning data'!AK652</f>
        <v>0</v>
      </c>
      <c r="AJ654" s="111">
        <f>'Supply planning data'!AL652</f>
        <v>0</v>
      </c>
      <c r="AK654" s="111">
        <f>'Supply planning data'!AM652</f>
        <v>0</v>
      </c>
      <c r="AL654" s="111">
        <f>'Supply planning data'!AN652</f>
        <v>0</v>
      </c>
      <c r="AM654" s="327" t="str">
        <f>'Supply planning data'!AO652</f>
        <v/>
      </c>
    </row>
    <row r="655" spans="1:39" x14ac:dyDescent="0.25">
      <c r="A655" s="109" t="str">
        <f>'Supply planning data'!C653</f>
        <v>Pfizer</v>
      </c>
      <c r="B655" s="298">
        <f>'Supply planning data'!D653</f>
        <v>45505</v>
      </c>
      <c r="C655" s="105" t="str">
        <f>'Supply planning data'!E653</f>
        <v>Yes</v>
      </c>
      <c r="D655" s="105">
        <f>'Supply planning data'!F653</f>
        <v>3000000</v>
      </c>
      <c r="E655" s="320">
        <f>'Supply planning data'!G653</f>
        <v>0</v>
      </c>
      <c r="F655" s="320">
        <f>'Supply planning data'!H653</f>
        <v>0</v>
      </c>
      <c r="G655" s="320">
        <f>'Supply planning data'!I653</f>
        <v>0</v>
      </c>
      <c r="H655" s="105">
        <f>'Supply planning data'!J653</f>
        <v>0</v>
      </c>
      <c r="I655" s="320">
        <f>'Supply planning data'!K653</f>
        <v>0</v>
      </c>
      <c r="J655" s="177" t="str">
        <f>'Supply planning data'!L653</f>
        <v/>
      </c>
      <c r="K655" s="105">
        <f>'Supply planning data'!M653</f>
        <v>0</v>
      </c>
      <c r="L655" s="321">
        <f>'Supply planning data'!N653+'Supply planning data'!P653</f>
        <v>0</v>
      </c>
      <c r="M655" s="342">
        <f>'Supply planning data'!O653</f>
        <v>0</v>
      </c>
      <c r="N655" s="321">
        <f>'Supply planning data'!P653</f>
        <v>0</v>
      </c>
      <c r="O655" s="342">
        <f>'Supply planning data'!Q653</f>
        <v>0</v>
      </c>
      <c r="P655" s="111">
        <f>'Supply planning data'!R653</f>
        <v>0</v>
      </c>
      <c r="Q655" s="111">
        <f>'Supply planning data'!S653</f>
        <v>0</v>
      </c>
      <c r="R655" s="111">
        <f>'Supply planning data'!T653</f>
        <v>110538</v>
      </c>
      <c r="S655" s="111">
        <f>'Supply planning data'!U653</f>
        <v>0</v>
      </c>
      <c r="T655" s="111">
        <f>'Supply planning data'!V653</f>
        <v>3000000</v>
      </c>
      <c r="U655" s="327" t="str">
        <f>'Supply planning data'!W653</f>
        <v/>
      </c>
      <c r="V655" s="111">
        <f>'Supply planning data'!X653</f>
        <v>2440000</v>
      </c>
      <c r="W655" s="321">
        <f>'Supply planning data'!Y653</f>
        <v>0</v>
      </c>
      <c r="X655" s="329">
        <f>'Supply planning data'!Z653</f>
        <v>0</v>
      </c>
      <c r="Y655" s="111">
        <f>'Supply planning data'!AA653</f>
        <v>0</v>
      </c>
      <c r="Z655" s="111">
        <f>'Supply planning data'!AB653</f>
        <v>0</v>
      </c>
      <c r="AA655" s="111">
        <f>'Supply planning data'!AC653</f>
        <v>0</v>
      </c>
      <c r="AB655" s="111">
        <f>'Supply planning data'!AD653</f>
        <v>0</v>
      </c>
      <c r="AC655" s="111">
        <f>'Supply planning data'!AE653</f>
        <v>2440000</v>
      </c>
      <c r="AD655" s="327" t="str">
        <f>'Supply planning data'!AF653</f>
        <v/>
      </c>
      <c r="AE655" s="111">
        <f>'Supply planning data'!AG653</f>
        <v>3000000</v>
      </c>
      <c r="AF655" s="321">
        <f>'Supply planning data'!AH653</f>
        <v>0</v>
      </c>
      <c r="AG655" s="349">
        <f>'Supply planning data'!AI653</f>
        <v>0</v>
      </c>
      <c r="AH655" s="111">
        <f>'Supply planning data'!AJ653</f>
        <v>0</v>
      </c>
      <c r="AI655" s="111">
        <f>'Supply planning data'!AK653</f>
        <v>0</v>
      </c>
      <c r="AJ655" s="111">
        <f>'Supply planning data'!AL653</f>
        <v>110538</v>
      </c>
      <c r="AK655" s="111">
        <f>'Supply planning data'!AM653</f>
        <v>0</v>
      </c>
      <c r="AL655" s="111">
        <f>'Supply planning data'!AN653</f>
        <v>3000000</v>
      </c>
      <c r="AM655" s="327" t="str">
        <f>'Supply planning data'!AO653</f>
        <v/>
      </c>
    </row>
    <row r="656" spans="1:39" x14ac:dyDescent="0.25">
      <c r="A656" s="104" t="str">
        <f>'Supply planning data'!C654</f>
        <v>Sinovac</v>
      </c>
      <c r="B656" s="298">
        <f>'Supply planning data'!D654</f>
        <v>45505</v>
      </c>
      <c r="C656" s="105" t="str">
        <f>'Supply planning data'!E654</f>
        <v>No</v>
      </c>
      <c r="D656" s="105">
        <f>'Supply planning data'!F654</f>
        <v>0</v>
      </c>
      <c r="E656" s="320">
        <f>'Supply planning data'!G654</f>
        <v>0</v>
      </c>
      <c r="F656" s="320">
        <f>'Supply planning data'!H654</f>
        <v>0</v>
      </c>
      <c r="G656" s="320">
        <f>'Supply planning data'!I654</f>
        <v>0</v>
      </c>
      <c r="H656" s="105">
        <f>'Supply planning data'!J654</f>
        <v>0</v>
      </c>
      <c r="I656" s="320">
        <f>'Supply planning data'!K654</f>
        <v>0</v>
      </c>
      <c r="J656" s="177" t="str">
        <f>'Supply planning data'!L654</f>
        <v/>
      </c>
      <c r="K656" s="105">
        <f>'Supply planning data'!M654</f>
        <v>0</v>
      </c>
      <c r="L656" s="321">
        <f>'Supply planning data'!N654+'Supply planning data'!P654</f>
        <v>0</v>
      </c>
      <c r="M656" s="342">
        <f>'Supply planning data'!O654</f>
        <v>0</v>
      </c>
      <c r="N656" s="321">
        <f>'Supply planning data'!P654</f>
        <v>0</v>
      </c>
      <c r="O656" s="342">
        <f>'Supply planning data'!Q654</f>
        <v>0</v>
      </c>
      <c r="P656" s="111">
        <f>'Supply planning data'!R654</f>
        <v>0</v>
      </c>
      <c r="Q656" s="111">
        <f>'Supply planning data'!S654</f>
        <v>0</v>
      </c>
      <c r="R656" s="111">
        <f>'Supply planning data'!T654</f>
        <v>0</v>
      </c>
      <c r="S656" s="111">
        <f>'Supply planning data'!U654</f>
        <v>0</v>
      </c>
      <c r="T656" s="111">
        <f>'Supply planning data'!V654</f>
        <v>0</v>
      </c>
      <c r="U656" s="327" t="str">
        <f>'Supply planning data'!W654</f>
        <v/>
      </c>
      <c r="V656" s="111">
        <f>'Supply planning data'!X654</f>
        <v>0</v>
      </c>
      <c r="W656" s="321">
        <f>'Supply planning data'!Y654</f>
        <v>0</v>
      </c>
      <c r="X656" s="329">
        <f>'Supply planning data'!Z654</f>
        <v>0</v>
      </c>
      <c r="Y656" s="111">
        <f>'Supply planning data'!AA654</f>
        <v>0</v>
      </c>
      <c r="Z656" s="111">
        <f>'Supply planning data'!AB654</f>
        <v>0</v>
      </c>
      <c r="AA656" s="111">
        <f>'Supply planning data'!AC654</f>
        <v>0</v>
      </c>
      <c r="AB656" s="111">
        <f>'Supply planning data'!AD654</f>
        <v>0</v>
      </c>
      <c r="AC656" s="111">
        <f>'Supply planning data'!AE654</f>
        <v>0</v>
      </c>
      <c r="AD656" s="327" t="str">
        <f>'Supply planning data'!AF654</f>
        <v/>
      </c>
      <c r="AE656" s="111">
        <f>'Supply planning data'!AG654</f>
        <v>0</v>
      </c>
      <c r="AF656" s="321">
        <f>'Supply planning data'!AH654</f>
        <v>0</v>
      </c>
      <c r="AG656" s="349">
        <f>'Supply planning data'!AI654</f>
        <v>0</v>
      </c>
      <c r="AH656" s="111">
        <f>'Supply planning data'!AJ654</f>
        <v>0</v>
      </c>
      <c r="AI656" s="111">
        <f>'Supply planning data'!AK654</f>
        <v>0</v>
      </c>
      <c r="AJ656" s="111">
        <f>'Supply planning data'!AL654</f>
        <v>0</v>
      </c>
      <c r="AK656" s="111">
        <f>'Supply planning data'!AM654</f>
        <v>0</v>
      </c>
      <c r="AL656" s="111">
        <f>'Supply planning data'!AN654</f>
        <v>0</v>
      </c>
      <c r="AM656" s="327" t="str">
        <f>'Supply planning data'!AO654</f>
        <v/>
      </c>
    </row>
    <row r="657" spans="1:39" hidden="1" x14ac:dyDescent="0.25">
      <c r="A657" s="109" t="str">
        <f>'Supply planning data'!C655</f>
        <v/>
      </c>
      <c r="B657" s="298">
        <f>'Supply planning data'!D655</f>
        <v>45505</v>
      </c>
      <c r="C657" s="105" t="str">
        <f>'Supply planning data'!E655</f>
        <v>No</v>
      </c>
      <c r="D657" s="105">
        <f>'Supply planning data'!F655</f>
        <v>0</v>
      </c>
      <c r="E657" s="320">
        <f>'Supply planning data'!G655</f>
        <v>0</v>
      </c>
      <c r="F657" s="320">
        <f>'Supply planning data'!H655</f>
        <v>0</v>
      </c>
      <c r="G657" s="320">
        <f>'Supply planning data'!I655</f>
        <v>0</v>
      </c>
      <c r="H657" s="105">
        <f>'Supply planning data'!J655</f>
        <v>0</v>
      </c>
      <c r="I657" s="320">
        <f>'Supply planning data'!K655</f>
        <v>0</v>
      </c>
      <c r="J657" s="177" t="str">
        <f>'Supply planning data'!L655</f>
        <v/>
      </c>
      <c r="K657" s="105">
        <f>'Supply planning data'!M655</f>
        <v>0</v>
      </c>
      <c r="L657" s="321">
        <f>'Supply planning data'!N655+'Supply planning data'!P655</f>
        <v>0</v>
      </c>
      <c r="M657" s="342">
        <f>'Supply planning data'!O655</f>
        <v>0</v>
      </c>
      <c r="N657" s="321">
        <f>'Supply planning data'!P655</f>
        <v>0</v>
      </c>
      <c r="O657" s="342">
        <f>'Supply planning data'!Q655</f>
        <v>0</v>
      </c>
      <c r="P657" s="111">
        <f>'Supply planning data'!R655</f>
        <v>0</v>
      </c>
      <c r="Q657" s="111">
        <f>'Supply planning data'!S655</f>
        <v>0</v>
      </c>
      <c r="R657" s="111">
        <f>'Supply planning data'!T655</f>
        <v>0</v>
      </c>
      <c r="S657" s="111">
        <f>'Supply planning data'!U655</f>
        <v>0</v>
      </c>
      <c r="T657" s="111">
        <f>'Supply planning data'!V655</f>
        <v>0</v>
      </c>
      <c r="U657" s="327" t="str">
        <f>'Supply planning data'!W655</f>
        <v/>
      </c>
      <c r="V657" s="111">
        <f>'Supply planning data'!X655</f>
        <v>0</v>
      </c>
      <c r="W657" s="321">
        <f>'Supply planning data'!Y655</f>
        <v>0</v>
      </c>
      <c r="X657" s="329">
        <f>'Supply planning data'!Z655</f>
        <v>0</v>
      </c>
      <c r="Y657" s="111">
        <f>'Supply planning data'!AA655</f>
        <v>0</v>
      </c>
      <c r="Z657" s="111">
        <f>'Supply planning data'!AB655</f>
        <v>0</v>
      </c>
      <c r="AA657" s="111">
        <f>'Supply planning data'!AC655</f>
        <v>0</v>
      </c>
      <c r="AB657" s="111">
        <f>'Supply planning data'!AD655</f>
        <v>0</v>
      </c>
      <c r="AC657" s="111">
        <f>'Supply planning data'!AE655</f>
        <v>0</v>
      </c>
      <c r="AD657" s="327" t="str">
        <f>'Supply planning data'!AF655</f>
        <v/>
      </c>
      <c r="AE657" s="111">
        <f>'Supply planning data'!AG655</f>
        <v>0</v>
      </c>
      <c r="AF657" s="321">
        <f>'Supply planning data'!AH655</f>
        <v>0</v>
      </c>
      <c r="AG657" s="349">
        <f>'Supply planning data'!AI655</f>
        <v>0</v>
      </c>
      <c r="AH657" s="111">
        <f>'Supply planning data'!AJ655</f>
        <v>0</v>
      </c>
      <c r="AI657" s="111">
        <f>'Supply planning data'!AK655</f>
        <v>0</v>
      </c>
      <c r="AJ657" s="111">
        <f>'Supply planning data'!AL655</f>
        <v>0</v>
      </c>
      <c r="AK657" s="111">
        <f>'Supply planning data'!AM655</f>
        <v>0</v>
      </c>
      <c r="AL657" s="111">
        <f>'Supply planning data'!AN655</f>
        <v>0</v>
      </c>
      <c r="AM657" s="327" t="str">
        <f>'Supply planning data'!AO655</f>
        <v/>
      </c>
    </row>
    <row r="658" spans="1:39" hidden="1" x14ac:dyDescent="0.25">
      <c r="A658" s="104" t="str">
        <f>'Supply planning data'!C656</f>
        <v/>
      </c>
      <c r="B658" s="298">
        <f>'Supply planning data'!D656</f>
        <v>45505</v>
      </c>
      <c r="C658" s="105" t="str">
        <f>'Supply planning data'!E656</f>
        <v>No</v>
      </c>
      <c r="D658" s="105">
        <f>'Supply planning data'!F656</f>
        <v>0</v>
      </c>
      <c r="E658" s="320">
        <f>'Supply planning data'!G656</f>
        <v>0</v>
      </c>
      <c r="F658" s="320">
        <f>'Supply planning data'!H656</f>
        <v>0</v>
      </c>
      <c r="G658" s="320">
        <f>'Supply planning data'!I656</f>
        <v>0</v>
      </c>
      <c r="H658" s="105">
        <f>'Supply planning data'!J656</f>
        <v>0</v>
      </c>
      <c r="I658" s="320">
        <f>'Supply planning data'!K656</f>
        <v>0</v>
      </c>
      <c r="J658" s="177" t="str">
        <f>'Supply planning data'!L656</f>
        <v/>
      </c>
      <c r="K658" s="105">
        <f>'Supply planning data'!M656</f>
        <v>0</v>
      </c>
      <c r="L658" s="321">
        <f>'Supply planning data'!N656+'Supply planning data'!P656</f>
        <v>0</v>
      </c>
      <c r="M658" s="342">
        <f>'Supply planning data'!O656</f>
        <v>0</v>
      </c>
      <c r="N658" s="321">
        <f>'Supply planning data'!P656</f>
        <v>0</v>
      </c>
      <c r="O658" s="342">
        <f>'Supply planning data'!Q656</f>
        <v>0</v>
      </c>
      <c r="P658" s="111">
        <f>'Supply planning data'!R656</f>
        <v>0</v>
      </c>
      <c r="Q658" s="111">
        <f>'Supply planning data'!S656</f>
        <v>0</v>
      </c>
      <c r="R658" s="111">
        <f>'Supply planning data'!T656</f>
        <v>0</v>
      </c>
      <c r="S658" s="111">
        <f>'Supply planning data'!U656</f>
        <v>0</v>
      </c>
      <c r="T658" s="111">
        <f>'Supply planning data'!V656</f>
        <v>0</v>
      </c>
      <c r="U658" s="327" t="str">
        <f>'Supply planning data'!W656</f>
        <v/>
      </c>
      <c r="V658" s="111">
        <f>'Supply planning data'!X656</f>
        <v>0</v>
      </c>
      <c r="W658" s="321">
        <f>'Supply planning data'!Y656</f>
        <v>0</v>
      </c>
      <c r="X658" s="329">
        <f>'Supply planning data'!Z656</f>
        <v>0</v>
      </c>
      <c r="Y658" s="111">
        <f>'Supply planning data'!AA656</f>
        <v>0</v>
      </c>
      <c r="Z658" s="111">
        <f>'Supply planning data'!AB656</f>
        <v>0</v>
      </c>
      <c r="AA658" s="111">
        <f>'Supply planning data'!AC656</f>
        <v>0</v>
      </c>
      <c r="AB658" s="111">
        <f>'Supply planning data'!AD656</f>
        <v>0</v>
      </c>
      <c r="AC658" s="111">
        <f>'Supply planning data'!AE656</f>
        <v>0</v>
      </c>
      <c r="AD658" s="327" t="str">
        <f>'Supply planning data'!AF656</f>
        <v/>
      </c>
      <c r="AE658" s="111">
        <f>'Supply planning data'!AG656</f>
        <v>0</v>
      </c>
      <c r="AF658" s="321">
        <f>'Supply planning data'!AH656</f>
        <v>0</v>
      </c>
      <c r="AG658" s="349">
        <f>'Supply planning data'!AI656</f>
        <v>0</v>
      </c>
      <c r="AH658" s="111">
        <f>'Supply planning data'!AJ656</f>
        <v>0</v>
      </c>
      <c r="AI658" s="111">
        <f>'Supply planning data'!AK656</f>
        <v>0</v>
      </c>
      <c r="AJ658" s="111">
        <f>'Supply planning data'!AL656</f>
        <v>0</v>
      </c>
      <c r="AK658" s="111">
        <f>'Supply planning data'!AM656</f>
        <v>0</v>
      </c>
      <c r="AL658" s="111">
        <f>'Supply planning data'!AN656</f>
        <v>0</v>
      </c>
      <c r="AM658" s="327" t="str">
        <f>'Supply planning data'!AO656</f>
        <v/>
      </c>
    </row>
    <row r="659" spans="1:39" hidden="1" x14ac:dyDescent="0.25">
      <c r="A659" s="109" t="str">
        <f>'Supply planning data'!C657</f>
        <v/>
      </c>
      <c r="B659" s="298">
        <f>'Supply planning data'!D657</f>
        <v>45505</v>
      </c>
      <c r="C659" s="105" t="str">
        <f>'Supply planning data'!E657</f>
        <v>No</v>
      </c>
      <c r="D659" s="105">
        <f>'Supply planning data'!F657</f>
        <v>0</v>
      </c>
      <c r="E659" s="320">
        <f>'Supply planning data'!G657</f>
        <v>0</v>
      </c>
      <c r="F659" s="320">
        <f>'Supply planning data'!H657</f>
        <v>0</v>
      </c>
      <c r="G659" s="320">
        <f>'Supply planning data'!I657</f>
        <v>0</v>
      </c>
      <c r="H659" s="105">
        <f>'Supply planning data'!J657</f>
        <v>0</v>
      </c>
      <c r="I659" s="320">
        <f>'Supply planning data'!K657</f>
        <v>0</v>
      </c>
      <c r="J659" s="177" t="str">
        <f>'Supply planning data'!L657</f>
        <v/>
      </c>
      <c r="K659" s="105">
        <f>'Supply planning data'!M657</f>
        <v>0</v>
      </c>
      <c r="L659" s="321">
        <f>'Supply planning data'!N657+'Supply planning data'!P657</f>
        <v>0</v>
      </c>
      <c r="M659" s="342">
        <f>'Supply planning data'!O657</f>
        <v>0</v>
      </c>
      <c r="N659" s="321">
        <f>'Supply planning data'!P657</f>
        <v>0</v>
      </c>
      <c r="O659" s="342">
        <f>'Supply planning data'!Q657</f>
        <v>0</v>
      </c>
      <c r="P659" s="111">
        <f>'Supply planning data'!R657</f>
        <v>0</v>
      </c>
      <c r="Q659" s="111">
        <f>'Supply planning data'!S657</f>
        <v>0</v>
      </c>
      <c r="R659" s="111">
        <f>'Supply planning data'!T657</f>
        <v>0</v>
      </c>
      <c r="S659" s="111">
        <f>'Supply planning data'!U657</f>
        <v>0</v>
      </c>
      <c r="T659" s="111">
        <f>'Supply planning data'!V657</f>
        <v>0</v>
      </c>
      <c r="U659" s="327" t="str">
        <f>'Supply planning data'!W657</f>
        <v/>
      </c>
      <c r="V659" s="111">
        <f>'Supply planning data'!X657</f>
        <v>0</v>
      </c>
      <c r="W659" s="321">
        <f>'Supply planning data'!Y657</f>
        <v>0</v>
      </c>
      <c r="X659" s="329">
        <f>'Supply planning data'!Z657</f>
        <v>0</v>
      </c>
      <c r="Y659" s="111">
        <f>'Supply planning data'!AA657</f>
        <v>0</v>
      </c>
      <c r="Z659" s="111">
        <f>'Supply planning data'!AB657</f>
        <v>0</v>
      </c>
      <c r="AA659" s="111">
        <f>'Supply planning data'!AC657</f>
        <v>0</v>
      </c>
      <c r="AB659" s="111">
        <f>'Supply planning data'!AD657</f>
        <v>0</v>
      </c>
      <c r="AC659" s="111">
        <f>'Supply planning data'!AE657</f>
        <v>0</v>
      </c>
      <c r="AD659" s="327" t="str">
        <f>'Supply planning data'!AF657</f>
        <v/>
      </c>
      <c r="AE659" s="111">
        <f>'Supply planning data'!AG657</f>
        <v>0</v>
      </c>
      <c r="AF659" s="321">
        <f>'Supply planning data'!AH657</f>
        <v>0</v>
      </c>
      <c r="AG659" s="349">
        <f>'Supply planning data'!AI657</f>
        <v>0</v>
      </c>
      <c r="AH659" s="111">
        <f>'Supply planning data'!AJ657</f>
        <v>0</v>
      </c>
      <c r="AI659" s="111">
        <f>'Supply planning data'!AK657</f>
        <v>0</v>
      </c>
      <c r="AJ659" s="111">
        <f>'Supply planning data'!AL657</f>
        <v>0</v>
      </c>
      <c r="AK659" s="111">
        <f>'Supply planning data'!AM657</f>
        <v>0</v>
      </c>
      <c r="AL659" s="111">
        <f>'Supply planning data'!AN657</f>
        <v>0</v>
      </c>
      <c r="AM659" s="327" t="str">
        <f>'Supply planning data'!AO657</f>
        <v/>
      </c>
    </row>
    <row r="660" spans="1:39" hidden="1" x14ac:dyDescent="0.25">
      <c r="A660" s="104" t="str">
        <f>'Supply planning data'!C658</f>
        <v/>
      </c>
      <c r="B660" s="298">
        <f>'Supply planning data'!D658</f>
        <v>45505</v>
      </c>
      <c r="C660" s="105" t="str">
        <f>'Supply planning data'!E658</f>
        <v>No</v>
      </c>
      <c r="D660" s="105">
        <f>'Supply planning data'!F658</f>
        <v>0</v>
      </c>
      <c r="E660" s="320">
        <f>'Supply planning data'!G658</f>
        <v>0</v>
      </c>
      <c r="F660" s="320">
        <f>'Supply planning data'!H658</f>
        <v>0</v>
      </c>
      <c r="G660" s="320">
        <f>'Supply planning data'!I658</f>
        <v>0</v>
      </c>
      <c r="H660" s="105">
        <f>'Supply planning data'!J658</f>
        <v>0</v>
      </c>
      <c r="I660" s="320">
        <f>'Supply planning data'!K658</f>
        <v>0</v>
      </c>
      <c r="J660" s="177" t="str">
        <f>'Supply planning data'!L658</f>
        <v/>
      </c>
      <c r="K660" s="105">
        <f>'Supply planning data'!M658</f>
        <v>0</v>
      </c>
      <c r="L660" s="321">
        <f>'Supply planning data'!N658+'Supply planning data'!P658</f>
        <v>0</v>
      </c>
      <c r="M660" s="342">
        <f>'Supply planning data'!O658</f>
        <v>0</v>
      </c>
      <c r="N660" s="321">
        <f>'Supply planning data'!P658</f>
        <v>0</v>
      </c>
      <c r="O660" s="342">
        <f>'Supply planning data'!Q658</f>
        <v>0</v>
      </c>
      <c r="P660" s="111">
        <f>'Supply planning data'!R658</f>
        <v>0</v>
      </c>
      <c r="Q660" s="111">
        <f>'Supply planning data'!S658</f>
        <v>0</v>
      </c>
      <c r="R660" s="111">
        <f>'Supply planning data'!T658</f>
        <v>0</v>
      </c>
      <c r="S660" s="111">
        <f>'Supply planning data'!U658</f>
        <v>0</v>
      </c>
      <c r="T660" s="111">
        <f>'Supply planning data'!V658</f>
        <v>0</v>
      </c>
      <c r="U660" s="327" t="str">
        <f>'Supply planning data'!W658</f>
        <v/>
      </c>
      <c r="V660" s="111">
        <f>'Supply planning data'!X658</f>
        <v>0</v>
      </c>
      <c r="W660" s="321">
        <f>'Supply planning data'!Y658</f>
        <v>0</v>
      </c>
      <c r="X660" s="329">
        <f>'Supply planning data'!Z658</f>
        <v>0</v>
      </c>
      <c r="Y660" s="111">
        <f>'Supply planning data'!AA658</f>
        <v>0</v>
      </c>
      <c r="Z660" s="111">
        <f>'Supply planning data'!AB658</f>
        <v>0</v>
      </c>
      <c r="AA660" s="111">
        <f>'Supply planning data'!AC658</f>
        <v>0</v>
      </c>
      <c r="AB660" s="111">
        <f>'Supply planning data'!AD658</f>
        <v>0</v>
      </c>
      <c r="AC660" s="111">
        <f>'Supply planning data'!AE658</f>
        <v>0</v>
      </c>
      <c r="AD660" s="327" t="str">
        <f>'Supply planning data'!AF658</f>
        <v/>
      </c>
      <c r="AE660" s="111">
        <f>'Supply planning data'!AG658</f>
        <v>0</v>
      </c>
      <c r="AF660" s="321">
        <f>'Supply planning data'!AH658</f>
        <v>0</v>
      </c>
      <c r="AG660" s="349">
        <f>'Supply planning data'!AI658</f>
        <v>0</v>
      </c>
      <c r="AH660" s="111">
        <f>'Supply planning data'!AJ658</f>
        <v>0</v>
      </c>
      <c r="AI660" s="111">
        <f>'Supply planning data'!AK658</f>
        <v>0</v>
      </c>
      <c r="AJ660" s="111">
        <f>'Supply planning data'!AL658</f>
        <v>0</v>
      </c>
      <c r="AK660" s="111">
        <f>'Supply planning data'!AM658</f>
        <v>0</v>
      </c>
      <c r="AL660" s="111">
        <f>'Supply planning data'!AN658</f>
        <v>0</v>
      </c>
      <c r="AM660" s="327" t="str">
        <f>'Supply planning data'!AO658</f>
        <v/>
      </c>
    </row>
    <row r="661" spans="1:39" hidden="1" x14ac:dyDescent="0.25">
      <c r="A661" s="109" t="str">
        <f>'Supply planning data'!C659</f>
        <v/>
      </c>
      <c r="B661" s="298">
        <f>'Supply planning data'!D659</f>
        <v>45505</v>
      </c>
      <c r="C661" s="105" t="str">
        <f>'Supply planning data'!E659</f>
        <v>No</v>
      </c>
      <c r="D661" s="105">
        <f>'Supply planning data'!F659</f>
        <v>0</v>
      </c>
      <c r="E661" s="320">
        <f>'Supply planning data'!G659</f>
        <v>0</v>
      </c>
      <c r="F661" s="320">
        <f>'Supply planning data'!H659</f>
        <v>0</v>
      </c>
      <c r="G661" s="320">
        <f>'Supply planning data'!I659</f>
        <v>0</v>
      </c>
      <c r="H661" s="105">
        <f>'Supply planning data'!J659</f>
        <v>0</v>
      </c>
      <c r="I661" s="320">
        <f>'Supply planning data'!K659</f>
        <v>0</v>
      </c>
      <c r="J661" s="177" t="str">
        <f>'Supply planning data'!L659</f>
        <v/>
      </c>
      <c r="K661" s="105">
        <f>'Supply planning data'!M659</f>
        <v>0</v>
      </c>
      <c r="L661" s="321">
        <f>'Supply planning data'!N659+'Supply planning data'!P659</f>
        <v>0</v>
      </c>
      <c r="M661" s="342">
        <f>'Supply planning data'!O659</f>
        <v>0</v>
      </c>
      <c r="N661" s="321">
        <f>'Supply planning data'!P659</f>
        <v>0</v>
      </c>
      <c r="O661" s="342">
        <f>'Supply planning data'!Q659</f>
        <v>0</v>
      </c>
      <c r="P661" s="111">
        <f>'Supply planning data'!R659</f>
        <v>0</v>
      </c>
      <c r="Q661" s="111">
        <f>'Supply planning data'!S659</f>
        <v>0</v>
      </c>
      <c r="R661" s="111">
        <f>'Supply planning data'!T659</f>
        <v>0</v>
      </c>
      <c r="S661" s="111">
        <f>'Supply planning data'!U659</f>
        <v>0</v>
      </c>
      <c r="T661" s="111">
        <f>'Supply planning data'!V659</f>
        <v>0</v>
      </c>
      <c r="U661" s="327" t="str">
        <f>'Supply planning data'!W659</f>
        <v/>
      </c>
      <c r="V661" s="111">
        <f>'Supply planning data'!X659</f>
        <v>0</v>
      </c>
      <c r="W661" s="321">
        <f>'Supply planning data'!Y659</f>
        <v>0</v>
      </c>
      <c r="X661" s="329">
        <f>'Supply planning data'!Z659</f>
        <v>0</v>
      </c>
      <c r="Y661" s="111">
        <f>'Supply planning data'!AA659</f>
        <v>0</v>
      </c>
      <c r="Z661" s="111">
        <f>'Supply planning data'!AB659</f>
        <v>0</v>
      </c>
      <c r="AA661" s="111">
        <f>'Supply planning data'!AC659</f>
        <v>0</v>
      </c>
      <c r="AB661" s="111">
        <f>'Supply planning data'!AD659</f>
        <v>0</v>
      </c>
      <c r="AC661" s="111">
        <f>'Supply planning data'!AE659</f>
        <v>0</v>
      </c>
      <c r="AD661" s="327" t="str">
        <f>'Supply planning data'!AF659</f>
        <v/>
      </c>
      <c r="AE661" s="111">
        <f>'Supply planning data'!AG659</f>
        <v>0</v>
      </c>
      <c r="AF661" s="321">
        <f>'Supply planning data'!AH659</f>
        <v>0</v>
      </c>
      <c r="AG661" s="349">
        <f>'Supply planning data'!AI659</f>
        <v>0</v>
      </c>
      <c r="AH661" s="111">
        <f>'Supply planning data'!AJ659</f>
        <v>0</v>
      </c>
      <c r="AI661" s="111">
        <f>'Supply planning data'!AK659</f>
        <v>0</v>
      </c>
      <c r="AJ661" s="111">
        <f>'Supply planning data'!AL659</f>
        <v>0</v>
      </c>
      <c r="AK661" s="111">
        <f>'Supply planning data'!AM659</f>
        <v>0</v>
      </c>
      <c r="AL661" s="111">
        <f>'Supply planning data'!AN659</f>
        <v>0</v>
      </c>
      <c r="AM661" s="327" t="str">
        <f>'Supply planning data'!AO659</f>
        <v/>
      </c>
    </row>
    <row r="662" spans="1:39" hidden="1" x14ac:dyDescent="0.25">
      <c r="A662" s="104" t="str">
        <f>'Supply planning data'!C660</f>
        <v/>
      </c>
      <c r="B662" s="298">
        <f>'Supply planning data'!D660</f>
        <v>45505</v>
      </c>
      <c r="C662" s="105" t="str">
        <f>'Supply planning data'!E660</f>
        <v>No</v>
      </c>
      <c r="D662" s="105">
        <f>'Supply planning data'!F660</f>
        <v>0</v>
      </c>
      <c r="E662" s="320">
        <f>'Supply planning data'!G660</f>
        <v>0</v>
      </c>
      <c r="F662" s="320">
        <f>'Supply planning data'!H660</f>
        <v>0</v>
      </c>
      <c r="G662" s="320">
        <f>'Supply planning data'!I660</f>
        <v>0</v>
      </c>
      <c r="H662" s="105">
        <f>'Supply planning data'!J660</f>
        <v>0</v>
      </c>
      <c r="I662" s="320">
        <f>'Supply planning data'!K660</f>
        <v>0</v>
      </c>
      <c r="J662" s="177" t="str">
        <f>'Supply planning data'!L660</f>
        <v/>
      </c>
      <c r="K662" s="105">
        <f>'Supply planning data'!M660</f>
        <v>0</v>
      </c>
      <c r="L662" s="321">
        <f>'Supply planning data'!N660+'Supply planning data'!P660</f>
        <v>0</v>
      </c>
      <c r="M662" s="342">
        <f>'Supply planning data'!O660</f>
        <v>0</v>
      </c>
      <c r="N662" s="321">
        <f>'Supply planning data'!P660</f>
        <v>0</v>
      </c>
      <c r="O662" s="342">
        <f>'Supply planning data'!Q660</f>
        <v>0</v>
      </c>
      <c r="P662" s="111">
        <f>'Supply planning data'!R660</f>
        <v>0</v>
      </c>
      <c r="Q662" s="111">
        <f>'Supply planning data'!S660</f>
        <v>0</v>
      </c>
      <c r="R662" s="111">
        <f>'Supply planning data'!T660</f>
        <v>0</v>
      </c>
      <c r="S662" s="111">
        <f>'Supply planning data'!U660</f>
        <v>0</v>
      </c>
      <c r="T662" s="111">
        <f>'Supply planning data'!V660</f>
        <v>0</v>
      </c>
      <c r="U662" s="327" t="str">
        <f>'Supply planning data'!W660</f>
        <v/>
      </c>
      <c r="V662" s="111">
        <f>'Supply planning data'!X660</f>
        <v>0</v>
      </c>
      <c r="W662" s="321">
        <f>'Supply planning data'!Y660</f>
        <v>0</v>
      </c>
      <c r="X662" s="329">
        <f>'Supply planning data'!Z660</f>
        <v>0</v>
      </c>
      <c r="Y662" s="111">
        <f>'Supply planning data'!AA660</f>
        <v>0</v>
      </c>
      <c r="Z662" s="111">
        <f>'Supply planning data'!AB660</f>
        <v>0</v>
      </c>
      <c r="AA662" s="111">
        <f>'Supply planning data'!AC660</f>
        <v>0</v>
      </c>
      <c r="AB662" s="111">
        <f>'Supply planning data'!AD660</f>
        <v>0</v>
      </c>
      <c r="AC662" s="111">
        <f>'Supply planning data'!AE660</f>
        <v>0</v>
      </c>
      <c r="AD662" s="327" t="str">
        <f>'Supply planning data'!AF660</f>
        <v/>
      </c>
      <c r="AE662" s="111">
        <f>'Supply planning data'!AG660</f>
        <v>0</v>
      </c>
      <c r="AF662" s="321">
        <f>'Supply planning data'!AH660</f>
        <v>0</v>
      </c>
      <c r="AG662" s="349">
        <f>'Supply planning data'!AI660</f>
        <v>0</v>
      </c>
      <c r="AH662" s="111">
        <f>'Supply planning data'!AJ660</f>
        <v>0</v>
      </c>
      <c r="AI662" s="111">
        <f>'Supply planning data'!AK660</f>
        <v>0</v>
      </c>
      <c r="AJ662" s="111">
        <f>'Supply planning data'!AL660</f>
        <v>0</v>
      </c>
      <c r="AK662" s="111">
        <f>'Supply planning data'!AM660</f>
        <v>0</v>
      </c>
      <c r="AL662" s="111">
        <f>'Supply planning data'!AN660</f>
        <v>0</v>
      </c>
      <c r="AM662" s="327" t="str">
        <f>'Supply planning data'!AO660</f>
        <v/>
      </c>
    </row>
    <row r="663" spans="1:39" hidden="1" x14ac:dyDescent="0.25">
      <c r="A663" s="109" t="str">
        <f>'Supply planning data'!C661</f>
        <v/>
      </c>
      <c r="B663" s="298">
        <f>'Supply planning data'!D661</f>
        <v>45505</v>
      </c>
      <c r="C663" s="105" t="str">
        <f>'Supply planning data'!E661</f>
        <v>No</v>
      </c>
      <c r="D663" s="105">
        <f>'Supply planning data'!F661</f>
        <v>0</v>
      </c>
      <c r="E663" s="320">
        <f>'Supply planning data'!G661</f>
        <v>0</v>
      </c>
      <c r="F663" s="320">
        <f>'Supply planning data'!H661</f>
        <v>0</v>
      </c>
      <c r="G663" s="320">
        <f>'Supply planning data'!I661</f>
        <v>0</v>
      </c>
      <c r="H663" s="105">
        <f>'Supply planning data'!J661</f>
        <v>0</v>
      </c>
      <c r="I663" s="320">
        <f>'Supply planning data'!K661</f>
        <v>0</v>
      </c>
      <c r="J663" s="177" t="str">
        <f>'Supply planning data'!L661</f>
        <v/>
      </c>
      <c r="K663" s="105">
        <f>'Supply planning data'!M661</f>
        <v>0</v>
      </c>
      <c r="L663" s="321">
        <f>'Supply planning data'!N661+'Supply planning data'!P661</f>
        <v>0</v>
      </c>
      <c r="M663" s="342">
        <f>'Supply planning data'!O661</f>
        <v>0</v>
      </c>
      <c r="N663" s="321">
        <f>'Supply planning data'!P661</f>
        <v>0</v>
      </c>
      <c r="O663" s="342">
        <f>'Supply planning data'!Q661</f>
        <v>0</v>
      </c>
      <c r="P663" s="111">
        <f>'Supply planning data'!R661</f>
        <v>0</v>
      </c>
      <c r="Q663" s="111">
        <f>'Supply planning data'!S661</f>
        <v>0</v>
      </c>
      <c r="R663" s="111">
        <f>'Supply planning data'!T661</f>
        <v>0</v>
      </c>
      <c r="S663" s="111">
        <f>'Supply planning data'!U661</f>
        <v>0</v>
      </c>
      <c r="T663" s="111">
        <f>'Supply planning data'!V661</f>
        <v>0</v>
      </c>
      <c r="U663" s="327" t="str">
        <f>'Supply planning data'!W661</f>
        <v/>
      </c>
      <c r="V663" s="111">
        <f>'Supply planning data'!X661</f>
        <v>0</v>
      </c>
      <c r="W663" s="321">
        <f>'Supply planning data'!Y661</f>
        <v>0</v>
      </c>
      <c r="X663" s="329">
        <f>'Supply planning data'!Z661</f>
        <v>0</v>
      </c>
      <c r="Y663" s="111">
        <f>'Supply planning data'!AA661</f>
        <v>0</v>
      </c>
      <c r="Z663" s="111">
        <f>'Supply planning data'!AB661</f>
        <v>0</v>
      </c>
      <c r="AA663" s="111">
        <f>'Supply planning data'!AC661</f>
        <v>0</v>
      </c>
      <c r="AB663" s="111">
        <f>'Supply planning data'!AD661</f>
        <v>0</v>
      </c>
      <c r="AC663" s="111">
        <f>'Supply planning data'!AE661</f>
        <v>0</v>
      </c>
      <c r="AD663" s="327" t="str">
        <f>'Supply planning data'!AF661</f>
        <v/>
      </c>
      <c r="AE663" s="111">
        <f>'Supply planning data'!AG661</f>
        <v>0</v>
      </c>
      <c r="AF663" s="321">
        <f>'Supply planning data'!AH661</f>
        <v>0</v>
      </c>
      <c r="AG663" s="349">
        <f>'Supply planning data'!AI661</f>
        <v>0</v>
      </c>
      <c r="AH663" s="111">
        <f>'Supply planning data'!AJ661</f>
        <v>0</v>
      </c>
      <c r="AI663" s="111">
        <f>'Supply planning data'!AK661</f>
        <v>0</v>
      </c>
      <c r="AJ663" s="111">
        <f>'Supply planning data'!AL661</f>
        <v>0</v>
      </c>
      <c r="AK663" s="111">
        <f>'Supply planning data'!AM661</f>
        <v>0</v>
      </c>
      <c r="AL663" s="111">
        <f>'Supply planning data'!AN661</f>
        <v>0</v>
      </c>
      <c r="AM663" s="327" t="str">
        <f>'Supply planning data'!AO661</f>
        <v/>
      </c>
    </row>
    <row r="664" spans="1:39" hidden="1" x14ac:dyDescent="0.25">
      <c r="A664" s="104" t="str">
        <f>'Supply planning data'!C662</f>
        <v/>
      </c>
      <c r="B664" s="298">
        <f>'Supply planning data'!D662</f>
        <v>45505</v>
      </c>
      <c r="C664" s="105" t="str">
        <f>'Supply planning data'!E662</f>
        <v>No</v>
      </c>
      <c r="D664" s="105">
        <f>'Supply planning data'!F662</f>
        <v>0</v>
      </c>
      <c r="E664" s="320">
        <f>'Supply planning data'!G662</f>
        <v>0</v>
      </c>
      <c r="F664" s="320">
        <f>'Supply planning data'!H662</f>
        <v>0</v>
      </c>
      <c r="G664" s="320">
        <f>'Supply planning data'!I662</f>
        <v>0</v>
      </c>
      <c r="H664" s="105">
        <f>'Supply planning data'!J662</f>
        <v>0</v>
      </c>
      <c r="I664" s="320">
        <f>'Supply planning data'!K662</f>
        <v>0</v>
      </c>
      <c r="J664" s="177" t="str">
        <f>'Supply planning data'!L662</f>
        <v/>
      </c>
      <c r="K664" s="105">
        <f>'Supply planning data'!M662</f>
        <v>0</v>
      </c>
      <c r="L664" s="321">
        <f>'Supply planning data'!N662+'Supply planning data'!P662</f>
        <v>0</v>
      </c>
      <c r="M664" s="342">
        <f>'Supply planning data'!O662</f>
        <v>0</v>
      </c>
      <c r="N664" s="321">
        <f>'Supply planning data'!P662</f>
        <v>0</v>
      </c>
      <c r="O664" s="342">
        <f>'Supply planning data'!Q662</f>
        <v>0</v>
      </c>
      <c r="P664" s="111">
        <f>'Supply planning data'!R662</f>
        <v>0</v>
      </c>
      <c r="Q664" s="111">
        <f>'Supply planning data'!S662</f>
        <v>0</v>
      </c>
      <c r="R664" s="111">
        <f>'Supply planning data'!T662</f>
        <v>0</v>
      </c>
      <c r="S664" s="111">
        <f>'Supply planning data'!U662</f>
        <v>0</v>
      </c>
      <c r="T664" s="111">
        <f>'Supply planning data'!V662</f>
        <v>0</v>
      </c>
      <c r="U664" s="327" t="str">
        <f>'Supply planning data'!W662</f>
        <v/>
      </c>
      <c r="V664" s="111">
        <f>'Supply planning data'!X662</f>
        <v>0</v>
      </c>
      <c r="W664" s="321">
        <f>'Supply planning data'!Y662</f>
        <v>0</v>
      </c>
      <c r="X664" s="329">
        <f>'Supply planning data'!Z662</f>
        <v>0</v>
      </c>
      <c r="Y664" s="111">
        <f>'Supply planning data'!AA662</f>
        <v>0</v>
      </c>
      <c r="Z664" s="111">
        <f>'Supply planning data'!AB662</f>
        <v>0</v>
      </c>
      <c r="AA664" s="111">
        <f>'Supply planning data'!AC662</f>
        <v>0</v>
      </c>
      <c r="AB664" s="111">
        <f>'Supply planning data'!AD662</f>
        <v>0</v>
      </c>
      <c r="AC664" s="111">
        <f>'Supply planning data'!AE662</f>
        <v>0</v>
      </c>
      <c r="AD664" s="327" t="str">
        <f>'Supply planning data'!AF662</f>
        <v/>
      </c>
      <c r="AE664" s="111">
        <f>'Supply planning data'!AG662</f>
        <v>0</v>
      </c>
      <c r="AF664" s="321">
        <f>'Supply planning data'!AH662</f>
        <v>0</v>
      </c>
      <c r="AG664" s="349">
        <f>'Supply planning data'!AI662</f>
        <v>0</v>
      </c>
      <c r="AH664" s="111">
        <f>'Supply planning data'!AJ662</f>
        <v>0</v>
      </c>
      <c r="AI664" s="111">
        <f>'Supply planning data'!AK662</f>
        <v>0</v>
      </c>
      <c r="AJ664" s="111">
        <f>'Supply planning data'!AL662</f>
        <v>0</v>
      </c>
      <c r="AK664" s="111">
        <f>'Supply planning data'!AM662</f>
        <v>0</v>
      </c>
      <c r="AL664" s="111">
        <f>'Supply planning data'!AN662</f>
        <v>0</v>
      </c>
      <c r="AM664" s="327" t="str">
        <f>'Supply planning data'!AO662</f>
        <v/>
      </c>
    </row>
    <row r="665" spans="1:39" hidden="1" x14ac:dyDescent="0.25">
      <c r="A665" s="109" t="str">
        <f>'Supply planning data'!C663</f>
        <v/>
      </c>
      <c r="B665" s="298">
        <f>'Supply planning data'!D663</f>
        <v>45505</v>
      </c>
      <c r="C665" s="105" t="str">
        <f>'Supply planning data'!E663</f>
        <v>No</v>
      </c>
      <c r="D665" s="105">
        <f>'Supply planning data'!F663</f>
        <v>0</v>
      </c>
      <c r="E665" s="320">
        <f>'Supply planning data'!G663</f>
        <v>0</v>
      </c>
      <c r="F665" s="320">
        <f>'Supply planning data'!H663</f>
        <v>0</v>
      </c>
      <c r="G665" s="320">
        <f>'Supply planning data'!I663</f>
        <v>0</v>
      </c>
      <c r="H665" s="105">
        <f>'Supply planning data'!J663</f>
        <v>0</v>
      </c>
      <c r="I665" s="320">
        <f>'Supply planning data'!K663</f>
        <v>0</v>
      </c>
      <c r="J665" s="177" t="str">
        <f>'Supply planning data'!L663</f>
        <v/>
      </c>
      <c r="K665" s="105">
        <f>'Supply planning data'!M663</f>
        <v>0</v>
      </c>
      <c r="L665" s="321">
        <f>'Supply planning data'!N663+'Supply planning data'!P663</f>
        <v>0</v>
      </c>
      <c r="M665" s="342">
        <f>'Supply planning data'!O663</f>
        <v>0</v>
      </c>
      <c r="N665" s="321">
        <f>'Supply planning data'!P663</f>
        <v>0</v>
      </c>
      <c r="O665" s="342">
        <f>'Supply planning data'!Q663</f>
        <v>0</v>
      </c>
      <c r="P665" s="111">
        <f>'Supply planning data'!R663</f>
        <v>0</v>
      </c>
      <c r="Q665" s="111">
        <f>'Supply planning data'!S663</f>
        <v>0</v>
      </c>
      <c r="R665" s="111">
        <f>'Supply planning data'!T663</f>
        <v>0</v>
      </c>
      <c r="S665" s="111">
        <f>'Supply planning data'!U663</f>
        <v>0</v>
      </c>
      <c r="T665" s="111">
        <f>'Supply planning data'!V663</f>
        <v>0</v>
      </c>
      <c r="U665" s="327" t="str">
        <f>'Supply planning data'!W663</f>
        <v/>
      </c>
      <c r="V665" s="111">
        <f>'Supply planning data'!X663</f>
        <v>0</v>
      </c>
      <c r="W665" s="321">
        <f>'Supply planning data'!Y663</f>
        <v>0</v>
      </c>
      <c r="X665" s="329">
        <f>'Supply planning data'!Z663</f>
        <v>0</v>
      </c>
      <c r="Y665" s="111">
        <f>'Supply planning data'!AA663</f>
        <v>0</v>
      </c>
      <c r="Z665" s="111">
        <f>'Supply planning data'!AB663</f>
        <v>0</v>
      </c>
      <c r="AA665" s="111">
        <f>'Supply planning data'!AC663</f>
        <v>0</v>
      </c>
      <c r="AB665" s="111">
        <f>'Supply planning data'!AD663</f>
        <v>0</v>
      </c>
      <c r="AC665" s="111">
        <f>'Supply planning data'!AE663</f>
        <v>0</v>
      </c>
      <c r="AD665" s="327" t="str">
        <f>'Supply planning data'!AF663</f>
        <v/>
      </c>
      <c r="AE665" s="111">
        <f>'Supply planning data'!AG663</f>
        <v>0</v>
      </c>
      <c r="AF665" s="321">
        <f>'Supply planning data'!AH663</f>
        <v>0</v>
      </c>
      <c r="AG665" s="349">
        <f>'Supply planning data'!AI663</f>
        <v>0</v>
      </c>
      <c r="AH665" s="111">
        <f>'Supply planning data'!AJ663</f>
        <v>0</v>
      </c>
      <c r="AI665" s="111">
        <f>'Supply planning data'!AK663</f>
        <v>0</v>
      </c>
      <c r="AJ665" s="111">
        <f>'Supply planning data'!AL663</f>
        <v>0</v>
      </c>
      <c r="AK665" s="111">
        <f>'Supply planning data'!AM663</f>
        <v>0</v>
      </c>
      <c r="AL665" s="111">
        <f>'Supply planning data'!AN663</f>
        <v>0</v>
      </c>
      <c r="AM665" s="327" t="str">
        <f>'Supply planning data'!AO663</f>
        <v/>
      </c>
    </row>
    <row r="666" spans="1:39" hidden="1" x14ac:dyDescent="0.25">
      <c r="A666" s="104" t="str">
        <f>'Supply planning data'!C664</f>
        <v/>
      </c>
      <c r="B666" s="298">
        <f>'Supply planning data'!D664</f>
        <v>45505</v>
      </c>
      <c r="C666" s="105" t="str">
        <f>'Supply planning data'!E664</f>
        <v>No</v>
      </c>
      <c r="D666" s="105">
        <f>'Supply planning data'!F664</f>
        <v>0</v>
      </c>
      <c r="E666" s="320">
        <f>'Supply planning data'!G664</f>
        <v>0</v>
      </c>
      <c r="F666" s="320">
        <f>'Supply planning data'!H664</f>
        <v>0</v>
      </c>
      <c r="G666" s="320">
        <f>'Supply planning data'!I664</f>
        <v>0</v>
      </c>
      <c r="H666" s="105">
        <f>'Supply planning data'!J664</f>
        <v>0</v>
      </c>
      <c r="I666" s="320">
        <f>'Supply planning data'!K664</f>
        <v>0</v>
      </c>
      <c r="J666" s="177" t="str">
        <f>'Supply planning data'!L664</f>
        <v/>
      </c>
      <c r="K666" s="105">
        <f>'Supply planning data'!M664</f>
        <v>0</v>
      </c>
      <c r="L666" s="321">
        <f>'Supply planning data'!N664+'Supply planning data'!P664</f>
        <v>0</v>
      </c>
      <c r="M666" s="342">
        <f>'Supply planning data'!O664</f>
        <v>0</v>
      </c>
      <c r="N666" s="321">
        <f>'Supply planning data'!P664</f>
        <v>0</v>
      </c>
      <c r="O666" s="342">
        <f>'Supply planning data'!Q664</f>
        <v>0</v>
      </c>
      <c r="P666" s="111">
        <f>'Supply planning data'!R664</f>
        <v>0</v>
      </c>
      <c r="Q666" s="111">
        <f>'Supply planning data'!S664</f>
        <v>0</v>
      </c>
      <c r="R666" s="111">
        <f>'Supply planning data'!T664</f>
        <v>0</v>
      </c>
      <c r="S666" s="111">
        <f>'Supply planning data'!U664</f>
        <v>0</v>
      </c>
      <c r="T666" s="111">
        <f>'Supply planning data'!V664</f>
        <v>0</v>
      </c>
      <c r="U666" s="327" t="str">
        <f>'Supply planning data'!W664</f>
        <v/>
      </c>
      <c r="V666" s="111">
        <f>'Supply planning data'!X664</f>
        <v>0</v>
      </c>
      <c r="W666" s="321">
        <f>'Supply planning data'!Y664</f>
        <v>0</v>
      </c>
      <c r="X666" s="329">
        <f>'Supply planning data'!Z664</f>
        <v>0</v>
      </c>
      <c r="Y666" s="111">
        <f>'Supply planning data'!AA664</f>
        <v>0</v>
      </c>
      <c r="Z666" s="111">
        <f>'Supply planning data'!AB664</f>
        <v>0</v>
      </c>
      <c r="AA666" s="111">
        <f>'Supply planning data'!AC664</f>
        <v>0</v>
      </c>
      <c r="AB666" s="111">
        <f>'Supply planning data'!AD664</f>
        <v>0</v>
      </c>
      <c r="AC666" s="111">
        <f>'Supply planning data'!AE664</f>
        <v>0</v>
      </c>
      <c r="AD666" s="327" t="str">
        <f>'Supply planning data'!AF664</f>
        <v/>
      </c>
      <c r="AE666" s="111">
        <f>'Supply planning data'!AG664</f>
        <v>0</v>
      </c>
      <c r="AF666" s="321">
        <f>'Supply planning data'!AH664</f>
        <v>0</v>
      </c>
      <c r="AG666" s="349">
        <f>'Supply planning data'!AI664</f>
        <v>0</v>
      </c>
      <c r="AH666" s="111">
        <f>'Supply planning data'!AJ664</f>
        <v>0</v>
      </c>
      <c r="AI666" s="111">
        <f>'Supply planning data'!AK664</f>
        <v>0</v>
      </c>
      <c r="AJ666" s="111">
        <f>'Supply planning data'!AL664</f>
        <v>0</v>
      </c>
      <c r="AK666" s="111">
        <f>'Supply planning data'!AM664</f>
        <v>0</v>
      </c>
      <c r="AL666" s="111">
        <f>'Supply planning data'!AN664</f>
        <v>0</v>
      </c>
      <c r="AM666" s="327" t="str">
        <f>'Supply planning data'!AO664</f>
        <v/>
      </c>
    </row>
    <row r="667" spans="1:39" x14ac:dyDescent="0.25">
      <c r="A667" s="90" t="str">
        <f>'Supply planning data'!C665</f>
        <v>AstraZeneca</v>
      </c>
      <c r="B667" s="296">
        <f>'Supply planning data'!D665</f>
        <v>45536</v>
      </c>
      <c r="C667" s="92" t="str">
        <f>'Supply planning data'!E665</f>
        <v>Yes</v>
      </c>
      <c r="D667" s="92">
        <f>'Supply planning data'!F665</f>
        <v>0</v>
      </c>
      <c r="E667" s="316">
        <f>'Supply planning data'!G665</f>
        <v>0</v>
      </c>
      <c r="F667" s="316">
        <f>'Supply planning data'!H665</f>
        <v>0</v>
      </c>
      <c r="G667" s="316">
        <f>'Supply planning data'!I665</f>
        <v>0</v>
      </c>
      <c r="H667" s="92">
        <f>'Supply planning data'!J665</f>
        <v>0</v>
      </c>
      <c r="I667" s="316">
        <f>'Supply planning data'!K665</f>
        <v>0</v>
      </c>
      <c r="J667" s="174" t="str">
        <f>'Supply planning data'!L665</f>
        <v/>
      </c>
      <c r="K667" s="92">
        <f>'Supply planning data'!M665</f>
        <v>0</v>
      </c>
      <c r="L667" s="316">
        <f>'Supply planning data'!N665+'Supply planning data'!P665</f>
        <v>0</v>
      </c>
      <c r="M667" s="343">
        <f>'Supply planning data'!O665</f>
        <v>0</v>
      </c>
      <c r="N667" s="316">
        <f>'Supply planning data'!P665</f>
        <v>0</v>
      </c>
      <c r="O667" s="343">
        <f>'Supply planning data'!Q665</f>
        <v>0</v>
      </c>
      <c r="P667" s="92">
        <f>'Supply planning data'!R665</f>
        <v>0</v>
      </c>
      <c r="Q667" s="92">
        <f>'Supply planning data'!S665</f>
        <v>0</v>
      </c>
      <c r="R667" s="92">
        <f>'Supply planning data'!T665</f>
        <v>0</v>
      </c>
      <c r="S667" s="92">
        <f>'Supply planning data'!U665</f>
        <v>0</v>
      </c>
      <c r="T667" s="92">
        <f>'Supply planning data'!V665</f>
        <v>0</v>
      </c>
      <c r="U667" s="324" t="str">
        <f>'Supply planning data'!W665</f>
        <v/>
      </c>
      <c r="V667" s="92">
        <f>'Supply planning data'!X665</f>
        <v>154701</v>
      </c>
      <c r="W667" s="316">
        <f>'Supply planning data'!Y665</f>
        <v>0</v>
      </c>
      <c r="X667" s="328">
        <f>'Supply planning data'!Z665</f>
        <v>0</v>
      </c>
      <c r="Y667" s="92">
        <f>'Supply planning data'!AA665</f>
        <v>0</v>
      </c>
      <c r="Z667" s="92">
        <f>'Supply planning data'!AB665</f>
        <v>0</v>
      </c>
      <c r="AA667" s="92">
        <f>'Supply planning data'!AC665</f>
        <v>0</v>
      </c>
      <c r="AB667" s="92">
        <f>'Supply planning data'!AD665</f>
        <v>0</v>
      </c>
      <c r="AC667" s="92">
        <f>'Supply planning data'!AE665</f>
        <v>154701</v>
      </c>
      <c r="AD667" s="324" t="str">
        <f>'Supply planning data'!AF665</f>
        <v/>
      </c>
      <c r="AE667" s="92">
        <f>'Supply planning data'!AG665</f>
        <v>0</v>
      </c>
      <c r="AF667" s="316">
        <f>'Supply planning data'!AH665</f>
        <v>0</v>
      </c>
      <c r="AG667" s="174">
        <f>'Supply planning data'!AI665</f>
        <v>0</v>
      </c>
      <c r="AH667" s="92">
        <f>'Supply planning data'!AJ665</f>
        <v>0</v>
      </c>
      <c r="AI667" s="92">
        <f>'Supply planning data'!AK665</f>
        <v>0</v>
      </c>
      <c r="AJ667" s="92">
        <f>'Supply planning data'!AL665</f>
        <v>0</v>
      </c>
      <c r="AK667" s="92">
        <f>'Supply planning data'!AM665</f>
        <v>0</v>
      </c>
      <c r="AL667" s="92">
        <f>'Supply planning data'!AN665</f>
        <v>0</v>
      </c>
      <c r="AM667" s="324" t="str">
        <f>'Supply planning data'!AO665</f>
        <v/>
      </c>
    </row>
    <row r="668" spans="1:39" x14ac:dyDescent="0.25">
      <c r="A668" s="90" t="str">
        <f>'Supply planning data'!C666</f>
        <v>Jansen</v>
      </c>
      <c r="B668" s="296">
        <f>'Supply planning data'!D666</f>
        <v>45536</v>
      </c>
      <c r="C668" s="92" t="str">
        <f>'Supply planning data'!E666</f>
        <v>Yes</v>
      </c>
      <c r="D668" s="92">
        <f>'Supply planning data'!F666</f>
        <v>1871200</v>
      </c>
      <c r="E668" s="316">
        <f>'Supply planning data'!G666</f>
        <v>0</v>
      </c>
      <c r="F668" s="317">
        <f>'Supply planning data'!H666</f>
        <v>0</v>
      </c>
      <c r="G668" s="317">
        <f>'Supply planning data'!I666</f>
        <v>0</v>
      </c>
      <c r="H668" s="98">
        <f>'Supply planning data'!J666</f>
        <v>0</v>
      </c>
      <c r="I668" s="317">
        <f>'Supply planning data'!K666</f>
        <v>0</v>
      </c>
      <c r="J668" s="175" t="str">
        <f>'Supply planning data'!L666</f>
        <v/>
      </c>
      <c r="K668" s="98">
        <f>'Supply planning data'!M666</f>
        <v>0</v>
      </c>
      <c r="L668" s="317">
        <f>'Supply planning data'!N666+'Supply planning data'!P666</f>
        <v>0</v>
      </c>
      <c r="M668" s="339">
        <f>'Supply planning data'!O666</f>
        <v>0</v>
      </c>
      <c r="N668" s="317">
        <f>'Supply planning data'!P666</f>
        <v>0</v>
      </c>
      <c r="O668" s="339">
        <f>'Supply planning data'!Q666</f>
        <v>0</v>
      </c>
      <c r="P668" s="98">
        <f>'Supply planning data'!R666</f>
        <v>0</v>
      </c>
      <c r="Q668" s="98">
        <f>'Supply planning data'!S666</f>
        <v>0</v>
      </c>
      <c r="R668" s="98">
        <f>'Supply planning data'!T666</f>
        <v>387547</v>
      </c>
      <c r="S668" s="98">
        <f>'Supply planning data'!U666</f>
        <v>0</v>
      </c>
      <c r="T668" s="98">
        <f>'Supply planning data'!V666</f>
        <v>1871200</v>
      </c>
      <c r="U668" s="325" t="str">
        <f>'Supply planning data'!W666</f>
        <v/>
      </c>
      <c r="V668" s="98">
        <f>'Supply planning data'!X666</f>
        <v>1311200</v>
      </c>
      <c r="W668" s="317">
        <f>'Supply planning data'!Y666</f>
        <v>0</v>
      </c>
      <c r="X668" s="328">
        <f>'Supply planning data'!Z666</f>
        <v>0</v>
      </c>
      <c r="Y668" s="98">
        <f>'Supply planning data'!AA666</f>
        <v>0</v>
      </c>
      <c r="Z668" s="98">
        <f>'Supply planning data'!AB666</f>
        <v>0</v>
      </c>
      <c r="AA668" s="98">
        <f>'Supply planning data'!AC666</f>
        <v>0</v>
      </c>
      <c r="AB668" s="98">
        <f>'Supply planning data'!AD666</f>
        <v>0</v>
      </c>
      <c r="AC668" s="98">
        <f>'Supply planning data'!AE666</f>
        <v>1311200</v>
      </c>
      <c r="AD668" s="325" t="str">
        <f>'Supply planning data'!AF666</f>
        <v/>
      </c>
      <c r="AE668" s="98">
        <f>'Supply planning data'!AG666</f>
        <v>1871200</v>
      </c>
      <c r="AF668" s="317">
        <f>'Supply planning data'!AH666</f>
        <v>0</v>
      </c>
      <c r="AG668" s="175">
        <f>'Supply planning data'!AI666</f>
        <v>0</v>
      </c>
      <c r="AH668" s="98">
        <f>'Supply planning data'!AJ666</f>
        <v>0</v>
      </c>
      <c r="AI668" s="98">
        <f>'Supply planning data'!AK666</f>
        <v>0</v>
      </c>
      <c r="AJ668" s="98">
        <f>'Supply planning data'!AL666</f>
        <v>387547</v>
      </c>
      <c r="AK668" s="98">
        <f>'Supply planning data'!AM666</f>
        <v>0</v>
      </c>
      <c r="AL668" s="98">
        <f>'Supply planning data'!AN666</f>
        <v>1871200</v>
      </c>
      <c r="AM668" s="325" t="str">
        <f>'Supply planning data'!AO666</f>
        <v/>
      </c>
    </row>
    <row r="669" spans="1:39" x14ac:dyDescent="0.25">
      <c r="A669" s="90" t="str">
        <f>'Supply planning data'!C667</f>
        <v>Moderna</v>
      </c>
      <c r="B669" s="296">
        <f>'Supply planning data'!D667</f>
        <v>45536</v>
      </c>
      <c r="C669" s="92" t="str">
        <f>'Supply planning data'!E667</f>
        <v>No</v>
      </c>
      <c r="D669" s="92">
        <f>'Supply planning data'!F667</f>
        <v>0</v>
      </c>
      <c r="E669" s="316">
        <f>'Supply planning data'!G667</f>
        <v>0</v>
      </c>
      <c r="F669" s="317">
        <f>'Supply planning data'!H667</f>
        <v>0</v>
      </c>
      <c r="G669" s="317">
        <f>'Supply planning data'!I667</f>
        <v>0</v>
      </c>
      <c r="H669" s="98">
        <f>'Supply planning data'!J667</f>
        <v>0</v>
      </c>
      <c r="I669" s="317">
        <f>'Supply planning data'!K667</f>
        <v>0</v>
      </c>
      <c r="J669" s="175" t="str">
        <f>'Supply planning data'!L667</f>
        <v/>
      </c>
      <c r="K669" s="98">
        <f>'Supply planning data'!M667</f>
        <v>0</v>
      </c>
      <c r="L669" s="317">
        <f>'Supply planning data'!N667+'Supply planning data'!P667</f>
        <v>0</v>
      </c>
      <c r="M669" s="339">
        <f>'Supply planning data'!O667</f>
        <v>0</v>
      </c>
      <c r="N669" s="317">
        <f>'Supply planning data'!P667</f>
        <v>0</v>
      </c>
      <c r="O669" s="339">
        <f>'Supply planning data'!Q667</f>
        <v>0</v>
      </c>
      <c r="P669" s="98">
        <f>'Supply planning data'!R667</f>
        <v>0</v>
      </c>
      <c r="Q669" s="98">
        <f>'Supply planning data'!S667</f>
        <v>0</v>
      </c>
      <c r="R669" s="98">
        <f>'Supply planning data'!T667</f>
        <v>0</v>
      </c>
      <c r="S669" s="98">
        <f>'Supply planning data'!U667</f>
        <v>0</v>
      </c>
      <c r="T669" s="98">
        <f>'Supply planning data'!V667</f>
        <v>0</v>
      </c>
      <c r="U669" s="325" t="str">
        <f>'Supply planning data'!W667</f>
        <v/>
      </c>
      <c r="V669" s="98">
        <f>'Supply planning data'!X667</f>
        <v>0</v>
      </c>
      <c r="W669" s="317">
        <f>'Supply planning data'!Y667</f>
        <v>0</v>
      </c>
      <c r="X669" s="328">
        <f>'Supply planning data'!Z667</f>
        <v>0</v>
      </c>
      <c r="Y669" s="98">
        <f>'Supply planning data'!AA667</f>
        <v>0</v>
      </c>
      <c r="Z669" s="98">
        <f>'Supply planning data'!AB667</f>
        <v>0</v>
      </c>
      <c r="AA669" s="98">
        <f>'Supply planning data'!AC667</f>
        <v>0</v>
      </c>
      <c r="AB669" s="98">
        <f>'Supply planning data'!AD667</f>
        <v>0</v>
      </c>
      <c r="AC669" s="98">
        <f>'Supply planning data'!AE667</f>
        <v>0</v>
      </c>
      <c r="AD669" s="325" t="str">
        <f>'Supply planning data'!AF667</f>
        <v/>
      </c>
      <c r="AE669" s="98">
        <f>'Supply planning data'!AG667</f>
        <v>0</v>
      </c>
      <c r="AF669" s="317">
        <f>'Supply planning data'!AH667</f>
        <v>0</v>
      </c>
      <c r="AG669" s="175">
        <f>'Supply planning data'!AI667</f>
        <v>0</v>
      </c>
      <c r="AH669" s="98">
        <f>'Supply planning data'!AJ667</f>
        <v>0</v>
      </c>
      <c r="AI669" s="98">
        <f>'Supply planning data'!AK667</f>
        <v>0</v>
      </c>
      <c r="AJ669" s="98">
        <f>'Supply planning data'!AL667</f>
        <v>0</v>
      </c>
      <c r="AK669" s="98">
        <f>'Supply planning data'!AM667</f>
        <v>0</v>
      </c>
      <c r="AL669" s="98">
        <f>'Supply planning data'!AN667</f>
        <v>0</v>
      </c>
      <c r="AM669" s="325" t="str">
        <f>'Supply planning data'!AO667</f>
        <v/>
      </c>
    </row>
    <row r="670" spans="1:39" x14ac:dyDescent="0.25">
      <c r="A670" s="90" t="str">
        <f>'Supply planning data'!C668</f>
        <v>Pfizer</v>
      </c>
      <c r="B670" s="296">
        <f>'Supply planning data'!D668</f>
        <v>45536</v>
      </c>
      <c r="C670" s="92" t="str">
        <f>'Supply planning data'!E668</f>
        <v>Yes</v>
      </c>
      <c r="D670" s="92">
        <f>'Supply planning data'!F668</f>
        <v>3000000</v>
      </c>
      <c r="E670" s="316">
        <f>'Supply planning data'!G668</f>
        <v>0</v>
      </c>
      <c r="F670" s="317">
        <f>'Supply planning data'!H668</f>
        <v>0</v>
      </c>
      <c r="G670" s="317">
        <f>'Supply planning data'!I668</f>
        <v>0</v>
      </c>
      <c r="H670" s="98">
        <f>'Supply planning data'!J668</f>
        <v>0</v>
      </c>
      <c r="I670" s="317">
        <f>'Supply planning data'!K668</f>
        <v>0</v>
      </c>
      <c r="J670" s="175" t="str">
        <f>'Supply planning data'!L668</f>
        <v/>
      </c>
      <c r="K670" s="98">
        <f>'Supply planning data'!M668</f>
        <v>0</v>
      </c>
      <c r="L670" s="317">
        <f>'Supply planning data'!N668+'Supply planning data'!P668</f>
        <v>0</v>
      </c>
      <c r="M670" s="339">
        <f>'Supply planning data'!O668</f>
        <v>0</v>
      </c>
      <c r="N670" s="317">
        <f>'Supply planning data'!P668</f>
        <v>0</v>
      </c>
      <c r="O670" s="339">
        <f>'Supply planning data'!Q668</f>
        <v>0</v>
      </c>
      <c r="P670" s="98">
        <f>'Supply planning data'!R668</f>
        <v>0</v>
      </c>
      <c r="Q670" s="98">
        <f>'Supply planning data'!S668</f>
        <v>0</v>
      </c>
      <c r="R670" s="98">
        <f>'Supply planning data'!T668</f>
        <v>110538</v>
      </c>
      <c r="S670" s="98">
        <f>'Supply planning data'!U668</f>
        <v>0</v>
      </c>
      <c r="T670" s="98">
        <f>'Supply planning data'!V668</f>
        <v>3000000</v>
      </c>
      <c r="U670" s="325" t="str">
        <f>'Supply planning data'!W668</f>
        <v/>
      </c>
      <c r="V670" s="98">
        <f>'Supply planning data'!X668</f>
        <v>2440000</v>
      </c>
      <c r="W670" s="317">
        <f>'Supply planning data'!Y668</f>
        <v>0</v>
      </c>
      <c r="X670" s="328">
        <f>'Supply planning data'!Z668</f>
        <v>0</v>
      </c>
      <c r="Y670" s="98">
        <f>'Supply planning data'!AA668</f>
        <v>0</v>
      </c>
      <c r="Z670" s="98">
        <f>'Supply planning data'!AB668</f>
        <v>0</v>
      </c>
      <c r="AA670" s="98">
        <f>'Supply planning data'!AC668</f>
        <v>0</v>
      </c>
      <c r="AB670" s="98">
        <f>'Supply planning data'!AD668</f>
        <v>0</v>
      </c>
      <c r="AC670" s="98">
        <f>'Supply planning data'!AE668</f>
        <v>2440000</v>
      </c>
      <c r="AD670" s="325" t="str">
        <f>'Supply planning data'!AF668</f>
        <v/>
      </c>
      <c r="AE670" s="98">
        <f>'Supply planning data'!AG668</f>
        <v>3000000</v>
      </c>
      <c r="AF670" s="317">
        <f>'Supply planning data'!AH668</f>
        <v>0</v>
      </c>
      <c r="AG670" s="175">
        <f>'Supply planning data'!AI668</f>
        <v>0</v>
      </c>
      <c r="AH670" s="98">
        <f>'Supply planning data'!AJ668</f>
        <v>0</v>
      </c>
      <c r="AI670" s="98">
        <f>'Supply planning data'!AK668</f>
        <v>0</v>
      </c>
      <c r="AJ670" s="98">
        <f>'Supply planning data'!AL668</f>
        <v>110538</v>
      </c>
      <c r="AK670" s="98">
        <f>'Supply planning data'!AM668</f>
        <v>0</v>
      </c>
      <c r="AL670" s="98">
        <f>'Supply planning data'!AN668</f>
        <v>3000000</v>
      </c>
      <c r="AM670" s="325" t="str">
        <f>'Supply planning data'!AO668</f>
        <v/>
      </c>
    </row>
    <row r="671" spans="1:39" x14ac:dyDescent="0.25">
      <c r="A671" s="90" t="str">
        <f>'Supply planning data'!C669</f>
        <v>Sinovac</v>
      </c>
      <c r="B671" s="296">
        <f>'Supply planning data'!D669</f>
        <v>45536</v>
      </c>
      <c r="C671" s="92" t="str">
        <f>'Supply planning data'!E669</f>
        <v>No</v>
      </c>
      <c r="D671" s="92">
        <f>'Supply planning data'!F669</f>
        <v>0</v>
      </c>
      <c r="E671" s="316">
        <f>'Supply planning data'!G669</f>
        <v>0</v>
      </c>
      <c r="F671" s="317">
        <f>'Supply planning data'!H669</f>
        <v>0</v>
      </c>
      <c r="G671" s="317">
        <f>'Supply planning data'!I669</f>
        <v>0</v>
      </c>
      <c r="H671" s="98">
        <f>'Supply planning data'!J669</f>
        <v>0</v>
      </c>
      <c r="I671" s="317">
        <f>'Supply planning data'!K669</f>
        <v>0</v>
      </c>
      <c r="J671" s="175" t="str">
        <f>'Supply planning data'!L669</f>
        <v/>
      </c>
      <c r="K671" s="98">
        <f>'Supply planning data'!M669</f>
        <v>0</v>
      </c>
      <c r="L671" s="317">
        <f>'Supply planning data'!N669+'Supply planning data'!P669</f>
        <v>0</v>
      </c>
      <c r="M671" s="339">
        <f>'Supply planning data'!O669</f>
        <v>0</v>
      </c>
      <c r="N671" s="317">
        <f>'Supply planning data'!P669</f>
        <v>0</v>
      </c>
      <c r="O671" s="339">
        <f>'Supply planning data'!Q669</f>
        <v>0</v>
      </c>
      <c r="P671" s="98">
        <f>'Supply planning data'!R669</f>
        <v>0</v>
      </c>
      <c r="Q671" s="98">
        <f>'Supply planning data'!S669</f>
        <v>0</v>
      </c>
      <c r="R671" s="98">
        <f>'Supply planning data'!T669</f>
        <v>0</v>
      </c>
      <c r="S671" s="98">
        <f>'Supply planning data'!U669</f>
        <v>0</v>
      </c>
      <c r="T671" s="98">
        <f>'Supply planning data'!V669</f>
        <v>0</v>
      </c>
      <c r="U671" s="325" t="str">
        <f>'Supply planning data'!W669</f>
        <v/>
      </c>
      <c r="V671" s="98">
        <f>'Supply planning data'!X669</f>
        <v>0</v>
      </c>
      <c r="W671" s="317">
        <f>'Supply planning data'!Y669</f>
        <v>0</v>
      </c>
      <c r="X671" s="328">
        <f>'Supply planning data'!Z669</f>
        <v>0</v>
      </c>
      <c r="Y671" s="98">
        <f>'Supply planning data'!AA669</f>
        <v>0</v>
      </c>
      <c r="Z671" s="98">
        <f>'Supply planning data'!AB669</f>
        <v>0</v>
      </c>
      <c r="AA671" s="98">
        <f>'Supply planning data'!AC669</f>
        <v>0</v>
      </c>
      <c r="AB671" s="98">
        <f>'Supply planning data'!AD669</f>
        <v>0</v>
      </c>
      <c r="AC671" s="98">
        <f>'Supply planning data'!AE669</f>
        <v>0</v>
      </c>
      <c r="AD671" s="325" t="str">
        <f>'Supply planning data'!AF669</f>
        <v/>
      </c>
      <c r="AE671" s="98">
        <f>'Supply planning data'!AG669</f>
        <v>0</v>
      </c>
      <c r="AF671" s="317">
        <f>'Supply planning data'!AH669</f>
        <v>0</v>
      </c>
      <c r="AG671" s="175">
        <f>'Supply planning data'!AI669</f>
        <v>0</v>
      </c>
      <c r="AH671" s="98">
        <f>'Supply planning data'!AJ669</f>
        <v>0</v>
      </c>
      <c r="AI671" s="98">
        <f>'Supply planning data'!AK669</f>
        <v>0</v>
      </c>
      <c r="AJ671" s="98">
        <f>'Supply planning data'!AL669</f>
        <v>0</v>
      </c>
      <c r="AK671" s="98">
        <f>'Supply planning data'!AM669</f>
        <v>0</v>
      </c>
      <c r="AL671" s="98">
        <f>'Supply planning data'!AN669</f>
        <v>0</v>
      </c>
      <c r="AM671" s="325" t="str">
        <f>'Supply planning data'!AO669</f>
        <v/>
      </c>
    </row>
    <row r="672" spans="1:39" hidden="1" x14ac:dyDescent="0.25">
      <c r="A672" s="90" t="str">
        <f>'Supply planning data'!C670</f>
        <v/>
      </c>
      <c r="B672" s="296">
        <f>'Supply planning data'!D670</f>
        <v>45536</v>
      </c>
      <c r="C672" s="92" t="str">
        <f>'Supply planning data'!E670</f>
        <v>No</v>
      </c>
      <c r="D672" s="92">
        <f>'Supply planning data'!F670</f>
        <v>0</v>
      </c>
      <c r="E672" s="316">
        <f>'Supply planning data'!G670</f>
        <v>0</v>
      </c>
      <c r="F672" s="317">
        <f>'Supply planning data'!H670</f>
        <v>0</v>
      </c>
      <c r="G672" s="317">
        <f>'Supply planning data'!I670</f>
        <v>0</v>
      </c>
      <c r="H672" s="98">
        <f>'Supply planning data'!J670</f>
        <v>0</v>
      </c>
      <c r="I672" s="317">
        <f>'Supply planning data'!K670</f>
        <v>0</v>
      </c>
      <c r="J672" s="175" t="str">
        <f>'Supply planning data'!L670</f>
        <v/>
      </c>
      <c r="K672" s="98">
        <f>'Supply planning data'!M670</f>
        <v>0</v>
      </c>
      <c r="L672" s="317">
        <f>'Supply planning data'!N670+'Supply planning data'!P670</f>
        <v>0</v>
      </c>
      <c r="M672" s="339">
        <f>'Supply planning data'!O670</f>
        <v>0</v>
      </c>
      <c r="N672" s="317">
        <f>'Supply planning data'!P670</f>
        <v>0</v>
      </c>
      <c r="O672" s="339">
        <f>'Supply planning data'!Q670</f>
        <v>0</v>
      </c>
      <c r="P672" s="98">
        <f>'Supply planning data'!R670</f>
        <v>0</v>
      </c>
      <c r="Q672" s="98">
        <f>'Supply planning data'!S670</f>
        <v>0</v>
      </c>
      <c r="R672" s="98">
        <f>'Supply planning data'!T670</f>
        <v>0</v>
      </c>
      <c r="S672" s="98">
        <f>'Supply planning data'!U670</f>
        <v>0</v>
      </c>
      <c r="T672" s="98">
        <f>'Supply planning data'!V670</f>
        <v>0</v>
      </c>
      <c r="U672" s="325" t="str">
        <f>'Supply planning data'!W670</f>
        <v/>
      </c>
      <c r="V672" s="98">
        <f>'Supply planning data'!X670</f>
        <v>0</v>
      </c>
      <c r="W672" s="317">
        <f>'Supply planning data'!Y670</f>
        <v>0</v>
      </c>
      <c r="X672" s="328">
        <f>'Supply planning data'!Z670</f>
        <v>0</v>
      </c>
      <c r="Y672" s="98">
        <f>'Supply planning data'!AA670</f>
        <v>0</v>
      </c>
      <c r="Z672" s="98">
        <f>'Supply planning data'!AB670</f>
        <v>0</v>
      </c>
      <c r="AA672" s="98">
        <f>'Supply planning data'!AC670</f>
        <v>0</v>
      </c>
      <c r="AB672" s="98">
        <f>'Supply planning data'!AD670</f>
        <v>0</v>
      </c>
      <c r="AC672" s="98">
        <f>'Supply planning data'!AE670</f>
        <v>0</v>
      </c>
      <c r="AD672" s="325" t="str">
        <f>'Supply planning data'!AF670</f>
        <v/>
      </c>
      <c r="AE672" s="98">
        <f>'Supply planning data'!AG670</f>
        <v>0</v>
      </c>
      <c r="AF672" s="317">
        <f>'Supply planning data'!AH670</f>
        <v>0</v>
      </c>
      <c r="AG672" s="175">
        <f>'Supply planning data'!AI670</f>
        <v>0</v>
      </c>
      <c r="AH672" s="98">
        <f>'Supply planning data'!AJ670</f>
        <v>0</v>
      </c>
      <c r="AI672" s="98">
        <f>'Supply planning data'!AK670</f>
        <v>0</v>
      </c>
      <c r="AJ672" s="98">
        <f>'Supply planning data'!AL670</f>
        <v>0</v>
      </c>
      <c r="AK672" s="98">
        <f>'Supply planning data'!AM670</f>
        <v>0</v>
      </c>
      <c r="AL672" s="98">
        <f>'Supply planning data'!AN670</f>
        <v>0</v>
      </c>
      <c r="AM672" s="325" t="str">
        <f>'Supply planning data'!AO670</f>
        <v/>
      </c>
    </row>
    <row r="673" spans="1:39" hidden="1" x14ac:dyDescent="0.25">
      <c r="A673" s="90" t="str">
        <f>'Supply planning data'!C671</f>
        <v/>
      </c>
      <c r="B673" s="296">
        <f>'Supply planning data'!D671</f>
        <v>45536</v>
      </c>
      <c r="C673" s="92" t="str">
        <f>'Supply planning data'!E671</f>
        <v>No</v>
      </c>
      <c r="D673" s="92">
        <f>'Supply planning data'!F671</f>
        <v>0</v>
      </c>
      <c r="E673" s="316">
        <f>'Supply planning data'!G671</f>
        <v>0</v>
      </c>
      <c r="F673" s="317">
        <f>'Supply planning data'!H671</f>
        <v>0</v>
      </c>
      <c r="G673" s="317">
        <f>'Supply planning data'!I671</f>
        <v>0</v>
      </c>
      <c r="H673" s="98">
        <f>'Supply planning data'!J671</f>
        <v>0</v>
      </c>
      <c r="I673" s="317">
        <f>'Supply planning data'!K671</f>
        <v>0</v>
      </c>
      <c r="J673" s="175" t="str">
        <f>'Supply planning data'!L671</f>
        <v/>
      </c>
      <c r="K673" s="98">
        <f>'Supply planning data'!M671</f>
        <v>0</v>
      </c>
      <c r="L673" s="317">
        <f>'Supply planning data'!N671+'Supply planning data'!P671</f>
        <v>0</v>
      </c>
      <c r="M673" s="339">
        <f>'Supply planning data'!O671</f>
        <v>0</v>
      </c>
      <c r="N673" s="317">
        <f>'Supply planning data'!P671</f>
        <v>0</v>
      </c>
      <c r="O673" s="339">
        <f>'Supply planning data'!Q671</f>
        <v>0</v>
      </c>
      <c r="P673" s="98">
        <f>'Supply planning data'!R671</f>
        <v>0</v>
      </c>
      <c r="Q673" s="98">
        <f>'Supply planning data'!S671</f>
        <v>0</v>
      </c>
      <c r="R673" s="98">
        <f>'Supply planning data'!T671</f>
        <v>0</v>
      </c>
      <c r="S673" s="98">
        <f>'Supply planning data'!U671</f>
        <v>0</v>
      </c>
      <c r="T673" s="98">
        <f>'Supply planning data'!V671</f>
        <v>0</v>
      </c>
      <c r="U673" s="325" t="str">
        <f>'Supply planning data'!W671</f>
        <v/>
      </c>
      <c r="V673" s="98">
        <f>'Supply planning data'!X671</f>
        <v>0</v>
      </c>
      <c r="W673" s="317">
        <f>'Supply planning data'!Y671</f>
        <v>0</v>
      </c>
      <c r="X673" s="328">
        <f>'Supply planning data'!Z671</f>
        <v>0</v>
      </c>
      <c r="Y673" s="98">
        <f>'Supply planning data'!AA671</f>
        <v>0</v>
      </c>
      <c r="Z673" s="98">
        <f>'Supply planning data'!AB671</f>
        <v>0</v>
      </c>
      <c r="AA673" s="98">
        <f>'Supply planning data'!AC671</f>
        <v>0</v>
      </c>
      <c r="AB673" s="98">
        <f>'Supply planning data'!AD671</f>
        <v>0</v>
      </c>
      <c r="AC673" s="98">
        <f>'Supply planning data'!AE671</f>
        <v>0</v>
      </c>
      <c r="AD673" s="325" t="str">
        <f>'Supply planning data'!AF671</f>
        <v/>
      </c>
      <c r="AE673" s="98">
        <f>'Supply planning data'!AG671</f>
        <v>0</v>
      </c>
      <c r="AF673" s="317">
        <f>'Supply planning data'!AH671</f>
        <v>0</v>
      </c>
      <c r="AG673" s="175">
        <f>'Supply planning data'!AI671</f>
        <v>0</v>
      </c>
      <c r="AH673" s="98">
        <f>'Supply planning data'!AJ671</f>
        <v>0</v>
      </c>
      <c r="AI673" s="98">
        <f>'Supply planning data'!AK671</f>
        <v>0</v>
      </c>
      <c r="AJ673" s="98">
        <f>'Supply planning data'!AL671</f>
        <v>0</v>
      </c>
      <c r="AK673" s="98">
        <f>'Supply planning data'!AM671</f>
        <v>0</v>
      </c>
      <c r="AL673" s="98">
        <f>'Supply planning data'!AN671</f>
        <v>0</v>
      </c>
      <c r="AM673" s="325" t="str">
        <f>'Supply planning data'!AO671</f>
        <v/>
      </c>
    </row>
    <row r="674" spans="1:39" hidden="1" x14ac:dyDescent="0.25">
      <c r="A674" s="90" t="str">
        <f>'Supply planning data'!C672</f>
        <v/>
      </c>
      <c r="B674" s="296">
        <f>'Supply planning data'!D672</f>
        <v>45536</v>
      </c>
      <c r="C674" s="92" t="str">
        <f>'Supply planning data'!E672</f>
        <v>No</v>
      </c>
      <c r="D674" s="92">
        <f>'Supply planning data'!F672</f>
        <v>0</v>
      </c>
      <c r="E674" s="316">
        <f>'Supply planning data'!G672</f>
        <v>0</v>
      </c>
      <c r="F674" s="317">
        <f>'Supply planning data'!H672</f>
        <v>0</v>
      </c>
      <c r="G674" s="317">
        <f>'Supply planning data'!I672</f>
        <v>0</v>
      </c>
      <c r="H674" s="98">
        <f>'Supply planning data'!J672</f>
        <v>0</v>
      </c>
      <c r="I674" s="317">
        <f>'Supply planning data'!K672</f>
        <v>0</v>
      </c>
      <c r="J674" s="175" t="str">
        <f>'Supply planning data'!L672</f>
        <v/>
      </c>
      <c r="K674" s="98">
        <f>'Supply planning data'!M672</f>
        <v>0</v>
      </c>
      <c r="L674" s="317">
        <f>'Supply planning data'!N672+'Supply planning data'!P672</f>
        <v>0</v>
      </c>
      <c r="M674" s="339">
        <f>'Supply planning data'!O672</f>
        <v>0</v>
      </c>
      <c r="N674" s="317">
        <f>'Supply planning data'!P672</f>
        <v>0</v>
      </c>
      <c r="O674" s="339">
        <f>'Supply planning data'!Q672</f>
        <v>0</v>
      </c>
      <c r="P674" s="98">
        <f>'Supply planning data'!R672</f>
        <v>0</v>
      </c>
      <c r="Q674" s="98">
        <f>'Supply planning data'!S672</f>
        <v>0</v>
      </c>
      <c r="R674" s="98">
        <f>'Supply planning data'!T672</f>
        <v>0</v>
      </c>
      <c r="S674" s="98">
        <f>'Supply planning data'!U672</f>
        <v>0</v>
      </c>
      <c r="T674" s="98">
        <f>'Supply planning data'!V672</f>
        <v>0</v>
      </c>
      <c r="U674" s="325" t="str">
        <f>'Supply planning data'!W672</f>
        <v/>
      </c>
      <c r="V674" s="98">
        <f>'Supply planning data'!X672</f>
        <v>0</v>
      </c>
      <c r="W674" s="317">
        <f>'Supply planning data'!Y672</f>
        <v>0</v>
      </c>
      <c r="X674" s="328">
        <f>'Supply planning data'!Z672</f>
        <v>0</v>
      </c>
      <c r="Y674" s="98">
        <f>'Supply planning data'!AA672</f>
        <v>0</v>
      </c>
      <c r="Z674" s="98">
        <f>'Supply planning data'!AB672</f>
        <v>0</v>
      </c>
      <c r="AA674" s="98">
        <f>'Supply planning data'!AC672</f>
        <v>0</v>
      </c>
      <c r="AB674" s="98">
        <f>'Supply planning data'!AD672</f>
        <v>0</v>
      </c>
      <c r="AC674" s="98">
        <f>'Supply planning data'!AE672</f>
        <v>0</v>
      </c>
      <c r="AD674" s="325" t="str">
        <f>'Supply planning data'!AF672</f>
        <v/>
      </c>
      <c r="AE674" s="98">
        <f>'Supply planning data'!AG672</f>
        <v>0</v>
      </c>
      <c r="AF674" s="317">
        <f>'Supply planning data'!AH672</f>
        <v>0</v>
      </c>
      <c r="AG674" s="175">
        <f>'Supply planning data'!AI672</f>
        <v>0</v>
      </c>
      <c r="AH674" s="98">
        <f>'Supply planning data'!AJ672</f>
        <v>0</v>
      </c>
      <c r="AI674" s="98">
        <f>'Supply planning data'!AK672</f>
        <v>0</v>
      </c>
      <c r="AJ674" s="98">
        <f>'Supply planning data'!AL672</f>
        <v>0</v>
      </c>
      <c r="AK674" s="98">
        <f>'Supply planning data'!AM672</f>
        <v>0</v>
      </c>
      <c r="AL674" s="98">
        <f>'Supply planning data'!AN672</f>
        <v>0</v>
      </c>
      <c r="AM674" s="325" t="str">
        <f>'Supply planning data'!AO672</f>
        <v/>
      </c>
    </row>
    <row r="675" spans="1:39" hidden="1" x14ac:dyDescent="0.25">
      <c r="A675" s="90" t="str">
        <f>'Supply planning data'!C673</f>
        <v/>
      </c>
      <c r="B675" s="296">
        <f>'Supply planning data'!D673</f>
        <v>45536</v>
      </c>
      <c r="C675" s="92" t="str">
        <f>'Supply planning data'!E673</f>
        <v>No</v>
      </c>
      <c r="D675" s="92">
        <f>'Supply planning data'!F673</f>
        <v>0</v>
      </c>
      <c r="E675" s="316">
        <f>'Supply planning data'!G673</f>
        <v>0</v>
      </c>
      <c r="F675" s="317">
        <f>'Supply planning data'!H673</f>
        <v>0</v>
      </c>
      <c r="G675" s="317">
        <f>'Supply planning data'!I673</f>
        <v>0</v>
      </c>
      <c r="H675" s="98">
        <f>'Supply planning data'!J673</f>
        <v>0</v>
      </c>
      <c r="I675" s="317">
        <f>'Supply planning data'!K673</f>
        <v>0</v>
      </c>
      <c r="J675" s="175" t="str">
        <f>'Supply planning data'!L673</f>
        <v/>
      </c>
      <c r="K675" s="98">
        <f>'Supply planning data'!M673</f>
        <v>0</v>
      </c>
      <c r="L675" s="317">
        <f>'Supply planning data'!N673+'Supply planning data'!P673</f>
        <v>0</v>
      </c>
      <c r="M675" s="339">
        <f>'Supply planning data'!O673</f>
        <v>0</v>
      </c>
      <c r="N675" s="317">
        <f>'Supply planning data'!P673</f>
        <v>0</v>
      </c>
      <c r="O675" s="339">
        <f>'Supply planning data'!Q673</f>
        <v>0</v>
      </c>
      <c r="P675" s="98">
        <f>'Supply planning data'!R673</f>
        <v>0</v>
      </c>
      <c r="Q675" s="98">
        <f>'Supply planning data'!S673</f>
        <v>0</v>
      </c>
      <c r="R675" s="98">
        <f>'Supply planning data'!T673</f>
        <v>0</v>
      </c>
      <c r="S675" s="98">
        <f>'Supply planning data'!U673</f>
        <v>0</v>
      </c>
      <c r="T675" s="98">
        <f>'Supply planning data'!V673</f>
        <v>0</v>
      </c>
      <c r="U675" s="325" t="str">
        <f>'Supply planning data'!W673</f>
        <v/>
      </c>
      <c r="V675" s="98">
        <f>'Supply planning data'!X673</f>
        <v>0</v>
      </c>
      <c r="W675" s="317">
        <f>'Supply planning data'!Y673</f>
        <v>0</v>
      </c>
      <c r="X675" s="328">
        <f>'Supply planning data'!Z673</f>
        <v>0</v>
      </c>
      <c r="Y675" s="98">
        <f>'Supply planning data'!AA673</f>
        <v>0</v>
      </c>
      <c r="Z675" s="98">
        <f>'Supply planning data'!AB673</f>
        <v>0</v>
      </c>
      <c r="AA675" s="98">
        <f>'Supply planning data'!AC673</f>
        <v>0</v>
      </c>
      <c r="AB675" s="98">
        <f>'Supply planning data'!AD673</f>
        <v>0</v>
      </c>
      <c r="AC675" s="98">
        <f>'Supply planning data'!AE673</f>
        <v>0</v>
      </c>
      <c r="AD675" s="325" t="str">
        <f>'Supply planning data'!AF673</f>
        <v/>
      </c>
      <c r="AE675" s="98">
        <f>'Supply planning data'!AG673</f>
        <v>0</v>
      </c>
      <c r="AF675" s="317">
        <f>'Supply planning data'!AH673</f>
        <v>0</v>
      </c>
      <c r="AG675" s="175">
        <f>'Supply planning data'!AI673</f>
        <v>0</v>
      </c>
      <c r="AH675" s="98">
        <f>'Supply planning data'!AJ673</f>
        <v>0</v>
      </c>
      <c r="AI675" s="98">
        <f>'Supply planning data'!AK673</f>
        <v>0</v>
      </c>
      <c r="AJ675" s="98">
        <f>'Supply planning data'!AL673</f>
        <v>0</v>
      </c>
      <c r="AK675" s="98">
        <f>'Supply planning data'!AM673</f>
        <v>0</v>
      </c>
      <c r="AL675" s="98">
        <f>'Supply planning data'!AN673</f>
        <v>0</v>
      </c>
      <c r="AM675" s="325" t="str">
        <f>'Supply planning data'!AO673</f>
        <v/>
      </c>
    </row>
    <row r="676" spans="1:39" hidden="1" x14ac:dyDescent="0.25">
      <c r="A676" s="90" t="str">
        <f>'Supply planning data'!C674</f>
        <v/>
      </c>
      <c r="B676" s="296">
        <f>'Supply planning data'!D674</f>
        <v>45536</v>
      </c>
      <c r="C676" s="92" t="str">
        <f>'Supply planning data'!E674</f>
        <v>No</v>
      </c>
      <c r="D676" s="92">
        <f>'Supply planning data'!F674</f>
        <v>0</v>
      </c>
      <c r="E676" s="316">
        <f>'Supply planning data'!G674</f>
        <v>0</v>
      </c>
      <c r="F676" s="317">
        <f>'Supply planning data'!H674</f>
        <v>0</v>
      </c>
      <c r="G676" s="317">
        <f>'Supply planning data'!I674</f>
        <v>0</v>
      </c>
      <c r="H676" s="98">
        <f>'Supply planning data'!J674</f>
        <v>0</v>
      </c>
      <c r="I676" s="317">
        <f>'Supply planning data'!K674</f>
        <v>0</v>
      </c>
      <c r="J676" s="175" t="str">
        <f>'Supply planning data'!L674</f>
        <v/>
      </c>
      <c r="K676" s="98">
        <f>'Supply planning data'!M674</f>
        <v>0</v>
      </c>
      <c r="L676" s="317">
        <f>'Supply planning data'!N674+'Supply planning data'!P674</f>
        <v>0</v>
      </c>
      <c r="M676" s="339">
        <f>'Supply planning data'!O674</f>
        <v>0</v>
      </c>
      <c r="N676" s="317">
        <f>'Supply planning data'!P674</f>
        <v>0</v>
      </c>
      <c r="O676" s="339">
        <f>'Supply planning data'!Q674</f>
        <v>0</v>
      </c>
      <c r="P676" s="98">
        <f>'Supply planning data'!R674</f>
        <v>0</v>
      </c>
      <c r="Q676" s="98">
        <f>'Supply planning data'!S674</f>
        <v>0</v>
      </c>
      <c r="R676" s="98">
        <f>'Supply planning data'!T674</f>
        <v>0</v>
      </c>
      <c r="S676" s="98">
        <f>'Supply planning data'!U674</f>
        <v>0</v>
      </c>
      <c r="T676" s="98">
        <f>'Supply planning data'!V674</f>
        <v>0</v>
      </c>
      <c r="U676" s="325" t="str">
        <f>'Supply planning data'!W674</f>
        <v/>
      </c>
      <c r="V676" s="98">
        <f>'Supply planning data'!X674</f>
        <v>0</v>
      </c>
      <c r="W676" s="317">
        <f>'Supply planning data'!Y674</f>
        <v>0</v>
      </c>
      <c r="X676" s="328">
        <f>'Supply planning data'!Z674</f>
        <v>0</v>
      </c>
      <c r="Y676" s="98">
        <f>'Supply planning data'!AA674</f>
        <v>0</v>
      </c>
      <c r="Z676" s="98">
        <f>'Supply planning data'!AB674</f>
        <v>0</v>
      </c>
      <c r="AA676" s="98">
        <f>'Supply planning data'!AC674</f>
        <v>0</v>
      </c>
      <c r="AB676" s="98">
        <f>'Supply planning data'!AD674</f>
        <v>0</v>
      </c>
      <c r="AC676" s="98">
        <f>'Supply planning data'!AE674</f>
        <v>0</v>
      </c>
      <c r="AD676" s="325" t="str">
        <f>'Supply planning data'!AF674</f>
        <v/>
      </c>
      <c r="AE676" s="98">
        <f>'Supply planning data'!AG674</f>
        <v>0</v>
      </c>
      <c r="AF676" s="317">
        <f>'Supply planning data'!AH674</f>
        <v>0</v>
      </c>
      <c r="AG676" s="175">
        <f>'Supply planning data'!AI674</f>
        <v>0</v>
      </c>
      <c r="AH676" s="98">
        <f>'Supply planning data'!AJ674</f>
        <v>0</v>
      </c>
      <c r="AI676" s="98">
        <f>'Supply planning data'!AK674</f>
        <v>0</v>
      </c>
      <c r="AJ676" s="98">
        <f>'Supply planning data'!AL674</f>
        <v>0</v>
      </c>
      <c r="AK676" s="98">
        <f>'Supply planning data'!AM674</f>
        <v>0</v>
      </c>
      <c r="AL676" s="98">
        <f>'Supply planning data'!AN674</f>
        <v>0</v>
      </c>
      <c r="AM676" s="325" t="str">
        <f>'Supply planning data'!AO674</f>
        <v/>
      </c>
    </row>
    <row r="677" spans="1:39" hidden="1" x14ac:dyDescent="0.25">
      <c r="A677" s="90" t="str">
        <f>'Supply planning data'!C675</f>
        <v/>
      </c>
      <c r="B677" s="296">
        <f>'Supply planning data'!D675</f>
        <v>45536</v>
      </c>
      <c r="C677" s="92" t="str">
        <f>'Supply planning data'!E675</f>
        <v>No</v>
      </c>
      <c r="D677" s="92">
        <f>'Supply planning data'!F675</f>
        <v>0</v>
      </c>
      <c r="E677" s="316">
        <f>'Supply planning data'!G675</f>
        <v>0</v>
      </c>
      <c r="F677" s="317">
        <f>'Supply planning data'!H675</f>
        <v>0</v>
      </c>
      <c r="G677" s="317">
        <f>'Supply planning data'!I675</f>
        <v>0</v>
      </c>
      <c r="H677" s="98">
        <f>'Supply planning data'!J675</f>
        <v>0</v>
      </c>
      <c r="I677" s="317">
        <f>'Supply planning data'!K675</f>
        <v>0</v>
      </c>
      <c r="J677" s="175" t="str">
        <f>'Supply planning data'!L675</f>
        <v/>
      </c>
      <c r="K677" s="98">
        <f>'Supply planning data'!M675</f>
        <v>0</v>
      </c>
      <c r="L677" s="317">
        <f>'Supply planning data'!N675+'Supply planning data'!P675</f>
        <v>0</v>
      </c>
      <c r="M677" s="339">
        <f>'Supply planning data'!O675</f>
        <v>0</v>
      </c>
      <c r="N677" s="317">
        <f>'Supply planning data'!P675</f>
        <v>0</v>
      </c>
      <c r="O677" s="339">
        <f>'Supply planning data'!Q675</f>
        <v>0</v>
      </c>
      <c r="P677" s="98">
        <f>'Supply planning data'!R675</f>
        <v>0</v>
      </c>
      <c r="Q677" s="98">
        <f>'Supply planning data'!S675</f>
        <v>0</v>
      </c>
      <c r="R677" s="98">
        <f>'Supply planning data'!T675</f>
        <v>0</v>
      </c>
      <c r="S677" s="98">
        <f>'Supply planning data'!U675</f>
        <v>0</v>
      </c>
      <c r="T677" s="98">
        <f>'Supply planning data'!V675</f>
        <v>0</v>
      </c>
      <c r="U677" s="325" t="str">
        <f>'Supply planning data'!W675</f>
        <v/>
      </c>
      <c r="V677" s="98">
        <f>'Supply planning data'!X675</f>
        <v>0</v>
      </c>
      <c r="W677" s="317">
        <f>'Supply planning data'!Y675</f>
        <v>0</v>
      </c>
      <c r="X677" s="328">
        <f>'Supply planning data'!Z675</f>
        <v>0</v>
      </c>
      <c r="Y677" s="98">
        <f>'Supply planning data'!AA675</f>
        <v>0</v>
      </c>
      <c r="Z677" s="98">
        <f>'Supply planning data'!AB675</f>
        <v>0</v>
      </c>
      <c r="AA677" s="98">
        <f>'Supply planning data'!AC675</f>
        <v>0</v>
      </c>
      <c r="AB677" s="98">
        <f>'Supply planning data'!AD675</f>
        <v>0</v>
      </c>
      <c r="AC677" s="98">
        <f>'Supply planning data'!AE675</f>
        <v>0</v>
      </c>
      <c r="AD677" s="325" t="str">
        <f>'Supply planning data'!AF675</f>
        <v/>
      </c>
      <c r="AE677" s="98">
        <f>'Supply planning data'!AG675</f>
        <v>0</v>
      </c>
      <c r="AF677" s="317">
        <f>'Supply planning data'!AH675</f>
        <v>0</v>
      </c>
      <c r="AG677" s="175">
        <f>'Supply planning data'!AI675</f>
        <v>0</v>
      </c>
      <c r="AH677" s="98">
        <f>'Supply planning data'!AJ675</f>
        <v>0</v>
      </c>
      <c r="AI677" s="98">
        <f>'Supply planning data'!AK675</f>
        <v>0</v>
      </c>
      <c r="AJ677" s="98">
        <f>'Supply planning data'!AL675</f>
        <v>0</v>
      </c>
      <c r="AK677" s="98">
        <f>'Supply planning data'!AM675</f>
        <v>0</v>
      </c>
      <c r="AL677" s="98">
        <f>'Supply planning data'!AN675</f>
        <v>0</v>
      </c>
      <c r="AM677" s="325" t="str">
        <f>'Supply planning data'!AO675</f>
        <v/>
      </c>
    </row>
    <row r="678" spans="1:39" hidden="1" x14ac:dyDescent="0.25">
      <c r="A678" s="90" t="str">
        <f>'Supply planning data'!C676</f>
        <v/>
      </c>
      <c r="B678" s="296">
        <f>'Supply planning data'!D676</f>
        <v>45536</v>
      </c>
      <c r="C678" s="92" t="str">
        <f>'Supply planning data'!E676</f>
        <v>No</v>
      </c>
      <c r="D678" s="92">
        <f>'Supply planning data'!F676</f>
        <v>0</v>
      </c>
      <c r="E678" s="316">
        <f>'Supply planning data'!G676</f>
        <v>0</v>
      </c>
      <c r="F678" s="317">
        <f>'Supply planning data'!H676</f>
        <v>0</v>
      </c>
      <c r="G678" s="317">
        <f>'Supply planning data'!I676</f>
        <v>0</v>
      </c>
      <c r="H678" s="98">
        <f>'Supply planning data'!J676</f>
        <v>0</v>
      </c>
      <c r="I678" s="317">
        <f>'Supply planning data'!K676</f>
        <v>0</v>
      </c>
      <c r="J678" s="175" t="str">
        <f>'Supply planning data'!L676</f>
        <v/>
      </c>
      <c r="K678" s="98">
        <f>'Supply planning data'!M676</f>
        <v>0</v>
      </c>
      <c r="L678" s="317">
        <f>'Supply planning data'!N676+'Supply planning data'!P676</f>
        <v>0</v>
      </c>
      <c r="M678" s="339">
        <f>'Supply planning data'!O676</f>
        <v>0</v>
      </c>
      <c r="N678" s="317">
        <f>'Supply planning data'!P676</f>
        <v>0</v>
      </c>
      <c r="O678" s="339">
        <f>'Supply planning data'!Q676</f>
        <v>0</v>
      </c>
      <c r="P678" s="98">
        <f>'Supply planning data'!R676</f>
        <v>0</v>
      </c>
      <c r="Q678" s="98">
        <f>'Supply planning data'!S676</f>
        <v>0</v>
      </c>
      <c r="R678" s="98">
        <f>'Supply planning data'!T676</f>
        <v>0</v>
      </c>
      <c r="S678" s="98">
        <f>'Supply planning data'!U676</f>
        <v>0</v>
      </c>
      <c r="T678" s="98">
        <f>'Supply planning data'!V676</f>
        <v>0</v>
      </c>
      <c r="U678" s="325" t="str">
        <f>'Supply planning data'!W676</f>
        <v/>
      </c>
      <c r="V678" s="98">
        <f>'Supply planning data'!X676</f>
        <v>0</v>
      </c>
      <c r="W678" s="317">
        <f>'Supply planning data'!Y676</f>
        <v>0</v>
      </c>
      <c r="X678" s="328">
        <f>'Supply planning data'!Z676</f>
        <v>0</v>
      </c>
      <c r="Y678" s="98">
        <f>'Supply planning data'!AA676</f>
        <v>0</v>
      </c>
      <c r="Z678" s="98">
        <f>'Supply planning data'!AB676</f>
        <v>0</v>
      </c>
      <c r="AA678" s="98">
        <f>'Supply planning data'!AC676</f>
        <v>0</v>
      </c>
      <c r="AB678" s="98">
        <f>'Supply planning data'!AD676</f>
        <v>0</v>
      </c>
      <c r="AC678" s="98">
        <f>'Supply planning data'!AE676</f>
        <v>0</v>
      </c>
      <c r="AD678" s="325" t="str">
        <f>'Supply planning data'!AF676</f>
        <v/>
      </c>
      <c r="AE678" s="98">
        <f>'Supply planning data'!AG676</f>
        <v>0</v>
      </c>
      <c r="AF678" s="317">
        <f>'Supply planning data'!AH676</f>
        <v>0</v>
      </c>
      <c r="AG678" s="175">
        <f>'Supply planning data'!AI676</f>
        <v>0</v>
      </c>
      <c r="AH678" s="98">
        <f>'Supply planning data'!AJ676</f>
        <v>0</v>
      </c>
      <c r="AI678" s="98">
        <f>'Supply planning data'!AK676</f>
        <v>0</v>
      </c>
      <c r="AJ678" s="98">
        <f>'Supply planning data'!AL676</f>
        <v>0</v>
      </c>
      <c r="AK678" s="98">
        <f>'Supply planning data'!AM676</f>
        <v>0</v>
      </c>
      <c r="AL678" s="98">
        <f>'Supply planning data'!AN676</f>
        <v>0</v>
      </c>
      <c r="AM678" s="325" t="str">
        <f>'Supply planning data'!AO676</f>
        <v/>
      </c>
    </row>
    <row r="679" spans="1:39" hidden="1" x14ac:dyDescent="0.25">
      <c r="A679" s="90" t="str">
        <f>'Supply planning data'!C677</f>
        <v/>
      </c>
      <c r="B679" s="296">
        <f>'Supply planning data'!D677</f>
        <v>45536</v>
      </c>
      <c r="C679" s="92" t="str">
        <f>'Supply planning data'!E677</f>
        <v>No</v>
      </c>
      <c r="D679" s="92">
        <f>'Supply planning data'!F677</f>
        <v>0</v>
      </c>
      <c r="E679" s="316">
        <f>'Supply planning data'!G677</f>
        <v>0</v>
      </c>
      <c r="F679" s="317">
        <f>'Supply planning data'!H677</f>
        <v>0</v>
      </c>
      <c r="G679" s="317">
        <f>'Supply planning data'!I677</f>
        <v>0</v>
      </c>
      <c r="H679" s="98">
        <f>'Supply planning data'!J677</f>
        <v>0</v>
      </c>
      <c r="I679" s="317">
        <f>'Supply planning data'!K677</f>
        <v>0</v>
      </c>
      <c r="J679" s="175" t="str">
        <f>'Supply planning data'!L677</f>
        <v/>
      </c>
      <c r="K679" s="98">
        <f>'Supply planning data'!M677</f>
        <v>0</v>
      </c>
      <c r="L679" s="317">
        <f>'Supply planning data'!N677+'Supply planning data'!P677</f>
        <v>0</v>
      </c>
      <c r="M679" s="339">
        <f>'Supply planning data'!O677</f>
        <v>0</v>
      </c>
      <c r="N679" s="317">
        <f>'Supply planning data'!P677</f>
        <v>0</v>
      </c>
      <c r="O679" s="339">
        <f>'Supply planning data'!Q677</f>
        <v>0</v>
      </c>
      <c r="P679" s="98">
        <f>'Supply planning data'!R677</f>
        <v>0</v>
      </c>
      <c r="Q679" s="98">
        <f>'Supply planning data'!S677</f>
        <v>0</v>
      </c>
      <c r="R679" s="98">
        <f>'Supply planning data'!T677</f>
        <v>0</v>
      </c>
      <c r="S679" s="98">
        <f>'Supply planning data'!U677</f>
        <v>0</v>
      </c>
      <c r="T679" s="98">
        <f>'Supply planning data'!V677</f>
        <v>0</v>
      </c>
      <c r="U679" s="325" t="str">
        <f>'Supply planning data'!W677</f>
        <v/>
      </c>
      <c r="V679" s="98">
        <f>'Supply planning data'!X677</f>
        <v>0</v>
      </c>
      <c r="W679" s="317">
        <f>'Supply planning data'!Y677</f>
        <v>0</v>
      </c>
      <c r="X679" s="328">
        <f>'Supply planning data'!Z677</f>
        <v>0</v>
      </c>
      <c r="Y679" s="98">
        <f>'Supply planning data'!AA677</f>
        <v>0</v>
      </c>
      <c r="Z679" s="98">
        <f>'Supply planning data'!AB677</f>
        <v>0</v>
      </c>
      <c r="AA679" s="98">
        <f>'Supply planning data'!AC677</f>
        <v>0</v>
      </c>
      <c r="AB679" s="98">
        <f>'Supply planning data'!AD677</f>
        <v>0</v>
      </c>
      <c r="AC679" s="98">
        <f>'Supply planning data'!AE677</f>
        <v>0</v>
      </c>
      <c r="AD679" s="325" t="str">
        <f>'Supply planning data'!AF677</f>
        <v/>
      </c>
      <c r="AE679" s="98">
        <f>'Supply planning data'!AG677</f>
        <v>0</v>
      </c>
      <c r="AF679" s="317">
        <f>'Supply planning data'!AH677</f>
        <v>0</v>
      </c>
      <c r="AG679" s="175">
        <f>'Supply planning data'!AI677</f>
        <v>0</v>
      </c>
      <c r="AH679" s="98">
        <f>'Supply planning data'!AJ677</f>
        <v>0</v>
      </c>
      <c r="AI679" s="98">
        <f>'Supply planning data'!AK677</f>
        <v>0</v>
      </c>
      <c r="AJ679" s="98">
        <f>'Supply planning data'!AL677</f>
        <v>0</v>
      </c>
      <c r="AK679" s="98">
        <f>'Supply planning data'!AM677</f>
        <v>0</v>
      </c>
      <c r="AL679" s="98">
        <f>'Supply planning data'!AN677</f>
        <v>0</v>
      </c>
      <c r="AM679" s="325" t="str">
        <f>'Supply planning data'!AO677</f>
        <v/>
      </c>
    </row>
    <row r="680" spans="1:39" hidden="1" x14ac:dyDescent="0.25">
      <c r="A680" s="90" t="str">
        <f>'Supply planning data'!C678</f>
        <v/>
      </c>
      <c r="B680" s="296">
        <f>'Supply planning data'!D678</f>
        <v>45536</v>
      </c>
      <c r="C680" s="92" t="str">
        <f>'Supply planning data'!E678</f>
        <v>No</v>
      </c>
      <c r="D680" s="92">
        <f>'Supply planning data'!F678</f>
        <v>0</v>
      </c>
      <c r="E680" s="316">
        <f>'Supply planning data'!G678</f>
        <v>0</v>
      </c>
      <c r="F680" s="317">
        <f>'Supply planning data'!H678</f>
        <v>0</v>
      </c>
      <c r="G680" s="317">
        <f>'Supply planning data'!I678</f>
        <v>0</v>
      </c>
      <c r="H680" s="98">
        <f>'Supply planning data'!J678</f>
        <v>0</v>
      </c>
      <c r="I680" s="317">
        <f>'Supply planning data'!K678</f>
        <v>0</v>
      </c>
      <c r="J680" s="175" t="str">
        <f>'Supply planning data'!L678</f>
        <v/>
      </c>
      <c r="K680" s="98">
        <f>'Supply planning data'!M678</f>
        <v>0</v>
      </c>
      <c r="L680" s="317">
        <f>'Supply planning data'!N678+'Supply planning data'!P678</f>
        <v>0</v>
      </c>
      <c r="M680" s="339">
        <f>'Supply planning data'!O678</f>
        <v>0</v>
      </c>
      <c r="N680" s="317">
        <f>'Supply planning data'!P678</f>
        <v>0</v>
      </c>
      <c r="O680" s="339">
        <f>'Supply planning data'!Q678</f>
        <v>0</v>
      </c>
      <c r="P680" s="98">
        <f>'Supply planning data'!R678</f>
        <v>0</v>
      </c>
      <c r="Q680" s="98">
        <f>'Supply planning data'!S678</f>
        <v>0</v>
      </c>
      <c r="R680" s="98">
        <f>'Supply planning data'!T678</f>
        <v>0</v>
      </c>
      <c r="S680" s="98">
        <f>'Supply planning data'!U678</f>
        <v>0</v>
      </c>
      <c r="T680" s="98">
        <f>'Supply planning data'!V678</f>
        <v>0</v>
      </c>
      <c r="U680" s="325" t="str">
        <f>'Supply planning data'!W678</f>
        <v/>
      </c>
      <c r="V680" s="98">
        <f>'Supply planning data'!X678</f>
        <v>0</v>
      </c>
      <c r="W680" s="317">
        <f>'Supply planning data'!Y678</f>
        <v>0</v>
      </c>
      <c r="X680" s="328">
        <f>'Supply planning data'!Z678</f>
        <v>0</v>
      </c>
      <c r="Y680" s="98">
        <f>'Supply planning data'!AA678</f>
        <v>0</v>
      </c>
      <c r="Z680" s="98">
        <f>'Supply planning data'!AB678</f>
        <v>0</v>
      </c>
      <c r="AA680" s="98">
        <f>'Supply planning data'!AC678</f>
        <v>0</v>
      </c>
      <c r="AB680" s="98">
        <f>'Supply planning data'!AD678</f>
        <v>0</v>
      </c>
      <c r="AC680" s="98">
        <f>'Supply planning data'!AE678</f>
        <v>0</v>
      </c>
      <c r="AD680" s="325" t="str">
        <f>'Supply planning data'!AF678</f>
        <v/>
      </c>
      <c r="AE680" s="98">
        <f>'Supply planning data'!AG678</f>
        <v>0</v>
      </c>
      <c r="AF680" s="317">
        <f>'Supply planning data'!AH678</f>
        <v>0</v>
      </c>
      <c r="AG680" s="175">
        <f>'Supply planning data'!AI678</f>
        <v>0</v>
      </c>
      <c r="AH680" s="98">
        <f>'Supply planning data'!AJ678</f>
        <v>0</v>
      </c>
      <c r="AI680" s="98">
        <f>'Supply planning data'!AK678</f>
        <v>0</v>
      </c>
      <c r="AJ680" s="98">
        <f>'Supply planning data'!AL678</f>
        <v>0</v>
      </c>
      <c r="AK680" s="98">
        <f>'Supply planning data'!AM678</f>
        <v>0</v>
      </c>
      <c r="AL680" s="98">
        <f>'Supply planning data'!AN678</f>
        <v>0</v>
      </c>
      <c r="AM680" s="325" t="str">
        <f>'Supply planning data'!AO678</f>
        <v/>
      </c>
    </row>
    <row r="681" spans="1:39" hidden="1" x14ac:dyDescent="0.25">
      <c r="A681" s="90" t="str">
        <f>'Supply planning data'!C679</f>
        <v/>
      </c>
      <c r="B681" s="296">
        <f>'Supply planning data'!D679</f>
        <v>45536</v>
      </c>
      <c r="C681" s="92" t="str">
        <f>'Supply planning data'!E679</f>
        <v>No</v>
      </c>
      <c r="D681" s="92">
        <f>'Supply planning data'!F679</f>
        <v>0</v>
      </c>
      <c r="E681" s="316">
        <f>'Supply planning data'!G679</f>
        <v>0</v>
      </c>
      <c r="F681" s="317">
        <f>'Supply planning data'!H679</f>
        <v>0</v>
      </c>
      <c r="G681" s="317">
        <f>'Supply planning data'!I679</f>
        <v>0</v>
      </c>
      <c r="H681" s="98">
        <f>'Supply planning data'!J679</f>
        <v>0</v>
      </c>
      <c r="I681" s="317">
        <f>'Supply planning data'!K679</f>
        <v>0</v>
      </c>
      <c r="J681" s="175" t="str">
        <f>'Supply planning data'!L679</f>
        <v/>
      </c>
      <c r="K681" s="98">
        <f>'Supply planning data'!M679</f>
        <v>0</v>
      </c>
      <c r="L681" s="317">
        <f>'Supply planning data'!N679+'Supply planning data'!P679</f>
        <v>0</v>
      </c>
      <c r="M681" s="339">
        <f>'Supply planning data'!O679</f>
        <v>0</v>
      </c>
      <c r="N681" s="317">
        <f>'Supply planning data'!P679</f>
        <v>0</v>
      </c>
      <c r="O681" s="339">
        <f>'Supply planning data'!Q679</f>
        <v>0</v>
      </c>
      <c r="P681" s="98">
        <f>'Supply planning data'!R679</f>
        <v>0</v>
      </c>
      <c r="Q681" s="98">
        <f>'Supply planning data'!S679</f>
        <v>0</v>
      </c>
      <c r="R681" s="98">
        <f>'Supply planning data'!T679</f>
        <v>0</v>
      </c>
      <c r="S681" s="98">
        <f>'Supply planning data'!U679</f>
        <v>0</v>
      </c>
      <c r="T681" s="98">
        <f>'Supply planning data'!V679</f>
        <v>0</v>
      </c>
      <c r="U681" s="325" t="str">
        <f>'Supply planning data'!W679</f>
        <v/>
      </c>
      <c r="V681" s="98">
        <f>'Supply planning data'!X679</f>
        <v>0</v>
      </c>
      <c r="W681" s="317">
        <f>'Supply planning data'!Y679</f>
        <v>0</v>
      </c>
      <c r="X681" s="328">
        <f>'Supply planning data'!Z679</f>
        <v>0</v>
      </c>
      <c r="Y681" s="98">
        <f>'Supply planning data'!AA679</f>
        <v>0</v>
      </c>
      <c r="Z681" s="98">
        <f>'Supply planning data'!AB679</f>
        <v>0</v>
      </c>
      <c r="AA681" s="98">
        <f>'Supply planning data'!AC679</f>
        <v>0</v>
      </c>
      <c r="AB681" s="98">
        <f>'Supply planning data'!AD679</f>
        <v>0</v>
      </c>
      <c r="AC681" s="98">
        <f>'Supply planning data'!AE679</f>
        <v>0</v>
      </c>
      <c r="AD681" s="325" t="str">
        <f>'Supply planning data'!AF679</f>
        <v/>
      </c>
      <c r="AE681" s="98">
        <f>'Supply planning data'!AG679</f>
        <v>0</v>
      </c>
      <c r="AF681" s="317">
        <f>'Supply planning data'!AH679</f>
        <v>0</v>
      </c>
      <c r="AG681" s="175">
        <f>'Supply planning data'!AI679</f>
        <v>0</v>
      </c>
      <c r="AH681" s="98">
        <f>'Supply planning data'!AJ679</f>
        <v>0</v>
      </c>
      <c r="AI681" s="98">
        <f>'Supply planning data'!AK679</f>
        <v>0</v>
      </c>
      <c r="AJ681" s="98">
        <f>'Supply planning data'!AL679</f>
        <v>0</v>
      </c>
      <c r="AK681" s="98">
        <f>'Supply planning data'!AM679</f>
        <v>0</v>
      </c>
      <c r="AL681" s="98">
        <f>'Supply planning data'!AN679</f>
        <v>0</v>
      </c>
      <c r="AM681" s="325" t="str">
        <f>'Supply planning data'!AO679</f>
        <v/>
      </c>
    </row>
    <row r="682" spans="1:39" x14ac:dyDescent="0.25">
      <c r="A682" s="104" t="str">
        <f>'Supply planning data'!C680</f>
        <v>AstraZeneca</v>
      </c>
      <c r="B682" s="298">
        <f>'Supply planning data'!D680</f>
        <v>45566</v>
      </c>
      <c r="C682" s="105" t="str">
        <f>'Supply planning data'!E680</f>
        <v>Yes</v>
      </c>
      <c r="D682" s="105">
        <f>'Supply planning data'!F680</f>
        <v>0</v>
      </c>
      <c r="E682" s="320">
        <f>'Supply planning data'!G680</f>
        <v>0</v>
      </c>
      <c r="F682" s="320">
        <f>'Supply planning data'!H680</f>
        <v>0</v>
      </c>
      <c r="G682" s="320">
        <f>'Supply planning data'!I680</f>
        <v>0</v>
      </c>
      <c r="H682" s="105">
        <f>'Supply planning data'!J680</f>
        <v>0</v>
      </c>
      <c r="I682" s="320">
        <f>'Supply planning data'!K680</f>
        <v>0</v>
      </c>
      <c r="J682" s="177" t="str">
        <f>'Supply planning data'!L680</f>
        <v/>
      </c>
      <c r="K682" s="105">
        <f>'Supply planning data'!M680</f>
        <v>0</v>
      </c>
      <c r="L682" s="320">
        <f>'Supply planning data'!N680+'Supply planning data'!P680</f>
        <v>0</v>
      </c>
      <c r="M682" s="341">
        <f>'Supply planning data'!O680</f>
        <v>0</v>
      </c>
      <c r="N682" s="320">
        <f>'Supply planning data'!P680</f>
        <v>0</v>
      </c>
      <c r="O682" s="341">
        <f>'Supply planning data'!Q680</f>
        <v>0</v>
      </c>
      <c r="P682" s="105">
        <f>'Supply planning data'!R680</f>
        <v>0</v>
      </c>
      <c r="Q682" s="105">
        <f>'Supply planning data'!S680</f>
        <v>0</v>
      </c>
      <c r="R682" s="105">
        <f>'Supply planning data'!T680</f>
        <v>0</v>
      </c>
      <c r="S682" s="105">
        <f>'Supply planning data'!U680</f>
        <v>0</v>
      </c>
      <c r="T682" s="105">
        <f>'Supply planning data'!V680</f>
        <v>0</v>
      </c>
      <c r="U682" s="326" t="str">
        <f>'Supply planning data'!W680</f>
        <v/>
      </c>
      <c r="V682" s="105">
        <f>'Supply planning data'!X680</f>
        <v>154701</v>
      </c>
      <c r="W682" s="320">
        <f>'Supply planning data'!Y680</f>
        <v>0</v>
      </c>
      <c r="X682" s="329">
        <f>'Supply planning data'!Z680</f>
        <v>0</v>
      </c>
      <c r="Y682" s="105">
        <f>'Supply planning data'!AA680</f>
        <v>0</v>
      </c>
      <c r="Z682" s="105">
        <f>'Supply planning data'!AB680</f>
        <v>0</v>
      </c>
      <c r="AA682" s="105">
        <f>'Supply planning data'!AC680</f>
        <v>0</v>
      </c>
      <c r="AB682" s="105">
        <f>'Supply planning data'!AD680</f>
        <v>0</v>
      </c>
      <c r="AC682" s="105">
        <f>'Supply planning data'!AE680</f>
        <v>154701</v>
      </c>
      <c r="AD682" s="326" t="str">
        <f>'Supply planning data'!AF680</f>
        <v/>
      </c>
      <c r="AE682" s="105">
        <f>'Supply planning data'!AG680</f>
        <v>0</v>
      </c>
      <c r="AF682" s="320">
        <f>'Supply planning data'!AH680</f>
        <v>0</v>
      </c>
      <c r="AG682" s="177">
        <f>'Supply planning data'!AI680</f>
        <v>0</v>
      </c>
      <c r="AH682" s="105">
        <f>'Supply planning data'!AJ680</f>
        <v>0</v>
      </c>
      <c r="AI682" s="105">
        <f>'Supply planning data'!AK680</f>
        <v>0</v>
      </c>
      <c r="AJ682" s="105">
        <f>'Supply planning data'!AL680</f>
        <v>0</v>
      </c>
      <c r="AK682" s="105">
        <f>'Supply planning data'!AM680</f>
        <v>0</v>
      </c>
      <c r="AL682" s="105">
        <f>'Supply planning data'!AN680</f>
        <v>0</v>
      </c>
      <c r="AM682" s="326" t="str">
        <f>'Supply planning data'!AO680</f>
        <v/>
      </c>
    </row>
    <row r="683" spans="1:39" x14ac:dyDescent="0.25">
      <c r="A683" s="109" t="str">
        <f>'Supply planning data'!C681</f>
        <v>Jansen</v>
      </c>
      <c r="B683" s="298">
        <f>'Supply planning data'!D681</f>
        <v>45566</v>
      </c>
      <c r="C683" s="105" t="str">
        <f>'Supply planning data'!E681</f>
        <v>Yes</v>
      </c>
      <c r="D683" s="105">
        <f>'Supply planning data'!F681</f>
        <v>1871200</v>
      </c>
      <c r="E683" s="320">
        <f>'Supply planning data'!G681</f>
        <v>0</v>
      </c>
      <c r="F683" s="320">
        <f>'Supply planning data'!H681</f>
        <v>0</v>
      </c>
      <c r="G683" s="320">
        <f>'Supply planning data'!I681</f>
        <v>0</v>
      </c>
      <c r="H683" s="105">
        <f>'Supply planning data'!J681</f>
        <v>0</v>
      </c>
      <c r="I683" s="320">
        <f>'Supply planning data'!K681</f>
        <v>0</v>
      </c>
      <c r="J683" s="177" t="str">
        <f>'Supply planning data'!L681</f>
        <v/>
      </c>
      <c r="K683" s="105">
        <f>'Supply planning data'!M681</f>
        <v>0</v>
      </c>
      <c r="L683" s="321">
        <f>'Supply planning data'!N681+'Supply planning data'!P681</f>
        <v>0</v>
      </c>
      <c r="M683" s="342">
        <f>'Supply planning data'!O681</f>
        <v>0</v>
      </c>
      <c r="N683" s="321">
        <f>'Supply planning data'!P681</f>
        <v>0</v>
      </c>
      <c r="O683" s="342">
        <f>'Supply planning data'!Q681</f>
        <v>0</v>
      </c>
      <c r="P683" s="111">
        <f>'Supply planning data'!R681</f>
        <v>0</v>
      </c>
      <c r="Q683" s="111">
        <f>'Supply planning data'!S681</f>
        <v>0</v>
      </c>
      <c r="R683" s="111">
        <f>'Supply planning data'!T681</f>
        <v>387547</v>
      </c>
      <c r="S683" s="111">
        <f>'Supply planning data'!U681</f>
        <v>0</v>
      </c>
      <c r="T683" s="111">
        <f>'Supply planning data'!V681</f>
        <v>1871200</v>
      </c>
      <c r="U683" s="327" t="str">
        <f>'Supply planning data'!W681</f>
        <v/>
      </c>
      <c r="V683" s="111">
        <f>'Supply planning data'!X681</f>
        <v>1311200</v>
      </c>
      <c r="W683" s="321">
        <f>'Supply planning data'!Y681</f>
        <v>0</v>
      </c>
      <c r="X683" s="329">
        <f>'Supply planning data'!Z681</f>
        <v>0</v>
      </c>
      <c r="Y683" s="111">
        <f>'Supply planning data'!AA681</f>
        <v>0</v>
      </c>
      <c r="Z683" s="111">
        <f>'Supply planning data'!AB681</f>
        <v>0</v>
      </c>
      <c r="AA683" s="111">
        <f>'Supply planning data'!AC681</f>
        <v>0</v>
      </c>
      <c r="AB683" s="111">
        <f>'Supply planning data'!AD681</f>
        <v>0</v>
      </c>
      <c r="AC683" s="111">
        <f>'Supply planning data'!AE681</f>
        <v>1311200</v>
      </c>
      <c r="AD683" s="327" t="str">
        <f>'Supply planning data'!AF681</f>
        <v/>
      </c>
      <c r="AE683" s="111">
        <f>'Supply planning data'!AG681</f>
        <v>1871200</v>
      </c>
      <c r="AF683" s="321">
        <f>'Supply planning data'!AH681</f>
        <v>0</v>
      </c>
      <c r="AG683" s="349">
        <f>'Supply planning data'!AI681</f>
        <v>0</v>
      </c>
      <c r="AH683" s="111">
        <f>'Supply planning data'!AJ681</f>
        <v>0</v>
      </c>
      <c r="AI683" s="111">
        <f>'Supply planning data'!AK681</f>
        <v>0</v>
      </c>
      <c r="AJ683" s="111">
        <f>'Supply planning data'!AL681</f>
        <v>387547</v>
      </c>
      <c r="AK683" s="111">
        <f>'Supply planning data'!AM681</f>
        <v>0</v>
      </c>
      <c r="AL683" s="111">
        <f>'Supply planning data'!AN681</f>
        <v>1871200</v>
      </c>
      <c r="AM683" s="327" t="str">
        <f>'Supply planning data'!AO681</f>
        <v/>
      </c>
    </row>
    <row r="684" spans="1:39" x14ac:dyDescent="0.25">
      <c r="A684" s="104" t="str">
        <f>'Supply planning data'!C682</f>
        <v>Moderna</v>
      </c>
      <c r="B684" s="298">
        <f>'Supply planning data'!D682</f>
        <v>45566</v>
      </c>
      <c r="C684" s="105" t="str">
        <f>'Supply planning data'!E682</f>
        <v>No</v>
      </c>
      <c r="D684" s="105">
        <f>'Supply planning data'!F682</f>
        <v>0</v>
      </c>
      <c r="E684" s="320">
        <f>'Supply planning data'!G682</f>
        <v>0</v>
      </c>
      <c r="F684" s="320">
        <f>'Supply planning data'!H682</f>
        <v>0</v>
      </c>
      <c r="G684" s="320">
        <f>'Supply planning data'!I682</f>
        <v>0</v>
      </c>
      <c r="H684" s="105">
        <f>'Supply planning data'!J682</f>
        <v>0</v>
      </c>
      <c r="I684" s="320">
        <f>'Supply planning data'!K682</f>
        <v>0</v>
      </c>
      <c r="J684" s="177" t="str">
        <f>'Supply planning data'!L682</f>
        <v/>
      </c>
      <c r="K684" s="105">
        <f>'Supply planning data'!M682</f>
        <v>0</v>
      </c>
      <c r="L684" s="321">
        <f>'Supply planning data'!N682+'Supply planning data'!P682</f>
        <v>0</v>
      </c>
      <c r="M684" s="342">
        <f>'Supply planning data'!O682</f>
        <v>0</v>
      </c>
      <c r="N684" s="321">
        <f>'Supply planning data'!P682</f>
        <v>0</v>
      </c>
      <c r="O684" s="342">
        <f>'Supply planning data'!Q682</f>
        <v>0</v>
      </c>
      <c r="P684" s="111">
        <f>'Supply planning data'!R682</f>
        <v>0</v>
      </c>
      <c r="Q684" s="111">
        <f>'Supply planning data'!S682</f>
        <v>0</v>
      </c>
      <c r="R684" s="111">
        <f>'Supply planning data'!T682</f>
        <v>0</v>
      </c>
      <c r="S684" s="111">
        <f>'Supply planning data'!U682</f>
        <v>0</v>
      </c>
      <c r="T684" s="111">
        <f>'Supply planning data'!V682</f>
        <v>0</v>
      </c>
      <c r="U684" s="327" t="str">
        <f>'Supply planning data'!W682</f>
        <v/>
      </c>
      <c r="V684" s="111">
        <f>'Supply planning data'!X682</f>
        <v>0</v>
      </c>
      <c r="W684" s="321">
        <f>'Supply planning data'!Y682</f>
        <v>0</v>
      </c>
      <c r="X684" s="329">
        <f>'Supply planning data'!Z682</f>
        <v>0</v>
      </c>
      <c r="Y684" s="111">
        <f>'Supply planning data'!AA682</f>
        <v>0</v>
      </c>
      <c r="Z684" s="111">
        <f>'Supply planning data'!AB682</f>
        <v>0</v>
      </c>
      <c r="AA684" s="111">
        <f>'Supply planning data'!AC682</f>
        <v>0</v>
      </c>
      <c r="AB684" s="111">
        <f>'Supply planning data'!AD682</f>
        <v>0</v>
      </c>
      <c r="AC684" s="111">
        <f>'Supply planning data'!AE682</f>
        <v>0</v>
      </c>
      <c r="AD684" s="327" t="str">
        <f>'Supply planning data'!AF682</f>
        <v/>
      </c>
      <c r="AE684" s="111">
        <f>'Supply planning data'!AG682</f>
        <v>0</v>
      </c>
      <c r="AF684" s="321">
        <f>'Supply planning data'!AH682</f>
        <v>0</v>
      </c>
      <c r="AG684" s="349">
        <f>'Supply planning data'!AI682</f>
        <v>0</v>
      </c>
      <c r="AH684" s="111">
        <f>'Supply planning data'!AJ682</f>
        <v>0</v>
      </c>
      <c r="AI684" s="111">
        <f>'Supply planning data'!AK682</f>
        <v>0</v>
      </c>
      <c r="AJ684" s="111">
        <f>'Supply planning data'!AL682</f>
        <v>0</v>
      </c>
      <c r="AK684" s="111">
        <f>'Supply planning data'!AM682</f>
        <v>0</v>
      </c>
      <c r="AL684" s="111">
        <f>'Supply planning data'!AN682</f>
        <v>0</v>
      </c>
      <c r="AM684" s="327" t="str">
        <f>'Supply planning data'!AO682</f>
        <v/>
      </c>
    </row>
    <row r="685" spans="1:39" x14ac:dyDescent="0.25">
      <c r="A685" s="109" t="str">
        <f>'Supply planning data'!C683</f>
        <v>Pfizer</v>
      </c>
      <c r="B685" s="298">
        <f>'Supply planning data'!D683</f>
        <v>45566</v>
      </c>
      <c r="C685" s="105" t="str">
        <f>'Supply planning data'!E683</f>
        <v>Yes</v>
      </c>
      <c r="D685" s="105">
        <f>'Supply planning data'!F683</f>
        <v>3000000</v>
      </c>
      <c r="E685" s="320">
        <f>'Supply planning data'!G683</f>
        <v>0</v>
      </c>
      <c r="F685" s="320">
        <f>'Supply planning data'!H683</f>
        <v>0</v>
      </c>
      <c r="G685" s="320">
        <f>'Supply planning data'!I683</f>
        <v>0</v>
      </c>
      <c r="H685" s="105">
        <f>'Supply planning data'!J683</f>
        <v>0</v>
      </c>
      <c r="I685" s="320">
        <f>'Supply planning data'!K683</f>
        <v>0</v>
      </c>
      <c r="J685" s="177" t="str">
        <f>'Supply planning data'!L683</f>
        <v/>
      </c>
      <c r="K685" s="105">
        <f>'Supply planning data'!M683</f>
        <v>0</v>
      </c>
      <c r="L685" s="321">
        <f>'Supply planning data'!N683+'Supply planning data'!P683</f>
        <v>0</v>
      </c>
      <c r="M685" s="342">
        <f>'Supply planning data'!O683</f>
        <v>0</v>
      </c>
      <c r="N685" s="321">
        <f>'Supply planning data'!P683</f>
        <v>0</v>
      </c>
      <c r="O685" s="342">
        <f>'Supply planning data'!Q683</f>
        <v>0</v>
      </c>
      <c r="P685" s="111">
        <f>'Supply planning data'!R683</f>
        <v>0</v>
      </c>
      <c r="Q685" s="111">
        <f>'Supply planning data'!S683</f>
        <v>0</v>
      </c>
      <c r="R685" s="111">
        <f>'Supply planning data'!T683</f>
        <v>110538</v>
      </c>
      <c r="S685" s="111">
        <f>'Supply planning data'!U683</f>
        <v>0</v>
      </c>
      <c r="T685" s="111">
        <f>'Supply planning data'!V683</f>
        <v>3000000</v>
      </c>
      <c r="U685" s="327" t="str">
        <f>'Supply planning data'!W683</f>
        <v/>
      </c>
      <c r="V685" s="111">
        <f>'Supply planning data'!X683</f>
        <v>2440000</v>
      </c>
      <c r="W685" s="321">
        <f>'Supply planning data'!Y683</f>
        <v>0</v>
      </c>
      <c r="X685" s="329">
        <f>'Supply planning data'!Z683</f>
        <v>0</v>
      </c>
      <c r="Y685" s="111">
        <f>'Supply planning data'!AA683</f>
        <v>0</v>
      </c>
      <c r="Z685" s="111">
        <f>'Supply planning data'!AB683</f>
        <v>0</v>
      </c>
      <c r="AA685" s="111">
        <f>'Supply planning data'!AC683</f>
        <v>0</v>
      </c>
      <c r="AB685" s="111">
        <f>'Supply planning data'!AD683</f>
        <v>0</v>
      </c>
      <c r="AC685" s="111">
        <f>'Supply planning data'!AE683</f>
        <v>2440000</v>
      </c>
      <c r="AD685" s="327" t="str">
        <f>'Supply planning data'!AF683</f>
        <v/>
      </c>
      <c r="AE685" s="111">
        <f>'Supply planning data'!AG683</f>
        <v>3000000</v>
      </c>
      <c r="AF685" s="321">
        <f>'Supply planning data'!AH683</f>
        <v>0</v>
      </c>
      <c r="AG685" s="349">
        <f>'Supply planning data'!AI683</f>
        <v>0</v>
      </c>
      <c r="AH685" s="111">
        <f>'Supply planning data'!AJ683</f>
        <v>0</v>
      </c>
      <c r="AI685" s="111">
        <f>'Supply planning data'!AK683</f>
        <v>0</v>
      </c>
      <c r="AJ685" s="111">
        <f>'Supply planning data'!AL683</f>
        <v>110538</v>
      </c>
      <c r="AK685" s="111">
        <f>'Supply planning data'!AM683</f>
        <v>0</v>
      </c>
      <c r="AL685" s="111">
        <f>'Supply planning data'!AN683</f>
        <v>3000000</v>
      </c>
      <c r="AM685" s="327" t="str">
        <f>'Supply planning data'!AO683</f>
        <v/>
      </c>
    </row>
    <row r="686" spans="1:39" x14ac:dyDescent="0.25">
      <c r="A686" s="104" t="str">
        <f>'Supply planning data'!C684</f>
        <v>Sinovac</v>
      </c>
      <c r="B686" s="298">
        <f>'Supply planning data'!D684</f>
        <v>45566</v>
      </c>
      <c r="C686" s="105" t="str">
        <f>'Supply planning data'!E684</f>
        <v>No</v>
      </c>
      <c r="D686" s="105">
        <f>'Supply planning data'!F684</f>
        <v>0</v>
      </c>
      <c r="E686" s="320">
        <f>'Supply planning data'!G684</f>
        <v>0</v>
      </c>
      <c r="F686" s="320">
        <f>'Supply planning data'!H684</f>
        <v>0</v>
      </c>
      <c r="G686" s="320">
        <f>'Supply planning data'!I684</f>
        <v>0</v>
      </c>
      <c r="H686" s="105">
        <f>'Supply planning data'!J684</f>
        <v>0</v>
      </c>
      <c r="I686" s="320">
        <f>'Supply planning data'!K684</f>
        <v>0</v>
      </c>
      <c r="J686" s="177" t="str">
        <f>'Supply planning data'!L684</f>
        <v/>
      </c>
      <c r="K686" s="105">
        <f>'Supply planning data'!M684</f>
        <v>0</v>
      </c>
      <c r="L686" s="321">
        <f>'Supply planning data'!N684+'Supply planning data'!P684</f>
        <v>0</v>
      </c>
      <c r="M686" s="342">
        <f>'Supply planning data'!O684</f>
        <v>0</v>
      </c>
      <c r="N686" s="321">
        <f>'Supply planning data'!P684</f>
        <v>0</v>
      </c>
      <c r="O686" s="342">
        <f>'Supply planning data'!Q684</f>
        <v>0</v>
      </c>
      <c r="P686" s="111">
        <f>'Supply planning data'!R684</f>
        <v>0</v>
      </c>
      <c r="Q686" s="111">
        <f>'Supply planning data'!S684</f>
        <v>0</v>
      </c>
      <c r="R686" s="111">
        <f>'Supply planning data'!T684</f>
        <v>0</v>
      </c>
      <c r="S686" s="111">
        <f>'Supply planning data'!U684</f>
        <v>0</v>
      </c>
      <c r="T686" s="111">
        <f>'Supply planning data'!V684</f>
        <v>0</v>
      </c>
      <c r="U686" s="327" t="str">
        <f>'Supply planning data'!W684</f>
        <v/>
      </c>
      <c r="V686" s="111">
        <f>'Supply planning data'!X684</f>
        <v>0</v>
      </c>
      <c r="W686" s="321">
        <f>'Supply planning data'!Y684</f>
        <v>0</v>
      </c>
      <c r="X686" s="329">
        <f>'Supply planning data'!Z684</f>
        <v>0</v>
      </c>
      <c r="Y686" s="111">
        <f>'Supply planning data'!AA684</f>
        <v>0</v>
      </c>
      <c r="Z686" s="111">
        <f>'Supply planning data'!AB684</f>
        <v>0</v>
      </c>
      <c r="AA686" s="111">
        <f>'Supply planning data'!AC684</f>
        <v>0</v>
      </c>
      <c r="AB686" s="111">
        <f>'Supply planning data'!AD684</f>
        <v>0</v>
      </c>
      <c r="AC686" s="111">
        <f>'Supply planning data'!AE684</f>
        <v>0</v>
      </c>
      <c r="AD686" s="327" t="str">
        <f>'Supply planning data'!AF684</f>
        <v/>
      </c>
      <c r="AE686" s="111">
        <f>'Supply planning data'!AG684</f>
        <v>0</v>
      </c>
      <c r="AF686" s="321">
        <f>'Supply planning data'!AH684</f>
        <v>0</v>
      </c>
      <c r="AG686" s="349">
        <f>'Supply planning data'!AI684</f>
        <v>0</v>
      </c>
      <c r="AH686" s="111">
        <f>'Supply planning data'!AJ684</f>
        <v>0</v>
      </c>
      <c r="AI686" s="111">
        <f>'Supply planning data'!AK684</f>
        <v>0</v>
      </c>
      <c r="AJ686" s="111">
        <f>'Supply planning data'!AL684</f>
        <v>0</v>
      </c>
      <c r="AK686" s="111">
        <f>'Supply planning data'!AM684</f>
        <v>0</v>
      </c>
      <c r="AL686" s="111">
        <f>'Supply planning data'!AN684</f>
        <v>0</v>
      </c>
      <c r="AM686" s="327" t="str">
        <f>'Supply planning data'!AO684</f>
        <v/>
      </c>
    </row>
    <row r="687" spans="1:39" hidden="1" x14ac:dyDescent="0.25">
      <c r="A687" s="109" t="str">
        <f>'Supply planning data'!C685</f>
        <v/>
      </c>
      <c r="B687" s="298">
        <f>'Supply planning data'!D685</f>
        <v>45566</v>
      </c>
      <c r="C687" s="105" t="str">
        <f>'Supply planning data'!E685</f>
        <v>No</v>
      </c>
      <c r="D687" s="105">
        <f>'Supply planning data'!F685</f>
        <v>0</v>
      </c>
      <c r="E687" s="320">
        <f>'Supply planning data'!G685</f>
        <v>0</v>
      </c>
      <c r="F687" s="320">
        <f>'Supply planning data'!H685</f>
        <v>0</v>
      </c>
      <c r="G687" s="320">
        <f>'Supply planning data'!I685</f>
        <v>0</v>
      </c>
      <c r="H687" s="105">
        <f>'Supply planning data'!J685</f>
        <v>0</v>
      </c>
      <c r="I687" s="320">
        <f>'Supply planning data'!K685</f>
        <v>0</v>
      </c>
      <c r="J687" s="177" t="str">
        <f>'Supply planning data'!L685</f>
        <v/>
      </c>
      <c r="K687" s="105">
        <f>'Supply planning data'!M685</f>
        <v>0</v>
      </c>
      <c r="L687" s="321">
        <f>'Supply planning data'!N685+'Supply planning data'!P685</f>
        <v>0</v>
      </c>
      <c r="M687" s="342">
        <f>'Supply planning data'!O685</f>
        <v>0</v>
      </c>
      <c r="N687" s="321">
        <f>'Supply planning data'!P685</f>
        <v>0</v>
      </c>
      <c r="O687" s="342">
        <f>'Supply planning data'!Q685</f>
        <v>0</v>
      </c>
      <c r="P687" s="111">
        <f>'Supply planning data'!R685</f>
        <v>0</v>
      </c>
      <c r="Q687" s="111">
        <f>'Supply planning data'!S685</f>
        <v>0</v>
      </c>
      <c r="R687" s="111">
        <f>'Supply planning data'!T685</f>
        <v>0</v>
      </c>
      <c r="S687" s="111">
        <f>'Supply planning data'!U685</f>
        <v>0</v>
      </c>
      <c r="T687" s="111">
        <f>'Supply planning data'!V685</f>
        <v>0</v>
      </c>
      <c r="U687" s="327" t="str">
        <f>'Supply planning data'!W685</f>
        <v/>
      </c>
      <c r="V687" s="111">
        <f>'Supply planning data'!X685</f>
        <v>0</v>
      </c>
      <c r="W687" s="321">
        <f>'Supply planning data'!Y685</f>
        <v>0</v>
      </c>
      <c r="X687" s="329">
        <f>'Supply planning data'!Z685</f>
        <v>0</v>
      </c>
      <c r="Y687" s="111">
        <f>'Supply planning data'!AA685</f>
        <v>0</v>
      </c>
      <c r="Z687" s="111">
        <f>'Supply planning data'!AB685</f>
        <v>0</v>
      </c>
      <c r="AA687" s="111">
        <f>'Supply planning data'!AC685</f>
        <v>0</v>
      </c>
      <c r="AB687" s="111">
        <f>'Supply planning data'!AD685</f>
        <v>0</v>
      </c>
      <c r="AC687" s="111">
        <f>'Supply planning data'!AE685</f>
        <v>0</v>
      </c>
      <c r="AD687" s="327" t="str">
        <f>'Supply planning data'!AF685</f>
        <v/>
      </c>
      <c r="AE687" s="111">
        <f>'Supply planning data'!AG685</f>
        <v>0</v>
      </c>
      <c r="AF687" s="321">
        <f>'Supply planning data'!AH685</f>
        <v>0</v>
      </c>
      <c r="AG687" s="349">
        <f>'Supply planning data'!AI685</f>
        <v>0</v>
      </c>
      <c r="AH687" s="111">
        <f>'Supply planning data'!AJ685</f>
        <v>0</v>
      </c>
      <c r="AI687" s="111">
        <f>'Supply planning data'!AK685</f>
        <v>0</v>
      </c>
      <c r="AJ687" s="111">
        <f>'Supply planning data'!AL685</f>
        <v>0</v>
      </c>
      <c r="AK687" s="111">
        <f>'Supply planning data'!AM685</f>
        <v>0</v>
      </c>
      <c r="AL687" s="111">
        <f>'Supply planning data'!AN685</f>
        <v>0</v>
      </c>
      <c r="AM687" s="327" t="str">
        <f>'Supply planning data'!AO685</f>
        <v/>
      </c>
    </row>
    <row r="688" spans="1:39" hidden="1" x14ac:dyDescent="0.25">
      <c r="A688" s="104" t="str">
        <f>'Supply planning data'!C686</f>
        <v/>
      </c>
      <c r="B688" s="298">
        <f>'Supply planning data'!D686</f>
        <v>45566</v>
      </c>
      <c r="C688" s="105" t="str">
        <f>'Supply planning data'!E686</f>
        <v>No</v>
      </c>
      <c r="D688" s="105">
        <f>'Supply planning data'!F686</f>
        <v>0</v>
      </c>
      <c r="E688" s="320">
        <f>'Supply planning data'!G686</f>
        <v>0</v>
      </c>
      <c r="F688" s="320">
        <f>'Supply planning data'!H686</f>
        <v>0</v>
      </c>
      <c r="G688" s="320">
        <f>'Supply planning data'!I686</f>
        <v>0</v>
      </c>
      <c r="H688" s="105">
        <f>'Supply planning data'!J686</f>
        <v>0</v>
      </c>
      <c r="I688" s="320">
        <f>'Supply planning data'!K686</f>
        <v>0</v>
      </c>
      <c r="J688" s="177" t="str">
        <f>'Supply planning data'!L686</f>
        <v/>
      </c>
      <c r="K688" s="105">
        <f>'Supply planning data'!M686</f>
        <v>0</v>
      </c>
      <c r="L688" s="321">
        <f>'Supply planning data'!N686+'Supply planning data'!P686</f>
        <v>0</v>
      </c>
      <c r="M688" s="342">
        <f>'Supply planning data'!O686</f>
        <v>0</v>
      </c>
      <c r="N688" s="321">
        <f>'Supply planning data'!P686</f>
        <v>0</v>
      </c>
      <c r="O688" s="342">
        <f>'Supply planning data'!Q686</f>
        <v>0</v>
      </c>
      <c r="P688" s="111">
        <f>'Supply planning data'!R686</f>
        <v>0</v>
      </c>
      <c r="Q688" s="111">
        <f>'Supply planning data'!S686</f>
        <v>0</v>
      </c>
      <c r="R688" s="111">
        <f>'Supply planning data'!T686</f>
        <v>0</v>
      </c>
      <c r="S688" s="111">
        <f>'Supply planning data'!U686</f>
        <v>0</v>
      </c>
      <c r="T688" s="111">
        <f>'Supply planning data'!V686</f>
        <v>0</v>
      </c>
      <c r="U688" s="327" t="str">
        <f>'Supply planning data'!W686</f>
        <v/>
      </c>
      <c r="V688" s="111">
        <f>'Supply planning data'!X686</f>
        <v>0</v>
      </c>
      <c r="W688" s="321">
        <f>'Supply planning data'!Y686</f>
        <v>0</v>
      </c>
      <c r="X688" s="329">
        <f>'Supply planning data'!Z686</f>
        <v>0</v>
      </c>
      <c r="Y688" s="111">
        <f>'Supply planning data'!AA686</f>
        <v>0</v>
      </c>
      <c r="Z688" s="111">
        <f>'Supply planning data'!AB686</f>
        <v>0</v>
      </c>
      <c r="AA688" s="111">
        <f>'Supply planning data'!AC686</f>
        <v>0</v>
      </c>
      <c r="AB688" s="111">
        <f>'Supply planning data'!AD686</f>
        <v>0</v>
      </c>
      <c r="AC688" s="111">
        <f>'Supply planning data'!AE686</f>
        <v>0</v>
      </c>
      <c r="AD688" s="327" t="str">
        <f>'Supply planning data'!AF686</f>
        <v/>
      </c>
      <c r="AE688" s="111">
        <f>'Supply planning data'!AG686</f>
        <v>0</v>
      </c>
      <c r="AF688" s="321">
        <f>'Supply planning data'!AH686</f>
        <v>0</v>
      </c>
      <c r="AG688" s="349">
        <f>'Supply planning data'!AI686</f>
        <v>0</v>
      </c>
      <c r="AH688" s="111">
        <f>'Supply planning data'!AJ686</f>
        <v>0</v>
      </c>
      <c r="AI688" s="111">
        <f>'Supply planning data'!AK686</f>
        <v>0</v>
      </c>
      <c r="AJ688" s="111">
        <f>'Supply planning data'!AL686</f>
        <v>0</v>
      </c>
      <c r="AK688" s="111">
        <f>'Supply planning data'!AM686</f>
        <v>0</v>
      </c>
      <c r="AL688" s="111">
        <f>'Supply planning data'!AN686</f>
        <v>0</v>
      </c>
      <c r="AM688" s="327" t="str">
        <f>'Supply planning data'!AO686</f>
        <v/>
      </c>
    </row>
    <row r="689" spans="1:39" hidden="1" x14ac:dyDescent="0.25">
      <c r="A689" s="109" t="str">
        <f>'Supply planning data'!C687</f>
        <v/>
      </c>
      <c r="B689" s="298">
        <f>'Supply planning data'!D687</f>
        <v>45566</v>
      </c>
      <c r="C689" s="105" t="str">
        <f>'Supply planning data'!E687</f>
        <v>No</v>
      </c>
      <c r="D689" s="105">
        <f>'Supply planning data'!F687</f>
        <v>0</v>
      </c>
      <c r="E689" s="320">
        <f>'Supply planning data'!G687</f>
        <v>0</v>
      </c>
      <c r="F689" s="320">
        <f>'Supply planning data'!H687</f>
        <v>0</v>
      </c>
      <c r="G689" s="320">
        <f>'Supply planning data'!I687</f>
        <v>0</v>
      </c>
      <c r="H689" s="105">
        <f>'Supply planning data'!J687</f>
        <v>0</v>
      </c>
      <c r="I689" s="320">
        <f>'Supply planning data'!K687</f>
        <v>0</v>
      </c>
      <c r="J689" s="177" t="str">
        <f>'Supply planning data'!L687</f>
        <v/>
      </c>
      <c r="K689" s="105">
        <f>'Supply planning data'!M687</f>
        <v>0</v>
      </c>
      <c r="L689" s="321">
        <f>'Supply planning data'!N687+'Supply planning data'!P687</f>
        <v>0</v>
      </c>
      <c r="M689" s="342">
        <f>'Supply planning data'!O687</f>
        <v>0</v>
      </c>
      <c r="N689" s="321">
        <f>'Supply planning data'!P687</f>
        <v>0</v>
      </c>
      <c r="O689" s="342">
        <f>'Supply planning data'!Q687</f>
        <v>0</v>
      </c>
      <c r="P689" s="111">
        <f>'Supply planning data'!R687</f>
        <v>0</v>
      </c>
      <c r="Q689" s="111">
        <f>'Supply planning data'!S687</f>
        <v>0</v>
      </c>
      <c r="R689" s="111">
        <f>'Supply planning data'!T687</f>
        <v>0</v>
      </c>
      <c r="S689" s="111">
        <f>'Supply planning data'!U687</f>
        <v>0</v>
      </c>
      <c r="T689" s="111">
        <f>'Supply planning data'!V687</f>
        <v>0</v>
      </c>
      <c r="U689" s="327" t="str">
        <f>'Supply planning data'!W687</f>
        <v/>
      </c>
      <c r="V689" s="111">
        <f>'Supply planning data'!X687</f>
        <v>0</v>
      </c>
      <c r="W689" s="321">
        <f>'Supply planning data'!Y687</f>
        <v>0</v>
      </c>
      <c r="X689" s="329">
        <f>'Supply planning data'!Z687</f>
        <v>0</v>
      </c>
      <c r="Y689" s="111">
        <f>'Supply planning data'!AA687</f>
        <v>0</v>
      </c>
      <c r="Z689" s="111">
        <f>'Supply planning data'!AB687</f>
        <v>0</v>
      </c>
      <c r="AA689" s="111">
        <f>'Supply planning data'!AC687</f>
        <v>0</v>
      </c>
      <c r="AB689" s="111">
        <f>'Supply planning data'!AD687</f>
        <v>0</v>
      </c>
      <c r="AC689" s="111">
        <f>'Supply planning data'!AE687</f>
        <v>0</v>
      </c>
      <c r="AD689" s="327" t="str">
        <f>'Supply planning data'!AF687</f>
        <v/>
      </c>
      <c r="AE689" s="111">
        <f>'Supply planning data'!AG687</f>
        <v>0</v>
      </c>
      <c r="AF689" s="321">
        <f>'Supply planning data'!AH687</f>
        <v>0</v>
      </c>
      <c r="AG689" s="349">
        <f>'Supply planning data'!AI687</f>
        <v>0</v>
      </c>
      <c r="AH689" s="111">
        <f>'Supply planning data'!AJ687</f>
        <v>0</v>
      </c>
      <c r="AI689" s="111">
        <f>'Supply planning data'!AK687</f>
        <v>0</v>
      </c>
      <c r="AJ689" s="111">
        <f>'Supply planning data'!AL687</f>
        <v>0</v>
      </c>
      <c r="AK689" s="111">
        <f>'Supply planning data'!AM687</f>
        <v>0</v>
      </c>
      <c r="AL689" s="111">
        <f>'Supply planning data'!AN687</f>
        <v>0</v>
      </c>
      <c r="AM689" s="327" t="str">
        <f>'Supply planning data'!AO687</f>
        <v/>
      </c>
    </row>
    <row r="690" spans="1:39" hidden="1" x14ac:dyDescent="0.25">
      <c r="A690" s="104" t="str">
        <f>'Supply planning data'!C688</f>
        <v/>
      </c>
      <c r="B690" s="298">
        <f>'Supply planning data'!D688</f>
        <v>45566</v>
      </c>
      <c r="C690" s="105" t="str">
        <f>'Supply planning data'!E688</f>
        <v>No</v>
      </c>
      <c r="D690" s="105">
        <f>'Supply planning data'!F688</f>
        <v>0</v>
      </c>
      <c r="E690" s="320">
        <f>'Supply planning data'!G688</f>
        <v>0</v>
      </c>
      <c r="F690" s="320">
        <f>'Supply planning data'!H688</f>
        <v>0</v>
      </c>
      <c r="G690" s="320">
        <f>'Supply planning data'!I688</f>
        <v>0</v>
      </c>
      <c r="H690" s="105">
        <f>'Supply planning data'!J688</f>
        <v>0</v>
      </c>
      <c r="I690" s="320">
        <f>'Supply planning data'!K688</f>
        <v>0</v>
      </c>
      <c r="J690" s="177" t="str">
        <f>'Supply planning data'!L688</f>
        <v/>
      </c>
      <c r="K690" s="105">
        <f>'Supply planning data'!M688</f>
        <v>0</v>
      </c>
      <c r="L690" s="321">
        <f>'Supply planning data'!N688+'Supply planning data'!P688</f>
        <v>0</v>
      </c>
      <c r="M690" s="342">
        <f>'Supply planning data'!O688</f>
        <v>0</v>
      </c>
      <c r="N690" s="321">
        <f>'Supply planning data'!P688</f>
        <v>0</v>
      </c>
      <c r="O690" s="342">
        <f>'Supply planning data'!Q688</f>
        <v>0</v>
      </c>
      <c r="P690" s="111">
        <f>'Supply planning data'!R688</f>
        <v>0</v>
      </c>
      <c r="Q690" s="111">
        <f>'Supply planning data'!S688</f>
        <v>0</v>
      </c>
      <c r="R690" s="111">
        <f>'Supply planning data'!T688</f>
        <v>0</v>
      </c>
      <c r="S690" s="111">
        <f>'Supply planning data'!U688</f>
        <v>0</v>
      </c>
      <c r="T690" s="111">
        <f>'Supply planning data'!V688</f>
        <v>0</v>
      </c>
      <c r="U690" s="327" t="str">
        <f>'Supply planning data'!W688</f>
        <v/>
      </c>
      <c r="V690" s="111">
        <f>'Supply planning data'!X688</f>
        <v>0</v>
      </c>
      <c r="W690" s="321">
        <f>'Supply planning data'!Y688</f>
        <v>0</v>
      </c>
      <c r="X690" s="329">
        <f>'Supply planning data'!Z688</f>
        <v>0</v>
      </c>
      <c r="Y690" s="111">
        <f>'Supply planning data'!AA688</f>
        <v>0</v>
      </c>
      <c r="Z690" s="111">
        <f>'Supply planning data'!AB688</f>
        <v>0</v>
      </c>
      <c r="AA690" s="111">
        <f>'Supply planning data'!AC688</f>
        <v>0</v>
      </c>
      <c r="AB690" s="111">
        <f>'Supply planning data'!AD688</f>
        <v>0</v>
      </c>
      <c r="AC690" s="111">
        <f>'Supply planning data'!AE688</f>
        <v>0</v>
      </c>
      <c r="AD690" s="327" t="str">
        <f>'Supply planning data'!AF688</f>
        <v/>
      </c>
      <c r="AE690" s="111">
        <f>'Supply planning data'!AG688</f>
        <v>0</v>
      </c>
      <c r="AF690" s="321">
        <f>'Supply planning data'!AH688</f>
        <v>0</v>
      </c>
      <c r="AG690" s="349">
        <f>'Supply planning data'!AI688</f>
        <v>0</v>
      </c>
      <c r="AH690" s="111">
        <f>'Supply planning data'!AJ688</f>
        <v>0</v>
      </c>
      <c r="AI690" s="111">
        <f>'Supply planning data'!AK688</f>
        <v>0</v>
      </c>
      <c r="AJ690" s="111">
        <f>'Supply planning data'!AL688</f>
        <v>0</v>
      </c>
      <c r="AK690" s="111">
        <f>'Supply planning data'!AM688</f>
        <v>0</v>
      </c>
      <c r="AL690" s="111">
        <f>'Supply planning data'!AN688</f>
        <v>0</v>
      </c>
      <c r="AM690" s="327" t="str">
        <f>'Supply planning data'!AO688</f>
        <v/>
      </c>
    </row>
    <row r="691" spans="1:39" hidden="1" x14ac:dyDescent="0.25">
      <c r="A691" s="109" t="str">
        <f>'Supply planning data'!C689</f>
        <v/>
      </c>
      <c r="B691" s="298">
        <f>'Supply planning data'!D689</f>
        <v>45566</v>
      </c>
      <c r="C691" s="105" t="str">
        <f>'Supply planning data'!E689</f>
        <v>No</v>
      </c>
      <c r="D691" s="105">
        <f>'Supply planning data'!F689</f>
        <v>0</v>
      </c>
      <c r="E691" s="320">
        <f>'Supply planning data'!G689</f>
        <v>0</v>
      </c>
      <c r="F691" s="320">
        <f>'Supply planning data'!H689</f>
        <v>0</v>
      </c>
      <c r="G691" s="320">
        <f>'Supply planning data'!I689</f>
        <v>0</v>
      </c>
      <c r="H691" s="105">
        <f>'Supply planning data'!J689</f>
        <v>0</v>
      </c>
      <c r="I691" s="320">
        <f>'Supply planning data'!K689</f>
        <v>0</v>
      </c>
      <c r="J691" s="177" t="str">
        <f>'Supply planning data'!L689</f>
        <v/>
      </c>
      <c r="K691" s="105">
        <f>'Supply planning data'!M689</f>
        <v>0</v>
      </c>
      <c r="L691" s="321">
        <f>'Supply planning data'!N689+'Supply planning data'!P689</f>
        <v>0</v>
      </c>
      <c r="M691" s="342">
        <f>'Supply planning data'!O689</f>
        <v>0</v>
      </c>
      <c r="N691" s="321">
        <f>'Supply planning data'!P689</f>
        <v>0</v>
      </c>
      <c r="O691" s="342">
        <f>'Supply planning data'!Q689</f>
        <v>0</v>
      </c>
      <c r="P691" s="111">
        <f>'Supply planning data'!R689</f>
        <v>0</v>
      </c>
      <c r="Q691" s="111">
        <f>'Supply planning data'!S689</f>
        <v>0</v>
      </c>
      <c r="R691" s="111">
        <f>'Supply planning data'!T689</f>
        <v>0</v>
      </c>
      <c r="S691" s="111">
        <f>'Supply planning data'!U689</f>
        <v>0</v>
      </c>
      <c r="T691" s="111">
        <f>'Supply planning data'!V689</f>
        <v>0</v>
      </c>
      <c r="U691" s="327" t="str">
        <f>'Supply planning data'!W689</f>
        <v/>
      </c>
      <c r="V691" s="111">
        <f>'Supply planning data'!X689</f>
        <v>0</v>
      </c>
      <c r="W691" s="321">
        <f>'Supply planning data'!Y689</f>
        <v>0</v>
      </c>
      <c r="X691" s="329">
        <f>'Supply planning data'!Z689</f>
        <v>0</v>
      </c>
      <c r="Y691" s="111">
        <f>'Supply planning data'!AA689</f>
        <v>0</v>
      </c>
      <c r="Z691" s="111">
        <f>'Supply planning data'!AB689</f>
        <v>0</v>
      </c>
      <c r="AA691" s="111">
        <f>'Supply planning data'!AC689</f>
        <v>0</v>
      </c>
      <c r="AB691" s="111">
        <f>'Supply planning data'!AD689</f>
        <v>0</v>
      </c>
      <c r="AC691" s="111">
        <f>'Supply planning data'!AE689</f>
        <v>0</v>
      </c>
      <c r="AD691" s="327" t="str">
        <f>'Supply planning data'!AF689</f>
        <v/>
      </c>
      <c r="AE691" s="111">
        <f>'Supply planning data'!AG689</f>
        <v>0</v>
      </c>
      <c r="AF691" s="321">
        <f>'Supply planning data'!AH689</f>
        <v>0</v>
      </c>
      <c r="AG691" s="349">
        <f>'Supply planning data'!AI689</f>
        <v>0</v>
      </c>
      <c r="AH691" s="111">
        <f>'Supply planning data'!AJ689</f>
        <v>0</v>
      </c>
      <c r="AI691" s="111">
        <f>'Supply planning data'!AK689</f>
        <v>0</v>
      </c>
      <c r="AJ691" s="111">
        <f>'Supply planning data'!AL689</f>
        <v>0</v>
      </c>
      <c r="AK691" s="111">
        <f>'Supply planning data'!AM689</f>
        <v>0</v>
      </c>
      <c r="AL691" s="111">
        <f>'Supply planning data'!AN689</f>
        <v>0</v>
      </c>
      <c r="AM691" s="327" t="str">
        <f>'Supply planning data'!AO689</f>
        <v/>
      </c>
    </row>
    <row r="692" spans="1:39" hidden="1" x14ac:dyDescent="0.25">
      <c r="A692" s="104" t="str">
        <f>'Supply planning data'!C690</f>
        <v/>
      </c>
      <c r="B692" s="298">
        <f>'Supply planning data'!D690</f>
        <v>45566</v>
      </c>
      <c r="C692" s="105" t="str">
        <f>'Supply planning data'!E690</f>
        <v>No</v>
      </c>
      <c r="D692" s="105">
        <f>'Supply planning data'!F690</f>
        <v>0</v>
      </c>
      <c r="E692" s="320">
        <f>'Supply planning data'!G690</f>
        <v>0</v>
      </c>
      <c r="F692" s="320">
        <f>'Supply planning data'!H690</f>
        <v>0</v>
      </c>
      <c r="G692" s="320">
        <f>'Supply planning data'!I690</f>
        <v>0</v>
      </c>
      <c r="H692" s="105">
        <f>'Supply planning data'!J690</f>
        <v>0</v>
      </c>
      <c r="I692" s="320">
        <f>'Supply planning data'!K690</f>
        <v>0</v>
      </c>
      <c r="J692" s="177" t="str">
        <f>'Supply planning data'!L690</f>
        <v/>
      </c>
      <c r="K692" s="105">
        <f>'Supply planning data'!M690</f>
        <v>0</v>
      </c>
      <c r="L692" s="321">
        <f>'Supply planning data'!N690+'Supply planning data'!P690</f>
        <v>0</v>
      </c>
      <c r="M692" s="342">
        <f>'Supply planning data'!O690</f>
        <v>0</v>
      </c>
      <c r="N692" s="321">
        <f>'Supply planning data'!P690</f>
        <v>0</v>
      </c>
      <c r="O692" s="342">
        <f>'Supply planning data'!Q690</f>
        <v>0</v>
      </c>
      <c r="P692" s="111">
        <f>'Supply planning data'!R690</f>
        <v>0</v>
      </c>
      <c r="Q692" s="111">
        <f>'Supply planning data'!S690</f>
        <v>0</v>
      </c>
      <c r="R692" s="111">
        <f>'Supply planning data'!T690</f>
        <v>0</v>
      </c>
      <c r="S692" s="111">
        <f>'Supply planning data'!U690</f>
        <v>0</v>
      </c>
      <c r="T692" s="111">
        <f>'Supply planning data'!V690</f>
        <v>0</v>
      </c>
      <c r="U692" s="327" t="str">
        <f>'Supply planning data'!W690</f>
        <v/>
      </c>
      <c r="V692" s="111">
        <f>'Supply planning data'!X690</f>
        <v>0</v>
      </c>
      <c r="W692" s="321">
        <f>'Supply planning data'!Y690</f>
        <v>0</v>
      </c>
      <c r="X692" s="329">
        <f>'Supply planning data'!Z690</f>
        <v>0</v>
      </c>
      <c r="Y692" s="111">
        <f>'Supply planning data'!AA690</f>
        <v>0</v>
      </c>
      <c r="Z692" s="111">
        <f>'Supply planning data'!AB690</f>
        <v>0</v>
      </c>
      <c r="AA692" s="111">
        <f>'Supply planning data'!AC690</f>
        <v>0</v>
      </c>
      <c r="AB692" s="111">
        <f>'Supply planning data'!AD690</f>
        <v>0</v>
      </c>
      <c r="AC692" s="111">
        <f>'Supply planning data'!AE690</f>
        <v>0</v>
      </c>
      <c r="AD692" s="327" t="str">
        <f>'Supply planning data'!AF690</f>
        <v/>
      </c>
      <c r="AE692" s="111">
        <f>'Supply planning data'!AG690</f>
        <v>0</v>
      </c>
      <c r="AF692" s="321">
        <f>'Supply planning data'!AH690</f>
        <v>0</v>
      </c>
      <c r="AG692" s="349">
        <f>'Supply planning data'!AI690</f>
        <v>0</v>
      </c>
      <c r="AH692" s="111">
        <f>'Supply planning data'!AJ690</f>
        <v>0</v>
      </c>
      <c r="AI692" s="111">
        <f>'Supply planning data'!AK690</f>
        <v>0</v>
      </c>
      <c r="AJ692" s="111">
        <f>'Supply planning data'!AL690</f>
        <v>0</v>
      </c>
      <c r="AK692" s="111">
        <f>'Supply planning data'!AM690</f>
        <v>0</v>
      </c>
      <c r="AL692" s="111">
        <f>'Supply planning data'!AN690</f>
        <v>0</v>
      </c>
      <c r="AM692" s="327" t="str">
        <f>'Supply planning data'!AO690</f>
        <v/>
      </c>
    </row>
    <row r="693" spans="1:39" hidden="1" x14ac:dyDescent="0.25">
      <c r="A693" s="109" t="str">
        <f>'Supply planning data'!C691</f>
        <v/>
      </c>
      <c r="B693" s="298">
        <f>'Supply planning data'!D691</f>
        <v>45566</v>
      </c>
      <c r="C693" s="105" t="str">
        <f>'Supply planning data'!E691</f>
        <v>No</v>
      </c>
      <c r="D693" s="105">
        <f>'Supply planning data'!F691</f>
        <v>0</v>
      </c>
      <c r="E693" s="320">
        <f>'Supply planning data'!G691</f>
        <v>0</v>
      </c>
      <c r="F693" s="320">
        <f>'Supply planning data'!H691</f>
        <v>0</v>
      </c>
      <c r="G693" s="320">
        <f>'Supply planning data'!I691</f>
        <v>0</v>
      </c>
      <c r="H693" s="105">
        <f>'Supply planning data'!J691</f>
        <v>0</v>
      </c>
      <c r="I693" s="320">
        <f>'Supply planning data'!K691</f>
        <v>0</v>
      </c>
      <c r="J693" s="177" t="str">
        <f>'Supply planning data'!L691</f>
        <v/>
      </c>
      <c r="K693" s="105">
        <f>'Supply planning data'!M691</f>
        <v>0</v>
      </c>
      <c r="L693" s="321">
        <f>'Supply planning data'!N691+'Supply planning data'!P691</f>
        <v>0</v>
      </c>
      <c r="M693" s="342">
        <f>'Supply planning data'!O691</f>
        <v>0</v>
      </c>
      <c r="N693" s="321">
        <f>'Supply planning data'!P691</f>
        <v>0</v>
      </c>
      <c r="O693" s="342">
        <f>'Supply planning data'!Q691</f>
        <v>0</v>
      </c>
      <c r="P693" s="111">
        <f>'Supply planning data'!R691</f>
        <v>0</v>
      </c>
      <c r="Q693" s="111">
        <f>'Supply planning data'!S691</f>
        <v>0</v>
      </c>
      <c r="R693" s="111">
        <f>'Supply planning data'!T691</f>
        <v>0</v>
      </c>
      <c r="S693" s="111">
        <f>'Supply planning data'!U691</f>
        <v>0</v>
      </c>
      <c r="T693" s="111">
        <f>'Supply planning data'!V691</f>
        <v>0</v>
      </c>
      <c r="U693" s="327" t="str">
        <f>'Supply planning data'!W691</f>
        <v/>
      </c>
      <c r="V693" s="111">
        <f>'Supply planning data'!X691</f>
        <v>0</v>
      </c>
      <c r="W693" s="321">
        <f>'Supply planning data'!Y691</f>
        <v>0</v>
      </c>
      <c r="X693" s="329">
        <f>'Supply planning data'!Z691</f>
        <v>0</v>
      </c>
      <c r="Y693" s="111">
        <f>'Supply planning data'!AA691</f>
        <v>0</v>
      </c>
      <c r="Z693" s="111">
        <f>'Supply planning data'!AB691</f>
        <v>0</v>
      </c>
      <c r="AA693" s="111">
        <f>'Supply planning data'!AC691</f>
        <v>0</v>
      </c>
      <c r="AB693" s="111">
        <f>'Supply planning data'!AD691</f>
        <v>0</v>
      </c>
      <c r="AC693" s="111">
        <f>'Supply planning data'!AE691</f>
        <v>0</v>
      </c>
      <c r="AD693" s="327" t="str">
        <f>'Supply planning data'!AF691</f>
        <v/>
      </c>
      <c r="AE693" s="111">
        <f>'Supply planning data'!AG691</f>
        <v>0</v>
      </c>
      <c r="AF693" s="321">
        <f>'Supply planning data'!AH691</f>
        <v>0</v>
      </c>
      <c r="AG693" s="349">
        <f>'Supply planning data'!AI691</f>
        <v>0</v>
      </c>
      <c r="AH693" s="111">
        <f>'Supply planning data'!AJ691</f>
        <v>0</v>
      </c>
      <c r="AI693" s="111">
        <f>'Supply planning data'!AK691</f>
        <v>0</v>
      </c>
      <c r="AJ693" s="111">
        <f>'Supply planning data'!AL691</f>
        <v>0</v>
      </c>
      <c r="AK693" s="111">
        <f>'Supply planning data'!AM691</f>
        <v>0</v>
      </c>
      <c r="AL693" s="111">
        <f>'Supply planning data'!AN691</f>
        <v>0</v>
      </c>
      <c r="AM693" s="327" t="str">
        <f>'Supply planning data'!AO691</f>
        <v/>
      </c>
    </row>
    <row r="694" spans="1:39" hidden="1" x14ac:dyDescent="0.25">
      <c r="A694" s="104" t="str">
        <f>'Supply planning data'!C692</f>
        <v/>
      </c>
      <c r="B694" s="298">
        <f>'Supply planning data'!D692</f>
        <v>45566</v>
      </c>
      <c r="C694" s="105" t="str">
        <f>'Supply planning data'!E692</f>
        <v>No</v>
      </c>
      <c r="D694" s="105">
        <f>'Supply planning data'!F692</f>
        <v>0</v>
      </c>
      <c r="E694" s="320">
        <f>'Supply planning data'!G692</f>
        <v>0</v>
      </c>
      <c r="F694" s="320">
        <f>'Supply planning data'!H692</f>
        <v>0</v>
      </c>
      <c r="G694" s="320">
        <f>'Supply planning data'!I692</f>
        <v>0</v>
      </c>
      <c r="H694" s="105">
        <f>'Supply planning data'!J692</f>
        <v>0</v>
      </c>
      <c r="I694" s="320">
        <f>'Supply planning data'!K692</f>
        <v>0</v>
      </c>
      <c r="J694" s="177" t="str">
        <f>'Supply planning data'!L692</f>
        <v/>
      </c>
      <c r="K694" s="105">
        <f>'Supply planning data'!M692</f>
        <v>0</v>
      </c>
      <c r="L694" s="321">
        <f>'Supply planning data'!N692+'Supply planning data'!P692</f>
        <v>0</v>
      </c>
      <c r="M694" s="342">
        <f>'Supply planning data'!O692</f>
        <v>0</v>
      </c>
      <c r="N694" s="321">
        <f>'Supply planning data'!P692</f>
        <v>0</v>
      </c>
      <c r="O694" s="342">
        <f>'Supply planning data'!Q692</f>
        <v>0</v>
      </c>
      <c r="P694" s="111">
        <f>'Supply planning data'!R692</f>
        <v>0</v>
      </c>
      <c r="Q694" s="111">
        <f>'Supply planning data'!S692</f>
        <v>0</v>
      </c>
      <c r="R694" s="111">
        <f>'Supply planning data'!T692</f>
        <v>0</v>
      </c>
      <c r="S694" s="111">
        <f>'Supply planning data'!U692</f>
        <v>0</v>
      </c>
      <c r="T694" s="111">
        <f>'Supply planning data'!V692</f>
        <v>0</v>
      </c>
      <c r="U694" s="327" t="str">
        <f>'Supply planning data'!W692</f>
        <v/>
      </c>
      <c r="V694" s="111">
        <f>'Supply planning data'!X692</f>
        <v>0</v>
      </c>
      <c r="W694" s="321">
        <f>'Supply planning data'!Y692</f>
        <v>0</v>
      </c>
      <c r="X694" s="329">
        <f>'Supply planning data'!Z692</f>
        <v>0</v>
      </c>
      <c r="Y694" s="111">
        <f>'Supply planning data'!AA692</f>
        <v>0</v>
      </c>
      <c r="Z694" s="111">
        <f>'Supply planning data'!AB692</f>
        <v>0</v>
      </c>
      <c r="AA694" s="111">
        <f>'Supply planning data'!AC692</f>
        <v>0</v>
      </c>
      <c r="AB694" s="111">
        <f>'Supply planning data'!AD692</f>
        <v>0</v>
      </c>
      <c r="AC694" s="111">
        <f>'Supply planning data'!AE692</f>
        <v>0</v>
      </c>
      <c r="AD694" s="327" t="str">
        <f>'Supply planning data'!AF692</f>
        <v/>
      </c>
      <c r="AE694" s="111">
        <f>'Supply planning data'!AG692</f>
        <v>0</v>
      </c>
      <c r="AF694" s="321">
        <f>'Supply planning data'!AH692</f>
        <v>0</v>
      </c>
      <c r="AG694" s="349">
        <f>'Supply planning data'!AI692</f>
        <v>0</v>
      </c>
      <c r="AH694" s="111">
        <f>'Supply planning data'!AJ692</f>
        <v>0</v>
      </c>
      <c r="AI694" s="111">
        <f>'Supply planning data'!AK692</f>
        <v>0</v>
      </c>
      <c r="AJ694" s="111">
        <f>'Supply planning data'!AL692</f>
        <v>0</v>
      </c>
      <c r="AK694" s="111">
        <f>'Supply planning data'!AM692</f>
        <v>0</v>
      </c>
      <c r="AL694" s="111">
        <f>'Supply planning data'!AN692</f>
        <v>0</v>
      </c>
      <c r="AM694" s="327" t="str">
        <f>'Supply planning data'!AO692</f>
        <v/>
      </c>
    </row>
    <row r="695" spans="1:39" hidden="1" x14ac:dyDescent="0.25">
      <c r="A695" s="109" t="str">
        <f>'Supply planning data'!C693</f>
        <v/>
      </c>
      <c r="B695" s="298">
        <f>'Supply planning data'!D693</f>
        <v>45566</v>
      </c>
      <c r="C695" s="105" t="str">
        <f>'Supply planning data'!E693</f>
        <v>No</v>
      </c>
      <c r="D695" s="105">
        <f>'Supply planning data'!F693</f>
        <v>0</v>
      </c>
      <c r="E695" s="320">
        <f>'Supply planning data'!G693</f>
        <v>0</v>
      </c>
      <c r="F695" s="320">
        <f>'Supply planning data'!H693</f>
        <v>0</v>
      </c>
      <c r="G695" s="320">
        <f>'Supply planning data'!I693</f>
        <v>0</v>
      </c>
      <c r="H695" s="105">
        <f>'Supply planning data'!J693</f>
        <v>0</v>
      </c>
      <c r="I695" s="320">
        <f>'Supply planning data'!K693</f>
        <v>0</v>
      </c>
      <c r="J695" s="177" t="str">
        <f>'Supply planning data'!L693</f>
        <v/>
      </c>
      <c r="K695" s="105">
        <f>'Supply planning data'!M693</f>
        <v>0</v>
      </c>
      <c r="L695" s="321">
        <f>'Supply planning data'!N693+'Supply planning data'!P693</f>
        <v>0</v>
      </c>
      <c r="M695" s="342">
        <f>'Supply planning data'!O693</f>
        <v>0</v>
      </c>
      <c r="N695" s="321">
        <f>'Supply planning data'!P693</f>
        <v>0</v>
      </c>
      <c r="O695" s="342">
        <f>'Supply planning data'!Q693</f>
        <v>0</v>
      </c>
      <c r="P695" s="111">
        <f>'Supply planning data'!R693</f>
        <v>0</v>
      </c>
      <c r="Q695" s="111">
        <f>'Supply planning data'!S693</f>
        <v>0</v>
      </c>
      <c r="R695" s="111">
        <f>'Supply planning data'!T693</f>
        <v>0</v>
      </c>
      <c r="S695" s="111">
        <f>'Supply planning data'!U693</f>
        <v>0</v>
      </c>
      <c r="T695" s="111">
        <f>'Supply planning data'!V693</f>
        <v>0</v>
      </c>
      <c r="U695" s="327" t="str">
        <f>'Supply planning data'!W693</f>
        <v/>
      </c>
      <c r="V695" s="111">
        <f>'Supply planning data'!X693</f>
        <v>0</v>
      </c>
      <c r="W695" s="321">
        <f>'Supply planning data'!Y693</f>
        <v>0</v>
      </c>
      <c r="X695" s="329">
        <f>'Supply planning data'!Z693</f>
        <v>0</v>
      </c>
      <c r="Y695" s="111">
        <f>'Supply planning data'!AA693</f>
        <v>0</v>
      </c>
      <c r="Z695" s="111">
        <f>'Supply planning data'!AB693</f>
        <v>0</v>
      </c>
      <c r="AA695" s="111">
        <f>'Supply planning data'!AC693</f>
        <v>0</v>
      </c>
      <c r="AB695" s="111">
        <f>'Supply planning data'!AD693</f>
        <v>0</v>
      </c>
      <c r="AC695" s="111">
        <f>'Supply planning data'!AE693</f>
        <v>0</v>
      </c>
      <c r="AD695" s="327" t="str">
        <f>'Supply planning data'!AF693</f>
        <v/>
      </c>
      <c r="AE695" s="111">
        <f>'Supply planning data'!AG693</f>
        <v>0</v>
      </c>
      <c r="AF695" s="321">
        <f>'Supply planning data'!AH693</f>
        <v>0</v>
      </c>
      <c r="AG695" s="349">
        <f>'Supply planning data'!AI693</f>
        <v>0</v>
      </c>
      <c r="AH695" s="111">
        <f>'Supply planning data'!AJ693</f>
        <v>0</v>
      </c>
      <c r="AI695" s="111">
        <f>'Supply planning data'!AK693</f>
        <v>0</v>
      </c>
      <c r="AJ695" s="111">
        <f>'Supply planning data'!AL693</f>
        <v>0</v>
      </c>
      <c r="AK695" s="111">
        <f>'Supply planning data'!AM693</f>
        <v>0</v>
      </c>
      <c r="AL695" s="111">
        <f>'Supply planning data'!AN693</f>
        <v>0</v>
      </c>
      <c r="AM695" s="327" t="str">
        <f>'Supply planning data'!AO693</f>
        <v/>
      </c>
    </row>
    <row r="696" spans="1:39" hidden="1" x14ac:dyDescent="0.25">
      <c r="A696" s="104" t="str">
        <f>'Supply planning data'!C694</f>
        <v/>
      </c>
      <c r="B696" s="298">
        <f>'Supply planning data'!D694</f>
        <v>45566</v>
      </c>
      <c r="C696" s="105" t="str">
        <f>'Supply planning data'!E694</f>
        <v>No</v>
      </c>
      <c r="D696" s="105">
        <f>'Supply planning data'!F694</f>
        <v>0</v>
      </c>
      <c r="E696" s="320">
        <f>'Supply planning data'!G694</f>
        <v>0</v>
      </c>
      <c r="F696" s="320">
        <f>'Supply planning data'!H694</f>
        <v>0</v>
      </c>
      <c r="G696" s="320">
        <f>'Supply planning data'!I694</f>
        <v>0</v>
      </c>
      <c r="H696" s="105">
        <f>'Supply planning data'!J694</f>
        <v>0</v>
      </c>
      <c r="I696" s="320">
        <f>'Supply planning data'!K694</f>
        <v>0</v>
      </c>
      <c r="J696" s="177" t="str">
        <f>'Supply planning data'!L694</f>
        <v/>
      </c>
      <c r="K696" s="105">
        <f>'Supply planning data'!M694</f>
        <v>0</v>
      </c>
      <c r="L696" s="321">
        <f>'Supply planning data'!N694+'Supply planning data'!P694</f>
        <v>0</v>
      </c>
      <c r="M696" s="342">
        <f>'Supply planning data'!O694</f>
        <v>0</v>
      </c>
      <c r="N696" s="321">
        <f>'Supply planning data'!P694</f>
        <v>0</v>
      </c>
      <c r="O696" s="342">
        <f>'Supply planning data'!Q694</f>
        <v>0</v>
      </c>
      <c r="P696" s="111">
        <f>'Supply planning data'!R694</f>
        <v>0</v>
      </c>
      <c r="Q696" s="111">
        <f>'Supply planning data'!S694</f>
        <v>0</v>
      </c>
      <c r="R696" s="111">
        <f>'Supply planning data'!T694</f>
        <v>0</v>
      </c>
      <c r="S696" s="111">
        <f>'Supply planning data'!U694</f>
        <v>0</v>
      </c>
      <c r="T696" s="111">
        <f>'Supply planning data'!V694</f>
        <v>0</v>
      </c>
      <c r="U696" s="327" t="str">
        <f>'Supply planning data'!W694</f>
        <v/>
      </c>
      <c r="V696" s="111">
        <f>'Supply planning data'!X694</f>
        <v>0</v>
      </c>
      <c r="W696" s="321">
        <f>'Supply planning data'!Y694</f>
        <v>0</v>
      </c>
      <c r="X696" s="329">
        <f>'Supply planning data'!Z694</f>
        <v>0</v>
      </c>
      <c r="Y696" s="111">
        <f>'Supply planning data'!AA694</f>
        <v>0</v>
      </c>
      <c r="Z696" s="111">
        <f>'Supply planning data'!AB694</f>
        <v>0</v>
      </c>
      <c r="AA696" s="111">
        <f>'Supply planning data'!AC694</f>
        <v>0</v>
      </c>
      <c r="AB696" s="111">
        <f>'Supply planning data'!AD694</f>
        <v>0</v>
      </c>
      <c r="AC696" s="111">
        <f>'Supply planning data'!AE694</f>
        <v>0</v>
      </c>
      <c r="AD696" s="327" t="str">
        <f>'Supply planning data'!AF694</f>
        <v/>
      </c>
      <c r="AE696" s="111">
        <f>'Supply planning data'!AG694</f>
        <v>0</v>
      </c>
      <c r="AF696" s="321">
        <f>'Supply planning data'!AH694</f>
        <v>0</v>
      </c>
      <c r="AG696" s="349">
        <f>'Supply planning data'!AI694</f>
        <v>0</v>
      </c>
      <c r="AH696" s="111">
        <f>'Supply planning data'!AJ694</f>
        <v>0</v>
      </c>
      <c r="AI696" s="111">
        <f>'Supply planning data'!AK694</f>
        <v>0</v>
      </c>
      <c r="AJ696" s="111">
        <f>'Supply planning data'!AL694</f>
        <v>0</v>
      </c>
      <c r="AK696" s="111">
        <f>'Supply planning data'!AM694</f>
        <v>0</v>
      </c>
      <c r="AL696" s="111">
        <f>'Supply planning data'!AN694</f>
        <v>0</v>
      </c>
      <c r="AM696" s="327" t="str">
        <f>'Supply planning data'!AO694</f>
        <v/>
      </c>
    </row>
    <row r="697" spans="1:39" x14ac:dyDescent="0.25">
      <c r="A697" s="90" t="str">
        <f>'Supply planning data'!C695</f>
        <v>AstraZeneca</v>
      </c>
      <c r="B697" s="296">
        <f>'Supply planning data'!D695</f>
        <v>45597</v>
      </c>
      <c r="C697" s="92" t="str">
        <f>'Supply planning data'!E695</f>
        <v>Yes</v>
      </c>
      <c r="D697" s="92">
        <f>'Supply planning data'!F695</f>
        <v>0</v>
      </c>
      <c r="E697" s="316">
        <f>'Supply planning data'!G695</f>
        <v>0</v>
      </c>
      <c r="F697" s="316">
        <f>'Supply planning data'!H695</f>
        <v>0</v>
      </c>
      <c r="G697" s="316">
        <f>'Supply planning data'!I695</f>
        <v>0</v>
      </c>
      <c r="H697" s="92">
        <f>'Supply planning data'!J695</f>
        <v>0</v>
      </c>
      <c r="I697" s="316">
        <f>'Supply planning data'!K695</f>
        <v>0</v>
      </c>
      <c r="J697" s="174" t="str">
        <f>'Supply planning data'!L695</f>
        <v/>
      </c>
      <c r="K697" s="92">
        <f>'Supply planning data'!M695</f>
        <v>0</v>
      </c>
      <c r="L697" s="316">
        <f>'Supply planning data'!N695+'Supply planning data'!P695</f>
        <v>0</v>
      </c>
      <c r="M697" s="343">
        <f>'Supply planning data'!O695</f>
        <v>0</v>
      </c>
      <c r="N697" s="316">
        <f>'Supply planning data'!P695</f>
        <v>0</v>
      </c>
      <c r="O697" s="343">
        <f>'Supply planning data'!Q695</f>
        <v>0</v>
      </c>
      <c r="P697" s="92">
        <f>'Supply planning data'!R695</f>
        <v>0</v>
      </c>
      <c r="Q697" s="92">
        <f>'Supply planning data'!S695</f>
        <v>0</v>
      </c>
      <c r="R697" s="92">
        <f>'Supply planning data'!T695</f>
        <v>0</v>
      </c>
      <c r="S697" s="92">
        <f>'Supply planning data'!U695</f>
        <v>0</v>
      </c>
      <c r="T697" s="92">
        <f>'Supply planning data'!V695</f>
        <v>0</v>
      </c>
      <c r="U697" s="324" t="str">
        <f>'Supply planning data'!W695</f>
        <v/>
      </c>
      <c r="V697" s="92">
        <f>'Supply planning data'!X695</f>
        <v>154701</v>
      </c>
      <c r="W697" s="316">
        <f>'Supply planning data'!Y695</f>
        <v>0</v>
      </c>
      <c r="X697" s="328">
        <f>'Supply planning data'!Z695</f>
        <v>0</v>
      </c>
      <c r="Y697" s="92">
        <f>'Supply planning data'!AA695</f>
        <v>0</v>
      </c>
      <c r="Z697" s="92">
        <f>'Supply planning data'!AB695</f>
        <v>0</v>
      </c>
      <c r="AA697" s="92">
        <f>'Supply planning data'!AC695</f>
        <v>0</v>
      </c>
      <c r="AB697" s="92">
        <f>'Supply planning data'!AD695</f>
        <v>0</v>
      </c>
      <c r="AC697" s="92">
        <f>'Supply planning data'!AE695</f>
        <v>154701</v>
      </c>
      <c r="AD697" s="324" t="str">
        <f>'Supply planning data'!AF695</f>
        <v/>
      </c>
      <c r="AE697" s="92">
        <f>'Supply planning data'!AG695</f>
        <v>0</v>
      </c>
      <c r="AF697" s="316">
        <f>'Supply planning data'!AH695</f>
        <v>0</v>
      </c>
      <c r="AG697" s="174">
        <f>'Supply planning data'!AI695</f>
        <v>0</v>
      </c>
      <c r="AH697" s="92">
        <f>'Supply planning data'!AJ695</f>
        <v>0</v>
      </c>
      <c r="AI697" s="92">
        <f>'Supply planning data'!AK695</f>
        <v>0</v>
      </c>
      <c r="AJ697" s="92">
        <f>'Supply planning data'!AL695</f>
        <v>0</v>
      </c>
      <c r="AK697" s="92">
        <f>'Supply planning data'!AM695</f>
        <v>0</v>
      </c>
      <c r="AL697" s="92">
        <f>'Supply planning data'!AN695</f>
        <v>0</v>
      </c>
      <c r="AM697" s="324" t="str">
        <f>'Supply planning data'!AO695</f>
        <v/>
      </c>
    </row>
    <row r="698" spans="1:39" x14ac:dyDescent="0.25">
      <c r="A698" s="90" t="str">
        <f>'Supply planning data'!C696</f>
        <v>Jansen</v>
      </c>
      <c r="B698" s="296">
        <f>'Supply planning data'!D696</f>
        <v>45597</v>
      </c>
      <c r="C698" s="92" t="str">
        <f>'Supply planning data'!E696</f>
        <v>Yes</v>
      </c>
      <c r="D698" s="92">
        <f>'Supply planning data'!F696</f>
        <v>1871200</v>
      </c>
      <c r="E698" s="316">
        <f>'Supply planning data'!G696</f>
        <v>0</v>
      </c>
      <c r="F698" s="317">
        <f>'Supply planning data'!H696</f>
        <v>0</v>
      </c>
      <c r="G698" s="317">
        <f>'Supply planning data'!I696</f>
        <v>0</v>
      </c>
      <c r="H698" s="98">
        <f>'Supply planning data'!J696</f>
        <v>0</v>
      </c>
      <c r="I698" s="317">
        <f>'Supply planning data'!K696</f>
        <v>0</v>
      </c>
      <c r="J698" s="175" t="str">
        <f>'Supply planning data'!L696</f>
        <v/>
      </c>
      <c r="K698" s="98">
        <f>'Supply planning data'!M696</f>
        <v>0</v>
      </c>
      <c r="L698" s="317">
        <f>'Supply planning data'!N696+'Supply planning data'!P696</f>
        <v>0</v>
      </c>
      <c r="M698" s="339">
        <f>'Supply planning data'!O696</f>
        <v>0</v>
      </c>
      <c r="N698" s="317">
        <f>'Supply planning data'!P696</f>
        <v>0</v>
      </c>
      <c r="O698" s="339">
        <f>'Supply planning data'!Q696</f>
        <v>0</v>
      </c>
      <c r="P698" s="98">
        <f>'Supply planning data'!R696</f>
        <v>0</v>
      </c>
      <c r="Q698" s="98">
        <f>'Supply planning data'!S696</f>
        <v>0</v>
      </c>
      <c r="R698" s="98">
        <f>'Supply planning data'!T696</f>
        <v>387547</v>
      </c>
      <c r="S698" s="98">
        <f>'Supply planning data'!U696</f>
        <v>0</v>
      </c>
      <c r="T698" s="98">
        <f>'Supply planning data'!V696</f>
        <v>1871200</v>
      </c>
      <c r="U698" s="325" t="str">
        <f>'Supply planning data'!W696</f>
        <v/>
      </c>
      <c r="V698" s="98">
        <f>'Supply planning data'!X696</f>
        <v>1311200</v>
      </c>
      <c r="W698" s="317">
        <f>'Supply planning data'!Y696</f>
        <v>0</v>
      </c>
      <c r="X698" s="328">
        <f>'Supply planning data'!Z696</f>
        <v>0</v>
      </c>
      <c r="Y698" s="98">
        <f>'Supply planning data'!AA696</f>
        <v>0</v>
      </c>
      <c r="Z698" s="98">
        <f>'Supply planning data'!AB696</f>
        <v>0</v>
      </c>
      <c r="AA698" s="98">
        <f>'Supply planning data'!AC696</f>
        <v>0</v>
      </c>
      <c r="AB698" s="98">
        <f>'Supply planning data'!AD696</f>
        <v>0</v>
      </c>
      <c r="AC698" s="98">
        <f>'Supply planning data'!AE696</f>
        <v>1311200</v>
      </c>
      <c r="AD698" s="325" t="str">
        <f>'Supply planning data'!AF696</f>
        <v/>
      </c>
      <c r="AE698" s="98">
        <f>'Supply planning data'!AG696</f>
        <v>1871200</v>
      </c>
      <c r="AF698" s="317">
        <f>'Supply planning data'!AH696</f>
        <v>0</v>
      </c>
      <c r="AG698" s="175">
        <f>'Supply planning data'!AI696</f>
        <v>0</v>
      </c>
      <c r="AH698" s="98">
        <f>'Supply planning data'!AJ696</f>
        <v>0</v>
      </c>
      <c r="AI698" s="98">
        <f>'Supply planning data'!AK696</f>
        <v>0</v>
      </c>
      <c r="AJ698" s="98">
        <f>'Supply planning data'!AL696</f>
        <v>387547</v>
      </c>
      <c r="AK698" s="98">
        <f>'Supply planning data'!AM696</f>
        <v>0</v>
      </c>
      <c r="AL698" s="98">
        <f>'Supply planning data'!AN696</f>
        <v>1871200</v>
      </c>
      <c r="AM698" s="325" t="str">
        <f>'Supply planning data'!AO696</f>
        <v/>
      </c>
    </row>
    <row r="699" spans="1:39" x14ac:dyDescent="0.25">
      <c r="A699" s="90" t="str">
        <f>'Supply planning data'!C697</f>
        <v>Moderna</v>
      </c>
      <c r="B699" s="296">
        <f>'Supply planning data'!D697</f>
        <v>45597</v>
      </c>
      <c r="C699" s="92" t="str">
        <f>'Supply planning data'!E697</f>
        <v>No</v>
      </c>
      <c r="D699" s="92">
        <f>'Supply planning data'!F697</f>
        <v>0</v>
      </c>
      <c r="E699" s="316">
        <f>'Supply planning data'!G697</f>
        <v>0</v>
      </c>
      <c r="F699" s="317">
        <f>'Supply planning data'!H697</f>
        <v>0</v>
      </c>
      <c r="G699" s="317">
        <f>'Supply planning data'!I697</f>
        <v>0</v>
      </c>
      <c r="H699" s="98">
        <f>'Supply planning data'!J697</f>
        <v>0</v>
      </c>
      <c r="I699" s="317">
        <f>'Supply planning data'!K697</f>
        <v>0</v>
      </c>
      <c r="J699" s="175" t="str">
        <f>'Supply planning data'!L697</f>
        <v/>
      </c>
      <c r="K699" s="98">
        <f>'Supply planning data'!M697</f>
        <v>0</v>
      </c>
      <c r="L699" s="317">
        <f>'Supply planning data'!N697+'Supply planning data'!P697</f>
        <v>0</v>
      </c>
      <c r="M699" s="339">
        <f>'Supply planning data'!O697</f>
        <v>0</v>
      </c>
      <c r="N699" s="317">
        <f>'Supply planning data'!P697</f>
        <v>0</v>
      </c>
      <c r="O699" s="339">
        <f>'Supply planning data'!Q697</f>
        <v>0</v>
      </c>
      <c r="P699" s="98">
        <f>'Supply planning data'!R697</f>
        <v>0</v>
      </c>
      <c r="Q699" s="98">
        <f>'Supply planning data'!S697</f>
        <v>0</v>
      </c>
      <c r="R699" s="98">
        <f>'Supply planning data'!T697</f>
        <v>0</v>
      </c>
      <c r="S699" s="98">
        <f>'Supply planning data'!U697</f>
        <v>0</v>
      </c>
      <c r="T699" s="98">
        <f>'Supply planning data'!V697</f>
        <v>0</v>
      </c>
      <c r="U699" s="325" t="str">
        <f>'Supply planning data'!W697</f>
        <v/>
      </c>
      <c r="V699" s="98">
        <f>'Supply planning data'!X697</f>
        <v>0</v>
      </c>
      <c r="W699" s="317">
        <f>'Supply planning data'!Y697</f>
        <v>0</v>
      </c>
      <c r="X699" s="328">
        <f>'Supply planning data'!Z697</f>
        <v>0</v>
      </c>
      <c r="Y699" s="98">
        <f>'Supply planning data'!AA697</f>
        <v>0</v>
      </c>
      <c r="Z699" s="98">
        <f>'Supply planning data'!AB697</f>
        <v>0</v>
      </c>
      <c r="AA699" s="98">
        <f>'Supply planning data'!AC697</f>
        <v>0</v>
      </c>
      <c r="AB699" s="98">
        <f>'Supply planning data'!AD697</f>
        <v>0</v>
      </c>
      <c r="AC699" s="98">
        <f>'Supply planning data'!AE697</f>
        <v>0</v>
      </c>
      <c r="AD699" s="325" t="str">
        <f>'Supply planning data'!AF697</f>
        <v/>
      </c>
      <c r="AE699" s="98">
        <f>'Supply planning data'!AG697</f>
        <v>0</v>
      </c>
      <c r="AF699" s="317">
        <f>'Supply planning data'!AH697</f>
        <v>0</v>
      </c>
      <c r="AG699" s="175">
        <f>'Supply planning data'!AI697</f>
        <v>0</v>
      </c>
      <c r="AH699" s="98">
        <f>'Supply planning data'!AJ697</f>
        <v>0</v>
      </c>
      <c r="AI699" s="98">
        <f>'Supply planning data'!AK697</f>
        <v>0</v>
      </c>
      <c r="AJ699" s="98">
        <f>'Supply planning data'!AL697</f>
        <v>0</v>
      </c>
      <c r="AK699" s="98">
        <f>'Supply planning data'!AM697</f>
        <v>0</v>
      </c>
      <c r="AL699" s="98">
        <f>'Supply planning data'!AN697</f>
        <v>0</v>
      </c>
      <c r="AM699" s="325" t="str">
        <f>'Supply planning data'!AO697</f>
        <v/>
      </c>
    </row>
    <row r="700" spans="1:39" x14ac:dyDescent="0.25">
      <c r="A700" s="90" t="str">
        <f>'Supply planning data'!C698</f>
        <v>Pfizer</v>
      </c>
      <c r="B700" s="296">
        <f>'Supply planning data'!D698</f>
        <v>45597</v>
      </c>
      <c r="C700" s="92" t="str">
        <f>'Supply planning data'!E698</f>
        <v>Yes</v>
      </c>
      <c r="D700" s="92">
        <f>'Supply planning data'!F698</f>
        <v>3000000</v>
      </c>
      <c r="E700" s="316">
        <f>'Supply planning data'!G698</f>
        <v>0</v>
      </c>
      <c r="F700" s="317">
        <f>'Supply planning data'!H698</f>
        <v>0</v>
      </c>
      <c r="G700" s="317">
        <f>'Supply planning data'!I698</f>
        <v>0</v>
      </c>
      <c r="H700" s="98">
        <f>'Supply planning data'!J698</f>
        <v>0</v>
      </c>
      <c r="I700" s="317">
        <f>'Supply planning data'!K698</f>
        <v>0</v>
      </c>
      <c r="J700" s="175" t="str">
        <f>'Supply planning data'!L698</f>
        <v/>
      </c>
      <c r="K700" s="98">
        <f>'Supply planning data'!M698</f>
        <v>0</v>
      </c>
      <c r="L700" s="317">
        <f>'Supply planning data'!N698+'Supply planning data'!P698</f>
        <v>0</v>
      </c>
      <c r="M700" s="339">
        <f>'Supply planning data'!O698</f>
        <v>0</v>
      </c>
      <c r="N700" s="317">
        <f>'Supply planning data'!P698</f>
        <v>0</v>
      </c>
      <c r="O700" s="339">
        <f>'Supply planning data'!Q698</f>
        <v>0</v>
      </c>
      <c r="P700" s="98">
        <f>'Supply planning data'!R698</f>
        <v>0</v>
      </c>
      <c r="Q700" s="98">
        <f>'Supply planning data'!S698</f>
        <v>0</v>
      </c>
      <c r="R700" s="98">
        <f>'Supply planning data'!T698</f>
        <v>110538</v>
      </c>
      <c r="S700" s="98">
        <f>'Supply planning data'!U698</f>
        <v>0</v>
      </c>
      <c r="T700" s="98">
        <f>'Supply planning data'!V698</f>
        <v>3000000</v>
      </c>
      <c r="U700" s="325" t="str">
        <f>'Supply planning data'!W698</f>
        <v/>
      </c>
      <c r="V700" s="98">
        <f>'Supply planning data'!X698</f>
        <v>2440000</v>
      </c>
      <c r="W700" s="317">
        <f>'Supply planning data'!Y698</f>
        <v>0</v>
      </c>
      <c r="X700" s="328">
        <f>'Supply planning data'!Z698</f>
        <v>0</v>
      </c>
      <c r="Y700" s="98">
        <f>'Supply planning data'!AA698</f>
        <v>0</v>
      </c>
      <c r="Z700" s="98">
        <f>'Supply planning data'!AB698</f>
        <v>0</v>
      </c>
      <c r="AA700" s="98">
        <f>'Supply planning data'!AC698</f>
        <v>0</v>
      </c>
      <c r="AB700" s="98">
        <f>'Supply planning data'!AD698</f>
        <v>0</v>
      </c>
      <c r="AC700" s="98">
        <f>'Supply planning data'!AE698</f>
        <v>2440000</v>
      </c>
      <c r="AD700" s="325" t="str">
        <f>'Supply planning data'!AF698</f>
        <v/>
      </c>
      <c r="AE700" s="98">
        <f>'Supply planning data'!AG698</f>
        <v>3000000</v>
      </c>
      <c r="AF700" s="317">
        <f>'Supply planning data'!AH698</f>
        <v>0</v>
      </c>
      <c r="AG700" s="175">
        <f>'Supply planning data'!AI698</f>
        <v>0</v>
      </c>
      <c r="AH700" s="98">
        <f>'Supply planning data'!AJ698</f>
        <v>0</v>
      </c>
      <c r="AI700" s="98">
        <f>'Supply planning data'!AK698</f>
        <v>0</v>
      </c>
      <c r="AJ700" s="98">
        <f>'Supply planning data'!AL698</f>
        <v>110538</v>
      </c>
      <c r="AK700" s="98">
        <f>'Supply planning data'!AM698</f>
        <v>0</v>
      </c>
      <c r="AL700" s="98">
        <f>'Supply planning data'!AN698</f>
        <v>3000000</v>
      </c>
      <c r="AM700" s="325" t="str">
        <f>'Supply planning data'!AO698</f>
        <v/>
      </c>
    </row>
    <row r="701" spans="1:39" x14ac:dyDescent="0.25">
      <c r="A701" s="90" t="str">
        <f>'Supply planning data'!C699</f>
        <v>Sinovac</v>
      </c>
      <c r="B701" s="296">
        <f>'Supply planning data'!D699</f>
        <v>45597</v>
      </c>
      <c r="C701" s="92" t="str">
        <f>'Supply planning data'!E699</f>
        <v>No</v>
      </c>
      <c r="D701" s="92">
        <f>'Supply planning data'!F699</f>
        <v>0</v>
      </c>
      <c r="E701" s="316">
        <f>'Supply planning data'!G699</f>
        <v>0</v>
      </c>
      <c r="F701" s="317">
        <f>'Supply planning data'!H699</f>
        <v>0</v>
      </c>
      <c r="G701" s="317">
        <f>'Supply planning data'!I699</f>
        <v>0</v>
      </c>
      <c r="H701" s="98">
        <f>'Supply planning data'!J699</f>
        <v>0</v>
      </c>
      <c r="I701" s="317">
        <f>'Supply planning data'!K699</f>
        <v>0</v>
      </c>
      <c r="J701" s="175" t="str">
        <f>'Supply planning data'!L699</f>
        <v/>
      </c>
      <c r="K701" s="98">
        <f>'Supply planning data'!M699</f>
        <v>0</v>
      </c>
      <c r="L701" s="317">
        <f>'Supply planning data'!N699+'Supply planning data'!P699</f>
        <v>0</v>
      </c>
      <c r="M701" s="339">
        <f>'Supply planning data'!O699</f>
        <v>0</v>
      </c>
      <c r="N701" s="317">
        <f>'Supply planning data'!P699</f>
        <v>0</v>
      </c>
      <c r="O701" s="339">
        <f>'Supply planning data'!Q699</f>
        <v>0</v>
      </c>
      <c r="P701" s="98">
        <f>'Supply planning data'!R699</f>
        <v>0</v>
      </c>
      <c r="Q701" s="98">
        <f>'Supply planning data'!S699</f>
        <v>0</v>
      </c>
      <c r="R701" s="98">
        <f>'Supply planning data'!T699</f>
        <v>0</v>
      </c>
      <c r="S701" s="98">
        <f>'Supply planning data'!U699</f>
        <v>0</v>
      </c>
      <c r="T701" s="98">
        <f>'Supply planning data'!V699</f>
        <v>0</v>
      </c>
      <c r="U701" s="325" t="str">
        <f>'Supply planning data'!W699</f>
        <v/>
      </c>
      <c r="V701" s="98">
        <f>'Supply planning data'!X699</f>
        <v>0</v>
      </c>
      <c r="W701" s="317">
        <f>'Supply planning data'!Y699</f>
        <v>0</v>
      </c>
      <c r="X701" s="328">
        <f>'Supply planning data'!Z699</f>
        <v>0</v>
      </c>
      <c r="Y701" s="98">
        <f>'Supply planning data'!AA699</f>
        <v>0</v>
      </c>
      <c r="Z701" s="98">
        <f>'Supply planning data'!AB699</f>
        <v>0</v>
      </c>
      <c r="AA701" s="98">
        <f>'Supply planning data'!AC699</f>
        <v>0</v>
      </c>
      <c r="AB701" s="98">
        <f>'Supply planning data'!AD699</f>
        <v>0</v>
      </c>
      <c r="AC701" s="98">
        <f>'Supply planning data'!AE699</f>
        <v>0</v>
      </c>
      <c r="AD701" s="325" t="str">
        <f>'Supply planning data'!AF699</f>
        <v/>
      </c>
      <c r="AE701" s="98">
        <f>'Supply planning data'!AG699</f>
        <v>0</v>
      </c>
      <c r="AF701" s="317">
        <f>'Supply planning data'!AH699</f>
        <v>0</v>
      </c>
      <c r="AG701" s="175">
        <f>'Supply planning data'!AI699</f>
        <v>0</v>
      </c>
      <c r="AH701" s="98">
        <f>'Supply planning data'!AJ699</f>
        <v>0</v>
      </c>
      <c r="AI701" s="98">
        <f>'Supply planning data'!AK699</f>
        <v>0</v>
      </c>
      <c r="AJ701" s="98">
        <f>'Supply planning data'!AL699</f>
        <v>0</v>
      </c>
      <c r="AK701" s="98">
        <f>'Supply planning data'!AM699</f>
        <v>0</v>
      </c>
      <c r="AL701" s="98">
        <f>'Supply planning data'!AN699</f>
        <v>0</v>
      </c>
      <c r="AM701" s="325" t="str">
        <f>'Supply planning data'!AO699</f>
        <v/>
      </c>
    </row>
    <row r="702" spans="1:39" hidden="1" x14ac:dyDescent="0.25">
      <c r="A702" s="90" t="str">
        <f>'Supply planning data'!C700</f>
        <v/>
      </c>
      <c r="B702" s="296">
        <f>'Supply planning data'!D700</f>
        <v>45597</v>
      </c>
      <c r="C702" s="92" t="str">
        <f>'Supply planning data'!E700</f>
        <v>No</v>
      </c>
      <c r="D702" s="92">
        <f>'Supply planning data'!F700</f>
        <v>0</v>
      </c>
      <c r="E702" s="316">
        <f>'Supply planning data'!G700</f>
        <v>0</v>
      </c>
      <c r="F702" s="317">
        <f>'Supply planning data'!H700</f>
        <v>0</v>
      </c>
      <c r="G702" s="317">
        <f>'Supply planning data'!I700</f>
        <v>0</v>
      </c>
      <c r="H702" s="98">
        <f>'Supply planning data'!J700</f>
        <v>0</v>
      </c>
      <c r="I702" s="317">
        <f>'Supply planning data'!K700</f>
        <v>0</v>
      </c>
      <c r="J702" s="175" t="str">
        <f>'Supply planning data'!L700</f>
        <v/>
      </c>
      <c r="K702" s="98">
        <f>'Supply planning data'!M700</f>
        <v>0</v>
      </c>
      <c r="L702" s="317">
        <f>'Supply planning data'!N700+'Supply planning data'!P700</f>
        <v>0</v>
      </c>
      <c r="M702" s="339">
        <f>'Supply planning data'!O700</f>
        <v>0</v>
      </c>
      <c r="N702" s="317">
        <f>'Supply planning data'!P700</f>
        <v>0</v>
      </c>
      <c r="O702" s="339">
        <f>'Supply planning data'!Q700</f>
        <v>0</v>
      </c>
      <c r="P702" s="98">
        <f>'Supply planning data'!R700</f>
        <v>0</v>
      </c>
      <c r="Q702" s="98">
        <f>'Supply planning data'!S700</f>
        <v>0</v>
      </c>
      <c r="R702" s="98">
        <f>'Supply planning data'!T700</f>
        <v>0</v>
      </c>
      <c r="S702" s="98">
        <f>'Supply planning data'!U700</f>
        <v>0</v>
      </c>
      <c r="T702" s="98">
        <f>'Supply planning data'!V700</f>
        <v>0</v>
      </c>
      <c r="U702" s="325" t="str">
        <f>'Supply planning data'!W700</f>
        <v/>
      </c>
      <c r="V702" s="98">
        <f>'Supply planning data'!X700</f>
        <v>0</v>
      </c>
      <c r="W702" s="317">
        <f>'Supply planning data'!Y700</f>
        <v>0</v>
      </c>
      <c r="X702" s="328">
        <f>'Supply planning data'!Z700</f>
        <v>0</v>
      </c>
      <c r="Y702" s="98">
        <f>'Supply planning data'!AA700</f>
        <v>0</v>
      </c>
      <c r="Z702" s="98">
        <f>'Supply planning data'!AB700</f>
        <v>0</v>
      </c>
      <c r="AA702" s="98">
        <f>'Supply planning data'!AC700</f>
        <v>0</v>
      </c>
      <c r="AB702" s="98">
        <f>'Supply planning data'!AD700</f>
        <v>0</v>
      </c>
      <c r="AC702" s="98">
        <f>'Supply planning data'!AE700</f>
        <v>0</v>
      </c>
      <c r="AD702" s="325" t="str">
        <f>'Supply planning data'!AF700</f>
        <v/>
      </c>
      <c r="AE702" s="98">
        <f>'Supply planning data'!AG700</f>
        <v>0</v>
      </c>
      <c r="AF702" s="317">
        <f>'Supply planning data'!AH700</f>
        <v>0</v>
      </c>
      <c r="AG702" s="175">
        <f>'Supply planning data'!AI700</f>
        <v>0</v>
      </c>
      <c r="AH702" s="98">
        <f>'Supply planning data'!AJ700</f>
        <v>0</v>
      </c>
      <c r="AI702" s="98">
        <f>'Supply planning data'!AK700</f>
        <v>0</v>
      </c>
      <c r="AJ702" s="98">
        <f>'Supply planning data'!AL700</f>
        <v>0</v>
      </c>
      <c r="AK702" s="98">
        <f>'Supply planning data'!AM700</f>
        <v>0</v>
      </c>
      <c r="AL702" s="98">
        <f>'Supply planning data'!AN700</f>
        <v>0</v>
      </c>
      <c r="AM702" s="325" t="str">
        <f>'Supply planning data'!AO700</f>
        <v/>
      </c>
    </row>
    <row r="703" spans="1:39" hidden="1" x14ac:dyDescent="0.25">
      <c r="A703" s="90" t="str">
        <f>'Supply planning data'!C701</f>
        <v/>
      </c>
      <c r="B703" s="296">
        <f>'Supply planning data'!D701</f>
        <v>45597</v>
      </c>
      <c r="C703" s="92" t="str">
        <f>'Supply planning data'!E701</f>
        <v>No</v>
      </c>
      <c r="D703" s="92">
        <f>'Supply planning data'!F701</f>
        <v>0</v>
      </c>
      <c r="E703" s="316">
        <f>'Supply planning data'!G701</f>
        <v>0</v>
      </c>
      <c r="F703" s="317">
        <f>'Supply planning data'!H701</f>
        <v>0</v>
      </c>
      <c r="G703" s="317">
        <f>'Supply planning data'!I701</f>
        <v>0</v>
      </c>
      <c r="H703" s="98">
        <f>'Supply planning data'!J701</f>
        <v>0</v>
      </c>
      <c r="I703" s="317">
        <f>'Supply planning data'!K701</f>
        <v>0</v>
      </c>
      <c r="J703" s="175" t="str">
        <f>'Supply planning data'!L701</f>
        <v/>
      </c>
      <c r="K703" s="98">
        <f>'Supply planning data'!M701</f>
        <v>0</v>
      </c>
      <c r="L703" s="317">
        <f>'Supply planning data'!N701+'Supply planning data'!P701</f>
        <v>0</v>
      </c>
      <c r="M703" s="339">
        <f>'Supply planning data'!O701</f>
        <v>0</v>
      </c>
      <c r="N703" s="317">
        <f>'Supply planning data'!P701</f>
        <v>0</v>
      </c>
      <c r="O703" s="339">
        <f>'Supply planning data'!Q701</f>
        <v>0</v>
      </c>
      <c r="P703" s="98">
        <f>'Supply planning data'!R701</f>
        <v>0</v>
      </c>
      <c r="Q703" s="98">
        <f>'Supply planning data'!S701</f>
        <v>0</v>
      </c>
      <c r="R703" s="98">
        <f>'Supply planning data'!T701</f>
        <v>0</v>
      </c>
      <c r="S703" s="98">
        <f>'Supply planning data'!U701</f>
        <v>0</v>
      </c>
      <c r="T703" s="98">
        <f>'Supply planning data'!V701</f>
        <v>0</v>
      </c>
      <c r="U703" s="325" t="str">
        <f>'Supply planning data'!W701</f>
        <v/>
      </c>
      <c r="V703" s="98">
        <f>'Supply planning data'!X701</f>
        <v>0</v>
      </c>
      <c r="W703" s="317">
        <f>'Supply planning data'!Y701</f>
        <v>0</v>
      </c>
      <c r="X703" s="328">
        <f>'Supply planning data'!Z701</f>
        <v>0</v>
      </c>
      <c r="Y703" s="98">
        <f>'Supply planning data'!AA701</f>
        <v>0</v>
      </c>
      <c r="Z703" s="98">
        <f>'Supply planning data'!AB701</f>
        <v>0</v>
      </c>
      <c r="AA703" s="98">
        <f>'Supply planning data'!AC701</f>
        <v>0</v>
      </c>
      <c r="AB703" s="98">
        <f>'Supply planning data'!AD701</f>
        <v>0</v>
      </c>
      <c r="AC703" s="98">
        <f>'Supply planning data'!AE701</f>
        <v>0</v>
      </c>
      <c r="AD703" s="325" t="str">
        <f>'Supply planning data'!AF701</f>
        <v/>
      </c>
      <c r="AE703" s="98">
        <f>'Supply planning data'!AG701</f>
        <v>0</v>
      </c>
      <c r="AF703" s="317">
        <f>'Supply planning data'!AH701</f>
        <v>0</v>
      </c>
      <c r="AG703" s="175">
        <f>'Supply planning data'!AI701</f>
        <v>0</v>
      </c>
      <c r="AH703" s="98">
        <f>'Supply planning data'!AJ701</f>
        <v>0</v>
      </c>
      <c r="AI703" s="98">
        <f>'Supply planning data'!AK701</f>
        <v>0</v>
      </c>
      <c r="AJ703" s="98">
        <f>'Supply planning data'!AL701</f>
        <v>0</v>
      </c>
      <c r="AK703" s="98">
        <f>'Supply planning data'!AM701</f>
        <v>0</v>
      </c>
      <c r="AL703" s="98">
        <f>'Supply planning data'!AN701</f>
        <v>0</v>
      </c>
      <c r="AM703" s="325" t="str">
        <f>'Supply planning data'!AO701</f>
        <v/>
      </c>
    </row>
    <row r="704" spans="1:39" hidden="1" x14ac:dyDescent="0.25">
      <c r="A704" s="90" t="str">
        <f>'Supply planning data'!C702</f>
        <v/>
      </c>
      <c r="B704" s="296">
        <f>'Supply planning data'!D702</f>
        <v>45597</v>
      </c>
      <c r="C704" s="92" t="str">
        <f>'Supply planning data'!E702</f>
        <v>No</v>
      </c>
      <c r="D704" s="92">
        <f>'Supply planning data'!F702</f>
        <v>0</v>
      </c>
      <c r="E704" s="316">
        <f>'Supply planning data'!G702</f>
        <v>0</v>
      </c>
      <c r="F704" s="317">
        <f>'Supply planning data'!H702</f>
        <v>0</v>
      </c>
      <c r="G704" s="317">
        <f>'Supply planning data'!I702</f>
        <v>0</v>
      </c>
      <c r="H704" s="98">
        <f>'Supply planning data'!J702</f>
        <v>0</v>
      </c>
      <c r="I704" s="317">
        <f>'Supply planning data'!K702</f>
        <v>0</v>
      </c>
      <c r="J704" s="175" t="str">
        <f>'Supply planning data'!L702</f>
        <v/>
      </c>
      <c r="K704" s="98">
        <f>'Supply planning data'!M702</f>
        <v>0</v>
      </c>
      <c r="L704" s="317">
        <f>'Supply planning data'!N702+'Supply planning data'!P702</f>
        <v>0</v>
      </c>
      <c r="M704" s="339">
        <f>'Supply planning data'!O702</f>
        <v>0</v>
      </c>
      <c r="N704" s="317">
        <f>'Supply planning data'!P702</f>
        <v>0</v>
      </c>
      <c r="O704" s="339">
        <f>'Supply planning data'!Q702</f>
        <v>0</v>
      </c>
      <c r="P704" s="98">
        <f>'Supply planning data'!R702</f>
        <v>0</v>
      </c>
      <c r="Q704" s="98">
        <f>'Supply planning data'!S702</f>
        <v>0</v>
      </c>
      <c r="R704" s="98">
        <f>'Supply planning data'!T702</f>
        <v>0</v>
      </c>
      <c r="S704" s="98">
        <f>'Supply planning data'!U702</f>
        <v>0</v>
      </c>
      <c r="T704" s="98">
        <f>'Supply planning data'!V702</f>
        <v>0</v>
      </c>
      <c r="U704" s="325" t="str">
        <f>'Supply planning data'!W702</f>
        <v/>
      </c>
      <c r="V704" s="98">
        <f>'Supply planning data'!X702</f>
        <v>0</v>
      </c>
      <c r="W704" s="317">
        <f>'Supply planning data'!Y702</f>
        <v>0</v>
      </c>
      <c r="X704" s="328">
        <f>'Supply planning data'!Z702</f>
        <v>0</v>
      </c>
      <c r="Y704" s="98">
        <f>'Supply planning data'!AA702</f>
        <v>0</v>
      </c>
      <c r="Z704" s="98">
        <f>'Supply planning data'!AB702</f>
        <v>0</v>
      </c>
      <c r="AA704" s="98">
        <f>'Supply planning data'!AC702</f>
        <v>0</v>
      </c>
      <c r="AB704" s="98">
        <f>'Supply planning data'!AD702</f>
        <v>0</v>
      </c>
      <c r="AC704" s="98">
        <f>'Supply planning data'!AE702</f>
        <v>0</v>
      </c>
      <c r="AD704" s="325" t="str">
        <f>'Supply planning data'!AF702</f>
        <v/>
      </c>
      <c r="AE704" s="98">
        <f>'Supply planning data'!AG702</f>
        <v>0</v>
      </c>
      <c r="AF704" s="317">
        <f>'Supply planning data'!AH702</f>
        <v>0</v>
      </c>
      <c r="AG704" s="175">
        <f>'Supply planning data'!AI702</f>
        <v>0</v>
      </c>
      <c r="AH704" s="98">
        <f>'Supply planning data'!AJ702</f>
        <v>0</v>
      </c>
      <c r="AI704" s="98">
        <f>'Supply planning data'!AK702</f>
        <v>0</v>
      </c>
      <c r="AJ704" s="98">
        <f>'Supply planning data'!AL702</f>
        <v>0</v>
      </c>
      <c r="AK704" s="98">
        <f>'Supply planning data'!AM702</f>
        <v>0</v>
      </c>
      <c r="AL704" s="98">
        <f>'Supply planning data'!AN702</f>
        <v>0</v>
      </c>
      <c r="AM704" s="325" t="str">
        <f>'Supply planning data'!AO702</f>
        <v/>
      </c>
    </row>
    <row r="705" spans="1:39" hidden="1" x14ac:dyDescent="0.25">
      <c r="A705" s="90" t="str">
        <f>'Supply planning data'!C703</f>
        <v/>
      </c>
      <c r="B705" s="296">
        <f>'Supply planning data'!D703</f>
        <v>45597</v>
      </c>
      <c r="C705" s="92" t="str">
        <f>'Supply planning data'!E703</f>
        <v>No</v>
      </c>
      <c r="D705" s="92">
        <f>'Supply planning data'!F703</f>
        <v>0</v>
      </c>
      <c r="E705" s="316">
        <f>'Supply planning data'!G703</f>
        <v>0</v>
      </c>
      <c r="F705" s="317">
        <f>'Supply planning data'!H703</f>
        <v>0</v>
      </c>
      <c r="G705" s="317">
        <f>'Supply planning data'!I703</f>
        <v>0</v>
      </c>
      <c r="H705" s="98">
        <f>'Supply planning data'!J703</f>
        <v>0</v>
      </c>
      <c r="I705" s="317">
        <f>'Supply planning data'!K703</f>
        <v>0</v>
      </c>
      <c r="J705" s="175" t="str">
        <f>'Supply planning data'!L703</f>
        <v/>
      </c>
      <c r="K705" s="98">
        <f>'Supply planning data'!M703</f>
        <v>0</v>
      </c>
      <c r="L705" s="317">
        <f>'Supply planning data'!N703+'Supply planning data'!P703</f>
        <v>0</v>
      </c>
      <c r="M705" s="339">
        <f>'Supply planning data'!O703</f>
        <v>0</v>
      </c>
      <c r="N705" s="317">
        <f>'Supply planning data'!P703</f>
        <v>0</v>
      </c>
      <c r="O705" s="339">
        <f>'Supply planning data'!Q703</f>
        <v>0</v>
      </c>
      <c r="P705" s="98">
        <f>'Supply planning data'!R703</f>
        <v>0</v>
      </c>
      <c r="Q705" s="98">
        <f>'Supply planning data'!S703</f>
        <v>0</v>
      </c>
      <c r="R705" s="98">
        <f>'Supply planning data'!T703</f>
        <v>0</v>
      </c>
      <c r="S705" s="98">
        <f>'Supply planning data'!U703</f>
        <v>0</v>
      </c>
      <c r="T705" s="98">
        <f>'Supply planning data'!V703</f>
        <v>0</v>
      </c>
      <c r="U705" s="325" t="str">
        <f>'Supply planning data'!W703</f>
        <v/>
      </c>
      <c r="V705" s="98">
        <f>'Supply planning data'!X703</f>
        <v>0</v>
      </c>
      <c r="W705" s="317">
        <f>'Supply planning data'!Y703</f>
        <v>0</v>
      </c>
      <c r="X705" s="328">
        <f>'Supply planning data'!Z703</f>
        <v>0</v>
      </c>
      <c r="Y705" s="98">
        <f>'Supply planning data'!AA703</f>
        <v>0</v>
      </c>
      <c r="Z705" s="98">
        <f>'Supply planning data'!AB703</f>
        <v>0</v>
      </c>
      <c r="AA705" s="98">
        <f>'Supply planning data'!AC703</f>
        <v>0</v>
      </c>
      <c r="AB705" s="98">
        <f>'Supply planning data'!AD703</f>
        <v>0</v>
      </c>
      <c r="AC705" s="98">
        <f>'Supply planning data'!AE703</f>
        <v>0</v>
      </c>
      <c r="AD705" s="325" t="str">
        <f>'Supply planning data'!AF703</f>
        <v/>
      </c>
      <c r="AE705" s="98">
        <f>'Supply planning data'!AG703</f>
        <v>0</v>
      </c>
      <c r="AF705" s="317">
        <f>'Supply planning data'!AH703</f>
        <v>0</v>
      </c>
      <c r="AG705" s="175">
        <f>'Supply planning data'!AI703</f>
        <v>0</v>
      </c>
      <c r="AH705" s="98">
        <f>'Supply planning data'!AJ703</f>
        <v>0</v>
      </c>
      <c r="AI705" s="98">
        <f>'Supply planning data'!AK703</f>
        <v>0</v>
      </c>
      <c r="AJ705" s="98">
        <f>'Supply planning data'!AL703</f>
        <v>0</v>
      </c>
      <c r="AK705" s="98">
        <f>'Supply planning data'!AM703</f>
        <v>0</v>
      </c>
      <c r="AL705" s="98">
        <f>'Supply planning data'!AN703</f>
        <v>0</v>
      </c>
      <c r="AM705" s="325" t="str">
        <f>'Supply planning data'!AO703</f>
        <v/>
      </c>
    </row>
    <row r="706" spans="1:39" hidden="1" x14ac:dyDescent="0.25">
      <c r="A706" s="90" t="str">
        <f>'Supply planning data'!C704</f>
        <v/>
      </c>
      <c r="B706" s="296">
        <f>'Supply planning data'!D704</f>
        <v>45597</v>
      </c>
      <c r="C706" s="92" t="str">
        <f>'Supply planning data'!E704</f>
        <v>No</v>
      </c>
      <c r="D706" s="92">
        <f>'Supply planning data'!F704</f>
        <v>0</v>
      </c>
      <c r="E706" s="316">
        <f>'Supply planning data'!G704</f>
        <v>0</v>
      </c>
      <c r="F706" s="317">
        <f>'Supply planning data'!H704</f>
        <v>0</v>
      </c>
      <c r="G706" s="317">
        <f>'Supply planning data'!I704</f>
        <v>0</v>
      </c>
      <c r="H706" s="98">
        <f>'Supply planning data'!J704</f>
        <v>0</v>
      </c>
      <c r="I706" s="317">
        <f>'Supply planning data'!K704</f>
        <v>0</v>
      </c>
      <c r="J706" s="175" t="str">
        <f>'Supply planning data'!L704</f>
        <v/>
      </c>
      <c r="K706" s="98">
        <f>'Supply planning data'!M704</f>
        <v>0</v>
      </c>
      <c r="L706" s="317">
        <f>'Supply planning data'!N704+'Supply planning data'!P704</f>
        <v>0</v>
      </c>
      <c r="M706" s="339">
        <f>'Supply planning data'!O704</f>
        <v>0</v>
      </c>
      <c r="N706" s="317">
        <f>'Supply planning data'!P704</f>
        <v>0</v>
      </c>
      <c r="O706" s="339">
        <f>'Supply planning data'!Q704</f>
        <v>0</v>
      </c>
      <c r="P706" s="98">
        <f>'Supply planning data'!R704</f>
        <v>0</v>
      </c>
      <c r="Q706" s="98">
        <f>'Supply planning data'!S704</f>
        <v>0</v>
      </c>
      <c r="R706" s="98">
        <f>'Supply planning data'!T704</f>
        <v>0</v>
      </c>
      <c r="S706" s="98">
        <f>'Supply planning data'!U704</f>
        <v>0</v>
      </c>
      <c r="T706" s="98">
        <f>'Supply planning data'!V704</f>
        <v>0</v>
      </c>
      <c r="U706" s="325" t="str">
        <f>'Supply planning data'!W704</f>
        <v/>
      </c>
      <c r="V706" s="98">
        <f>'Supply planning data'!X704</f>
        <v>0</v>
      </c>
      <c r="W706" s="317">
        <f>'Supply planning data'!Y704</f>
        <v>0</v>
      </c>
      <c r="X706" s="328">
        <f>'Supply planning data'!Z704</f>
        <v>0</v>
      </c>
      <c r="Y706" s="98">
        <f>'Supply planning data'!AA704</f>
        <v>0</v>
      </c>
      <c r="Z706" s="98">
        <f>'Supply planning data'!AB704</f>
        <v>0</v>
      </c>
      <c r="AA706" s="98">
        <f>'Supply planning data'!AC704</f>
        <v>0</v>
      </c>
      <c r="AB706" s="98">
        <f>'Supply planning data'!AD704</f>
        <v>0</v>
      </c>
      <c r="AC706" s="98">
        <f>'Supply planning data'!AE704</f>
        <v>0</v>
      </c>
      <c r="AD706" s="325" t="str">
        <f>'Supply planning data'!AF704</f>
        <v/>
      </c>
      <c r="AE706" s="98">
        <f>'Supply planning data'!AG704</f>
        <v>0</v>
      </c>
      <c r="AF706" s="317">
        <f>'Supply planning data'!AH704</f>
        <v>0</v>
      </c>
      <c r="AG706" s="175">
        <f>'Supply planning data'!AI704</f>
        <v>0</v>
      </c>
      <c r="AH706" s="98">
        <f>'Supply planning data'!AJ704</f>
        <v>0</v>
      </c>
      <c r="AI706" s="98">
        <f>'Supply planning data'!AK704</f>
        <v>0</v>
      </c>
      <c r="AJ706" s="98">
        <f>'Supply planning data'!AL704</f>
        <v>0</v>
      </c>
      <c r="AK706" s="98">
        <f>'Supply planning data'!AM704</f>
        <v>0</v>
      </c>
      <c r="AL706" s="98">
        <f>'Supply planning data'!AN704</f>
        <v>0</v>
      </c>
      <c r="AM706" s="325" t="str">
        <f>'Supply planning data'!AO704</f>
        <v/>
      </c>
    </row>
    <row r="707" spans="1:39" hidden="1" x14ac:dyDescent="0.25">
      <c r="A707" s="90" t="str">
        <f>'Supply planning data'!C705</f>
        <v/>
      </c>
      <c r="B707" s="296">
        <f>'Supply planning data'!D705</f>
        <v>45597</v>
      </c>
      <c r="C707" s="92" t="str">
        <f>'Supply planning data'!E705</f>
        <v>No</v>
      </c>
      <c r="D707" s="92">
        <f>'Supply planning data'!F705</f>
        <v>0</v>
      </c>
      <c r="E707" s="316">
        <f>'Supply planning data'!G705</f>
        <v>0</v>
      </c>
      <c r="F707" s="317">
        <f>'Supply planning data'!H705</f>
        <v>0</v>
      </c>
      <c r="G707" s="317">
        <f>'Supply planning data'!I705</f>
        <v>0</v>
      </c>
      <c r="H707" s="98">
        <f>'Supply planning data'!J705</f>
        <v>0</v>
      </c>
      <c r="I707" s="317">
        <f>'Supply planning data'!K705</f>
        <v>0</v>
      </c>
      <c r="J707" s="175" t="str">
        <f>'Supply planning data'!L705</f>
        <v/>
      </c>
      <c r="K707" s="98">
        <f>'Supply planning data'!M705</f>
        <v>0</v>
      </c>
      <c r="L707" s="317">
        <f>'Supply planning data'!N705+'Supply planning data'!P705</f>
        <v>0</v>
      </c>
      <c r="M707" s="339">
        <f>'Supply planning data'!O705</f>
        <v>0</v>
      </c>
      <c r="N707" s="317">
        <f>'Supply planning data'!P705</f>
        <v>0</v>
      </c>
      <c r="O707" s="339">
        <f>'Supply planning data'!Q705</f>
        <v>0</v>
      </c>
      <c r="P707" s="98">
        <f>'Supply planning data'!R705</f>
        <v>0</v>
      </c>
      <c r="Q707" s="98">
        <f>'Supply planning data'!S705</f>
        <v>0</v>
      </c>
      <c r="R707" s="98">
        <f>'Supply planning data'!T705</f>
        <v>0</v>
      </c>
      <c r="S707" s="98">
        <f>'Supply planning data'!U705</f>
        <v>0</v>
      </c>
      <c r="T707" s="98">
        <f>'Supply planning data'!V705</f>
        <v>0</v>
      </c>
      <c r="U707" s="325" t="str">
        <f>'Supply planning data'!W705</f>
        <v/>
      </c>
      <c r="V707" s="98">
        <f>'Supply planning data'!X705</f>
        <v>0</v>
      </c>
      <c r="W707" s="317">
        <f>'Supply planning data'!Y705</f>
        <v>0</v>
      </c>
      <c r="X707" s="328">
        <f>'Supply planning data'!Z705</f>
        <v>0</v>
      </c>
      <c r="Y707" s="98">
        <f>'Supply planning data'!AA705</f>
        <v>0</v>
      </c>
      <c r="Z707" s="98">
        <f>'Supply planning data'!AB705</f>
        <v>0</v>
      </c>
      <c r="AA707" s="98">
        <f>'Supply planning data'!AC705</f>
        <v>0</v>
      </c>
      <c r="AB707" s="98">
        <f>'Supply planning data'!AD705</f>
        <v>0</v>
      </c>
      <c r="AC707" s="98">
        <f>'Supply planning data'!AE705</f>
        <v>0</v>
      </c>
      <c r="AD707" s="325" t="str">
        <f>'Supply planning data'!AF705</f>
        <v/>
      </c>
      <c r="AE707" s="98">
        <f>'Supply planning data'!AG705</f>
        <v>0</v>
      </c>
      <c r="AF707" s="317">
        <f>'Supply planning data'!AH705</f>
        <v>0</v>
      </c>
      <c r="AG707" s="175">
        <f>'Supply planning data'!AI705</f>
        <v>0</v>
      </c>
      <c r="AH707" s="98">
        <f>'Supply planning data'!AJ705</f>
        <v>0</v>
      </c>
      <c r="AI707" s="98">
        <f>'Supply planning data'!AK705</f>
        <v>0</v>
      </c>
      <c r="AJ707" s="98">
        <f>'Supply planning data'!AL705</f>
        <v>0</v>
      </c>
      <c r="AK707" s="98">
        <f>'Supply planning data'!AM705</f>
        <v>0</v>
      </c>
      <c r="AL707" s="98">
        <f>'Supply planning data'!AN705</f>
        <v>0</v>
      </c>
      <c r="AM707" s="325" t="str">
        <f>'Supply planning data'!AO705</f>
        <v/>
      </c>
    </row>
    <row r="708" spans="1:39" hidden="1" x14ac:dyDescent="0.25">
      <c r="A708" s="90" t="str">
        <f>'Supply planning data'!C706</f>
        <v/>
      </c>
      <c r="B708" s="296">
        <f>'Supply planning data'!D706</f>
        <v>45597</v>
      </c>
      <c r="C708" s="92" t="str">
        <f>'Supply planning data'!E706</f>
        <v>No</v>
      </c>
      <c r="D708" s="92">
        <f>'Supply planning data'!F706</f>
        <v>0</v>
      </c>
      <c r="E708" s="316">
        <f>'Supply planning data'!G706</f>
        <v>0</v>
      </c>
      <c r="F708" s="317">
        <f>'Supply planning data'!H706</f>
        <v>0</v>
      </c>
      <c r="G708" s="317">
        <f>'Supply planning data'!I706</f>
        <v>0</v>
      </c>
      <c r="H708" s="98">
        <f>'Supply planning data'!J706</f>
        <v>0</v>
      </c>
      <c r="I708" s="317">
        <f>'Supply planning data'!K706</f>
        <v>0</v>
      </c>
      <c r="J708" s="175" t="str">
        <f>'Supply planning data'!L706</f>
        <v/>
      </c>
      <c r="K708" s="98">
        <f>'Supply planning data'!M706</f>
        <v>0</v>
      </c>
      <c r="L708" s="317">
        <f>'Supply planning data'!N706+'Supply planning data'!P706</f>
        <v>0</v>
      </c>
      <c r="M708" s="339">
        <f>'Supply planning data'!O706</f>
        <v>0</v>
      </c>
      <c r="N708" s="317">
        <f>'Supply planning data'!P706</f>
        <v>0</v>
      </c>
      <c r="O708" s="339">
        <f>'Supply planning data'!Q706</f>
        <v>0</v>
      </c>
      <c r="P708" s="98">
        <f>'Supply planning data'!R706</f>
        <v>0</v>
      </c>
      <c r="Q708" s="98">
        <f>'Supply planning data'!S706</f>
        <v>0</v>
      </c>
      <c r="R708" s="98">
        <f>'Supply planning data'!T706</f>
        <v>0</v>
      </c>
      <c r="S708" s="98">
        <f>'Supply planning data'!U706</f>
        <v>0</v>
      </c>
      <c r="T708" s="98">
        <f>'Supply planning data'!V706</f>
        <v>0</v>
      </c>
      <c r="U708" s="325" t="str">
        <f>'Supply planning data'!W706</f>
        <v/>
      </c>
      <c r="V708" s="98">
        <f>'Supply planning data'!X706</f>
        <v>0</v>
      </c>
      <c r="W708" s="317">
        <f>'Supply planning data'!Y706</f>
        <v>0</v>
      </c>
      <c r="X708" s="328">
        <f>'Supply planning data'!Z706</f>
        <v>0</v>
      </c>
      <c r="Y708" s="98">
        <f>'Supply planning data'!AA706</f>
        <v>0</v>
      </c>
      <c r="Z708" s="98">
        <f>'Supply planning data'!AB706</f>
        <v>0</v>
      </c>
      <c r="AA708" s="98">
        <f>'Supply planning data'!AC706</f>
        <v>0</v>
      </c>
      <c r="AB708" s="98">
        <f>'Supply planning data'!AD706</f>
        <v>0</v>
      </c>
      <c r="AC708" s="98">
        <f>'Supply planning data'!AE706</f>
        <v>0</v>
      </c>
      <c r="AD708" s="325" t="str">
        <f>'Supply planning data'!AF706</f>
        <v/>
      </c>
      <c r="AE708" s="98">
        <f>'Supply planning data'!AG706</f>
        <v>0</v>
      </c>
      <c r="AF708" s="317">
        <f>'Supply planning data'!AH706</f>
        <v>0</v>
      </c>
      <c r="AG708" s="175">
        <f>'Supply planning data'!AI706</f>
        <v>0</v>
      </c>
      <c r="AH708" s="98">
        <f>'Supply planning data'!AJ706</f>
        <v>0</v>
      </c>
      <c r="AI708" s="98">
        <f>'Supply planning data'!AK706</f>
        <v>0</v>
      </c>
      <c r="AJ708" s="98">
        <f>'Supply planning data'!AL706</f>
        <v>0</v>
      </c>
      <c r="AK708" s="98">
        <f>'Supply planning data'!AM706</f>
        <v>0</v>
      </c>
      <c r="AL708" s="98">
        <f>'Supply planning data'!AN706</f>
        <v>0</v>
      </c>
      <c r="AM708" s="325" t="str">
        <f>'Supply planning data'!AO706</f>
        <v/>
      </c>
    </row>
    <row r="709" spans="1:39" hidden="1" x14ac:dyDescent="0.25">
      <c r="A709" s="90" t="str">
        <f>'Supply planning data'!C707</f>
        <v/>
      </c>
      <c r="B709" s="296">
        <f>'Supply planning data'!D707</f>
        <v>45597</v>
      </c>
      <c r="C709" s="92" t="str">
        <f>'Supply planning data'!E707</f>
        <v>No</v>
      </c>
      <c r="D709" s="92">
        <f>'Supply planning data'!F707</f>
        <v>0</v>
      </c>
      <c r="E709" s="316">
        <f>'Supply planning data'!G707</f>
        <v>0</v>
      </c>
      <c r="F709" s="317">
        <f>'Supply planning data'!H707</f>
        <v>0</v>
      </c>
      <c r="G709" s="317">
        <f>'Supply planning data'!I707</f>
        <v>0</v>
      </c>
      <c r="H709" s="98">
        <f>'Supply planning data'!J707</f>
        <v>0</v>
      </c>
      <c r="I709" s="317">
        <f>'Supply planning data'!K707</f>
        <v>0</v>
      </c>
      <c r="J709" s="175" t="str">
        <f>'Supply planning data'!L707</f>
        <v/>
      </c>
      <c r="K709" s="98">
        <f>'Supply planning data'!M707</f>
        <v>0</v>
      </c>
      <c r="L709" s="317">
        <f>'Supply planning data'!N707+'Supply planning data'!P707</f>
        <v>0</v>
      </c>
      <c r="M709" s="339">
        <f>'Supply planning data'!O707</f>
        <v>0</v>
      </c>
      <c r="N709" s="317">
        <f>'Supply planning data'!P707</f>
        <v>0</v>
      </c>
      <c r="O709" s="339">
        <f>'Supply planning data'!Q707</f>
        <v>0</v>
      </c>
      <c r="P709" s="98">
        <f>'Supply planning data'!R707</f>
        <v>0</v>
      </c>
      <c r="Q709" s="98">
        <f>'Supply planning data'!S707</f>
        <v>0</v>
      </c>
      <c r="R709" s="98">
        <f>'Supply planning data'!T707</f>
        <v>0</v>
      </c>
      <c r="S709" s="98">
        <f>'Supply planning data'!U707</f>
        <v>0</v>
      </c>
      <c r="T709" s="98">
        <f>'Supply planning data'!V707</f>
        <v>0</v>
      </c>
      <c r="U709" s="325" t="str">
        <f>'Supply planning data'!W707</f>
        <v/>
      </c>
      <c r="V709" s="98">
        <f>'Supply planning data'!X707</f>
        <v>0</v>
      </c>
      <c r="W709" s="317">
        <f>'Supply planning data'!Y707</f>
        <v>0</v>
      </c>
      <c r="X709" s="328">
        <f>'Supply planning data'!Z707</f>
        <v>0</v>
      </c>
      <c r="Y709" s="98">
        <f>'Supply planning data'!AA707</f>
        <v>0</v>
      </c>
      <c r="Z709" s="98">
        <f>'Supply planning data'!AB707</f>
        <v>0</v>
      </c>
      <c r="AA709" s="98">
        <f>'Supply planning data'!AC707</f>
        <v>0</v>
      </c>
      <c r="AB709" s="98">
        <f>'Supply planning data'!AD707</f>
        <v>0</v>
      </c>
      <c r="AC709" s="98">
        <f>'Supply planning data'!AE707</f>
        <v>0</v>
      </c>
      <c r="AD709" s="325" t="str">
        <f>'Supply planning data'!AF707</f>
        <v/>
      </c>
      <c r="AE709" s="98">
        <f>'Supply planning data'!AG707</f>
        <v>0</v>
      </c>
      <c r="AF709" s="317">
        <f>'Supply planning data'!AH707</f>
        <v>0</v>
      </c>
      <c r="AG709" s="175">
        <f>'Supply planning data'!AI707</f>
        <v>0</v>
      </c>
      <c r="AH709" s="98">
        <f>'Supply planning data'!AJ707</f>
        <v>0</v>
      </c>
      <c r="AI709" s="98">
        <f>'Supply planning data'!AK707</f>
        <v>0</v>
      </c>
      <c r="AJ709" s="98">
        <f>'Supply planning data'!AL707</f>
        <v>0</v>
      </c>
      <c r="AK709" s="98">
        <f>'Supply planning data'!AM707</f>
        <v>0</v>
      </c>
      <c r="AL709" s="98">
        <f>'Supply planning data'!AN707</f>
        <v>0</v>
      </c>
      <c r="AM709" s="325" t="str">
        <f>'Supply planning data'!AO707</f>
        <v/>
      </c>
    </row>
    <row r="710" spans="1:39" hidden="1" x14ac:dyDescent="0.25">
      <c r="A710" s="90" t="str">
        <f>'Supply planning data'!C708</f>
        <v/>
      </c>
      <c r="B710" s="296">
        <f>'Supply planning data'!D708</f>
        <v>45597</v>
      </c>
      <c r="C710" s="92" t="str">
        <f>'Supply planning data'!E708</f>
        <v>No</v>
      </c>
      <c r="D710" s="92">
        <f>'Supply planning data'!F708</f>
        <v>0</v>
      </c>
      <c r="E710" s="316">
        <f>'Supply planning data'!G708</f>
        <v>0</v>
      </c>
      <c r="F710" s="317">
        <f>'Supply planning data'!H708</f>
        <v>0</v>
      </c>
      <c r="G710" s="317">
        <f>'Supply planning data'!I708</f>
        <v>0</v>
      </c>
      <c r="H710" s="98">
        <f>'Supply planning data'!J708</f>
        <v>0</v>
      </c>
      <c r="I710" s="317">
        <f>'Supply planning data'!K708</f>
        <v>0</v>
      </c>
      <c r="J710" s="175" t="str">
        <f>'Supply planning data'!L708</f>
        <v/>
      </c>
      <c r="K710" s="98">
        <f>'Supply planning data'!M708</f>
        <v>0</v>
      </c>
      <c r="L710" s="317">
        <f>'Supply planning data'!N708+'Supply planning data'!P708</f>
        <v>0</v>
      </c>
      <c r="M710" s="339">
        <f>'Supply planning data'!O708</f>
        <v>0</v>
      </c>
      <c r="N710" s="317">
        <f>'Supply planning data'!P708</f>
        <v>0</v>
      </c>
      <c r="O710" s="339">
        <f>'Supply planning data'!Q708</f>
        <v>0</v>
      </c>
      <c r="P710" s="98">
        <f>'Supply planning data'!R708</f>
        <v>0</v>
      </c>
      <c r="Q710" s="98">
        <f>'Supply planning data'!S708</f>
        <v>0</v>
      </c>
      <c r="R710" s="98">
        <f>'Supply planning data'!T708</f>
        <v>0</v>
      </c>
      <c r="S710" s="98">
        <f>'Supply planning data'!U708</f>
        <v>0</v>
      </c>
      <c r="T710" s="98">
        <f>'Supply planning data'!V708</f>
        <v>0</v>
      </c>
      <c r="U710" s="325" t="str">
        <f>'Supply planning data'!W708</f>
        <v/>
      </c>
      <c r="V710" s="98">
        <f>'Supply planning data'!X708</f>
        <v>0</v>
      </c>
      <c r="W710" s="317">
        <f>'Supply planning data'!Y708</f>
        <v>0</v>
      </c>
      <c r="X710" s="328">
        <f>'Supply planning data'!Z708</f>
        <v>0</v>
      </c>
      <c r="Y710" s="98">
        <f>'Supply planning data'!AA708</f>
        <v>0</v>
      </c>
      <c r="Z710" s="98">
        <f>'Supply planning data'!AB708</f>
        <v>0</v>
      </c>
      <c r="AA710" s="98">
        <f>'Supply planning data'!AC708</f>
        <v>0</v>
      </c>
      <c r="AB710" s="98">
        <f>'Supply planning data'!AD708</f>
        <v>0</v>
      </c>
      <c r="AC710" s="98">
        <f>'Supply planning data'!AE708</f>
        <v>0</v>
      </c>
      <c r="AD710" s="325" t="str">
        <f>'Supply planning data'!AF708</f>
        <v/>
      </c>
      <c r="AE710" s="98">
        <f>'Supply planning data'!AG708</f>
        <v>0</v>
      </c>
      <c r="AF710" s="317">
        <f>'Supply planning data'!AH708</f>
        <v>0</v>
      </c>
      <c r="AG710" s="175">
        <f>'Supply planning data'!AI708</f>
        <v>0</v>
      </c>
      <c r="AH710" s="98">
        <f>'Supply planning data'!AJ708</f>
        <v>0</v>
      </c>
      <c r="AI710" s="98">
        <f>'Supply planning data'!AK708</f>
        <v>0</v>
      </c>
      <c r="AJ710" s="98">
        <f>'Supply planning data'!AL708</f>
        <v>0</v>
      </c>
      <c r="AK710" s="98">
        <f>'Supply planning data'!AM708</f>
        <v>0</v>
      </c>
      <c r="AL710" s="98">
        <f>'Supply planning data'!AN708</f>
        <v>0</v>
      </c>
      <c r="AM710" s="325" t="str">
        <f>'Supply planning data'!AO708</f>
        <v/>
      </c>
    </row>
    <row r="711" spans="1:39" hidden="1" x14ac:dyDescent="0.25">
      <c r="A711" s="90" t="str">
        <f>'Supply planning data'!C709</f>
        <v/>
      </c>
      <c r="B711" s="296">
        <f>'Supply planning data'!D709</f>
        <v>45597</v>
      </c>
      <c r="C711" s="92" t="str">
        <f>'Supply planning data'!E709</f>
        <v>No</v>
      </c>
      <c r="D711" s="92">
        <f>'Supply planning data'!F709</f>
        <v>0</v>
      </c>
      <c r="E711" s="316">
        <f>'Supply planning data'!G709</f>
        <v>0</v>
      </c>
      <c r="F711" s="317">
        <f>'Supply planning data'!H709</f>
        <v>0</v>
      </c>
      <c r="G711" s="317">
        <f>'Supply planning data'!I709</f>
        <v>0</v>
      </c>
      <c r="H711" s="98">
        <f>'Supply planning data'!J709</f>
        <v>0</v>
      </c>
      <c r="I711" s="317">
        <f>'Supply planning data'!K709</f>
        <v>0</v>
      </c>
      <c r="J711" s="175" t="str">
        <f>'Supply planning data'!L709</f>
        <v/>
      </c>
      <c r="K711" s="98">
        <f>'Supply planning data'!M709</f>
        <v>0</v>
      </c>
      <c r="L711" s="317">
        <f>'Supply planning data'!N709+'Supply planning data'!P709</f>
        <v>0</v>
      </c>
      <c r="M711" s="339">
        <f>'Supply planning data'!O709</f>
        <v>0</v>
      </c>
      <c r="N711" s="317">
        <f>'Supply planning data'!P709</f>
        <v>0</v>
      </c>
      <c r="O711" s="339">
        <f>'Supply planning data'!Q709</f>
        <v>0</v>
      </c>
      <c r="P711" s="98">
        <f>'Supply planning data'!R709</f>
        <v>0</v>
      </c>
      <c r="Q711" s="98">
        <f>'Supply planning data'!S709</f>
        <v>0</v>
      </c>
      <c r="R711" s="98">
        <f>'Supply planning data'!T709</f>
        <v>0</v>
      </c>
      <c r="S711" s="98">
        <f>'Supply planning data'!U709</f>
        <v>0</v>
      </c>
      <c r="T711" s="98">
        <f>'Supply planning data'!V709</f>
        <v>0</v>
      </c>
      <c r="U711" s="325" t="str">
        <f>'Supply planning data'!W709</f>
        <v/>
      </c>
      <c r="V711" s="98">
        <f>'Supply planning data'!X709</f>
        <v>0</v>
      </c>
      <c r="W711" s="317">
        <f>'Supply planning data'!Y709</f>
        <v>0</v>
      </c>
      <c r="X711" s="328">
        <f>'Supply planning data'!Z709</f>
        <v>0</v>
      </c>
      <c r="Y711" s="98">
        <f>'Supply planning data'!AA709</f>
        <v>0</v>
      </c>
      <c r="Z711" s="98">
        <f>'Supply planning data'!AB709</f>
        <v>0</v>
      </c>
      <c r="AA711" s="98">
        <f>'Supply planning data'!AC709</f>
        <v>0</v>
      </c>
      <c r="AB711" s="98">
        <f>'Supply planning data'!AD709</f>
        <v>0</v>
      </c>
      <c r="AC711" s="98">
        <f>'Supply planning data'!AE709</f>
        <v>0</v>
      </c>
      <c r="AD711" s="325" t="str">
        <f>'Supply planning data'!AF709</f>
        <v/>
      </c>
      <c r="AE711" s="98">
        <f>'Supply planning data'!AG709</f>
        <v>0</v>
      </c>
      <c r="AF711" s="317">
        <f>'Supply planning data'!AH709</f>
        <v>0</v>
      </c>
      <c r="AG711" s="175">
        <f>'Supply planning data'!AI709</f>
        <v>0</v>
      </c>
      <c r="AH711" s="98">
        <f>'Supply planning data'!AJ709</f>
        <v>0</v>
      </c>
      <c r="AI711" s="98">
        <f>'Supply planning data'!AK709</f>
        <v>0</v>
      </c>
      <c r="AJ711" s="98">
        <f>'Supply planning data'!AL709</f>
        <v>0</v>
      </c>
      <c r="AK711" s="98">
        <f>'Supply planning data'!AM709</f>
        <v>0</v>
      </c>
      <c r="AL711" s="98">
        <f>'Supply planning data'!AN709</f>
        <v>0</v>
      </c>
      <c r="AM711" s="325" t="str">
        <f>'Supply planning data'!AO709</f>
        <v/>
      </c>
    </row>
    <row r="712" spans="1:39" x14ac:dyDescent="0.25">
      <c r="A712" s="104" t="str">
        <f>'Supply planning data'!C710</f>
        <v>AstraZeneca</v>
      </c>
      <c r="B712" s="298">
        <f>'Supply planning data'!D710</f>
        <v>45627</v>
      </c>
      <c r="C712" s="105" t="str">
        <f>'Supply planning data'!E710</f>
        <v>Yes</v>
      </c>
      <c r="D712" s="105">
        <f>'Supply planning data'!F710</f>
        <v>0</v>
      </c>
      <c r="E712" s="320">
        <f>'Supply planning data'!G710</f>
        <v>0</v>
      </c>
      <c r="F712" s="320">
        <f>'Supply planning data'!H710</f>
        <v>0</v>
      </c>
      <c r="G712" s="320">
        <f>'Supply planning data'!I710</f>
        <v>0</v>
      </c>
      <c r="H712" s="105">
        <f>'Supply planning data'!J710</f>
        <v>0</v>
      </c>
      <c r="I712" s="320">
        <f>'Supply planning data'!K710</f>
        <v>0</v>
      </c>
      <c r="J712" s="177" t="str">
        <f>'Supply planning data'!L710</f>
        <v/>
      </c>
      <c r="K712" s="105">
        <f>'Supply planning data'!M710</f>
        <v>0</v>
      </c>
      <c r="L712" s="320">
        <f>'Supply planning data'!N710+'Supply planning data'!P710</f>
        <v>0</v>
      </c>
      <c r="M712" s="341">
        <f>'Supply planning data'!O710</f>
        <v>0</v>
      </c>
      <c r="N712" s="320">
        <f>'Supply planning data'!P710</f>
        <v>0</v>
      </c>
      <c r="O712" s="341">
        <f>'Supply planning data'!Q710</f>
        <v>0</v>
      </c>
      <c r="P712" s="105">
        <f>'Supply planning data'!R710</f>
        <v>0</v>
      </c>
      <c r="Q712" s="105">
        <f>'Supply planning data'!S710</f>
        <v>0</v>
      </c>
      <c r="R712" s="105">
        <f>'Supply planning data'!T710</f>
        <v>0</v>
      </c>
      <c r="S712" s="105">
        <f>'Supply planning data'!U710</f>
        <v>0</v>
      </c>
      <c r="T712" s="105">
        <f>'Supply planning data'!V710</f>
        <v>0</v>
      </c>
      <c r="U712" s="326" t="str">
        <f>'Supply planning data'!W710</f>
        <v/>
      </c>
      <c r="V712" s="105">
        <f>'Supply planning data'!X710</f>
        <v>154701</v>
      </c>
      <c r="W712" s="320">
        <f>'Supply planning data'!Y710</f>
        <v>0</v>
      </c>
      <c r="X712" s="329">
        <f>'Supply planning data'!Z710</f>
        <v>0</v>
      </c>
      <c r="Y712" s="105">
        <f>'Supply planning data'!AA710</f>
        <v>0</v>
      </c>
      <c r="Z712" s="105">
        <f>'Supply planning data'!AB710</f>
        <v>0</v>
      </c>
      <c r="AA712" s="105">
        <f>'Supply planning data'!AC710</f>
        <v>0</v>
      </c>
      <c r="AB712" s="105">
        <f>'Supply planning data'!AD710</f>
        <v>0</v>
      </c>
      <c r="AC712" s="105">
        <f>'Supply planning data'!AE710</f>
        <v>154701</v>
      </c>
      <c r="AD712" s="326" t="str">
        <f>'Supply planning data'!AF710</f>
        <v/>
      </c>
      <c r="AE712" s="105">
        <f>'Supply planning data'!AG710</f>
        <v>0</v>
      </c>
      <c r="AF712" s="320">
        <f>'Supply planning data'!AH710</f>
        <v>0</v>
      </c>
      <c r="AG712" s="177">
        <f>'Supply planning data'!AI710</f>
        <v>0</v>
      </c>
      <c r="AH712" s="105">
        <f>'Supply planning data'!AJ710</f>
        <v>0</v>
      </c>
      <c r="AI712" s="105">
        <f>'Supply planning data'!AK710</f>
        <v>0</v>
      </c>
      <c r="AJ712" s="105">
        <f>'Supply planning data'!AL710</f>
        <v>0</v>
      </c>
      <c r="AK712" s="105">
        <f>'Supply planning data'!AM710</f>
        <v>0</v>
      </c>
      <c r="AL712" s="105">
        <f>'Supply planning data'!AN710</f>
        <v>0</v>
      </c>
      <c r="AM712" s="326" t="str">
        <f>'Supply planning data'!AO710</f>
        <v/>
      </c>
    </row>
    <row r="713" spans="1:39" x14ac:dyDescent="0.25">
      <c r="A713" s="109" t="str">
        <f>'Supply planning data'!C711</f>
        <v>Jansen</v>
      </c>
      <c r="B713" s="298">
        <f>'Supply planning data'!D711</f>
        <v>45627</v>
      </c>
      <c r="C713" s="105" t="str">
        <f>'Supply planning data'!E711</f>
        <v>Yes</v>
      </c>
      <c r="D713" s="105">
        <f>'Supply planning data'!F711</f>
        <v>1871200</v>
      </c>
      <c r="E713" s="320">
        <f>'Supply planning data'!G711</f>
        <v>0</v>
      </c>
      <c r="F713" s="320">
        <f>'Supply planning data'!H711</f>
        <v>0</v>
      </c>
      <c r="G713" s="320">
        <f>'Supply planning data'!I711</f>
        <v>0</v>
      </c>
      <c r="H713" s="105">
        <f>'Supply planning data'!J711</f>
        <v>0</v>
      </c>
      <c r="I713" s="320">
        <f>'Supply planning data'!K711</f>
        <v>0</v>
      </c>
      <c r="J713" s="177" t="str">
        <f>'Supply planning data'!L711</f>
        <v/>
      </c>
      <c r="K713" s="105">
        <f>'Supply planning data'!M711</f>
        <v>0</v>
      </c>
      <c r="L713" s="321">
        <f>'Supply planning data'!N711+'Supply planning data'!P711</f>
        <v>0</v>
      </c>
      <c r="M713" s="342">
        <f>'Supply planning data'!O711</f>
        <v>0</v>
      </c>
      <c r="N713" s="321">
        <f>'Supply planning data'!P711</f>
        <v>0</v>
      </c>
      <c r="O713" s="342">
        <f>'Supply planning data'!Q711</f>
        <v>0</v>
      </c>
      <c r="P713" s="111">
        <f>'Supply planning data'!R711</f>
        <v>0</v>
      </c>
      <c r="Q713" s="111">
        <f>'Supply planning data'!S711</f>
        <v>0</v>
      </c>
      <c r="R713" s="111">
        <f>'Supply planning data'!T711</f>
        <v>387547</v>
      </c>
      <c r="S713" s="111">
        <f>'Supply planning data'!U711</f>
        <v>0</v>
      </c>
      <c r="T713" s="111">
        <f>'Supply planning data'!V711</f>
        <v>1871200</v>
      </c>
      <c r="U713" s="327" t="str">
        <f>'Supply planning data'!W711</f>
        <v/>
      </c>
      <c r="V713" s="111">
        <f>'Supply planning data'!X711</f>
        <v>1311200</v>
      </c>
      <c r="W713" s="321">
        <f>'Supply planning data'!Y711</f>
        <v>0</v>
      </c>
      <c r="X713" s="329">
        <f>'Supply planning data'!Z711</f>
        <v>0</v>
      </c>
      <c r="Y713" s="111">
        <f>'Supply planning data'!AA711</f>
        <v>0</v>
      </c>
      <c r="Z713" s="111">
        <f>'Supply planning data'!AB711</f>
        <v>0</v>
      </c>
      <c r="AA713" s="111">
        <f>'Supply planning data'!AC711</f>
        <v>0</v>
      </c>
      <c r="AB713" s="111">
        <f>'Supply planning data'!AD711</f>
        <v>0</v>
      </c>
      <c r="AC713" s="111">
        <f>'Supply planning data'!AE711</f>
        <v>1311200</v>
      </c>
      <c r="AD713" s="327" t="str">
        <f>'Supply planning data'!AF711</f>
        <v/>
      </c>
      <c r="AE713" s="111">
        <f>'Supply planning data'!AG711</f>
        <v>1871200</v>
      </c>
      <c r="AF713" s="321">
        <f>'Supply planning data'!AH711</f>
        <v>0</v>
      </c>
      <c r="AG713" s="349">
        <f>'Supply planning data'!AI711</f>
        <v>0</v>
      </c>
      <c r="AH713" s="111">
        <f>'Supply planning data'!AJ711</f>
        <v>0</v>
      </c>
      <c r="AI713" s="111">
        <f>'Supply planning data'!AK711</f>
        <v>0</v>
      </c>
      <c r="AJ713" s="111">
        <f>'Supply planning data'!AL711</f>
        <v>387547</v>
      </c>
      <c r="AK713" s="111">
        <f>'Supply planning data'!AM711</f>
        <v>0</v>
      </c>
      <c r="AL713" s="111">
        <f>'Supply planning data'!AN711</f>
        <v>1871200</v>
      </c>
      <c r="AM713" s="327" t="str">
        <f>'Supply planning data'!AO711</f>
        <v/>
      </c>
    </row>
    <row r="714" spans="1:39" x14ac:dyDescent="0.25">
      <c r="A714" s="104" t="str">
        <f>'Supply planning data'!C712</f>
        <v>Moderna</v>
      </c>
      <c r="B714" s="298">
        <f>'Supply planning data'!D712</f>
        <v>45627</v>
      </c>
      <c r="C714" s="105" t="str">
        <f>'Supply planning data'!E712</f>
        <v>No</v>
      </c>
      <c r="D714" s="105">
        <f>'Supply planning data'!F712</f>
        <v>0</v>
      </c>
      <c r="E714" s="320">
        <f>'Supply planning data'!G712</f>
        <v>0</v>
      </c>
      <c r="F714" s="320">
        <f>'Supply planning data'!H712</f>
        <v>0</v>
      </c>
      <c r="G714" s="320">
        <f>'Supply planning data'!I712</f>
        <v>0</v>
      </c>
      <c r="H714" s="105">
        <f>'Supply planning data'!J712</f>
        <v>0</v>
      </c>
      <c r="I714" s="320">
        <f>'Supply planning data'!K712</f>
        <v>0</v>
      </c>
      <c r="J714" s="177" t="str">
        <f>'Supply planning data'!L712</f>
        <v/>
      </c>
      <c r="K714" s="105">
        <f>'Supply planning data'!M712</f>
        <v>0</v>
      </c>
      <c r="L714" s="321">
        <f>'Supply planning data'!N712+'Supply planning data'!P712</f>
        <v>0</v>
      </c>
      <c r="M714" s="342">
        <f>'Supply planning data'!O712</f>
        <v>0</v>
      </c>
      <c r="N714" s="321">
        <f>'Supply planning data'!P712</f>
        <v>0</v>
      </c>
      <c r="O714" s="342">
        <f>'Supply planning data'!Q712</f>
        <v>0</v>
      </c>
      <c r="P714" s="111">
        <f>'Supply planning data'!R712</f>
        <v>0</v>
      </c>
      <c r="Q714" s="111">
        <f>'Supply planning data'!S712</f>
        <v>0</v>
      </c>
      <c r="R714" s="111">
        <f>'Supply planning data'!T712</f>
        <v>0</v>
      </c>
      <c r="S714" s="111">
        <f>'Supply planning data'!U712</f>
        <v>0</v>
      </c>
      <c r="T714" s="111">
        <f>'Supply planning data'!V712</f>
        <v>0</v>
      </c>
      <c r="U714" s="327" t="str">
        <f>'Supply planning data'!W712</f>
        <v/>
      </c>
      <c r="V714" s="111">
        <f>'Supply planning data'!X712</f>
        <v>0</v>
      </c>
      <c r="W714" s="321">
        <f>'Supply planning data'!Y712</f>
        <v>0</v>
      </c>
      <c r="X714" s="329">
        <f>'Supply planning data'!Z712</f>
        <v>0</v>
      </c>
      <c r="Y714" s="111">
        <f>'Supply planning data'!AA712</f>
        <v>0</v>
      </c>
      <c r="Z714" s="111">
        <f>'Supply planning data'!AB712</f>
        <v>0</v>
      </c>
      <c r="AA714" s="111">
        <f>'Supply planning data'!AC712</f>
        <v>0</v>
      </c>
      <c r="AB714" s="111">
        <f>'Supply planning data'!AD712</f>
        <v>0</v>
      </c>
      <c r="AC714" s="111">
        <f>'Supply planning data'!AE712</f>
        <v>0</v>
      </c>
      <c r="AD714" s="327" t="str">
        <f>'Supply planning data'!AF712</f>
        <v/>
      </c>
      <c r="AE714" s="111">
        <f>'Supply planning data'!AG712</f>
        <v>0</v>
      </c>
      <c r="AF714" s="321">
        <f>'Supply planning data'!AH712</f>
        <v>0</v>
      </c>
      <c r="AG714" s="349">
        <f>'Supply planning data'!AI712</f>
        <v>0</v>
      </c>
      <c r="AH714" s="111">
        <f>'Supply planning data'!AJ712</f>
        <v>0</v>
      </c>
      <c r="AI714" s="111">
        <f>'Supply planning data'!AK712</f>
        <v>0</v>
      </c>
      <c r="AJ714" s="111">
        <f>'Supply planning data'!AL712</f>
        <v>0</v>
      </c>
      <c r="AK714" s="111">
        <f>'Supply planning data'!AM712</f>
        <v>0</v>
      </c>
      <c r="AL714" s="111">
        <f>'Supply planning data'!AN712</f>
        <v>0</v>
      </c>
      <c r="AM714" s="327" t="str">
        <f>'Supply planning data'!AO712</f>
        <v/>
      </c>
    </row>
    <row r="715" spans="1:39" x14ac:dyDescent="0.25">
      <c r="A715" s="109" t="str">
        <f>'Supply planning data'!C713</f>
        <v>Pfizer</v>
      </c>
      <c r="B715" s="298">
        <f>'Supply planning data'!D713</f>
        <v>45627</v>
      </c>
      <c r="C715" s="105" t="str">
        <f>'Supply planning data'!E713</f>
        <v>Yes</v>
      </c>
      <c r="D715" s="105">
        <f>'Supply planning data'!F713</f>
        <v>3000000</v>
      </c>
      <c r="E715" s="320">
        <f>'Supply planning data'!G713</f>
        <v>0</v>
      </c>
      <c r="F715" s="320">
        <f>'Supply planning data'!H713</f>
        <v>0</v>
      </c>
      <c r="G715" s="320">
        <f>'Supply planning data'!I713</f>
        <v>0</v>
      </c>
      <c r="H715" s="105">
        <f>'Supply planning data'!J713</f>
        <v>0</v>
      </c>
      <c r="I715" s="320">
        <f>'Supply planning data'!K713</f>
        <v>0</v>
      </c>
      <c r="J715" s="177" t="str">
        <f>'Supply planning data'!L713</f>
        <v/>
      </c>
      <c r="K715" s="105">
        <f>'Supply planning data'!M713</f>
        <v>0</v>
      </c>
      <c r="L715" s="321">
        <f>'Supply planning data'!N713+'Supply planning data'!P713</f>
        <v>0</v>
      </c>
      <c r="M715" s="342">
        <f>'Supply planning data'!O713</f>
        <v>0</v>
      </c>
      <c r="N715" s="321">
        <f>'Supply planning data'!P713</f>
        <v>0</v>
      </c>
      <c r="O715" s="342">
        <f>'Supply planning data'!Q713</f>
        <v>0</v>
      </c>
      <c r="P715" s="111">
        <f>'Supply planning data'!R713</f>
        <v>0</v>
      </c>
      <c r="Q715" s="111">
        <f>'Supply planning data'!S713</f>
        <v>0</v>
      </c>
      <c r="R715" s="111">
        <f>'Supply planning data'!T713</f>
        <v>110538</v>
      </c>
      <c r="S715" s="111">
        <f>'Supply planning data'!U713</f>
        <v>0</v>
      </c>
      <c r="T715" s="111">
        <f>'Supply planning data'!V713</f>
        <v>3000000</v>
      </c>
      <c r="U715" s="327" t="str">
        <f>'Supply planning data'!W713</f>
        <v/>
      </c>
      <c r="V715" s="111">
        <f>'Supply planning data'!X713</f>
        <v>2440000</v>
      </c>
      <c r="W715" s="321">
        <f>'Supply planning data'!Y713</f>
        <v>0</v>
      </c>
      <c r="X715" s="329">
        <f>'Supply planning data'!Z713</f>
        <v>0</v>
      </c>
      <c r="Y715" s="111">
        <f>'Supply planning data'!AA713</f>
        <v>0</v>
      </c>
      <c r="Z715" s="111">
        <f>'Supply planning data'!AB713</f>
        <v>0</v>
      </c>
      <c r="AA715" s="111">
        <f>'Supply planning data'!AC713</f>
        <v>0</v>
      </c>
      <c r="AB715" s="111">
        <f>'Supply planning data'!AD713</f>
        <v>0</v>
      </c>
      <c r="AC715" s="111">
        <f>'Supply planning data'!AE713</f>
        <v>2440000</v>
      </c>
      <c r="AD715" s="327" t="str">
        <f>'Supply planning data'!AF713</f>
        <v/>
      </c>
      <c r="AE715" s="111">
        <f>'Supply planning data'!AG713</f>
        <v>3000000</v>
      </c>
      <c r="AF715" s="321">
        <f>'Supply planning data'!AH713</f>
        <v>0</v>
      </c>
      <c r="AG715" s="349">
        <f>'Supply planning data'!AI713</f>
        <v>0</v>
      </c>
      <c r="AH715" s="111">
        <f>'Supply planning data'!AJ713</f>
        <v>0</v>
      </c>
      <c r="AI715" s="111">
        <f>'Supply planning data'!AK713</f>
        <v>0</v>
      </c>
      <c r="AJ715" s="111">
        <f>'Supply planning data'!AL713</f>
        <v>110538</v>
      </c>
      <c r="AK715" s="111">
        <f>'Supply planning data'!AM713</f>
        <v>0</v>
      </c>
      <c r="AL715" s="111">
        <f>'Supply planning data'!AN713</f>
        <v>3000000</v>
      </c>
      <c r="AM715" s="327" t="str">
        <f>'Supply planning data'!AO713</f>
        <v/>
      </c>
    </row>
    <row r="716" spans="1:39" x14ac:dyDescent="0.25">
      <c r="A716" s="104" t="str">
        <f>'Supply planning data'!C714</f>
        <v>Sinovac</v>
      </c>
      <c r="B716" s="298">
        <f>'Supply planning data'!D714</f>
        <v>45627</v>
      </c>
      <c r="C716" s="105" t="str">
        <f>'Supply planning data'!E714</f>
        <v>No</v>
      </c>
      <c r="D716" s="105">
        <f>'Supply planning data'!F714</f>
        <v>0</v>
      </c>
      <c r="E716" s="320">
        <f>'Supply planning data'!G714</f>
        <v>0</v>
      </c>
      <c r="F716" s="320">
        <f>'Supply planning data'!H714</f>
        <v>0</v>
      </c>
      <c r="G716" s="320">
        <f>'Supply planning data'!I714</f>
        <v>0</v>
      </c>
      <c r="H716" s="105">
        <f>'Supply planning data'!J714</f>
        <v>0</v>
      </c>
      <c r="I716" s="320">
        <f>'Supply planning data'!K714</f>
        <v>0</v>
      </c>
      <c r="J716" s="177" t="str">
        <f>'Supply planning data'!L714</f>
        <v/>
      </c>
      <c r="K716" s="105">
        <f>'Supply planning data'!M714</f>
        <v>0</v>
      </c>
      <c r="L716" s="321">
        <f>'Supply planning data'!N714+'Supply planning data'!P714</f>
        <v>0</v>
      </c>
      <c r="M716" s="342">
        <f>'Supply planning data'!O714</f>
        <v>0</v>
      </c>
      <c r="N716" s="321">
        <f>'Supply planning data'!P714</f>
        <v>0</v>
      </c>
      <c r="O716" s="342">
        <f>'Supply planning data'!Q714</f>
        <v>0</v>
      </c>
      <c r="P716" s="111">
        <f>'Supply planning data'!R714</f>
        <v>0</v>
      </c>
      <c r="Q716" s="111">
        <f>'Supply planning data'!S714</f>
        <v>0</v>
      </c>
      <c r="R716" s="111">
        <f>'Supply planning data'!T714</f>
        <v>0</v>
      </c>
      <c r="S716" s="111">
        <f>'Supply planning data'!U714</f>
        <v>0</v>
      </c>
      <c r="T716" s="111">
        <f>'Supply planning data'!V714</f>
        <v>0</v>
      </c>
      <c r="U716" s="327" t="str">
        <f>'Supply planning data'!W714</f>
        <v/>
      </c>
      <c r="V716" s="111">
        <f>'Supply planning data'!X714</f>
        <v>0</v>
      </c>
      <c r="W716" s="321">
        <f>'Supply planning data'!Y714</f>
        <v>0</v>
      </c>
      <c r="X716" s="329">
        <f>'Supply planning data'!Z714</f>
        <v>0</v>
      </c>
      <c r="Y716" s="111">
        <f>'Supply planning data'!AA714</f>
        <v>0</v>
      </c>
      <c r="Z716" s="111">
        <f>'Supply planning data'!AB714</f>
        <v>0</v>
      </c>
      <c r="AA716" s="111">
        <f>'Supply planning data'!AC714</f>
        <v>0</v>
      </c>
      <c r="AB716" s="111">
        <f>'Supply planning data'!AD714</f>
        <v>0</v>
      </c>
      <c r="AC716" s="111">
        <f>'Supply planning data'!AE714</f>
        <v>0</v>
      </c>
      <c r="AD716" s="327" t="str">
        <f>'Supply planning data'!AF714</f>
        <v/>
      </c>
      <c r="AE716" s="111">
        <f>'Supply planning data'!AG714</f>
        <v>0</v>
      </c>
      <c r="AF716" s="321">
        <f>'Supply planning data'!AH714</f>
        <v>0</v>
      </c>
      <c r="AG716" s="349">
        <f>'Supply planning data'!AI714</f>
        <v>0</v>
      </c>
      <c r="AH716" s="111">
        <f>'Supply planning data'!AJ714</f>
        <v>0</v>
      </c>
      <c r="AI716" s="111">
        <f>'Supply planning data'!AK714</f>
        <v>0</v>
      </c>
      <c r="AJ716" s="111">
        <f>'Supply planning data'!AL714</f>
        <v>0</v>
      </c>
      <c r="AK716" s="111">
        <f>'Supply planning data'!AM714</f>
        <v>0</v>
      </c>
      <c r="AL716" s="111">
        <f>'Supply planning data'!AN714</f>
        <v>0</v>
      </c>
      <c r="AM716" s="327" t="str">
        <f>'Supply planning data'!AO714</f>
        <v/>
      </c>
    </row>
    <row r="717" spans="1:39" hidden="1" x14ac:dyDescent="0.25">
      <c r="A717" s="109" t="str">
        <f>'Supply planning data'!C715</f>
        <v/>
      </c>
      <c r="B717" s="298">
        <f>'Supply planning data'!D715</f>
        <v>45627</v>
      </c>
      <c r="C717" s="105" t="str">
        <f>'Supply planning data'!E715</f>
        <v>No</v>
      </c>
      <c r="D717" s="105">
        <f>'Supply planning data'!F715</f>
        <v>0</v>
      </c>
      <c r="E717" s="320">
        <f>'Supply planning data'!G715</f>
        <v>0</v>
      </c>
      <c r="F717" s="320">
        <f>'Supply planning data'!H715</f>
        <v>0</v>
      </c>
      <c r="G717" s="320">
        <f>'Supply planning data'!I715</f>
        <v>0</v>
      </c>
      <c r="H717" s="105">
        <f>'Supply planning data'!J715</f>
        <v>0</v>
      </c>
      <c r="I717" s="320">
        <f>'Supply planning data'!K715</f>
        <v>0</v>
      </c>
      <c r="J717" s="177" t="str">
        <f>'Supply planning data'!L715</f>
        <v/>
      </c>
      <c r="K717" s="105">
        <f>'Supply planning data'!M715</f>
        <v>0</v>
      </c>
      <c r="L717" s="321">
        <f>'Supply planning data'!N715+'Supply planning data'!P715</f>
        <v>0</v>
      </c>
      <c r="M717" s="342">
        <f>'Supply planning data'!O715</f>
        <v>0</v>
      </c>
      <c r="N717" s="321">
        <f>'Supply planning data'!P715</f>
        <v>0</v>
      </c>
      <c r="O717" s="342">
        <f>'Supply planning data'!Q715</f>
        <v>0</v>
      </c>
      <c r="P717" s="111">
        <f>'Supply planning data'!R715</f>
        <v>0</v>
      </c>
      <c r="Q717" s="111">
        <f>'Supply planning data'!S715</f>
        <v>0</v>
      </c>
      <c r="R717" s="111">
        <f>'Supply planning data'!T715</f>
        <v>0</v>
      </c>
      <c r="S717" s="111">
        <f>'Supply planning data'!U715</f>
        <v>0</v>
      </c>
      <c r="T717" s="111">
        <f>'Supply planning data'!V715</f>
        <v>0</v>
      </c>
      <c r="U717" s="327" t="str">
        <f>'Supply planning data'!W715</f>
        <v/>
      </c>
      <c r="V717" s="111">
        <f>'Supply planning data'!X715</f>
        <v>0</v>
      </c>
      <c r="W717" s="321">
        <f>'Supply planning data'!Y715</f>
        <v>0</v>
      </c>
      <c r="X717" s="329">
        <f>'Supply planning data'!Z715</f>
        <v>0</v>
      </c>
      <c r="Y717" s="111">
        <f>'Supply planning data'!AA715</f>
        <v>0</v>
      </c>
      <c r="Z717" s="111">
        <f>'Supply planning data'!AB715</f>
        <v>0</v>
      </c>
      <c r="AA717" s="111">
        <f>'Supply planning data'!AC715</f>
        <v>0</v>
      </c>
      <c r="AB717" s="111">
        <f>'Supply planning data'!AD715</f>
        <v>0</v>
      </c>
      <c r="AC717" s="111">
        <f>'Supply planning data'!AE715</f>
        <v>0</v>
      </c>
      <c r="AD717" s="327" t="str">
        <f>'Supply planning data'!AF715</f>
        <v/>
      </c>
      <c r="AE717" s="111">
        <f>'Supply planning data'!AG715</f>
        <v>0</v>
      </c>
      <c r="AF717" s="321">
        <f>'Supply planning data'!AH715</f>
        <v>0</v>
      </c>
      <c r="AG717" s="349">
        <f>'Supply planning data'!AI715</f>
        <v>0</v>
      </c>
      <c r="AH717" s="111">
        <f>'Supply planning data'!AJ715</f>
        <v>0</v>
      </c>
      <c r="AI717" s="111">
        <f>'Supply planning data'!AK715</f>
        <v>0</v>
      </c>
      <c r="AJ717" s="111">
        <f>'Supply planning data'!AL715</f>
        <v>0</v>
      </c>
      <c r="AK717" s="111">
        <f>'Supply planning data'!AM715</f>
        <v>0</v>
      </c>
      <c r="AL717" s="111">
        <f>'Supply planning data'!AN715</f>
        <v>0</v>
      </c>
      <c r="AM717" s="327" t="str">
        <f>'Supply planning data'!AO715</f>
        <v/>
      </c>
    </row>
    <row r="718" spans="1:39" hidden="1" x14ac:dyDescent="0.25">
      <c r="A718" s="104" t="str">
        <f>'Supply planning data'!C716</f>
        <v/>
      </c>
      <c r="B718" s="298">
        <f>'Supply planning data'!D716</f>
        <v>45627</v>
      </c>
      <c r="C718" s="105" t="str">
        <f>'Supply planning data'!E716</f>
        <v>No</v>
      </c>
      <c r="D718" s="105">
        <f>'Supply planning data'!F716</f>
        <v>0</v>
      </c>
      <c r="E718" s="320">
        <f>'Supply planning data'!G716</f>
        <v>0</v>
      </c>
      <c r="F718" s="320">
        <f>'Supply planning data'!H716</f>
        <v>0</v>
      </c>
      <c r="G718" s="320">
        <f>'Supply planning data'!I716</f>
        <v>0</v>
      </c>
      <c r="H718" s="105">
        <f>'Supply planning data'!J716</f>
        <v>0</v>
      </c>
      <c r="I718" s="320">
        <f>'Supply planning data'!K716</f>
        <v>0</v>
      </c>
      <c r="J718" s="177" t="str">
        <f>'Supply planning data'!L716</f>
        <v/>
      </c>
      <c r="K718" s="105">
        <f>'Supply planning data'!M716</f>
        <v>0</v>
      </c>
      <c r="L718" s="321">
        <f>'Supply planning data'!N716+'Supply planning data'!P716</f>
        <v>0</v>
      </c>
      <c r="M718" s="342">
        <f>'Supply planning data'!O716</f>
        <v>0</v>
      </c>
      <c r="N718" s="321">
        <f>'Supply planning data'!P716</f>
        <v>0</v>
      </c>
      <c r="O718" s="342">
        <f>'Supply planning data'!Q716</f>
        <v>0</v>
      </c>
      <c r="P718" s="111">
        <f>'Supply planning data'!R716</f>
        <v>0</v>
      </c>
      <c r="Q718" s="111">
        <f>'Supply planning data'!S716</f>
        <v>0</v>
      </c>
      <c r="R718" s="111">
        <f>'Supply planning data'!T716</f>
        <v>0</v>
      </c>
      <c r="S718" s="111">
        <f>'Supply planning data'!U716</f>
        <v>0</v>
      </c>
      <c r="T718" s="111">
        <f>'Supply planning data'!V716</f>
        <v>0</v>
      </c>
      <c r="U718" s="327" t="str">
        <f>'Supply planning data'!W716</f>
        <v/>
      </c>
      <c r="V718" s="111">
        <f>'Supply planning data'!X716</f>
        <v>0</v>
      </c>
      <c r="W718" s="321">
        <f>'Supply planning data'!Y716</f>
        <v>0</v>
      </c>
      <c r="X718" s="329">
        <f>'Supply planning data'!Z716</f>
        <v>0</v>
      </c>
      <c r="Y718" s="111">
        <f>'Supply planning data'!AA716</f>
        <v>0</v>
      </c>
      <c r="Z718" s="111">
        <f>'Supply planning data'!AB716</f>
        <v>0</v>
      </c>
      <c r="AA718" s="111">
        <f>'Supply planning data'!AC716</f>
        <v>0</v>
      </c>
      <c r="AB718" s="111">
        <f>'Supply planning data'!AD716</f>
        <v>0</v>
      </c>
      <c r="AC718" s="111">
        <f>'Supply planning data'!AE716</f>
        <v>0</v>
      </c>
      <c r="AD718" s="327" t="str">
        <f>'Supply planning data'!AF716</f>
        <v/>
      </c>
      <c r="AE718" s="111">
        <f>'Supply planning data'!AG716</f>
        <v>0</v>
      </c>
      <c r="AF718" s="321">
        <f>'Supply planning data'!AH716</f>
        <v>0</v>
      </c>
      <c r="AG718" s="349">
        <f>'Supply planning data'!AI716</f>
        <v>0</v>
      </c>
      <c r="AH718" s="111">
        <f>'Supply planning data'!AJ716</f>
        <v>0</v>
      </c>
      <c r="AI718" s="111">
        <f>'Supply planning data'!AK716</f>
        <v>0</v>
      </c>
      <c r="AJ718" s="111">
        <f>'Supply planning data'!AL716</f>
        <v>0</v>
      </c>
      <c r="AK718" s="111">
        <f>'Supply planning data'!AM716</f>
        <v>0</v>
      </c>
      <c r="AL718" s="111">
        <f>'Supply planning data'!AN716</f>
        <v>0</v>
      </c>
      <c r="AM718" s="327" t="str">
        <f>'Supply planning data'!AO716</f>
        <v/>
      </c>
    </row>
    <row r="719" spans="1:39" hidden="1" x14ac:dyDescent="0.25">
      <c r="A719" s="109" t="str">
        <f>'Supply planning data'!C717</f>
        <v/>
      </c>
      <c r="B719" s="298">
        <f>'Supply planning data'!D717</f>
        <v>45627</v>
      </c>
      <c r="C719" s="105" t="str">
        <f>'Supply planning data'!E717</f>
        <v>No</v>
      </c>
      <c r="D719" s="105">
        <f>'Supply planning data'!F717</f>
        <v>0</v>
      </c>
      <c r="E719" s="320">
        <f>'Supply planning data'!G717</f>
        <v>0</v>
      </c>
      <c r="F719" s="320">
        <f>'Supply planning data'!H717</f>
        <v>0</v>
      </c>
      <c r="G719" s="320">
        <f>'Supply planning data'!I717</f>
        <v>0</v>
      </c>
      <c r="H719" s="105">
        <f>'Supply planning data'!J717</f>
        <v>0</v>
      </c>
      <c r="I719" s="320">
        <f>'Supply planning data'!K717</f>
        <v>0</v>
      </c>
      <c r="J719" s="177" t="str">
        <f>'Supply planning data'!L717</f>
        <v/>
      </c>
      <c r="K719" s="105">
        <f>'Supply planning data'!M717</f>
        <v>0</v>
      </c>
      <c r="L719" s="321">
        <f>'Supply planning data'!N717+'Supply planning data'!P717</f>
        <v>0</v>
      </c>
      <c r="M719" s="342">
        <f>'Supply planning data'!O717</f>
        <v>0</v>
      </c>
      <c r="N719" s="321">
        <f>'Supply planning data'!P717</f>
        <v>0</v>
      </c>
      <c r="O719" s="342">
        <f>'Supply planning data'!Q717</f>
        <v>0</v>
      </c>
      <c r="P719" s="111">
        <f>'Supply planning data'!R717</f>
        <v>0</v>
      </c>
      <c r="Q719" s="111">
        <f>'Supply planning data'!S717</f>
        <v>0</v>
      </c>
      <c r="R719" s="111">
        <f>'Supply planning data'!T717</f>
        <v>0</v>
      </c>
      <c r="S719" s="111">
        <f>'Supply planning data'!U717</f>
        <v>0</v>
      </c>
      <c r="T719" s="111">
        <f>'Supply planning data'!V717</f>
        <v>0</v>
      </c>
      <c r="U719" s="327" t="str">
        <f>'Supply planning data'!W717</f>
        <v/>
      </c>
      <c r="V719" s="111">
        <f>'Supply planning data'!X717</f>
        <v>0</v>
      </c>
      <c r="W719" s="321">
        <f>'Supply planning data'!Y717</f>
        <v>0</v>
      </c>
      <c r="X719" s="329">
        <f>'Supply planning data'!Z717</f>
        <v>0</v>
      </c>
      <c r="Y719" s="111">
        <f>'Supply planning data'!AA717</f>
        <v>0</v>
      </c>
      <c r="Z719" s="111">
        <f>'Supply planning data'!AB717</f>
        <v>0</v>
      </c>
      <c r="AA719" s="111">
        <f>'Supply planning data'!AC717</f>
        <v>0</v>
      </c>
      <c r="AB719" s="111">
        <f>'Supply planning data'!AD717</f>
        <v>0</v>
      </c>
      <c r="AC719" s="111">
        <f>'Supply planning data'!AE717</f>
        <v>0</v>
      </c>
      <c r="AD719" s="327" t="str">
        <f>'Supply planning data'!AF717</f>
        <v/>
      </c>
      <c r="AE719" s="111">
        <f>'Supply planning data'!AG717</f>
        <v>0</v>
      </c>
      <c r="AF719" s="321">
        <f>'Supply planning data'!AH717</f>
        <v>0</v>
      </c>
      <c r="AG719" s="349">
        <f>'Supply planning data'!AI717</f>
        <v>0</v>
      </c>
      <c r="AH719" s="111">
        <f>'Supply planning data'!AJ717</f>
        <v>0</v>
      </c>
      <c r="AI719" s="111">
        <f>'Supply planning data'!AK717</f>
        <v>0</v>
      </c>
      <c r="AJ719" s="111">
        <f>'Supply planning data'!AL717</f>
        <v>0</v>
      </c>
      <c r="AK719" s="111">
        <f>'Supply planning data'!AM717</f>
        <v>0</v>
      </c>
      <c r="AL719" s="111">
        <f>'Supply planning data'!AN717</f>
        <v>0</v>
      </c>
      <c r="AM719" s="327" t="str">
        <f>'Supply planning data'!AO717</f>
        <v/>
      </c>
    </row>
    <row r="720" spans="1:39" hidden="1" x14ac:dyDescent="0.25">
      <c r="A720" s="104" t="str">
        <f>'Supply planning data'!C718</f>
        <v/>
      </c>
      <c r="B720" s="298">
        <f>'Supply planning data'!D718</f>
        <v>45627</v>
      </c>
      <c r="C720" s="105" t="str">
        <f>'Supply planning data'!E718</f>
        <v>No</v>
      </c>
      <c r="D720" s="105">
        <f>'Supply planning data'!F718</f>
        <v>0</v>
      </c>
      <c r="E720" s="320">
        <f>'Supply planning data'!G718</f>
        <v>0</v>
      </c>
      <c r="F720" s="320">
        <f>'Supply planning data'!H718</f>
        <v>0</v>
      </c>
      <c r="G720" s="320">
        <f>'Supply planning data'!I718</f>
        <v>0</v>
      </c>
      <c r="H720" s="105">
        <f>'Supply planning data'!J718</f>
        <v>0</v>
      </c>
      <c r="I720" s="320">
        <f>'Supply planning data'!K718</f>
        <v>0</v>
      </c>
      <c r="J720" s="177" t="str">
        <f>'Supply planning data'!L718</f>
        <v/>
      </c>
      <c r="K720" s="105">
        <f>'Supply planning data'!M718</f>
        <v>0</v>
      </c>
      <c r="L720" s="321">
        <f>'Supply planning data'!N718+'Supply planning data'!P718</f>
        <v>0</v>
      </c>
      <c r="M720" s="342">
        <f>'Supply planning data'!O718</f>
        <v>0</v>
      </c>
      <c r="N720" s="321">
        <f>'Supply planning data'!P718</f>
        <v>0</v>
      </c>
      <c r="O720" s="342">
        <f>'Supply planning data'!Q718</f>
        <v>0</v>
      </c>
      <c r="P720" s="111">
        <f>'Supply planning data'!R718</f>
        <v>0</v>
      </c>
      <c r="Q720" s="111">
        <f>'Supply planning data'!S718</f>
        <v>0</v>
      </c>
      <c r="R720" s="111">
        <f>'Supply planning data'!T718</f>
        <v>0</v>
      </c>
      <c r="S720" s="111">
        <f>'Supply planning data'!U718</f>
        <v>0</v>
      </c>
      <c r="T720" s="111">
        <f>'Supply planning data'!V718</f>
        <v>0</v>
      </c>
      <c r="U720" s="327" t="str">
        <f>'Supply planning data'!W718</f>
        <v/>
      </c>
      <c r="V720" s="111">
        <f>'Supply planning data'!X718</f>
        <v>0</v>
      </c>
      <c r="W720" s="321">
        <f>'Supply planning data'!Y718</f>
        <v>0</v>
      </c>
      <c r="X720" s="329">
        <f>'Supply planning data'!Z718</f>
        <v>0</v>
      </c>
      <c r="Y720" s="111">
        <f>'Supply planning data'!AA718</f>
        <v>0</v>
      </c>
      <c r="Z720" s="111">
        <f>'Supply planning data'!AB718</f>
        <v>0</v>
      </c>
      <c r="AA720" s="111">
        <f>'Supply planning data'!AC718</f>
        <v>0</v>
      </c>
      <c r="AB720" s="111">
        <f>'Supply planning data'!AD718</f>
        <v>0</v>
      </c>
      <c r="AC720" s="111">
        <f>'Supply planning data'!AE718</f>
        <v>0</v>
      </c>
      <c r="AD720" s="327" t="str">
        <f>'Supply planning data'!AF718</f>
        <v/>
      </c>
      <c r="AE720" s="111">
        <f>'Supply planning data'!AG718</f>
        <v>0</v>
      </c>
      <c r="AF720" s="321">
        <f>'Supply planning data'!AH718</f>
        <v>0</v>
      </c>
      <c r="AG720" s="349">
        <f>'Supply planning data'!AI718</f>
        <v>0</v>
      </c>
      <c r="AH720" s="111">
        <f>'Supply planning data'!AJ718</f>
        <v>0</v>
      </c>
      <c r="AI720" s="111">
        <f>'Supply planning data'!AK718</f>
        <v>0</v>
      </c>
      <c r="AJ720" s="111">
        <f>'Supply planning data'!AL718</f>
        <v>0</v>
      </c>
      <c r="AK720" s="111">
        <f>'Supply planning data'!AM718</f>
        <v>0</v>
      </c>
      <c r="AL720" s="111">
        <f>'Supply planning data'!AN718</f>
        <v>0</v>
      </c>
      <c r="AM720" s="327" t="str">
        <f>'Supply planning data'!AO718</f>
        <v/>
      </c>
    </row>
    <row r="721" spans="1:39" hidden="1" x14ac:dyDescent="0.25">
      <c r="A721" s="109" t="str">
        <f>'Supply planning data'!C719</f>
        <v/>
      </c>
      <c r="B721" s="298">
        <f>'Supply planning data'!D719</f>
        <v>45627</v>
      </c>
      <c r="C721" s="105" t="str">
        <f>'Supply planning data'!E719</f>
        <v>No</v>
      </c>
      <c r="D721" s="105">
        <f>'Supply planning data'!F719</f>
        <v>0</v>
      </c>
      <c r="E721" s="320">
        <f>'Supply planning data'!G719</f>
        <v>0</v>
      </c>
      <c r="F721" s="320">
        <f>'Supply planning data'!H719</f>
        <v>0</v>
      </c>
      <c r="G721" s="320">
        <f>'Supply planning data'!I719</f>
        <v>0</v>
      </c>
      <c r="H721" s="105">
        <f>'Supply planning data'!J719</f>
        <v>0</v>
      </c>
      <c r="I721" s="320">
        <f>'Supply planning data'!K719</f>
        <v>0</v>
      </c>
      <c r="J721" s="177" t="str">
        <f>'Supply planning data'!L719</f>
        <v/>
      </c>
      <c r="K721" s="105">
        <f>'Supply planning data'!M719</f>
        <v>0</v>
      </c>
      <c r="L721" s="321">
        <f>'Supply planning data'!N719+'Supply planning data'!P719</f>
        <v>0</v>
      </c>
      <c r="M721" s="342">
        <f>'Supply planning data'!O719</f>
        <v>0</v>
      </c>
      <c r="N721" s="321">
        <f>'Supply planning data'!P719</f>
        <v>0</v>
      </c>
      <c r="O721" s="342">
        <f>'Supply planning data'!Q719</f>
        <v>0</v>
      </c>
      <c r="P721" s="111">
        <f>'Supply planning data'!R719</f>
        <v>0</v>
      </c>
      <c r="Q721" s="111">
        <f>'Supply planning data'!S719</f>
        <v>0</v>
      </c>
      <c r="R721" s="111">
        <f>'Supply planning data'!T719</f>
        <v>0</v>
      </c>
      <c r="S721" s="111">
        <f>'Supply planning data'!U719</f>
        <v>0</v>
      </c>
      <c r="T721" s="111">
        <f>'Supply planning data'!V719</f>
        <v>0</v>
      </c>
      <c r="U721" s="327" t="str">
        <f>'Supply planning data'!W719</f>
        <v/>
      </c>
      <c r="V721" s="111">
        <f>'Supply planning data'!X719</f>
        <v>0</v>
      </c>
      <c r="W721" s="321">
        <f>'Supply planning data'!Y719</f>
        <v>0</v>
      </c>
      <c r="X721" s="329">
        <f>'Supply planning data'!Z719</f>
        <v>0</v>
      </c>
      <c r="Y721" s="111">
        <f>'Supply planning data'!AA719</f>
        <v>0</v>
      </c>
      <c r="Z721" s="111">
        <f>'Supply planning data'!AB719</f>
        <v>0</v>
      </c>
      <c r="AA721" s="111">
        <f>'Supply planning data'!AC719</f>
        <v>0</v>
      </c>
      <c r="AB721" s="111">
        <f>'Supply planning data'!AD719</f>
        <v>0</v>
      </c>
      <c r="AC721" s="111">
        <f>'Supply planning data'!AE719</f>
        <v>0</v>
      </c>
      <c r="AD721" s="327" t="str">
        <f>'Supply planning data'!AF719</f>
        <v/>
      </c>
      <c r="AE721" s="111">
        <f>'Supply planning data'!AG719</f>
        <v>0</v>
      </c>
      <c r="AF721" s="321">
        <f>'Supply planning data'!AH719</f>
        <v>0</v>
      </c>
      <c r="AG721" s="349">
        <f>'Supply planning data'!AI719</f>
        <v>0</v>
      </c>
      <c r="AH721" s="111">
        <f>'Supply planning data'!AJ719</f>
        <v>0</v>
      </c>
      <c r="AI721" s="111">
        <f>'Supply planning data'!AK719</f>
        <v>0</v>
      </c>
      <c r="AJ721" s="111">
        <f>'Supply planning data'!AL719</f>
        <v>0</v>
      </c>
      <c r="AK721" s="111">
        <f>'Supply planning data'!AM719</f>
        <v>0</v>
      </c>
      <c r="AL721" s="111">
        <f>'Supply planning data'!AN719</f>
        <v>0</v>
      </c>
      <c r="AM721" s="327" t="str">
        <f>'Supply planning data'!AO719</f>
        <v/>
      </c>
    </row>
    <row r="722" spans="1:39" hidden="1" x14ac:dyDescent="0.25">
      <c r="A722" s="104" t="str">
        <f>'Supply planning data'!C720</f>
        <v/>
      </c>
      <c r="B722" s="298">
        <f>'Supply planning data'!D720</f>
        <v>45627</v>
      </c>
      <c r="C722" s="105" t="str">
        <f>'Supply planning data'!E720</f>
        <v>No</v>
      </c>
      <c r="D722" s="105">
        <f>'Supply planning data'!F720</f>
        <v>0</v>
      </c>
      <c r="E722" s="320">
        <f>'Supply planning data'!G720</f>
        <v>0</v>
      </c>
      <c r="F722" s="320">
        <f>'Supply planning data'!H720</f>
        <v>0</v>
      </c>
      <c r="G722" s="320">
        <f>'Supply planning data'!I720</f>
        <v>0</v>
      </c>
      <c r="H722" s="105">
        <f>'Supply planning data'!J720</f>
        <v>0</v>
      </c>
      <c r="I722" s="320">
        <f>'Supply planning data'!K720</f>
        <v>0</v>
      </c>
      <c r="J722" s="177" t="str">
        <f>'Supply planning data'!L720</f>
        <v/>
      </c>
      <c r="K722" s="105">
        <f>'Supply planning data'!M720</f>
        <v>0</v>
      </c>
      <c r="L722" s="321">
        <f>'Supply planning data'!N720+'Supply planning data'!P720</f>
        <v>0</v>
      </c>
      <c r="M722" s="342">
        <f>'Supply planning data'!O720</f>
        <v>0</v>
      </c>
      <c r="N722" s="321">
        <f>'Supply planning data'!P720</f>
        <v>0</v>
      </c>
      <c r="O722" s="342">
        <f>'Supply planning data'!Q720</f>
        <v>0</v>
      </c>
      <c r="P722" s="111">
        <f>'Supply planning data'!R720</f>
        <v>0</v>
      </c>
      <c r="Q722" s="111">
        <f>'Supply planning data'!S720</f>
        <v>0</v>
      </c>
      <c r="R722" s="111">
        <f>'Supply planning data'!T720</f>
        <v>0</v>
      </c>
      <c r="S722" s="111">
        <f>'Supply planning data'!U720</f>
        <v>0</v>
      </c>
      <c r="T722" s="111">
        <f>'Supply planning data'!V720</f>
        <v>0</v>
      </c>
      <c r="U722" s="327" t="str">
        <f>'Supply planning data'!W720</f>
        <v/>
      </c>
      <c r="V722" s="111">
        <f>'Supply planning data'!X720</f>
        <v>0</v>
      </c>
      <c r="W722" s="321">
        <f>'Supply planning data'!Y720</f>
        <v>0</v>
      </c>
      <c r="X722" s="329">
        <f>'Supply planning data'!Z720</f>
        <v>0</v>
      </c>
      <c r="Y722" s="111">
        <f>'Supply planning data'!AA720</f>
        <v>0</v>
      </c>
      <c r="Z722" s="111">
        <f>'Supply planning data'!AB720</f>
        <v>0</v>
      </c>
      <c r="AA722" s="111">
        <f>'Supply planning data'!AC720</f>
        <v>0</v>
      </c>
      <c r="AB722" s="111">
        <f>'Supply planning data'!AD720</f>
        <v>0</v>
      </c>
      <c r="AC722" s="111">
        <f>'Supply planning data'!AE720</f>
        <v>0</v>
      </c>
      <c r="AD722" s="327" t="str">
        <f>'Supply planning data'!AF720</f>
        <v/>
      </c>
      <c r="AE722" s="111">
        <f>'Supply planning data'!AG720</f>
        <v>0</v>
      </c>
      <c r="AF722" s="321">
        <f>'Supply planning data'!AH720</f>
        <v>0</v>
      </c>
      <c r="AG722" s="349">
        <f>'Supply planning data'!AI720</f>
        <v>0</v>
      </c>
      <c r="AH722" s="111">
        <f>'Supply planning data'!AJ720</f>
        <v>0</v>
      </c>
      <c r="AI722" s="111">
        <f>'Supply planning data'!AK720</f>
        <v>0</v>
      </c>
      <c r="AJ722" s="111">
        <f>'Supply planning data'!AL720</f>
        <v>0</v>
      </c>
      <c r="AK722" s="111">
        <f>'Supply planning data'!AM720</f>
        <v>0</v>
      </c>
      <c r="AL722" s="111">
        <f>'Supply planning data'!AN720</f>
        <v>0</v>
      </c>
      <c r="AM722" s="327" t="str">
        <f>'Supply planning data'!AO720</f>
        <v/>
      </c>
    </row>
    <row r="723" spans="1:39" hidden="1" x14ac:dyDescent="0.25">
      <c r="A723" s="109" t="str">
        <f>'Supply planning data'!C721</f>
        <v/>
      </c>
      <c r="B723" s="298">
        <f>'Supply planning data'!D721</f>
        <v>45627</v>
      </c>
      <c r="C723" s="105" t="str">
        <f>'Supply planning data'!E721</f>
        <v>No</v>
      </c>
      <c r="D723" s="105">
        <f>'Supply planning data'!F721</f>
        <v>0</v>
      </c>
      <c r="E723" s="320">
        <f>'Supply planning data'!G721</f>
        <v>0</v>
      </c>
      <c r="F723" s="320">
        <f>'Supply planning data'!H721</f>
        <v>0</v>
      </c>
      <c r="G723" s="320">
        <f>'Supply planning data'!I721</f>
        <v>0</v>
      </c>
      <c r="H723" s="105">
        <f>'Supply planning data'!J721</f>
        <v>0</v>
      </c>
      <c r="I723" s="320">
        <f>'Supply planning data'!K721</f>
        <v>0</v>
      </c>
      <c r="J723" s="177" t="str">
        <f>'Supply planning data'!L721</f>
        <v/>
      </c>
      <c r="K723" s="105">
        <f>'Supply planning data'!M721</f>
        <v>0</v>
      </c>
      <c r="L723" s="321">
        <f>'Supply planning data'!N721+'Supply planning data'!P721</f>
        <v>0</v>
      </c>
      <c r="M723" s="342">
        <f>'Supply planning data'!O721</f>
        <v>0</v>
      </c>
      <c r="N723" s="321">
        <f>'Supply planning data'!P721</f>
        <v>0</v>
      </c>
      <c r="O723" s="342">
        <f>'Supply planning data'!Q721</f>
        <v>0</v>
      </c>
      <c r="P723" s="111">
        <f>'Supply planning data'!R721</f>
        <v>0</v>
      </c>
      <c r="Q723" s="111">
        <f>'Supply planning data'!S721</f>
        <v>0</v>
      </c>
      <c r="R723" s="111">
        <f>'Supply planning data'!T721</f>
        <v>0</v>
      </c>
      <c r="S723" s="111">
        <f>'Supply planning data'!U721</f>
        <v>0</v>
      </c>
      <c r="T723" s="111">
        <f>'Supply planning data'!V721</f>
        <v>0</v>
      </c>
      <c r="U723" s="327" t="str">
        <f>'Supply planning data'!W721</f>
        <v/>
      </c>
      <c r="V723" s="111">
        <f>'Supply planning data'!X721</f>
        <v>0</v>
      </c>
      <c r="W723" s="321">
        <f>'Supply planning data'!Y721</f>
        <v>0</v>
      </c>
      <c r="X723" s="329">
        <f>'Supply planning data'!Z721</f>
        <v>0</v>
      </c>
      <c r="Y723" s="111">
        <f>'Supply planning data'!AA721</f>
        <v>0</v>
      </c>
      <c r="Z723" s="111">
        <f>'Supply planning data'!AB721</f>
        <v>0</v>
      </c>
      <c r="AA723" s="111">
        <f>'Supply planning data'!AC721</f>
        <v>0</v>
      </c>
      <c r="AB723" s="111">
        <f>'Supply planning data'!AD721</f>
        <v>0</v>
      </c>
      <c r="AC723" s="111">
        <f>'Supply planning data'!AE721</f>
        <v>0</v>
      </c>
      <c r="AD723" s="327" t="str">
        <f>'Supply planning data'!AF721</f>
        <v/>
      </c>
      <c r="AE723" s="111">
        <f>'Supply planning data'!AG721</f>
        <v>0</v>
      </c>
      <c r="AF723" s="321">
        <f>'Supply planning data'!AH721</f>
        <v>0</v>
      </c>
      <c r="AG723" s="349">
        <f>'Supply planning data'!AI721</f>
        <v>0</v>
      </c>
      <c r="AH723" s="111">
        <f>'Supply planning data'!AJ721</f>
        <v>0</v>
      </c>
      <c r="AI723" s="111">
        <f>'Supply planning data'!AK721</f>
        <v>0</v>
      </c>
      <c r="AJ723" s="111">
        <f>'Supply planning data'!AL721</f>
        <v>0</v>
      </c>
      <c r="AK723" s="111">
        <f>'Supply planning data'!AM721</f>
        <v>0</v>
      </c>
      <c r="AL723" s="111">
        <f>'Supply planning data'!AN721</f>
        <v>0</v>
      </c>
      <c r="AM723" s="327" t="str">
        <f>'Supply planning data'!AO721</f>
        <v/>
      </c>
    </row>
    <row r="724" spans="1:39" hidden="1" x14ac:dyDescent="0.25">
      <c r="A724" s="104" t="str">
        <f>'Supply planning data'!C722</f>
        <v/>
      </c>
      <c r="B724" s="298">
        <f>'Supply planning data'!D722</f>
        <v>45627</v>
      </c>
      <c r="C724" s="105" t="str">
        <f>'Supply planning data'!E722</f>
        <v>No</v>
      </c>
      <c r="D724" s="105">
        <f>'Supply planning data'!F722</f>
        <v>0</v>
      </c>
      <c r="E724" s="320">
        <f>'Supply planning data'!G722</f>
        <v>0</v>
      </c>
      <c r="F724" s="320">
        <f>'Supply planning data'!H722</f>
        <v>0</v>
      </c>
      <c r="G724" s="320">
        <f>'Supply planning data'!I722</f>
        <v>0</v>
      </c>
      <c r="H724" s="105">
        <f>'Supply planning data'!J722</f>
        <v>0</v>
      </c>
      <c r="I724" s="320">
        <f>'Supply planning data'!K722</f>
        <v>0</v>
      </c>
      <c r="J724" s="177" t="str">
        <f>'Supply planning data'!L722</f>
        <v/>
      </c>
      <c r="K724" s="105">
        <f>'Supply planning data'!M722</f>
        <v>0</v>
      </c>
      <c r="L724" s="321">
        <f>'Supply planning data'!N722+'Supply planning data'!P722</f>
        <v>0</v>
      </c>
      <c r="M724" s="342">
        <f>'Supply planning data'!O722</f>
        <v>0</v>
      </c>
      <c r="N724" s="321">
        <f>'Supply planning data'!P722</f>
        <v>0</v>
      </c>
      <c r="O724" s="342">
        <f>'Supply planning data'!Q722</f>
        <v>0</v>
      </c>
      <c r="P724" s="111">
        <f>'Supply planning data'!R722</f>
        <v>0</v>
      </c>
      <c r="Q724" s="111">
        <f>'Supply planning data'!S722</f>
        <v>0</v>
      </c>
      <c r="R724" s="111">
        <f>'Supply planning data'!T722</f>
        <v>0</v>
      </c>
      <c r="S724" s="111">
        <f>'Supply planning data'!U722</f>
        <v>0</v>
      </c>
      <c r="T724" s="111">
        <f>'Supply planning data'!V722</f>
        <v>0</v>
      </c>
      <c r="U724" s="327" t="str">
        <f>'Supply planning data'!W722</f>
        <v/>
      </c>
      <c r="V724" s="111">
        <f>'Supply planning data'!X722</f>
        <v>0</v>
      </c>
      <c r="W724" s="321">
        <f>'Supply planning data'!Y722</f>
        <v>0</v>
      </c>
      <c r="X724" s="329">
        <f>'Supply planning data'!Z722</f>
        <v>0</v>
      </c>
      <c r="Y724" s="111">
        <f>'Supply planning data'!AA722</f>
        <v>0</v>
      </c>
      <c r="Z724" s="111">
        <f>'Supply planning data'!AB722</f>
        <v>0</v>
      </c>
      <c r="AA724" s="111">
        <f>'Supply planning data'!AC722</f>
        <v>0</v>
      </c>
      <c r="AB724" s="111">
        <f>'Supply planning data'!AD722</f>
        <v>0</v>
      </c>
      <c r="AC724" s="111">
        <f>'Supply planning data'!AE722</f>
        <v>0</v>
      </c>
      <c r="AD724" s="327" t="str">
        <f>'Supply planning data'!AF722</f>
        <v/>
      </c>
      <c r="AE724" s="111">
        <f>'Supply planning data'!AG722</f>
        <v>0</v>
      </c>
      <c r="AF724" s="321">
        <f>'Supply planning data'!AH722</f>
        <v>0</v>
      </c>
      <c r="AG724" s="349">
        <f>'Supply planning data'!AI722</f>
        <v>0</v>
      </c>
      <c r="AH724" s="111">
        <f>'Supply planning data'!AJ722</f>
        <v>0</v>
      </c>
      <c r="AI724" s="111">
        <f>'Supply planning data'!AK722</f>
        <v>0</v>
      </c>
      <c r="AJ724" s="111">
        <f>'Supply planning data'!AL722</f>
        <v>0</v>
      </c>
      <c r="AK724" s="111">
        <f>'Supply planning data'!AM722</f>
        <v>0</v>
      </c>
      <c r="AL724" s="111">
        <f>'Supply planning data'!AN722</f>
        <v>0</v>
      </c>
      <c r="AM724" s="327" t="str">
        <f>'Supply planning data'!AO722</f>
        <v/>
      </c>
    </row>
    <row r="725" spans="1:39" hidden="1" x14ac:dyDescent="0.25">
      <c r="A725" s="109" t="str">
        <f>'Supply planning data'!C723</f>
        <v/>
      </c>
      <c r="B725" s="298">
        <f>'Supply planning data'!D723</f>
        <v>45627</v>
      </c>
      <c r="C725" s="105" t="str">
        <f>'Supply planning data'!E723</f>
        <v>No</v>
      </c>
      <c r="D725" s="105">
        <f>'Supply planning data'!F723</f>
        <v>0</v>
      </c>
      <c r="E725" s="320">
        <f>'Supply planning data'!G723</f>
        <v>0</v>
      </c>
      <c r="F725" s="320">
        <f>'Supply planning data'!H723</f>
        <v>0</v>
      </c>
      <c r="G725" s="320">
        <f>'Supply planning data'!I723</f>
        <v>0</v>
      </c>
      <c r="H725" s="105">
        <f>'Supply planning data'!J723</f>
        <v>0</v>
      </c>
      <c r="I725" s="320">
        <f>'Supply planning data'!K723</f>
        <v>0</v>
      </c>
      <c r="J725" s="177" t="str">
        <f>'Supply planning data'!L723</f>
        <v/>
      </c>
      <c r="K725" s="105">
        <f>'Supply planning data'!M723</f>
        <v>0</v>
      </c>
      <c r="L725" s="321">
        <f>'Supply planning data'!N723+'Supply planning data'!P723</f>
        <v>0</v>
      </c>
      <c r="M725" s="342">
        <f>'Supply planning data'!O723</f>
        <v>0</v>
      </c>
      <c r="N725" s="321">
        <f>'Supply planning data'!P723</f>
        <v>0</v>
      </c>
      <c r="O725" s="342">
        <f>'Supply planning data'!Q723</f>
        <v>0</v>
      </c>
      <c r="P725" s="111">
        <f>'Supply planning data'!R723</f>
        <v>0</v>
      </c>
      <c r="Q725" s="111">
        <f>'Supply planning data'!S723</f>
        <v>0</v>
      </c>
      <c r="R725" s="111">
        <f>'Supply planning data'!T723</f>
        <v>0</v>
      </c>
      <c r="S725" s="111">
        <f>'Supply planning data'!U723</f>
        <v>0</v>
      </c>
      <c r="T725" s="111">
        <f>'Supply planning data'!V723</f>
        <v>0</v>
      </c>
      <c r="U725" s="327" t="str">
        <f>'Supply planning data'!W723</f>
        <v/>
      </c>
      <c r="V725" s="111">
        <f>'Supply planning data'!X723</f>
        <v>0</v>
      </c>
      <c r="W725" s="321">
        <f>'Supply planning data'!Y723</f>
        <v>0</v>
      </c>
      <c r="X725" s="329">
        <f>'Supply planning data'!Z723</f>
        <v>0</v>
      </c>
      <c r="Y725" s="111">
        <f>'Supply planning data'!AA723</f>
        <v>0</v>
      </c>
      <c r="Z725" s="111">
        <f>'Supply planning data'!AB723</f>
        <v>0</v>
      </c>
      <c r="AA725" s="111">
        <f>'Supply planning data'!AC723</f>
        <v>0</v>
      </c>
      <c r="AB725" s="111">
        <f>'Supply planning data'!AD723</f>
        <v>0</v>
      </c>
      <c r="AC725" s="111">
        <f>'Supply planning data'!AE723</f>
        <v>0</v>
      </c>
      <c r="AD725" s="327" t="str">
        <f>'Supply planning data'!AF723</f>
        <v/>
      </c>
      <c r="AE725" s="111">
        <f>'Supply planning data'!AG723</f>
        <v>0</v>
      </c>
      <c r="AF725" s="321">
        <f>'Supply planning data'!AH723</f>
        <v>0</v>
      </c>
      <c r="AG725" s="349">
        <f>'Supply planning data'!AI723</f>
        <v>0</v>
      </c>
      <c r="AH725" s="111">
        <f>'Supply planning data'!AJ723</f>
        <v>0</v>
      </c>
      <c r="AI725" s="111">
        <f>'Supply planning data'!AK723</f>
        <v>0</v>
      </c>
      <c r="AJ725" s="111">
        <f>'Supply planning data'!AL723</f>
        <v>0</v>
      </c>
      <c r="AK725" s="111">
        <f>'Supply planning data'!AM723</f>
        <v>0</v>
      </c>
      <c r="AL725" s="111">
        <f>'Supply planning data'!AN723</f>
        <v>0</v>
      </c>
      <c r="AM725" s="327" t="str">
        <f>'Supply planning data'!AO723</f>
        <v/>
      </c>
    </row>
    <row r="726" spans="1:39" hidden="1" x14ac:dyDescent="0.25">
      <c r="A726" s="104" t="str">
        <f>'Supply planning data'!C724</f>
        <v/>
      </c>
      <c r="B726" s="298">
        <f>'Supply planning data'!D724</f>
        <v>45627</v>
      </c>
      <c r="C726" s="105" t="str">
        <f>'Supply planning data'!E724</f>
        <v>No</v>
      </c>
      <c r="D726" s="105">
        <f>'Supply planning data'!F724</f>
        <v>0</v>
      </c>
      <c r="E726" s="320">
        <f>'Supply planning data'!G724</f>
        <v>0</v>
      </c>
      <c r="F726" s="320">
        <f>'Supply planning data'!H724</f>
        <v>0</v>
      </c>
      <c r="G726" s="320">
        <f>'Supply planning data'!I724</f>
        <v>0</v>
      </c>
      <c r="H726" s="105">
        <f>'Supply planning data'!J724</f>
        <v>0</v>
      </c>
      <c r="I726" s="320">
        <f>'Supply planning data'!K724</f>
        <v>0</v>
      </c>
      <c r="J726" s="177" t="str">
        <f>'Supply planning data'!L724</f>
        <v/>
      </c>
      <c r="K726" s="105">
        <f>'Supply planning data'!M724</f>
        <v>0</v>
      </c>
      <c r="L726" s="321">
        <f>'Supply planning data'!N724+'Supply planning data'!P724</f>
        <v>0</v>
      </c>
      <c r="M726" s="342">
        <f>'Supply planning data'!O724</f>
        <v>0</v>
      </c>
      <c r="N726" s="321">
        <f>'Supply planning data'!P724</f>
        <v>0</v>
      </c>
      <c r="O726" s="342">
        <f>'Supply planning data'!Q724</f>
        <v>0</v>
      </c>
      <c r="P726" s="111">
        <f>'Supply planning data'!R724</f>
        <v>0</v>
      </c>
      <c r="Q726" s="111">
        <f>'Supply planning data'!S724</f>
        <v>0</v>
      </c>
      <c r="R726" s="111">
        <f>'Supply planning data'!T724</f>
        <v>0</v>
      </c>
      <c r="S726" s="111">
        <f>'Supply planning data'!U724</f>
        <v>0</v>
      </c>
      <c r="T726" s="111">
        <f>'Supply planning data'!V724</f>
        <v>0</v>
      </c>
      <c r="U726" s="327" t="str">
        <f>'Supply planning data'!W724</f>
        <v/>
      </c>
      <c r="V726" s="111">
        <f>'Supply planning data'!X724</f>
        <v>0</v>
      </c>
      <c r="W726" s="321">
        <f>'Supply planning data'!Y724</f>
        <v>0</v>
      </c>
      <c r="X726" s="329">
        <f>'Supply planning data'!Z724</f>
        <v>0</v>
      </c>
      <c r="Y726" s="111">
        <f>'Supply planning data'!AA724</f>
        <v>0</v>
      </c>
      <c r="Z726" s="111">
        <f>'Supply planning data'!AB724</f>
        <v>0</v>
      </c>
      <c r="AA726" s="111">
        <f>'Supply planning data'!AC724</f>
        <v>0</v>
      </c>
      <c r="AB726" s="111">
        <f>'Supply planning data'!AD724</f>
        <v>0</v>
      </c>
      <c r="AC726" s="111">
        <f>'Supply planning data'!AE724</f>
        <v>0</v>
      </c>
      <c r="AD726" s="327" t="str">
        <f>'Supply planning data'!AF724</f>
        <v/>
      </c>
      <c r="AE726" s="111">
        <f>'Supply planning data'!AG724</f>
        <v>0</v>
      </c>
      <c r="AF726" s="321">
        <f>'Supply planning data'!AH724</f>
        <v>0</v>
      </c>
      <c r="AG726" s="349">
        <f>'Supply planning data'!AI724</f>
        <v>0</v>
      </c>
      <c r="AH726" s="111">
        <f>'Supply planning data'!AJ724</f>
        <v>0</v>
      </c>
      <c r="AI726" s="111">
        <f>'Supply planning data'!AK724</f>
        <v>0</v>
      </c>
      <c r="AJ726" s="111">
        <f>'Supply planning data'!AL724</f>
        <v>0</v>
      </c>
      <c r="AK726" s="111">
        <f>'Supply planning data'!AM724</f>
        <v>0</v>
      </c>
      <c r="AL726" s="111">
        <f>'Supply planning data'!AN724</f>
        <v>0</v>
      </c>
      <c r="AM726" s="327" t="str">
        <f>'Supply planning data'!AO724</f>
        <v/>
      </c>
    </row>
    <row r="727" spans="1:39" x14ac:dyDescent="0.25">
      <c r="A727" s="90" t="str">
        <f>'Supply planning data'!C725</f>
        <v>AstraZeneca</v>
      </c>
      <c r="B727" s="296">
        <f>'Supply planning data'!D725</f>
        <v>45658</v>
      </c>
      <c r="C727" s="92" t="str">
        <f>'Supply planning data'!E725</f>
        <v>Yes</v>
      </c>
      <c r="D727" s="92">
        <f>'Supply planning data'!F725</f>
        <v>0</v>
      </c>
      <c r="E727" s="316">
        <f>'Supply planning data'!G725</f>
        <v>0</v>
      </c>
      <c r="F727" s="316">
        <f>'Supply planning data'!H725</f>
        <v>0</v>
      </c>
      <c r="G727" s="316">
        <f>'Supply planning data'!I725</f>
        <v>0</v>
      </c>
      <c r="H727" s="92">
        <f>'Supply planning data'!J725</f>
        <v>0</v>
      </c>
      <c r="I727" s="316">
        <f>'Supply planning data'!K725</f>
        <v>0</v>
      </c>
      <c r="J727" s="174" t="str">
        <f>'Supply planning data'!L725</f>
        <v/>
      </c>
      <c r="K727" s="92">
        <f>'Supply planning data'!M725</f>
        <v>0</v>
      </c>
      <c r="L727" s="316">
        <f>'Supply planning data'!N725+'Supply planning data'!P725</f>
        <v>0</v>
      </c>
      <c r="M727" s="343">
        <f>'Supply planning data'!O725</f>
        <v>0</v>
      </c>
      <c r="N727" s="316">
        <f>'Supply planning data'!P725</f>
        <v>0</v>
      </c>
      <c r="O727" s="343">
        <f>'Supply planning data'!Q725</f>
        <v>0</v>
      </c>
      <c r="P727" s="92">
        <f>'Supply planning data'!R725</f>
        <v>0</v>
      </c>
      <c r="Q727" s="92">
        <f>'Supply planning data'!S725</f>
        <v>0</v>
      </c>
      <c r="R727" s="92">
        <f>'Supply planning data'!T725</f>
        <v>0</v>
      </c>
      <c r="S727" s="92">
        <f>'Supply planning data'!U725</f>
        <v>0</v>
      </c>
      <c r="T727" s="92">
        <f>'Supply planning data'!V725</f>
        <v>0</v>
      </c>
      <c r="U727" s="324" t="str">
        <f>'Supply planning data'!W725</f>
        <v/>
      </c>
      <c r="V727" s="92">
        <f>'Supply planning data'!X725</f>
        <v>154701</v>
      </c>
      <c r="W727" s="316">
        <f>'Supply planning data'!Y725</f>
        <v>0</v>
      </c>
      <c r="X727" s="328">
        <f>'Supply planning data'!Z725</f>
        <v>0</v>
      </c>
      <c r="Y727" s="92">
        <f>'Supply planning data'!AA725</f>
        <v>0</v>
      </c>
      <c r="Z727" s="92">
        <f>'Supply planning data'!AB725</f>
        <v>0</v>
      </c>
      <c r="AA727" s="92">
        <f>'Supply planning data'!AC725</f>
        <v>0</v>
      </c>
      <c r="AB727" s="92">
        <f>'Supply planning data'!AD725</f>
        <v>0</v>
      </c>
      <c r="AC727" s="92">
        <f>'Supply planning data'!AE725</f>
        <v>154701</v>
      </c>
      <c r="AD727" s="324" t="str">
        <f>'Supply planning data'!AF725</f>
        <v/>
      </c>
      <c r="AE727" s="92">
        <f>'Supply planning data'!AG725</f>
        <v>0</v>
      </c>
      <c r="AF727" s="316">
        <f>'Supply planning data'!AH725</f>
        <v>0</v>
      </c>
      <c r="AG727" s="174">
        <f>'Supply planning data'!AI725</f>
        <v>0</v>
      </c>
      <c r="AH727" s="92">
        <f>'Supply planning data'!AJ725</f>
        <v>0</v>
      </c>
      <c r="AI727" s="92">
        <f>'Supply planning data'!AK725</f>
        <v>0</v>
      </c>
      <c r="AJ727" s="92">
        <f>'Supply planning data'!AL725</f>
        <v>0</v>
      </c>
      <c r="AK727" s="92">
        <f>'Supply planning data'!AM725</f>
        <v>0</v>
      </c>
      <c r="AL727" s="92">
        <f>'Supply planning data'!AN725</f>
        <v>0</v>
      </c>
      <c r="AM727" s="324" t="str">
        <f>'Supply planning data'!AO725</f>
        <v/>
      </c>
    </row>
    <row r="728" spans="1:39" x14ac:dyDescent="0.25">
      <c r="A728" s="90" t="str">
        <f>'Supply planning data'!C726</f>
        <v>Jansen</v>
      </c>
      <c r="B728" s="296">
        <f>'Supply planning data'!D726</f>
        <v>45658</v>
      </c>
      <c r="C728" s="92" t="str">
        <f>'Supply planning data'!E726</f>
        <v>Yes</v>
      </c>
      <c r="D728" s="92">
        <f>'Supply planning data'!F726</f>
        <v>1871200</v>
      </c>
      <c r="E728" s="316">
        <f>'Supply planning data'!G726</f>
        <v>0</v>
      </c>
      <c r="F728" s="317">
        <f>'Supply planning data'!H726</f>
        <v>0</v>
      </c>
      <c r="G728" s="317">
        <f>'Supply planning data'!I726</f>
        <v>0</v>
      </c>
      <c r="H728" s="98">
        <f>'Supply planning data'!J726</f>
        <v>0</v>
      </c>
      <c r="I728" s="317">
        <f>'Supply planning data'!K726</f>
        <v>0</v>
      </c>
      <c r="J728" s="175" t="str">
        <f>'Supply planning data'!L726</f>
        <v/>
      </c>
      <c r="K728" s="98">
        <f>'Supply planning data'!M726</f>
        <v>0</v>
      </c>
      <c r="L728" s="317">
        <f>'Supply planning data'!N726+'Supply planning data'!P726</f>
        <v>0</v>
      </c>
      <c r="M728" s="339">
        <f>'Supply planning data'!O726</f>
        <v>0</v>
      </c>
      <c r="N728" s="317">
        <f>'Supply planning data'!P726</f>
        <v>0</v>
      </c>
      <c r="O728" s="339">
        <f>'Supply planning data'!Q726</f>
        <v>0</v>
      </c>
      <c r="P728" s="98">
        <f>'Supply planning data'!R726</f>
        <v>0</v>
      </c>
      <c r="Q728" s="98">
        <f>'Supply planning data'!S726</f>
        <v>0</v>
      </c>
      <c r="R728" s="98">
        <f>'Supply planning data'!T726</f>
        <v>387547</v>
      </c>
      <c r="S728" s="98">
        <f>'Supply planning data'!U726</f>
        <v>0</v>
      </c>
      <c r="T728" s="98">
        <f>'Supply planning data'!V726</f>
        <v>1871200</v>
      </c>
      <c r="U728" s="325" t="str">
        <f>'Supply planning data'!W726</f>
        <v/>
      </c>
      <c r="V728" s="98">
        <f>'Supply planning data'!X726</f>
        <v>1311200</v>
      </c>
      <c r="W728" s="317">
        <f>'Supply planning data'!Y726</f>
        <v>0</v>
      </c>
      <c r="X728" s="328">
        <f>'Supply planning data'!Z726</f>
        <v>0</v>
      </c>
      <c r="Y728" s="98">
        <f>'Supply planning data'!AA726</f>
        <v>0</v>
      </c>
      <c r="Z728" s="98">
        <f>'Supply planning data'!AB726</f>
        <v>0</v>
      </c>
      <c r="AA728" s="98">
        <f>'Supply planning data'!AC726</f>
        <v>0</v>
      </c>
      <c r="AB728" s="98">
        <f>'Supply planning data'!AD726</f>
        <v>0</v>
      </c>
      <c r="AC728" s="98">
        <f>'Supply planning data'!AE726</f>
        <v>1311200</v>
      </c>
      <c r="AD728" s="325" t="str">
        <f>'Supply planning data'!AF726</f>
        <v/>
      </c>
      <c r="AE728" s="98">
        <f>'Supply planning data'!AG726</f>
        <v>1871200</v>
      </c>
      <c r="AF728" s="317">
        <f>'Supply planning data'!AH726</f>
        <v>0</v>
      </c>
      <c r="AG728" s="175">
        <f>'Supply planning data'!AI726</f>
        <v>0</v>
      </c>
      <c r="AH728" s="98">
        <f>'Supply planning data'!AJ726</f>
        <v>0</v>
      </c>
      <c r="AI728" s="98">
        <f>'Supply planning data'!AK726</f>
        <v>0</v>
      </c>
      <c r="AJ728" s="98">
        <f>'Supply planning data'!AL726</f>
        <v>387547</v>
      </c>
      <c r="AK728" s="98">
        <f>'Supply planning data'!AM726</f>
        <v>0</v>
      </c>
      <c r="AL728" s="98">
        <f>'Supply planning data'!AN726</f>
        <v>1871200</v>
      </c>
      <c r="AM728" s="325" t="str">
        <f>'Supply planning data'!AO726</f>
        <v/>
      </c>
    </row>
    <row r="729" spans="1:39" x14ac:dyDescent="0.25">
      <c r="A729" s="90" t="str">
        <f>'Supply planning data'!C727</f>
        <v>Moderna</v>
      </c>
      <c r="B729" s="296">
        <f>'Supply planning data'!D727</f>
        <v>45658</v>
      </c>
      <c r="C729" s="92" t="str">
        <f>'Supply planning data'!E727</f>
        <v>No</v>
      </c>
      <c r="D729" s="92">
        <f>'Supply planning data'!F727</f>
        <v>0</v>
      </c>
      <c r="E729" s="316">
        <f>'Supply planning data'!G727</f>
        <v>0</v>
      </c>
      <c r="F729" s="317">
        <f>'Supply planning data'!H727</f>
        <v>0</v>
      </c>
      <c r="G729" s="317">
        <f>'Supply planning data'!I727</f>
        <v>0</v>
      </c>
      <c r="H729" s="98">
        <f>'Supply planning data'!J727</f>
        <v>0</v>
      </c>
      <c r="I729" s="317">
        <f>'Supply planning data'!K727</f>
        <v>0</v>
      </c>
      <c r="J729" s="175" t="str">
        <f>'Supply planning data'!L727</f>
        <v/>
      </c>
      <c r="K729" s="98">
        <f>'Supply planning data'!M727</f>
        <v>0</v>
      </c>
      <c r="L729" s="317">
        <f>'Supply planning data'!N727+'Supply planning data'!P727</f>
        <v>0</v>
      </c>
      <c r="M729" s="339">
        <f>'Supply planning data'!O727</f>
        <v>0</v>
      </c>
      <c r="N729" s="317">
        <f>'Supply planning data'!P727</f>
        <v>0</v>
      </c>
      <c r="O729" s="339">
        <f>'Supply planning data'!Q727</f>
        <v>0</v>
      </c>
      <c r="P729" s="98">
        <f>'Supply planning data'!R727</f>
        <v>0</v>
      </c>
      <c r="Q729" s="98">
        <f>'Supply planning data'!S727</f>
        <v>0</v>
      </c>
      <c r="R729" s="98">
        <f>'Supply planning data'!T727</f>
        <v>0</v>
      </c>
      <c r="S729" s="98">
        <f>'Supply planning data'!U727</f>
        <v>0</v>
      </c>
      <c r="T729" s="98">
        <f>'Supply planning data'!V727</f>
        <v>0</v>
      </c>
      <c r="U729" s="325" t="str">
        <f>'Supply planning data'!W727</f>
        <v/>
      </c>
      <c r="V729" s="98">
        <f>'Supply planning data'!X727</f>
        <v>0</v>
      </c>
      <c r="W729" s="317">
        <f>'Supply planning data'!Y727</f>
        <v>0</v>
      </c>
      <c r="X729" s="328">
        <f>'Supply planning data'!Z727</f>
        <v>0</v>
      </c>
      <c r="Y729" s="98">
        <f>'Supply planning data'!AA727</f>
        <v>0</v>
      </c>
      <c r="Z729" s="98">
        <f>'Supply planning data'!AB727</f>
        <v>0</v>
      </c>
      <c r="AA729" s="98">
        <f>'Supply planning data'!AC727</f>
        <v>0</v>
      </c>
      <c r="AB729" s="98">
        <f>'Supply planning data'!AD727</f>
        <v>0</v>
      </c>
      <c r="AC729" s="98">
        <f>'Supply planning data'!AE727</f>
        <v>0</v>
      </c>
      <c r="AD729" s="325" t="str">
        <f>'Supply planning data'!AF727</f>
        <v/>
      </c>
      <c r="AE729" s="98">
        <f>'Supply planning data'!AG727</f>
        <v>0</v>
      </c>
      <c r="AF729" s="317">
        <f>'Supply planning data'!AH727</f>
        <v>0</v>
      </c>
      <c r="AG729" s="175">
        <f>'Supply planning data'!AI727</f>
        <v>0</v>
      </c>
      <c r="AH729" s="98">
        <f>'Supply planning data'!AJ727</f>
        <v>0</v>
      </c>
      <c r="AI729" s="98">
        <f>'Supply planning data'!AK727</f>
        <v>0</v>
      </c>
      <c r="AJ729" s="98">
        <f>'Supply planning data'!AL727</f>
        <v>0</v>
      </c>
      <c r="AK729" s="98">
        <f>'Supply planning data'!AM727</f>
        <v>0</v>
      </c>
      <c r="AL729" s="98">
        <f>'Supply planning data'!AN727</f>
        <v>0</v>
      </c>
      <c r="AM729" s="325" t="str">
        <f>'Supply planning data'!AO727</f>
        <v/>
      </c>
    </row>
    <row r="730" spans="1:39" x14ac:dyDescent="0.25">
      <c r="A730" s="90" t="str">
        <f>'Supply planning data'!C728</f>
        <v>Pfizer</v>
      </c>
      <c r="B730" s="296">
        <f>'Supply planning data'!D728</f>
        <v>45658</v>
      </c>
      <c r="C730" s="92" t="str">
        <f>'Supply planning data'!E728</f>
        <v>Yes</v>
      </c>
      <c r="D730" s="92">
        <f>'Supply planning data'!F728</f>
        <v>3000000</v>
      </c>
      <c r="E730" s="316">
        <f>'Supply planning data'!G728</f>
        <v>0</v>
      </c>
      <c r="F730" s="317">
        <f>'Supply planning data'!H728</f>
        <v>0</v>
      </c>
      <c r="G730" s="317">
        <f>'Supply planning data'!I728</f>
        <v>0</v>
      </c>
      <c r="H730" s="98">
        <f>'Supply planning data'!J728</f>
        <v>0</v>
      </c>
      <c r="I730" s="317">
        <f>'Supply planning data'!K728</f>
        <v>0</v>
      </c>
      <c r="J730" s="175" t="str">
        <f>'Supply planning data'!L728</f>
        <v/>
      </c>
      <c r="K730" s="98">
        <f>'Supply planning data'!M728</f>
        <v>0</v>
      </c>
      <c r="L730" s="317">
        <f>'Supply planning data'!N728+'Supply planning data'!P728</f>
        <v>0</v>
      </c>
      <c r="M730" s="339">
        <f>'Supply planning data'!O728</f>
        <v>0</v>
      </c>
      <c r="N730" s="317">
        <f>'Supply planning data'!P728</f>
        <v>0</v>
      </c>
      <c r="O730" s="339">
        <f>'Supply planning data'!Q728</f>
        <v>0</v>
      </c>
      <c r="P730" s="98">
        <f>'Supply planning data'!R728</f>
        <v>0</v>
      </c>
      <c r="Q730" s="98">
        <f>'Supply planning data'!S728</f>
        <v>0</v>
      </c>
      <c r="R730" s="98">
        <f>'Supply planning data'!T728</f>
        <v>110538</v>
      </c>
      <c r="S730" s="98">
        <f>'Supply planning data'!U728</f>
        <v>0</v>
      </c>
      <c r="T730" s="98">
        <f>'Supply planning data'!V728</f>
        <v>3000000</v>
      </c>
      <c r="U730" s="325" t="str">
        <f>'Supply planning data'!W728</f>
        <v/>
      </c>
      <c r="V730" s="98">
        <f>'Supply planning data'!X728</f>
        <v>2440000</v>
      </c>
      <c r="W730" s="317">
        <f>'Supply planning data'!Y728</f>
        <v>0</v>
      </c>
      <c r="X730" s="328">
        <f>'Supply planning data'!Z728</f>
        <v>0</v>
      </c>
      <c r="Y730" s="98">
        <f>'Supply planning data'!AA728</f>
        <v>0</v>
      </c>
      <c r="Z730" s="98">
        <f>'Supply planning data'!AB728</f>
        <v>0</v>
      </c>
      <c r="AA730" s="98">
        <f>'Supply planning data'!AC728</f>
        <v>0</v>
      </c>
      <c r="AB730" s="98">
        <f>'Supply planning data'!AD728</f>
        <v>0</v>
      </c>
      <c r="AC730" s="98">
        <f>'Supply planning data'!AE728</f>
        <v>2440000</v>
      </c>
      <c r="AD730" s="325" t="str">
        <f>'Supply planning data'!AF728</f>
        <v/>
      </c>
      <c r="AE730" s="98">
        <f>'Supply planning data'!AG728</f>
        <v>3000000</v>
      </c>
      <c r="AF730" s="317">
        <f>'Supply planning data'!AH728</f>
        <v>0</v>
      </c>
      <c r="AG730" s="175">
        <f>'Supply planning data'!AI728</f>
        <v>0</v>
      </c>
      <c r="AH730" s="98">
        <f>'Supply planning data'!AJ728</f>
        <v>0</v>
      </c>
      <c r="AI730" s="98">
        <f>'Supply planning data'!AK728</f>
        <v>0</v>
      </c>
      <c r="AJ730" s="98">
        <f>'Supply planning data'!AL728</f>
        <v>110538</v>
      </c>
      <c r="AK730" s="98">
        <f>'Supply planning data'!AM728</f>
        <v>0</v>
      </c>
      <c r="AL730" s="98">
        <f>'Supply planning data'!AN728</f>
        <v>3000000</v>
      </c>
      <c r="AM730" s="325" t="str">
        <f>'Supply planning data'!AO728</f>
        <v/>
      </c>
    </row>
    <row r="731" spans="1:39" x14ac:dyDescent="0.25">
      <c r="A731" s="90" t="str">
        <f>'Supply planning data'!C729</f>
        <v>Sinovac</v>
      </c>
      <c r="B731" s="296">
        <f>'Supply planning data'!D729</f>
        <v>45658</v>
      </c>
      <c r="C731" s="92" t="str">
        <f>'Supply planning data'!E729</f>
        <v>No</v>
      </c>
      <c r="D731" s="92">
        <f>'Supply planning data'!F729</f>
        <v>0</v>
      </c>
      <c r="E731" s="316">
        <f>'Supply planning data'!G729</f>
        <v>0</v>
      </c>
      <c r="F731" s="317">
        <f>'Supply planning data'!H729</f>
        <v>0</v>
      </c>
      <c r="G731" s="317">
        <f>'Supply planning data'!I729</f>
        <v>0</v>
      </c>
      <c r="H731" s="98">
        <f>'Supply planning data'!J729</f>
        <v>0</v>
      </c>
      <c r="I731" s="317">
        <f>'Supply planning data'!K729</f>
        <v>0</v>
      </c>
      <c r="J731" s="175" t="str">
        <f>'Supply planning data'!L729</f>
        <v/>
      </c>
      <c r="K731" s="98">
        <f>'Supply planning data'!M729</f>
        <v>0</v>
      </c>
      <c r="L731" s="317">
        <f>'Supply planning data'!N729+'Supply planning data'!P729</f>
        <v>0</v>
      </c>
      <c r="M731" s="339">
        <f>'Supply planning data'!O729</f>
        <v>0</v>
      </c>
      <c r="N731" s="317">
        <f>'Supply planning data'!P729</f>
        <v>0</v>
      </c>
      <c r="O731" s="339">
        <f>'Supply planning data'!Q729</f>
        <v>0</v>
      </c>
      <c r="P731" s="98">
        <f>'Supply planning data'!R729</f>
        <v>0</v>
      </c>
      <c r="Q731" s="98">
        <f>'Supply planning data'!S729</f>
        <v>0</v>
      </c>
      <c r="R731" s="98">
        <f>'Supply planning data'!T729</f>
        <v>0</v>
      </c>
      <c r="S731" s="98">
        <f>'Supply planning data'!U729</f>
        <v>0</v>
      </c>
      <c r="T731" s="98">
        <f>'Supply planning data'!V729</f>
        <v>0</v>
      </c>
      <c r="U731" s="325" t="str">
        <f>'Supply planning data'!W729</f>
        <v/>
      </c>
      <c r="V731" s="98">
        <f>'Supply planning data'!X729</f>
        <v>0</v>
      </c>
      <c r="W731" s="317">
        <f>'Supply planning data'!Y729</f>
        <v>0</v>
      </c>
      <c r="X731" s="328">
        <f>'Supply planning data'!Z729</f>
        <v>0</v>
      </c>
      <c r="Y731" s="98">
        <f>'Supply planning data'!AA729</f>
        <v>0</v>
      </c>
      <c r="Z731" s="98">
        <f>'Supply planning data'!AB729</f>
        <v>0</v>
      </c>
      <c r="AA731" s="98">
        <f>'Supply planning data'!AC729</f>
        <v>0</v>
      </c>
      <c r="AB731" s="98">
        <f>'Supply planning data'!AD729</f>
        <v>0</v>
      </c>
      <c r="AC731" s="98">
        <f>'Supply planning data'!AE729</f>
        <v>0</v>
      </c>
      <c r="AD731" s="325" t="str">
        <f>'Supply planning data'!AF729</f>
        <v/>
      </c>
      <c r="AE731" s="98">
        <f>'Supply planning data'!AG729</f>
        <v>0</v>
      </c>
      <c r="AF731" s="317">
        <f>'Supply planning data'!AH729</f>
        <v>0</v>
      </c>
      <c r="AG731" s="175">
        <f>'Supply planning data'!AI729</f>
        <v>0</v>
      </c>
      <c r="AH731" s="98">
        <f>'Supply planning data'!AJ729</f>
        <v>0</v>
      </c>
      <c r="AI731" s="98">
        <f>'Supply planning data'!AK729</f>
        <v>0</v>
      </c>
      <c r="AJ731" s="98">
        <f>'Supply planning data'!AL729</f>
        <v>0</v>
      </c>
      <c r="AK731" s="98">
        <f>'Supply planning data'!AM729</f>
        <v>0</v>
      </c>
      <c r="AL731" s="98">
        <f>'Supply planning data'!AN729</f>
        <v>0</v>
      </c>
      <c r="AM731" s="325" t="str">
        <f>'Supply planning data'!AO729</f>
        <v/>
      </c>
    </row>
    <row r="732" spans="1:39" hidden="1" x14ac:dyDescent="0.25">
      <c r="A732" s="90" t="str">
        <f>'Supply planning data'!C730</f>
        <v/>
      </c>
      <c r="B732" s="296">
        <f>'Supply planning data'!D730</f>
        <v>45658</v>
      </c>
      <c r="C732" s="92" t="str">
        <f>'Supply planning data'!E730</f>
        <v>No</v>
      </c>
      <c r="D732" s="92">
        <f>'Supply planning data'!F730</f>
        <v>0</v>
      </c>
      <c r="E732" s="316">
        <f>'Supply planning data'!G730</f>
        <v>0</v>
      </c>
      <c r="F732" s="317">
        <f>'Supply planning data'!H730</f>
        <v>0</v>
      </c>
      <c r="G732" s="317">
        <f>'Supply planning data'!I730</f>
        <v>0</v>
      </c>
      <c r="H732" s="98">
        <f>'Supply planning data'!J730</f>
        <v>0</v>
      </c>
      <c r="I732" s="317">
        <f>'Supply planning data'!K730</f>
        <v>0</v>
      </c>
      <c r="J732" s="175" t="str">
        <f>'Supply planning data'!L730</f>
        <v/>
      </c>
      <c r="K732" s="98">
        <f>'Supply planning data'!M730</f>
        <v>0</v>
      </c>
      <c r="L732" s="317">
        <f>'Supply planning data'!N730+'Supply planning data'!P730</f>
        <v>0</v>
      </c>
      <c r="M732" s="339">
        <f>'Supply planning data'!O730</f>
        <v>0</v>
      </c>
      <c r="N732" s="317">
        <f>'Supply planning data'!P730</f>
        <v>0</v>
      </c>
      <c r="O732" s="339">
        <f>'Supply planning data'!Q730</f>
        <v>0</v>
      </c>
      <c r="P732" s="98">
        <f>'Supply planning data'!R730</f>
        <v>0</v>
      </c>
      <c r="Q732" s="98">
        <f>'Supply planning data'!S730</f>
        <v>0</v>
      </c>
      <c r="R732" s="98">
        <f>'Supply planning data'!T730</f>
        <v>0</v>
      </c>
      <c r="S732" s="98">
        <f>'Supply planning data'!U730</f>
        <v>0</v>
      </c>
      <c r="T732" s="98">
        <f>'Supply planning data'!V730</f>
        <v>0</v>
      </c>
      <c r="U732" s="325" t="str">
        <f>'Supply planning data'!W730</f>
        <v/>
      </c>
      <c r="V732" s="98">
        <f>'Supply planning data'!X730</f>
        <v>0</v>
      </c>
      <c r="W732" s="317">
        <f>'Supply planning data'!Y730</f>
        <v>0</v>
      </c>
      <c r="X732" s="328">
        <f>'Supply planning data'!Z730</f>
        <v>0</v>
      </c>
      <c r="Y732" s="98">
        <f>'Supply planning data'!AA730</f>
        <v>0</v>
      </c>
      <c r="Z732" s="98">
        <f>'Supply planning data'!AB730</f>
        <v>0</v>
      </c>
      <c r="AA732" s="98">
        <f>'Supply planning data'!AC730</f>
        <v>0</v>
      </c>
      <c r="AB732" s="98">
        <f>'Supply planning data'!AD730</f>
        <v>0</v>
      </c>
      <c r="AC732" s="98">
        <f>'Supply planning data'!AE730</f>
        <v>0</v>
      </c>
      <c r="AD732" s="325" t="str">
        <f>'Supply planning data'!AF730</f>
        <v/>
      </c>
      <c r="AE732" s="98">
        <f>'Supply planning data'!AG730</f>
        <v>0</v>
      </c>
      <c r="AF732" s="317">
        <f>'Supply planning data'!AH730</f>
        <v>0</v>
      </c>
      <c r="AG732" s="175">
        <f>'Supply planning data'!AI730</f>
        <v>0</v>
      </c>
      <c r="AH732" s="98">
        <f>'Supply planning data'!AJ730</f>
        <v>0</v>
      </c>
      <c r="AI732" s="98">
        <f>'Supply planning data'!AK730</f>
        <v>0</v>
      </c>
      <c r="AJ732" s="98">
        <f>'Supply planning data'!AL730</f>
        <v>0</v>
      </c>
      <c r="AK732" s="98">
        <f>'Supply planning data'!AM730</f>
        <v>0</v>
      </c>
      <c r="AL732" s="98">
        <f>'Supply planning data'!AN730</f>
        <v>0</v>
      </c>
      <c r="AM732" s="325" t="str">
        <f>'Supply planning data'!AO730</f>
        <v/>
      </c>
    </row>
    <row r="733" spans="1:39" hidden="1" x14ac:dyDescent="0.25">
      <c r="A733" s="90" t="str">
        <f>'Supply planning data'!C731</f>
        <v/>
      </c>
      <c r="B733" s="296">
        <f>'Supply planning data'!D731</f>
        <v>45658</v>
      </c>
      <c r="C733" s="92" t="str">
        <f>'Supply planning data'!E731</f>
        <v>No</v>
      </c>
      <c r="D733" s="92">
        <f>'Supply planning data'!F731</f>
        <v>0</v>
      </c>
      <c r="E733" s="316">
        <f>'Supply planning data'!G731</f>
        <v>0</v>
      </c>
      <c r="F733" s="317">
        <f>'Supply planning data'!H731</f>
        <v>0</v>
      </c>
      <c r="G733" s="317">
        <f>'Supply planning data'!I731</f>
        <v>0</v>
      </c>
      <c r="H733" s="98">
        <f>'Supply planning data'!J731</f>
        <v>0</v>
      </c>
      <c r="I733" s="317">
        <f>'Supply planning data'!K731</f>
        <v>0</v>
      </c>
      <c r="J733" s="175" t="str">
        <f>'Supply planning data'!L731</f>
        <v/>
      </c>
      <c r="K733" s="98">
        <f>'Supply planning data'!M731</f>
        <v>0</v>
      </c>
      <c r="L733" s="317">
        <f>'Supply planning data'!N731+'Supply planning data'!P731</f>
        <v>0</v>
      </c>
      <c r="M733" s="339">
        <f>'Supply planning data'!O731</f>
        <v>0</v>
      </c>
      <c r="N733" s="317">
        <f>'Supply planning data'!P731</f>
        <v>0</v>
      </c>
      <c r="O733" s="339">
        <f>'Supply planning data'!Q731</f>
        <v>0</v>
      </c>
      <c r="P733" s="98">
        <f>'Supply planning data'!R731</f>
        <v>0</v>
      </c>
      <c r="Q733" s="98">
        <f>'Supply planning data'!S731</f>
        <v>0</v>
      </c>
      <c r="R733" s="98">
        <f>'Supply planning data'!T731</f>
        <v>0</v>
      </c>
      <c r="S733" s="98">
        <f>'Supply planning data'!U731</f>
        <v>0</v>
      </c>
      <c r="T733" s="98">
        <f>'Supply planning data'!V731</f>
        <v>0</v>
      </c>
      <c r="U733" s="325" t="str">
        <f>'Supply planning data'!W731</f>
        <v/>
      </c>
      <c r="V733" s="98">
        <f>'Supply planning data'!X731</f>
        <v>0</v>
      </c>
      <c r="W733" s="317">
        <f>'Supply planning data'!Y731</f>
        <v>0</v>
      </c>
      <c r="X733" s="328">
        <f>'Supply planning data'!Z731</f>
        <v>0</v>
      </c>
      <c r="Y733" s="98">
        <f>'Supply planning data'!AA731</f>
        <v>0</v>
      </c>
      <c r="Z733" s="98">
        <f>'Supply planning data'!AB731</f>
        <v>0</v>
      </c>
      <c r="AA733" s="98">
        <f>'Supply planning data'!AC731</f>
        <v>0</v>
      </c>
      <c r="AB733" s="98">
        <f>'Supply planning data'!AD731</f>
        <v>0</v>
      </c>
      <c r="AC733" s="98">
        <f>'Supply planning data'!AE731</f>
        <v>0</v>
      </c>
      <c r="AD733" s="325" t="str">
        <f>'Supply planning data'!AF731</f>
        <v/>
      </c>
      <c r="AE733" s="98">
        <f>'Supply planning data'!AG731</f>
        <v>0</v>
      </c>
      <c r="AF733" s="317">
        <f>'Supply planning data'!AH731</f>
        <v>0</v>
      </c>
      <c r="AG733" s="175">
        <f>'Supply planning data'!AI731</f>
        <v>0</v>
      </c>
      <c r="AH733" s="98">
        <f>'Supply planning data'!AJ731</f>
        <v>0</v>
      </c>
      <c r="AI733" s="98">
        <f>'Supply planning data'!AK731</f>
        <v>0</v>
      </c>
      <c r="AJ733" s="98">
        <f>'Supply planning data'!AL731</f>
        <v>0</v>
      </c>
      <c r="AK733" s="98">
        <f>'Supply planning data'!AM731</f>
        <v>0</v>
      </c>
      <c r="AL733" s="98">
        <f>'Supply planning data'!AN731</f>
        <v>0</v>
      </c>
      <c r="AM733" s="325" t="str">
        <f>'Supply planning data'!AO731</f>
        <v/>
      </c>
    </row>
    <row r="734" spans="1:39" hidden="1" x14ac:dyDescent="0.25">
      <c r="A734" s="90" t="str">
        <f>'Supply planning data'!C732</f>
        <v/>
      </c>
      <c r="B734" s="296">
        <f>'Supply planning data'!D732</f>
        <v>45658</v>
      </c>
      <c r="C734" s="92" t="str">
        <f>'Supply planning data'!E732</f>
        <v>No</v>
      </c>
      <c r="D734" s="92">
        <f>'Supply planning data'!F732</f>
        <v>0</v>
      </c>
      <c r="E734" s="316">
        <f>'Supply planning data'!G732</f>
        <v>0</v>
      </c>
      <c r="F734" s="317">
        <f>'Supply planning data'!H732</f>
        <v>0</v>
      </c>
      <c r="G734" s="317">
        <f>'Supply planning data'!I732</f>
        <v>0</v>
      </c>
      <c r="H734" s="98">
        <f>'Supply planning data'!J732</f>
        <v>0</v>
      </c>
      <c r="I734" s="317">
        <f>'Supply planning data'!K732</f>
        <v>0</v>
      </c>
      <c r="J734" s="175" t="str">
        <f>'Supply planning data'!L732</f>
        <v/>
      </c>
      <c r="K734" s="98">
        <f>'Supply planning data'!M732</f>
        <v>0</v>
      </c>
      <c r="L734" s="317">
        <f>'Supply planning data'!N732+'Supply planning data'!P732</f>
        <v>0</v>
      </c>
      <c r="M734" s="339">
        <f>'Supply planning data'!O732</f>
        <v>0</v>
      </c>
      <c r="N734" s="317">
        <f>'Supply planning data'!P732</f>
        <v>0</v>
      </c>
      <c r="O734" s="339">
        <f>'Supply planning data'!Q732</f>
        <v>0</v>
      </c>
      <c r="P734" s="98">
        <f>'Supply planning data'!R732</f>
        <v>0</v>
      </c>
      <c r="Q734" s="98">
        <f>'Supply planning data'!S732</f>
        <v>0</v>
      </c>
      <c r="R734" s="98">
        <f>'Supply planning data'!T732</f>
        <v>0</v>
      </c>
      <c r="S734" s="98">
        <f>'Supply planning data'!U732</f>
        <v>0</v>
      </c>
      <c r="T734" s="98">
        <f>'Supply planning data'!V732</f>
        <v>0</v>
      </c>
      <c r="U734" s="325" t="str">
        <f>'Supply planning data'!W732</f>
        <v/>
      </c>
      <c r="V734" s="98">
        <f>'Supply planning data'!X732</f>
        <v>0</v>
      </c>
      <c r="W734" s="317">
        <f>'Supply planning data'!Y732</f>
        <v>0</v>
      </c>
      <c r="X734" s="328">
        <f>'Supply planning data'!Z732</f>
        <v>0</v>
      </c>
      <c r="Y734" s="98">
        <f>'Supply planning data'!AA732</f>
        <v>0</v>
      </c>
      <c r="Z734" s="98">
        <f>'Supply planning data'!AB732</f>
        <v>0</v>
      </c>
      <c r="AA734" s="98">
        <f>'Supply planning data'!AC732</f>
        <v>0</v>
      </c>
      <c r="AB734" s="98">
        <f>'Supply planning data'!AD732</f>
        <v>0</v>
      </c>
      <c r="AC734" s="98">
        <f>'Supply planning data'!AE732</f>
        <v>0</v>
      </c>
      <c r="AD734" s="325" t="str">
        <f>'Supply planning data'!AF732</f>
        <v/>
      </c>
      <c r="AE734" s="98">
        <f>'Supply planning data'!AG732</f>
        <v>0</v>
      </c>
      <c r="AF734" s="317">
        <f>'Supply planning data'!AH732</f>
        <v>0</v>
      </c>
      <c r="AG734" s="175">
        <f>'Supply planning data'!AI732</f>
        <v>0</v>
      </c>
      <c r="AH734" s="98">
        <f>'Supply planning data'!AJ732</f>
        <v>0</v>
      </c>
      <c r="AI734" s="98">
        <f>'Supply planning data'!AK732</f>
        <v>0</v>
      </c>
      <c r="AJ734" s="98">
        <f>'Supply planning data'!AL732</f>
        <v>0</v>
      </c>
      <c r="AK734" s="98">
        <f>'Supply planning data'!AM732</f>
        <v>0</v>
      </c>
      <c r="AL734" s="98">
        <f>'Supply planning data'!AN732</f>
        <v>0</v>
      </c>
      <c r="AM734" s="325" t="str">
        <f>'Supply planning data'!AO732</f>
        <v/>
      </c>
    </row>
    <row r="735" spans="1:39" hidden="1" x14ac:dyDescent="0.25">
      <c r="A735" s="90" t="str">
        <f>'Supply planning data'!C733</f>
        <v/>
      </c>
      <c r="B735" s="296">
        <f>'Supply planning data'!D733</f>
        <v>45658</v>
      </c>
      <c r="C735" s="92" t="str">
        <f>'Supply planning data'!E733</f>
        <v>No</v>
      </c>
      <c r="D735" s="92">
        <f>'Supply planning data'!F733</f>
        <v>0</v>
      </c>
      <c r="E735" s="316">
        <f>'Supply planning data'!G733</f>
        <v>0</v>
      </c>
      <c r="F735" s="317">
        <f>'Supply planning data'!H733</f>
        <v>0</v>
      </c>
      <c r="G735" s="317">
        <f>'Supply planning data'!I733</f>
        <v>0</v>
      </c>
      <c r="H735" s="98">
        <f>'Supply planning data'!J733</f>
        <v>0</v>
      </c>
      <c r="I735" s="317">
        <f>'Supply planning data'!K733</f>
        <v>0</v>
      </c>
      <c r="J735" s="175" t="str">
        <f>'Supply planning data'!L733</f>
        <v/>
      </c>
      <c r="K735" s="98">
        <f>'Supply planning data'!M733</f>
        <v>0</v>
      </c>
      <c r="L735" s="317">
        <f>'Supply planning data'!N733+'Supply planning data'!P733</f>
        <v>0</v>
      </c>
      <c r="M735" s="339">
        <f>'Supply planning data'!O733</f>
        <v>0</v>
      </c>
      <c r="N735" s="317">
        <f>'Supply planning data'!P733</f>
        <v>0</v>
      </c>
      <c r="O735" s="339">
        <f>'Supply planning data'!Q733</f>
        <v>0</v>
      </c>
      <c r="P735" s="98">
        <f>'Supply planning data'!R733</f>
        <v>0</v>
      </c>
      <c r="Q735" s="98">
        <f>'Supply planning data'!S733</f>
        <v>0</v>
      </c>
      <c r="R735" s="98">
        <f>'Supply planning data'!T733</f>
        <v>0</v>
      </c>
      <c r="S735" s="98">
        <f>'Supply planning data'!U733</f>
        <v>0</v>
      </c>
      <c r="T735" s="98">
        <f>'Supply planning data'!V733</f>
        <v>0</v>
      </c>
      <c r="U735" s="325" t="str">
        <f>'Supply planning data'!W733</f>
        <v/>
      </c>
      <c r="V735" s="98">
        <f>'Supply planning data'!X733</f>
        <v>0</v>
      </c>
      <c r="W735" s="317">
        <f>'Supply planning data'!Y733</f>
        <v>0</v>
      </c>
      <c r="X735" s="328">
        <f>'Supply planning data'!Z733</f>
        <v>0</v>
      </c>
      <c r="Y735" s="98">
        <f>'Supply planning data'!AA733</f>
        <v>0</v>
      </c>
      <c r="Z735" s="98">
        <f>'Supply planning data'!AB733</f>
        <v>0</v>
      </c>
      <c r="AA735" s="98">
        <f>'Supply planning data'!AC733</f>
        <v>0</v>
      </c>
      <c r="AB735" s="98">
        <f>'Supply planning data'!AD733</f>
        <v>0</v>
      </c>
      <c r="AC735" s="98">
        <f>'Supply planning data'!AE733</f>
        <v>0</v>
      </c>
      <c r="AD735" s="325" t="str">
        <f>'Supply planning data'!AF733</f>
        <v/>
      </c>
      <c r="AE735" s="98">
        <f>'Supply planning data'!AG733</f>
        <v>0</v>
      </c>
      <c r="AF735" s="317">
        <f>'Supply planning data'!AH733</f>
        <v>0</v>
      </c>
      <c r="AG735" s="175">
        <f>'Supply planning data'!AI733</f>
        <v>0</v>
      </c>
      <c r="AH735" s="98">
        <f>'Supply planning data'!AJ733</f>
        <v>0</v>
      </c>
      <c r="AI735" s="98">
        <f>'Supply planning data'!AK733</f>
        <v>0</v>
      </c>
      <c r="AJ735" s="98">
        <f>'Supply planning data'!AL733</f>
        <v>0</v>
      </c>
      <c r="AK735" s="98">
        <f>'Supply planning data'!AM733</f>
        <v>0</v>
      </c>
      <c r="AL735" s="98">
        <f>'Supply planning data'!AN733</f>
        <v>0</v>
      </c>
      <c r="AM735" s="325" t="str">
        <f>'Supply planning data'!AO733</f>
        <v/>
      </c>
    </row>
    <row r="736" spans="1:39" hidden="1" x14ac:dyDescent="0.25">
      <c r="A736" s="90" t="str">
        <f>'Supply planning data'!C734</f>
        <v/>
      </c>
      <c r="B736" s="296">
        <f>'Supply planning data'!D734</f>
        <v>45658</v>
      </c>
      <c r="C736" s="92" t="str">
        <f>'Supply planning data'!E734</f>
        <v>No</v>
      </c>
      <c r="D736" s="92">
        <f>'Supply planning data'!F734</f>
        <v>0</v>
      </c>
      <c r="E736" s="316">
        <f>'Supply planning data'!G734</f>
        <v>0</v>
      </c>
      <c r="F736" s="317">
        <f>'Supply planning data'!H734</f>
        <v>0</v>
      </c>
      <c r="G736" s="317">
        <f>'Supply planning data'!I734</f>
        <v>0</v>
      </c>
      <c r="H736" s="98">
        <f>'Supply planning data'!J734</f>
        <v>0</v>
      </c>
      <c r="I736" s="317">
        <f>'Supply planning data'!K734</f>
        <v>0</v>
      </c>
      <c r="J736" s="175" t="str">
        <f>'Supply planning data'!L734</f>
        <v/>
      </c>
      <c r="K736" s="98">
        <f>'Supply planning data'!M734</f>
        <v>0</v>
      </c>
      <c r="L736" s="317">
        <f>'Supply planning data'!N734+'Supply planning data'!P734</f>
        <v>0</v>
      </c>
      <c r="M736" s="339">
        <f>'Supply planning data'!O734</f>
        <v>0</v>
      </c>
      <c r="N736" s="317">
        <f>'Supply planning data'!P734</f>
        <v>0</v>
      </c>
      <c r="O736" s="339">
        <f>'Supply planning data'!Q734</f>
        <v>0</v>
      </c>
      <c r="P736" s="98">
        <f>'Supply planning data'!R734</f>
        <v>0</v>
      </c>
      <c r="Q736" s="98">
        <f>'Supply planning data'!S734</f>
        <v>0</v>
      </c>
      <c r="R736" s="98">
        <f>'Supply planning data'!T734</f>
        <v>0</v>
      </c>
      <c r="S736" s="98">
        <f>'Supply planning data'!U734</f>
        <v>0</v>
      </c>
      <c r="T736" s="98">
        <f>'Supply planning data'!V734</f>
        <v>0</v>
      </c>
      <c r="U736" s="325" t="str">
        <f>'Supply planning data'!W734</f>
        <v/>
      </c>
      <c r="V736" s="98">
        <f>'Supply planning data'!X734</f>
        <v>0</v>
      </c>
      <c r="W736" s="317">
        <f>'Supply planning data'!Y734</f>
        <v>0</v>
      </c>
      <c r="X736" s="328">
        <f>'Supply planning data'!Z734</f>
        <v>0</v>
      </c>
      <c r="Y736" s="98">
        <f>'Supply planning data'!AA734</f>
        <v>0</v>
      </c>
      <c r="Z736" s="98">
        <f>'Supply planning data'!AB734</f>
        <v>0</v>
      </c>
      <c r="AA736" s="98">
        <f>'Supply planning data'!AC734</f>
        <v>0</v>
      </c>
      <c r="AB736" s="98">
        <f>'Supply planning data'!AD734</f>
        <v>0</v>
      </c>
      <c r="AC736" s="98">
        <f>'Supply planning data'!AE734</f>
        <v>0</v>
      </c>
      <c r="AD736" s="325" t="str">
        <f>'Supply planning data'!AF734</f>
        <v/>
      </c>
      <c r="AE736" s="98">
        <f>'Supply planning data'!AG734</f>
        <v>0</v>
      </c>
      <c r="AF736" s="317">
        <f>'Supply planning data'!AH734</f>
        <v>0</v>
      </c>
      <c r="AG736" s="175">
        <f>'Supply planning data'!AI734</f>
        <v>0</v>
      </c>
      <c r="AH736" s="98">
        <f>'Supply planning data'!AJ734</f>
        <v>0</v>
      </c>
      <c r="AI736" s="98">
        <f>'Supply planning data'!AK734</f>
        <v>0</v>
      </c>
      <c r="AJ736" s="98">
        <f>'Supply planning data'!AL734</f>
        <v>0</v>
      </c>
      <c r="AK736" s="98">
        <f>'Supply planning data'!AM734</f>
        <v>0</v>
      </c>
      <c r="AL736" s="98">
        <f>'Supply planning data'!AN734</f>
        <v>0</v>
      </c>
      <c r="AM736" s="325" t="str">
        <f>'Supply planning data'!AO734</f>
        <v/>
      </c>
    </row>
    <row r="737" spans="1:39" hidden="1" x14ac:dyDescent="0.25">
      <c r="A737" s="90" t="str">
        <f>'Supply planning data'!C735</f>
        <v/>
      </c>
      <c r="B737" s="296">
        <f>'Supply planning data'!D735</f>
        <v>45658</v>
      </c>
      <c r="C737" s="92" t="str">
        <f>'Supply planning data'!E735</f>
        <v>No</v>
      </c>
      <c r="D737" s="92">
        <f>'Supply planning data'!F735</f>
        <v>0</v>
      </c>
      <c r="E737" s="316">
        <f>'Supply planning data'!G735</f>
        <v>0</v>
      </c>
      <c r="F737" s="317">
        <f>'Supply planning data'!H735</f>
        <v>0</v>
      </c>
      <c r="G737" s="317">
        <f>'Supply planning data'!I735</f>
        <v>0</v>
      </c>
      <c r="H737" s="98">
        <f>'Supply planning data'!J735</f>
        <v>0</v>
      </c>
      <c r="I737" s="317">
        <f>'Supply planning data'!K735</f>
        <v>0</v>
      </c>
      <c r="J737" s="175" t="str">
        <f>'Supply planning data'!L735</f>
        <v/>
      </c>
      <c r="K737" s="98">
        <f>'Supply planning data'!M735</f>
        <v>0</v>
      </c>
      <c r="L737" s="317">
        <f>'Supply planning data'!N735+'Supply planning data'!P735</f>
        <v>0</v>
      </c>
      <c r="M737" s="339">
        <f>'Supply planning data'!O735</f>
        <v>0</v>
      </c>
      <c r="N737" s="317">
        <f>'Supply planning data'!P735</f>
        <v>0</v>
      </c>
      <c r="O737" s="339">
        <f>'Supply planning data'!Q735</f>
        <v>0</v>
      </c>
      <c r="P737" s="98">
        <f>'Supply planning data'!R735</f>
        <v>0</v>
      </c>
      <c r="Q737" s="98">
        <f>'Supply planning data'!S735</f>
        <v>0</v>
      </c>
      <c r="R737" s="98">
        <f>'Supply planning data'!T735</f>
        <v>0</v>
      </c>
      <c r="S737" s="98">
        <f>'Supply planning data'!U735</f>
        <v>0</v>
      </c>
      <c r="T737" s="98">
        <f>'Supply planning data'!V735</f>
        <v>0</v>
      </c>
      <c r="U737" s="325" t="str">
        <f>'Supply planning data'!W735</f>
        <v/>
      </c>
      <c r="V737" s="98">
        <f>'Supply planning data'!X735</f>
        <v>0</v>
      </c>
      <c r="W737" s="317">
        <f>'Supply planning data'!Y735</f>
        <v>0</v>
      </c>
      <c r="X737" s="328">
        <f>'Supply planning data'!Z735</f>
        <v>0</v>
      </c>
      <c r="Y737" s="98">
        <f>'Supply planning data'!AA735</f>
        <v>0</v>
      </c>
      <c r="Z737" s="98">
        <f>'Supply planning data'!AB735</f>
        <v>0</v>
      </c>
      <c r="AA737" s="98">
        <f>'Supply planning data'!AC735</f>
        <v>0</v>
      </c>
      <c r="AB737" s="98">
        <f>'Supply planning data'!AD735</f>
        <v>0</v>
      </c>
      <c r="AC737" s="98">
        <f>'Supply planning data'!AE735</f>
        <v>0</v>
      </c>
      <c r="AD737" s="325" t="str">
        <f>'Supply planning data'!AF735</f>
        <v/>
      </c>
      <c r="AE737" s="98">
        <f>'Supply planning data'!AG735</f>
        <v>0</v>
      </c>
      <c r="AF737" s="317">
        <f>'Supply planning data'!AH735</f>
        <v>0</v>
      </c>
      <c r="AG737" s="175">
        <f>'Supply planning data'!AI735</f>
        <v>0</v>
      </c>
      <c r="AH737" s="98">
        <f>'Supply planning data'!AJ735</f>
        <v>0</v>
      </c>
      <c r="AI737" s="98">
        <f>'Supply planning data'!AK735</f>
        <v>0</v>
      </c>
      <c r="AJ737" s="98">
        <f>'Supply planning data'!AL735</f>
        <v>0</v>
      </c>
      <c r="AK737" s="98">
        <f>'Supply planning data'!AM735</f>
        <v>0</v>
      </c>
      <c r="AL737" s="98">
        <f>'Supply planning data'!AN735</f>
        <v>0</v>
      </c>
      <c r="AM737" s="325" t="str">
        <f>'Supply planning data'!AO735</f>
        <v/>
      </c>
    </row>
    <row r="738" spans="1:39" hidden="1" x14ac:dyDescent="0.25">
      <c r="A738" s="90" t="str">
        <f>'Supply planning data'!C736</f>
        <v/>
      </c>
      <c r="B738" s="296">
        <f>'Supply planning data'!D736</f>
        <v>45658</v>
      </c>
      <c r="C738" s="92" t="str">
        <f>'Supply planning data'!E736</f>
        <v>No</v>
      </c>
      <c r="D738" s="92">
        <f>'Supply planning data'!F736</f>
        <v>0</v>
      </c>
      <c r="E738" s="316">
        <f>'Supply planning data'!G736</f>
        <v>0</v>
      </c>
      <c r="F738" s="317">
        <f>'Supply planning data'!H736</f>
        <v>0</v>
      </c>
      <c r="G738" s="317">
        <f>'Supply planning data'!I736</f>
        <v>0</v>
      </c>
      <c r="H738" s="98">
        <f>'Supply planning data'!J736</f>
        <v>0</v>
      </c>
      <c r="I738" s="317">
        <f>'Supply planning data'!K736</f>
        <v>0</v>
      </c>
      <c r="J738" s="175" t="str">
        <f>'Supply planning data'!L736</f>
        <v/>
      </c>
      <c r="K738" s="98">
        <f>'Supply planning data'!M736</f>
        <v>0</v>
      </c>
      <c r="L738" s="317">
        <f>'Supply planning data'!N736+'Supply planning data'!P736</f>
        <v>0</v>
      </c>
      <c r="M738" s="339">
        <f>'Supply planning data'!O736</f>
        <v>0</v>
      </c>
      <c r="N738" s="317">
        <f>'Supply planning data'!P736</f>
        <v>0</v>
      </c>
      <c r="O738" s="339">
        <f>'Supply planning data'!Q736</f>
        <v>0</v>
      </c>
      <c r="P738" s="98">
        <f>'Supply planning data'!R736</f>
        <v>0</v>
      </c>
      <c r="Q738" s="98">
        <f>'Supply planning data'!S736</f>
        <v>0</v>
      </c>
      <c r="R738" s="98">
        <f>'Supply planning data'!T736</f>
        <v>0</v>
      </c>
      <c r="S738" s="98">
        <f>'Supply planning data'!U736</f>
        <v>0</v>
      </c>
      <c r="T738" s="98">
        <f>'Supply planning data'!V736</f>
        <v>0</v>
      </c>
      <c r="U738" s="325" t="str">
        <f>'Supply planning data'!W736</f>
        <v/>
      </c>
      <c r="V738" s="98">
        <f>'Supply planning data'!X736</f>
        <v>0</v>
      </c>
      <c r="W738" s="317">
        <f>'Supply planning data'!Y736</f>
        <v>0</v>
      </c>
      <c r="X738" s="328">
        <f>'Supply planning data'!Z736</f>
        <v>0</v>
      </c>
      <c r="Y738" s="98">
        <f>'Supply planning data'!AA736</f>
        <v>0</v>
      </c>
      <c r="Z738" s="98">
        <f>'Supply planning data'!AB736</f>
        <v>0</v>
      </c>
      <c r="AA738" s="98">
        <f>'Supply planning data'!AC736</f>
        <v>0</v>
      </c>
      <c r="AB738" s="98">
        <f>'Supply planning data'!AD736</f>
        <v>0</v>
      </c>
      <c r="AC738" s="98">
        <f>'Supply planning data'!AE736</f>
        <v>0</v>
      </c>
      <c r="AD738" s="325" t="str">
        <f>'Supply planning data'!AF736</f>
        <v/>
      </c>
      <c r="AE738" s="98">
        <f>'Supply planning data'!AG736</f>
        <v>0</v>
      </c>
      <c r="AF738" s="317">
        <f>'Supply planning data'!AH736</f>
        <v>0</v>
      </c>
      <c r="AG738" s="175">
        <f>'Supply planning data'!AI736</f>
        <v>0</v>
      </c>
      <c r="AH738" s="98">
        <f>'Supply planning data'!AJ736</f>
        <v>0</v>
      </c>
      <c r="AI738" s="98">
        <f>'Supply planning data'!AK736</f>
        <v>0</v>
      </c>
      <c r="AJ738" s="98">
        <f>'Supply planning data'!AL736</f>
        <v>0</v>
      </c>
      <c r="AK738" s="98">
        <f>'Supply planning data'!AM736</f>
        <v>0</v>
      </c>
      <c r="AL738" s="98">
        <f>'Supply planning data'!AN736</f>
        <v>0</v>
      </c>
      <c r="AM738" s="325" t="str">
        <f>'Supply planning data'!AO736</f>
        <v/>
      </c>
    </row>
    <row r="739" spans="1:39" hidden="1" x14ac:dyDescent="0.25">
      <c r="A739" s="90" t="str">
        <f>'Supply planning data'!C737</f>
        <v/>
      </c>
      <c r="B739" s="296">
        <f>'Supply planning data'!D737</f>
        <v>45658</v>
      </c>
      <c r="C739" s="92" t="str">
        <f>'Supply planning data'!E737</f>
        <v>No</v>
      </c>
      <c r="D739" s="92">
        <f>'Supply planning data'!F737</f>
        <v>0</v>
      </c>
      <c r="E739" s="316">
        <f>'Supply planning data'!G737</f>
        <v>0</v>
      </c>
      <c r="F739" s="317">
        <f>'Supply planning data'!H737</f>
        <v>0</v>
      </c>
      <c r="G739" s="317">
        <f>'Supply planning data'!I737</f>
        <v>0</v>
      </c>
      <c r="H739" s="98">
        <f>'Supply planning data'!J737</f>
        <v>0</v>
      </c>
      <c r="I739" s="317">
        <f>'Supply planning data'!K737</f>
        <v>0</v>
      </c>
      <c r="J739" s="175" t="str">
        <f>'Supply planning data'!L737</f>
        <v/>
      </c>
      <c r="K739" s="98">
        <f>'Supply planning data'!M737</f>
        <v>0</v>
      </c>
      <c r="L739" s="317">
        <f>'Supply planning data'!N737+'Supply planning data'!P737</f>
        <v>0</v>
      </c>
      <c r="M739" s="339">
        <f>'Supply planning data'!O737</f>
        <v>0</v>
      </c>
      <c r="N739" s="317">
        <f>'Supply planning data'!P737</f>
        <v>0</v>
      </c>
      <c r="O739" s="339">
        <f>'Supply planning data'!Q737</f>
        <v>0</v>
      </c>
      <c r="P739" s="98">
        <f>'Supply planning data'!R737</f>
        <v>0</v>
      </c>
      <c r="Q739" s="98">
        <f>'Supply planning data'!S737</f>
        <v>0</v>
      </c>
      <c r="R739" s="98">
        <f>'Supply planning data'!T737</f>
        <v>0</v>
      </c>
      <c r="S739" s="98">
        <f>'Supply planning data'!U737</f>
        <v>0</v>
      </c>
      <c r="T739" s="98">
        <f>'Supply planning data'!V737</f>
        <v>0</v>
      </c>
      <c r="U739" s="325" t="str">
        <f>'Supply planning data'!W737</f>
        <v/>
      </c>
      <c r="V739" s="98">
        <f>'Supply planning data'!X737</f>
        <v>0</v>
      </c>
      <c r="W739" s="317">
        <f>'Supply planning data'!Y737</f>
        <v>0</v>
      </c>
      <c r="X739" s="328">
        <f>'Supply planning data'!Z737</f>
        <v>0</v>
      </c>
      <c r="Y739" s="98">
        <f>'Supply planning data'!AA737</f>
        <v>0</v>
      </c>
      <c r="Z739" s="98">
        <f>'Supply planning data'!AB737</f>
        <v>0</v>
      </c>
      <c r="AA739" s="98">
        <f>'Supply planning data'!AC737</f>
        <v>0</v>
      </c>
      <c r="AB739" s="98">
        <f>'Supply planning data'!AD737</f>
        <v>0</v>
      </c>
      <c r="AC739" s="98">
        <f>'Supply planning data'!AE737</f>
        <v>0</v>
      </c>
      <c r="AD739" s="325" t="str">
        <f>'Supply planning data'!AF737</f>
        <v/>
      </c>
      <c r="AE739" s="98">
        <f>'Supply planning data'!AG737</f>
        <v>0</v>
      </c>
      <c r="AF739" s="317">
        <f>'Supply planning data'!AH737</f>
        <v>0</v>
      </c>
      <c r="AG739" s="175">
        <f>'Supply planning data'!AI737</f>
        <v>0</v>
      </c>
      <c r="AH739" s="98">
        <f>'Supply planning data'!AJ737</f>
        <v>0</v>
      </c>
      <c r="AI739" s="98">
        <f>'Supply planning data'!AK737</f>
        <v>0</v>
      </c>
      <c r="AJ739" s="98">
        <f>'Supply planning data'!AL737</f>
        <v>0</v>
      </c>
      <c r="AK739" s="98">
        <f>'Supply planning data'!AM737</f>
        <v>0</v>
      </c>
      <c r="AL739" s="98">
        <f>'Supply planning data'!AN737</f>
        <v>0</v>
      </c>
      <c r="AM739" s="325" t="str">
        <f>'Supply planning data'!AO737</f>
        <v/>
      </c>
    </row>
    <row r="740" spans="1:39" hidden="1" x14ac:dyDescent="0.25">
      <c r="A740" s="90" t="str">
        <f>'Supply planning data'!C738</f>
        <v/>
      </c>
      <c r="B740" s="296">
        <f>'Supply planning data'!D738</f>
        <v>45658</v>
      </c>
      <c r="C740" s="92" t="str">
        <f>'Supply planning data'!E738</f>
        <v>No</v>
      </c>
      <c r="D740" s="92">
        <f>'Supply planning data'!F738</f>
        <v>0</v>
      </c>
      <c r="E740" s="316">
        <f>'Supply planning data'!G738</f>
        <v>0</v>
      </c>
      <c r="F740" s="317">
        <f>'Supply planning data'!H738</f>
        <v>0</v>
      </c>
      <c r="G740" s="317">
        <f>'Supply planning data'!I738</f>
        <v>0</v>
      </c>
      <c r="H740" s="98">
        <f>'Supply planning data'!J738</f>
        <v>0</v>
      </c>
      <c r="I740" s="317">
        <f>'Supply planning data'!K738</f>
        <v>0</v>
      </c>
      <c r="J740" s="175" t="str">
        <f>'Supply planning data'!L738</f>
        <v/>
      </c>
      <c r="K740" s="98">
        <f>'Supply planning data'!M738</f>
        <v>0</v>
      </c>
      <c r="L740" s="317">
        <f>'Supply planning data'!N738+'Supply planning data'!P738</f>
        <v>0</v>
      </c>
      <c r="M740" s="339">
        <f>'Supply planning data'!O738</f>
        <v>0</v>
      </c>
      <c r="N740" s="317">
        <f>'Supply planning data'!P738</f>
        <v>0</v>
      </c>
      <c r="O740" s="339">
        <f>'Supply planning data'!Q738</f>
        <v>0</v>
      </c>
      <c r="P740" s="98">
        <f>'Supply planning data'!R738</f>
        <v>0</v>
      </c>
      <c r="Q740" s="98">
        <f>'Supply planning data'!S738</f>
        <v>0</v>
      </c>
      <c r="R740" s="98">
        <f>'Supply planning data'!T738</f>
        <v>0</v>
      </c>
      <c r="S740" s="98">
        <f>'Supply planning data'!U738</f>
        <v>0</v>
      </c>
      <c r="T740" s="98">
        <f>'Supply planning data'!V738</f>
        <v>0</v>
      </c>
      <c r="U740" s="325" t="str">
        <f>'Supply planning data'!W738</f>
        <v/>
      </c>
      <c r="V740" s="98">
        <f>'Supply planning data'!X738</f>
        <v>0</v>
      </c>
      <c r="W740" s="317">
        <f>'Supply planning data'!Y738</f>
        <v>0</v>
      </c>
      <c r="X740" s="328">
        <f>'Supply planning data'!Z738</f>
        <v>0</v>
      </c>
      <c r="Y740" s="98">
        <f>'Supply planning data'!AA738</f>
        <v>0</v>
      </c>
      <c r="Z740" s="98">
        <f>'Supply planning data'!AB738</f>
        <v>0</v>
      </c>
      <c r="AA740" s="98">
        <f>'Supply planning data'!AC738</f>
        <v>0</v>
      </c>
      <c r="AB740" s="98">
        <f>'Supply planning data'!AD738</f>
        <v>0</v>
      </c>
      <c r="AC740" s="98">
        <f>'Supply planning data'!AE738</f>
        <v>0</v>
      </c>
      <c r="AD740" s="325" t="str">
        <f>'Supply planning data'!AF738</f>
        <v/>
      </c>
      <c r="AE740" s="98">
        <f>'Supply planning data'!AG738</f>
        <v>0</v>
      </c>
      <c r="AF740" s="317">
        <f>'Supply planning data'!AH738</f>
        <v>0</v>
      </c>
      <c r="AG740" s="175">
        <f>'Supply planning data'!AI738</f>
        <v>0</v>
      </c>
      <c r="AH740" s="98">
        <f>'Supply planning data'!AJ738</f>
        <v>0</v>
      </c>
      <c r="AI740" s="98">
        <f>'Supply planning data'!AK738</f>
        <v>0</v>
      </c>
      <c r="AJ740" s="98">
        <f>'Supply planning data'!AL738</f>
        <v>0</v>
      </c>
      <c r="AK740" s="98">
        <f>'Supply planning data'!AM738</f>
        <v>0</v>
      </c>
      <c r="AL740" s="98">
        <f>'Supply planning data'!AN738</f>
        <v>0</v>
      </c>
      <c r="AM740" s="325" t="str">
        <f>'Supply planning data'!AO738</f>
        <v/>
      </c>
    </row>
    <row r="741" spans="1:39" hidden="1" x14ac:dyDescent="0.25">
      <c r="A741" s="90" t="str">
        <f>'Supply planning data'!C739</f>
        <v/>
      </c>
      <c r="B741" s="296">
        <f>'Supply planning data'!D739</f>
        <v>45658</v>
      </c>
      <c r="C741" s="92" t="str">
        <f>'Supply planning data'!E739</f>
        <v>No</v>
      </c>
      <c r="D741" s="92">
        <f>'Supply planning data'!F739</f>
        <v>0</v>
      </c>
      <c r="E741" s="316">
        <f>'Supply planning data'!G739</f>
        <v>0</v>
      </c>
      <c r="F741" s="317">
        <f>'Supply planning data'!H739</f>
        <v>0</v>
      </c>
      <c r="G741" s="317">
        <f>'Supply planning data'!I739</f>
        <v>0</v>
      </c>
      <c r="H741" s="98">
        <f>'Supply planning data'!J739</f>
        <v>0</v>
      </c>
      <c r="I741" s="317">
        <f>'Supply planning data'!K739</f>
        <v>0</v>
      </c>
      <c r="J741" s="175" t="str">
        <f>'Supply planning data'!L739</f>
        <v/>
      </c>
      <c r="K741" s="98">
        <f>'Supply planning data'!M739</f>
        <v>0</v>
      </c>
      <c r="L741" s="317">
        <f>'Supply planning data'!N739+'Supply planning data'!P739</f>
        <v>0</v>
      </c>
      <c r="M741" s="339">
        <f>'Supply planning data'!O739</f>
        <v>0</v>
      </c>
      <c r="N741" s="317">
        <f>'Supply planning data'!P739</f>
        <v>0</v>
      </c>
      <c r="O741" s="339">
        <f>'Supply planning data'!Q739</f>
        <v>0</v>
      </c>
      <c r="P741" s="98">
        <f>'Supply planning data'!R739</f>
        <v>0</v>
      </c>
      <c r="Q741" s="98">
        <f>'Supply planning data'!S739</f>
        <v>0</v>
      </c>
      <c r="R741" s="98">
        <f>'Supply planning data'!T739</f>
        <v>0</v>
      </c>
      <c r="S741" s="98">
        <f>'Supply planning data'!U739</f>
        <v>0</v>
      </c>
      <c r="T741" s="98">
        <f>'Supply planning data'!V739</f>
        <v>0</v>
      </c>
      <c r="U741" s="325" t="str">
        <f>'Supply planning data'!W739</f>
        <v/>
      </c>
      <c r="V741" s="98">
        <f>'Supply planning data'!X739</f>
        <v>0</v>
      </c>
      <c r="W741" s="317">
        <f>'Supply planning data'!Y739</f>
        <v>0</v>
      </c>
      <c r="X741" s="328">
        <f>'Supply planning data'!Z739</f>
        <v>0</v>
      </c>
      <c r="Y741" s="98">
        <f>'Supply planning data'!AA739</f>
        <v>0</v>
      </c>
      <c r="Z741" s="98">
        <f>'Supply planning data'!AB739</f>
        <v>0</v>
      </c>
      <c r="AA741" s="98">
        <f>'Supply planning data'!AC739</f>
        <v>0</v>
      </c>
      <c r="AB741" s="98">
        <f>'Supply planning data'!AD739</f>
        <v>0</v>
      </c>
      <c r="AC741" s="98">
        <f>'Supply planning data'!AE739</f>
        <v>0</v>
      </c>
      <c r="AD741" s="325" t="str">
        <f>'Supply planning data'!AF739</f>
        <v/>
      </c>
      <c r="AE741" s="98">
        <f>'Supply planning data'!AG739</f>
        <v>0</v>
      </c>
      <c r="AF741" s="317">
        <f>'Supply planning data'!AH739</f>
        <v>0</v>
      </c>
      <c r="AG741" s="175">
        <f>'Supply planning data'!AI739</f>
        <v>0</v>
      </c>
      <c r="AH741" s="98">
        <f>'Supply planning data'!AJ739</f>
        <v>0</v>
      </c>
      <c r="AI741" s="98">
        <f>'Supply planning data'!AK739</f>
        <v>0</v>
      </c>
      <c r="AJ741" s="98">
        <f>'Supply planning data'!AL739</f>
        <v>0</v>
      </c>
      <c r="AK741" s="98">
        <f>'Supply planning data'!AM739</f>
        <v>0</v>
      </c>
      <c r="AL741" s="98">
        <f>'Supply planning data'!AN739</f>
        <v>0</v>
      </c>
      <c r="AM741" s="325" t="str">
        <f>'Supply planning data'!AO739</f>
        <v/>
      </c>
    </row>
    <row r="742" spans="1:39" x14ac:dyDescent="0.25">
      <c r="A742" s="104" t="str">
        <f>'Supply planning data'!C740</f>
        <v>AstraZeneca</v>
      </c>
      <c r="B742" s="298">
        <f>'Supply planning data'!D740</f>
        <v>45689</v>
      </c>
      <c r="C742" s="105" t="str">
        <f>'Supply planning data'!E740</f>
        <v>Yes</v>
      </c>
      <c r="D742" s="105">
        <f>'Supply planning data'!F740</f>
        <v>0</v>
      </c>
      <c r="E742" s="320">
        <f>'Supply planning data'!G740</f>
        <v>0</v>
      </c>
      <c r="F742" s="320">
        <f>'Supply planning data'!H740</f>
        <v>0</v>
      </c>
      <c r="G742" s="320">
        <f>'Supply planning data'!I740</f>
        <v>0</v>
      </c>
      <c r="H742" s="105">
        <f>'Supply planning data'!J740</f>
        <v>0</v>
      </c>
      <c r="I742" s="320">
        <f>'Supply planning data'!K740</f>
        <v>0</v>
      </c>
      <c r="J742" s="177" t="str">
        <f>'Supply planning data'!L740</f>
        <v/>
      </c>
      <c r="K742" s="105">
        <f>'Supply planning data'!M740</f>
        <v>0</v>
      </c>
      <c r="L742" s="320">
        <f>'Supply planning data'!N740+'Supply planning data'!P740</f>
        <v>0</v>
      </c>
      <c r="M742" s="341">
        <f>'Supply planning data'!O740</f>
        <v>0</v>
      </c>
      <c r="N742" s="320">
        <f>'Supply planning data'!P740</f>
        <v>0</v>
      </c>
      <c r="O742" s="341">
        <f>'Supply planning data'!Q740</f>
        <v>0</v>
      </c>
      <c r="P742" s="105">
        <f>'Supply planning data'!R740</f>
        <v>0</v>
      </c>
      <c r="Q742" s="105">
        <f>'Supply planning data'!S740</f>
        <v>0</v>
      </c>
      <c r="R742" s="105">
        <f>'Supply planning data'!T740</f>
        <v>0</v>
      </c>
      <c r="S742" s="105">
        <f>'Supply planning data'!U740</f>
        <v>0</v>
      </c>
      <c r="T742" s="105">
        <f>'Supply planning data'!V740</f>
        <v>0</v>
      </c>
      <c r="U742" s="326" t="str">
        <f>'Supply planning data'!W740</f>
        <v/>
      </c>
      <c r="V742" s="105">
        <f>'Supply planning data'!X740</f>
        <v>154701</v>
      </c>
      <c r="W742" s="320">
        <f>'Supply planning data'!Y740</f>
        <v>0</v>
      </c>
      <c r="X742" s="329">
        <f>'Supply planning data'!Z740</f>
        <v>0</v>
      </c>
      <c r="Y742" s="105">
        <f>'Supply planning data'!AA740</f>
        <v>0</v>
      </c>
      <c r="Z742" s="105">
        <f>'Supply planning data'!AB740</f>
        <v>0</v>
      </c>
      <c r="AA742" s="105">
        <f>'Supply planning data'!AC740</f>
        <v>0</v>
      </c>
      <c r="AB742" s="105">
        <f>'Supply planning data'!AD740</f>
        <v>0</v>
      </c>
      <c r="AC742" s="105">
        <f>'Supply planning data'!AE740</f>
        <v>154701</v>
      </c>
      <c r="AD742" s="326" t="str">
        <f>'Supply planning data'!AF740</f>
        <v/>
      </c>
      <c r="AE742" s="105">
        <f>'Supply planning data'!AG740</f>
        <v>0</v>
      </c>
      <c r="AF742" s="320">
        <f>'Supply planning data'!AH740</f>
        <v>0</v>
      </c>
      <c r="AG742" s="177">
        <f>'Supply planning data'!AI740</f>
        <v>0</v>
      </c>
      <c r="AH742" s="105">
        <f>'Supply planning data'!AJ740</f>
        <v>0</v>
      </c>
      <c r="AI742" s="105">
        <f>'Supply planning data'!AK740</f>
        <v>0</v>
      </c>
      <c r="AJ742" s="105">
        <f>'Supply planning data'!AL740</f>
        <v>0</v>
      </c>
      <c r="AK742" s="105">
        <f>'Supply planning data'!AM740</f>
        <v>0</v>
      </c>
      <c r="AL742" s="105">
        <f>'Supply planning data'!AN740</f>
        <v>0</v>
      </c>
      <c r="AM742" s="326" t="str">
        <f>'Supply planning data'!AO740</f>
        <v/>
      </c>
    </row>
    <row r="743" spans="1:39" x14ac:dyDescent="0.25">
      <c r="A743" s="109" t="str">
        <f>'Supply planning data'!C741</f>
        <v>Jansen</v>
      </c>
      <c r="B743" s="298">
        <f>'Supply planning data'!D741</f>
        <v>45689</v>
      </c>
      <c r="C743" s="105" t="str">
        <f>'Supply planning data'!E741</f>
        <v>Yes</v>
      </c>
      <c r="D743" s="105">
        <f>'Supply planning data'!F741</f>
        <v>1871200</v>
      </c>
      <c r="E743" s="320">
        <f>'Supply planning data'!G741</f>
        <v>0</v>
      </c>
      <c r="F743" s="320">
        <f>'Supply planning data'!H741</f>
        <v>0</v>
      </c>
      <c r="G743" s="320">
        <f>'Supply planning data'!I741</f>
        <v>0</v>
      </c>
      <c r="H743" s="105">
        <f>'Supply planning data'!J741</f>
        <v>0</v>
      </c>
      <c r="I743" s="320">
        <f>'Supply planning data'!K741</f>
        <v>0</v>
      </c>
      <c r="J743" s="177" t="str">
        <f>'Supply planning data'!L741</f>
        <v/>
      </c>
      <c r="K743" s="105">
        <f>'Supply planning data'!M741</f>
        <v>0</v>
      </c>
      <c r="L743" s="321">
        <f>'Supply planning data'!N741+'Supply planning data'!P741</f>
        <v>0</v>
      </c>
      <c r="M743" s="342">
        <f>'Supply planning data'!O741</f>
        <v>0</v>
      </c>
      <c r="N743" s="321">
        <f>'Supply planning data'!P741</f>
        <v>0</v>
      </c>
      <c r="O743" s="342">
        <f>'Supply planning data'!Q741</f>
        <v>0</v>
      </c>
      <c r="P743" s="111">
        <f>'Supply planning data'!R741</f>
        <v>0</v>
      </c>
      <c r="Q743" s="111">
        <f>'Supply planning data'!S741</f>
        <v>0</v>
      </c>
      <c r="R743" s="111">
        <f>'Supply planning data'!T741</f>
        <v>387547</v>
      </c>
      <c r="S743" s="111">
        <f>'Supply planning data'!U741</f>
        <v>0</v>
      </c>
      <c r="T743" s="111">
        <f>'Supply planning data'!V741</f>
        <v>1871200</v>
      </c>
      <c r="U743" s="327" t="str">
        <f>'Supply planning data'!W741</f>
        <v/>
      </c>
      <c r="V743" s="111">
        <f>'Supply planning data'!X741</f>
        <v>1311200</v>
      </c>
      <c r="W743" s="321">
        <f>'Supply planning data'!Y741</f>
        <v>0</v>
      </c>
      <c r="X743" s="329">
        <f>'Supply planning data'!Z741</f>
        <v>0</v>
      </c>
      <c r="Y743" s="111">
        <f>'Supply planning data'!AA741</f>
        <v>0</v>
      </c>
      <c r="Z743" s="111">
        <f>'Supply planning data'!AB741</f>
        <v>0</v>
      </c>
      <c r="AA743" s="111">
        <f>'Supply planning data'!AC741</f>
        <v>0</v>
      </c>
      <c r="AB743" s="111">
        <f>'Supply planning data'!AD741</f>
        <v>0</v>
      </c>
      <c r="AC743" s="111">
        <f>'Supply planning data'!AE741</f>
        <v>1311200</v>
      </c>
      <c r="AD743" s="327" t="str">
        <f>'Supply planning data'!AF741</f>
        <v/>
      </c>
      <c r="AE743" s="111">
        <f>'Supply planning data'!AG741</f>
        <v>1871200</v>
      </c>
      <c r="AF743" s="321">
        <f>'Supply planning data'!AH741</f>
        <v>0</v>
      </c>
      <c r="AG743" s="349">
        <f>'Supply planning data'!AI741</f>
        <v>0</v>
      </c>
      <c r="AH743" s="111">
        <f>'Supply planning data'!AJ741</f>
        <v>0</v>
      </c>
      <c r="AI743" s="111">
        <f>'Supply planning data'!AK741</f>
        <v>0</v>
      </c>
      <c r="AJ743" s="111">
        <f>'Supply planning data'!AL741</f>
        <v>387547</v>
      </c>
      <c r="AK743" s="111">
        <f>'Supply planning data'!AM741</f>
        <v>0</v>
      </c>
      <c r="AL743" s="111">
        <f>'Supply planning data'!AN741</f>
        <v>1871200</v>
      </c>
      <c r="AM743" s="327" t="str">
        <f>'Supply planning data'!AO741</f>
        <v/>
      </c>
    </row>
    <row r="744" spans="1:39" x14ac:dyDescent="0.25">
      <c r="A744" s="104" t="str">
        <f>'Supply planning data'!C742</f>
        <v>Moderna</v>
      </c>
      <c r="B744" s="298">
        <f>'Supply planning data'!D742</f>
        <v>45689</v>
      </c>
      <c r="C744" s="105" t="str">
        <f>'Supply planning data'!E742</f>
        <v>No</v>
      </c>
      <c r="D744" s="105">
        <f>'Supply planning data'!F742</f>
        <v>0</v>
      </c>
      <c r="E744" s="320">
        <f>'Supply planning data'!G742</f>
        <v>0</v>
      </c>
      <c r="F744" s="320">
        <f>'Supply planning data'!H742</f>
        <v>0</v>
      </c>
      <c r="G744" s="320">
        <f>'Supply planning data'!I742</f>
        <v>0</v>
      </c>
      <c r="H744" s="105">
        <f>'Supply planning data'!J742</f>
        <v>0</v>
      </c>
      <c r="I744" s="320">
        <f>'Supply planning data'!K742</f>
        <v>0</v>
      </c>
      <c r="J744" s="177" t="str">
        <f>'Supply planning data'!L742</f>
        <v/>
      </c>
      <c r="K744" s="105">
        <f>'Supply planning data'!M742</f>
        <v>0</v>
      </c>
      <c r="L744" s="321">
        <f>'Supply planning data'!N742+'Supply planning data'!P742</f>
        <v>0</v>
      </c>
      <c r="M744" s="342">
        <f>'Supply planning data'!O742</f>
        <v>0</v>
      </c>
      <c r="N744" s="321">
        <f>'Supply planning data'!P742</f>
        <v>0</v>
      </c>
      <c r="O744" s="342">
        <f>'Supply planning data'!Q742</f>
        <v>0</v>
      </c>
      <c r="P744" s="111">
        <f>'Supply planning data'!R742</f>
        <v>0</v>
      </c>
      <c r="Q744" s="111">
        <f>'Supply planning data'!S742</f>
        <v>0</v>
      </c>
      <c r="R744" s="111">
        <f>'Supply planning data'!T742</f>
        <v>0</v>
      </c>
      <c r="S744" s="111">
        <f>'Supply planning data'!U742</f>
        <v>0</v>
      </c>
      <c r="T744" s="111">
        <f>'Supply planning data'!V742</f>
        <v>0</v>
      </c>
      <c r="U744" s="327" t="str">
        <f>'Supply planning data'!W742</f>
        <v/>
      </c>
      <c r="V744" s="111">
        <f>'Supply planning data'!X742</f>
        <v>0</v>
      </c>
      <c r="W744" s="321">
        <f>'Supply planning data'!Y742</f>
        <v>0</v>
      </c>
      <c r="X744" s="329">
        <f>'Supply planning data'!Z742</f>
        <v>0</v>
      </c>
      <c r="Y744" s="111">
        <f>'Supply planning data'!AA742</f>
        <v>0</v>
      </c>
      <c r="Z744" s="111">
        <f>'Supply planning data'!AB742</f>
        <v>0</v>
      </c>
      <c r="AA744" s="111">
        <f>'Supply planning data'!AC742</f>
        <v>0</v>
      </c>
      <c r="AB744" s="111">
        <f>'Supply planning data'!AD742</f>
        <v>0</v>
      </c>
      <c r="AC744" s="111">
        <f>'Supply planning data'!AE742</f>
        <v>0</v>
      </c>
      <c r="AD744" s="327" t="str">
        <f>'Supply planning data'!AF742</f>
        <v/>
      </c>
      <c r="AE744" s="111">
        <f>'Supply planning data'!AG742</f>
        <v>0</v>
      </c>
      <c r="AF744" s="321">
        <f>'Supply planning data'!AH742</f>
        <v>0</v>
      </c>
      <c r="AG744" s="349">
        <f>'Supply planning data'!AI742</f>
        <v>0</v>
      </c>
      <c r="AH744" s="111">
        <f>'Supply planning data'!AJ742</f>
        <v>0</v>
      </c>
      <c r="AI744" s="111">
        <f>'Supply planning data'!AK742</f>
        <v>0</v>
      </c>
      <c r="AJ744" s="111">
        <f>'Supply planning data'!AL742</f>
        <v>0</v>
      </c>
      <c r="AK744" s="111">
        <f>'Supply planning data'!AM742</f>
        <v>0</v>
      </c>
      <c r="AL744" s="111">
        <f>'Supply planning data'!AN742</f>
        <v>0</v>
      </c>
      <c r="AM744" s="327" t="str">
        <f>'Supply planning data'!AO742</f>
        <v/>
      </c>
    </row>
    <row r="745" spans="1:39" x14ac:dyDescent="0.25">
      <c r="A745" s="109" t="str">
        <f>'Supply planning data'!C743</f>
        <v>Pfizer</v>
      </c>
      <c r="B745" s="298">
        <f>'Supply planning data'!D743</f>
        <v>45689</v>
      </c>
      <c r="C745" s="105" t="str">
        <f>'Supply planning data'!E743</f>
        <v>Yes</v>
      </c>
      <c r="D745" s="105">
        <f>'Supply planning data'!F743</f>
        <v>3000000</v>
      </c>
      <c r="E745" s="320">
        <f>'Supply planning data'!G743</f>
        <v>0</v>
      </c>
      <c r="F745" s="320">
        <f>'Supply planning data'!H743</f>
        <v>0</v>
      </c>
      <c r="G745" s="320">
        <f>'Supply planning data'!I743</f>
        <v>0</v>
      </c>
      <c r="H745" s="105">
        <f>'Supply planning data'!J743</f>
        <v>0</v>
      </c>
      <c r="I745" s="320">
        <f>'Supply planning data'!K743</f>
        <v>0</v>
      </c>
      <c r="J745" s="177" t="str">
        <f>'Supply planning data'!L743</f>
        <v/>
      </c>
      <c r="K745" s="105">
        <f>'Supply planning data'!M743</f>
        <v>0</v>
      </c>
      <c r="L745" s="321">
        <f>'Supply planning data'!N743+'Supply planning data'!P743</f>
        <v>0</v>
      </c>
      <c r="M745" s="342">
        <f>'Supply planning data'!O743</f>
        <v>0</v>
      </c>
      <c r="N745" s="321">
        <f>'Supply planning data'!P743</f>
        <v>0</v>
      </c>
      <c r="O745" s="342">
        <f>'Supply planning data'!Q743</f>
        <v>0</v>
      </c>
      <c r="P745" s="111">
        <f>'Supply planning data'!R743</f>
        <v>0</v>
      </c>
      <c r="Q745" s="111">
        <f>'Supply planning data'!S743</f>
        <v>0</v>
      </c>
      <c r="R745" s="111">
        <f>'Supply planning data'!T743</f>
        <v>110538</v>
      </c>
      <c r="S745" s="111">
        <f>'Supply planning data'!U743</f>
        <v>0</v>
      </c>
      <c r="T745" s="111">
        <f>'Supply planning data'!V743</f>
        <v>3000000</v>
      </c>
      <c r="U745" s="327" t="str">
        <f>'Supply planning data'!W743</f>
        <v/>
      </c>
      <c r="V745" s="111">
        <f>'Supply planning data'!X743</f>
        <v>2440000</v>
      </c>
      <c r="W745" s="321">
        <f>'Supply planning data'!Y743</f>
        <v>0</v>
      </c>
      <c r="X745" s="329">
        <f>'Supply planning data'!Z743</f>
        <v>0</v>
      </c>
      <c r="Y745" s="111">
        <f>'Supply planning data'!AA743</f>
        <v>0</v>
      </c>
      <c r="Z745" s="111">
        <f>'Supply planning data'!AB743</f>
        <v>0</v>
      </c>
      <c r="AA745" s="111">
        <f>'Supply planning data'!AC743</f>
        <v>0</v>
      </c>
      <c r="AB745" s="111">
        <f>'Supply planning data'!AD743</f>
        <v>0</v>
      </c>
      <c r="AC745" s="111">
        <f>'Supply planning data'!AE743</f>
        <v>2440000</v>
      </c>
      <c r="AD745" s="327" t="str">
        <f>'Supply planning data'!AF743</f>
        <v/>
      </c>
      <c r="AE745" s="111">
        <f>'Supply planning data'!AG743</f>
        <v>3000000</v>
      </c>
      <c r="AF745" s="321">
        <f>'Supply planning data'!AH743</f>
        <v>0</v>
      </c>
      <c r="AG745" s="349">
        <f>'Supply planning data'!AI743</f>
        <v>0</v>
      </c>
      <c r="AH745" s="111">
        <f>'Supply planning data'!AJ743</f>
        <v>0</v>
      </c>
      <c r="AI745" s="111">
        <f>'Supply planning data'!AK743</f>
        <v>0</v>
      </c>
      <c r="AJ745" s="111">
        <f>'Supply planning data'!AL743</f>
        <v>110538</v>
      </c>
      <c r="AK745" s="111">
        <f>'Supply planning data'!AM743</f>
        <v>0</v>
      </c>
      <c r="AL745" s="111">
        <f>'Supply planning data'!AN743</f>
        <v>3000000</v>
      </c>
      <c r="AM745" s="327" t="str">
        <f>'Supply planning data'!AO743</f>
        <v/>
      </c>
    </row>
    <row r="746" spans="1:39" x14ac:dyDescent="0.25">
      <c r="A746" s="104" t="str">
        <f>'Supply planning data'!C744</f>
        <v>Sinovac</v>
      </c>
      <c r="B746" s="298">
        <f>'Supply planning data'!D744</f>
        <v>45689</v>
      </c>
      <c r="C746" s="105" t="str">
        <f>'Supply planning data'!E744</f>
        <v>No</v>
      </c>
      <c r="D746" s="105">
        <f>'Supply planning data'!F744</f>
        <v>0</v>
      </c>
      <c r="E746" s="320">
        <f>'Supply planning data'!G744</f>
        <v>0</v>
      </c>
      <c r="F746" s="320">
        <f>'Supply planning data'!H744</f>
        <v>0</v>
      </c>
      <c r="G746" s="320">
        <f>'Supply planning data'!I744</f>
        <v>0</v>
      </c>
      <c r="H746" s="105">
        <f>'Supply planning data'!J744</f>
        <v>0</v>
      </c>
      <c r="I746" s="320">
        <f>'Supply planning data'!K744</f>
        <v>0</v>
      </c>
      <c r="J746" s="177" t="str">
        <f>'Supply planning data'!L744</f>
        <v/>
      </c>
      <c r="K746" s="105">
        <f>'Supply planning data'!M744</f>
        <v>0</v>
      </c>
      <c r="L746" s="321">
        <f>'Supply planning data'!N744+'Supply planning data'!P744</f>
        <v>0</v>
      </c>
      <c r="M746" s="342">
        <f>'Supply planning data'!O744</f>
        <v>0</v>
      </c>
      <c r="N746" s="321">
        <f>'Supply planning data'!P744</f>
        <v>0</v>
      </c>
      <c r="O746" s="342">
        <f>'Supply planning data'!Q744</f>
        <v>0</v>
      </c>
      <c r="P746" s="111">
        <f>'Supply planning data'!R744</f>
        <v>0</v>
      </c>
      <c r="Q746" s="111">
        <f>'Supply planning data'!S744</f>
        <v>0</v>
      </c>
      <c r="R746" s="111">
        <f>'Supply planning data'!T744</f>
        <v>0</v>
      </c>
      <c r="S746" s="111">
        <f>'Supply planning data'!U744</f>
        <v>0</v>
      </c>
      <c r="T746" s="111">
        <f>'Supply planning data'!V744</f>
        <v>0</v>
      </c>
      <c r="U746" s="327" t="str">
        <f>'Supply planning data'!W744</f>
        <v/>
      </c>
      <c r="V746" s="111">
        <f>'Supply planning data'!X744</f>
        <v>0</v>
      </c>
      <c r="W746" s="321">
        <f>'Supply planning data'!Y744</f>
        <v>0</v>
      </c>
      <c r="X746" s="329">
        <f>'Supply planning data'!Z744</f>
        <v>0</v>
      </c>
      <c r="Y746" s="111">
        <f>'Supply planning data'!AA744</f>
        <v>0</v>
      </c>
      <c r="Z746" s="111">
        <f>'Supply planning data'!AB744</f>
        <v>0</v>
      </c>
      <c r="AA746" s="111">
        <f>'Supply planning data'!AC744</f>
        <v>0</v>
      </c>
      <c r="AB746" s="111">
        <f>'Supply planning data'!AD744</f>
        <v>0</v>
      </c>
      <c r="AC746" s="111">
        <f>'Supply planning data'!AE744</f>
        <v>0</v>
      </c>
      <c r="AD746" s="327" t="str">
        <f>'Supply planning data'!AF744</f>
        <v/>
      </c>
      <c r="AE746" s="111">
        <f>'Supply planning data'!AG744</f>
        <v>0</v>
      </c>
      <c r="AF746" s="321">
        <f>'Supply planning data'!AH744</f>
        <v>0</v>
      </c>
      <c r="AG746" s="349">
        <f>'Supply planning data'!AI744</f>
        <v>0</v>
      </c>
      <c r="AH746" s="111">
        <f>'Supply planning data'!AJ744</f>
        <v>0</v>
      </c>
      <c r="AI746" s="111">
        <f>'Supply planning data'!AK744</f>
        <v>0</v>
      </c>
      <c r="AJ746" s="111">
        <f>'Supply planning data'!AL744</f>
        <v>0</v>
      </c>
      <c r="AK746" s="111">
        <f>'Supply planning data'!AM744</f>
        <v>0</v>
      </c>
      <c r="AL746" s="111">
        <f>'Supply planning data'!AN744</f>
        <v>0</v>
      </c>
      <c r="AM746" s="327" t="str">
        <f>'Supply planning data'!AO744</f>
        <v/>
      </c>
    </row>
    <row r="747" spans="1:39" hidden="1" x14ac:dyDescent="0.25">
      <c r="A747" s="109" t="str">
        <f>'Supply planning data'!C745</f>
        <v/>
      </c>
      <c r="B747" s="298">
        <f>'Supply planning data'!D745</f>
        <v>45689</v>
      </c>
      <c r="C747" s="105" t="str">
        <f>'Supply planning data'!E745</f>
        <v>No</v>
      </c>
      <c r="D747" s="105">
        <f>'Supply planning data'!F745</f>
        <v>0</v>
      </c>
      <c r="E747" s="320">
        <f>'Supply planning data'!G745</f>
        <v>0</v>
      </c>
      <c r="F747" s="320">
        <f>'Supply planning data'!H745</f>
        <v>0</v>
      </c>
      <c r="G747" s="320">
        <f>'Supply planning data'!I745</f>
        <v>0</v>
      </c>
      <c r="H747" s="105">
        <f>'Supply planning data'!J745</f>
        <v>0</v>
      </c>
      <c r="I747" s="320">
        <f>'Supply planning data'!K745</f>
        <v>0</v>
      </c>
      <c r="J747" s="177" t="str">
        <f>'Supply planning data'!L745</f>
        <v/>
      </c>
      <c r="K747" s="105">
        <f>'Supply planning data'!M745</f>
        <v>0</v>
      </c>
      <c r="L747" s="321">
        <f>'Supply planning data'!N745+'Supply planning data'!P745</f>
        <v>0</v>
      </c>
      <c r="M747" s="342">
        <f>'Supply planning data'!O745</f>
        <v>0</v>
      </c>
      <c r="N747" s="321">
        <f>'Supply planning data'!P745</f>
        <v>0</v>
      </c>
      <c r="O747" s="342">
        <f>'Supply planning data'!Q745</f>
        <v>0</v>
      </c>
      <c r="P747" s="111">
        <f>'Supply planning data'!R745</f>
        <v>0</v>
      </c>
      <c r="Q747" s="111">
        <f>'Supply planning data'!S745</f>
        <v>0</v>
      </c>
      <c r="R747" s="111">
        <f>'Supply planning data'!T745</f>
        <v>0</v>
      </c>
      <c r="S747" s="111">
        <f>'Supply planning data'!U745</f>
        <v>0</v>
      </c>
      <c r="T747" s="111">
        <f>'Supply planning data'!V745</f>
        <v>0</v>
      </c>
      <c r="U747" s="327" t="str">
        <f>'Supply planning data'!W745</f>
        <v/>
      </c>
      <c r="V747" s="111">
        <f>'Supply planning data'!X745</f>
        <v>0</v>
      </c>
      <c r="W747" s="321">
        <f>'Supply planning data'!Y745</f>
        <v>0</v>
      </c>
      <c r="X747" s="329">
        <f>'Supply planning data'!Z745</f>
        <v>0</v>
      </c>
      <c r="Y747" s="111">
        <f>'Supply planning data'!AA745</f>
        <v>0</v>
      </c>
      <c r="Z747" s="111">
        <f>'Supply planning data'!AB745</f>
        <v>0</v>
      </c>
      <c r="AA747" s="111">
        <f>'Supply planning data'!AC745</f>
        <v>0</v>
      </c>
      <c r="AB747" s="111">
        <f>'Supply planning data'!AD745</f>
        <v>0</v>
      </c>
      <c r="AC747" s="111">
        <f>'Supply planning data'!AE745</f>
        <v>0</v>
      </c>
      <c r="AD747" s="327" t="str">
        <f>'Supply planning data'!AF745</f>
        <v/>
      </c>
      <c r="AE747" s="111">
        <f>'Supply planning data'!AG745</f>
        <v>0</v>
      </c>
      <c r="AF747" s="321">
        <f>'Supply planning data'!AH745</f>
        <v>0</v>
      </c>
      <c r="AG747" s="349">
        <f>'Supply planning data'!AI745</f>
        <v>0</v>
      </c>
      <c r="AH747" s="111">
        <f>'Supply planning data'!AJ745</f>
        <v>0</v>
      </c>
      <c r="AI747" s="111">
        <f>'Supply planning data'!AK745</f>
        <v>0</v>
      </c>
      <c r="AJ747" s="111">
        <f>'Supply planning data'!AL745</f>
        <v>0</v>
      </c>
      <c r="AK747" s="111">
        <f>'Supply planning data'!AM745</f>
        <v>0</v>
      </c>
      <c r="AL747" s="111">
        <f>'Supply planning data'!AN745</f>
        <v>0</v>
      </c>
      <c r="AM747" s="327" t="str">
        <f>'Supply planning data'!AO745</f>
        <v/>
      </c>
    </row>
    <row r="748" spans="1:39" hidden="1" x14ac:dyDescent="0.25">
      <c r="A748" s="104" t="str">
        <f>'Supply planning data'!C746</f>
        <v/>
      </c>
      <c r="B748" s="298">
        <f>'Supply planning data'!D746</f>
        <v>45689</v>
      </c>
      <c r="C748" s="105" t="str">
        <f>'Supply planning data'!E746</f>
        <v>No</v>
      </c>
      <c r="D748" s="105">
        <f>'Supply planning data'!F746</f>
        <v>0</v>
      </c>
      <c r="E748" s="320">
        <f>'Supply planning data'!G746</f>
        <v>0</v>
      </c>
      <c r="F748" s="320">
        <f>'Supply planning data'!H746</f>
        <v>0</v>
      </c>
      <c r="G748" s="320">
        <f>'Supply planning data'!I746</f>
        <v>0</v>
      </c>
      <c r="H748" s="105">
        <f>'Supply planning data'!J746</f>
        <v>0</v>
      </c>
      <c r="I748" s="320">
        <f>'Supply planning data'!K746</f>
        <v>0</v>
      </c>
      <c r="J748" s="177" t="str">
        <f>'Supply planning data'!L746</f>
        <v/>
      </c>
      <c r="K748" s="105">
        <f>'Supply planning data'!M746</f>
        <v>0</v>
      </c>
      <c r="L748" s="321">
        <f>'Supply planning data'!N746+'Supply planning data'!P746</f>
        <v>0</v>
      </c>
      <c r="M748" s="342">
        <f>'Supply planning data'!O746</f>
        <v>0</v>
      </c>
      <c r="N748" s="321">
        <f>'Supply planning data'!P746</f>
        <v>0</v>
      </c>
      <c r="O748" s="342">
        <f>'Supply planning data'!Q746</f>
        <v>0</v>
      </c>
      <c r="P748" s="111">
        <f>'Supply planning data'!R746</f>
        <v>0</v>
      </c>
      <c r="Q748" s="111">
        <f>'Supply planning data'!S746</f>
        <v>0</v>
      </c>
      <c r="R748" s="111">
        <f>'Supply planning data'!T746</f>
        <v>0</v>
      </c>
      <c r="S748" s="111">
        <f>'Supply planning data'!U746</f>
        <v>0</v>
      </c>
      <c r="T748" s="111">
        <f>'Supply planning data'!V746</f>
        <v>0</v>
      </c>
      <c r="U748" s="327" t="str">
        <f>'Supply planning data'!W746</f>
        <v/>
      </c>
      <c r="V748" s="111">
        <f>'Supply planning data'!X746</f>
        <v>0</v>
      </c>
      <c r="W748" s="321">
        <f>'Supply planning data'!Y746</f>
        <v>0</v>
      </c>
      <c r="X748" s="329">
        <f>'Supply planning data'!Z746</f>
        <v>0</v>
      </c>
      <c r="Y748" s="111">
        <f>'Supply planning data'!AA746</f>
        <v>0</v>
      </c>
      <c r="Z748" s="111">
        <f>'Supply planning data'!AB746</f>
        <v>0</v>
      </c>
      <c r="AA748" s="111">
        <f>'Supply planning data'!AC746</f>
        <v>0</v>
      </c>
      <c r="AB748" s="111">
        <f>'Supply planning data'!AD746</f>
        <v>0</v>
      </c>
      <c r="AC748" s="111">
        <f>'Supply planning data'!AE746</f>
        <v>0</v>
      </c>
      <c r="AD748" s="327" t="str">
        <f>'Supply planning data'!AF746</f>
        <v/>
      </c>
      <c r="AE748" s="111">
        <f>'Supply planning data'!AG746</f>
        <v>0</v>
      </c>
      <c r="AF748" s="321">
        <f>'Supply planning data'!AH746</f>
        <v>0</v>
      </c>
      <c r="AG748" s="349">
        <f>'Supply planning data'!AI746</f>
        <v>0</v>
      </c>
      <c r="AH748" s="111">
        <f>'Supply planning data'!AJ746</f>
        <v>0</v>
      </c>
      <c r="AI748" s="111">
        <f>'Supply planning data'!AK746</f>
        <v>0</v>
      </c>
      <c r="AJ748" s="111">
        <f>'Supply planning data'!AL746</f>
        <v>0</v>
      </c>
      <c r="AK748" s="111">
        <f>'Supply planning data'!AM746</f>
        <v>0</v>
      </c>
      <c r="AL748" s="111">
        <f>'Supply planning data'!AN746</f>
        <v>0</v>
      </c>
      <c r="AM748" s="327" t="str">
        <f>'Supply planning data'!AO746</f>
        <v/>
      </c>
    </row>
    <row r="749" spans="1:39" hidden="1" x14ac:dyDescent="0.25">
      <c r="A749" s="109" t="str">
        <f>'Supply planning data'!C747</f>
        <v/>
      </c>
      <c r="B749" s="298">
        <f>'Supply planning data'!D747</f>
        <v>45689</v>
      </c>
      <c r="C749" s="105" t="str">
        <f>'Supply planning data'!E747</f>
        <v>No</v>
      </c>
      <c r="D749" s="105">
        <f>'Supply planning data'!F747</f>
        <v>0</v>
      </c>
      <c r="E749" s="320">
        <f>'Supply planning data'!G747</f>
        <v>0</v>
      </c>
      <c r="F749" s="320">
        <f>'Supply planning data'!H747</f>
        <v>0</v>
      </c>
      <c r="G749" s="320">
        <f>'Supply planning data'!I747</f>
        <v>0</v>
      </c>
      <c r="H749" s="105">
        <f>'Supply planning data'!J747</f>
        <v>0</v>
      </c>
      <c r="I749" s="320">
        <f>'Supply planning data'!K747</f>
        <v>0</v>
      </c>
      <c r="J749" s="177" t="str">
        <f>'Supply planning data'!L747</f>
        <v/>
      </c>
      <c r="K749" s="105">
        <f>'Supply planning data'!M747</f>
        <v>0</v>
      </c>
      <c r="L749" s="321">
        <f>'Supply planning data'!N747+'Supply planning data'!P747</f>
        <v>0</v>
      </c>
      <c r="M749" s="342">
        <f>'Supply planning data'!O747</f>
        <v>0</v>
      </c>
      <c r="N749" s="321">
        <f>'Supply planning data'!P747</f>
        <v>0</v>
      </c>
      <c r="O749" s="342">
        <f>'Supply planning data'!Q747</f>
        <v>0</v>
      </c>
      <c r="P749" s="111">
        <f>'Supply planning data'!R747</f>
        <v>0</v>
      </c>
      <c r="Q749" s="111">
        <f>'Supply planning data'!S747</f>
        <v>0</v>
      </c>
      <c r="R749" s="111">
        <f>'Supply planning data'!T747</f>
        <v>0</v>
      </c>
      <c r="S749" s="111">
        <f>'Supply planning data'!U747</f>
        <v>0</v>
      </c>
      <c r="T749" s="111">
        <f>'Supply planning data'!V747</f>
        <v>0</v>
      </c>
      <c r="U749" s="327" t="str">
        <f>'Supply planning data'!W747</f>
        <v/>
      </c>
      <c r="V749" s="111">
        <f>'Supply planning data'!X747</f>
        <v>0</v>
      </c>
      <c r="W749" s="321">
        <f>'Supply planning data'!Y747</f>
        <v>0</v>
      </c>
      <c r="X749" s="329">
        <f>'Supply planning data'!Z747</f>
        <v>0</v>
      </c>
      <c r="Y749" s="111">
        <f>'Supply planning data'!AA747</f>
        <v>0</v>
      </c>
      <c r="Z749" s="111">
        <f>'Supply planning data'!AB747</f>
        <v>0</v>
      </c>
      <c r="AA749" s="111">
        <f>'Supply planning data'!AC747</f>
        <v>0</v>
      </c>
      <c r="AB749" s="111">
        <f>'Supply planning data'!AD747</f>
        <v>0</v>
      </c>
      <c r="AC749" s="111">
        <f>'Supply planning data'!AE747</f>
        <v>0</v>
      </c>
      <c r="AD749" s="327" t="str">
        <f>'Supply planning data'!AF747</f>
        <v/>
      </c>
      <c r="AE749" s="111">
        <f>'Supply planning data'!AG747</f>
        <v>0</v>
      </c>
      <c r="AF749" s="321">
        <f>'Supply planning data'!AH747</f>
        <v>0</v>
      </c>
      <c r="AG749" s="349">
        <f>'Supply planning data'!AI747</f>
        <v>0</v>
      </c>
      <c r="AH749" s="111">
        <f>'Supply planning data'!AJ747</f>
        <v>0</v>
      </c>
      <c r="AI749" s="111">
        <f>'Supply planning data'!AK747</f>
        <v>0</v>
      </c>
      <c r="AJ749" s="111">
        <f>'Supply planning data'!AL747</f>
        <v>0</v>
      </c>
      <c r="AK749" s="111">
        <f>'Supply planning data'!AM747</f>
        <v>0</v>
      </c>
      <c r="AL749" s="111">
        <f>'Supply planning data'!AN747</f>
        <v>0</v>
      </c>
      <c r="AM749" s="327" t="str">
        <f>'Supply planning data'!AO747</f>
        <v/>
      </c>
    </row>
    <row r="750" spans="1:39" hidden="1" x14ac:dyDescent="0.25">
      <c r="A750" s="104" t="str">
        <f>'Supply planning data'!C748</f>
        <v/>
      </c>
      <c r="B750" s="298">
        <f>'Supply planning data'!D748</f>
        <v>45689</v>
      </c>
      <c r="C750" s="105" t="str">
        <f>'Supply planning data'!E748</f>
        <v>No</v>
      </c>
      <c r="D750" s="105">
        <f>'Supply planning data'!F748</f>
        <v>0</v>
      </c>
      <c r="E750" s="320">
        <f>'Supply planning data'!G748</f>
        <v>0</v>
      </c>
      <c r="F750" s="320">
        <f>'Supply planning data'!H748</f>
        <v>0</v>
      </c>
      <c r="G750" s="320">
        <f>'Supply planning data'!I748</f>
        <v>0</v>
      </c>
      <c r="H750" s="105">
        <f>'Supply planning data'!J748</f>
        <v>0</v>
      </c>
      <c r="I750" s="320">
        <f>'Supply planning data'!K748</f>
        <v>0</v>
      </c>
      <c r="J750" s="177" t="str">
        <f>'Supply planning data'!L748</f>
        <v/>
      </c>
      <c r="K750" s="105">
        <f>'Supply planning data'!M748</f>
        <v>0</v>
      </c>
      <c r="L750" s="321">
        <f>'Supply planning data'!N748+'Supply planning data'!P748</f>
        <v>0</v>
      </c>
      <c r="M750" s="342">
        <f>'Supply planning data'!O748</f>
        <v>0</v>
      </c>
      <c r="N750" s="321">
        <f>'Supply planning data'!P748</f>
        <v>0</v>
      </c>
      <c r="O750" s="342">
        <f>'Supply planning data'!Q748</f>
        <v>0</v>
      </c>
      <c r="P750" s="111">
        <f>'Supply planning data'!R748</f>
        <v>0</v>
      </c>
      <c r="Q750" s="111">
        <f>'Supply planning data'!S748</f>
        <v>0</v>
      </c>
      <c r="R750" s="111">
        <f>'Supply planning data'!T748</f>
        <v>0</v>
      </c>
      <c r="S750" s="111">
        <f>'Supply planning data'!U748</f>
        <v>0</v>
      </c>
      <c r="T750" s="111">
        <f>'Supply planning data'!V748</f>
        <v>0</v>
      </c>
      <c r="U750" s="327" t="str">
        <f>'Supply planning data'!W748</f>
        <v/>
      </c>
      <c r="V750" s="111">
        <f>'Supply planning data'!X748</f>
        <v>0</v>
      </c>
      <c r="W750" s="321">
        <f>'Supply planning data'!Y748</f>
        <v>0</v>
      </c>
      <c r="X750" s="329">
        <f>'Supply planning data'!Z748</f>
        <v>0</v>
      </c>
      <c r="Y750" s="111">
        <f>'Supply planning data'!AA748</f>
        <v>0</v>
      </c>
      <c r="Z750" s="111">
        <f>'Supply planning data'!AB748</f>
        <v>0</v>
      </c>
      <c r="AA750" s="111">
        <f>'Supply planning data'!AC748</f>
        <v>0</v>
      </c>
      <c r="AB750" s="111">
        <f>'Supply planning data'!AD748</f>
        <v>0</v>
      </c>
      <c r="AC750" s="111">
        <f>'Supply planning data'!AE748</f>
        <v>0</v>
      </c>
      <c r="AD750" s="327" t="str">
        <f>'Supply planning data'!AF748</f>
        <v/>
      </c>
      <c r="AE750" s="111">
        <f>'Supply planning data'!AG748</f>
        <v>0</v>
      </c>
      <c r="AF750" s="321">
        <f>'Supply planning data'!AH748</f>
        <v>0</v>
      </c>
      <c r="AG750" s="349">
        <f>'Supply planning data'!AI748</f>
        <v>0</v>
      </c>
      <c r="AH750" s="111">
        <f>'Supply planning data'!AJ748</f>
        <v>0</v>
      </c>
      <c r="AI750" s="111">
        <f>'Supply planning data'!AK748</f>
        <v>0</v>
      </c>
      <c r="AJ750" s="111">
        <f>'Supply planning data'!AL748</f>
        <v>0</v>
      </c>
      <c r="AK750" s="111">
        <f>'Supply planning data'!AM748</f>
        <v>0</v>
      </c>
      <c r="AL750" s="111">
        <f>'Supply planning data'!AN748</f>
        <v>0</v>
      </c>
      <c r="AM750" s="327" t="str">
        <f>'Supply planning data'!AO748</f>
        <v/>
      </c>
    </row>
    <row r="751" spans="1:39" hidden="1" x14ac:dyDescent="0.25">
      <c r="A751" s="109" t="str">
        <f>'Supply planning data'!C749</f>
        <v/>
      </c>
      <c r="B751" s="298">
        <f>'Supply planning data'!D749</f>
        <v>45689</v>
      </c>
      <c r="C751" s="105" t="str">
        <f>'Supply planning data'!E749</f>
        <v>No</v>
      </c>
      <c r="D751" s="105">
        <f>'Supply planning data'!F749</f>
        <v>0</v>
      </c>
      <c r="E751" s="320">
        <f>'Supply planning data'!G749</f>
        <v>0</v>
      </c>
      <c r="F751" s="320">
        <f>'Supply planning data'!H749</f>
        <v>0</v>
      </c>
      <c r="G751" s="320">
        <f>'Supply planning data'!I749</f>
        <v>0</v>
      </c>
      <c r="H751" s="105">
        <f>'Supply planning data'!J749</f>
        <v>0</v>
      </c>
      <c r="I751" s="320">
        <f>'Supply planning data'!K749</f>
        <v>0</v>
      </c>
      <c r="J751" s="177" t="str">
        <f>'Supply planning data'!L749</f>
        <v/>
      </c>
      <c r="K751" s="105">
        <f>'Supply planning data'!M749</f>
        <v>0</v>
      </c>
      <c r="L751" s="321">
        <f>'Supply planning data'!N749+'Supply planning data'!P749</f>
        <v>0</v>
      </c>
      <c r="M751" s="342">
        <f>'Supply planning data'!O749</f>
        <v>0</v>
      </c>
      <c r="N751" s="321">
        <f>'Supply planning data'!P749</f>
        <v>0</v>
      </c>
      <c r="O751" s="342">
        <f>'Supply planning data'!Q749</f>
        <v>0</v>
      </c>
      <c r="P751" s="111">
        <f>'Supply planning data'!R749</f>
        <v>0</v>
      </c>
      <c r="Q751" s="111">
        <f>'Supply planning data'!S749</f>
        <v>0</v>
      </c>
      <c r="R751" s="111">
        <f>'Supply planning data'!T749</f>
        <v>0</v>
      </c>
      <c r="S751" s="111">
        <f>'Supply planning data'!U749</f>
        <v>0</v>
      </c>
      <c r="T751" s="111">
        <f>'Supply planning data'!V749</f>
        <v>0</v>
      </c>
      <c r="U751" s="327" t="str">
        <f>'Supply planning data'!W749</f>
        <v/>
      </c>
      <c r="V751" s="111">
        <f>'Supply planning data'!X749</f>
        <v>0</v>
      </c>
      <c r="W751" s="321">
        <f>'Supply planning data'!Y749</f>
        <v>0</v>
      </c>
      <c r="X751" s="329">
        <f>'Supply planning data'!Z749</f>
        <v>0</v>
      </c>
      <c r="Y751" s="111">
        <f>'Supply planning data'!AA749</f>
        <v>0</v>
      </c>
      <c r="Z751" s="111">
        <f>'Supply planning data'!AB749</f>
        <v>0</v>
      </c>
      <c r="AA751" s="111">
        <f>'Supply planning data'!AC749</f>
        <v>0</v>
      </c>
      <c r="AB751" s="111">
        <f>'Supply planning data'!AD749</f>
        <v>0</v>
      </c>
      <c r="AC751" s="111">
        <f>'Supply planning data'!AE749</f>
        <v>0</v>
      </c>
      <c r="AD751" s="327" t="str">
        <f>'Supply planning data'!AF749</f>
        <v/>
      </c>
      <c r="AE751" s="111">
        <f>'Supply planning data'!AG749</f>
        <v>0</v>
      </c>
      <c r="AF751" s="321">
        <f>'Supply planning data'!AH749</f>
        <v>0</v>
      </c>
      <c r="AG751" s="349">
        <f>'Supply planning data'!AI749</f>
        <v>0</v>
      </c>
      <c r="AH751" s="111">
        <f>'Supply planning data'!AJ749</f>
        <v>0</v>
      </c>
      <c r="AI751" s="111">
        <f>'Supply planning data'!AK749</f>
        <v>0</v>
      </c>
      <c r="AJ751" s="111">
        <f>'Supply planning data'!AL749</f>
        <v>0</v>
      </c>
      <c r="AK751" s="111">
        <f>'Supply planning data'!AM749</f>
        <v>0</v>
      </c>
      <c r="AL751" s="111">
        <f>'Supply planning data'!AN749</f>
        <v>0</v>
      </c>
      <c r="AM751" s="327" t="str">
        <f>'Supply planning data'!AO749</f>
        <v/>
      </c>
    </row>
    <row r="752" spans="1:39" hidden="1" x14ac:dyDescent="0.25">
      <c r="A752" s="104" t="str">
        <f>'Supply planning data'!C750</f>
        <v/>
      </c>
      <c r="B752" s="298">
        <f>'Supply planning data'!D750</f>
        <v>45689</v>
      </c>
      <c r="C752" s="105" t="str">
        <f>'Supply planning data'!E750</f>
        <v>No</v>
      </c>
      <c r="D752" s="105">
        <f>'Supply planning data'!F750</f>
        <v>0</v>
      </c>
      <c r="E752" s="320">
        <f>'Supply planning data'!G750</f>
        <v>0</v>
      </c>
      <c r="F752" s="320">
        <f>'Supply planning data'!H750</f>
        <v>0</v>
      </c>
      <c r="G752" s="320">
        <f>'Supply planning data'!I750</f>
        <v>0</v>
      </c>
      <c r="H752" s="105">
        <f>'Supply planning data'!J750</f>
        <v>0</v>
      </c>
      <c r="I752" s="320">
        <f>'Supply planning data'!K750</f>
        <v>0</v>
      </c>
      <c r="J752" s="177" t="str">
        <f>'Supply planning data'!L750</f>
        <v/>
      </c>
      <c r="K752" s="105">
        <f>'Supply planning data'!M750</f>
        <v>0</v>
      </c>
      <c r="L752" s="321">
        <f>'Supply planning data'!N750+'Supply planning data'!P750</f>
        <v>0</v>
      </c>
      <c r="M752" s="342">
        <f>'Supply planning data'!O750</f>
        <v>0</v>
      </c>
      <c r="N752" s="321">
        <f>'Supply planning data'!P750</f>
        <v>0</v>
      </c>
      <c r="O752" s="342">
        <f>'Supply planning data'!Q750</f>
        <v>0</v>
      </c>
      <c r="P752" s="111">
        <f>'Supply planning data'!R750</f>
        <v>0</v>
      </c>
      <c r="Q752" s="111">
        <f>'Supply planning data'!S750</f>
        <v>0</v>
      </c>
      <c r="R752" s="111">
        <f>'Supply planning data'!T750</f>
        <v>0</v>
      </c>
      <c r="S752" s="111">
        <f>'Supply planning data'!U750</f>
        <v>0</v>
      </c>
      <c r="T752" s="111">
        <f>'Supply planning data'!V750</f>
        <v>0</v>
      </c>
      <c r="U752" s="327" t="str">
        <f>'Supply planning data'!W750</f>
        <v/>
      </c>
      <c r="V752" s="111">
        <f>'Supply planning data'!X750</f>
        <v>0</v>
      </c>
      <c r="W752" s="321">
        <f>'Supply planning data'!Y750</f>
        <v>0</v>
      </c>
      <c r="X752" s="329">
        <f>'Supply planning data'!Z750</f>
        <v>0</v>
      </c>
      <c r="Y752" s="111">
        <f>'Supply planning data'!AA750</f>
        <v>0</v>
      </c>
      <c r="Z752" s="111">
        <f>'Supply planning data'!AB750</f>
        <v>0</v>
      </c>
      <c r="AA752" s="111">
        <f>'Supply planning data'!AC750</f>
        <v>0</v>
      </c>
      <c r="AB752" s="111">
        <f>'Supply planning data'!AD750</f>
        <v>0</v>
      </c>
      <c r="AC752" s="111">
        <f>'Supply planning data'!AE750</f>
        <v>0</v>
      </c>
      <c r="AD752" s="327" t="str">
        <f>'Supply planning data'!AF750</f>
        <v/>
      </c>
      <c r="AE752" s="111">
        <f>'Supply planning data'!AG750</f>
        <v>0</v>
      </c>
      <c r="AF752" s="321">
        <f>'Supply planning data'!AH750</f>
        <v>0</v>
      </c>
      <c r="AG752" s="349">
        <f>'Supply planning data'!AI750</f>
        <v>0</v>
      </c>
      <c r="AH752" s="111">
        <f>'Supply planning data'!AJ750</f>
        <v>0</v>
      </c>
      <c r="AI752" s="111">
        <f>'Supply planning data'!AK750</f>
        <v>0</v>
      </c>
      <c r="AJ752" s="111">
        <f>'Supply planning data'!AL750</f>
        <v>0</v>
      </c>
      <c r="AK752" s="111">
        <f>'Supply planning data'!AM750</f>
        <v>0</v>
      </c>
      <c r="AL752" s="111">
        <f>'Supply planning data'!AN750</f>
        <v>0</v>
      </c>
      <c r="AM752" s="327" t="str">
        <f>'Supply planning data'!AO750</f>
        <v/>
      </c>
    </row>
    <row r="753" spans="1:39" hidden="1" x14ac:dyDescent="0.25">
      <c r="A753" s="109" t="str">
        <f>'Supply planning data'!C751</f>
        <v/>
      </c>
      <c r="B753" s="298">
        <f>'Supply planning data'!D751</f>
        <v>45689</v>
      </c>
      <c r="C753" s="105" t="str">
        <f>'Supply planning data'!E751</f>
        <v>No</v>
      </c>
      <c r="D753" s="105">
        <f>'Supply planning data'!F751</f>
        <v>0</v>
      </c>
      <c r="E753" s="320">
        <f>'Supply planning data'!G751</f>
        <v>0</v>
      </c>
      <c r="F753" s="320">
        <f>'Supply planning data'!H751</f>
        <v>0</v>
      </c>
      <c r="G753" s="320">
        <f>'Supply planning data'!I751</f>
        <v>0</v>
      </c>
      <c r="H753" s="105">
        <f>'Supply planning data'!J751</f>
        <v>0</v>
      </c>
      <c r="I753" s="320">
        <f>'Supply planning data'!K751</f>
        <v>0</v>
      </c>
      <c r="J753" s="177" t="str">
        <f>'Supply planning data'!L751</f>
        <v/>
      </c>
      <c r="K753" s="105">
        <f>'Supply planning data'!M751</f>
        <v>0</v>
      </c>
      <c r="L753" s="321">
        <f>'Supply planning data'!N751+'Supply planning data'!P751</f>
        <v>0</v>
      </c>
      <c r="M753" s="342">
        <f>'Supply planning data'!O751</f>
        <v>0</v>
      </c>
      <c r="N753" s="321">
        <f>'Supply planning data'!P751</f>
        <v>0</v>
      </c>
      <c r="O753" s="342">
        <f>'Supply planning data'!Q751</f>
        <v>0</v>
      </c>
      <c r="P753" s="111">
        <f>'Supply planning data'!R751</f>
        <v>0</v>
      </c>
      <c r="Q753" s="111">
        <f>'Supply planning data'!S751</f>
        <v>0</v>
      </c>
      <c r="R753" s="111">
        <f>'Supply planning data'!T751</f>
        <v>0</v>
      </c>
      <c r="S753" s="111">
        <f>'Supply planning data'!U751</f>
        <v>0</v>
      </c>
      <c r="T753" s="111">
        <f>'Supply planning data'!V751</f>
        <v>0</v>
      </c>
      <c r="U753" s="327" t="str">
        <f>'Supply planning data'!W751</f>
        <v/>
      </c>
      <c r="V753" s="111">
        <f>'Supply planning data'!X751</f>
        <v>0</v>
      </c>
      <c r="W753" s="321">
        <f>'Supply planning data'!Y751</f>
        <v>0</v>
      </c>
      <c r="X753" s="329">
        <f>'Supply planning data'!Z751</f>
        <v>0</v>
      </c>
      <c r="Y753" s="111">
        <f>'Supply planning data'!AA751</f>
        <v>0</v>
      </c>
      <c r="Z753" s="111">
        <f>'Supply planning data'!AB751</f>
        <v>0</v>
      </c>
      <c r="AA753" s="111">
        <f>'Supply planning data'!AC751</f>
        <v>0</v>
      </c>
      <c r="AB753" s="111">
        <f>'Supply planning data'!AD751</f>
        <v>0</v>
      </c>
      <c r="AC753" s="111">
        <f>'Supply planning data'!AE751</f>
        <v>0</v>
      </c>
      <c r="AD753" s="327" t="str">
        <f>'Supply planning data'!AF751</f>
        <v/>
      </c>
      <c r="AE753" s="111">
        <f>'Supply planning data'!AG751</f>
        <v>0</v>
      </c>
      <c r="AF753" s="321">
        <f>'Supply planning data'!AH751</f>
        <v>0</v>
      </c>
      <c r="AG753" s="349">
        <f>'Supply planning data'!AI751</f>
        <v>0</v>
      </c>
      <c r="AH753" s="111">
        <f>'Supply planning data'!AJ751</f>
        <v>0</v>
      </c>
      <c r="AI753" s="111">
        <f>'Supply planning data'!AK751</f>
        <v>0</v>
      </c>
      <c r="AJ753" s="111">
        <f>'Supply planning data'!AL751</f>
        <v>0</v>
      </c>
      <c r="AK753" s="111">
        <f>'Supply planning data'!AM751</f>
        <v>0</v>
      </c>
      <c r="AL753" s="111">
        <f>'Supply planning data'!AN751</f>
        <v>0</v>
      </c>
      <c r="AM753" s="327" t="str">
        <f>'Supply planning data'!AO751</f>
        <v/>
      </c>
    </row>
    <row r="754" spans="1:39" hidden="1" x14ac:dyDescent="0.25">
      <c r="A754" s="104" t="str">
        <f>'Supply planning data'!C752</f>
        <v/>
      </c>
      <c r="B754" s="298">
        <f>'Supply planning data'!D752</f>
        <v>45689</v>
      </c>
      <c r="C754" s="105" t="str">
        <f>'Supply planning data'!E752</f>
        <v>No</v>
      </c>
      <c r="D754" s="105">
        <f>'Supply planning data'!F752</f>
        <v>0</v>
      </c>
      <c r="E754" s="320">
        <f>'Supply planning data'!G752</f>
        <v>0</v>
      </c>
      <c r="F754" s="320">
        <f>'Supply planning data'!H752</f>
        <v>0</v>
      </c>
      <c r="G754" s="320">
        <f>'Supply planning data'!I752</f>
        <v>0</v>
      </c>
      <c r="H754" s="105">
        <f>'Supply planning data'!J752</f>
        <v>0</v>
      </c>
      <c r="I754" s="320">
        <f>'Supply planning data'!K752</f>
        <v>0</v>
      </c>
      <c r="J754" s="177" t="str">
        <f>'Supply planning data'!L752</f>
        <v/>
      </c>
      <c r="K754" s="105">
        <f>'Supply planning data'!M752</f>
        <v>0</v>
      </c>
      <c r="L754" s="321">
        <f>'Supply planning data'!N752+'Supply planning data'!P752</f>
        <v>0</v>
      </c>
      <c r="M754" s="342">
        <f>'Supply planning data'!O752</f>
        <v>0</v>
      </c>
      <c r="N754" s="321">
        <f>'Supply planning data'!P752</f>
        <v>0</v>
      </c>
      <c r="O754" s="342">
        <f>'Supply planning data'!Q752</f>
        <v>0</v>
      </c>
      <c r="P754" s="111">
        <f>'Supply planning data'!R752</f>
        <v>0</v>
      </c>
      <c r="Q754" s="111">
        <f>'Supply planning data'!S752</f>
        <v>0</v>
      </c>
      <c r="R754" s="111">
        <f>'Supply planning data'!T752</f>
        <v>0</v>
      </c>
      <c r="S754" s="111">
        <f>'Supply planning data'!U752</f>
        <v>0</v>
      </c>
      <c r="T754" s="111">
        <f>'Supply planning data'!V752</f>
        <v>0</v>
      </c>
      <c r="U754" s="327" t="str">
        <f>'Supply planning data'!W752</f>
        <v/>
      </c>
      <c r="V754" s="111">
        <f>'Supply planning data'!X752</f>
        <v>0</v>
      </c>
      <c r="W754" s="321">
        <f>'Supply planning data'!Y752</f>
        <v>0</v>
      </c>
      <c r="X754" s="329">
        <f>'Supply planning data'!Z752</f>
        <v>0</v>
      </c>
      <c r="Y754" s="111">
        <f>'Supply planning data'!AA752</f>
        <v>0</v>
      </c>
      <c r="Z754" s="111">
        <f>'Supply planning data'!AB752</f>
        <v>0</v>
      </c>
      <c r="AA754" s="111">
        <f>'Supply planning data'!AC752</f>
        <v>0</v>
      </c>
      <c r="AB754" s="111">
        <f>'Supply planning data'!AD752</f>
        <v>0</v>
      </c>
      <c r="AC754" s="111">
        <f>'Supply planning data'!AE752</f>
        <v>0</v>
      </c>
      <c r="AD754" s="327" t="str">
        <f>'Supply planning data'!AF752</f>
        <v/>
      </c>
      <c r="AE754" s="111">
        <f>'Supply planning data'!AG752</f>
        <v>0</v>
      </c>
      <c r="AF754" s="321">
        <f>'Supply planning data'!AH752</f>
        <v>0</v>
      </c>
      <c r="AG754" s="349">
        <f>'Supply planning data'!AI752</f>
        <v>0</v>
      </c>
      <c r="AH754" s="111">
        <f>'Supply planning data'!AJ752</f>
        <v>0</v>
      </c>
      <c r="AI754" s="111">
        <f>'Supply planning data'!AK752</f>
        <v>0</v>
      </c>
      <c r="AJ754" s="111">
        <f>'Supply planning data'!AL752</f>
        <v>0</v>
      </c>
      <c r="AK754" s="111">
        <f>'Supply planning data'!AM752</f>
        <v>0</v>
      </c>
      <c r="AL754" s="111">
        <f>'Supply planning data'!AN752</f>
        <v>0</v>
      </c>
      <c r="AM754" s="327" t="str">
        <f>'Supply planning data'!AO752</f>
        <v/>
      </c>
    </row>
    <row r="755" spans="1:39" hidden="1" x14ac:dyDescent="0.25">
      <c r="A755" s="109" t="str">
        <f>'Supply planning data'!C753</f>
        <v/>
      </c>
      <c r="B755" s="298">
        <f>'Supply planning data'!D753</f>
        <v>45689</v>
      </c>
      <c r="C755" s="105" t="str">
        <f>'Supply planning data'!E753</f>
        <v>No</v>
      </c>
      <c r="D755" s="105">
        <f>'Supply planning data'!F753</f>
        <v>0</v>
      </c>
      <c r="E755" s="320">
        <f>'Supply planning data'!G753</f>
        <v>0</v>
      </c>
      <c r="F755" s="320">
        <f>'Supply planning data'!H753</f>
        <v>0</v>
      </c>
      <c r="G755" s="320">
        <f>'Supply planning data'!I753</f>
        <v>0</v>
      </c>
      <c r="H755" s="105">
        <f>'Supply planning data'!J753</f>
        <v>0</v>
      </c>
      <c r="I755" s="320">
        <f>'Supply planning data'!K753</f>
        <v>0</v>
      </c>
      <c r="J755" s="177" t="str">
        <f>'Supply planning data'!L753</f>
        <v/>
      </c>
      <c r="K755" s="105">
        <f>'Supply planning data'!M753</f>
        <v>0</v>
      </c>
      <c r="L755" s="321">
        <f>'Supply planning data'!N753+'Supply planning data'!P753</f>
        <v>0</v>
      </c>
      <c r="M755" s="342">
        <f>'Supply planning data'!O753</f>
        <v>0</v>
      </c>
      <c r="N755" s="321">
        <f>'Supply planning data'!P753</f>
        <v>0</v>
      </c>
      <c r="O755" s="342">
        <f>'Supply planning data'!Q753</f>
        <v>0</v>
      </c>
      <c r="P755" s="111">
        <f>'Supply planning data'!R753</f>
        <v>0</v>
      </c>
      <c r="Q755" s="111">
        <f>'Supply planning data'!S753</f>
        <v>0</v>
      </c>
      <c r="R755" s="111">
        <f>'Supply planning data'!T753</f>
        <v>0</v>
      </c>
      <c r="S755" s="111">
        <f>'Supply planning data'!U753</f>
        <v>0</v>
      </c>
      <c r="T755" s="111">
        <f>'Supply planning data'!V753</f>
        <v>0</v>
      </c>
      <c r="U755" s="327" t="str">
        <f>'Supply planning data'!W753</f>
        <v/>
      </c>
      <c r="V755" s="111">
        <f>'Supply planning data'!X753</f>
        <v>0</v>
      </c>
      <c r="W755" s="321">
        <f>'Supply planning data'!Y753</f>
        <v>0</v>
      </c>
      <c r="X755" s="329">
        <f>'Supply planning data'!Z753</f>
        <v>0</v>
      </c>
      <c r="Y755" s="111">
        <f>'Supply planning data'!AA753</f>
        <v>0</v>
      </c>
      <c r="Z755" s="111">
        <f>'Supply planning data'!AB753</f>
        <v>0</v>
      </c>
      <c r="AA755" s="111">
        <f>'Supply planning data'!AC753</f>
        <v>0</v>
      </c>
      <c r="AB755" s="111">
        <f>'Supply planning data'!AD753</f>
        <v>0</v>
      </c>
      <c r="AC755" s="111">
        <f>'Supply planning data'!AE753</f>
        <v>0</v>
      </c>
      <c r="AD755" s="327" t="str">
        <f>'Supply planning data'!AF753</f>
        <v/>
      </c>
      <c r="AE755" s="111">
        <f>'Supply planning data'!AG753</f>
        <v>0</v>
      </c>
      <c r="AF755" s="321">
        <f>'Supply planning data'!AH753</f>
        <v>0</v>
      </c>
      <c r="AG755" s="349">
        <f>'Supply planning data'!AI753</f>
        <v>0</v>
      </c>
      <c r="AH755" s="111">
        <f>'Supply planning data'!AJ753</f>
        <v>0</v>
      </c>
      <c r="AI755" s="111">
        <f>'Supply planning data'!AK753</f>
        <v>0</v>
      </c>
      <c r="AJ755" s="111">
        <f>'Supply planning data'!AL753</f>
        <v>0</v>
      </c>
      <c r="AK755" s="111">
        <f>'Supply planning data'!AM753</f>
        <v>0</v>
      </c>
      <c r="AL755" s="111">
        <f>'Supply planning data'!AN753</f>
        <v>0</v>
      </c>
      <c r="AM755" s="327" t="str">
        <f>'Supply planning data'!AO753</f>
        <v/>
      </c>
    </row>
    <row r="756" spans="1:39" hidden="1" x14ac:dyDescent="0.25">
      <c r="A756" s="104" t="str">
        <f>'Supply planning data'!C754</f>
        <v/>
      </c>
      <c r="B756" s="298">
        <f>'Supply planning data'!D754</f>
        <v>45689</v>
      </c>
      <c r="C756" s="105" t="str">
        <f>'Supply planning data'!E754</f>
        <v>No</v>
      </c>
      <c r="D756" s="105">
        <f>'Supply planning data'!F754</f>
        <v>0</v>
      </c>
      <c r="E756" s="320">
        <f>'Supply planning data'!G754</f>
        <v>0</v>
      </c>
      <c r="F756" s="320">
        <f>'Supply planning data'!H754</f>
        <v>0</v>
      </c>
      <c r="G756" s="320">
        <f>'Supply planning data'!I754</f>
        <v>0</v>
      </c>
      <c r="H756" s="105">
        <f>'Supply planning data'!J754</f>
        <v>0</v>
      </c>
      <c r="I756" s="320">
        <f>'Supply planning data'!K754</f>
        <v>0</v>
      </c>
      <c r="J756" s="177" t="str">
        <f>'Supply planning data'!L754</f>
        <v/>
      </c>
      <c r="K756" s="105">
        <f>'Supply planning data'!M754</f>
        <v>0</v>
      </c>
      <c r="L756" s="321">
        <f>'Supply planning data'!N754+'Supply planning data'!P754</f>
        <v>0</v>
      </c>
      <c r="M756" s="342">
        <f>'Supply planning data'!O754</f>
        <v>0</v>
      </c>
      <c r="N756" s="321">
        <f>'Supply planning data'!P754</f>
        <v>0</v>
      </c>
      <c r="O756" s="342">
        <f>'Supply planning data'!Q754</f>
        <v>0</v>
      </c>
      <c r="P756" s="111">
        <f>'Supply planning data'!R754</f>
        <v>0</v>
      </c>
      <c r="Q756" s="111">
        <f>'Supply planning data'!S754</f>
        <v>0</v>
      </c>
      <c r="R756" s="111">
        <f>'Supply planning data'!T754</f>
        <v>0</v>
      </c>
      <c r="S756" s="111">
        <f>'Supply planning data'!U754</f>
        <v>0</v>
      </c>
      <c r="T756" s="111">
        <f>'Supply planning data'!V754</f>
        <v>0</v>
      </c>
      <c r="U756" s="327" t="str">
        <f>'Supply planning data'!W754</f>
        <v/>
      </c>
      <c r="V756" s="111">
        <f>'Supply planning data'!X754</f>
        <v>0</v>
      </c>
      <c r="W756" s="321">
        <f>'Supply planning data'!Y754</f>
        <v>0</v>
      </c>
      <c r="X756" s="329">
        <f>'Supply planning data'!Z754</f>
        <v>0</v>
      </c>
      <c r="Y756" s="111">
        <f>'Supply planning data'!AA754</f>
        <v>0</v>
      </c>
      <c r="Z756" s="111">
        <f>'Supply planning data'!AB754</f>
        <v>0</v>
      </c>
      <c r="AA756" s="111">
        <f>'Supply planning data'!AC754</f>
        <v>0</v>
      </c>
      <c r="AB756" s="111">
        <f>'Supply planning data'!AD754</f>
        <v>0</v>
      </c>
      <c r="AC756" s="111">
        <f>'Supply planning data'!AE754</f>
        <v>0</v>
      </c>
      <c r="AD756" s="327" t="str">
        <f>'Supply planning data'!AF754</f>
        <v/>
      </c>
      <c r="AE756" s="111">
        <f>'Supply planning data'!AG754</f>
        <v>0</v>
      </c>
      <c r="AF756" s="321">
        <f>'Supply planning data'!AH754</f>
        <v>0</v>
      </c>
      <c r="AG756" s="349">
        <f>'Supply planning data'!AI754</f>
        <v>0</v>
      </c>
      <c r="AH756" s="111">
        <f>'Supply planning data'!AJ754</f>
        <v>0</v>
      </c>
      <c r="AI756" s="111">
        <f>'Supply planning data'!AK754</f>
        <v>0</v>
      </c>
      <c r="AJ756" s="111">
        <f>'Supply planning data'!AL754</f>
        <v>0</v>
      </c>
      <c r="AK756" s="111">
        <f>'Supply planning data'!AM754</f>
        <v>0</v>
      </c>
      <c r="AL756" s="111">
        <f>'Supply planning data'!AN754</f>
        <v>0</v>
      </c>
      <c r="AM756" s="327" t="str">
        <f>'Supply planning data'!AO754</f>
        <v/>
      </c>
    </row>
    <row r="757" spans="1:39" x14ac:dyDescent="0.25">
      <c r="A757" s="90" t="str">
        <f>'Supply planning data'!C755</f>
        <v>AstraZeneca</v>
      </c>
      <c r="B757" s="296">
        <f>'Supply planning data'!D755</f>
        <v>45717</v>
      </c>
      <c r="C757" s="92" t="str">
        <f>'Supply planning data'!E755</f>
        <v>Yes</v>
      </c>
      <c r="D757" s="92">
        <f>'Supply planning data'!F755</f>
        <v>0</v>
      </c>
      <c r="E757" s="316">
        <f>'Supply planning data'!G755</f>
        <v>0</v>
      </c>
      <c r="F757" s="316">
        <f>'Supply planning data'!H755</f>
        <v>0</v>
      </c>
      <c r="G757" s="316">
        <f>'Supply planning data'!I755</f>
        <v>0</v>
      </c>
      <c r="H757" s="92">
        <f>'Supply planning data'!J755</f>
        <v>0</v>
      </c>
      <c r="I757" s="316">
        <f>'Supply planning data'!K755</f>
        <v>0</v>
      </c>
      <c r="J757" s="174" t="str">
        <f>'Supply planning data'!L755</f>
        <v/>
      </c>
      <c r="K757" s="92">
        <f>'Supply planning data'!M755</f>
        <v>0</v>
      </c>
      <c r="L757" s="316">
        <f>'Supply planning data'!N755+'Supply planning data'!P755</f>
        <v>0</v>
      </c>
      <c r="M757" s="343">
        <f>'Supply planning data'!O755</f>
        <v>0</v>
      </c>
      <c r="N757" s="316">
        <f>'Supply planning data'!P755</f>
        <v>0</v>
      </c>
      <c r="O757" s="343">
        <f>'Supply planning data'!Q755</f>
        <v>0</v>
      </c>
      <c r="P757" s="92">
        <f>'Supply planning data'!R755</f>
        <v>0</v>
      </c>
      <c r="Q757" s="92">
        <f>'Supply planning data'!S755</f>
        <v>0</v>
      </c>
      <c r="R757" s="92">
        <f>'Supply planning data'!T755</f>
        <v>0</v>
      </c>
      <c r="S757" s="92">
        <f>'Supply planning data'!U755</f>
        <v>0</v>
      </c>
      <c r="T757" s="92">
        <f>'Supply planning data'!V755</f>
        <v>0</v>
      </c>
      <c r="U757" s="324" t="str">
        <f>'Supply planning data'!W755</f>
        <v/>
      </c>
      <c r="V757" s="92">
        <f>'Supply planning data'!X755</f>
        <v>154701</v>
      </c>
      <c r="W757" s="316">
        <f>'Supply planning data'!Y755</f>
        <v>0</v>
      </c>
      <c r="X757" s="328">
        <f>'Supply planning data'!Z755</f>
        <v>0</v>
      </c>
      <c r="Y757" s="92">
        <f>'Supply planning data'!AA755</f>
        <v>0</v>
      </c>
      <c r="Z757" s="92">
        <f>'Supply planning data'!AB755</f>
        <v>0</v>
      </c>
      <c r="AA757" s="92">
        <f>'Supply planning data'!AC755</f>
        <v>0</v>
      </c>
      <c r="AB757" s="92">
        <f>'Supply planning data'!AD755</f>
        <v>0</v>
      </c>
      <c r="AC757" s="92">
        <f>'Supply planning data'!AE755</f>
        <v>154701</v>
      </c>
      <c r="AD757" s="324" t="str">
        <f>'Supply planning data'!AF755</f>
        <v/>
      </c>
      <c r="AE757" s="92">
        <f>'Supply planning data'!AG755</f>
        <v>0</v>
      </c>
      <c r="AF757" s="316">
        <f>'Supply planning data'!AH755</f>
        <v>0</v>
      </c>
      <c r="AG757" s="174">
        <f>'Supply planning data'!AI755</f>
        <v>0</v>
      </c>
      <c r="AH757" s="92">
        <f>'Supply planning data'!AJ755</f>
        <v>0</v>
      </c>
      <c r="AI757" s="92">
        <f>'Supply planning data'!AK755</f>
        <v>0</v>
      </c>
      <c r="AJ757" s="92">
        <f>'Supply planning data'!AL755</f>
        <v>0</v>
      </c>
      <c r="AK757" s="92">
        <f>'Supply planning data'!AM755</f>
        <v>0</v>
      </c>
      <c r="AL757" s="92">
        <f>'Supply planning data'!AN755</f>
        <v>0</v>
      </c>
      <c r="AM757" s="324" t="str">
        <f>'Supply planning data'!AO755</f>
        <v/>
      </c>
    </row>
    <row r="758" spans="1:39" x14ac:dyDescent="0.25">
      <c r="A758" s="90" t="str">
        <f>'Supply planning data'!C756</f>
        <v>Jansen</v>
      </c>
      <c r="B758" s="296">
        <f>'Supply planning data'!D756</f>
        <v>45717</v>
      </c>
      <c r="C758" s="92" t="str">
        <f>'Supply planning data'!E756</f>
        <v>Yes</v>
      </c>
      <c r="D758" s="92">
        <f>'Supply planning data'!F756</f>
        <v>1871200</v>
      </c>
      <c r="E758" s="316">
        <f>'Supply planning data'!G756</f>
        <v>0</v>
      </c>
      <c r="F758" s="317">
        <f>'Supply planning data'!H756</f>
        <v>0</v>
      </c>
      <c r="G758" s="317">
        <f>'Supply planning data'!I756</f>
        <v>0</v>
      </c>
      <c r="H758" s="98">
        <f>'Supply planning data'!J756</f>
        <v>0</v>
      </c>
      <c r="I758" s="317">
        <f>'Supply planning data'!K756</f>
        <v>0</v>
      </c>
      <c r="J758" s="175" t="str">
        <f>'Supply planning data'!L756</f>
        <v/>
      </c>
      <c r="K758" s="98">
        <f>'Supply planning data'!M756</f>
        <v>0</v>
      </c>
      <c r="L758" s="317">
        <f>'Supply planning data'!N756+'Supply planning data'!P756</f>
        <v>0</v>
      </c>
      <c r="M758" s="339">
        <f>'Supply planning data'!O756</f>
        <v>0</v>
      </c>
      <c r="N758" s="317">
        <f>'Supply planning data'!P756</f>
        <v>0</v>
      </c>
      <c r="O758" s="339">
        <f>'Supply planning data'!Q756</f>
        <v>0</v>
      </c>
      <c r="P758" s="98">
        <f>'Supply planning data'!R756</f>
        <v>0</v>
      </c>
      <c r="Q758" s="98">
        <f>'Supply planning data'!S756</f>
        <v>0</v>
      </c>
      <c r="R758" s="98">
        <f>'Supply planning data'!T756</f>
        <v>387547</v>
      </c>
      <c r="S758" s="98">
        <f>'Supply planning data'!U756</f>
        <v>0</v>
      </c>
      <c r="T758" s="98">
        <f>'Supply planning data'!V756</f>
        <v>1871200</v>
      </c>
      <c r="U758" s="325" t="str">
        <f>'Supply planning data'!W756</f>
        <v/>
      </c>
      <c r="V758" s="98">
        <f>'Supply planning data'!X756</f>
        <v>1311200</v>
      </c>
      <c r="W758" s="317">
        <f>'Supply planning data'!Y756</f>
        <v>0</v>
      </c>
      <c r="X758" s="328">
        <f>'Supply planning data'!Z756</f>
        <v>0</v>
      </c>
      <c r="Y758" s="98">
        <f>'Supply planning data'!AA756</f>
        <v>0</v>
      </c>
      <c r="Z758" s="98">
        <f>'Supply planning data'!AB756</f>
        <v>0</v>
      </c>
      <c r="AA758" s="98">
        <f>'Supply planning data'!AC756</f>
        <v>0</v>
      </c>
      <c r="AB758" s="98">
        <f>'Supply planning data'!AD756</f>
        <v>0</v>
      </c>
      <c r="AC758" s="98">
        <f>'Supply planning data'!AE756</f>
        <v>1311200</v>
      </c>
      <c r="AD758" s="325" t="str">
        <f>'Supply planning data'!AF756</f>
        <v/>
      </c>
      <c r="AE758" s="98">
        <f>'Supply planning data'!AG756</f>
        <v>1871200</v>
      </c>
      <c r="AF758" s="317">
        <f>'Supply planning data'!AH756</f>
        <v>0</v>
      </c>
      <c r="AG758" s="175">
        <f>'Supply planning data'!AI756</f>
        <v>0</v>
      </c>
      <c r="AH758" s="98">
        <f>'Supply planning data'!AJ756</f>
        <v>0</v>
      </c>
      <c r="AI758" s="98">
        <f>'Supply planning data'!AK756</f>
        <v>0</v>
      </c>
      <c r="AJ758" s="98">
        <f>'Supply planning data'!AL756</f>
        <v>387547</v>
      </c>
      <c r="AK758" s="98">
        <f>'Supply planning data'!AM756</f>
        <v>0</v>
      </c>
      <c r="AL758" s="98">
        <f>'Supply planning data'!AN756</f>
        <v>1871200</v>
      </c>
      <c r="AM758" s="325" t="str">
        <f>'Supply planning data'!AO756</f>
        <v/>
      </c>
    </row>
    <row r="759" spans="1:39" x14ac:dyDescent="0.25">
      <c r="A759" s="90" t="str">
        <f>'Supply planning data'!C757</f>
        <v>Moderna</v>
      </c>
      <c r="B759" s="296">
        <f>'Supply planning data'!D757</f>
        <v>45717</v>
      </c>
      <c r="C759" s="92" t="str">
        <f>'Supply planning data'!E757</f>
        <v>No</v>
      </c>
      <c r="D759" s="92">
        <f>'Supply planning data'!F757</f>
        <v>0</v>
      </c>
      <c r="E759" s="316">
        <f>'Supply planning data'!G757</f>
        <v>0</v>
      </c>
      <c r="F759" s="317">
        <f>'Supply planning data'!H757</f>
        <v>0</v>
      </c>
      <c r="G759" s="317">
        <f>'Supply planning data'!I757</f>
        <v>0</v>
      </c>
      <c r="H759" s="98">
        <f>'Supply planning data'!J757</f>
        <v>0</v>
      </c>
      <c r="I759" s="317">
        <f>'Supply planning data'!K757</f>
        <v>0</v>
      </c>
      <c r="J759" s="175" t="str">
        <f>'Supply planning data'!L757</f>
        <v/>
      </c>
      <c r="K759" s="98">
        <f>'Supply planning data'!M757</f>
        <v>0</v>
      </c>
      <c r="L759" s="317">
        <f>'Supply planning data'!N757+'Supply planning data'!P757</f>
        <v>0</v>
      </c>
      <c r="M759" s="339">
        <f>'Supply planning data'!O757</f>
        <v>0</v>
      </c>
      <c r="N759" s="317">
        <f>'Supply planning data'!P757</f>
        <v>0</v>
      </c>
      <c r="O759" s="339">
        <f>'Supply planning data'!Q757</f>
        <v>0</v>
      </c>
      <c r="P759" s="98">
        <f>'Supply planning data'!R757</f>
        <v>0</v>
      </c>
      <c r="Q759" s="98">
        <f>'Supply planning data'!S757</f>
        <v>0</v>
      </c>
      <c r="R759" s="98">
        <f>'Supply planning data'!T757</f>
        <v>0</v>
      </c>
      <c r="S759" s="98">
        <f>'Supply planning data'!U757</f>
        <v>0</v>
      </c>
      <c r="T759" s="98">
        <f>'Supply planning data'!V757</f>
        <v>0</v>
      </c>
      <c r="U759" s="325" t="str">
        <f>'Supply planning data'!W757</f>
        <v/>
      </c>
      <c r="V759" s="98">
        <f>'Supply planning data'!X757</f>
        <v>0</v>
      </c>
      <c r="W759" s="317">
        <f>'Supply planning data'!Y757</f>
        <v>0</v>
      </c>
      <c r="X759" s="328">
        <f>'Supply planning data'!Z757</f>
        <v>0</v>
      </c>
      <c r="Y759" s="98">
        <f>'Supply planning data'!AA757</f>
        <v>0</v>
      </c>
      <c r="Z759" s="98">
        <f>'Supply planning data'!AB757</f>
        <v>0</v>
      </c>
      <c r="AA759" s="98">
        <f>'Supply planning data'!AC757</f>
        <v>0</v>
      </c>
      <c r="AB759" s="98">
        <f>'Supply planning data'!AD757</f>
        <v>0</v>
      </c>
      <c r="AC759" s="98">
        <f>'Supply planning data'!AE757</f>
        <v>0</v>
      </c>
      <c r="AD759" s="325" t="str">
        <f>'Supply planning data'!AF757</f>
        <v/>
      </c>
      <c r="AE759" s="98">
        <f>'Supply planning data'!AG757</f>
        <v>0</v>
      </c>
      <c r="AF759" s="317">
        <f>'Supply planning data'!AH757</f>
        <v>0</v>
      </c>
      <c r="AG759" s="175">
        <f>'Supply planning data'!AI757</f>
        <v>0</v>
      </c>
      <c r="AH759" s="98">
        <f>'Supply planning data'!AJ757</f>
        <v>0</v>
      </c>
      <c r="AI759" s="98">
        <f>'Supply planning data'!AK757</f>
        <v>0</v>
      </c>
      <c r="AJ759" s="98">
        <f>'Supply planning data'!AL757</f>
        <v>0</v>
      </c>
      <c r="AK759" s="98">
        <f>'Supply planning data'!AM757</f>
        <v>0</v>
      </c>
      <c r="AL759" s="98">
        <f>'Supply planning data'!AN757</f>
        <v>0</v>
      </c>
      <c r="AM759" s="325" t="str">
        <f>'Supply planning data'!AO757</f>
        <v/>
      </c>
    </row>
    <row r="760" spans="1:39" x14ac:dyDescent="0.25">
      <c r="A760" s="90" t="str">
        <f>'Supply planning data'!C758</f>
        <v>Pfizer</v>
      </c>
      <c r="B760" s="296">
        <f>'Supply planning data'!D758</f>
        <v>45717</v>
      </c>
      <c r="C760" s="92" t="str">
        <f>'Supply planning data'!E758</f>
        <v>Yes</v>
      </c>
      <c r="D760" s="92">
        <f>'Supply planning data'!F758</f>
        <v>3000000</v>
      </c>
      <c r="E760" s="316">
        <f>'Supply planning data'!G758</f>
        <v>0</v>
      </c>
      <c r="F760" s="317">
        <f>'Supply planning data'!H758</f>
        <v>0</v>
      </c>
      <c r="G760" s="317">
        <f>'Supply planning data'!I758</f>
        <v>0</v>
      </c>
      <c r="H760" s="98">
        <f>'Supply planning data'!J758</f>
        <v>0</v>
      </c>
      <c r="I760" s="317">
        <f>'Supply planning data'!K758</f>
        <v>0</v>
      </c>
      <c r="J760" s="175" t="str">
        <f>'Supply planning data'!L758</f>
        <v/>
      </c>
      <c r="K760" s="98">
        <f>'Supply planning data'!M758</f>
        <v>0</v>
      </c>
      <c r="L760" s="317">
        <f>'Supply planning data'!N758+'Supply planning data'!P758</f>
        <v>0</v>
      </c>
      <c r="M760" s="339">
        <f>'Supply planning data'!O758</f>
        <v>0</v>
      </c>
      <c r="N760" s="317">
        <f>'Supply planning data'!P758</f>
        <v>0</v>
      </c>
      <c r="O760" s="339">
        <f>'Supply planning data'!Q758</f>
        <v>0</v>
      </c>
      <c r="P760" s="98">
        <f>'Supply planning data'!R758</f>
        <v>0</v>
      </c>
      <c r="Q760" s="98">
        <f>'Supply planning data'!S758</f>
        <v>0</v>
      </c>
      <c r="R760" s="98">
        <f>'Supply planning data'!T758</f>
        <v>110538</v>
      </c>
      <c r="S760" s="98">
        <f>'Supply planning data'!U758</f>
        <v>0</v>
      </c>
      <c r="T760" s="98">
        <f>'Supply planning data'!V758</f>
        <v>3000000</v>
      </c>
      <c r="U760" s="325" t="str">
        <f>'Supply planning data'!W758</f>
        <v/>
      </c>
      <c r="V760" s="98">
        <f>'Supply planning data'!X758</f>
        <v>2440000</v>
      </c>
      <c r="W760" s="317">
        <f>'Supply planning data'!Y758</f>
        <v>0</v>
      </c>
      <c r="X760" s="328">
        <f>'Supply planning data'!Z758</f>
        <v>0</v>
      </c>
      <c r="Y760" s="98">
        <f>'Supply planning data'!AA758</f>
        <v>0</v>
      </c>
      <c r="Z760" s="98">
        <f>'Supply planning data'!AB758</f>
        <v>0</v>
      </c>
      <c r="AA760" s="98">
        <f>'Supply planning data'!AC758</f>
        <v>0</v>
      </c>
      <c r="AB760" s="98">
        <f>'Supply planning data'!AD758</f>
        <v>0</v>
      </c>
      <c r="AC760" s="98">
        <f>'Supply planning data'!AE758</f>
        <v>2440000</v>
      </c>
      <c r="AD760" s="325" t="str">
        <f>'Supply planning data'!AF758</f>
        <v/>
      </c>
      <c r="AE760" s="98">
        <f>'Supply planning data'!AG758</f>
        <v>3000000</v>
      </c>
      <c r="AF760" s="317">
        <f>'Supply planning data'!AH758</f>
        <v>0</v>
      </c>
      <c r="AG760" s="175">
        <f>'Supply planning data'!AI758</f>
        <v>0</v>
      </c>
      <c r="AH760" s="98">
        <f>'Supply planning data'!AJ758</f>
        <v>0</v>
      </c>
      <c r="AI760" s="98">
        <f>'Supply planning data'!AK758</f>
        <v>0</v>
      </c>
      <c r="AJ760" s="98">
        <f>'Supply planning data'!AL758</f>
        <v>110538</v>
      </c>
      <c r="AK760" s="98">
        <f>'Supply planning data'!AM758</f>
        <v>0</v>
      </c>
      <c r="AL760" s="98">
        <f>'Supply planning data'!AN758</f>
        <v>3000000</v>
      </c>
      <c r="AM760" s="325" t="str">
        <f>'Supply planning data'!AO758</f>
        <v/>
      </c>
    </row>
    <row r="761" spans="1:39" x14ac:dyDescent="0.25">
      <c r="A761" s="90" t="str">
        <f>'Supply planning data'!C759</f>
        <v>Sinovac</v>
      </c>
      <c r="B761" s="296">
        <f>'Supply planning data'!D759</f>
        <v>45717</v>
      </c>
      <c r="C761" s="92" t="str">
        <f>'Supply planning data'!E759</f>
        <v>No</v>
      </c>
      <c r="D761" s="92">
        <f>'Supply planning data'!F759</f>
        <v>0</v>
      </c>
      <c r="E761" s="316">
        <f>'Supply planning data'!G759</f>
        <v>0</v>
      </c>
      <c r="F761" s="317">
        <f>'Supply planning data'!H759</f>
        <v>0</v>
      </c>
      <c r="G761" s="317">
        <f>'Supply planning data'!I759</f>
        <v>0</v>
      </c>
      <c r="H761" s="98">
        <f>'Supply planning data'!J759</f>
        <v>0</v>
      </c>
      <c r="I761" s="317">
        <f>'Supply planning data'!K759</f>
        <v>0</v>
      </c>
      <c r="J761" s="175" t="str">
        <f>'Supply planning data'!L759</f>
        <v/>
      </c>
      <c r="K761" s="98">
        <f>'Supply planning data'!M759</f>
        <v>0</v>
      </c>
      <c r="L761" s="317">
        <f>'Supply planning data'!N759+'Supply planning data'!P759</f>
        <v>0</v>
      </c>
      <c r="M761" s="339">
        <f>'Supply planning data'!O759</f>
        <v>0</v>
      </c>
      <c r="N761" s="317">
        <f>'Supply planning data'!P759</f>
        <v>0</v>
      </c>
      <c r="O761" s="339">
        <f>'Supply planning data'!Q759</f>
        <v>0</v>
      </c>
      <c r="P761" s="98">
        <f>'Supply planning data'!R759</f>
        <v>0</v>
      </c>
      <c r="Q761" s="98">
        <f>'Supply planning data'!S759</f>
        <v>0</v>
      </c>
      <c r="R761" s="98">
        <f>'Supply planning data'!T759</f>
        <v>0</v>
      </c>
      <c r="S761" s="98">
        <f>'Supply planning data'!U759</f>
        <v>0</v>
      </c>
      <c r="T761" s="98">
        <f>'Supply planning data'!V759</f>
        <v>0</v>
      </c>
      <c r="U761" s="325" t="str">
        <f>'Supply planning data'!W759</f>
        <v/>
      </c>
      <c r="V761" s="98">
        <f>'Supply planning data'!X759</f>
        <v>0</v>
      </c>
      <c r="W761" s="317">
        <f>'Supply planning data'!Y759</f>
        <v>0</v>
      </c>
      <c r="X761" s="328">
        <f>'Supply planning data'!Z759</f>
        <v>0</v>
      </c>
      <c r="Y761" s="98">
        <f>'Supply planning data'!AA759</f>
        <v>0</v>
      </c>
      <c r="Z761" s="98">
        <f>'Supply planning data'!AB759</f>
        <v>0</v>
      </c>
      <c r="AA761" s="98">
        <f>'Supply planning data'!AC759</f>
        <v>0</v>
      </c>
      <c r="AB761" s="98">
        <f>'Supply planning data'!AD759</f>
        <v>0</v>
      </c>
      <c r="AC761" s="98">
        <f>'Supply planning data'!AE759</f>
        <v>0</v>
      </c>
      <c r="AD761" s="325" t="str">
        <f>'Supply planning data'!AF759</f>
        <v/>
      </c>
      <c r="AE761" s="98">
        <f>'Supply planning data'!AG759</f>
        <v>0</v>
      </c>
      <c r="AF761" s="317">
        <f>'Supply planning data'!AH759</f>
        <v>0</v>
      </c>
      <c r="AG761" s="175">
        <f>'Supply planning data'!AI759</f>
        <v>0</v>
      </c>
      <c r="AH761" s="98">
        <f>'Supply planning data'!AJ759</f>
        <v>0</v>
      </c>
      <c r="AI761" s="98">
        <f>'Supply planning data'!AK759</f>
        <v>0</v>
      </c>
      <c r="AJ761" s="98">
        <f>'Supply planning data'!AL759</f>
        <v>0</v>
      </c>
      <c r="AK761" s="98">
        <f>'Supply planning data'!AM759</f>
        <v>0</v>
      </c>
      <c r="AL761" s="98">
        <f>'Supply planning data'!AN759</f>
        <v>0</v>
      </c>
      <c r="AM761" s="325" t="str">
        <f>'Supply planning data'!AO759</f>
        <v/>
      </c>
    </row>
    <row r="762" spans="1:39" hidden="1" x14ac:dyDescent="0.25">
      <c r="A762" s="90" t="str">
        <f>'Supply planning data'!C760</f>
        <v/>
      </c>
      <c r="B762" s="296">
        <f>'Supply planning data'!D760</f>
        <v>45717</v>
      </c>
      <c r="C762" s="92" t="str">
        <f>'Supply planning data'!E760</f>
        <v>No</v>
      </c>
      <c r="D762" s="92">
        <f>'Supply planning data'!F760</f>
        <v>0</v>
      </c>
      <c r="E762" s="316">
        <f>'Supply planning data'!G760</f>
        <v>0</v>
      </c>
      <c r="F762" s="317">
        <f>'Supply planning data'!H760</f>
        <v>0</v>
      </c>
      <c r="G762" s="317">
        <f>'Supply planning data'!I760</f>
        <v>0</v>
      </c>
      <c r="H762" s="98">
        <f>'Supply planning data'!J760</f>
        <v>0</v>
      </c>
      <c r="I762" s="317">
        <f>'Supply planning data'!K760</f>
        <v>0</v>
      </c>
      <c r="J762" s="175" t="str">
        <f>'Supply planning data'!L760</f>
        <v/>
      </c>
      <c r="K762" s="98">
        <f>'Supply planning data'!M760</f>
        <v>0</v>
      </c>
      <c r="L762" s="317">
        <f>'Supply planning data'!N760+'Supply planning data'!P760</f>
        <v>0</v>
      </c>
      <c r="M762" s="339">
        <f>'Supply planning data'!O760</f>
        <v>0</v>
      </c>
      <c r="N762" s="317">
        <f>'Supply planning data'!P760</f>
        <v>0</v>
      </c>
      <c r="O762" s="339">
        <f>'Supply planning data'!Q760</f>
        <v>0</v>
      </c>
      <c r="P762" s="98">
        <f>'Supply planning data'!R760</f>
        <v>0</v>
      </c>
      <c r="Q762" s="98">
        <f>'Supply planning data'!S760</f>
        <v>0</v>
      </c>
      <c r="R762" s="98">
        <f>'Supply planning data'!T760</f>
        <v>0</v>
      </c>
      <c r="S762" s="98">
        <f>'Supply planning data'!U760</f>
        <v>0</v>
      </c>
      <c r="T762" s="98">
        <f>'Supply planning data'!V760</f>
        <v>0</v>
      </c>
      <c r="U762" s="325" t="str">
        <f>'Supply planning data'!W760</f>
        <v/>
      </c>
      <c r="V762" s="98">
        <f>'Supply planning data'!X760</f>
        <v>0</v>
      </c>
      <c r="W762" s="317">
        <f>'Supply planning data'!Y760</f>
        <v>0</v>
      </c>
      <c r="X762" s="328">
        <f>'Supply planning data'!Z760</f>
        <v>0</v>
      </c>
      <c r="Y762" s="98">
        <f>'Supply planning data'!AA760</f>
        <v>0</v>
      </c>
      <c r="Z762" s="98">
        <f>'Supply planning data'!AB760</f>
        <v>0</v>
      </c>
      <c r="AA762" s="98">
        <f>'Supply planning data'!AC760</f>
        <v>0</v>
      </c>
      <c r="AB762" s="98">
        <f>'Supply planning data'!AD760</f>
        <v>0</v>
      </c>
      <c r="AC762" s="98">
        <f>'Supply planning data'!AE760</f>
        <v>0</v>
      </c>
      <c r="AD762" s="325" t="str">
        <f>'Supply planning data'!AF760</f>
        <v/>
      </c>
      <c r="AE762" s="98">
        <f>'Supply planning data'!AG760</f>
        <v>0</v>
      </c>
      <c r="AF762" s="317">
        <f>'Supply planning data'!AH760</f>
        <v>0</v>
      </c>
      <c r="AG762" s="175">
        <f>'Supply planning data'!AI760</f>
        <v>0</v>
      </c>
      <c r="AH762" s="98">
        <f>'Supply planning data'!AJ760</f>
        <v>0</v>
      </c>
      <c r="AI762" s="98">
        <f>'Supply planning data'!AK760</f>
        <v>0</v>
      </c>
      <c r="AJ762" s="98">
        <f>'Supply planning data'!AL760</f>
        <v>0</v>
      </c>
      <c r="AK762" s="98">
        <f>'Supply planning data'!AM760</f>
        <v>0</v>
      </c>
      <c r="AL762" s="98">
        <f>'Supply planning data'!AN760</f>
        <v>0</v>
      </c>
      <c r="AM762" s="325" t="str">
        <f>'Supply planning data'!AO760</f>
        <v/>
      </c>
    </row>
    <row r="763" spans="1:39" hidden="1" x14ac:dyDescent="0.25">
      <c r="A763" s="90" t="str">
        <f>'Supply planning data'!C761</f>
        <v/>
      </c>
      <c r="B763" s="296">
        <f>'Supply planning data'!D761</f>
        <v>45717</v>
      </c>
      <c r="C763" s="92" t="str">
        <f>'Supply planning data'!E761</f>
        <v>No</v>
      </c>
      <c r="D763" s="92">
        <f>'Supply planning data'!F761</f>
        <v>0</v>
      </c>
      <c r="E763" s="316">
        <f>'Supply planning data'!G761</f>
        <v>0</v>
      </c>
      <c r="F763" s="317">
        <f>'Supply planning data'!H761</f>
        <v>0</v>
      </c>
      <c r="G763" s="317">
        <f>'Supply planning data'!I761</f>
        <v>0</v>
      </c>
      <c r="H763" s="98">
        <f>'Supply planning data'!J761</f>
        <v>0</v>
      </c>
      <c r="I763" s="317">
        <f>'Supply planning data'!K761</f>
        <v>0</v>
      </c>
      <c r="J763" s="175" t="str">
        <f>'Supply planning data'!L761</f>
        <v/>
      </c>
      <c r="K763" s="98">
        <f>'Supply planning data'!M761</f>
        <v>0</v>
      </c>
      <c r="L763" s="317">
        <f>'Supply planning data'!N761+'Supply planning data'!P761</f>
        <v>0</v>
      </c>
      <c r="M763" s="339">
        <f>'Supply planning data'!O761</f>
        <v>0</v>
      </c>
      <c r="N763" s="317">
        <f>'Supply planning data'!P761</f>
        <v>0</v>
      </c>
      <c r="O763" s="339">
        <f>'Supply planning data'!Q761</f>
        <v>0</v>
      </c>
      <c r="P763" s="98">
        <f>'Supply planning data'!R761</f>
        <v>0</v>
      </c>
      <c r="Q763" s="98">
        <f>'Supply planning data'!S761</f>
        <v>0</v>
      </c>
      <c r="R763" s="98">
        <f>'Supply planning data'!T761</f>
        <v>0</v>
      </c>
      <c r="S763" s="98">
        <f>'Supply planning data'!U761</f>
        <v>0</v>
      </c>
      <c r="T763" s="98">
        <f>'Supply planning data'!V761</f>
        <v>0</v>
      </c>
      <c r="U763" s="325" t="str">
        <f>'Supply planning data'!W761</f>
        <v/>
      </c>
      <c r="V763" s="98">
        <f>'Supply planning data'!X761</f>
        <v>0</v>
      </c>
      <c r="W763" s="317">
        <f>'Supply planning data'!Y761</f>
        <v>0</v>
      </c>
      <c r="X763" s="328">
        <f>'Supply planning data'!Z761</f>
        <v>0</v>
      </c>
      <c r="Y763" s="98">
        <f>'Supply planning data'!AA761</f>
        <v>0</v>
      </c>
      <c r="Z763" s="98">
        <f>'Supply planning data'!AB761</f>
        <v>0</v>
      </c>
      <c r="AA763" s="98">
        <f>'Supply planning data'!AC761</f>
        <v>0</v>
      </c>
      <c r="AB763" s="98">
        <f>'Supply planning data'!AD761</f>
        <v>0</v>
      </c>
      <c r="AC763" s="98">
        <f>'Supply planning data'!AE761</f>
        <v>0</v>
      </c>
      <c r="AD763" s="325" t="str">
        <f>'Supply planning data'!AF761</f>
        <v/>
      </c>
      <c r="AE763" s="98">
        <f>'Supply planning data'!AG761</f>
        <v>0</v>
      </c>
      <c r="AF763" s="317">
        <f>'Supply planning data'!AH761</f>
        <v>0</v>
      </c>
      <c r="AG763" s="175">
        <f>'Supply planning data'!AI761</f>
        <v>0</v>
      </c>
      <c r="AH763" s="98">
        <f>'Supply planning data'!AJ761</f>
        <v>0</v>
      </c>
      <c r="AI763" s="98">
        <f>'Supply planning data'!AK761</f>
        <v>0</v>
      </c>
      <c r="AJ763" s="98">
        <f>'Supply planning data'!AL761</f>
        <v>0</v>
      </c>
      <c r="AK763" s="98">
        <f>'Supply planning data'!AM761</f>
        <v>0</v>
      </c>
      <c r="AL763" s="98">
        <f>'Supply planning data'!AN761</f>
        <v>0</v>
      </c>
      <c r="AM763" s="325" t="str">
        <f>'Supply planning data'!AO761</f>
        <v/>
      </c>
    </row>
    <row r="764" spans="1:39" hidden="1" x14ac:dyDescent="0.25">
      <c r="A764" s="90" t="str">
        <f>'Supply planning data'!C762</f>
        <v/>
      </c>
      <c r="B764" s="296">
        <f>'Supply planning data'!D762</f>
        <v>45717</v>
      </c>
      <c r="C764" s="92" t="str">
        <f>'Supply planning data'!E762</f>
        <v>No</v>
      </c>
      <c r="D764" s="92">
        <f>'Supply planning data'!F762</f>
        <v>0</v>
      </c>
      <c r="E764" s="316">
        <f>'Supply planning data'!G762</f>
        <v>0</v>
      </c>
      <c r="F764" s="317">
        <f>'Supply planning data'!H762</f>
        <v>0</v>
      </c>
      <c r="G764" s="317">
        <f>'Supply planning data'!I762</f>
        <v>0</v>
      </c>
      <c r="H764" s="98">
        <f>'Supply planning data'!J762</f>
        <v>0</v>
      </c>
      <c r="I764" s="317">
        <f>'Supply planning data'!K762</f>
        <v>0</v>
      </c>
      <c r="J764" s="175" t="str">
        <f>'Supply planning data'!L762</f>
        <v/>
      </c>
      <c r="K764" s="98">
        <f>'Supply planning data'!M762</f>
        <v>0</v>
      </c>
      <c r="L764" s="317">
        <f>'Supply planning data'!N762+'Supply planning data'!P762</f>
        <v>0</v>
      </c>
      <c r="M764" s="339">
        <f>'Supply planning data'!O762</f>
        <v>0</v>
      </c>
      <c r="N764" s="317">
        <f>'Supply planning data'!P762</f>
        <v>0</v>
      </c>
      <c r="O764" s="339">
        <f>'Supply planning data'!Q762</f>
        <v>0</v>
      </c>
      <c r="P764" s="98">
        <f>'Supply planning data'!R762</f>
        <v>0</v>
      </c>
      <c r="Q764" s="98">
        <f>'Supply planning data'!S762</f>
        <v>0</v>
      </c>
      <c r="R764" s="98">
        <f>'Supply planning data'!T762</f>
        <v>0</v>
      </c>
      <c r="S764" s="98">
        <f>'Supply planning data'!U762</f>
        <v>0</v>
      </c>
      <c r="T764" s="98">
        <f>'Supply planning data'!V762</f>
        <v>0</v>
      </c>
      <c r="U764" s="325" t="str">
        <f>'Supply planning data'!W762</f>
        <v/>
      </c>
      <c r="V764" s="98">
        <f>'Supply planning data'!X762</f>
        <v>0</v>
      </c>
      <c r="W764" s="317">
        <f>'Supply planning data'!Y762</f>
        <v>0</v>
      </c>
      <c r="X764" s="328">
        <f>'Supply planning data'!Z762</f>
        <v>0</v>
      </c>
      <c r="Y764" s="98">
        <f>'Supply planning data'!AA762</f>
        <v>0</v>
      </c>
      <c r="Z764" s="98">
        <f>'Supply planning data'!AB762</f>
        <v>0</v>
      </c>
      <c r="AA764" s="98">
        <f>'Supply planning data'!AC762</f>
        <v>0</v>
      </c>
      <c r="AB764" s="98">
        <f>'Supply planning data'!AD762</f>
        <v>0</v>
      </c>
      <c r="AC764" s="98">
        <f>'Supply planning data'!AE762</f>
        <v>0</v>
      </c>
      <c r="AD764" s="325" t="str">
        <f>'Supply planning data'!AF762</f>
        <v/>
      </c>
      <c r="AE764" s="98">
        <f>'Supply planning data'!AG762</f>
        <v>0</v>
      </c>
      <c r="AF764" s="317">
        <f>'Supply planning data'!AH762</f>
        <v>0</v>
      </c>
      <c r="AG764" s="175">
        <f>'Supply planning data'!AI762</f>
        <v>0</v>
      </c>
      <c r="AH764" s="98">
        <f>'Supply planning data'!AJ762</f>
        <v>0</v>
      </c>
      <c r="AI764" s="98">
        <f>'Supply planning data'!AK762</f>
        <v>0</v>
      </c>
      <c r="AJ764" s="98">
        <f>'Supply planning data'!AL762</f>
        <v>0</v>
      </c>
      <c r="AK764" s="98">
        <f>'Supply planning data'!AM762</f>
        <v>0</v>
      </c>
      <c r="AL764" s="98">
        <f>'Supply planning data'!AN762</f>
        <v>0</v>
      </c>
      <c r="AM764" s="325" t="str">
        <f>'Supply planning data'!AO762</f>
        <v/>
      </c>
    </row>
    <row r="765" spans="1:39" hidden="1" x14ac:dyDescent="0.25">
      <c r="A765" s="90" t="str">
        <f>'Supply planning data'!C763</f>
        <v/>
      </c>
      <c r="B765" s="296">
        <f>'Supply planning data'!D763</f>
        <v>45717</v>
      </c>
      <c r="C765" s="92" t="str">
        <f>'Supply planning data'!E763</f>
        <v>No</v>
      </c>
      <c r="D765" s="92">
        <f>'Supply planning data'!F763</f>
        <v>0</v>
      </c>
      <c r="E765" s="316">
        <f>'Supply planning data'!G763</f>
        <v>0</v>
      </c>
      <c r="F765" s="317">
        <f>'Supply planning data'!H763</f>
        <v>0</v>
      </c>
      <c r="G765" s="317">
        <f>'Supply planning data'!I763</f>
        <v>0</v>
      </c>
      <c r="H765" s="98">
        <f>'Supply planning data'!J763</f>
        <v>0</v>
      </c>
      <c r="I765" s="317">
        <f>'Supply planning data'!K763</f>
        <v>0</v>
      </c>
      <c r="J765" s="175" t="str">
        <f>'Supply planning data'!L763</f>
        <v/>
      </c>
      <c r="K765" s="98">
        <f>'Supply planning data'!M763</f>
        <v>0</v>
      </c>
      <c r="L765" s="317">
        <f>'Supply planning data'!N763+'Supply planning data'!P763</f>
        <v>0</v>
      </c>
      <c r="M765" s="339">
        <f>'Supply planning data'!O763</f>
        <v>0</v>
      </c>
      <c r="N765" s="317">
        <f>'Supply planning data'!P763</f>
        <v>0</v>
      </c>
      <c r="O765" s="339">
        <f>'Supply planning data'!Q763</f>
        <v>0</v>
      </c>
      <c r="P765" s="98">
        <f>'Supply planning data'!R763</f>
        <v>0</v>
      </c>
      <c r="Q765" s="98">
        <f>'Supply planning data'!S763</f>
        <v>0</v>
      </c>
      <c r="R765" s="98">
        <f>'Supply planning data'!T763</f>
        <v>0</v>
      </c>
      <c r="S765" s="98">
        <f>'Supply planning data'!U763</f>
        <v>0</v>
      </c>
      <c r="T765" s="98">
        <f>'Supply planning data'!V763</f>
        <v>0</v>
      </c>
      <c r="U765" s="325" t="str">
        <f>'Supply planning data'!W763</f>
        <v/>
      </c>
      <c r="V765" s="98">
        <f>'Supply planning data'!X763</f>
        <v>0</v>
      </c>
      <c r="W765" s="317">
        <f>'Supply planning data'!Y763</f>
        <v>0</v>
      </c>
      <c r="X765" s="328">
        <f>'Supply planning data'!Z763</f>
        <v>0</v>
      </c>
      <c r="Y765" s="98">
        <f>'Supply planning data'!AA763</f>
        <v>0</v>
      </c>
      <c r="Z765" s="98">
        <f>'Supply planning data'!AB763</f>
        <v>0</v>
      </c>
      <c r="AA765" s="98">
        <f>'Supply planning data'!AC763</f>
        <v>0</v>
      </c>
      <c r="AB765" s="98">
        <f>'Supply planning data'!AD763</f>
        <v>0</v>
      </c>
      <c r="AC765" s="98">
        <f>'Supply planning data'!AE763</f>
        <v>0</v>
      </c>
      <c r="AD765" s="325" t="str">
        <f>'Supply planning data'!AF763</f>
        <v/>
      </c>
      <c r="AE765" s="98">
        <f>'Supply planning data'!AG763</f>
        <v>0</v>
      </c>
      <c r="AF765" s="317">
        <f>'Supply planning data'!AH763</f>
        <v>0</v>
      </c>
      <c r="AG765" s="175">
        <f>'Supply planning data'!AI763</f>
        <v>0</v>
      </c>
      <c r="AH765" s="98">
        <f>'Supply planning data'!AJ763</f>
        <v>0</v>
      </c>
      <c r="AI765" s="98">
        <f>'Supply planning data'!AK763</f>
        <v>0</v>
      </c>
      <c r="AJ765" s="98">
        <f>'Supply planning data'!AL763</f>
        <v>0</v>
      </c>
      <c r="AK765" s="98">
        <f>'Supply planning data'!AM763</f>
        <v>0</v>
      </c>
      <c r="AL765" s="98">
        <f>'Supply planning data'!AN763</f>
        <v>0</v>
      </c>
      <c r="AM765" s="325" t="str">
        <f>'Supply planning data'!AO763</f>
        <v/>
      </c>
    </row>
    <row r="766" spans="1:39" hidden="1" x14ac:dyDescent="0.25">
      <c r="A766" s="90" t="str">
        <f>'Supply planning data'!C764</f>
        <v/>
      </c>
      <c r="B766" s="296">
        <f>'Supply planning data'!D764</f>
        <v>45717</v>
      </c>
      <c r="C766" s="92" t="str">
        <f>'Supply planning data'!E764</f>
        <v>No</v>
      </c>
      <c r="D766" s="92">
        <f>'Supply planning data'!F764</f>
        <v>0</v>
      </c>
      <c r="E766" s="316">
        <f>'Supply planning data'!G764</f>
        <v>0</v>
      </c>
      <c r="F766" s="317">
        <f>'Supply planning data'!H764</f>
        <v>0</v>
      </c>
      <c r="G766" s="317">
        <f>'Supply planning data'!I764</f>
        <v>0</v>
      </c>
      <c r="H766" s="98">
        <f>'Supply planning data'!J764</f>
        <v>0</v>
      </c>
      <c r="I766" s="317">
        <f>'Supply planning data'!K764</f>
        <v>0</v>
      </c>
      <c r="J766" s="175" t="str">
        <f>'Supply planning data'!L764</f>
        <v/>
      </c>
      <c r="K766" s="98">
        <f>'Supply planning data'!M764</f>
        <v>0</v>
      </c>
      <c r="L766" s="317">
        <f>'Supply planning data'!N764+'Supply planning data'!P764</f>
        <v>0</v>
      </c>
      <c r="M766" s="339">
        <f>'Supply planning data'!O764</f>
        <v>0</v>
      </c>
      <c r="N766" s="317">
        <f>'Supply planning data'!P764</f>
        <v>0</v>
      </c>
      <c r="O766" s="339">
        <f>'Supply planning data'!Q764</f>
        <v>0</v>
      </c>
      <c r="P766" s="98">
        <f>'Supply planning data'!R764</f>
        <v>0</v>
      </c>
      <c r="Q766" s="98">
        <f>'Supply planning data'!S764</f>
        <v>0</v>
      </c>
      <c r="R766" s="98">
        <f>'Supply planning data'!T764</f>
        <v>0</v>
      </c>
      <c r="S766" s="98">
        <f>'Supply planning data'!U764</f>
        <v>0</v>
      </c>
      <c r="T766" s="98">
        <f>'Supply planning data'!V764</f>
        <v>0</v>
      </c>
      <c r="U766" s="325" t="str">
        <f>'Supply planning data'!W764</f>
        <v/>
      </c>
      <c r="V766" s="98">
        <f>'Supply planning data'!X764</f>
        <v>0</v>
      </c>
      <c r="W766" s="317">
        <f>'Supply planning data'!Y764</f>
        <v>0</v>
      </c>
      <c r="X766" s="328">
        <f>'Supply planning data'!Z764</f>
        <v>0</v>
      </c>
      <c r="Y766" s="98">
        <f>'Supply planning data'!AA764</f>
        <v>0</v>
      </c>
      <c r="Z766" s="98">
        <f>'Supply planning data'!AB764</f>
        <v>0</v>
      </c>
      <c r="AA766" s="98">
        <f>'Supply planning data'!AC764</f>
        <v>0</v>
      </c>
      <c r="AB766" s="98">
        <f>'Supply planning data'!AD764</f>
        <v>0</v>
      </c>
      <c r="AC766" s="98">
        <f>'Supply planning data'!AE764</f>
        <v>0</v>
      </c>
      <c r="AD766" s="325" t="str">
        <f>'Supply planning data'!AF764</f>
        <v/>
      </c>
      <c r="AE766" s="98">
        <f>'Supply planning data'!AG764</f>
        <v>0</v>
      </c>
      <c r="AF766" s="317">
        <f>'Supply planning data'!AH764</f>
        <v>0</v>
      </c>
      <c r="AG766" s="175">
        <f>'Supply planning data'!AI764</f>
        <v>0</v>
      </c>
      <c r="AH766" s="98">
        <f>'Supply planning data'!AJ764</f>
        <v>0</v>
      </c>
      <c r="AI766" s="98">
        <f>'Supply planning data'!AK764</f>
        <v>0</v>
      </c>
      <c r="AJ766" s="98">
        <f>'Supply planning data'!AL764</f>
        <v>0</v>
      </c>
      <c r="AK766" s="98">
        <f>'Supply planning data'!AM764</f>
        <v>0</v>
      </c>
      <c r="AL766" s="98">
        <f>'Supply planning data'!AN764</f>
        <v>0</v>
      </c>
      <c r="AM766" s="325" t="str">
        <f>'Supply planning data'!AO764</f>
        <v/>
      </c>
    </row>
    <row r="767" spans="1:39" hidden="1" x14ac:dyDescent="0.25">
      <c r="A767" s="90" t="str">
        <f>'Supply planning data'!C765</f>
        <v/>
      </c>
      <c r="B767" s="296">
        <f>'Supply planning data'!D765</f>
        <v>45717</v>
      </c>
      <c r="C767" s="92" t="str">
        <f>'Supply planning data'!E765</f>
        <v>No</v>
      </c>
      <c r="D767" s="92">
        <f>'Supply planning data'!F765</f>
        <v>0</v>
      </c>
      <c r="E767" s="316">
        <f>'Supply planning data'!G765</f>
        <v>0</v>
      </c>
      <c r="F767" s="317">
        <f>'Supply planning data'!H765</f>
        <v>0</v>
      </c>
      <c r="G767" s="317">
        <f>'Supply planning data'!I765</f>
        <v>0</v>
      </c>
      <c r="H767" s="98">
        <f>'Supply planning data'!J765</f>
        <v>0</v>
      </c>
      <c r="I767" s="317">
        <f>'Supply planning data'!K765</f>
        <v>0</v>
      </c>
      <c r="J767" s="175" t="str">
        <f>'Supply planning data'!L765</f>
        <v/>
      </c>
      <c r="K767" s="98">
        <f>'Supply planning data'!M765</f>
        <v>0</v>
      </c>
      <c r="L767" s="317">
        <f>'Supply planning data'!N765+'Supply planning data'!P765</f>
        <v>0</v>
      </c>
      <c r="M767" s="339">
        <f>'Supply planning data'!O765</f>
        <v>0</v>
      </c>
      <c r="N767" s="317">
        <f>'Supply planning data'!P765</f>
        <v>0</v>
      </c>
      <c r="O767" s="339">
        <f>'Supply planning data'!Q765</f>
        <v>0</v>
      </c>
      <c r="P767" s="98">
        <f>'Supply planning data'!R765</f>
        <v>0</v>
      </c>
      <c r="Q767" s="98">
        <f>'Supply planning data'!S765</f>
        <v>0</v>
      </c>
      <c r="R767" s="98">
        <f>'Supply planning data'!T765</f>
        <v>0</v>
      </c>
      <c r="S767" s="98">
        <f>'Supply planning data'!U765</f>
        <v>0</v>
      </c>
      <c r="T767" s="98">
        <f>'Supply planning data'!V765</f>
        <v>0</v>
      </c>
      <c r="U767" s="325" t="str">
        <f>'Supply planning data'!W765</f>
        <v/>
      </c>
      <c r="V767" s="98">
        <f>'Supply planning data'!X765</f>
        <v>0</v>
      </c>
      <c r="W767" s="317">
        <f>'Supply planning data'!Y765</f>
        <v>0</v>
      </c>
      <c r="X767" s="328">
        <f>'Supply planning data'!Z765</f>
        <v>0</v>
      </c>
      <c r="Y767" s="98">
        <f>'Supply planning data'!AA765</f>
        <v>0</v>
      </c>
      <c r="Z767" s="98">
        <f>'Supply planning data'!AB765</f>
        <v>0</v>
      </c>
      <c r="AA767" s="98">
        <f>'Supply planning data'!AC765</f>
        <v>0</v>
      </c>
      <c r="AB767" s="98">
        <f>'Supply planning data'!AD765</f>
        <v>0</v>
      </c>
      <c r="AC767" s="98">
        <f>'Supply planning data'!AE765</f>
        <v>0</v>
      </c>
      <c r="AD767" s="325" t="str">
        <f>'Supply planning data'!AF765</f>
        <v/>
      </c>
      <c r="AE767" s="98">
        <f>'Supply planning data'!AG765</f>
        <v>0</v>
      </c>
      <c r="AF767" s="317">
        <f>'Supply planning data'!AH765</f>
        <v>0</v>
      </c>
      <c r="AG767" s="175">
        <f>'Supply planning data'!AI765</f>
        <v>0</v>
      </c>
      <c r="AH767" s="98">
        <f>'Supply planning data'!AJ765</f>
        <v>0</v>
      </c>
      <c r="AI767" s="98">
        <f>'Supply planning data'!AK765</f>
        <v>0</v>
      </c>
      <c r="AJ767" s="98">
        <f>'Supply planning data'!AL765</f>
        <v>0</v>
      </c>
      <c r="AK767" s="98">
        <f>'Supply planning data'!AM765</f>
        <v>0</v>
      </c>
      <c r="AL767" s="98">
        <f>'Supply planning data'!AN765</f>
        <v>0</v>
      </c>
      <c r="AM767" s="325" t="str">
        <f>'Supply planning data'!AO765</f>
        <v/>
      </c>
    </row>
    <row r="768" spans="1:39" hidden="1" x14ac:dyDescent="0.25">
      <c r="A768" s="90" t="str">
        <f>'Supply planning data'!C766</f>
        <v/>
      </c>
      <c r="B768" s="296">
        <f>'Supply planning data'!D766</f>
        <v>45717</v>
      </c>
      <c r="C768" s="92" t="str">
        <f>'Supply planning data'!E766</f>
        <v>No</v>
      </c>
      <c r="D768" s="92">
        <f>'Supply planning data'!F766</f>
        <v>0</v>
      </c>
      <c r="E768" s="316">
        <f>'Supply planning data'!G766</f>
        <v>0</v>
      </c>
      <c r="F768" s="317">
        <f>'Supply planning data'!H766</f>
        <v>0</v>
      </c>
      <c r="G768" s="317">
        <f>'Supply planning data'!I766</f>
        <v>0</v>
      </c>
      <c r="H768" s="98">
        <f>'Supply planning data'!J766</f>
        <v>0</v>
      </c>
      <c r="I768" s="317">
        <f>'Supply planning data'!K766</f>
        <v>0</v>
      </c>
      <c r="J768" s="175" t="str">
        <f>'Supply planning data'!L766</f>
        <v/>
      </c>
      <c r="K768" s="98">
        <f>'Supply planning data'!M766</f>
        <v>0</v>
      </c>
      <c r="L768" s="317">
        <f>'Supply planning data'!N766+'Supply planning data'!P766</f>
        <v>0</v>
      </c>
      <c r="M768" s="339">
        <f>'Supply planning data'!O766</f>
        <v>0</v>
      </c>
      <c r="N768" s="317">
        <f>'Supply planning data'!P766</f>
        <v>0</v>
      </c>
      <c r="O768" s="339">
        <f>'Supply planning data'!Q766</f>
        <v>0</v>
      </c>
      <c r="P768" s="98">
        <f>'Supply planning data'!R766</f>
        <v>0</v>
      </c>
      <c r="Q768" s="98">
        <f>'Supply planning data'!S766</f>
        <v>0</v>
      </c>
      <c r="R768" s="98">
        <f>'Supply planning data'!T766</f>
        <v>0</v>
      </c>
      <c r="S768" s="98">
        <f>'Supply planning data'!U766</f>
        <v>0</v>
      </c>
      <c r="T768" s="98">
        <f>'Supply planning data'!V766</f>
        <v>0</v>
      </c>
      <c r="U768" s="325" t="str">
        <f>'Supply planning data'!W766</f>
        <v/>
      </c>
      <c r="V768" s="98">
        <f>'Supply planning data'!X766</f>
        <v>0</v>
      </c>
      <c r="W768" s="317">
        <f>'Supply planning data'!Y766</f>
        <v>0</v>
      </c>
      <c r="X768" s="328">
        <f>'Supply planning data'!Z766</f>
        <v>0</v>
      </c>
      <c r="Y768" s="98">
        <f>'Supply planning data'!AA766</f>
        <v>0</v>
      </c>
      <c r="Z768" s="98">
        <f>'Supply planning data'!AB766</f>
        <v>0</v>
      </c>
      <c r="AA768" s="98">
        <f>'Supply planning data'!AC766</f>
        <v>0</v>
      </c>
      <c r="AB768" s="98">
        <f>'Supply planning data'!AD766</f>
        <v>0</v>
      </c>
      <c r="AC768" s="98">
        <f>'Supply planning data'!AE766</f>
        <v>0</v>
      </c>
      <c r="AD768" s="325" t="str">
        <f>'Supply planning data'!AF766</f>
        <v/>
      </c>
      <c r="AE768" s="98">
        <f>'Supply planning data'!AG766</f>
        <v>0</v>
      </c>
      <c r="AF768" s="317">
        <f>'Supply planning data'!AH766</f>
        <v>0</v>
      </c>
      <c r="AG768" s="175">
        <f>'Supply planning data'!AI766</f>
        <v>0</v>
      </c>
      <c r="AH768" s="98">
        <f>'Supply planning data'!AJ766</f>
        <v>0</v>
      </c>
      <c r="AI768" s="98">
        <f>'Supply planning data'!AK766</f>
        <v>0</v>
      </c>
      <c r="AJ768" s="98">
        <f>'Supply planning data'!AL766</f>
        <v>0</v>
      </c>
      <c r="AK768" s="98">
        <f>'Supply planning data'!AM766</f>
        <v>0</v>
      </c>
      <c r="AL768" s="98">
        <f>'Supply planning data'!AN766</f>
        <v>0</v>
      </c>
      <c r="AM768" s="325" t="str">
        <f>'Supply planning data'!AO766</f>
        <v/>
      </c>
    </row>
    <row r="769" spans="1:39" hidden="1" x14ac:dyDescent="0.25">
      <c r="A769" s="90" t="str">
        <f>'Supply planning data'!C767</f>
        <v/>
      </c>
      <c r="B769" s="296">
        <f>'Supply planning data'!D767</f>
        <v>45717</v>
      </c>
      <c r="C769" s="92" t="str">
        <f>'Supply planning data'!E767</f>
        <v>No</v>
      </c>
      <c r="D769" s="92">
        <f>'Supply planning data'!F767</f>
        <v>0</v>
      </c>
      <c r="E769" s="316">
        <f>'Supply planning data'!G767</f>
        <v>0</v>
      </c>
      <c r="F769" s="317">
        <f>'Supply planning data'!H767</f>
        <v>0</v>
      </c>
      <c r="G769" s="317">
        <f>'Supply planning data'!I767</f>
        <v>0</v>
      </c>
      <c r="H769" s="98">
        <f>'Supply planning data'!J767</f>
        <v>0</v>
      </c>
      <c r="I769" s="317">
        <f>'Supply planning data'!K767</f>
        <v>0</v>
      </c>
      <c r="J769" s="175" t="str">
        <f>'Supply planning data'!L767</f>
        <v/>
      </c>
      <c r="K769" s="98">
        <f>'Supply planning data'!M767</f>
        <v>0</v>
      </c>
      <c r="L769" s="317">
        <f>'Supply planning data'!N767+'Supply planning data'!P767</f>
        <v>0</v>
      </c>
      <c r="M769" s="339">
        <f>'Supply planning data'!O767</f>
        <v>0</v>
      </c>
      <c r="N769" s="317">
        <f>'Supply planning data'!P767</f>
        <v>0</v>
      </c>
      <c r="O769" s="339">
        <f>'Supply planning data'!Q767</f>
        <v>0</v>
      </c>
      <c r="P769" s="98">
        <f>'Supply planning data'!R767</f>
        <v>0</v>
      </c>
      <c r="Q769" s="98">
        <f>'Supply planning data'!S767</f>
        <v>0</v>
      </c>
      <c r="R769" s="98">
        <f>'Supply planning data'!T767</f>
        <v>0</v>
      </c>
      <c r="S769" s="98">
        <f>'Supply planning data'!U767</f>
        <v>0</v>
      </c>
      <c r="T769" s="98">
        <f>'Supply planning data'!V767</f>
        <v>0</v>
      </c>
      <c r="U769" s="325" t="str">
        <f>'Supply planning data'!W767</f>
        <v/>
      </c>
      <c r="V769" s="98">
        <f>'Supply planning data'!X767</f>
        <v>0</v>
      </c>
      <c r="W769" s="317">
        <f>'Supply planning data'!Y767</f>
        <v>0</v>
      </c>
      <c r="X769" s="328">
        <f>'Supply planning data'!Z767</f>
        <v>0</v>
      </c>
      <c r="Y769" s="98">
        <f>'Supply planning data'!AA767</f>
        <v>0</v>
      </c>
      <c r="Z769" s="98">
        <f>'Supply planning data'!AB767</f>
        <v>0</v>
      </c>
      <c r="AA769" s="98">
        <f>'Supply planning data'!AC767</f>
        <v>0</v>
      </c>
      <c r="AB769" s="98">
        <f>'Supply planning data'!AD767</f>
        <v>0</v>
      </c>
      <c r="AC769" s="98">
        <f>'Supply planning data'!AE767</f>
        <v>0</v>
      </c>
      <c r="AD769" s="325" t="str">
        <f>'Supply planning data'!AF767</f>
        <v/>
      </c>
      <c r="AE769" s="98">
        <f>'Supply planning data'!AG767</f>
        <v>0</v>
      </c>
      <c r="AF769" s="317">
        <f>'Supply planning data'!AH767</f>
        <v>0</v>
      </c>
      <c r="AG769" s="175">
        <f>'Supply planning data'!AI767</f>
        <v>0</v>
      </c>
      <c r="AH769" s="98">
        <f>'Supply planning data'!AJ767</f>
        <v>0</v>
      </c>
      <c r="AI769" s="98">
        <f>'Supply planning data'!AK767</f>
        <v>0</v>
      </c>
      <c r="AJ769" s="98">
        <f>'Supply planning data'!AL767</f>
        <v>0</v>
      </c>
      <c r="AK769" s="98">
        <f>'Supply planning data'!AM767</f>
        <v>0</v>
      </c>
      <c r="AL769" s="98">
        <f>'Supply planning data'!AN767</f>
        <v>0</v>
      </c>
      <c r="AM769" s="325" t="str">
        <f>'Supply planning data'!AO767</f>
        <v/>
      </c>
    </row>
    <row r="770" spans="1:39" hidden="1" x14ac:dyDescent="0.25">
      <c r="A770" s="90" t="str">
        <f>'Supply planning data'!C768</f>
        <v/>
      </c>
      <c r="B770" s="296">
        <f>'Supply planning data'!D768</f>
        <v>45717</v>
      </c>
      <c r="C770" s="92" t="str">
        <f>'Supply planning data'!E768</f>
        <v>No</v>
      </c>
      <c r="D770" s="92">
        <f>'Supply planning data'!F768</f>
        <v>0</v>
      </c>
      <c r="E770" s="316">
        <f>'Supply planning data'!G768</f>
        <v>0</v>
      </c>
      <c r="F770" s="317">
        <f>'Supply planning data'!H768</f>
        <v>0</v>
      </c>
      <c r="G770" s="317">
        <f>'Supply planning data'!I768</f>
        <v>0</v>
      </c>
      <c r="H770" s="98">
        <f>'Supply planning data'!J768</f>
        <v>0</v>
      </c>
      <c r="I770" s="317">
        <f>'Supply planning data'!K768</f>
        <v>0</v>
      </c>
      <c r="J770" s="175" t="str">
        <f>'Supply planning data'!L768</f>
        <v/>
      </c>
      <c r="K770" s="98">
        <f>'Supply planning data'!M768</f>
        <v>0</v>
      </c>
      <c r="L770" s="317">
        <f>'Supply planning data'!N768+'Supply planning data'!P768</f>
        <v>0</v>
      </c>
      <c r="M770" s="339">
        <f>'Supply planning data'!O768</f>
        <v>0</v>
      </c>
      <c r="N770" s="317">
        <f>'Supply planning data'!P768</f>
        <v>0</v>
      </c>
      <c r="O770" s="339">
        <f>'Supply planning data'!Q768</f>
        <v>0</v>
      </c>
      <c r="P770" s="98">
        <f>'Supply planning data'!R768</f>
        <v>0</v>
      </c>
      <c r="Q770" s="98">
        <f>'Supply planning data'!S768</f>
        <v>0</v>
      </c>
      <c r="R770" s="98">
        <f>'Supply planning data'!T768</f>
        <v>0</v>
      </c>
      <c r="S770" s="98">
        <f>'Supply planning data'!U768</f>
        <v>0</v>
      </c>
      <c r="T770" s="98">
        <f>'Supply planning data'!V768</f>
        <v>0</v>
      </c>
      <c r="U770" s="325" t="str">
        <f>'Supply planning data'!W768</f>
        <v/>
      </c>
      <c r="V770" s="98">
        <f>'Supply planning data'!X768</f>
        <v>0</v>
      </c>
      <c r="W770" s="317">
        <f>'Supply planning data'!Y768</f>
        <v>0</v>
      </c>
      <c r="X770" s="328">
        <f>'Supply planning data'!Z768</f>
        <v>0</v>
      </c>
      <c r="Y770" s="98">
        <f>'Supply planning data'!AA768</f>
        <v>0</v>
      </c>
      <c r="Z770" s="98">
        <f>'Supply planning data'!AB768</f>
        <v>0</v>
      </c>
      <c r="AA770" s="98">
        <f>'Supply planning data'!AC768</f>
        <v>0</v>
      </c>
      <c r="AB770" s="98">
        <f>'Supply planning data'!AD768</f>
        <v>0</v>
      </c>
      <c r="AC770" s="98">
        <f>'Supply planning data'!AE768</f>
        <v>0</v>
      </c>
      <c r="AD770" s="325" t="str">
        <f>'Supply planning data'!AF768</f>
        <v/>
      </c>
      <c r="AE770" s="98">
        <f>'Supply planning data'!AG768</f>
        <v>0</v>
      </c>
      <c r="AF770" s="317">
        <f>'Supply planning data'!AH768</f>
        <v>0</v>
      </c>
      <c r="AG770" s="175">
        <f>'Supply planning data'!AI768</f>
        <v>0</v>
      </c>
      <c r="AH770" s="98">
        <f>'Supply planning data'!AJ768</f>
        <v>0</v>
      </c>
      <c r="AI770" s="98">
        <f>'Supply planning data'!AK768</f>
        <v>0</v>
      </c>
      <c r="AJ770" s="98">
        <f>'Supply planning data'!AL768</f>
        <v>0</v>
      </c>
      <c r="AK770" s="98">
        <f>'Supply planning data'!AM768</f>
        <v>0</v>
      </c>
      <c r="AL770" s="98">
        <f>'Supply planning data'!AN768</f>
        <v>0</v>
      </c>
      <c r="AM770" s="325" t="str">
        <f>'Supply planning data'!AO768</f>
        <v/>
      </c>
    </row>
    <row r="771" spans="1:39" hidden="1" x14ac:dyDescent="0.25">
      <c r="A771" s="90" t="str">
        <f>'Supply planning data'!C769</f>
        <v/>
      </c>
      <c r="B771" s="296">
        <f>'Supply planning data'!D769</f>
        <v>45717</v>
      </c>
      <c r="C771" s="92" t="str">
        <f>'Supply planning data'!E769</f>
        <v>No</v>
      </c>
      <c r="D771" s="92">
        <f>'Supply planning data'!F769</f>
        <v>0</v>
      </c>
      <c r="E771" s="316">
        <f>'Supply planning data'!G769</f>
        <v>0</v>
      </c>
      <c r="F771" s="317">
        <f>'Supply planning data'!H769</f>
        <v>0</v>
      </c>
      <c r="G771" s="317">
        <f>'Supply planning data'!I769</f>
        <v>0</v>
      </c>
      <c r="H771" s="98">
        <f>'Supply planning data'!J769</f>
        <v>0</v>
      </c>
      <c r="I771" s="317">
        <f>'Supply planning data'!K769</f>
        <v>0</v>
      </c>
      <c r="J771" s="175" t="str">
        <f>'Supply planning data'!L769</f>
        <v/>
      </c>
      <c r="K771" s="98">
        <f>'Supply planning data'!M769</f>
        <v>0</v>
      </c>
      <c r="L771" s="317">
        <f>'Supply planning data'!N769+'Supply planning data'!P769</f>
        <v>0</v>
      </c>
      <c r="M771" s="339">
        <f>'Supply planning data'!O769</f>
        <v>0</v>
      </c>
      <c r="N771" s="317">
        <f>'Supply planning data'!P769</f>
        <v>0</v>
      </c>
      <c r="O771" s="339">
        <f>'Supply planning data'!Q769</f>
        <v>0</v>
      </c>
      <c r="P771" s="98">
        <f>'Supply planning data'!R769</f>
        <v>0</v>
      </c>
      <c r="Q771" s="98">
        <f>'Supply planning data'!S769</f>
        <v>0</v>
      </c>
      <c r="R771" s="98">
        <f>'Supply planning data'!T769</f>
        <v>0</v>
      </c>
      <c r="S771" s="98">
        <f>'Supply planning data'!U769</f>
        <v>0</v>
      </c>
      <c r="T771" s="98">
        <f>'Supply planning data'!V769</f>
        <v>0</v>
      </c>
      <c r="U771" s="325" t="str">
        <f>'Supply planning data'!W769</f>
        <v/>
      </c>
      <c r="V771" s="98">
        <f>'Supply planning data'!X769</f>
        <v>0</v>
      </c>
      <c r="W771" s="317">
        <f>'Supply planning data'!Y769</f>
        <v>0</v>
      </c>
      <c r="X771" s="328">
        <f>'Supply planning data'!Z769</f>
        <v>0</v>
      </c>
      <c r="Y771" s="98">
        <f>'Supply planning data'!AA769</f>
        <v>0</v>
      </c>
      <c r="Z771" s="98">
        <f>'Supply planning data'!AB769</f>
        <v>0</v>
      </c>
      <c r="AA771" s="98">
        <f>'Supply planning data'!AC769</f>
        <v>0</v>
      </c>
      <c r="AB771" s="98">
        <f>'Supply planning data'!AD769</f>
        <v>0</v>
      </c>
      <c r="AC771" s="98">
        <f>'Supply planning data'!AE769</f>
        <v>0</v>
      </c>
      <c r="AD771" s="325" t="str">
        <f>'Supply planning data'!AF769</f>
        <v/>
      </c>
      <c r="AE771" s="98">
        <f>'Supply planning data'!AG769</f>
        <v>0</v>
      </c>
      <c r="AF771" s="317">
        <f>'Supply planning data'!AH769</f>
        <v>0</v>
      </c>
      <c r="AG771" s="175">
        <f>'Supply planning data'!AI769</f>
        <v>0</v>
      </c>
      <c r="AH771" s="98">
        <f>'Supply planning data'!AJ769</f>
        <v>0</v>
      </c>
      <c r="AI771" s="98">
        <f>'Supply planning data'!AK769</f>
        <v>0</v>
      </c>
      <c r="AJ771" s="98">
        <f>'Supply planning data'!AL769</f>
        <v>0</v>
      </c>
      <c r="AK771" s="98">
        <f>'Supply planning data'!AM769</f>
        <v>0</v>
      </c>
      <c r="AL771" s="98">
        <f>'Supply planning data'!AN769</f>
        <v>0</v>
      </c>
      <c r="AM771" s="325" t="str">
        <f>'Supply planning data'!AO769</f>
        <v/>
      </c>
    </row>
    <row r="772" spans="1:39" x14ac:dyDescent="0.25">
      <c r="A772" s="104" t="str">
        <f>'Supply planning data'!C770</f>
        <v>AstraZeneca</v>
      </c>
      <c r="B772" s="298">
        <f>'Supply planning data'!D770</f>
        <v>45748</v>
      </c>
      <c r="C772" s="105" t="str">
        <f>'Supply planning data'!E770</f>
        <v>Yes</v>
      </c>
      <c r="D772" s="105">
        <f>'Supply planning data'!F770</f>
        <v>0</v>
      </c>
      <c r="E772" s="320">
        <f>'Supply planning data'!G770</f>
        <v>0</v>
      </c>
      <c r="F772" s="320">
        <f>'Supply planning data'!H770</f>
        <v>0</v>
      </c>
      <c r="G772" s="320">
        <f>'Supply planning data'!I770</f>
        <v>0</v>
      </c>
      <c r="H772" s="105">
        <f>'Supply planning data'!J770</f>
        <v>0</v>
      </c>
      <c r="I772" s="320">
        <f>'Supply planning data'!K770</f>
        <v>0</v>
      </c>
      <c r="J772" s="177" t="str">
        <f>'Supply planning data'!L770</f>
        <v/>
      </c>
      <c r="K772" s="105">
        <f>'Supply planning data'!M770</f>
        <v>0</v>
      </c>
      <c r="L772" s="320">
        <f>'Supply planning data'!N770+'Supply planning data'!P770</f>
        <v>0</v>
      </c>
      <c r="M772" s="341">
        <f>'Supply planning data'!O770</f>
        <v>0</v>
      </c>
      <c r="N772" s="320">
        <f>'Supply planning data'!P770</f>
        <v>0</v>
      </c>
      <c r="O772" s="341">
        <f>'Supply planning data'!Q770</f>
        <v>0</v>
      </c>
      <c r="P772" s="105">
        <f>'Supply planning data'!R770</f>
        <v>0</v>
      </c>
      <c r="Q772" s="105">
        <f>'Supply planning data'!S770</f>
        <v>0</v>
      </c>
      <c r="R772" s="105">
        <f>'Supply planning data'!T770</f>
        <v>0</v>
      </c>
      <c r="S772" s="105">
        <f>'Supply planning data'!U770</f>
        <v>0</v>
      </c>
      <c r="T772" s="105">
        <f>'Supply planning data'!V770</f>
        <v>0</v>
      </c>
      <c r="U772" s="326" t="str">
        <f>'Supply planning data'!W770</f>
        <v/>
      </c>
      <c r="V772" s="105">
        <f>'Supply planning data'!X770</f>
        <v>154701</v>
      </c>
      <c r="W772" s="320">
        <f>'Supply planning data'!Y770</f>
        <v>0</v>
      </c>
      <c r="X772" s="329">
        <f>'Supply planning data'!Z770</f>
        <v>0</v>
      </c>
      <c r="Y772" s="105">
        <f>'Supply planning data'!AA770</f>
        <v>0</v>
      </c>
      <c r="Z772" s="105">
        <f>'Supply planning data'!AB770</f>
        <v>0</v>
      </c>
      <c r="AA772" s="105">
        <f>'Supply planning data'!AC770</f>
        <v>0</v>
      </c>
      <c r="AB772" s="105">
        <f>'Supply planning data'!AD770</f>
        <v>0</v>
      </c>
      <c r="AC772" s="105">
        <f>'Supply planning data'!AE770</f>
        <v>154701</v>
      </c>
      <c r="AD772" s="326" t="str">
        <f>'Supply planning data'!AF770</f>
        <v/>
      </c>
      <c r="AE772" s="105">
        <f>'Supply planning data'!AG770</f>
        <v>0</v>
      </c>
      <c r="AF772" s="320">
        <f>'Supply planning data'!AH770</f>
        <v>0</v>
      </c>
      <c r="AG772" s="177">
        <f>'Supply planning data'!AI770</f>
        <v>0</v>
      </c>
      <c r="AH772" s="105">
        <f>'Supply planning data'!AJ770</f>
        <v>0</v>
      </c>
      <c r="AI772" s="105">
        <f>'Supply planning data'!AK770</f>
        <v>0</v>
      </c>
      <c r="AJ772" s="105">
        <f>'Supply planning data'!AL770</f>
        <v>0</v>
      </c>
      <c r="AK772" s="105">
        <f>'Supply planning data'!AM770</f>
        <v>0</v>
      </c>
      <c r="AL772" s="105">
        <f>'Supply planning data'!AN770</f>
        <v>0</v>
      </c>
      <c r="AM772" s="326" t="str">
        <f>'Supply planning data'!AO770</f>
        <v/>
      </c>
    </row>
    <row r="773" spans="1:39" x14ac:dyDescent="0.25">
      <c r="A773" s="109" t="str">
        <f>'Supply planning data'!C771</f>
        <v>Jansen</v>
      </c>
      <c r="B773" s="298">
        <f>'Supply planning data'!D771</f>
        <v>45748</v>
      </c>
      <c r="C773" s="105" t="str">
        <f>'Supply planning data'!E771</f>
        <v>Yes</v>
      </c>
      <c r="D773" s="105">
        <f>'Supply planning data'!F771</f>
        <v>1871200</v>
      </c>
      <c r="E773" s="320">
        <f>'Supply planning data'!G771</f>
        <v>0</v>
      </c>
      <c r="F773" s="320">
        <f>'Supply planning data'!H771</f>
        <v>0</v>
      </c>
      <c r="G773" s="320">
        <f>'Supply planning data'!I771</f>
        <v>0</v>
      </c>
      <c r="H773" s="105">
        <f>'Supply planning data'!J771</f>
        <v>0</v>
      </c>
      <c r="I773" s="320">
        <f>'Supply planning data'!K771</f>
        <v>0</v>
      </c>
      <c r="J773" s="177" t="str">
        <f>'Supply planning data'!L771</f>
        <v/>
      </c>
      <c r="K773" s="105">
        <f>'Supply planning data'!M771</f>
        <v>0</v>
      </c>
      <c r="L773" s="321">
        <f>'Supply planning data'!N771+'Supply planning data'!P771</f>
        <v>0</v>
      </c>
      <c r="M773" s="342">
        <f>'Supply planning data'!O771</f>
        <v>0</v>
      </c>
      <c r="N773" s="321">
        <f>'Supply planning data'!P771</f>
        <v>0</v>
      </c>
      <c r="O773" s="342">
        <f>'Supply planning data'!Q771</f>
        <v>0</v>
      </c>
      <c r="P773" s="111">
        <f>'Supply planning data'!R771</f>
        <v>0</v>
      </c>
      <c r="Q773" s="111">
        <f>'Supply planning data'!S771</f>
        <v>0</v>
      </c>
      <c r="R773" s="111">
        <f>'Supply planning data'!T771</f>
        <v>387547</v>
      </c>
      <c r="S773" s="111">
        <f>'Supply planning data'!U771</f>
        <v>0</v>
      </c>
      <c r="T773" s="111">
        <f>'Supply planning data'!V771</f>
        <v>1871200</v>
      </c>
      <c r="U773" s="327" t="str">
        <f>'Supply planning data'!W771</f>
        <v/>
      </c>
      <c r="V773" s="111">
        <f>'Supply planning data'!X771</f>
        <v>1311200</v>
      </c>
      <c r="W773" s="321">
        <f>'Supply planning data'!Y771</f>
        <v>0</v>
      </c>
      <c r="X773" s="329">
        <f>'Supply planning data'!Z771</f>
        <v>0</v>
      </c>
      <c r="Y773" s="111">
        <f>'Supply planning data'!AA771</f>
        <v>0</v>
      </c>
      <c r="Z773" s="111">
        <f>'Supply planning data'!AB771</f>
        <v>0</v>
      </c>
      <c r="AA773" s="111">
        <f>'Supply planning data'!AC771</f>
        <v>0</v>
      </c>
      <c r="AB773" s="111">
        <f>'Supply planning data'!AD771</f>
        <v>0</v>
      </c>
      <c r="AC773" s="111">
        <f>'Supply planning data'!AE771</f>
        <v>1311200</v>
      </c>
      <c r="AD773" s="327" t="str">
        <f>'Supply planning data'!AF771</f>
        <v/>
      </c>
      <c r="AE773" s="111">
        <f>'Supply planning data'!AG771</f>
        <v>1871200</v>
      </c>
      <c r="AF773" s="321">
        <f>'Supply planning data'!AH771</f>
        <v>0</v>
      </c>
      <c r="AG773" s="349">
        <f>'Supply planning data'!AI771</f>
        <v>0</v>
      </c>
      <c r="AH773" s="111">
        <f>'Supply planning data'!AJ771</f>
        <v>0</v>
      </c>
      <c r="AI773" s="111">
        <f>'Supply planning data'!AK771</f>
        <v>0</v>
      </c>
      <c r="AJ773" s="111">
        <f>'Supply planning data'!AL771</f>
        <v>387547</v>
      </c>
      <c r="AK773" s="111">
        <f>'Supply planning data'!AM771</f>
        <v>0</v>
      </c>
      <c r="AL773" s="111">
        <f>'Supply planning data'!AN771</f>
        <v>1871200</v>
      </c>
      <c r="AM773" s="327" t="str">
        <f>'Supply planning data'!AO771</f>
        <v/>
      </c>
    </row>
    <row r="774" spans="1:39" x14ac:dyDescent="0.25">
      <c r="A774" s="104" t="str">
        <f>'Supply planning data'!C772</f>
        <v>Moderna</v>
      </c>
      <c r="B774" s="298">
        <f>'Supply planning data'!D772</f>
        <v>45748</v>
      </c>
      <c r="C774" s="105" t="str">
        <f>'Supply planning data'!E772</f>
        <v>No</v>
      </c>
      <c r="D774" s="105">
        <f>'Supply planning data'!F772</f>
        <v>0</v>
      </c>
      <c r="E774" s="320">
        <f>'Supply planning data'!G772</f>
        <v>0</v>
      </c>
      <c r="F774" s="320">
        <f>'Supply planning data'!H772</f>
        <v>0</v>
      </c>
      <c r="G774" s="320">
        <f>'Supply planning data'!I772</f>
        <v>0</v>
      </c>
      <c r="H774" s="105">
        <f>'Supply planning data'!J772</f>
        <v>0</v>
      </c>
      <c r="I774" s="320">
        <f>'Supply planning data'!K772</f>
        <v>0</v>
      </c>
      <c r="J774" s="177" t="str">
        <f>'Supply planning data'!L772</f>
        <v/>
      </c>
      <c r="K774" s="105">
        <f>'Supply planning data'!M772</f>
        <v>0</v>
      </c>
      <c r="L774" s="321">
        <f>'Supply planning data'!N772+'Supply planning data'!P772</f>
        <v>0</v>
      </c>
      <c r="M774" s="342">
        <f>'Supply planning data'!O772</f>
        <v>0</v>
      </c>
      <c r="N774" s="321">
        <f>'Supply planning data'!P772</f>
        <v>0</v>
      </c>
      <c r="O774" s="342">
        <f>'Supply planning data'!Q772</f>
        <v>0</v>
      </c>
      <c r="P774" s="111">
        <f>'Supply planning data'!R772</f>
        <v>0</v>
      </c>
      <c r="Q774" s="111">
        <f>'Supply planning data'!S772</f>
        <v>0</v>
      </c>
      <c r="R774" s="111">
        <f>'Supply planning data'!T772</f>
        <v>0</v>
      </c>
      <c r="S774" s="111">
        <f>'Supply planning data'!U772</f>
        <v>0</v>
      </c>
      <c r="T774" s="111">
        <f>'Supply planning data'!V772</f>
        <v>0</v>
      </c>
      <c r="U774" s="327" t="str">
        <f>'Supply planning data'!W772</f>
        <v/>
      </c>
      <c r="V774" s="111">
        <f>'Supply planning data'!X772</f>
        <v>0</v>
      </c>
      <c r="W774" s="321">
        <f>'Supply planning data'!Y772</f>
        <v>0</v>
      </c>
      <c r="X774" s="329">
        <f>'Supply planning data'!Z772</f>
        <v>0</v>
      </c>
      <c r="Y774" s="111">
        <f>'Supply planning data'!AA772</f>
        <v>0</v>
      </c>
      <c r="Z774" s="111">
        <f>'Supply planning data'!AB772</f>
        <v>0</v>
      </c>
      <c r="AA774" s="111">
        <f>'Supply planning data'!AC772</f>
        <v>0</v>
      </c>
      <c r="AB774" s="111">
        <f>'Supply planning data'!AD772</f>
        <v>0</v>
      </c>
      <c r="AC774" s="111">
        <f>'Supply planning data'!AE772</f>
        <v>0</v>
      </c>
      <c r="AD774" s="327" t="str">
        <f>'Supply planning data'!AF772</f>
        <v/>
      </c>
      <c r="AE774" s="111">
        <f>'Supply planning data'!AG772</f>
        <v>0</v>
      </c>
      <c r="AF774" s="321">
        <f>'Supply planning data'!AH772</f>
        <v>0</v>
      </c>
      <c r="AG774" s="349">
        <f>'Supply planning data'!AI772</f>
        <v>0</v>
      </c>
      <c r="AH774" s="111">
        <f>'Supply planning data'!AJ772</f>
        <v>0</v>
      </c>
      <c r="AI774" s="111">
        <f>'Supply planning data'!AK772</f>
        <v>0</v>
      </c>
      <c r="AJ774" s="111">
        <f>'Supply planning data'!AL772</f>
        <v>0</v>
      </c>
      <c r="AK774" s="111">
        <f>'Supply planning data'!AM772</f>
        <v>0</v>
      </c>
      <c r="AL774" s="111">
        <f>'Supply planning data'!AN772</f>
        <v>0</v>
      </c>
      <c r="AM774" s="327" t="str">
        <f>'Supply planning data'!AO772</f>
        <v/>
      </c>
    </row>
    <row r="775" spans="1:39" x14ac:dyDescent="0.25">
      <c r="A775" s="109" t="str">
        <f>'Supply planning data'!C773</f>
        <v>Pfizer</v>
      </c>
      <c r="B775" s="298">
        <f>'Supply planning data'!D773</f>
        <v>45748</v>
      </c>
      <c r="C775" s="105" t="str">
        <f>'Supply planning data'!E773</f>
        <v>Yes</v>
      </c>
      <c r="D775" s="105">
        <f>'Supply planning data'!F773</f>
        <v>3000000</v>
      </c>
      <c r="E775" s="320">
        <f>'Supply planning data'!G773</f>
        <v>0</v>
      </c>
      <c r="F775" s="320">
        <f>'Supply planning data'!H773</f>
        <v>0</v>
      </c>
      <c r="G775" s="320">
        <f>'Supply planning data'!I773</f>
        <v>0</v>
      </c>
      <c r="H775" s="105">
        <f>'Supply planning data'!J773</f>
        <v>0</v>
      </c>
      <c r="I775" s="320">
        <f>'Supply planning data'!K773</f>
        <v>0</v>
      </c>
      <c r="J775" s="177" t="str">
        <f>'Supply planning data'!L773</f>
        <v/>
      </c>
      <c r="K775" s="105">
        <f>'Supply planning data'!M773</f>
        <v>0</v>
      </c>
      <c r="L775" s="321">
        <f>'Supply planning data'!N773+'Supply planning data'!P773</f>
        <v>0</v>
      </c>
      <c r="M775" s="342">
        <f>'Supply planning data'!O773</f>
        <v>0</v>
      </c>
      <c r="N775" s="321">
        <f>'Supply planning data'!P773</f>
        <v>0</v>
      </c>
      <c r="O775" s="342">
        <f>'Supply planning data'!Q773</f>
        <v>0</v>
      </c>
      <c r="P775" s="111">
        <f>'Supply planning data'!R773</f>
        <v>0</v>
      </c>
      <c r="Q775" s="111">
        <f>'Supply planning data'!S773</f>
        <v>0</v>
      </c>
      <c r="R775" s="111">
        <f>'Supply planning data'!T773</f>
        <v>110538</v>
      </c>
      <c r="S775" s="111">
        <f>'Supply planning data'!U773</f>
        <v>0</v>
      </c>
      <c r="T775" s="111">
        <f>'Supply planning data'!V773</f>
        <v>3000000</v>
      </c>
      <c r="U775" s="327" t="str">
        <f>'Supply planning data'!W773</f>
        <v/>
      </c>
      <c r="V775" s="111">
        <f>'Supply planning data'!X773</f>
        <v>2440000</v>
      </c>
      <c r="W775" s="321">
        <f>'Supply planning data'!Y773</f>
        <v>0</v>
      </c>
      <c r="X775" s="329">
        <f>'Supply planning data'!Z773</f>
        <v>0</v>
      </c>
      <c r="Y775" s="111">
        <f>'Supply planning data'!AA773</f>
        <v>0</v>
      </c>
      <c r="Z775" s="111">
        <f>'Supply planning data'!AB773</f>
        <v>0</v>
      </c>
      <c r="AA775" s="111">
        <f>'Supply planning data'!AC773</f>
        <v>0</v>
      </c>
      <c r="AB775" s="111">
        <f>'Supply planning data'!AD773</f>
        <v>0</v>
      </c>
      <c r="AC775" s="111">
        <f>'Supply planning data'!AE773</f>
        <v>2440000</v>
      </c>
      <c r="AD775" s="327" t="str">
        <f>'Supply planning data'!AF773</f>
        <v/>
      </c>
      <c r="AE775" s="111">
        <f>'Supply planning data'!AG773</f>
        <v>3000000</v>
      </c>
      <c r="AF775" s="321">
        <f>'Supply planning data'!AH773</f>
        <v>0</v>
      </c>
      <c r="AG775" s="349">
        <f>'Supply planning data'!AI773</f>
        <v>0</v>
      </c>
      <c r="AH775" s="111">
        <f>'Supply planning data'!AJ773</f>
        <v>0</v>
      </c>
      <c r="AI775" s="111">
        <f>'Supply planning data'!AK773</f>
        <v>0</v>
      </c>
      <c r="AJ775" s="111">
        <f>'Supply planning data'!AL773</f>
        <v>110538</v>
      </c>
      <c r="AK775" s="111">
        <f>'Supply planning data'!AM773</f>
        <v>0</v>
      </c>
      <c r="AL775" s="111">
        <f>'Supply planning data'!AN773</f>
        <v>3000000</v>
      </c>
      <c r="AM775" s="327" t="str">
        <f>'Supply planning data'!AO773</f>
        <v/>
      </c>
    </row>
    <row r="776" spans="1:39" x14ac:dyDescent="0.25">
      <c r="A776" s="104" t="str">
        <f>'Supply planning data'!C774</f>
        <v>Sinovac</v>
      </c>
      <c r="B776" s="298">
        <f>'Supply planning data'!D774</f>
        <v>45748</v>
      </c>
      <c r="C776" s="105" t="str">
        <f>'Supply planning data'!E774</f>
        <v>No</v>
      </c>
      <c r="D776" s="105">
        <f>'Supply planning data'!F774</f>
        <v>0</v>
      </c>
      <c r="E776" s="320">
        <f>'Supply planning data'!G774</f>
        <v>0</v>
      </c>
      <c r="F776" s="320">
        <f>'Supply planning data'!H774</f>
        <v>0</v>
      </c>
      <c r="G776" s="320">
        <f>'Supply planning data'!I774</f>
        <v>0</v>
      </c>
      <c r="H776" s="105">
        <f>'Supply planning data'!J774</f>
        <v>0</v>
      </c>
      <c r="I776" s="320">
        <f>'Supply planning data'!K774</f>
        <v>0</v>
      </c>
      <c r="J776" s="177" t="str">
        <f>'Supply planning data'!L774</f>
        <v/>
      </c>
      <c r="K776" s="105">
        <f>'Supply planning data'!M774</f>
        <v>0</v>
      </c>
      <c r="L776" s="321">
        <f>'Supply planning data'!N774+'Supply planning data'!P774</f>
        <v>0</v>
      </c>
      <c r="M776" s="342">
        <f>'Supply planning data'!O774</f>
        <v>0</v>
      </c>
      <c r="N776" s="321">
        <f>'Supply planning data'!P774</f>
        <v>0</v>
      </c>
      <c r="O776" s="342">
        <f>'Supply planning data'!Q774</f>
        <v>0</v>
      </c>
      <c r="P776" s="111">
        <f>'Supply planning data'!R774</f>
        <v>0</v>
      </c>
      <c r="Q776" s="111">
        <f>'Supply planning data'!S774</f>
        <v>0</v>
      </c>
      <c r="R776" s="111">
        <f>'Supply planning data'!T774</f>
        <v>0</v>
      </c>
      <c r="S776" s="111">
        <f>'Supply planning data'!U774</f>
        <v>0</v>
      </c>
      <c r="T776" s="111">
        <f>'Supply planning data'!V774</f>
        <v>0</v>
      </c>
      <c r="U776" s="327" t="str">
        <f>'Supply planning data'!W774</f>
        <v/>
      </c>
      <c r="V776" s="111">
        <f>'Supply planning data'!X774</f>
        <v>0</v>
      </c>
      <c r="W776" s="321">
        <f>'Supply planning data'!Y774</f>
        <v>0</v>
      </c>
      <c r="X776" s="329">
        <f>'Supply planning data'!Z774</f>
        <v>0</v>
      </c>
      <c r="Y776" s="111">
        <f>'Supply planning data'!AA774</f>
        <v>0</v>
      </c>
      <c r="Z776" s="111">
        <f>'Supply planning data'!AB774</f>
        <v>0</v>
      </c>
      <c r="AA776" s="111">
        <f>'Supply planning data'!AC774</f>
        <v>0</v>
      </c>
      <c r="AB776" s="111">
        <f>'Supply planning data'!AD774</f>
        <v>0</v>
      </c>
      <c r="AC776" s="111">
        <f>'Supply planning data'!AE774</f>
        <v>0</v>
      </c>
      <c r="AD776" s="327" t="str">
        <f>'Supply planning data'!AF774</f>
        <v/>
      </c>
      <c r="AE776" s="111">
        <f>'Supply planning data'!AG774</f>
        <v>0</v>
      </c>
      <c r="AF776" s="321">
        <f>'Supply planning data'!AH774</f>
        <v>0</v>
      </c>
      <c r="AG776" s="349">
        <f>'Supply planning data'!AI774</f>
        <v>0</v>
      </c>
      <c r="AH776" s="111">
        <f>'Supply planning data'!AJ774</f>
        <v>0</v>
      </c>
      <c r="AI776" s="111">
        <f>'Supply planning data'!AK774</f>
        <v>0</v>
      </c>
      <c r="AJ776" s="111">
        <f>'Supply planning data'!AL774</f>
        <v>0</v>
      </c>
      <c r="AK776" s="111">
        <f>'Supply planning data'!AM774</f>
        <v>0</v>
      </c>
      <c r="AL776" s="111">
        <f>'Supply planning data'!AN774</f>
        <v>0</v>
      </c>
      <c r="AM776" s="327" t="str">
        <f>'Supply planning data'!AO774</f>
        <v/>
      </c>
    </row>
    <row r="777" spans="1:39" hidden="1" x14ac:dyDescent="0.25">
      <c r="A777" s="109" t="str">
        <f>'Supply planning data'!C775</f>
        <v/>
      </c>
      <c r="B777" s="298">
        <f>'Supply planning data'!D775</f>
        <v>45748</v>
      </c>
      <c r="C777" s="105" t="str">
        <f>'Supply planning data'!E775</f>
        <v>No</v>
      </c>
      <c r="D777" s="105">
        <f>'Supply planning data'!F775</f>
        <v>0</v>
      </c>
      <c r="E777" s="320">
        <f>'Supply planning data'!G775</f>
        <v>0</v>
      </c>
      <c r="F777" s="320">
        <f>'Supply planning data'!H775</f>
        <v>0</v>
      </c>
      <c r="G777" s="320">
        <f>'Supply planning data'!I775</f>
        <v>0</v>
      </c>
      <c r="H777" s="105">
        <f>'Supply planning data'!J775</f>
        <v>0</v>
      </c>
      <c r="I777" s="320">
        <f>'Supply planning data'!K775</f>
        <v>0</v>
      </c>
      <c r="J777" s="177" t="str">
        <f>'Supply planning data'!L775</f>
        <v/>
      </c>
      <c r="K777" s="105">
        <f>'Supply planning data'!M775</f>
        <v>0</v>
      </c>
      <c r="L777" s="321">
        <f>'Supply planning data'!N775+'Supply planning data'!P775</f>
        <v>0</v>
      </c>
      <c r="M777" s="342">
        <f>'Supply planning data'!O775</f>
        <v>0</v>
      </c>
      <c r="N777" s="321">
        <f>'Supply planning data'!P775</f>
        <v>0</v>
      </c>
      <c r="O777" s="342">
        <f>'Supply planning data'!Q775</f>
        <v>0</v>
      </c>
      <c r="P777" s="111">
        <f>'Supply planning data'!R775</f>
        <v>0</v>
      </c>
      <c r="Q777" s="111">
        <f>'Supply planning data'!S775</f>
        <v>0</v>
      </c>
      <c r="R777" s="111">
        <f>'Supply planning data'!T775</f>
        <v>0</v>
      </c>
      <c r="S777" s="111">
        <f>'Supply planning data'!U775</f>
        <v>0</v>
      </c>
      <c r="T777" s="111">
        <f>'Supply planning data'!V775</f>
        <v>0</v>
      </c>
      <c r="U777" s="327" t="str">
        <f>'Supply planning data'!W775</f>
        <v/>
      </c>
      <c r="V777" s="111">
        <f>'Supply planning data'!X775</f>
        <v>0</v>
      </c>
      <c r="W777" s="321">
        <f>'Supply planning data'!Y775</f>
        <v>0</v>
      </c>
      <c r="X777" s="329">
        <f>'Supply planning data'!Z775</f>
        <v>0</v>
      </c>
      <c r="Y777" s="111">
        <f>'Supply planning data'!AA775</f>
        <v>0</v>
      </c>
      <c r="Z777" s="111">
        <f>'Supply planning data'!AB775</f>
        <v>0</v>
      </c>
      <c r="AA777" s="111">
        <f>'Supply planning data'!AC775</f>
        <v>0</v>
      </c>
      <c r="AB777" s="111">
        <f>'Supply planning data'!AD775</f>
        <v>0</v>
      </c>
      <c r="AC777" s="111">
        <f>'Supply planning data'!AE775</f>
        <v>0</v>
      </c>
      <c r="AD777" s="327" t="str">
        <f>'Supply planning data'!AF775</f>
        <v/>
      </c>
      <c r="AE777" s="111">
        <f>'Supply planning data'!AG775</f>
        <v>0</v>
      </c>
      <c r="AF777" s="321">
        <f>'Supply planning data'!AH775</f>
        <v>0</v>
      </c>
      <c r="AG777" s="349">
        <f>'Supply planning data'!AI775</f>
        <v>0</v>
      </c>
      <c r="AH777" s="111">
        <f>'Supply planning data'!AJ775</f>
        <v>0</v>
      </c>
      <c r="AI777" s="111">
        <f>'Supply planning data'!AK775</f>
        <v>0</v>
      </c>
      <c r="AJ777" s="111">
        <f>'Supply planning data'!AL775</f>
        <v>0</v>
      </c>
      <c r="AK777" s="111">
        <f>'Supply planning data'!AM775</f>
        <v>0</v>
      </c>
      <c r="AL777" s="111">
        <f>'Supply planning data'!AN775</f>
        <v>0</v>
      </c>
      <c r="AM777" s="327" t="str">
        <f>'Supply planning data'!AO775</f>
        <v/>
      </c>
    </row>
    <row r="778" spans="1:39" hidden="1" x14ac:dyDescent="0.25">
      <c r="A778" s="104" t="str">
        <f>'Supply planning data'!C776</f>
        <v/>
      </c>
      <c r="B778" s="298">
        <f>'Supply planning data'!D776</f>
        <v>45748</v>
      </c>
      <c r="C778" s="105" t="str">
        <f>'Supply planning data'!E776</f>
        <v>No</v>
      </c>
      <c r="D778" s="105">
        <f>'Supply planning data'!F776</f>
        <v>0</v>
      </c>
      <c r="E778" s="320">
        <f>'Supply planning data'!G776</f>
        <v>0</v>
      </c>
      <c r="F778" s="320">
        <f>'Supply planning data'!H776</f>
        <v>0</v>
      </c>
      <c r="G778" s="320">
        <f>'Supply planning data'!I776</f>
        <v>0</v>
      </c>
      <c r="H778" s="105">
        <f>'Supply planning data'!J776</f>
        <v>0</v>
      </c>
      <c r="I778" s="320">
        <f>'Supply planning data'!K776</f>
        <v>0</v>
      </c>
      <c r="J778" s="177" t="str">
        <f>'Supply planning data'!L776</f>
        <v/>
      </c>
      <c r="K778" s="105">
        <f>'Supply planning data'!M776</f>
        <v>0</v>
      </c>
      <c r="L778" s="321">
        <f>'Supply planning data'!N776+'Supply planning data'!P776</f>
        <v>0</v>
      </c>
      <c r="M778" s="342">
        <f>'Supply planning data'!O776</f>
        <v>0</v>
      </c>
      <c r="N778" s="321">
        <f>'Supply planning data'!P776</f>
        <v>0</v>
      </c>
      <c r="O778" s="342">
        <f>'Supply planning data'!Q776</f>
        <v>0</v>
      </c>
      <c r="P778" s="111">
        <f>'Supply planning data'!R776</f>
        <v>0</v>
      </c>
      <c r="Q778" s="111">
        <f>'Supply planning data'!S776</f>
        <v>0</v>
      </c>
      <c r="R778" s="111">
        <f>'Supply planning data'!T776</f>
        <v>0</v>
      </c>
      <c r="S778" s="111">
        <f>'Supply planning data'!U776</f>
        <v>0</v>
      </c>
      <c r="T778" s="111">
        <f>'Supply planning data'!V776</f>
        <v>0</v>
      </c>
      <c r="U778" s="327" t="str">
        <f>'Supply planning data'!W776</f>
        <v/>
      </c>
      <c r="V778" s="111">
        <f>'Supply planning data'!X776</f>
        <v>0</v>
      </c>
      <c r="W778" s="321">
        <f>'Supply planning data'!Y776</f>
        <v>0</v>
      </c>
      <c r="X778" s="329">
        <f>'Supply planning data'!Z776</f>
        <v>0</v>
      </c>
      <c r="Y778" s="111">
        <f>'Supply planning data'!AA776</f>
        <v>0</v>
      </c>
      <c r="Z778" s="111">
        <f>'Supply planning data'!AB776</f>
        <v>0</v>
      </c>
      <c r="AA778" s="111">
        <f>'Supply planning data'!AC776</f>
        <v>0</v>
      </c>
      <c r="AB778" s="111">
        <f>'Supply planning data'!AD776</f>
        <v>0</v>
      </c>
      <c r="AC778" s="111">
        <f>'Supply planning data'!AE776</f>
        <v>0</v>
      </c>
      <c r="AD778" s="327" t="str">
        <f>'Supply planning data'!AF776</f>
        <v/>
      </c>
      <c r="AE778" s="111">
        <f>'Supply planning data'!AG776</f>
        <v>0</v>
      </c>
      <c r="AF778" s="321">
        <f>'Supply planning data'!AH776</f>
        <v>0</v>
      </c>
      <c r="AG778" s="349">
        <f>'Supply planning data'!AI776</f>
        <v>0</v>
      </c>
      <c r="AH778" s="111">
        <f>'Supply planning data'!AJ776</f>
        <v>0</v>
      </c>
      <c r="AI778" s="111">
        <f>'Supply planning data'!AK776</f>
        <v>0</v>
      </c>
      <c r="AJ778" s="111">
        <f>'Supply planning data'!AL776</f>
        <v>0</v>
      </c>
      <c r="AK778" s="111">
        <f>'Supply planning data'!AM776</f>
        <v>0</v>
      </c>
      <c r="AL778" s="111">
        <f>'Supply planning data'!AN776</f>
        <v>0</v>
      </c>
      <c r="AM778" s="327" t="str">
        <f>'Supply planning data'!AO776</f>
        <v/>
      </c>
    </row>
    <row r="779" spans="1:39" hidden="1" x14ac:dyDescent="0.25">
      <c r="A779" s="109" t="str">
        <f>'Supply planning data'!C777</f>
        <v/>
      </c>
      <c r="B779" s="298">
        <f>'Supply planning data'!D777</f>
        <v>45748</v>
      </c>
      <c r="C779" s="105" t="str">
        <f>'Supply planning data'!E777</f>
        <v>No</v>
      </c>
      <c r="D779" s="105">
        <f>'Supply planning data'!F777</f>
        <v>0</v>
      </c>
      <c r="E779" s="320">
        <f>'Supply planning data'!G777</f>
        <v>0</v>
      </c>
      <c r="F779" s="320">
        <f>'Supply planning data'!H777</f>
        <v>0</v>
      </c>
      <c r="G779" s="320">
        <f>'Supply planning data'!I777</f>
        <v>0</v>
      </c>
      <c r="H779" s="105">
        <f>'Supply planning data'!J777</f>
        <v>0</v>
      </c>
      <c r="I779" s="320">
        <f>'Supply planning data'!K777</f>
        <v>0</v>
      </c>
      <c r="J779" s="177" t="str">
        <f>'Supply planning data'!L777</f>
        <v/>
      </c>
      <c r="K779" s="105">
        <f>'Supply planning data'!M777</f>
        <v>0</v>
      </c>
      <c r="L779" s="321">
        <f>'Supply planning data'!N777+'Supply planning data'!P777</f>
        <v>0</v>
      </c>
      <c r="M779" s="342">
        <f>'Supply planning data'!O777</f>
        <v>0</v>
      </c>
      <c r="N779" s="321">
        <f>'Supply planning data'!P777</f>
        <v>0</v>
      </c>
      <c r="O779" s="342">
        <f>'Supply planning data'!Q777</f>
        <v>0</v>
      </c>
      <c r="P779" s="111">
        <f>'Supply planning data'!R777</f>
        <v>0</v>
      </c>
      <c r="Q779" s="111">
        <f>'Supply planning data'!S777</f>
        <v>0</v>
      </c>
      <c r="R779" s="111">
        <f>'Supply planning data'!T777</f>
        <v>0</v>
      </c>
      <c r="S779" s="111">
        <f>'Supply planning data'!U777</f>
        <v>0</v>
      </c>
      <c r="T779" s="111">
        <f>'Supply planning data'!V777</f>
        <v>0</v>
      </c>
      <c r="U779" s="327" t="str">
        <f>'Supply planning data'!W777</f>
        <v/>
      </c>
      <c r="V779" s="111">
        <f>'Supply planning data'!X777</f>
        <v>0</v>
      </c>
      <c r="W779" s="321">
        <f>'Supply planning data'!Y777</f>
        <v>0</v>
      </c>
      <c r="X779" s="329">
        <f>'Supply planning data'!Z777</f>
        <v>0</v>
      </c>
      <c r="Y779" s="111">
        <f>'Supply planning data'!AA777</f>
        <v>0</v>
      </c>
      <c r="Z779" s="111">
        <f>'Supply planning data'!AB777</f>
        <v>0</v>
      </c>
      <c r="AA779" s="111">
        <f>'Supply planning data'!AC777</f>
        <v>0</v>
      </c>
      <c r="AB779" s="111">
        <f>'Supply planning data'!AD777</f>
        <v>0</v>
      </c>
      <c r="AC779" s="111">
        <f>'Supply planning data'!AE777</f>
        <v>0</v>
      </c>
      <c r="AD779" s="327" t="str">
        <f>'Supply planning data'!AF777</f>
        <v/>
      </c>
      <c r="AE779" s="111">
        <f>'Supply planning data'!AG777</f>
        <v>0</v>
      </c>
      <c r="AF779" s="321">
        <f>'Supply planning data'!AH777</f>
        <v>0</v>
      </c>
      <c r="AG779" s="349">
        <f>'Supply planning data'!AI777</f>
        <v>0</v>
      </c>
      <c r="AH779" s="111">
        <f>'Supply planning data'!AJ777</f>
        <v>0</v>
      </c>
      <c r="AI779" s="111">
        <f>'Supply planning data'!AK777</f>
        <v>0</v>
      </c>
      <c r="AJ779" s="111">
        <f>'Supply planning data'!AL777</f>
        <v>0</v>
      </c>
      <c r="AK779" s="111">
        <f>'Supply planning data'!AM777</f>
        <v>0</v>
      </c>
      <c r="AL779" s="111">
        <f>'Supply planning data'!AN777</f>
        <v>0</v>
      </c>
      <c r="AM779" s="327" t="str">
        <f>'Supply planning data'!AO777</f>
        <v/>
      </c>
    </row>
    <row r="780" spans="1:39" hidden="1" x14ac:dyDescent="0.25">
      <c r="A780" s="104" t="str">
        <f>'Supply planning data'!C778</f>
        <v/>
      </c>
      <c r="B780" s="298">
        <f>'Supply planning data'!D778</f>
        <v>45748</v>
      </c>
      <c r="C780" s="105" t="str">
        <f>'Supply planning data'!E778</f>
        <v>No</v>
      </c>
      <c r="D780" s="105">
        <f>'Supply planning data'!F778</f>
        <v>0</v>
      </c>
      <c r="E780" s="320">
        <f>'Supply planning data'!G778</f>
        <v>0</v>
      </c>
      <c r="F780" s="320">
        <f>'Supply planning data'!H778</f>
        <v>0</v>
      </c>
      <c r="G780" s="320">
        <f>'Supply planning data'!I778</f>
        <v>0</v>
      </c>
      <c r="H780" s="105">
        <f>'Supply planning data'!J778</f>
        <v>0</v>
      </c>
      <c r="I780" s="320">
        <f>'Supply planning data'!K778</f>
        <v>0</v>
      </c>
      <c r="J780" s="177" t="str">
        <f>'Supply planning data'!L778</f>
        <v/>
      </c>
      <c r="K780" s="105">
        <f>'Supply planning data'!M778</f>
        <v>0</v>
      </c>
      <c r="L780" s="321">
        <f>'Supply planning data'!N778+'Supply planning data'!P778</f>
        <v>0</v>
      </c>
      <c r="M780" s="342">
        <f>'Supply planning data'!O778</f>
        <v>0</v>
      </c>
      <c r="N780" s="321">
        <f>'Supply planning data'!P778</f>
        <v>0</v>
      </c>
      <c r="O780" s="342">
        <f>'Supply planning data'!Q778</f>
        <v>0</v>
      </c>
      <c r="P780" s="111">
        <f>'Supply planning data'!R778</f>
        <v>0</v>
      </c>
      <c r="Q780" s="111">
        <f>'Supply planning data'!S778</f>
        <v>0</v>
      </c>
      <c r="R780" s="111">
        <f>'Supply planning data'!T778</f>
        <v>0</v>
      </c>
      <c r="S780" s="111">
        <f>'Supply planning data'!U778</f>
        <v>0</v>
      </c>
      <c r="T780" s="111">
        <f>'Supply planning data'!V778</f>
        <v>0</v>
      </c>
      <c r="U780" s="327" t="str">
        <f>'Supply planning data'!W778</f>
        <v/>
      </c>
      <c r="V780" s="111">
        <f>'Supply planning data'!X778</f>
        <v>0</v>
      </c>
      <c r="W780" s="321">
        <f>'Supply planning data'!Y778</f>
        <v>0</v>
      </c>
      <c r="X780" s="329">
        <f>'Supply planning data'!Z778</f>
        <v>0</v>
      </c>
      <c r="Y780" s="111">
        <f>'Supply planning data'!AA778</f>
        <v>0</v>
      </c>
      <c r="Z780" s="111">
        <f>'Supply planning data'!AB778</f>
        <v>0</v>
      </c>
      <c r="AA780" s="111">
        <f>'Supply planning data'!AC778</f>
        <v>0</v>
      </c>
      <c r="AB780" s="111">
        <f>'Supply planning data'!AD778</f>
        <v>0</v>
      </c>
      <c r="AC780" s="111">
        <f>'Supply planning data'!AE778</f>
        <v>0</v>
      </c>
      <c r="AD780" s="327" t="str">
        <f>'Supply planning data'!AF778</f>
        <v/>
      </c>
      <c r="AE780" s="111">
        <f>'Supply planning data'!AG778</f>
        <v>0</v>
      </c>
      <c r="AF780" s="321">
        <f>'Supply planning data'!AH778</f>
        <v>0</v>
      </c>
      <c r="AG780" s="349">
        <f>'Supply planning data'!AI778</f>
        <v>0</v>
      </c>
      <c r="AH780" s="111">
        <f>'Supply planning data'!AJ778</f>
        <v>0</v>
      </c>
      <c r="AI780" s="111">
        <f>'Supply planning data'!AK778</f>
        <v>0</v>
      </c>
      <c r="AJ780" s="111">
        <f>'Supply planning data'!AL778</f>
        <v>0</v>
      </c>
      <c r="AK780" s="111">
        <f>'Supply planning data'!AM778</f>
        <v>0</v>
      </c>
      <c r="AL780" s="111">
        <f>'Supply planning data'!AN778</f>
        <v>0</v>
      </c>
      <c r="AM780" s="327" t="str">
        <f>'Supply planning data'!AO778</f>
        <v/>
      </c>
    </row>
    <row r="781" spans="1:39" hidden="1" x14ac:dyDescent="0.25">
      <c r="A781" s="109" t="str">
        <f>'Supply planning data'!C779</f>
        <v/>
      </c>
      <c r="B781" s="298">
        <f>'Supply planning data'!D779</f>
        <v>45748</v>
      </c>
      <c r="C781" s="105" t="str">
        <f>'Supply planning data'!E779</f>
        <v>No</v>
      </c>
      <c r="D781" s="105">
        <f>'Supply planning data'!F779</f>
        <v>0</v>
      </c>
      <c r="E781" s="320">
        <f>'Supply planning data'!G779</f>
        <v>0</v>
      </c>
      <c r="F781" s="320">
        <f>'Supply planning data'!H779</f>
        <v>0</v>
      </c>
      <c r="G781" s="320">
        <f>'Supply planning data'!I779</f>
        <v>0</v>
      </c>
      <c r="H781" s="105">
        <f>'Supply planning data'!J779</f>
        <v>0</v>
      </c>
      <c r="I781" s="320">
        <f>'Supply planning data'!K779</f>
        <v>0</v>
      </c>
      <c r="J781" s="177" t="str">
        <f>'Supply planning data'!L779</f>
        <v/>
      </c>
      <c r="K781" s="105">
        <f>'Supply planning data'!M779</f>
        <v>0</v>
      </c>
      <c r="L781" s="321">
        <f>'Supply planning data'!N779+'Supply planning data'!P779</f>
        <v>0</v>
      </c>
      <c r="M781" s="342">
        <f>'Supply planning data'!O779</f>
        <v>0</v>
      </c>
      <c r="N781" s="321">
        <f>'Supply planning data'!P779</f>
        <v>0</v>
      </c>
      <c r="O781" s="342">
        <f>'Supply planning data'!Q779</f>
        <v>0</v>
      </c>
      <c r="P781" s="111">
        <f>'Supply planning data'!R779</f>
        <v>0</v>
      </c>
      <c r="Q781" s="111">
        <f>'Supply planning data'!S779</f>
        <v>0</v>
      </c>
      <c r="R781" s="111">
        <f>'Supply planning data'!T779</f>
        <v>0</v>
      </c>
      <c r="S781" s="111">
        <f>'Supply planning data'!U779</f>
        <v>0</v>
      </c>
      <c r="T781" s="111">
        <f>'Supply planning data'!V779</f>
        <v>0</v>
      </c>
      <c r="U781" s="327" t="str">
        <f>'Supply planning data'!W779</f>
        <v/>
      </c>
      <c r="V781" s="111">
        <f>'Supply planning data'!X779</f>
        <v>0</v>
      </c>
      <c r="W781" s="321">
        <f>'Supply planning data'!Y779</f>
        <v>0</v>
      </c>
      <c r="X781" s="329">
        <f>'Supply planning data'!Z779</f>
        <v>0</v>
      </c>
      <c r="Y781" s="111">
        <f>'Supply planning data'!AA779</f>
        <v>0</v>
      </c>
      <c r="Z781" s="111">
        <f>'Supply planning data'!AB779</f>
        <v>0</v>
      </c>
      <c r="AA781" s="111">
        <f>'Supply planning data'!AC779</f>
        <v>0</v>
      </c>
      <c r="AB781" s="111">
        <f>'Supply planning data'!AD779</f>
        <v>0</v>
      </c>
      <c r="AC781" s="111">
        <f>'Supply planning data'!AE779</f>
        <v>0</v>
      </c>
      <c r="AD781" s="327" t="str">
        <f>'Supply planning data'!AF779</f>
        <v/>
      </c>
      <c r="AE781" s="111">
        <f>'Supply planning data'!AG779</f>
        <v>0</v>
      </c>
      <c r="AF781" s="321">
        <f>'Supply planning data'!AH779</f>
        <v>0</v>
      </c>
      <c r="AG781" s="349">
        <f>'Supply planning data'!AI779</f>
        <v>0</v>
      </c>
      <c r="AH781" s="111">
        <f>'Supply planning data'!AJ779</f>
        <v>0</v>
      </c>
      <c r="AI781" s="111">
        <f>'Supply planning data'!AK779</f>
        <v>0</v>
      </c>
      <c r="AJ781" s="111">
        <f>'Supply planning data'!AL779</f>
        <v>0</v>
      </c>
      <c r="AK781" s="111">
        <f>'Supply planning data'!AM779</f>
        <v>0</v>
      </c>
      <c r="AL781" s="111">
        <f>'Supply planning data'!AN779</f>
        <v>0</v>
      </c>
      <c r="AM781" s="327" t="str">
        <f>'Supply planning data'!AO779</f>
        <v/>
      </c>
    </row>
    <row r="782" spans="1:39" hidden="1" x14ac:dyDescent="0.25">
      <c r="A782" s="104" t="str">
        <f>'Supply planning data'!C780</f>
        <v/>
      </c>
      <c r="B782" s="298">
        <f>'Supply planning data'!D780</f>
        <v>45748</v>
      </c>
      <c r="C782" s="105" t="str">
        <f>'Supply planning data'!E780</f>
        <v>No</v>
      </c>
      <c r="D782" s="105">
        <f>'Supply planning data'!F780</f>
        <v>0</v>
      </c>
      <c r="E782" s="320">
        <f>'Supply planning data'!G780</f>
        <v>0</v>
      </c>
      <c r="F782" s="320">
        <f>'Supply planning data'!H780</f>
        <v>0</v>
      </c>
      <c r="G782" s="320">
        <f>'Supply planning data'!I780</f>
        <v>0</v>
      </c>
      <c r="H782" s="105">
        <f>'Supply planning data'!J780</f>
        <v>0</v>
      </c>
      <c r="I782" s="320">
        <f>'Supply planning data'!K780</f>
        <v>0</v>
      </c>
      <c r="J782" s="177" t="str">
        <f>'Supply planning data'!L780</f>
        <v/>
      </c>
      <c r="K782" s="105">
        <f>'Supply planning data'!M780</f>
        <v>0</v>
      </c>
      <c r="L782" s="321">
        <f>'Supply planning data'!N780+'Supply planning data'!P780</f>
        <v>0</v>
      </c>
      <c r="M782" s="342">
        <f>'Supply planning data'!O780</f>
        <v>0</v>
      </c>
      <c r="N782" s="321">
        <f>'Supply planning data'!P780</f>
        <v>0</v>
      </c>
      <c r="O782" s="342">
        <f>'Supply planning data'!Q780</f>
        <v>0</v>
      </c>
      <c r="P782" s="111">
        <f>'Supply planning data'!R780</f>
        <v>0</v>
      </c>
      <c r="Q782" s="111">
        <f>'Supply planning data'!S780</f>
        <v>0</v>
      </c>
      <c r="R782" s="111">
        <f>'Supply planning data'!T780</f>
        <v>0</v>
      </c>
      <c r="S782" s="111">
        <f>'Supply planning data'!U780</f>
        <v>0</v>
      </c>
      <c r="T782" s="111">
        <f>'Supply planning data'!V780</f>
        <v>0</v>
      </c>
      <c r="U782" s="327" t="str">
        <f>'Supply planning data'!W780</f>
        <v/>
      </c>
      <c r="V782" s="111">
        <f>'Supply planning data'!X780</f>
        <v>0</v>
      </c>
      <c r="W782" s="321">
        <f>'Supply planning data'!Y780</f>
        <v>0</v>
      </c>
      <c r="X782" s="329">
        <f>'Supply planning data'!Z780</f>
        <v>0</v>
      </c>
      <c r="Y782" s="111">
        <f>'Supply planning data'!AA780</f>
        <v>0</v>
      </c>
      <c r="Z782" s="111">
        <f>'Supply planning data'!AB780</f>
        <v>0</v>
      </c>
      <c r="AA782" s="111">
        <f>'Supply planning data'!AC780</f>
        <v>0</v>
      </c>
      <c r="AB782" s="111">
        <f>'Supply planning data'!AD780</f>
        <v>0</v>
      </c>
      <c r="AC782" s="111">
        <f>'Supply planning data'!AE780</f>
        <v>0</v>
      </c>
      <c r="AD782" s="327" t="str">
        <f>'Supply planning data'!AF780</f>
        <v/>
      </c>
      <c r="AE782" s="111">
        <f>'Supply planning data'!AG780</f>
        <v>0</v>
      </c>
      <c r="AF782" s="321">
        <f>'Supply planning data'!AH780</f>
        <v>0</v>
      </c>
      <c r="AG782" s="349">
        <f>'Supply planning data'!AI780</f>
        <v>0</v>
      </c>
      <c r="AH782" s="111">
        <f>'Supply planning data'!AJ780</f>
        <v>0</v>
      </c>
      <c r="AI782" s="111">
        <f>'Supply planning data'!AK780</f>
        <v>0</v>
      </c>
      <c r="AJ782" s="111">
        <f>'Supply planning data'!AL780</f>
        <v>0</v>
      </c>
      <c r="AK782" s="111">
        <f>'Supply planning data'!AM780</f>
        <v>0</v>
      </c>
      <c r="AL782" s="111">
        <f>'Supply planning data'!AN780</f>
        <v>0</v>
      </c>
      <c r="AM782" s="327" t="str">
        <f>'Supply planning data'!AO780</f>
        <v/>
      </c>
    </row>
    <row r="783" spans="1:39" hidden="1" x14ac:dyDescent="0.25">
      <c r="A783" s="109" t="str">
        <f>'Supply planning data'!C781</f>
        <v/>
      </c>
      <c r="B783" s="298">
        <f>'Supply planning data'!D781</f>
        <v>45748</v>
      </c>
      <c r="C783" s="105" t="str">
        <f>'Supply planning data'!E781</f>
        <v>No</v>
      </c>
      <c r="D783" s="105">
        <f>'Supply planning data'!F781</f>
        <v>0</v>
      </c>
      <c r="E783" s="320">
        <f>'Supply planning data'!G781</f>
        <v>0</v>
      </c>
      <c r="F783" s="320">
        <f>'Supply planning data'!H781</f>
        <v>0</v>
      </c>
      <c r="G783" s="320">
        <f>'Supply planning data'!I781</f>
        <v>0</v>
      </c>
      <c r="H783" s="105">
        <f>'Supply planning data'!J781</f>
        <v>0</v>
      </c>
      <c r="I783" s="320">
        <f>'Supply planning data'!K781</f>
        <v>0</v>
      </c>
      <c r="J783" s="177" t="str">
        <f>'Supply planning data'!L781</f>
        <v/>
      </c>
      <c r="K783" s="105">
        <f>'Supply planning data'!M781</f>
        <v>0</v>
      </c>
      <c r="L783" s="321">
        <f>'Supply planning data'!N781+'Supply planning data'!P781</f>
        <v>0</v>
      </c>
      <c r="M783" s="342">
        <f>'Supply planning data'!O781</f>
        <v>0</v>
      </c>
      <c r="N783" s="321">
        <f>'Supply planning data'!P781</f>
        <v>0</v>
      </c>
      <c r="O783" s="342">
        <f>'Supply planning data'!Q781</f>
        <v>0</v>
      </c>
      <c r="P783" s="111">
        <f>'Supply planning data'!R781</f>
        <v>0</v>
      </c>
      <c r="Q783" s="111">
        <f>'Supply planning data'!S781</f>
        <v>0</v>
      </c>
      <c r="R783" s="111">
        <f>'Supply planning data'!T781</f>
        <v>0</v>
      </c>
      <c r="S783" s="111">
        <f>'Supply planning data'!U781</f>
        <v>0</v>
      </c>
      <c r="T783" s="111">
        <f>'Supply planning data'!V781</f>
        <v>0</v>
      </c>
      <c r="U783" s="327" t="str">
        <f>'Supply planning data'!W781</f>
        <v/>
      </c>
      <c r="V783" s="111">
        <f>'Supply planning data'!X781</f>
        <v>0</v>
      </c>
      <c r="W783" s="321">
        <f>'Supply planning data'!Y781</f>
        <v>0</v>
      </c>
      <c r="X783" s="329">
        <f>'Supply planning data'!Z781</f>
        <v>0</v>
      </c>
      <c r="Y783" s="111">
        <f>'Supply planning data'!AA781</f>
        <v>0</v>
      </c>
      <c r="Z783" s="111">
        <f>'Supply planning data'!AB781</f>
        <v>0</v>
      </c>
      <c r="AA783" s="111">
        <f>'Supply planning data'!AC781</f>
        <v>0</v>
      </c>
      <c r="AB783" s="111">
        <f>'Supply planning data'!AD781</f>
        <v>0</v>
      </c>
      <c r="AC783" s="111">
        <f>'Supply planning data'!AE781</f>
        <v>0</v>
      </c>
      <c r="AD783" s="327" t="str">
        <f>'Supply planning data'!AF781</f>
        <v/>
      </c>
      <c r="AE783" s="111">
        <f>'Supply planning data'!AG781</f>
        <v>0</v>
      </c>
      <c r="AF783" s="321">
        <f>'Supply planning data'!AH781</f>
        <v>0</v>
      </c>
      <c r="AG783" s="349">
        <f>'Supply planning data'!AI781</f>
        <v>0</v>
      </c>
      <c r="AH783" s="111">
        <f>'Supply planning data'!AJ781</f>
        <v>0</v>
      </c>
      <c r="AI783" s="111">
        <f>'Supply planning data'!AK781</f>
        <v>0</v>
      </c>
      <c r="AJ783" s="111">
        <f>'Supply planning data'!AL781</f>
        <v>0</v>
      </c>
      <c r="AK783" s="111">
        <f>'Supply planning data'!AM781</f>
        <v>0</v>
      </c>
      <c r="AL783" s="111">
        <f>'Supply planning data'!AN781</f>
        <v>0</v>
      </c>
      <c r="AM783" s="327" t="str">
        <f>'Supply planning data'!AO781</f>
        <v/>
      </c>
    </row>
    <row r="784" spans="1:39" hidden="1" x14ac:dyDescent="0.25">
      <c r="A784" s="104" t="str">
        <f>'Supply planning data'!C782</f>
        <v/>
      </c>
      <c r="B784" s="298">
        <f>'Supply planning data'!D782</f>
        <v>45748</v>
      </c>
      <c r="C784" s="105" t="str">
        <f>'Supply planning data'!E782</f>
        <v>No</v>
      </c>
      <c r="D784" s="105">
        <f>'Supply planning data'!F782</f>
        <v>0</v>
      </c>
      <c r="E784" s="320">
        <f>'Supply planning data'!G782</f>
        <v>0</v>
      </c>
      <c r="F784" s="320">
        <f>'Supply planning data'!H782</f>
        <v>0</v>
      </c>
      <c r="G784" s="320">
        <f>'Supply planning data'!I782</f>
        <v>0</v>
      </c>
      <c r="H784" s="105">
        <f>'Supply planning data'!J782</f>
        <v>0</v>
      </c>
      <c r="I784" s="320">
        <f>'Supply planning data'!K782</f>
        <v>0</v>
      </c>
      <c r="J784" s="177" t="str">
        <f>'Supply planning data'!L782</f>
        <v/>
      </c>
      <c r="K784" s="105">
        <f>'Supply planning data'!M782</f>
        <v>0</v>
      </c>
      <c r="L784" s="321">
        <f>'Supply planning data'!N782+'Supply planning data'!P782</f>
        <v>0</v>
      </c>
      <c r="M784" s="342">
        <f>'Supply planning data'!O782</f>
        <v>0</v>
      </c>
      <c r="N784" s="321">
        <f>'Supply planning data'!P782</f>
        <v>0</v>
      </c>
      <c r="O784" s="342">
        <f>'Supply planning data'!Q782</f>
        <v>0</v>
      </c>
      <c r="P784" s="111">
        <f>'Supply planning data'!R782</f>
        <v>0</v>
      </c>
      <c r="Q784" s="111">
        <f>'Supply planning data'!S782</f>
        <v>0</v>
      </c>
      <c r="R784" s="111">
        <f>'Supply planning data'!T782</f>
        <v>0</v>
      </c>
      <c r="S784" s="111">
        <f>'Supply planning data'!U782</f>
        <v>0</v>
      </c>
      <c r="T784" s="111">
        <f>'Supply planning data'!V782</f>
        <v>0</v>
      </c>
      <c r="U784" s="327" t="str">
        <f>'Supply planning data'!W782</f>
        <v/>
      </c>
      <c r="V784" s="111">
        <f>'Supply planning data'!X782</f>
        <v>0</v>
      </c>
      <c r="W784" s="321">
        <f>'Supply planning data'!Y782</f>
        <v>0</v>
      </c>
      <c r="X784" s="329">
        <f>'Supply planning data'!Z782</f>
        <v>0</v>
      </c>
      <c r="Y784" s="111">
        <f>'Supply planning data'!AA782</f>
        <v>0</v>
      </c>
      <c r="Z784" s="111">
        <f>'Supply planning data'!AB782</f>
        <v>0</v>
      </c>
      <c r="AA784" s="111">
        <f>'Supply planning data'!AC782</f>
        <v>0</v>
      </c>
      <c r="AB784" s="111">
        <f>'Supply planning data'!AD782</f>
        <v>0</v>
      </c>
      <c r="AC784" s="111">
        <f>'Supply planning data'!AE782</f>
        <v>0</v>
      </c>
      <c r="AD784" s="327" t="str">
        <f>'Supply planning data'!AF782</f>
        <v/>
      </c>
      <c r="AE784" s="111">
        <f>'Supply planning data'!AG782</f>
        <v>0</v>
      </c>
      <c r="AF784" s="321">
        <f>'Supply planning data'!AH782</f>
        <v>0</v>
      </c>
      <c r="AG784" s="349">
        <f>'Supply planning data'!AI782</f>
        <v>0</v>
      </c>
      <c r="AH784" s="111">
        <f>'Supply planning data'!AJ782</f>
        <v>0</v>
      </c>
      <c r="AI784" s="111">
        <f>'Supply planning data'!AK782</f>
        <v>0</v>
      </c>
      <c r="AJ784" s="111">
        <f>'Supply planning data'!AL782</f>
        <v>0</v>
      </c>
      <c r="AK784" s="111">
        <f>'Supply planning data'!AM782</f>
        <v>0</v>
      </c>
      <c r="AL784" s="111">
        <f>'Supply planning data'!AN782</f>
        <v>0</v>
      </c>
      <c r="AM784" s="327" t="str">
        <f>'Supply planning data'!AO782</f>
        <v/>
      </c>
    </row>
    <row r="785" spans="1:39" hidden="1" x14ac:dyDescent="0.25">
      <c r="A785" s="109" t="str">
        <f>'Supply planning data'!C783</f>
        <v/>
      </c>
      <c r="B785" s="298">
        <f>'Supply planning data'!D783</f>
        <v>45748</v>
      </c>
      <c r="C785" s="105" t="str">
        <f>'Supply planning data'!E783</f>
        <v>No</v>
      </c>
      <c r="D785" s="105">
        <f>'Supply planning data'!F783</f>
        <v>0</v>
      </c>
      <c r="E785" s="320">
        <f>'Supply planning data'!G783</f>
        <v>0</v>
      </c>
      <c r="F785" s="320">
        <f>'Supply planning data'!H783</f>
        <v>0</v>
      </c>
      <c r="G785" s="320">
        <f>'Supply planning data'!I783</f>
        <v>0</v>
      </c>
      <c r="H785" s="105">
        <f>'Supply planning data'!J783</f>
        <v>0</v>
      </c>
      <c r="I785" s="320">
        <f>'Supply planning data'!K783</f>
        <v>0</v>
      </c>
      <c r="J785" s="177" t="str">
        <f>'Supply planning data'!L783</f>
        <v/>
      </c>
      <c r="K785" s="105">
        <f>'Supply planning data'!M783</f>
        <v>0</v>
      </c>
      <c r="L785" s="321">
        <f>'Supply planning data'!N783+'Supply planning data'!P783</f>
        <v>0</v>
      </c>
      <c r="M785" s="342">
        <f>'Supply planning data'!O783</f>
        <v>0</v>
      </c>
      <c r="N785" s="321">
        <f>'Supply planning data'!P783</f>
        <v>0</v>
      </c>
      <c r="O785" s="342">
        <f>'Supply planning data'!Q783</f>
        <v>0</v>
      </c>
      <c r="P785" s="111">
        <f>'Supply planning data'!R783</f>
        <v>0</v>
      </c>
      <c r="Q785" s="111">
        <f>'Supply planning data'!S783</f>
        <v>0</v>
      </c>
      <c r="R785" s="111">
        <f>'Supply planning data'!T783</f>
        <v>0</v>
      </c>
      <c r="S785" s="111">
        <f>'Supply planning data'!U783</f>
        <v>0</v>
      </c>
      <c r="T785" s="111">
        <f>'Supply planning data'!V783</f>
        <v>0</v>
      </c>
      <c r="U785" s="327" t="str">
        <f>'Supply planning data'!W783</f>
        <v/>
      </c>
      <c r="V785" s="111">
        <f>'Supply planning data'!X783</f>
        <v>0</v>
      </c>
      <c r="W785" s="321">
        <f>'Supply planning data'!Y783</f>
        <v>0</v>
      </c>
      <c r="X785" s="329">
        <f>'Supply planning data'!Z783</f>
        <v>0</v>
      </c>
      <c r="Y785" s="111">
        <f>'Supply planning data'!AA783</f>
        <v>0</v>
      </c>
      <c r="Z785" s="111">
        <f>'Supply planning data'!AB783</f>
        <v>0</v>
      </c>
      <c r="AA785" s="111">
        <f>'Supply planning data'!AC783</f>
        <v>0</v>
      </c>
      <c r="AB785" s="111">
        <f>'Supply planning data'!AD783</f>
        <v>0</v>
      </c>
      <c r="AC785" s="111">
        <f>'Supply planning data'!AE783</f>
        <v>0</v>
      </c>
      <c r="AD785" s="327" t="str">
        <f>'Supply planning data'!AF783</f>
        <v/>
      </c>
      <c r="AE785" s="111">
        <f>'Supply planning data'!AG783</f>
        <v>0</v>
      </c>
      <c r="AF785" s="321">
        <f>'Supply planning data'!AH783</f>
        <v>0</v>
      </c>
      <c r="AG785" s="349">
        <f>'Supply planning data'!AI783</f>
        <v>0</v>
      </c>
      <c r="AH785" s="111">
        <f>'Supply planning data'!AJ783</f>
        <v>0</v>
      </c>
      <c r="AI785" s="111">
        <f>'Supply planning data'!AK783</f>
        <v>0</v>
      </c>
      <c r="AJ785" s="111">
        <f>'Supply planning data'!AL783</f>
        <v>0</v>
      </c>
      <c r="AK785" s="111">
        <f>'Supply planning data'!AM783</f>
        <v>0</v>
      </c>
      <c r="AL785" s="111">
        <f>'Supply planning data'!AN783</f>
        <v>0</v>
      </c>
      <c r="AM785" s="327" t="str">
        <f>'Supply planning data'!AO783</f>
        <v/>
      </c>
    </row>
    <row r="786" spans="1:39" hidden="1" x14ac:dyDescent="0.25">
      <c r="A786" s="104" t="str">
        <f>'Supply planning data'!C784</f>
        <v/>
      </c>
      <c r="B786" s="298">
        <f>'Supply planning data'!D784</f>
        <v>45748</v>
      </c>
      <c r="C786" s="105" t="str">
        <f>'Supply planning data'!E784</f>
        <v>No</v>
      </c>
      <c r="D786" s="105">
        <f>'Supply planning data'!F784</f>
        <v>0</v>
      </c>
      <c r="E786" s="320">
        <f>'Supply planning data'!G784</f>
        <v>0</v>
      </c>
      <c r="F786" s="320">
        <f>'Supply planning data'!H784</f>
        <v>0</v>
      </c>
      <c r="G786" s="320">
        <f>'Supply planning data'!I784</f>
        <v>0</v>
      </c>
      <c r="H786" s="105">
        <f>'Supply planning data'!J784</f>
        <v>0</v>
      </c>
      <c r="I786" s="320">
        <f>'Supply planning data'!K784</f>
        <v>0</v>
      </c>
      <c r="J786" s="177" t="str">
        <f>'Supply planning data'!L784</f>
        <v/>
      </c>
      <c r="K786" s="105">
        <f>'Supply planning data'!M784</f>
        <v>0</v>
      </c>
      <c r="L786" s="321">
        <f>'Supply planning data'!N784+'Supply planning data'!P784</f>
        <v>0</v>
      </c>
      <c r="M786" s="342">
        <f>'Supply planning data'!O784</f>
        <v>0</v>
      </c>
      <c r="N786" s="321">
        <f>'Supply planning data'!P784</f>
        <v>0</v>
      </c>
      <c r="O786" s="342">
        <f>'Supply planning data'!Q784</f>
        <v>0</v>
      </c>
      <c r="P786" s="111">
        <f>'Supply planning data'!R784</f>
        <v>0</v>
      </c>
      <c r="Q786" s="111">
        <f>'Supply planning data'!S784</f>
        <v>0</v>
      </c>
      <c r="R786" s="111">
        <f>'Supply planning data'!T784</f>
        <v>0</v>
      </c>
      <c r="S786" s="111">
        <f>'Supply planning data'!U784</f>
        <v>0</v>
      </c>
      <c r="T786" s="111">
        <f>'Supply planning data'!V784</f>
        <v>0</v>
      </c>
      <c r="U786" s="327" t="str">
        <f>'Supply planning data'!W784</f>
        <v/>
      </c>
      <c r="V786" s="111">
        <f>'Supply planning data'!X784</f>
        <v>0</v>
      </c>
      <c r="W786" s="321">
        <f>'Supply planning data'!Y784</f>
        <v>0</v>
      </c>
      <c r="X786" s="329">
        <f>'Supply planning data'!Z784</f>
        <v>0</v>
      </c>
      <c r="Y786" s="111">
        <f>'Supply planning data'!AA784</f>
        <v>0</v>
      </c>
      <c r="Z786" s="111">
        <f>'Supply planning data'!AB784</f>
        <v>0</v>
      </c>
      <c r="AA786" s="111">
        <f>'Supply planning data'!AC784</f>
        <v>0</v>
      </c>
      <c r="AB786" s="111">
        <f>'Supply planning data'!AD784</f>
        <v>0</v>
      </c>
      <c r="AC786" s="111">
        <f>'Supply planning data'!AE784</f>
        <v>0</v>
      </c>
      <c r="AD786" s="327" t="str">
        <f>'Supply planning data'!AF784</f>
        <v/>
      </c>
      <c r="AE786" s="111">
        <f>'Supply planning data'!AG784</f>
        <v>0</v>
      </c>
      <c r="AF786" s="321">
        <f>'Supply planning data'!AH784</f>
        <v>0</v>
      </c>
      <c r="AG786" s="349">
        <f>'Supply planning data'!AI784</f>
        <v>0</v>
      </c>
      <c r="AH786" s="111">
        <f>'Supply planning data'!AJ784</f>
        <v>0</v>
      </c>
      <c r="AI786" s="111">
        <f>'Supply planning data'!AK784</f>
        <v>0</v>
      </c>
      <c r="AJ786" s="111">
        <f>'Supply planning data'!AL784</f>
        <v>0</v>
      </c>
      <c r="AK786" s="111">
        <f>'Supply planning data'!AM784</f>
        <v>0</v>
      </c>
      <c r="AL786" s="111">
        <f>'Supply planning data'!AN784</f>
        <v>0</v>
      </c>
      <c r="AM786" s="327" t="str">
        <f>'Supply planning data'!AO784</f>
        <v/>
      </c>
    </row>
    <row r="787" spans="1:39" x14ac:dyDescent="0.25">
      <c r="A787" s="90" t="str">
        <f>'Supply planning data'!C785</f>
        <v>AstraZeneca</v>
      </c>
      <c r="B787" s="296">
        <f>'Supply planning data'!D785</f>
        <v>45778</v>
      </c>
      <c r="C787" s="92" t="str">
        <f>'Supply planning data'!E785</f>
        <v>Yes</v>
      </c>
      <c r="D787" s="92">
        <f>'Supply planning data'!F785</f>
        <v>0</v>
      </c>
      <c r="E787" s="316">
        <f>'Supply planning data'!G785</f>
        <v>0</v>
      </c>
      <c r="F787" s="316">
        <f>'Supply planning data'!H785</f>
        <v>0</v>
      </c>
      <c r="G787" s="316">
        <f>'Supply planning data'!I785</f>
        <v>0</v>
      </c>
      <c r="H787" s="92">
        <f>'Supply planning data'!J785</f>
        <v>0</v>
      </c>
      <c r="I787" s="316">
        <f>'Supply planning data'!K785</f>
        <v>0</v>
      </c>
      <c r="J787" s="174" t="str">
        <f>'Supply planning data'!L785</f>
        <v/>
      </c>
      <c r="K787" s="92">
        <f>'Supply planning data'!M785</f>
        <v>0</v>
      </c>
      <c r="L787" s="316">
        <f>'Supply planning data'!N785+'Supply planning data'!P785</f>
        <v>0</v>
      </c>
      <c r="M787" s="343">
        <f>'Supply planning data'!O785</f>
        <v>0</v>
      </c>
      <c r="N787" s="316">
        <f>'Supply planning data'!P785</f>
        <v>0</v>
      </c>
      <c r="O787" s="343">
        <f>'Supply planning data'!Q785</f>
        <v>0</v>
      </c>
      <c r="P787" s="92">
        <f>'Supply planning data'!R785</f>
        <v>0</v>
      </c>
      <c r="Q787" s="92">
        <f>'Supply planning data'!S785</f>
        <v>0</v>
      </c>
      <c r="R787" s="92">
        <f>'Supply planning data'!T785</f>
        <v>0</v>
      </c>
      <c r="S787" s="92">
        <f>'Supply planning data'!U785</f>
        <v>0</v>
      </c>
      <c r="T787" s="92">
        <f>'Supply planning data'!V785</f>
        <v>0</v>
      </c>
      <c r="U787" s="324" t="str">
        <f>'Supply planning data'!W785</f>
        <v/>
      </c>
      <c r="V787" s="92">
        <f>'Supply planning data'!X785</f>
        <v>154701</v>
      </c>
      <c r="W787" s="316">
        <f>'Supply planning data'!Y785</f>
        <v>0</v>
      </c>
      <c r="X787" s="328">
        <f>'Supply planning data'!Z785</f>
        <v>0</v>
      </c>
      <c r="Y787" s="92">
        <f>'Supply planning data'!AA785</f>
        <v>0</v>
      </c>
      <c r="Z787" s="92">
        <f>'Supply planning data'!AB785</f>
        <v>0</v>
      </c>
      <c r="AA787" s="92">
        <f>'Supply planning data'!AC785</f>
        <v>0</v>
      </c>
      <c r="AB787" s="92">
        <f>'Supply planning data'!AD785</f>
        <v>0</v>
      </c>
      <c r="AC787" s="92">
        <f>'Supply planning data'!AE785</f>
        <v>154701</v>
      </c>
      <c r="AD787" s="324" t="str">
        <f>'Supply planning data'!AF785</f>
        <v/>
      </c>
      <c r="AE787" s="92">
        <f>'Supply planning data'!AG785</f>
        <v>0</v>
      </c>
      <c r="AF787" s="316">
        <f>'Supply planning data'!AH785</f>
        <v>0</v>
      </c>
      <c r="AG787" s="174">
        <f>'Supply planning data'!AI785</f>
        <v>0</v>
      </c>
      <c r="AH787" s="92">
        <f>'Supply planning data'!AJ785</f>
        <v>0</v>
      </c>
      <c r="AI787" s="92">
        <f>'Supply planning data'!AK785</f>
        <v>0</v>
      </c>
      <c r="AJ787" s="92">
        <f>'Supply planning data'!AL785</f>
        <v>0</v>
      </c>
      <c r="AK787" s="92">
        <f>'Supply planning data'!AM785</f>
        <v>0</v>
      </c>
      <c r="AL787" s="92">
        <f>'Supply planning data'!AN785</f>
        <v>0</v>
      </c>
      <c r="AM787" s="324" t="str">
        <f>'Supply planning data'!AO785</f>
        <v/>
      </c>
    </row>
    <row r="788" spans="1:39" x14ac:dyDescent="0.25">
      <c r="A788" s="90" t="str">
        <f>'Supply planning data'!C786</f>
        <v>Jansen</v>
      </c>
      <c r="B788" s="296">
        <f>'Supply planning data'!D786</f>
        <v>45778</v>
      </c>
      <c r="C788" s="92" t="str">
        <f>'Supply planning data'!E786</f>
        <v>Yes</v>
      </c>
      <c r="D788" s="92">
        <f>'Supply planning data'!F786</f>
        <v>1871200</v>
      </c>
      <c r="E788" s="316">
        <f>'Supply planning data'!G786</f>
        <v>0</v>
      </c>
      <c r="F788" s="317">
        <f>'Supply planning data'!H786</f>
        <v>0</v>
      </c>
      <c r="G788" s="317">
        <f>'Supply planning data'!I786</f>
        <v>0</v>
      </c>
      <c r="H788" s="98">
        <f>'Supply planning data'!J786</f>
        <v>0</v>
      </c>
      <c r="I788" s="317">
        <f>'Supply planning data'!K786</f>
        <v>0</v>
      </c>
      <c r="J788" s="175" t="str">
        <f>'Supply planning data'!L786</f>
        <v/>
      </c>
      <c r="K788" s="98">
        <f>'Supply planning data'!M786</f>
        <v>0</v>
      </c>
      <c r="L788" s="317">
        <f>'Supply planning data'!N786+'Supply planning data'!P786</f>
        <v>0</v>
      </c>
      <c r="M788" s="339">
        <f>'Supply planning data'!O786</f>
        <v>0</v>
      </c>
      <c r="N788" s="317">
        <f>'Supply planning data'!P786</f>
        <v>0</v>
      </c>
      <c r="O788" s="339">
        <f>'Supply planning data'!Q786</f>
        <v>0</v>
      </c>
      <c r="P788" s="98">
        <f>'Supply planning data'!R786</f>
        <v>0</v>
      </c>
      <c r="Q788" s="98">
        <f>'Supply planning data'!S786</f>
        <v>0</v>
      </c>
      <c r="R788" s="98">
        <f>'Supply planning data'!T786</f>
        <v>387547</v>
      </c>
      <c r="S788" s="98">
        <f>'Supply planning data'!U786</f>
        <v>0</v>
      </c>
      <c r="T788" s="98">
        <f>'Supply planning data'!V786</f>
        <v>1871200</v>
      </c>
      <c r="U788" s="325" t="str">
        <f>'Supply planning data'!W786</f>
        <v/>
      </c>
      <c r="V788" s="98">
        <f>'Supply planning data'!X786</f>
        <v>1311200</v>
      </c>
      <c r="W788" s="317">
        <f>'Supply planning data'!Y786</f>
        <v>0</v>
      </c>
      <c r="X788" s="328">
        <f>'Supply planning data'!Z786</f>
        <v>0</v>
      </c>
      <c r="Y788" s="98">
        <f>'Supply planning data'!AA786</f>
        <v>0</v>
      </c>
      <c r="Z788" s="98">
        <f>'Supply planning data'!AB786</f>
        <v>0</v>
      </c>
      <c r="AA788" s="98">
        <f>'Supply planning data'!AC786</f>
        <v>0</v>
      </c>
      <c r="AB788" s="98">
        <f>'Supply planning data'!AD786</f>
        <v>0</v>
      </c>
      <c r="AC788" s="98">
        <f>'Supply planning data'!AE786</f>
        <v>1311200</v>
      </c>
      <c r="AD788" s="325" t="str">
        <f>'Supply planning data'!AF786</f>
        <v/>
      </c>
      <c r="AE788" s="98">
        <f>'Supply planning data'!AG786</f>
        <v>1871200</v>
      </c>
      <c r="AF788" s="317">
        <f>'Supply planning data'!AH786</f>
        <v>0</v>
      </c>
      <c r="AG788" s="175">
        <f>'Supply planning data'!AI786</f>
        <v>0</v>
      </c>
      <c r="AH788" s="98">
        <f>'Supply planning data'!AJ786</f>
        <v>0</v>
      </c>
      <c r="AI788" s="98">
        <f>'Supply planning data'!AK786</f>
        <v>0</v>
      </c>
      <c r="AJ788" s="98">
        <f>'Supply planning data'!AL786</f>
        <v>387547</v>
      </c>
      <c r="AK788" s="98">
        <f>'Supply planning data'!AM786</f>
        <v>0</v>
      </c>
      <c r="AL788" s="98">
        <f>'Supply planning data'!AN786</f>
        <v>1871200</v>
      </c>
      <c r="AM788" s="325" t="str">
        <f>'Supply planning data'!AO786</f>
        <v/>
      </c>
    </row>
    <row r="789" spans="1:39" x14ac:dyDescent="0.25">
      <c r="A789" s="90" t="str">
        <f>'Supply planning data'!C787</f>
        <v>Moderna</v>
      </c>
      <c r="B789" s="296">
        <f>'Supply planning data'!D787</f>
        <v>45778</v>
      </c>
      <c r="C789" s="92" t="str">
        <f>'Supply planning data'!E787</f>
        <v>No</v>
      </c>
      <c r="D789" s="92">
        <f>'Supply planning data'!F787</f>
        <v>0</v>
      </c>
      <c r="E789" s="316">
        <f>'Supply planning data'!G787</f>
        <v>0</v>
      </c>
      <c r="F789" s="317">
        <f>'Supply planning data'!H787</f>
        <v>0</v>
      </c>
      <c r="G789" s="317">
        <f>'Supply planning data'!I787</f>
        <v>0</v>
      </c>
      <c r="H789" s="98">
        <f>'Supply planning data'!J787</f>
        <v>0</v>
      </c>
      <c r="I789" s="317">
        <f>'Supply planning data'!K787</f>
        <v>0</v>
      </c>
      <c r="J789" s="175" t="str">
        <f>'Supply planning data'!L787</f>
        <v/>
      </c>
      <c r="K789" s="98">
        <f>'Supply planning data'!M787</f>
        <v>0</v>
      </c>
      <c r="L789" s="317">
        <f>'Supply planning data'!N787+'Supply planning data'!P787</f>
        <v>0</v>
      </c>
      <c r="M789" s="339">
        <f>'Supply planning data'!O787</f>
        <v>0</v>
      </c>
      <c r="N789" s="317">
        <f>'Supply planning data'!P787</f>
        <v>0</v>
      </c>
      <c r="O789" s="339">
        <f>'Supply planning data'!Q787</f>
        <v>0</v>
      </c>
      <c r="P789" s="98">
        <f>'Supply planning data'!R787</f>
        <v>0</v>
      </c>
      <c r="Q789" s="98">
        <f>'Supply planning data'!S787</f>
        <v>0</v>
      </c>
      <c r="R789" s="98">
        <f>'Supply planning data'!T787</f>
        <v>0</v>
      </c>
      <c r="S789" s="98">
        <f>'Supply planning data'!U787</f>
        <v>0</v>
      </c>
      <c r="T789" s="98">
        <f>'Supply planning data'!V787</f>
        <v>0</v>
      </c>
      <c r="U789" s="325" t="str">
        <f>'Supply planning data'!W787</f>
        <v/>
      </c>
      <c r="V789" s="98">
        <f>'Supply planning data'!X787</f>
        <v>0</v>
      </c>
      <c r="W789" s="317">
        <f>'Supply planning data'!Y787</f>
        <v>0</v>
      </c>
      <c r="X789" s="328">
        <f>'Supply planning data'!Z787</f>
        <v>0</v>
      </c>
      <c r="Y789" s="98">
        <f>'Supply planning data'!AA787</f>
        <v>0</v>
      </c>
      <c r="Z789" s="98">
        <f>'Supply planning data'!AB787</f>
        <v>0</v>
      </c>
      <c r="AA789" s="98">
        <f>'Supply planning data'!AC787</f>
        <v>0</v>
      </c>
      <c r="AB789" s="98">
        <f>'Supply planning data'!AD787</f>
        <v>0</v>
      </c>
      <c r="AC789" s="98">
        <f>'Supply planning data'!AE787</f>
        <v>0</v>
      </c>
      <c r="AD789" s="325" t="str">
        <f>'Supply planning data'!AF787</f>
        <v/>
      </c>
      <c r="AE789" s="98">
        <f>'Supply planning data'!AG787</f>
        <v>0</v>
      </c>
      <c r="AF789" s="317">
        <f>'Supply planning data'!AH787</f>
        <v>0</v>
      </c>
      <c r="AG789" s="175">
        <f>'Supply planning data'!AI787</f>
        <v>0</v>
      </c>
      <c r="AH789" s="98">
        <f>'Supply planning data'!AJ787</f>
        <v>0</v>
      </c>
      <c r="AI789" s="98">
        <f>'Supply planning data'!AK787</f>
        <v>0</v>
      </c>
      <c r="AJ789" s="98">
        <f>'Supply planning data'!AL787</f>
        <v>0</v>
      </c>
      <c r="AK789" s="98">
        <f>'Supply planning data'!AM787</f>
        <v>0</v>
      </c>
      <c r="AL789" s="98">
        <f>'Supply planning data'!AN787</f>
        <v>0</v>
      </c>
      <c r="AM789" s="325" t="str">
        <f>'Supply planning data'!AO787</f>
        <v/>
      </c>
    </row>
    <row r="790" spans="1:39" x14ac:dyDescent="0.25">
      <c r="A790" s="90" t="str">
        <f>'Supply planning data'!C788</f>
        <v>Pfizer</v>
      </c>
      <c r="B790" s="296">
        <f>'Supply planning data'!D788</f>
        <v>45778</v>
      </c>
      <c r="C790" s="92" t="str">
        <f>'Supply planning data'!E788</f>
        <v>Yes</v>
      </c>
      <c r="D790" s="92">
        <f>'Supply planning data'!F788</f>
        <v>3000000</v>
      </c>
      <c r="E790" s="316">
        <f>'Supply planning data'!G788</f>
        <v>0</v>
      </c>
      <c r="F790" s="317">
        <f>'Supply planning data'!H788</f>
        <v>0</v>
      </c>
      <c r="G790" s="317">
        <f>'Supply planning data'!I788</f>
        <v>0</v>
      </c>
      <c r="H790" s="98">
        <f>'Supply planning data'!J788</f>
        <v>0</v>
      </c>
      <c r="I790" s="317">
        <f>'Supply planning data'!K788</f>
        <v>0</v>
      </c>
      <c r="J790" s="175" t="str">
        <f>'Supply planning data'!L788</f>
        <v/>
      </c>
      <c r="K790" s="98">
        <f>'Supply planning data'!M788</f>
        <v>0</v>
      </c>
      <c r="L790" s="317">
        <f>'Supply planning data'!N788+'Supply planning data'!P788</f>
        <v>0</v>
      </c>
      <c r="M790" s="339">
        <f>'Supply planning data'!O788</f>
        <v>0</v>
      </c>
      <c r="N790" s="317">
        <f>'Supply planning data'!P788</f>
        <v>0</v>
      </c>
      <c r="O790" s="339">
        <f>'Supply planning data'!Q788</f>
        <v>0</v>
      </c>
      <c r="P790" s="98">
        <f>'Supply planning data'!R788</f>
        <v>0</v>
      </c>
      <c r="Q790" s="98">
        <f>'Supply planning data'!S788</f>
        <v>0</v>
      </c>
      <c r="R790" s="98">
        <f>'Supply planning data'!T788</f>
        <v>110538</v>
      </c>
      <c r="S790" s="98">
        <f>'Supply planning data'!U788</f>
        <v>0</v>
      </c>
      <c r="T790" s="98">
        <f>'Supply planning data'!V788</f>
        <v>3000000</v>
      </c>
      <c r="U790" s="325" t="str">
        <f>'Supply planning data'!W788</f>
        <v/>
      </c>
      <c r="V790" s="98">
        <f>'Supply planning data'!X788</f>
        <v>2440000</v>
      </c>
      <c r="W790" s="317">
        <f>'Supply planning data'!Y788</f>
        <v>0</v>
      </c>
      <c r="X790" s="328">
        <f>'Supply planning data'!Z788</f>
        <v>0</v>
      </c>
      <c r="Y790" s="98">
        <f>'Supply planning data'!AA788</f>
        <v>0</v>
      </c>
      <c r="Z790" s="98">
        <f>'Supply planning data'!AB788</f>
        <v>0</v>
      </c>
      <c r="AA790" s="98">
        <f>'Supply planning data'!AC788</f>
        <v>0</v>
      </c>
      <c r="AB790" s="98">
        <f>'Supply planning data'!AD788</f>
        <v>0</v>
      </c>
      <c r="AC790" s="98">
        <f>'Supply planning data'!AE788</f>
        <v>2440000</v>
      </c>
      <c r="AD790" s="325" t="str">
        <f>'Supply planning data'!AF788</f>
        <v/>
      </c>
      <c r="AE790" s="98">
        <f>'Supply planning data'!AG788</f>
        <v>3000000</v>
      </c>
      <c r="AF790" s="317">
        <f>'Supply planning data'!AH788</f>
        <v>0</v>
      </c>
      <c r="AG790" s="175">
        <f>'Supply planning data'!AI788</f>
        <v>0</v>
      </c>
      <c r="AH790" s="98">
        <f>'Supply planning data'!AJ788</f>
        <v>0</v>
      </c>
      <c r="AI790" s="98">
        <f>'Supply planning data'!AK788</f>
        <v>0</v>
      </c>
      <c r="AJ790" s="98">
        <f>'Supply planning data'!AL788</f>
        <v>110538</v>
      </c>
      <c r="AK790" s="98">
        <f>'Supply planning data'!AM788</f>
        <v>0</v>
      </c>
      <c r="AL790" s="98">
        <f>'Supply planning data'!AN788</f>
        <v>3000000</v>
      </c>
      <c r="AM790" s="325" t="str">
        <f>'Supply planning data'!AO788</f>
        <v/>
      </c>
    </row>
    <row r="791" spans="1:39" x14ac:dyDescent="0.25">
      <c r="A791" s="90" t="str">
        <f>'Supply planning data'!C789</f>
        <v>Sinovac</v>
      </c>
      <c r="B791" s="296">
        <f>'Supply planning data'!D789</f>
        <v>45778</v>
      </c>
      <c r="C791" s="92" t="str">
        <f>'Supply planning data'!E789</f>
        <v>No</v>
      </c>
      <c r="D791" s="92">
        <f>'Supply planning data'!F789</f>
        <v>0</v>
      </c>
      <c r="E791" s="316">
        <f>'Supply planning data'!G789</f>
        <v>0</v>
      </c>
      <c r="F791" s="317">
        <f>'Supply planning data'!H789</f>
        <v>0</v>
      </c>
      <c r="G791" s="317">
        <f>'Supply planning data'!I789</f>
        <v>0</v>
      </c>
      <c r="H791" s="98">
        <f>'Supply planning data'!J789</f>
        <v>0</v>
      </c>
      <c r="I791" s="317">
        <f>'Supply planning data'!K789</f>
        <v>0</v>
      </c>
      <c r="J791" s="175" t="str">
        <f>'Supply planning data'!L789</f>
        <v/>
      </c>
      <c r="K791" s="98">
        <f>'Supply planning data'!M789</f>
        <v>0</v>
      </c>
      <c r="L791" s="317">
        <f>'Supply planning data'!N789+'Supply planning data'!P789</f>
        <v>0</v>
      </c>
      <c r="M791" s="339">
        <f>'Supply planning data'!O789</f>
        <v>0</v>
      </c>
      <c r="N791" s="317">
        <f>'Supply planning data'!P789</f>
        <v>0</v>
      </c>
      <c r="O791" s="339">
        <f>'Supply planning data'!Q789</f>
        <v>0</v>
      </c>
      <c r="P791" s="98">
        <f>'Supply planning data'!R789</f>
        <v>0</v>
      </c>
      <c r="Q791" s="98">
        <f>'Supply planning data'!S789</f>
        <v>0</v>
      </c>
      <c r="R791" s="98">
        <f>'Supply planning data'!T789</f>
        <v>0</v>
      </c>
      <c r="S791" s="98">
        <f>'Supply planning data'!U789</f>
        <v>0</v>
      </c>
      <c r="T791" s="98">
        <f>'Supply planning data'!V789</f>
        <v>0</v>
      </c>
      <c r="U791" s="325" t="str">
        <f>'Supply planning data'!W789</f>
        <v/>
      </c>
      <c r="V791" s="98">
        <f>'Supply planning data'!X789</f>
        <v>0</v>
      </c>
      <c r="W791" s="317">
        <f>'Supply planning data'!Y789</f>
        <v>0</v>
      </c>
      <c r="X791" s="328">
        <f>'Supply planning data'!Z789</f>
        <v>0</v>
      </c>
      <c r="Y791" s="98">
        <f>'Supply planning data'!AA789</f>
        <v>0</v>
      </c>
      <c r="Z791" s="98">
        <f>'Supply planning data'!AB789</f>
        <v>0</v>
      </c>
      <c r="AA791" s="98">
        <f>'Supply planning data'!AC789</f>
        <v>0</v>
      </c>
      <c r="AB791" s="98">
        <f>'Supply planning data'!AD789</f>
        <v>0</v>
      </c>
      <c r="AC791" s="98">
        <f>'Supply planning data'!AE789</f>
        <v>0</v>
      </c>
      <c r="AD791" s="325" t="str">
        <f>'Supply planning data'!AF789</f>
        <v/>
      </c>
      <c r="AE791" s="98">
        <f>'Supply planning data'!AG789</f>
        <v>0</v>
      </c>
      <c r="AF791" s="317">
        <f>'Supply planning data'!AH789</f>
        <v>0</v>
      </c>
      <c r="AG791" s="175">
        <f>'Supply planning data'!AI789</f>
        <v>0</v>
      </c>
      <c r="AH791" s="98">
        <f>'Supply planning data'!AJ789</f>
        <v>0</v>
      </c>
      <c r="AI791" s="98">
        <f>'Supply planning data'!AK789</f>
        <v>0</v>
      </c>
      <c r="AJ791" s="98">
        <f>'Supply planning data'!AL789</f>
        <v>0</v>
      </c>
      <c r="AK791" s="98">
        <f>'Supply planning data'!AM789</f>
        <v>0</v>
      </c>
      <c r="AL791" s="98">
        <f>'Supply planning data'!AN789</f>
        <v>0</v>
      </c>
      <c r="AM791" s="325" t="str">
        <f>'Supply planning data'!AO789</f>
        <v/>
      </c>
    </row>
    <row r="792" spans="1:39" hidden="1" x14ac:dyDescent="0.25">
      <c r="A792" s="90" t="str">
        <f>'Supply planning data'!C790</f>
        <v/>
      </c>
      <c r="B792" s="296">
        <f>'Supply planning data'!D790</f>
        <v>45778</v>
      </c>
      <c r="C792" s="92" t="str">
        <f>'Supply planning data'!E790</f>
        <v>No</v>
      </c>
      <c r="D792" s="92">
        <f>'Supply planning data'!F790</f>
        <v>0</v>
      </c>
      <c r="E792" s="316">
        <f>'Supply planning data'!G790</f>
        <v>0</v>
      </c>
      <c r="F792" s="317">
        <f>'Supply planning data'!H790</f>
        <v>0</v>
      </c>
      <c r="G792" s="317">
        <f>'Supply planning data'!I790</f>
        <v>0</v>
      </c>
      <c r="H792" s="98">
        <f>'Supply planning data'!J790</f>
        <v>0</v>
      </c>
      <c r="I792" s="317">
        <f>'Supply planning data'!K790</f>
        <v>0</v>
      </c>
      <c r="J792" s="175" t="str">
        <f>'Supply planning data'!L790</f>
        <v/>
      </c>
      <c r="K792" s="98">
        <f>'Supply planning data'!M790</f>
        <v>0</v>
      </c>
      <c r="L792" s="317">
        <f>'Supply planning data'!N790+'Supply planning data'!P790</f>
        <v>0</v>
      </c>
      <c r="M792" s="339">
        <f>'Supply planning data'!O790</f>
        <v>0</v>
      </c>
      <c r="N792" s="317">
        <f>'Supply planning data'!P790</f>
        <v>0</v>
      </c>
      <c r="O792" s="339">
        <f>'Supply planning data'!Q790</f>
        <v>0</v>
      </c>
      <c r="P792" s="98">
        <f>'Supply planning data'!R790</f>
        <v>0</v>
      </c>
      <c r="Q792" s="98">
        <f>'Supply planning data'!S790</f>
        <v>0</v>
      </c>
      <c r="R792" s="98">
        <f>'Supply planning data'!T790</f>
        <v>0</v>
      </c>
      <c r="S792" s="98">
        <f>'Supply planning data'!U790</f>
        <v>0</v>
      </c>
      <c r="T792" s="98">
        <f>'Supply planning data'!V790</f>
        <v>0</v>
      </c>
      <c r="U792" s="325" t="str">
        <f>'Supply planning data'!W790</f>
        <v/>
      </c>
      <c r="V792" s="98">
        <f>'Supply planning data'!X790</f>
        <v>0</v>
      </c>
      <c r="W792" s="317">
        <f>'Supply planning data'!Y790</f>
        <v>0</v>
      </c>
      <c r="X792" s="328">
        <f>'Supply planning data'!Z790</f>
        <v>0</v>
      </c>
      <c r="Y792" s="98">
        <f>'Supply planning data'!AA790</f>
        <v>0</v>
      </c>
      <c r="Z792" s="98">
        <f>'Supply planning data'!AB790</f>
        <v>0</v>
      </c>
      <c r="AA792" s="98">
        <f>'Supply planning data'!AC790</f>
        <v>0</v>
      </c>
      <c r="AB792" s="98">
        <f>'Supply planning data'!AD790</f>
        <v>0</v>
      </c>
      <c r="AC792" s="98">
        <f>'Supply planning data'!AE790</f>
        <v>0</v>
      </c>
      <c r="AD792" s="325" t="str">
        <f>'Supply planning data'!AF790</f>
        <v/>
      </c>
      <c r="AE792" s="98">
        <f>'Supply planning data'!AG790</f>
        <v>0</v>
      </c>
      <c r="AF792" s="317">
        <f>'Supply planning data'!AH790</f>
        <v>0</v>
      </c>
      <c r="AG792" s="175">
        <f>'Supply planning data'!AI790</f>
        <v>0</v>
      </c>
      <c r="AH792" s="98">
        <f>'Supply planning data'!AJ790</f>
        <v>0</v>
      </c>
      <c r="AI792" s="98">
        <f>'Supply planning data'!AK790</f>
        <v>0</v>
      </c>
      <c r="AJ792" s="98">
        <f>'Supply planning data'!AL790</f>
        <v>0</v>
      </c>
      <c r="AK792" s="98">
        <f>'Supply planning data'!AM790</f>
        <v>0</v>
      </c>
      <c r="AL792" s="98">
        <f>'Supply planning data'!AN790</f>
        <v>0</v>
      </c>
      <c r="AM792" s="325" t="str">
        <f>'Supply planning data'!AO790</f>
        <v/>
      </c>
    </row>
    <row r="793" spans="1:39" hidden="1" x14ac:dyDescent="0.25">
      <c r="A793" s="90" t="str">
        <f>'Supply planning data'!C791</f>
        <v/>
      </c>
      <c r="B793" s="296">
        <f>'Supply planning data'!D791</f>
        <v>45778</v>
      </c>
      <c r="C793" s="92" t="str">
        <f>'Supply planning data'!E791</f>
        <v>No</v>
      </c>
      <c r="D793" s="92">
        <f>'Supply planning data'!F791</f>
        <v>0</v>
      </c>
      <c r="E793" s="316">
        <f>'Supply planning data'!G791</f>
        <v>0</v>
      </c>
      <c r="F793" s="317">
        <f>'Supply planning data'!H791</f>
        <v>0</v>
      </c>
      <c r="G793" s="317">
        <f>'Supply planning data'!I791</f>
        <v>0</v>
      </c>
      <c r="H793" s="98">
        <f>'Supply planning data'!J791</f>
        <v>0</v>
      </c>
      <c r="I793" s="317">
        <f>'Supply planning data'!K791</f>
        <v>0</v>
      </c>
      <c r="J793" s="175" t="str">
        <f>'Supply planning data'!L791</f>
        <v/>
      </c>
      <c r="K793" s="98">
        <f>'Supply planning data'!M791</f>
        <v>0</v>
      </c>
      <c r="L793" s="317">
        <f>'Supply planning data'!N791+'Supply planning data'!P791</f>
        <v>0</v>
      </c>
      <c r="M793" s="339">
        <f>'Supply planning data'!O791</f>
        <v>0</v>
      </c>
      <c r="N793" s="317">
        <f>'Supply planning data'!P791</f>
        <v>0</v>
      </c>
      <c r="O793" s="339">
        <f>'Supply planning data'!Q791</f>
        <v>0</v>
      </c>
      <c r="P793" s="98">
        <f>'Supply planning data'!R791</f>
        <v>0</v>
      </c>
      <c r="Q793" s="98">
        <f>'Supply planning data'!S791</f>
        <v>0</v>
      </c>
      <c r="R793" s="98">
        <f>'Supply planning data'!T791</f>
        <v>0</v>
      </c>
      <c r="S793" s="98">
        <f>'Supply planning data'!U791</f>
        <v>0</v>
      </c>
      <c r="T793" s="98">
        <f>'Supply planning data'!V791</f>
        <v>0</v>
      </c>
      <c r="U793" s="325" t="str">
        <f>'Supply planning data'!W791</f>
        <v/>
      </c>
      <c r="V793" s="98">
        <f>'Supply planning data'!X791</f>
        <v>0</v>
      </c>
      <c r="W793" s="317">
        <f>'Supply planning data'!Y791</f>
        <v>0</v>
      </c>
      <c r="X793" s="328">
        <f>'Supply planning data'!Z791</f>
        <v>0</v>
      </c>
      <c r="Y793" s="98">
        <f>'Supply planning data'!AA791</f>
        <v>0</v>
      </c>
      <c r="Z793" s="98">
        <f>'Supply planning data'!AB791</f>
        <v>0</v>
      </c>
      <c r="AA793" s="98">
        <f>'Supply planning data'!AC791</f>
        <v>0</v>
      </c>
      <c r="AB793" s="98">
        <f>'Supply planning data'!AD791</f>
        <v>0</v>
      </c>
      <c r="AC793" s="98">
        <f>'Supply planning data'!AE791</f>
        <v>0</v>
      </c>
      <c r="AD793" s="325" t="str">
        <f>'Supply planning data'!AF791</f>
        <v/>
      </c>
      <c r="AE793" s="98">
        <f>'Supply planning data'!AG791</f>
        <v>0</v>
      </c>
      <c r="AF793" s="317">
        <f>'Supply planning data'!AH791</f>
        <v>0</v>
      </c>
      <c r="AG793" s="175">
        <f>'Supply planning data'!AI791</f>
        <v>0</v>
      </c>
      <c r="AH793" s="98">
        <f>'Supply planning data'!AJ791</f>
        <v>0</v>
      </c>
      <c r="AI793" s="98">
        <f>'Supply planning data'!AK791</f>
        <v>0</v>
      </c>
      <c r="AJ793" s="98">
        <f>'Supply planning data'!AL791</f>
        <v>0</v>
      </c>
      <c r="AK793" s="98">
        <f>'Supply planning data'!AM791</f>
        <v>0</v>
      </c>
      <c r="AL793" s="98">
        <f>'Supply planning data'!AN791</f>
        <v>0</v>
      </c>
      <c r="AM793" s="325" t="str">
        <f>'Supply planning data'!AO791</f>
        <v/>
      </c>
    </row>
    <row r="794" spans="1:39" hidden="1" x14ac:dyDescent="0.25">
      <c r="A794" s="90" t="str">
        <f>'Supply planning data'!C792</f>
        <v/>
      </c>
      <c r="B794" s="296">
        <f>'Supply planning data'!D792</f>
        <v>45778</v>
      </c>
      <c r="C794" s="92" t="str">
        <f>'Supply planning data'!E792</f>
        <v>No</v>
      </c>
      <c r="D794" s="92">
        <f>'Supply planning data'!F792</f>
        <v>0</v>
      </c>
      <c r="E794" s="316">
        <f>'Supply planning data'!G792</f>
        <v>0</v>
      </c>
      <c r="F794" s="317">
        <f>'Supply planning data'!H792</f>
        <v>0</v>
      </c>
      <c r="G794" s="317">
        <f>'Supply planning data'!I792</f>
        <v>0</v>
      </c>
      <c r="H794" s="98">
        <f>'Supply planning data'!J792</f>
        <v>0</v>
      </c>
      <c r="I794" s="317">
        <f>'Supply planning data'!K792</f>
        <v>0</v>
      </c>
      <c r="J794" s="175" t="str">
        <f>'Supply planning data'!L792</f>
        <v/>
      </c>
      <c r="K794" s="98">
        <f>'Supply planning data'!M792</f>
        <v>0</v>
      </c>
      <c r="L794" s="317">
        <f>'Supply planning data'!N792+'Supply planning data'!P792</f>
        <v>0</v>
      </c>
      <c r="M794" s="339">
        <f>'Supply planning data'!O792</f>
        <v>0</v>
      </c>
      <c r="N794" s="317">
        <f>'Supply planning data'!P792</f>
        <v>0</v>
      </c>
      <c r="O794" s="339">
        <f>'Supply planning data'!Q792</f>
        <v>0</v>
      </c>
      <c r="P794" s="98">
        <f>'Supply planning data'!R792</f>
        <v>0</v>
      </c>
      <c r="Q794" s="98">
        <f>'Supply planning data'!S792</f>
        <v>0</v>
      </c>
      <c r="R794" s="98">
        <f>'Supply planning data'!T792</f>
        <v>0</v>
      </c>
      <c r="S794" s="98">
        <f>'Supply planning data'!U792</f>
        <v>0</v>
      </c>
      <c r="T794" s="98">
        <f>'Supply planning data'!V792</f>
        <v>0</v>
      </c>
      <c r="U794" s="325" t="str">
        <f>'Supply planning data'!W792</f>
        <v/>
      </c>
      <c r="V794" s="98">
        <f>'Supply planning data'!X792</f>
        <v>0</v>
      </c>
      <c r="W794" s="317">
        <f>'Supply planning data'!Y792</f>
        <v>0</v>
      </c>
      <c r="X794" s="328">
        <f>'Supply planning data'!Z792</f>
        <v>0</v>
      </c>
      <c r="Y794" s="98">
        <f>'Supply planning data'!AA792</f>
        <v>0</v>
      </c>
      <c r="Z794" s="98">
        <f>'Supply planning data'!AB792</f>
        <v>0</v>
      </c>
      <c r="AA794" s="98">
        <f>'Supply planning data'!AC792</f>
        <v>0</v>
      </c>
      <c r="AB794" s="98">
        <f>'Supply planning data'!AD792</f>
        <v>0</v>
      </c>
      <c r="AC794" s="98">
        <f>'Supply planning data'!AE792</f>
        <v>0</v>
      </c>
      <c r="AD794" s="325" t="str">
        <f>'Supply planning data'!AF792</f>
        <v/>
      </c>
      <c r="AE794" s="98">
        <f>'Supply planning data'!AG792</f>
        <v>0</v>
      </c>
      <c r="AF794" s="317">
        <f>'Supply planning data'!AH792</f>
        <v>0</v>
      </c>
      <c r="AG794" s="175">
        <f>'Supply planning data'!AI792</f>
        <v>0</v>
      </c>
      <c r="AH794" s="98">
        <f>'Supply planning data'!AJ792</f>
        <v>0</v>
      </c>
      <c r="AI794" s="98">
        <f>'Supply planning data'!AK792</f>
        <v>0</v>
      </c>
      <c r="AJ794" s="98">
        <f>'Supply planning data'!AL792</f>
        <v>0</v>
      </c>
      <c r="AK794" s="98">
        <f>'Supply planning data'!AM792</f>
        <v>0</v>
      </c>
      <c r="AL794" s="98">
        <f>'Supply planning data'!AN792</f>
        <v>0</v>
      </c>
      <c r="AM794" s="325" t="str">
        <f>'Supply planning data'!AO792</f>
        <v/>
      </c>
    </row>
    <row r="795" spans="1:39" hidden="1" x14ac:dyDescent="0.25">
      <c r="A795" s="90" t="str">
        <f>'Supply planning data'!C793</f>
        <v/>
      </c>
      <c r="B795" s="296">
        <f>'Supply planning data'!D793</f>
        <v>45778</v>
      </c>
      <c r="C795" s="92" t="str">
        <f>'Supply planning data'!E793</f>
        <v>No</v>
      </c>
      <c r="D795" s="92">
        <f>'Supply planning data'!F793</f>
        <v>0</v>
      </c>
      <c r="E795" s="316">
        <f>'Supply planning data'!G793</f>
        <v>0</v>
      </c>
      <c r="F795" s="317">
        <f>'Supply planning data'!H793</f>
        <v>0</v>
      </c>
      <c r="G795" s="317">
        <f>'Supply planning data'!I793</f>
        <v>0</v>
      </c>
      <c r="H795" s="98">
        <f>'Supply planning data'!J793</f>
        <v>0</v>
      </c>
      <c r="I795" s="317">
        <f>'Supply planning data'!K793</f>
        <v>0</v>
      </c>
      <c r="J795" s="175" t="str">
        <f>'Supply planning data'!L793</f>
        <v/>
      </c>
      <c r="K795" s="98">
        <f>'Supply planning data'!M793</f>
        <v>0</v>
      </c>
      <c r="L795" s="317">
        <f>'Supply planning data'!N793+'Supply planning data'!P793</f>
        <v>0</v>
      </c>
      <c r="M795" s="339">
        <f>'Supply planning data'!O793</f>
        <v>0</v>
      </c>
      <c r="N795" s="317">
        <f>'Supply planning data'!P793</f>
        <v>0</v>
      </c>
      <c r="O795" s="339">
        <f>'Supply planning data'!Q793</f>
        <v>0</v>
      </c>
      <c r="P795" s="98">
        <f>'Supply planning data'!R793</f>
        <v>0</v>
      </c>
      <c r="Q795" s="98">
        <f>'Supply planning data'!S793</f>
        <v>0</v>
      </c>
      <c r="R795" s="98">
        <f>'Supply planning data'!T793</f>
        <v>0</v>
      </c>
      <c r="S795" s="98">
        <f>'Supply planning data'!U793</f>
        <v>0</v>
      </c>
      <c r="T795" s="98">
        <f>'Supply planning data'!V793</f>
        <v>0</v>
      </c>
      <c r="U795" s="325" t="str">
        <f>'Supply planning data'!W793</f>
        <v/>
      </c>
      <c r="V795" s="98">
        <f>'Supply planning data'!X793</f>
        <v>0</v>
      </c>
      <c r="W795" s="317">
        <f>'Supply planning data'!Y793</f>
        <v>0</v>
      </c>
      <c r="X795" s="328">
        <f>'Supply planning data'!Z793</f>
        <v>0</v>
      </c>
      <c r="Y795" s="98">
        <f>'Supply planning data'!AA793</f>
        <v>0</v>
      </c>
      <c r="Z795" s="98">
        <f>'Supply planning data'!AB793</f>
        <v>0</v>
      </c>
      <c r="AA795" s="98">
        <f>'Supply planning data'!AC793</f>
        <v>0</v>
      </c>
      <c r="AB795" s="98">
        <f>'Supply planning data'!AD793</f>
        <v>0</v>
      </c>
      <c r="AC795" s="98">
        <f>'Supply planning data'!AE793</f>
        <v>0</v>
      </c>
      <c r="AD795" s="325" t="str">
        <f>'Supply planning data'!AF793</f>
        <v/>
      </c>
      <c r="AE795" s="98">
        <f>'Supply planning data'!AG793</f>
        <v>0</v>
      </c>
      <c r="AF795" s="317">
        <f>'Supply planning data'!AH793</f>
        <v>0</v>
      </c>
      <c r="AG795" s="175">
        <f>'Supply planning data'!AI793</f>
        <v>0</v>
      </c>
      <c r="AH795" s="98">
        <f>'Supply planning data'!AJ793</f>
        <v>0</v>
      </c>
      <c r="AI795" s="98">
        <f>'Supply planning data'!AK793</f>
        <v>0</v>
      </c>
      <c r="AJ795" s="98">
        <f>'Supply planning data'!AL793</f>
        <v>0</v>
      </c>
      <c r="AK795" s="98">
        <f>'Supply planning data'!AM793</f>
        <v>0</v>
      </c>
      <c r="AL795" s="98">
        <f>'Supply planning data'!AN793</f>
        <v>0</v>
      </c>
      <c r="AM795" s="325" t="str">
        <f>'Supply planning data'!AO793</f>
        <v/>
      </c>
    </row>
    <row r="796" spans="1:39" hidden="1" x14ac:dyDescent="0.25">
      <c r="A796" s="90" t="str">
        <f>'Supply planning data'!C794</f>
        <v/>
      </c>
      <c r="B796" s="296">
        <f>'Supply planning data'!D794</f>
        <v>45778</v>
      </c>
      <c r="C796" s="92" t="str">
        <f>'Supply planning data'!E794</f>
        <v>No</v>
      </c>
      <c r="D796" s="92">
        <f>'Supply planning data'!F794</f>
        <v>0</v>
      </c>
      <c r="E796" s="316">
        <f>'Supply planning data'!G794</f>
        <v>0</v>
      </c>
      <c r="F796" s="317">
        <f>'Supply planning data'!H794</f>
        <v>0</v>
      </c>
      <c r="G796" s="317">
        <f>'Supply planning data'!I794</f>
        <v>0</v>
      </c>
      <c r="H796" s="98">
        <f>'Supply planning data'!J794</f>
        <v>0</v>
      </c>
      <c r="I796" s="317">
        <f>'Supply planning data'!K794</f>
        <v>0</v>
      </c>
      <c r="J796" s="175" t="str">
        <f>'Supply planning data'!L794</f>
        <v/>
      </c>
      <c r="K796" s="98">
        <f>'Supply planning data'!M794</f>
        <v>0</v>
      </c>
      <c r="L796" s="317">
        <f>'Supply planning data'!N794+'Supply planning data'!P794</f>
        <v>0</v>
      </c>
      <c r="M796" s="339">
        <f>'Supply planning data'!O794</f>
        <v>0</v>
      </c>
      <c r="N796" s="317">
        <f>'Supply planning data'!P794</f>
        <v>0</v>
      </c>
      <c r="O796" s="339">
        <f>'Supply planning data'!Q794</f>
        <v>0</v>
      </c>
      <c r="P796" s="98">
        <f>'Supply planning data'!R794</f>
        <v>0</v>
      </c>
      <c r="Q796" s="98">
        <f>'Supply planning data'!S794</f>
        <v>0</v>
      </c>
      <c r="R796" s="98">
        <f>'Supply planning data'!T794</f>
        <v>0</v>
      </c>
      <c r="S796" s="98">
        <f>'Supply planning data'!U794</f>
        <v>0</v>
      </c>
      <c r="T796" s="98">
        <f>'Supply planning data'!V794</f>
        <v>0</v>
      </c>
      <c r="U796" s="325" t="str">
        <f>'Supply planning data'!W794</f>
        <v/>
      </c>
      <c r="V796" s="98">
        <f>'Supply planning data'!X794</f>
        <v>0</v>
      </c>
      <c r="W796" s="317">
        <f>'Supply planning data'!Y794</f>
        <v>0</v>
      </c>
      <c r="X796" s="328">
        <f>'Supply planning data'!Z794</f>
        <v>0</v>
      </c>
      <c r="Y796" s="98">
        <f>'Supply planning data'!AA794</f>
        <v>0</v>
      </c>
      <c r="Z796" s="98">
        <f>'Supply planning data'!AB794</f>
        <v>0</v>
      </c>
      <c r="AA796" s="98">
        <f>'Supply planning data'!AC794</f>
        <v>0</v>
      </c>
      <c r="AB796" s="98">
        <f>'Supply planning data'!AD794</f>
        <v>0</v>
      </c>
      <c r="AC796" s="98">
        <f>'Supply planning data'!AE794</f>
        <v>0</v>
      </c>
      <c r="AD796" s="325" t="str">
        <f>'Supply planning data'!AF794</f>
        <v/>
      </c>
      <c r="AE796" s="98">
        <f>'Supply planning data'!AG794</f>
        <v>0</v>
      </c>
      <c r="AF796" s="317">
        <f>'Supply planning data'!AH794</f>
        <v>0</v>
      </c>
      <c r="AG796" s="175">
        <f>'Supply planning data'!AI794</f>
        <v>0</v>
      </c>
      <c r="AH796" s="98">
        <f>'Supply planning data'!AJ794</f>
        <v>0</v>
      </c>
      <c r="AI796" s="98">
        <f>'Supply planning data'!AK794</f>
        <v>0</v>
      </c>
      <c r="AJ796" s="98">
        <f>'Supply planning data'!AL794</f>
        <v>0</v>
      </c>
      <c r="AK796" s="98">
        <f>'Supply planning data'!AM794</f>
        <v>0</v>
      </c>
      <c r="AL796" s="98">
        <f>'Supply planning data'!AN794</f>
        <v>0</v>
      </c>
      <c r="AM796" s="325" t="str">
        <f>'Supply planning data'!AO794</f>
        <v/>
      </c>
    </row>
    <row r="797" spans="1:39" hidden="1" x14ac:dyDescent="0.25">
      <c r="A797" s="90" t="str">
        <f>'Supply planning data'!C795</f>
        <v/>
      </c>
      <c r="B797" s="296">
        <f>'Supply planning data'!D795</f>
        <v>45778</v>
      </c>
      <c r="C797" s="115" t="str">
        <f>'Supply planning data'!E795</f>
        <v>No</v>
      </c>
      <c r="D797" s="115">
        <f>'Supply planning data'!F795</f>
        <v>0</v>
      </c>
      <c r="E797" s="344">
        <f>'Supply planning data'!G795</f>
        <v>0</v>
      </c>
      <c r="F797" s="345">
        <f>'Supply planning data'!H795</f>
        <v>0</v>
      </c>
      <c r="G797" s="345">
        <f>'Supply planning data'!I795</f>
        <v>0</v>
      </c>
      <c r="H797" s="118">
        <f>'Supply planning data'!J795</f>
        <v>0</v>
      </c>
      <c r="I797" s="345">
        <f>'Supply planning data'!K795</f>
        <v>0</v>
      </c>
      <c r="J797" s="178" t="str">
        <f>'Supply planning data'!L795</f>
        <v/>
      </c>
      <c r="K797" s="118">
        <f>'Supply planning data'!M795</f>
        <v>0</v>
      </c>
      <c r="L797" s="345">
        <f>'Supply planning data'!N795+'Supply planning data'!P795</f>
        <v>0</v>
      </c>
      <c r="M797" s="346">
        <f>'Supply planning data'!O795</f>
        <v>0</v>
      </c>
      <c r="N797" s="345">
        <f>'Supply planning data'!P795</f>
        <v>0</v>
      </c>
      <c r="O797" s="346">
        <f>'Supply planning data'!Q795</f>
        <v>0</v>
      </c>
      <c r="P797" s="118">
        <f>'Supply planning data'!R795</f>
        <v>0</v>
      </c>
      <c r="Q797" s="118">
        <f>'Supply planning data'!S795</f>
        <v>0</v>
      </c>
      <c r="R797" s="118">
        <f>'Supply planning data'!T795</f>
        <v>0</v>
      </c>
      <c r="S797" s="118">
        <f>'Supply planning data'!U795</f>
        <v>0</v>
      </c>
      <c r="T797" s="118">
        <f>'Supply planning data'!V795</f>
        <v>0</v>
      </c>
      <c r="U797" s="347" t="str">
        <f>'Supply planning data'!W795</f>
        <v/>
      </c>
      <c r="V797" s="118">
        <f>'Supply planning data'!X795</f>
        <v>0</v>
      </c>
      <c r="W797" s="345">
        <f>'Supply planning data'!Y795</f>
        <v>0</v>
      </c>
      <c r="X797" s="348">
        <f>'Supply planning data'!Z795</f>
        <v>0</v>
      </c>
      <c r="Y797" s="118">
        <f>'Supply planning data'!AA795</f>
        <v>0</v>
      </c>
      <c r="Z797" s="118">
        <f>'Supply planning data'!AB795</f>
        <v>0</v>
      </c>
      <c r="AA797" s="118">
        <f>'Supply planning data'!AC795</f>
        <v>0</v>
      </c>
      <c r="AB797" s="118">
        <f>'Supply planning data'!AD795</f>
        <v>0</v>
      </c>
      <c r="AC797" s="118">
        <f>'Supply planning data'!AE795</f>
        <v>0</v>
      </c>
      <c r="AD797" s="347" t="str">
        <f>'Supply planning data'!AF795</f>
        <v/>
      </c>
      <c r="AE797" s="118">
        <f>'Supply planning data'!AG795</f>
        <v>0</v>
      </c>
      <c r="AF797" s="345">
        <f>'Supply planning data'!AH795</f>
        <v>0</v>
      </c>
      <c r="AG797" s="178">
        <f>'Supply planning data'!AI795</f>
        <v>0</v>
      </c>
      <c r="AH797" s="118">
        <f>'Supply planning data'!AJ795</f>
        <v>0</v>
      </c>
      <c r="AI797" s="118">
        <f>'Supply planning data'!AK795</f>
        <v>0</v>
      </c>
      <c r="AJ797" s="118">
        <f>'Supply planning data'!AL795</f>
        <v>0</v>
      </c>
      <c r="AK797" s="118">
        <f>'Supply planning data'!AM795</f>
        <v>0</v>
      </c>
      <c r="AL797" s="118">
        <f>'Supply planning data'!AN795</f>
        <v>0</v>
      </c>
      <c r="AM797" s="347" t="str">
        <f>'Supply planning data'!AO795</f>
        <v/>
      </c>
    </row>
    <row r="798" spans="1:39" hidden="1" x14ac:dyDescent="0.25">
      <c r="A798" s="90" t="str">
        <f>'Supply planning data'!C796</f>
        <v/>
      </c>
      <c r="B798" s="296">
        <f>'Supply planning data'!D796</f>
        <v>45778</v>
      </c>
      <c r="C798" s="92" t="str">
        <f>'Supply planning data'!E796</f>
        <v>No</v>
      </c>
      <c r="D798" s="92">
        <f>'Supply planning data'!F796</f>
        <v>0</v>
      </c>
      <c r="E798" s="316">
        <f>'Supply planning data'!G796</f>
        <v>0</v>
      </c>
      <c r="F798" s="317">
        <f>'Supply planning data'!H796</f>
        <v>0</v>
      </c>
      <c r="G798" s="317">
        <f>'Supply planning data'!I796</f>
        <v>0</v>
      </c>
      <c r="H798" s="98">
        <f>'Supply planning data'!J796</f>
        <v>0</v>
      </c>
      <c r="I798" s="317">
        <f>'Supply planning data'!K796</f>
        <v>0</v>
      </c>
      <c r="J798" s="175" t="str">
        <f>'Supply planning data'!L796</f>
        <v/>
      </c>
      <c r="K798" s="98">
        <f>'Supply planning data'!M796</f>
        <v>0</v>
      </c>
      <c r="L798" s="317">
        <f>'Supply planning data'!N796+'Supply planning data'!P796</f>
        <v>0</v>
      </c>
      <c r="M798" s="339">
        <f>'Supply planning data'!O796</f>
        <v>0</v>
      </c>
      <c r="N798" s="317">
        <f>'Supply planning data'!P796</f>
        <v>0</v>
      </c>
      <c r="O798" s="339">
        <f>'Supply planning data'!Q796</f>
        <v>0</v>
      </c>
      <c r="P798" s="98">
        <f>'Supply planning data'!R796</f>
        <v>0</v>
      </c>
      <c r="Q798" s="98">
        <f>'Supply planning data'!S796</f>
        <v>0</v>
      </c>
      <c r="R798" s="98">
        <f>'Supply planning data'!T796</f>
        <v>0</v>
      </c>
      <c r="S798" s="98">
        <f>'Supply planning data'!U796</f>
        <v>0</v>
      </c>
      <c r="T798" s="98">
        <f>'Supply planning data'!V796</f>
        <v>0</v>
      </c>
      <c r="U798" s="325" t="str">
        <f>'Supply planning data'!W796</f>
        <v/>
      </c>
      <c r="V798" s="98">
        <f>'Supply planning data'!X796</f>
        <v>0</v>
      </c>
      <c r="W798" s="317">
        <f>'Supply planning data'!Y796</f>
        <v>0</v>
      </c>
      <c r="X798" s="328">
        <f>'Supply planning data'!Z796</f>
        <v>0</v>
      </c>
      <c r="Y798" s="98">
        <f>'Supply planning data'!AA796</f>
        <v>0</v>
      </c>
      <c r="Z798" s="98">
        <f>'Supply planning data'!AB796</f>
        <v>0</v>
      </c>
      <c r="AA798" s="98">
        <f>'Supply planning data'!AC796</f>
        <v>0</v>
      </c>
      <c r="AB798" s="98">
        <f>'Supply planning data'!AD796</f>
        <v>0</v>
      </c>
      <c r="AC798" s="98">
        <f>'Supply planning data'!AE796</f>
        <v>0</v>
      </c>
      <c r="AD798" s="325" t="str">
        <f>'Supply planning data'!AF796</f>
        <v/>
      </c>
      <c r="AE798" s="98">
        <f>'Supply planning data'!AG796</f>
        <v>0</v>
      </c>
      <c r="AF798" s="317">
        <f>'Supply planning data'!AH796</f>
        <v>0</v>
      </c>
      <c r="AG798" s="175">
        <f>'Supply planning data'!AI796</f>
        <v>0</v>
      </c>
      <c r="AH798" s="98">
        <f>'Supply planning data'!AJ796</f>
        <v>0</v>
      </c>
      <c r="AI798" s="98">
        <f>'Supply planning data'!AK796</f>
        <v>0</v>
      </c>
      <c r="AJ798" s="98">
        <f>'Supply planning data'!AL796</f>
        <v>0</v>
      </c>
      <c r="AK798" s="98">
        <f>'Supply planning data'!AM796</f>
        <v>0</v>
      </c>
      <c r="AL798" s="98">
        <f>'Supply planning data'!AN796</f>
        <v>0</v>
      </c>
      <c r="AM798" s="325" t="str">
        <f>'Supply planning data'!AO796</f>
        <v/>
      </c>
    </row>
    <row r="799" spans="1:39" hidden="1" x14ac:dyDescent="0.25">
      <c r="A799" s="90" t="str">
        <f>'Supply planning data'!C797</f>
        <v/>
      </c>
      <c r="B799" s="296">
        <f>'Supply planning data'!D797</f>
        <v>45778</v>
      </c>
      <c r="C799" s="92" t="str">
        <f>'Supply planning data'!E797</f>
        <v>No</v>
      </c>
      <c r="D799" s="92">
        <f>'Supply planning data'!F797</f>
        <v>0</v>
      </c>
      <c r="E799" s="316">
        <f>'Supply planning data'!G797</f>
        <v>0</v>
      </c>
      <c r="F799" s="317">
        <f>'Supply planning data'!H797</f>
        <v>0</v>
      </c>
      <c r="G799" s="317">
        <f>'Supply planning data'!I797</f>
        <v>0</v>
      </c>
      <c r="H799" s="98">
        <f>'Supply planning data'!J797</f>
        <v>0</v>
      </c>
      <c r="I799" s="317">
        <f>'Supply planning data'!K797</f>
        <v>0</v>
      </c>
      <c r="J799" s="175" t="str">
        <f>'Supply planning data'!L797</f>
        <v/>
      </c>
      <c r="K799" s="98">
        <f>'Supply planning data'!M797</f>
        <v>0</v>
      </c>
      <c r="L799" s="317">
        <f>'Supply planning data'!N797+'Supply planning data'!P797</f>
        <v>0</v>
      </c>
      <c r="M799" s="339">
        <f>'Supply planning data'!O797</f>
        <v>0</v>
      </c>
      <c r="N799" s="317">
        <f>'Supply planning data'!P797</f>
        <v>0</v>
      </c>
      <c r="O799" s="339">
        <f>'Supply planning data'!Q797</f>
        <v>0</v>
      </c>
      <c r="P799" s="98">
        <f>'Supply planning data'!R797</f>
        <v>0</v>
      </c>
      <c r="Q799" s="98">
        <f>'Supply planning data'!S797</f>
        <v>0</v>
      </c>
      <c r="R799" s="98">
        <f>'Supply planning data'!T797</f>
        <v>0</v>
      </c>
      <c r="S799" s="98">
        <f>'Supply planning data'!U797</f>
        <v>0</v>
      </c>
      <c r="T799" s="98">
        <f>'Supply planning data'!V797</f>
        <v>0</v>
      </c>
      <c r="U799" s="325" t="str">
        <f>'Supply planning data'!W797</f>
        <v/>
      </c>
      <c r="V799" s="98">
        <f>'Supply planning data'!X797</f>
        <v>0</v>
      </c>
      <c r="W799" s="317">
        <f>'Supply planning data'!Y797</f>
        <v>0</v>
      </c>
      <c r="X799" s="328">
        <f>'Supply planning data'!Z797</f>
        <v>0</v>
      </c>
      <c r="Y799" s="98">
        <f>'Supply planning data'!AA797</f>
        <v>0</v>
      </c>
      <c r="Z799" s="98">
        <f>'Supply planning data'!AB797</f>
        <v>0</v>
      </c>
      <c r="AA799" s="98">
        <f>'Supply planning data'!AC797</f>
        <v>0</v>
      </c>
      <c r="AB799" s="98">
        <f>'Supply planning data'!AD797</f>
        <v>0</v>
      </c>
      <c r="AC799" s="98">
        <f>'Supply planning data'!AE797</f>
        <v>0</v>
      </c>
      <c r="AD799" s="325" t="str">
        <f>'Supply planning data'!AF797</f>
        <v/>
      </c>
      <c r="AE799" s="98">
        <f>'Supply planning data'!AG797</f>
        <v>0</v>
      </c>
      <c r="AF799" s="317">
        <f>'Supply planning data'!AH797</f>
        <v>0</v>
      </c>
      <c r="AG799" s="175">
        <f>'Supply planning data'!AI797</f>
        <v>0</v>
      </c>
      <c r="AH799" s="98">
        <f>'Supply planning data'!AJ797</f>
        <v>0</v>
      </c>
      <c r="AI799" s="98">
        <f>'Supply planning data'!AK797</f>
        <v>0</v>
      </c>
      <c r="AJ799" s="98">
        <f>'Supply planning data'!AL797</f>
        <v>0</v>
      </c>
      <c r="AK799" s="98">
        <f>'Supply planning data'!AM797</f>
        <v>0</v>
      </c>
      <c r="AL799" s="98">
        <f>'Supply planning data'!AN797</f>
        <v>0</v>
      </c>
      <c r="AM799" s="325" t="str">
        <f>'Supply planning data'!AO797</f>
        <v/>
      </c>
    </row>
    <row r="800" spans="1:39" hidden="1" x14ac:dyDescent="0.25">
      <c r="A800" s="90" t="str">
        <f>'Supply planning data'!C798</f>
        <v/>
      </c>
      <c r="B800" s="296">
        <f>'Supply planning data'!D798</f>
        <v>45778</v>
      </c>
      <c r="C800" s="92" t="str">
        <f>'Supply planning data'!E798</f>
        <v>No</v>
      </c>
      <c r="D800" s="92">
        <f>'Supply planning data'!F798</f>
        <v>0</v>
      </c>
      <c r="E800" s="316">
        <f>'Supply planning data'!G798</f>
        <v>0</v>
      </c>
      <c r="F800" s="317">
        <f>'Supply planning data'!H798</f>
        <v>0</v>
      </c>
      <c r="G800" s="317">
        <f>'Supply planning data'!I798</f>
        <v>0</v>
      </c>
      <c r="H800" s="98">
        <f>'Supply planning data'!J798</f>
        <v>0</v>
      </c>
      <c r="I800" s="317">
        <f>'Supply planning data'!K798</f>
        <v>0</v>
      </c>
      <c r="J800" s="175" t="str">
        <f>'Supply planning data'!L798</f>
        <v/>
      </c>
      <c r="K800" s="98">
        <f>'Supply planning data'!M798</f>
        <v>0</v>
      </c>
      <c r="L800" s="317">
        <f>'Supply planning data'!N798+'Supply planning data'!P798</f>
        <v>0</v>
      </c>
      <c r="M800" s="339">
        <f>'Supply planning data'!O798</f>
        <v>0</v>
      </c>
      <c r="N800" s="317">
        <f>'Supply planning data'!P798</f>
        <v>0</v>
      </c>
      <c r="O800" s="339">
        <f>'Supply planning data'!Q798</f>
        <v>0</v>
      </c>
      <c r="P800" s="98">
        <f>'Supply planning data'!R798</f>
        <v>0</v>
      </c>
      <c r="Q800" s="98">
        <f>'Supply planning data'!S798</f>
        <v>0</v>
      </c>
      <c r="R800" s="98">
        <f>'Supply planning data'!T798</f>
        <v>0</v>
      </c>
      <c r="S800" s="98">
        <f>'Supply planning data'!U798</f>
        <v>0</v>
      </c>
      <c r="T800" s="98">
        <f>'Supply planning data'!V798</f>
        <v>0</v>
      </c>
      <c r="U800" s="325" t="str">
        <f>'Supply planning data'!W798</f>
        <v/>
      </c>
      <c r="V800" s="98">
        <f>'Supply planning data'!X798</f>
        <v>0</v>
      </c>
      <c r="W800" s="317">
        <f>'Supply planning data'!Y798</f>
        <v>0</v>
      </c>
      <c r="X800" s="328">
        <f>'Supply planning data'!Z798</f>
        <v>0</v>
      </c>
      <c r="Y800" s="98">
        <f>'Supply planning data'!AA798</f>
        <v>0</v>
      </c>
      <c r="Z800" s="98">
        <f>'Supply planning data'!AB798</f>
        <v>0</v>
      </c>
      <c r="AA800" s="98">
        <f>'Supply planning data'!AC798</f>
        <v>0</v>
      </c>
      <c r="AB800" s="98">
        <f>'Supply planning data'!AD798</f>
        <v>0</v>
      </c>
      <c r="AC800" s="98">
        <f>'Supply planning data'!AE798</f>
        <v>0</v>
      </c>
      <c r="AD800" s="325" t="str">
        <f>'Supply planning data'!AF798</f>
        <v/>
      </c>
      <c r="AE800" s="98">
        <f>'Supply planning data'!AG798</f>
        <v>0</v>
      </c>
      <c r="AF800" s="317">
        <f>'Supply planning data'!AH798</f>
        <v>0</v>
      </c>
      <c r="AG800" s="175">
        <f>'Supply planning data'!AI798</f>
        <v>0</v>
      </c>
      <c r="AH800" s="98">
        <f>'Supply planning data'!AJ798</f>
        <v>0</v>
      </c>
      <c r="AI800" s="98">
        <f>'Supply planning data'!AK798</f>
        <v>0</v>
      </c>
      <c r="AJ800" s="98">
        <f>'Supply planning data'!AL798</f>
        <v>0</v>
      </c>
      <c r="AK800" s="98">
        <f>'Supply planning data'!AM798</f>
        <v>0</v>
      </c>
      <c r="AL800" s="98">
        <f>'Supply planning data'!AN798</f>
        <v>0</v>
      </c>
      <c r="AM800" s="325" t="str">
        <f>'Supply planning data'!AO798</f>
        <v/>
      </c>
    </row>
    <row r="801" spans="1:39" hidden="1" x14ac:dyDescent="0.25">
      <c r="A801" s="90" t="str">
        <f>'Supply planning data'!C799</f>
        <v/>
      </c>
      <c r="B801" s="296">
        <f>'Supply planning data'!D799</f>
        <v>45778</v>
      </c>
      <c r="C801" s="92" t="str">
        <f>'Supply planning data'!E799</f>
        <v>No</v>
      </c>
      <c r="D801" s="92">
        <f>'Supply planning data'!F799</f>
        <v>0</v>
      </c>
      <c r="E801" s="316">
        <f>'Supply planning data'!G799</f>
        <v>0</v>
      </c>
      <c r="F801" s="317">
        <f>'Supply planning data'!H799</f>
        <v>0</v>
      </c>
      <c r="G801" s="317">
        <f>'Supply planning data'!I799</f>
        <v>0</v>
      </c>
      <c r="H801" s="98">
        <f>'Supply planning data'!J799</f>
        <v>0</v>
      </c>
      <c r="I801" s="317">
        <f>'Supply planning data'!K799</f>
        <v>0</v>
      </c>
      <c r="J801" s="175" t="str">
        <f>'Supply planning data'!L799</f>
        <v/>
      </c>
      <c r="K801" s="98">
        <f>'Supply planning data'!M799</f>
        <v>0</v>
      </c>
      <c r="L801" s="317">
        <f>'Supply planning data'!N799+'Supply planning data'!P799</f>
        <v>0</v>
      </c>
      <c r="M801" s="339">
        <f>'Supply planning data'!O799</f>
        <v>0</v>
      </c>
      <c r="N801" s="317">
        <f>'Supply planning data'!P799</f>
        <v>0</v>
      </c>
      <c r="O801" s="339">
        <f>'Supply planning data'!Q799</f>
        <v>0</v>
      </c>
      <c r="P801" s="98">
        <f>'Supply planning data'!R799</f>
        <v>0</v>
      </c>
      <c r="Q801" s="98">
        <f>'Supply planning data'!S799</f>
        <v>0</v>
      </c>
      <c r="R801" s="98">
        <f>'Supply planning data'!T799</f>
        <v>0</v>
      </c>
      <c r="S801" s="98">
        <f>'Supply planning data'!U799</f>
        <v>0</v>
      </c>
      <c r="T801" s="98">
        <f>'Supply planning data'!V799</f>
        <v>0</v>
      </c>
      <c r="U801" s="325" t="str">
        <f>'Supply planning data'!W799</f>
        <v/>
      </c>
      <c r="V801" s="98">
        <f>'Supply planning data'!X799</f>
        <v>0</v>
      </c>
      <c r="W801" s="317">
        <f>'Supply planning data'!Y799</f>
        <v>0</v>
      </c>
      <c r="X801" s="328">
        <f>'Supply planning data'!Z799</f>
        <v>0</v>
      </c>
      <c r="Y801" s="98">
        <f>'Supply planning data'!AA799</f>
        <v>0</v>
      </c>
      <c r="Z801" s="98">
        <f>'Supply planning data'!AB799</f>
        <v>0</v>
      </c>
      <c r="AA801" s="98">
        <f>'Supply planning data'!AC799</f>
        <v>0</v>
      </c>
      <c r="AB801" s="98">
        <f>'Supply planning data'!AD799</f>
        <v>0</v>
      </c>
      <c r="AC801" s="98">
        <f>'Supply planning data'!AE799</f>
        <v>0</v>
      </c>
      <c r="AD801" s="325" t="str">
        <f>'Supply planning data'!AF799</f>
        <v/>
      </c>
      <c r="AE801" s="98">
        <f>'Supply planning data'!AG799</f>
        <v>0</v>
      </c>
      <c r="AF801" s="317">
        <f>'Supply planning data'!AH799</f>
        <v>0</v>
      </c>
      <c r="AG801" s="175">
        <f>'Supply planning data'!AI799</f>
        <v>0</v>
      </c>
      <c r="AH801" s="98">
        <f>'Supply planning data'!AJ799</f>
        <v>0</v>
      </c>
      <c r="AI801" s="98">
        <f>'Supply planning data'!AK799</f>
        <v>0</v>
      </c>
      <c r="AJ801" s="98">
        <f>'Supply planning data'!AL799</f>
        <v>0</v>
      </c>
      <c r="AK801" s="98">
        <f>'Supply planning data'!AM799</f>
        <v>0</v>
      </c>
      <c r="AL801" s="98">
        <f>'Supply planning data'!AN799</f>
        <v>0</v>
      </c>
      <c r="AM801" s="325" t="str">
        <f>'Supply planning data'!AO799</f>
        <v/>
      </c>
    </row>
    <row r="802" spans="1:39" x14ac:dyDescent="0.25">
      <c r="A802" s="104" t="str">
        <f>'Supply planning data'!C800</f>
        <v>AstraZeneca</v>
      </c>
      <c r="B802" s="298">
        <f>'Supply planning data'!D800</f>
        <v>45809</v>
      </c>
      <c r="C802" s="105" t="str">
        <f>'Supply planning data'!E800</f>
        <v>Yes</v>
      </c>
      <c r="D802" s="105">
        <f>'Supply planning data'!F800</f>
        <v>0</v>
      </c>
      <c r="E802" s="320">
        <f>'Supply planning data'!G800</f>
        <v>0</v>
      </c>
      <c r="F802" s="320">
        <f>'Supply planning data'!H800</f>
        <v>0</v>
      </c>
      <c r="G802" s="320">
        <f>'Supply planning data'!I800</f>
        <v>0</v>
      </c>
      <c r="H802" s="105">
        <f>'Supply planning data'!J800</f>
        <v>0</v>
      </c>
      <c r="I802" s="320">
        <f>'Supply planning data'!K800</f>
        <v>0</v>
      </c>
      <c r="J802" s="177" t="str">
        <f>'Supply planning data'!L800</f>
        <v/>
      </c>
      <c r="K802" s="105">
        <f>'Supply planning data'!M800</f>
        <v>0</v>
      </c>
      <c r="L802" s="320">
        <f>'Supply planning data'!N800+'Supply planning data'!P800</f>
        <v>0</v>
      </c>
      <c r="M802" s="341">
        <f>'Supply planning data'!O800</f>
        <v>0</v>
      </c>
      <c r="N802" s="320">
        <f>'Supply planning data'!P800</f>
        <v>0</v>
      </c>
      <c r="O802" s="341">
        <f>'Supply planning data'!Q800</f>
        <v>0</v>
      </c>
      <c r="P802" s="105">
        <f>'Supply planning data'!R800</f>
        <v>0</v>
      </c>
      <c r="Q802" s="105">
        <f>'Supply planning data'!S800</f>
        <v>0</v>
      </c>
      <c r="R802" s="105">
        <f>'Supply planning data'!T800</f>
        <v>0</v>
      </c>
      <c r="S802" s="105">
        <f>'Supply planning data'!U800</f>
        <v>0</v>
      </c>
      <c r="T802" s="105">
        <f>'Supply planning data'!V800</f>
        <v>0</v>
      </c>
      <c r="U802" s="326" t="str">
        <f>'Supply planning data'!W800</f>
        <v/>
      </c>
      <c r="V802" s="105">
        <f>'Supply planning data'!X800</f>
        <v>154701</v>
      </c>
      <c r="W802" s="320">
        <f>'Supply planning data'!Y800</f>
        <v>0</v>
      </c>
      <c r="X802" s="329">
        <f>'Supply planning data'!Z800</f>
        <v>0</v>
      </c>
      <c r="Y802" s="105">
        <f>'Supply planning data'!AA800</f>
        <v>0</v>
      </c>
      <c r="Z802" s="105">
        <f>'Supply planning data'!AB800</f>
        <v>0</v>
      </c>
      <c r="AA802" s="105">
        <f>'Supply planning data'!AC800</f>
        <v>0</v>
      </c>
      <c r="AB802" s="105">
        <f>'Supply planning data'!AD800</f>
        <v>0</v>
      </c>
      <c r="AC802" s="105">
        <f>'Supply planning data'!AE800</f>
        <v>154701</v>
      </c>
      <c r="AD802" s="326" t="str">
        <f>'Supply planning data'!AF800</f>
        <v/>
      </c>
      <c r="AE802" s="105">
        <f>'Supply planning data'!AG800</f>
        <v>0</v>
      </c>
      <c r="AF802" s="320">
        <f>'Supply planning data'!AH800</f>
        <v>0</v>
      </c>
      <c r="AG802" s="177">
        <f>'Supply planning data'!AI800</f>
        <v>0</v>
      </c>
      <c r="AH802" s="105">
        <f>'Supply planning data'!AJ800</f>
        <v>0</v>
      </c>
      <c r="AI802" s="105">
        <f>'Supply planning data'!AK800</f>
        <v>0</v>
      </c>
      <c r="AJ802" s="105">
        <f>'Supply planning data'!AL800</f>
        <v>0</v>
      </c>
      <c r="AK802" s="105">
        <f>'Supply planning data'!AM800</f>
        <v>0</v>
      </c>
      <c r="AL802" s="105">
        <f>'Supply planning data'!AN800</f>
        <v>0</v>
      </c>
      <c r="AM802" s="326" t="str">
        <f>'Supply planning data'!AO800</f>
        <v/>
      </c>
    </row>
    <row r="803" spans="1:39" x14ac:dyDescent="0.25">
      <c r="A803" s="109" t="str">
        <f>'Supply planning data'!C801</f>
        <v>Jansen</v>
      </c>
      <c r="B803" s="298">
        <f>'Supply planning data'!D801</f>
        <v>45809</v>
      </c>
      <c r="C803" s="105" t="str">
        <f>'Supply planning data'!E801</f>
        <v>Yes</v>
      </c>
      <c r="D803" s="105">
        <f>'Supply planning data'!F801</f>
        <v>1871200</v>
      </c>
      <c r="E803" s="320">
        <f>'Supply planning data'!G801</f>
        <v>0</v>
      </c>
      <c r="F803" s="320">
        <f>'Supply planning data'!H801</f>
        <v>0</v>
      </c>
      <c r="G803" s="320">
        <f>'Supply planning data'!I801</f>
        <v>0</v>
      </c>
      <c r="H803" s="105">
        <f>'Supply planning data'!J801</f>
        <v>0</v>
      </c>
      <c r="I803" s="320">
        <f>'Supply planning data'!K801</f>
        <v>0</v>
      </c>
      <c r="J803" s="177" t="str">
        <f>'Supply planning data'!L801</f>
        <v/>
      </c>
      <c r="K803" s="105">
        <f>'Supply planning data'!M801</f>
        <v>0</v>
      </c>
      <c r="L803" s="321">
        <f>'Supply planning data'!N801+'Supply planning data'!P801</f>
        <v>0</v>
      </c>
      <c r="M803" s="342">
        <f>'Supply planning data'!O801</f>
        <v>0</v>
      </c>
      <c r="N803" s="321">
        <f>'Supply planning data'!P801</f>
        <v>0</v>
      </c>
      <c r="O803" s="342">
        <f>'Supply planning data'!Q801</f>
        <v>0</v>
      </c>
      <c r="P803" s="111">
        <f>'Supply planning data'!R801</f>
        <v>0</v>
      </c>
      <c r="Q803" s="111">
        <f>'Supply planning data'!S801</f>
        <v>0</v>
      </c>
      <c r="R803" s="111">
        <f>'Supply planning data'!T801</f>
        <v>387547</v>
      </c>
      <c r="S803" s="111">
        <f>'Supply planning data'!U801</f>
        <v>0</v>
      </c>
      <c r="T803" s="111">
        <f>'Supply planning data'!V801</f>
        <v>1871200</v>
      </c>
      <c r="U803" s="327" t="str">
        <f>'Supply planning data'!W801</f>
        <v/>
      </c>
      <c r="V803" s="111">
        <f>'Supply planning data'!X801</f>
        <v>1311200</v>
      </c>
      <c r="W803" s="321">
        <f>'Supply planning data'!Y801</f>
        <v>0</v>
      </c>
      <c r="X803" s="329">
        <f>'Supply planning data'!Z801</f>
        <v>0</v>
      </c>
      <c r="Y803" s="111">
        <f>'Supply planning data'!AA801</f>
        <v>0</v>
      </c>
      <c r="Z803" s="111">
        <f>'Supply planning data'!AB801</f>
        <v>0</v>
      </c>
      <c r="AA803" s="111">
        <f>'Supply planning data'!AC801</f>
        <v>0</v>
      </c>
      <c r="AB803" s="111">
        <f>'Supply planning data'!AD801</f>
        <v>0</v>
      </c>
      <c r="AC803" s="111">
        <f>'Supply planning data'!AE801</f>
        <v>1311200</v>
      </c>
      <c r="AD803" s="327" t="str">
        <f>'Supply planning data'!AF801</f>
        <v/>
      </c>
      <c r="AE803" s="111">
        <f>'Supply planning data'!AG801</f>
        <v>1871200</v>
      </c>
      <c r="AF803" s="321">
        <f>'Supply planning data'!AH801</f>
        <v>0</v>
      </c>
      <c r="AG803" s="349">
        <f>'Supply planning data'!AI801</f>
        <v>0</v>
      </c>
      <c r="AH803" s="111">
        <f>'Supply planning data'!AJ801</f>
        <v>0</v>
      </c>
      <c r="AI803" s="111">
        <f>'Supply planning data'!AK801</f>
        <v>0</v>
      </c>
      <c r="AJ803" s="111">
        <f>'Supply planning data'!AL801</f>
        <v>387547</v>
      </c>
      <c r="AK803" s="111">
        <f>'Supply planning data'!AM801</f>
        <v>0</v>
      </c>
      <c r="AL803" s="111">
        <f>'Supply planning data'!AN801</f>
        <v>1871200</v>
      </c>
      <c r="AM803" s="327" t="str">
        <f>'Supply planning data'!AO801</f>
        <v/>
      </c>
    </row>
    <row r="804" spans="1:39" x14ac:dyDescent="0.25">
      <c r="A804" s="104" t="str">
        <f>'Supply planning data'!C802</f>
        <v>Moderna</v>
      </c>
      <c r="B804" s="298">
        <f>'Supply planning data'!D802</f>
        <v>45809</v>
      </c>
      <c r="C804" s="105" t="str">
        <f>'Supply planning data'!E802</f>
        <v>No</v>
      </c>
      <c r="D804" s="105">
        <f>'Supply planning data'!F802</f>
        <v>0</v>
      </c>
      <c r="E804" s="320">
        <f>'Supply planning data'!G802</f>
        <v>0</v>
      </c>
      <c r="F804" s="320">
        <f>'Supply planning data'!H802</f>
        <v>0</v>
      </c>
      <c r="G804" s="320">
        <f>'Supply planning data'!I802</f>
        <v>0</v>
      </c>
      <c r="H804" s="105">
        <f>'Supply planning data'!J802</f>
        <v>0</v>
      </c>
      <c r="I804" s="320">
        <f>'Supply planning data'!K802</f>
        <v>0</v>
      </c>
      <c r="J804" s="177" t="str">
        <f>'Supply planning data'!L802</f>
        <v/>
      </c>
      <c r="K804" s="105">
        <f>'Supply planning data'!M802</f>
        <v>0</v>
      </c>
      <c r="L804" s="321">
        <f>'Supply planning data'!N802+'Supply planning data'!P802</f>
        <v>0</v>
      </c>
      <c r="M804" s="342">
        <f>'Supply planning data'!O802</f>
        <v>0</v>
      </c>
      <c r="N804" s="321">
        <f>'Supply planning data'!P802</f>
        <v>0</v>
      </c>
      <c r="O804" s="342">
        <f>'Supply planning data'!Q802</f>
        <v>0</v>
      </c>
      <c r="P804" s="111">
        <f>'Supply planning data'!R802</f>
        <v>0</v>
      </c>
      <c r="Q804" s="111">
        <f>'Supply planning data'!S802</f>
        <v>0</v>
      </c>
      <c r="R804" s="111">
        <f>'Supply planning data'!T802</f>
        <v>0</v>
      </c>
      <c r="S804" s="111">
        <f>'Supply planning data'!U802</f>
        <v>0</v>
      </c>
      <c r="T804" s="111">
        <f>'Supply planning data'!V802</f>
        <v>0</v>
      </c>
      <c r="U804" s="327" t="str">
        <f>'Supply planning data'!W802</f>
        <v/>
      </c>
      <c r="V804" s="111">
        <f>'Supply planning data'!X802</f>
        <v>0</v>
      </c>
      <c r="W804" s="321">
        <f>'Supply planning data'!Y802</f>
        <v>0</v>
      </c>
      <c r="X804" s="329">
        <f>'Supply planning data'!Z802</f>
        <v>0</v>
      </c>
      <c r="Y804" s="111">
        <f>'Supply planning data'!AA802</f>
        <v>0</v>
      </c>
      <c r="Z804" s="111">
        <f>'Supply planning data'!AB802</f>
        <v>0</v>
      </c>
      <c r="AA804" s="111">
        <f>'Supply planning data'!AC802</f>
        <v>0</v>
      </c>
      <c r="AB804" s="111">
        <f>'Supply planning data'!AD802</f>
        <v>0</v>
      </c>
      <c r="AC804" s="111">
        <f>'Supply planning data'!AE802</f>
        <v>0</v>
      </c>
      <c r="AD804" s="327" t="str">
        <f>'Supply planning data'!AF802</f>
        <v/>
      </c>
      <c r="AE804" s="111">
        <f>'Supply planning data'!AG802</f>
        <v>0</v>
      </c>
      <c r="AF804" s="321">
        <f>'Supply planning data'!AH802</f>
        <v>0</v>
      </c>
      <c r="AG804" s="349">
        <f>'Supply planning data'!AI802</f>
        <v>0</v>
      </c>
      <c r="AH804" s="111">
        <f>'Supply planning data'!AJ802</f>
        <v>0</v>
      </c>
      <c r="AI804" s="111">
        <f>'Supply planning data'!AK802</f>
        <v>0</v>
      </c>
      <c r="AJ804" s="111">
        <f>'Supply planning data'!AL802</f>
        <v>0</v>
      </c>
      <c r="AK804" s="111">
        <f>'Supply planning data'!AM802</f>
        <v>0</v>
      </c>
      <c r="AL804" s="111">
        <f>'Supply planning data'!AN802</f>
        <v>0</v>
      </c>
      <c r="AM804" s="327" t="str">
        <f>'Supply planning data'!AO802</f>
        <v/>
      </c>
    </row>
    <row r="805" spans="1:39" x14ac:dyDescent="0.25">
      <c r="A805" s="109" t="str">
        <f>'Supply planning data'!C803</f>
        <v>Pfizer</v>
      </c>
      <c r="B805" s="298">
        <f>'Supply planning data'!D803</f>
        <v>45809</v>
      </c>
      <c r="C805" s="105" t="str">
        <f>'Supply planning data'!E803</f>
        <v>Yes</v>
      </c>
      <c r="D805" s="105">
        <f>'Supply planning data'!F803</f>
        <v>3000000</v>
      </c>
      <c r="E805" s="320">
        <f>'Supply planning data'!G803</f>
        <v>0</v>
      </c>
      <c r="F805" s="320">
        <f>'Supply planning data'!H803</f>
        <v>0</v>
      </c>
      <c r="G805" s="320">
        <f>'Supply planning data'!I803</f>
        <v>0</v>
      </c>
      <c r="H805" s="105">
        <f>'Supply planning data'!J803</f>
        <v>0</v>
      </c>
      <c r="I805" s="320">
        <f>'Supply planning data'!K803</f>
        <v>0</v>
      </c>
      <c r="J805" s="177" t="str">
        <f>'Supply planning data'!L803</f>
        <v/>
      </c>
      <c r="K805" s="105">
        <f>'Supply planning data'!M803</f>
        <v>0</v>
      </c>
      <c r="L805" s="321">
        <f>'Supply planning data'!N803+'Supply planning data'!P803</f>
        <v>0</v>
      </c>
      <c r="M805" s="342">
        <f>'Supply planning data'!O803</f>
        <v>0</v>
      </c>
      <c r="N805" s="321">
        <f>'Supply planning data'!P803</f>
        <v>0</v>
      </c>
      <c r="O805" s="342">
        <f>'Supply planning data'!Q803</f>
        <v>0</v>
      </c>
      <c r="P805" s="111">
        <f>'Supply planning data'!R803</f>
        <v>0</v>
      </c>
      <c r="Q805" s="111">
        <f>'Supply planning data'!S803</f>
        <v>0</v>
      </c>
      <c r="R805" s="111">
        <f>'Supply planning data'!T803</f>
        <v>110538</v>
      </c>
      <c r="S805" s="111">
        <f>'Supply planning data'!U803</f>
        <v>0</v>
      </c>
      <c r="T805" s="111">
        <f>'Supply planning data'!V803</f>
        <v>3000000</v>
      </c>
      <c r="U805" s="327" t="str">
        <f>'Supply planning data'!W803</f>
        <v/>
      </c>
      <c r="V805" s="111">
        <f>'Supply planning data'!X803</f>
        <v>2440000</v>
      </c>
      <c r="W805" s="321">
        <f>'Supply planning data'!Y803</f>
        <v>0</v>
      </c>
      <c r="X805" s="329">
        <f>'Supply planning data'!Z803</f>
        <v>0</v>
      </c>
      <c r="Y805" s="111">
        <f>'Supply planning data'!AA803</f>
        <v>0</v>
      </c>
      <c r="Z805" s="111">
        <f>'Supply planning data'!AB803</f>
        <v>0</v>
      </c>
      <c r="AA805" s="111">
        <f>'Supply planning data'!AC803</f>
        <v>0</v>
      </c>
      <c r="AB805" s="111">
        <f>'Supply planning data'!AD803</f>
        <v>0</v>
      </c>
      <c r="AC805" s="111">
        <f>'Supply planning data'!AE803</f>
        <v>2440000</v>
      </c>
      <c r="AD805" s="327" t="str">
        <f>'Supply planning data'!AF803</f>
        <v/>
      </c>
      <c r="AE805" s="111">
        <f>'Supply planning data'!AG803</f>
        <v>3000000</v>
      </c>
      <c r="AF805" s="321">
        <f>'Supply planning data'!AH803</f>
        <v>0</v>
      </c>
      <c r="AG805" s="349">
        <f>'Supply planning data'!AI803</f>
        <v>0</v>
      </c>
      <c r="AH805" s="111">
        <f>'Supply planning data'!AJ803</f>
        <v>0</v>
      </c>
      <c r="AI805" s="111">
        <f>'Supply planning data'!AK803</f>
        <v>0</v>
      </c>
      <c r="AJ805" s="111">
        <f>'Supply planning data'!AL803</f>
        <v>110538</v>
      </c>
      <c r="AK805" s="111">
        <f>'Supply planning data'!AM803</f>
        <v>0</v>
      </c>
      <c r="AL805" s="111">
        <f>'Supply planning data'!AN803</f>
        <v>3000000</v>
      </c>
      <c r="AM805" s="327" t="str">
        <f>'Supply planning data'!AO803</f>
        <v/>
      </c>
    </row>
    <row r="806" spans="1:39" x14ac:dyDescent="0.25">
      <c r="A806" s="104" t="str">
        <f>'Supply planning data'!C804</f>
        <v>Sinovac</v>
      </c>
      <c r="B806" s="298">
        <f>'Supply planning data'!D804</f>
        <v>45809</v>
      </c>
      <c r="C806" s="105" t="str">
        <f>'Supply planning data'!E804</f>
        <v>No</v>
      </c>
      <c r="D806" s="105">
        <f>'Supply planning data'!F804</f>
        <v>0</v>
      </c>
      <c r="E806" s="320">
        <f>'Supply planning data'!G804</f>
        <v>0</v>
      </c>
      <c r="F806" s="320">
        <f>'Supply planning data'!H804</f>
        <v>0</v>
      </c>
      <c r="G806" s="320">
        <f>'Supply planning data'!I804</f>
        <v>0</v>
      </c>
      <c r="H806" s="105">
        <f>'Supply planning data'!J804</f>
        <v>0</v>
      </c>
      <c r="I806" s="320">
        <f>'Supply planning data'!K804</f>
        <v>0</v>
      </c>
      <c r="J806" s="177" t="str">
        <f>'Supply planning data'!L804</f>
        <v/>
      </c>
      <c r="K806" s="105">
        <f>'Supply planning data'!M804</f>
        <v>0</v>
      </c>
      <c r="L806" s="321">
        <f>'Supply planning data'!N804+'Supply planning data'!P804</f>
        <v>0</v>
      </c>
      <c r="M806" s="342">
        <f>'Supply planning data'!O804</f>
        <v>0</v>
      </c>
      <c r="N806" s="321">
        <f>'Supply planning data'!P804</f>
        <v>0</v>
      </c>
      <c r="O806" s="342">
        <f>'Supply planning data'!Q804</f>
        <v>0</v>
      </c>
      <c r="P806" s="111">
        <f>'Supply planning data'!R804</f>
        <v>0</v>
      </c>
      <c r="Q806" s="111">
        <f>'Supply planning data'!S804</f>
        <v>0</v>
      </c>
      <c r="R806" s="111">
        <f>'Supply planning data'!T804</f>
        <v>0</v>
      </c>
      <c r="S806" s="111">
        <f>'Supply planning data'!U804</f>
        <v>0</v>
      </c>
      <c r="T806" s="111">
        <f>'Supply planning data'!V804</f>
        <v>0</v>
      </c>
      <c r="U806" s="327" t="str">
        <f>'Supply planning data'!W804</f>
        <v/>
      </c>
      <c r="V806" s="111">
        <f>'Supply planning data'!X804</f>
        <v>0</v>
      </c>
      <c r="W806" s="321">
        <f>'Supply planning data'!Y804</f>
        <v>0</v>
      </c>
      <c r="X806" s="329">
        <f>'Supply planning data'!Z804</f>
        <v>0</v>
      </c>
      <c r="Y806" s="111">
        <f>'Supply planning data'!AA804</f>
        <v>0</v>
      </c>
      <c r="Z806" s="111">
        <f>'Supply planning data'!AB804</f>
        <v>0</v>
      </c>
      <c r="AA806" s="111">
        <f>'Supply planning data'!AC804</f>
        <v>0</v>
      </c>
      <c r="AB806" s="111">
        <f>'Supply planning data'!AD804</f>
        <v>0</v>
      </c>
      <c r="AC806" s="111">
        <f>'Supply planning data'!AE804</f>
        <v>0</v>
      </c>
      <c r="AD806" s="327" t="str">
        <f>'Supply planning data'!AF804</f>
        <v/>
      </c>
      <c r="AE806" s="111">
        <f>'Supply planning data'!AG804</f>
        <v>0</v>
      </c>
      <c r="AF806" s="321">
        <f>'Supply planning data'!AH804</f>
        <v>0</v>
      </c>
      <c r="AG806" s="349">
        <f>'Supply planning data'!AI804</f>
        <v>0</v>
      </c>
      <c r="AH806" s="111">
        <f>'Supply planning data'!AJ804</f>
        <v>0</v>
      </c>
      <c r="AI806" s="111">
        <f>'Supply planning data'!AK804</f>
        <v>0</v>
      </c>
      <c r="AJ806" s="111">
        <f>'Supply planning data'!AL804</f>
        <v>0</v>
      </c>
      <c r="AK806" s="111">
        <f>'Supply planning data'!AM804</f>
        <v>0</v>
      </c>
      <c r="AL806" s="111">
        <f>'Supply planning data'!AN804</f>
        <v>0</v>
      </c>
      <c r="AM806" s="327" t="str">
        <f>'Supply planning data'!AO804</f>
        <v/>
      </c>
    </row>
    <row r="807" spans="1:39" hidden="1" x14ac:dyDescent="0.25">
      <c r="A807" s="109" t="str">
        <f>'Supply planning data'!C805</f>
        <v/>
      </c>
      <c r="B807" s="298">
        <f>'Supply planning data'!D805</f>
        <v>45809</v>
      </c>
      <c r="C807" s="105" t="str">
        <f>'Supply planning data'!E805</f>
        <v>No</v>
      </c>
      <c r="D807" s="105">
        <f>'Supply planning data'!F805</f>
        <v>0</v>
      </c>
      <c r="E807" s="320">
        <f>'Supply planning data'!G805</f>
        <v>0</v>
      </c>
      <c r="F807" s="320">
        <f>'Supply planning data'!H805</f>
        <v>0</v>
      </c>
      <c r="G807" s="320">
        <f>'Supply planning data'!I805</f>
        <v>0</v>
      </c>
      <c r="H807" s="105">
        <f>'Supply planning data'!J805</f>
        <v>0</v>
      </c>
      <c r="I807" s="320">
        <f>'Supply planning data'!K805</f>
        <v>0</v>
      </c>
      <c r="J807" s="177" t="str">
        <f>'Supply planning data'!L805</f>
        <v/>
      </c>
      <c r="K807" s="105">
        <f>'Supply planning data'!M805</f>
        <v>0</v>
      </c>
      <c r="L807" s="321">
        <f>'Supply planning data'!N805+'Supply planning data'!P805</f>
        <v>0</v>
      </c>
      <c r="M807" s="342">
        <f>'Supply planning data'!O805</f>
        <v>0</v>
      </c>
      <c r="N807" s="321">
        <f>'Supply planning data'!P805</f>
        <v>0</v>
      </c>
      <c r="O807" s="342">
        <f>'Supply planning data'!Q805</f>
        <v>0</v>
      </c>
      <c r="P807" s="111">
        <f>'Supply planning data'!R805</f>
        <v>0</v>
      </c>
      <c r="Q807" s="111">
        <f>'Supply planning data'!S805</f>
        <v>0</v>
      </c>
      <c r="R807" s="111">
        <f>'Supply planning data'!T805</f>
        <v>0</v>
      </c>
      <c r="S807" s="111">
        <f>'Supply planning data'!U805</f>
        <v>0</v>
      </c>
      <c r="T807" s="111">
        <f>'Supply planning data'!V805</f>
        <v>0</v>
      </c>
      <c r="U807" s="327" t="str">
        <f>'Supply planning data'!W805</f>
        <v/>
      </c>
      <c r="V807" s="111">
        <f>'Supply planning data'!X805</f>
        <v>0</v>
      </c>
      <c r="W807" s="321">
        <f>'Supply planning data'!Y805</f>
        <v>0</v>
      </c>
      <c r="X807" s="329">
        <f>'Supply planning data'!Z805</f>
        <v>0</v>
      </c>
      <c r="Y807" s="111">
        <f>'Supply planning data'!AA805</f>
        <v>0</v>
      </c>
      <c r="Z807" s="111">
        <f>'Supply planning data'!AB805</f>
        <v>0</v>
      </c>
      <c r="AA807" s="111">
        <f>'Supply planning data'!AC805</f>
        <v>0</v>
      </c>
      <c r="AB807" s="111">
        <f>'Supply planning data'!AD805</f>
        <v>0</v>
      </c>
      <c r="AC807" s="111">
        <f>'Supply planning data'!AE805</f>
        <v>0</v>
      </c>
      <c r="AD807" s="327" t="str">
        <f>'Supply planning data'!AF805</f>
        <v/>
      </c>
      <c r="AE807" s="111">
        <f>'Supply planning data'!AG805</f>
        <v>0</v>
      </c>
      <c r="AF807" s="321">
        <f>'Supply planning data'!AH805</f>
        <v>0</v>
      </c>
      <c r="AG807" s="349">
        <f>'Supply planning data'!AI805</f>
        <v>0</v>
      </c>
      <c r="AH807" s="111">
        <f>'Supply planning data'!AJ805</f>
        <v>0</v>
      </c>
      <c r="AI807" s="111">
        <f>'Supply planning data'!AK805</f>
        <v>0</v>
      </c>
      <c r="AJ807" s="111">
        <f>'Supply planning data'!AL805</f>
        <v>0</v>
      </c>
      <c r="AK807" s="111">
        <f>'Supply planning data'!AM805</f>
        <v>0</v>
      </c>
      <c r="AL807" s="111">
        <f>'Supply planning data'!AN805</f>
        <v>0</v>
      </c>
      <c r="AM807" s="327" t="str">
        <f>'Supply planning data'!AO805</f>
        <v/>
      </c>
    </row>
    <row r="808" spans="1:39" hidden="1" x14ac:dyDescent="0.25">
      <c r="A808" s="104" t="str">
        <f>'Supply planning data'!C806</f>
        <v/>
      </c>
      <c r="B808" s="298">
        <f>'Supply planning data'!D806</f>
        <v>45809</v>
      </c>
      <c r="C808" s="105" t="str">
        <f>'Supply planning data'!E806</f>
        <v>No</v>
      </c>
      <c r="D808" s="105">
        <f>'Supply planning data'!F806</f>
        <v>0</v>
      </c>
      <c r="E808" s="320">
        <f>'Supply planning data'!G806</f>
        <v>0</v>
      </c>
      <c r="F808" s="320">
        <f>'Supply planning data'!H806</f>
        <v>0</v>
      </c>
      <c r="G808" s="320">
        <f>'Supply planning data'!I806</f>
        <v>0</v>
      </c>
      <c r="H808" s="105">
        <f>'Supply planning data'!J806</f>
        <v>0</v>
      </c>
      <c r="I808" s="320">
        <f>'Supply planning data'!K806</f>
        <v>0</v>
      </c>
      <c r="J808" s="177" t="str">
        <f>'Supply planning data'!L806</f>
        <v/>
      </c>
      <c r="K808" s="105">
        <f>'Supply planning data'!M806</f>
        <v>0</v>
      </c>
      <c r="L808" s="321">
        <f>'Supply planning data'!N806+'Supply planning data'!P806</f>
        <v>0</v>
      </c>
      <c r="M808" s="342">
        <f>'Supply planning data'!O806</f>
        <v>0</v>
      </c>
      <c r="N808" s="321">
        <f>'Supply planning data'!P806</f>
        <v>0</v>
      </c>
      <c r="O808" s="342">
        <f>'Supply planning data'!Q806</f>
        <v>0</v>
      </c>
      <c r="P808" s="111">
        <f>'Supply planning data'!R806</f>
        <v>0</v>
      </c>
      <c r="Q808" s="111">
        <f>'Supply planning data'!S806</f>
        <v>0</v>
      </c>
      <c r="R808" s="111">
        <f>'Supply planning data'!T806</f>
        <v>0</v>
      </c>
      <c r="S808" s="111">
        <f>'Supply planning data'!U806</f>
        <v>0</v>
      </c>
      <c r="T808" s="111">
        <f>'Supply planning data'!V806</f>
        <v>0</v>
      </c>
      <c r="U808" s="327" t="str">
        <f>'Supply planning data'!W806</f>
        <v/>
      </c>
      <c r="V808" s="111">
        <f>'Supply planning data'!X806</f>
        <v>0</v>
      </c>
      <c r="W808" s="321">
        <f>'Supply planning data'!Y806</f>
        <v>0</v>
      </c>
      <c r="X808" s="329">
        <f>'Supply planning data'!Z806</f>
        <v>0</v>
      </c>
      <c r="Y808" s="111">
        <f>'Supply planning data'!AA806</f>
        <v>0</v>
      </c>
      <c r="Z808" s="111">
        <f>'Supply planning data'!AB806</f>
        <v>0</v>
      </c>
      <c r="AA808" s="111">
        <f>'Supply planning data'!AC806</f>
        <v>0</v>
      </c>
      <c r="AB808" s="111">
        <f>'Supply planning data'!AD806</f>
        <v>0</v>
      </c>
      <c r="AC808" s="111">
        <f>'Supply planning data'!AE806</f>
        <v>0</v>
      </c>
      <c r="AD808" s="327" t="str">
        <f>'Supply planning data'!AF806</f>
        <v/>
      </c>
      <c r="AE808" s="111">
        <f>'Supply planning data'!AG806</f>
        <v>0</v>
      </c>
      <c r="AF808" s="321">
        <f>'Supply planning data'!AH806</f>
        <v>0</v>
      </c>
      <c r="AG808" s="349">
        <f>'Supply planning data'!AI806</f>
        <v>0</v>
      </c>
      <c r="AH808" s="111">
        <f>'Supply planning data'!AJ806</f>
        <v>0</v>
      </c>
      <c r="AI808" s="111">
        <f>'Supply planning data'!AK806</f>
        <v>0</v>
      </c>
      <c r="AJ808" s="111">
        <f>'Supply planning data'!AL806</f>
        <v>0</v>
      </c>
      <c r="AK808" s="111">
        <f>'Supply planning data'!AM806</f>
        <v>0</v>
      </c>
      <c r="AL808" s="111">
        <f>'Supply planning data'!AN806</f>
        <v>0</v>
      </c>
      <c r="AM808" s="327" t="str">
        <f>'Supply planning data'!AO806</f>
        <v/>
      </c>
    </row>
    <row r="809" spans="1:39" hidden="1" x14ac:dyDescent="0.25">
      <c r="A809" s="109" t="str">
        <f>'Supply planning data'!C807</f>
        <v/>
      </c>
      <c r="B809" s="298">
        <f>'Supply planning data'!D807</f>
        <v>45809</v>
      </c>
      <c r="C809" s="105" t="str">
        <f>'Supply planning data'!E807</f>
        <v>No</v>
      </c>
      <c r="D809" s="105">
        <f>'Supply planning data'!F807</f>
        <v>0</v>
      </c>
      <c r="E809" s="320">
        <f>'Supply planning data'!G807</f>
        <v>0</v>
      </c>
      <c r="F809" s="320">
        <f>'Supply planning data'!H807</f>
        <v>0</v>
      </c>
      <c r="G809" s="320">
        <f>'Supply planning data'!I807</f>
        <v>0</v>
      </c>
      <c r="H809" s="105">
        <f>'Supply planning data'!J807</f>
        <v>0</v>
      </c>
      <c r="I809" s="320">
        <f>'Supply planning data'!K807</f>
        <v>0</v>
      </c>
      <c r="J809" s="177" t="str">
        <f>'Supply planning data'!L807</f>
        <v/>
      </c>
      <c r="K809" s="105">
        <f>'Supply planning data'!M807</f>
        <v>0</v>
      </c>
      <c r="L809" s="321">
        <f>'Supply planning data'!N807+'Supply planning data'!P807</f>
        <v>0</v>
      </c>
      <c r="M809" s="342">
        <f>'Supply planning data'!O807</f>
        <v>0</v>
      </c>
      <c r="N809" s="321">
        <f>'Supply planning data'!P807</f>
        <v>0</v>
      </c>
      <c r="O809" s="342">
        <f>'Supply planning data'!Q807</f>
        <v>0</v>
      </c>
      <c r="P809" s="111">
        <f>'Supply planning data'!R807</f>
        <v>0</v>
      </c>
      <c r="Q809" s="111">
        <f>'Supply planning data'!S807</f>
        <v>0</v>
      </c>
      <c r="R809" s="111">
        <f>'Supply planning data'!T807</f>
        <v>0</v>
      </c>
      <c r="S809" s="111">
        <f>'Supply planning data'!U807</f>
        <v>0</v>
      </c>
      <c r="T809" s="111">
        <f>'Supply planning data'!V807</f>
        <v>0</v>
      </c>
      <c r="U809" s="327" t="str">
        <f>'Supply planning data'!W807</f>
        <v/>
      </c>
      <c r="V809" s="111">
        <f>'Supply planning data'!X807</f>
        <v>0</v>
      </c>
      <c r="W809" s="321">
        <f>'Supply planning data'!Y807</f>
        <v>0</v>
      </c>
      <c r="X809" s="329">
        <f>'Supply planning data'!Z807</f>
        <v>0</v>
      </c>
      <c r="Y809" s="111">
        <f>'Supply planning data'!AA807</f>
        <v>0</v>
      </c>
      <c r="Z809" s="111">
        <f>'Supply planning data'!AB807</f>
        <v>0</v>
      </c>
      <c r="AA809" s="111">
        <f>'Supply planning data'!AC807</f>
        <v>0</v>
      </c>
      <c r="AB809" s="111">
        <f>'Supply planning data'!AD807</f>
        <v>0</v>
      </c>
      <c r="AC809" s="111">
        <f>'Supply planning data'!AE807</f>
        <v>0</v>
      </c>
      <c r="AD809" s="327" t="str">
        <f>'Supply planning data'!AF807</f>
        <v/>
      </c>
      <c r="AE809" s="111">
        <f>'Supply planning data'!AG807</f>
        <v>0</v>
      </c>
      <c r="AF809" s="321">
        <f>'Supply planning data'!AH807</f>
        <v>0</v>
      </c>
      <c r="AG809" s="349">
        <f>'Supply planning data'!AI807</f>
        <v>0</v>
      </c>
      <c r="AH809" s="111">
        <f>'Supply planning data'!AJ807</f>
        <v>0</v>
      </c>
      <c r="AI809" s="111">
        <f>'Supply planning data'!AK807</f>
        <v>0</v>
      </c>
      <c r="AJ809" s="111">
        <f>'Supply planning data'!AL807</f>
        <v>0</v>
      </c>
      <c r="AK809" s="111">
        <f>'Supply planning data'!AM807</f>
        <v>0</v>
      </c>
      <c r="AL809" s="111">
        <f>'Supply planning data'!AN807</f>
        <v>0</v>
      </c>
      <c r="AM809" s="327" t="str">
        <f>'Supply planning data'!AO807</f>
        <v/>
      </c>
    </row>
    <row r="810" spans="1:39" hidden="1" x14ac:dyDescent="0.25">
      <c r="A810" s="104" t="str">
        <f>'Supply planning data'!C808</f>
        <v/>
      </c>
      <c r="B810" s="298">
        <f>'Supply planning data'!D808</f>
        <v>45809</v>
      </c>
      <c r="C810" s="105" t="str">
        <f>'Supply planning data'!E808</f>
        <v>No</v>
      </c>
      <c r="D810" s="105">
        <f>'Supply planning data'!F808</f>
        <v>0</v>
      </c>
      <c r="E810" s="320">
        <f>'Supply planning data'!G808</f>
        <v>0</v>
      </c>
      <c r="F810" s="320">
        <f>'Supply planning data'!H808</f>
        <v>0</v>
      </c>
      <c r="G810" s="320">
        <f>'Supply planning data'!I808</f>
        <v>0</v>
      </c>
      <c r="H810" s="105">
        <f>'Supply planning data'!J808</f>
        <v>0</v>
      </c>
      <c r="I810" s="320">
        <f>'Supply planning data'!K808</f>
        <v>0</v>
      </c>
      <c r="J810" s="177" t="str">
        <f>'Supply planning data'!L808</f>
        <v/>
      </c>
      <c r="K810" s="105">
        <f>'Supply planning data'!M808</f>
        <v>0</v>
      </c>
      <c r="L810" s="321">
        <f>'Supply planning data'!N808+'Supply planning data'!P808</f>
        <v>0</v>
      </c>
      <c r="M810" s="342">
        <f>'Supply planning data'!O808</f>
        <v>0</v>
      </c>
      <c r="N810" s="321">
        <f>'Supply planning data'!P808</f>
        <v>0</v>
      </c>
      <c r="O810" s="342">
        <f>'Supply planning data'!Q808</f>
        <v>0</v>
      </c>
      <c r="P810" s="111">
        <f>'Supply planning data'!R808</f>
        <v>0</v>
      </c>
      <c r="Q810" s="111">
        <f>'Supply planning data'!S808</f>
        <v>0</v>
      </c>
      <c r="R810" s="111">
        <f>'Supply planning data'!T808</f>
        <v>0</v>
      </c>
      <c r="S810" s="111">
        <f>'Supply planning data'!U808</f>
        <v>0</v>
      </c>
      <c r="T810" s="111">
        <f>'Supply planning data'!V808</f>
        <v>0</v>
      </c>
      <c r="U810" s="327" t="str">
        <f>'Supply planning data'!W808</f>
        <v/>
      </c>
      <c r="V810" s="111">
        <f>'Supply planning data'!X808</f>
        <v>0</v>
      </c>
      <c r="W810" s="321">
        <f>'Supply planning data'!Y808</f>
        <v>0</v>
      </c>
      <c r="X810" s="329">
        <f>'Supply planning data'!Z808</f>
        <v>0</v>
      </c>
      <c r="Y810" s="111">
        <f>'Supply planning data'!AA808</f>
        <v>0</v>
      </c>
      <c r="Z810" s="111">
        <f>'Supply planning data'!AB808</f>
        <v>0</v>
      </c>
      <c r="AA810" s="111">
        <f>'Supply planning data'!AC808</f>
        <v>0</v>
      </c>
      <c r="AB810" s="111">
        <f>'Supply planning data'!AD808</f>
        <v>0</v>
      </c>
      <c r="AC810" s="111">
        <f>'Supply planning data'!AE808</f>
        <v>0</v>
      </c>
      <c r="AD810" s="327" t="str">
        <f>'Supply planning data'!AF808</f>
        <v/>
      </c>
      <c r="AE810" s="111">
        <f>'Supply planning data'!AG808</f>
        <v>0</v>
      </c>
      <c r="AF810" s="321">
        <f>'Supply planning data'!AH808</f>
        <v>0</v>
      </c>
      <c r="AG810" s="349">
        <f>'Supply planning data'!AI808</f>
        <v>0</v>
      </c>
      <c r="AH810" s="111">
        <f>'Supply planning data'!AJ808</f>
        <v>0</v>
      </c>
      <c r="AI810" s="111">
        <f>'Supply planning data'!AK808</f>
        <v>0</v>
      </c>
      <c r="AJ810" s="111">
        <f>'Supply planning data'!AL808</f>
        <v>0</v>
      </c>
      <c r="AK810" s="111">
        <f>'Supply planning data'!AM808</f>
        <v>0</v>
      </c>
      <c r="AL810" s="111">
        <f>'Supply planning data'!AN808</f>
        <v>0</v>
      </c>
      <c r="AM810" s="327" t="str">
        <f>'Supply planning data'!AO808</f>
        <v/>
      </c>
    </row>
    <row r="811" spans="1:39" hidden="1" x14ac:dyDescent="0.25">
      <c r="A811" s="109" t="str">
        <f>'Supply planning data'!C809</f>
        <v/>
      </c>
      <c r="B811" s="298">
        <f>'Supply planning data'!D809</f>
        <v>45809</v>
      </c>
      <c r="C811" s="105" t="str">
        <f>'Supply planning data'!E809</f>
        <v>No</v>
      </c>
      <c r="D811" s="105">
        <f>'Supply planning data'!F809</f>
        <v>0</v>
      </c>
      <c r="E811" s="320">
        <f>'Supply planning data'!G809</f>
        <v>0</v>
      </c>
      <c r="F811" s="320">
        <f>'Supply planning data'!H809</f>
        <v>0</v>
      </c>
      <c r="G811" s="320">
        <f>'Supply planning data'!I809</f>
        <v>0</v>
      </c>
      <c r="H811" s="105">
        <f>'Supply planning data'!J809</f>
        <v>0</v>
      </c>
      <c r="I811" s="320">
        <f>'Supply planning data'!K809</f>
        <v>0</v>
      </c>
      <c r="J811" s="177" t="str">
        <f>'Supply planning data'!L809</f>
        <v/>
      </c>
      <c r="K811" s="105">
        <f>'Supply planning data'!M809</f>
        <v>0</v>
      </c>
      <c r="L811" s="321">
        <f>'Supply planning data'!N809+'Supply planning data'!P809</f>
        <v>0</v>
      </c>
      <c r="M811" s="342">
        <f>'Supply planning data'!O809</f>
        <v>0</v>
      </c>
      <c r="N811" s="321">
        <f>'Supply planning data'!P809</f>
        <v>0</v>
      </c>
      <c r="O811" s="342">
        <f>'Supply planning data'!Q809</f>
        <v>0</v>
      </c>
      <c r="P811" s="111">
        <f>'Supply planning data'!R809</f>
        <v>0</v>
      </c>
      <c r="Q811" s="111">
        <f>'Supply planning data'!S809</f>
        <v>0</v>
      </c>
      <c r="R811" s="111">
        <f>'Supply planning data'!T809</f>
        <v>0</v>
      </c>
      <c r="S811" s="111">
        <f>'Supply planning data'!U809</f>
        <v>0</v>
      </c>
      <c r="T811" s="111">
        <f>'Supply planning data'!V809</f>
        <v>0</v>
      </c>
      <c r="U811" s="327" t="str">
        <f>'Supply planning data'!W809</f>
        <v/>
      </c>
      <c r="V811" s="111">
        <f>'Supply planning data'!X809</f>
        <v>0</v>
      </c>
      <c r="W811" s="321">
        <f>'Supply planning data'!Y809</f>
        <v>0</v>
      </c>
      <c r="X811" s="329">
        <f>'Supply planning data'!Z809</f>
        <v>0</v>
      </c>
      <c r="Y811" s="111">
        <f>'Supply planning data'!AA809</f>
        <v>0</v>
      </c>
      <c r="Z811" s="111">
        <f>'Supply planning data'!AB809</f>
        <v>0</v>
      </c>
      <c r="AA811" s="111">
        <f>'Supply planning data'!AC809</f>
        <v>0</v>
      </c>
      <c r="AB811" s="111">
        <f>'Supply planning data'!AD809</f>
        <v>0</v>
      </c>
      <c r="AC811" s="111">
        <f>'Supply planning data'!AE809</f>
        <v>0</v>
      </c>
      <c r="AD811" s="327" t="str">
        <f>'Supply planning data'!AF809</f>
        <v/>
      </c>
      <c r="AE811" s="111">
        <f>'Supply planning data'!AG809</f>
        <v>0</v>
      </c>
      <c r="AF811" s="321">
        <f>'Supply planning data'!AH809</f>
        <v>0</v>
      </c>
      <c r="AG811" s="349">
        <f>'Supply planning data'!AI809</f>
        <v>0</v>
      </c>
      <c r="AH811" s="111">
        <f>'Supply planning data'!AJ809</f>
        <v>0</v>
      </c>
      <c r="AI811" s="111">
        <f>'Supply planning data'!AK809</f>
        <v>0</v>
      </c>
      <c r="AJ811" s="111">
        <f>'Supply planning data'!AL809</f>
        <v>0</v>
      </c>
      <c r="AK811" s="111">
        <f>'Supply planning data'!AM809</f>
        <v>0</v>
      </c>
      <c r="AL811" s="111">
        <f>'Supply planning data'!AN809</f>
        <v>0</v>
      </c>
      <c r="AM811" s="327" t="str">
        <f>'Supply planning data'!AO809</f>
        <v/>
      </c>
    </row>
    <row r="812" spans="1:39" hidden="1" x14ac:dyDescent="0.25">
      <c r="A812" s="104" t="str">
        <f>'Supply planning data'!C810</f>
        <v/>
      </c>
      <c r="B812" s="298">
        <f>'Supply planning data'!D810</f>
        <v>45809</v>
      </c>
      <c r="C812" s="105" t="str">
        <f>'Supply planning data'!E810</f>
        <v>No</v>
      </c>
      <c r="D812" s="105">
        <f>'Supply planning data'!F810</f>
        <v>0</v>
      </c>
      <c r="E812" s="320">
        <f>'Supply planning data'!G810</f>
        <v>0</v>
      </c>
      <c r="F812" s="320">
        <f>'Supply planning data'!H810</f>
        <v>0</v>
      </c>
      <c r="G812" s="320">
        <f>'Supply planning data'!I810</f>
        <v>0</v>
      </c>
      <c r="H812" s="105">
        <f>'Supply planning data'!J810</f>
        <v>0</v>
      </c>
      <c r="I812" s="320">
        <f>'Supply planning data'!K810</f>
        <v>0</v>
      </c>
      <c r="J812" s="177" t="str">
        <f>'Supply planning data'!L810</f>
        <v/>
      </c>
      <c r="K812" s="105">
        <f>'Supply planning data'!M810</f>
        <v>0</v>
      </c>
      <c r="L812" s="321">
        <f>'Supply planning data'!N810+'Supply planning data'!P810</f>
        <v>0</v>
      </c>
      <c r="M812" s="342">
        <f>'Supply planning data'!O810</f>
        <v>0</v>
      </c>
      <c r="N812" s="321">
        <f>'Supply planning data'!P810</f>
        <v>0</v>
      </c>
      <c r="O812" s="342">
        <f>'Supply planning data'!Q810</f>
        <v>0</v>
      </c>
      <c r="P812" s="111">
        <f>'Supply planning data'!R810</f>
        <v>0</v>
      </c>
      <c r="Q812" s="111">
        <f>'Supply planning data'!S810</f>
        <v>0</v>
      </c>
      <c r="R812" s="111">
        <f>'Supply planning data'!T810</f>
        <v>0</v>
      </c>
      <c r="S812" s="111">
        <f>'Supply planning data'!U810</f>
        <v>0</v>
      </c>
      <c r="T812" s="111">
        <f>'Supply planning data'!V810</f>
        <v>0</v>
      </c>
      <c r="U812" s="327" t="str">
        <f>'Supply planning data'!W810</f>
        <v/>
      </c>
      <c r="V812" s="111">
        <f>'Supply planning data'!X810</f>
        <v>0</v>
      </c>
      <c r="W812" s="321">
        <f>'Supply planning data'!Y810</f>
        <v>0</v>
      </c>
      <c r="X812" s="329">
        <f>'Supply planning data'!Z810</f>
        <v>0</v>
      </c>
      <c r="Y812" s="111">
        <f>'Supply planning data'!AA810</f>
        <v>0</v>
      </c>
      <c r="Z812" s="111">
        <f>'Supply planning data'!AB810</f>
        <v>0</v>
      </c>
      <c r="AA812" s="111">
        <f>'Supply planning data'!AC810</f>
        <v>0</v>
      </c>
      <c r="AB812" s="111">
        <f>'Supply planning data'!AD810</f>
        <v>0</v>
      </c>
      <c r="AC812" s="111">
        <f>'Supply planning data'!AE810</f>
        <v>0</v>
      </c>
      <c r="AD812" s="327" t="str">
        <f>'Supply planning data'!AF810</f>
        <v/>
      </c>
      <c r="AE812" s="111">
        <f>'Supply planning data'!AG810</f>
        <v>0</v>
      </c>
      <c r="AF812" s="321">
        <f>'Supply planning data'!AH810</f>
        <v>0</v>
      </c>
      <c r="AG812" s="349">
        <f>'Supply planning data'!AI810</f>
        <v>0</v>
      </c>
      <c r="AH812" s="111">
        <f>'Supply planning data'!AJ810</f>
        <v>0</v>
      </c>
      <c r="AI812" s="111">
        <f>'Supply planning data'!AK810</f>
        <v>0</v>
      </c>
      <c r="AJ812" s="111">
        <f>'Supply planning data'!AL810</f>
        <v>0</v>
      </c>
      <c r="AK812" s="111">
        <f>'Supply planning data'!AM810</f>
        <v>0</v>
      </c>
      <c r="AL812" s="111">
        <f>'Supply planning data'!AN810</f>
        <v>0</v>
      </c>
      <c r="AM812" s="327" t="str">
        <f>'Supply planning data'!AO810</f>
        <v/>
      </c>
    </row>
    <row r="813" spans="1:39" hidden="1" x14ac:dyDescent="0.25">
      <c r="A813" s="109" t="str">
        <f>'Supply planning data'!C811</f>
        <v/>
      </c>
      <c r="B813" s="298">
        <f>'Supply planning data'!D811</f>
        <v>45809</v>
      </c>
      <c r="C813" s="105" t="str">
        <f>'Supply planning data'!E811</f>
        <v>No</v>
      </c>
      <c r="D813" s="105">
        <f>'Supply planning data'!F811</f>
        <v>0</v>
      </c>
      <c r="E813" s="320">
        <f>'Supply planning data'!G811</f>
        <v>0</v>
      </c>
      <c r="F813" s="320">
        <f>'Supply planning data'!H811</f>
        <v>0</v>
      </c>
      <c r="G813" s="320">
        <f>'Supply planning data'!I811</f>
        <v>0</v>
      </c>
      <c r="H813" s="105">
        <f>'Supply planning data'!J811</f>
        <v>0</v>
      </c>
      <c r="I813" s="320">
        <f>'Supply planning data'!K811</f>
        <v>0</v>
      </c>
      <c r="J813" s="177" t="str">
        <f>'Supply planning data'!L811</f>
        <v/>
      </c>
      <c r="K813" s="105">
        <f>'Supply planning data'!M811</f>
        <v>0</v>
      </c>
      <c r="L813" s="321">
        <f>'Supply planning data'!N811+'Supply planning data'!P811</f>
        <v>0</v>
      </c>
      <c r="M813" s="342">
        <f>'Supply planning data'!O811</f>
        <v>0</v>
      </c>
      <c r="N813" s="321">
        <f>'Supply planning data'!P811</f>
        <v>0</v>
      </c>
      <c r="O813" s="342">
        <f>'Supply planning data'!Q811</f>
        <v>0</v>
      </c>
      <c r="P813" s="111">
        <f>'Supply planning data'!R811</f>
        <v>0</v>
      </c>
      <c r="Q813" s="111">
        <f>'Supply planning data'!S811</f>
        <v>0</v>
      </c>
      <c r="R813" s="111">
        <f>'Supply planning data'!T811</f>
        <v>0</v>
      </c>
      <c r="S813" s="111">
        <f>'Supply planning data'!U811</f>
        <v>0</v>
      </c>
      <c r="T813" s="111">
        <f>'Supply planning data'!V811</f>
        <v>0</v>
      </c>
      <c r="U813" s="327" t="str">
        <f>'Supply planning data'!W811</f>
        <v/>
      </c>
      <c r="V813" s="111">
        <f>'Supply planning data'!X811</f>
        <v>0</v>
      </c>
      <c r="W813" s="321">
        <f>'Supply planning data'!Y811</f>
        <v>0</v>
      </c>
      <c r="X813" s="329">
        <f>'Supply planning data'!Z811</f>
        <v>0</v>
      </c>
      <c r="Y813" s="111">
        <f>'Supply planning data'!AA811</f>
        <v>0</v>
      </c>
      <c r="Z813" s="111">
        <f>'Supply planning data'!AB811</f>
        <v>0</v>
      </c>
      <c r="AA813" s="111">
        <f>'Supply planning data'!AC811</f>
        <v>0</v>
      </c>
      <c r="AB813" s="111">
        <f>'Supply planning data'!AD811</f>
        <v>0</v>
      </c>
      <c r="AC813" s="111">
        <f>'Supply planning data'!AE811</f>
        <v>0</v>
      </c>
      <c r="AD813" s="327" t="str">
        <f>'Supply planning data'!AF811</f>
        <v/>
      </c>
      <c r="AE813" s="111">
        <f>'Supply planning data'!AG811</f>
        <v>0</v>
      </c>
      <c r="AF813" s="321">
        <f>'Supply planning data'!AH811</f>
        <v>0</v>
      </c>
      <c r="AG813" s="349">
        <f>'Supply planning data'!AI811</f>
        <v>0</v>
      </c>
      <c r="AH813" s="111">
        <f>'Supply planning data'!AJ811</f>
        <v>0</v>
      </c>
      <c r="AI813" s="111">
        <f>'Supply planning data'!AK811</f>
        <v>0</v>
      </c>
      <c r="AJ813" s="111">
        <f>'Supply planning data'!AL811</f>
        <v>0</v>
      </c>
      <c r="AK813" s="111">
        <f>'Supply planning data'!AM811</f>
        <v>0</v>
      </c>
      <c r="AL813" s="111">
        <f>'Supply planning data'!AN811</f>
        <v>0</v>
      </c>
      <c r="AM813" s="327" t="str">
        <f>'Supply planning data'!AO811</f>
        <v/>
      </c>
    </row>
    <row r="814" spans="1:39" hidden="1" x14ac:dyDescent="0.25">
      <c r="A814" s="104" t="str">
        <f>'Supply planning data'!C812</f>
        <v/>
      </c>
      <c r="B814" s="298">
        <f>'Supply planning data'!D812</f>
        <v>45809</v>
      </c>
      <c r="C814" s="105" t="str">
        <f>'Supply planning data'!E812</f>
        <v>No</v>
      </c>
      <c r="D814" s="105">
        <f>'Supply planning data'!F812</f>
        <v>0</v>
      </c>
      <c r="E814" s="320">
        <f>'Supply planning data'!G812</f>
        <v>0</v>
      </c>
      <c r="F814" s="320">
        <f>'Supply planning data'!H812</f>
        <v>0</v>
      </c>
      <c r="G814" s="320">
        <f>'Supply planning data'!I812</f>
        <v>0</v>
      </c>
      <c r="H814" s="105">
        <f>'Supply planning data'!J812</f>
        <v>0</v>
      </c>
      <c r="I814" s="320">
        <f>'Supply planning data'!K812</f>
        <v>0</v>
      </c>
      <c r="J814" s="177" t="str">
        <f>'Supply planning data'!L812</f>
        <v/>
      </c>
      <c r="K814" s="105">
        <f>'Supply planning data'!M812</f>
        <v>0</v>
      </c>
      <c r="L814" s="321">
        <f>'Supply planning data'!N812+'Supply planning data'!P812</f>
        <v>0</v>
      </c>
      <c r="M814" s="342">
        <f>'Supply planning data'!O812</f>
        <v>0</v>
      </c>
      <c r="N814" s="321">
        <f>'Supply planning data'!P812</f>
        <v>0</v>
      </c>
      <c r="O814" s="342">
        <f>'Supply planning data'!Q812</f>
        <v>0</v>
      </c>
      <c r="P814" s="111">
        <f>'Supply planning data'!R812</f>
        <v>0</v>
      </c>
      <c r="Q814" s="111">
        <f>'Supply planning data'!S812</f>
        <v>0</v>
      </c>
      <c r="R814" s="111">
        <f>'Supply planning data'!T812</f>
        <v>0</v>
      </c>
      <c r="S814" s="111">
        <f>'Supply planning data'!U812</f>
        <v>0</v>
      </c>
      <c r="T814" s="111">
        <f>'Supply planning data'!V812</f>
        <v>0</v>
      </c>
      <c r="U814" s="327" t="str">
        <f>'Supply planning data'!W812</f>
        <v/>
      </c>
      <c r="V814" s="111">
        <f>'Supply planning data'!X812</f>
        <v>0</v>
      </c>
      <c r="W814" s="321">
        <f>'Supply planning data'!Y812</f>
        <v>0</v>
      </c>
      <c r="X814" s="329">
        <f>'Supply planning data'!Z812</f>
        <v>0</v>
      </c>
      <c r="Y814" s="111">
        <f>'Supply planning data'!AA812</f>
        <v>0</v>
      </c>
      <c r="Z814" s="111">
        <f>'Supply planning data'!AB812</f>
        <v>0</v>
      </c>
      <c r="AA814" s="111">
        <f>'Supply planning data'!AC812</f>
        <v>0</v>
      </c>
      <c r="AB814" s="111">
        <f>'Supply planning data'!AD812</f>
        <v>0</v>
      </c>
      <c r="AC814" s="111">
        <f>'Supply planning data'!AE812</f>
        <v>0</v>
      </c>
      <c r="AD814" s="327" t="str">
        <f>'Supply planning data'!AF812</f>
        <v/>
      </c>
      <c r="AE814" s="111">
        <f>'Supply planning data'!AG812</f>
        <v>0</v>
      </c>
      <c r="AF814" s="321">
        <f>'Supply planning data'!AH812</f>
        <v>0</v>
      </c>
      <c r="AG814" s="349">
        <f>'Supply planning data'!AI812</f>
        <v>0</v>
      </c>
      <c r="AH814" s="111">
        <f>'Supply planning data'!AJ812</f>
        <v>0</v>
      </c>
      <c r="AI814" s="111">
        <f>'Supply planning data'!AK812</f>
        <v>0</v>
      </c>
      <c r="AJ814" s="111">
        <f>'Supply planning data'!AL812</f>
        <v>0</v>
      </c>
      <c r="AK814" s="111">
        <f>'Supply planning data'!AM812</f>
        <v>0</v>
      </c>
      <c r="AL814" s="111">
        <f>'Supply planning data'!AN812</f>
        <v>0</v>
      </c>
      <c r="AM814" s="327" t="str">
        <f>'Supply planning data'!AO812</f>
        <v/>
      </c>
    </row>
    <row r="815" spans="1:39" hidden="1" x14ac:dyDescent="0.25">
      <c r="A815" s="109" t="str">
        <f>'Supply planning data'!C813</f>
        <v/>
      </c>
      <c r="B815" s="298">
        <f>'Supply planning data'!D813</f>
        <v>45809</v>
      </c>
      <c r="C815" s="105" t="str">
        <f>'Supply planning data'!E813</f>
        <v>No</v>
      </c>
      <c r="D815" s="105">
        <f>'Supply planning data'!F813</f>
        <v>0</v>
      </c>
      <c r="E815" s="320">
        <f>'Supply planning data'!G813</f>
        <v>0</v>
      </c>
      <c r="F815" s="320">
        <f>'Supply planning data'!H813</f>
        <v>0</v>
      </c>
      <c r="G815" s="320">
        <f>'Supply planning data'!I813</f>
        <v>0</v>
      </c>
      <c r="H815" s="105">
        <f>'Supply planning data'!J813</f>
        <v>0</v>
      </c>
      <c r="I815" s="320">
        <f>'Supply planning data'!K813</f>
        <v>0</v>
      </c>
      <c r="J815" s="177" t="str">
        <f>'Supply planning data'!L813</f>
        <v/>
      </c>
      <c r="K815" s="105">
        <f>'Supply planning data'!M813</f>
        <v>0</v>
      </c>
      <c r="L815" s="321">
        <f>'Supply planning data'!N813+'Supply planning data'!P813</f>
        <v>0</v>
      </c>
      <c r="M815" s="342">
        <f>'Supply planning data'!O813</f>
        <v>0</v>
      </c>
      <c r="N815" s="321">
        <f>'Supply planning data'!P813</f>
        <v>0</v>
      </c>
      <c r="O815" s="342">
        <f>'Supply planning data'!Q813</f>
        <v>0</v>
      </c>
      <c r="P815" s="111">
        <f>'Supply planning data'!R813</f>
        <v>0</v>
      </c>
      <c r="Q815" s="111">
        <f>'Supply planning data'!S813</f>
        <v>0</v>
      </c>
      <c r="R815" s="111">
        <f>'Supply planning data'!T813</f>
        <v>0</v>
      </c>
      <c r="S815" s="111">
        <f>'Supply planning data'!U813</f>
        <v>0</v>
      </c>
      <c r="T815" s="111">
        <f>'Supply planning data'!V813</f>
        <v>0</v>
      </c>
      <c r="U815" s="327" t="str">
        <f>'Supply planning data'!W813</f>
        <v/>
      </c>
      <c r="V815" s="111">
        <f>'Supply planning data'!X813</f>
        <v>0</v>
      </c>
      <c r="W815" s="321">
        <f>'Supply planning data'!Y813</f>
        <v>0</v>
      </c>
      <c r="X815" s="329">
        <f>'Supply planning data'!Z813</f>
        <v>0</v>
      </c>
      <c r="Y815" s="111">
        <f>'Supply planning data'!AA813</f>
        <v>0</v>
      </c>
      <c r="Z815" s="111">
        <f>'Supply planning data'!AB813</f>
        <v>0</v>
      </c>
      <c r="AA815" s="111">
        <f>'Supply planning data'!AC813</f>
        <v>0</v>
      </c>
      <c r="AB815" s="111">
        <f>'Supply planning data'!AD813</f>
        <v>0</v>
      </c>
      <c r="AC815" s="111">
        <f>'Supply planning data'!AE813</f>
        <v>0</v>
      </c>
      <c r="AD815" s="327" t="str">
        <f>'Supply planning data'!AF813</f>
        <v/>
      </c>
      <c r="AE815" s="111">
        <f>'Supply planning data'!AG813</f>
        <v>0</v>
      </c>
      <c r="AF815" s="321">
        <f>'Supply planning data'!AH813</f>
        <v>0</v>
      </c>
      <c r="AG815" s="349">
        <f>'Supply planning data'!AI813</f>
        <v>0</v>
      </c>
      <c r="AH815" s="111">
        <f>'Supply planning data'!AJ813</f>
        <v>0</v>
      </c>
      <c r="AI815" s="111">
        <f>'Supply planning data'!AK813</f>
        <v>0</v>
      </c>
      <c r="AJ815" s="111">
        <f>'Supply planning data'!AL813</f>
        <v>0</v>
      </c>
      <c r="AK815" s="111">
        <f>'Supply planning data'!AM813</f>
        <v>0</v>
      </c>
      <c r="AL815" s="111">
        <f>'Supply planning data'!AN813</f>
        <v>0</v>
      </c>
      <c r="AM815" s="327" t="str">
        <f>'Supply planning data'!AO813</f>
        <v/>
      </c>
    </row>
    <row r="816" spans="1:39" hidden="1" x14ac:dyDescent="0.25">
      <c r="A816" s="104" t="str">
        <f>'Supply planning data'!C814</f>
        <v/>
      </c>
      <c r="B816" s="298">
        <f>'Supply planning data'!D814</f>
        <v>45809</v>
      </c>
      <c r="C816" s="105" t="str">
        <f>'Supply planning data'!E814</f>
        <v>No</v>
      </c>
      <c r="D816" s="105">
        <f>'Supply planning data'!F814</f>
        <v>0</v>
      </c>
      <c r="E816" s="320">
        <f>'Supply planning data'!G814</f>
        <v>0</v>
      </c>
      <c r="F816" s="320">
        <f>'Supply planning data'!H814</f>
        <v>0</v>
      </c>
      <c r="G816" s="320">
        <f>'Supply planning data'!I814</f>
        <v>0</v>
      </c>
      <c r="H816" s="105">
        <f>'Supply planning data'!J814</f>
        <v>0</v>
      </c>
      <c r="I816" s="320">
        <f>'Supply planning data'!K814</f>
        <v>0</v>
      </c>
      <c r="J816" s="177" t="str">
        <f>'Supply planning data'!L814</f>
        <v/>
      </c>
      <c r="K816" s="105">
        <f>'Supply planning data'!M814</f>
        <v>0</v>
      </c>
      <c r="L816" s="321">
        <f>'Supply planning data'!N814+'Supply planning data'!P814</f>
        <v>0</v>
      </c>
      <c r="M816" s="342">
        <f>'Supply planning data'!O814</f>
        <v>0</v>
      </c>
      <c r="N816" s="321">
        <f>'Supply planning data'!P814</f>
        <v>0</v>
      </c>
      <c r="O816" s="342">
        <f>'Supply planning data'!Q814</f>
        <v>0</v>
      </c>
      <c r="P816" s="111">
        <f>'Supply planning data'!R814</f>
        <v>0</v>
      </c>
      <c r="Q816" s="111">
        <f>'Supply planning data'!S814</f>
        <v>0</v>
      </c>
      <c r="R816" s="111">
        <f>'Supply planning data'!T814</f>
        <v>0</v>
      </c>
      <c r="S816" s="111">
        <f>'Supply planning data'!U814</f>
        <v>0</v>
      </c>
      <c r="T816" s="111">
        <f>'Supply planning data'!V814</f>
        <v>0</v>
      </c>
      <c r="U816" s="327" t="str">
        <f>'Supply planning data'!W814</f>
        <v/>
      </c>
      <c r="V816" s="111">
        <f>'Supply planning data'!X814</f>
        <v>0</v>
      </c>
      <c r="W816" s="321">
        <f>'Supply planning data'!Y814</f>
        <v>0</v>
      </c>
      <c r="X816" s="329">
        <f>'Supply planning data'!Z814</f>
        <v>0</v>
      </c>
      <c r="Y816" s="111">
        <f>'Supply planning data'!AA814</f>
        <v>0</v>
      </c>
      <c r="Z816" s="111">
        <f>'Supply planning data'!AB814</f>
        <v>0</v>
      </c>
      <c r="AA816" s="111">
        <f>'Supply planning data'!AC814</f>
        <v>0</v>
      </c>
      <c r="AB816" s="111">
        <f>'Supply planning data'!AD814</f>
        <v>0</v>
      </c>
      <c r="AC816" s="111">
        <f>'Supply planning data'!AE814</f>
        <v>0</v>
      </c>
      <c r="AD816" s="327" t="str">
        <f>'Supply planning data'!AF814</f>
        <v/>
      </c>
      <c r="AE816" s="111">
        <f>'Supply planning data'!AG814</f>
        <v>0</v>
      </c>
      <c r="AF816" s="321">
        <f>'Supply planning data'!AH814</f>
        <v>0</v>
      </c>
      <c r="AG816" s="349">
        <f>'Supply planning data'!AI814</f>
        <v>0</v>
      </c>
      <c r="AH816" s="111">
        <f>'Supply planning data'!AJ814</f>
        <v>0</v>
      </c>
      <c r="AI816" s="111">
        <f>'Supply planning data'!AK814</f>
        <v>0</v>
      </c>
      <c r="AJ816" s="111">
        <f>'Supply planning data'!AL814</f>
        <v>0</v>
      </c>
      <c r="AK816" s="111">
        <f>'Supply planning data'!AM814</f>
        <v>0</v>
      </c>
      <c r="AL816" s="111">
        <f>'Supply planning data'!AN814</f>
        <v>0</v>
      </c>
      <c r="AM816" s="327" t="str">
        <f>'Supply planning data'!AO814</f>
        <v/>
      </c>
    </row>
    <row r="817" spans="1:39" x14ac:dyDescent="0.25">
      <c r="A817" s="90" t="str">
        <f>'Supply planning data'!C815</f>
        <v>AstraZeneca</v>
      </c>
      <c r="B817" s="296">
        <f>'Supply planning data'!D815</f>
        <v>45839</v>
      </c>
      <c r="C817" s="92" t="str">
        <f>'Supply planning data'!E815</f>
        <v>Yes</v>
      </c>
      <c r="D817" s="92">
        <f>'Supply planning data'!F815</f>
        <v>0</v>
      </c>
      <c r="E817" s="316">
        <f>'Supply planning data'!G815</f>
        <v>0</v>
      </c>
      <c r="F817" s="316">
        <f>'Supply planning data'!H815</f>
        <v>0</v>
      </c>
      <c r="G817" s="316">
        <f>'Supply planning data'!I815</f>
        <v>0</v>
      </c>
      <c r="H817" s="92">
        <f>'Supply planning data'!J815</f>
        <v>0</v>
      </c>
      <c r="I817" s="316">
        <f>'Supply planning data'!K815</f>
        <v>0</v>
      </c>
      <c r="J817" s="174" t="str">
        <f>'Supply planning data'!L815</f>
        <v/>
      </c>
      <c r="K817" s="92">
        <f>'Supply planning data'!M815</f>
        <v>0</v>
      </c>
      <c r="L817" s="316">
        <f>'Supply planning data'!N815+'Supply planning data'!P815</f>
        <v>0</v>
      </c>
      <c r="M817" s="343">
        <f>'Supply planning data'!O815</f>
        <v>0</v>
      </c>
      <c r="N817" s="316">
        <f>'Supply planning data'!P815</f>
        <v>0</v>
      </c>
      <c r="O817" s="343">
        <f>'Supply planning data'!Q815</f>
        <v>0</v>
      </c>
      <c r="P817" s="92">
        <f>'Supply planning data'!R815</f>
        <v>0</v>
      </c>
      <c r="Q817" s="92">
        <f>'Supply planning data'!S815</f>
        <v>0</v>
      </c>
      <c r="R817" s="92">
        <f>'Supply planning data'!T815</f>
        <v>0</v>
      </c>
      <c r="S817" s="92">
        <f>'Supply planning data'!U815</f>
        <v>0</v>
      </c>
      <c r="T817" s="92">
        <f>'Supply planning data'!V815</f>
        <v>0</v>
      </c>
      <c r="U817" s="324" t="str">
        <f>'Supply planning data'!W815</f>
        <v/>
      </c>
      <c r="V817" s="92">
        <f>'Supply planning data'!X815</f>
        <v>154701</v>
      </c>
      <c r="W817" s="316">
        <f>'Supply planning data'!Y815</f>
        <v>0</v>
      </c>
      <c r="X817" s="328">
        <f>'Supply planning data'!Z815</f>
        <v>0</v>
      </c>
      <c r="Y817" s="92">
        <f>'Supply planning data'!AA815</f>
        <v>0</v>
      </c>
      <c r="Z817" s="92">
        <f>'Supply planning data'!AB815</f>
        <v>0</v>
      </c>
      <c r="AA817" s="92">
        <f>'Supply planning data'!AC815</f>
        <v>0</v>
      </c>
      <c r="AB817" s="92">
        <f>'Supply planning data'!AD815</f>
        <v>0</v>
      </c>
      <c r="AC817" s="92">
        <f>'Supply planning data'!AE815</f>
        <v>154701</v>
      </c>
      <c r="AD817" s="324" t="str">
        <f>'Supply planning data'!AF815</f>
        <v/>
      </c>
      <c r="AE817" s="92">
        <f>'Supply planning data'!AG815</f>
        <v>0</v>
      </c>
      <c r="AF817" s="316">
        <f>'Supply planning data'!AH815</f>
        <v>0</v>
      </c>
      <c r="AG817" s="174">
        <f>'Supply planning data'!AI815</f>
        <v>0</v>
      </c>
      <c r="AH817" s="92">
        <f>'Supply planning data'!AJ815</f>
        <v>0</v>
      </c>
      <c r="AI817" s="92">
        <f>'Supply planning data'!AK815</f>
        <v>0</v>
      </c>
      <c r="AJ817" s="92">
        <f>'Supply planning data'!AL815</f>
        <v>0</v>
      </c>
      <c r="AK817" s="92">
        <f>'Supply planning data'!AM815</f>
        <v>0</v>
      </c>
      <c r="AL817" s="92">
        <f>'Supply planning data'!AN815</f>
        <v>0</v>
      </c>
      <c r="AM817" s="324" t="str">
        <f>'Supply planning data'!AO815</f>
        <v/>
      </c>
    </row>
    <row r="818" spans="1:39" x14ac:dyDescent="0.25">
      <c r="A818" s="90" t="str">
        <f>'Supply planning data'!C816</f>
        <v>Jansen</v>
      </c>
      <c r="B818" s="296">
        <f>'Supply planning data'!D816</f>
        <v>45839</v>
      </c>
      <c r="C818" s="92" t="str">
        <f>'Supply planning data'!E816</f>
        <v>Yes</v>
      </c>
      <c r="D818" s="92">
        <f>'Supply planning data'!F816</f>
        <v>1871200</v>
      </c>
      <c r="E818" s="316">
        <f>'Supply planning data'!G816</f>
        <v>0</v>
      </c>
      <c r="F818" s="317">
        <f>'Supply planning data'!H816</f>
        <v>0</v>
      </c>
      <c r="G818" s="317">
        <f>'Supply planning data'!I816</f>
        <v>0</v>
      </c>
      <c r="H818" s="98">
        <f>'Supply planning data'!J816</f>
        <v>0</v>
      </c>
      <c r="I818" s="317">
        <f>'Supply planning data'!K816</f>
        <v>0</v>
      </c>
      <c r="J818" s="175" t="str">
        <f>'Supply planning data'!L816</f>
        <v/>
      </c>
      <c r="K818" s="98">
        <f>'Supply planning data'!M816</f>
        <v>0</v>
      </c>
      <c r="L818" s="317">
        <f>'Supply planning data'!N816+'Supply planning data'!P816</f>
        <v>0</v>
      </c>
      <c r="M818" s="339">
        <f>'Supply planning data'!O816</f>
        <v>0</v>
      </c>
      <c r="N818" s="317">
        <f>'Supply planning data'!P816</f>
        <v>0</v>
      </c>
      <c r="O818" s="339">
        <f>'Supply planning data'!Q816</f>
        <v>0</v>
      </c>
      <c r="P818" s="98">
        <f>'Supply planning data'!R816</f>
        <v>0</v>
      </c>
      <c r="Q818" s="98">
        <f>'Supply planning data'!S816</f>
        <v>0</v>
      </c>
      <c r="R818" s="98">
        <f>'Supply planning data'!T816</f>
        <v>387547</v>
      </c>
      <c r="S818" s="98">
        <f>'Supply planning data'!U816</f>
        <v>0</v>
      </c>
      <c r="T818" s="98">
        <f>'Supply planning data'!V816</f>
        <v>1871200</v>
      </c>
      <c r="U818" s="325" t="str">
        <f>'Supply planning data'!W816</f>
        <v/>
      </c>
      <c r="V818" s="98">
        <f>'Supply planning data'!X816</f>
        <v>1311200</v>
      </c>
      <c r="W818" s="317">
        <f>'Supply planning data'!Y816</f>
        <v>0</v>
      </c>
      <c r="X818" s="328">
        <f>'Supply planning data'!Z816</f>
        <v>0</v>
      </c>
      <c r="Y818" s="98">
        <f>'Supply planning data'!AA816</f>
        <v>0</v>
      </c>
      <c r="Z818" s="98">
        <f>'Supply planning data'!AB816</f>
        <v>0</v>
      </c>
      <c r="AA818" s="98">
        <f>'Supply planning data'!AC816</f>
        <v>0</v>
      </c>
      <c r="AB818" s="98">
        <f>'Supply planning data'!AD816</f>
        <v>0</v>
      </c>
      <c r="AC818" s="98">
        <f>'Supply planning data'!AE816</f>
        <v>1311200</v>
      </c>
      <c r="AD818" s="325" t="str">
        <f>'Supply planning data'!AF816</f>
        <v/>
      </c>
      <c r="AE818" s="98">
        <f>'Supply planning data'!AG816</f>
        <v>1871200</v>
      </c>
      <c r="AF818" s="317">
        <f>'Supply planning data'!AH816</f>
        <v>0</v>
      </c>
      <c r="AG818" s="175">
        <f>'Supply planning data'!AI816</f>
        <v>0</v>
      </c>
      <c r="AH818" s="98">
        <f>'Supply planning data'!AJ816</f>
        <v>0</v>
      </c>
      <c r="AI818" s="98">
        <f>'Supply planning data'!AK816</f>
        <v>0</v>
      </c>
      <c r="AJ818" s="98">
        <f>'Supply planning data'!AL816</f>
        <v>387547</v>
      </c>
      <c r="AK818" s="98">
        <f>'Supply planning data'!AM816</f>
        <v>0</v>
      </c>
      <c r="AL818" s="98">
        <f>'Supply planning data'!AN816</f>
        <v>1871200</v>
      </c>
      <c r="AM818" s="325" t="str">
        <f>'Supply planning data'!AO816</f>
        <v/>
      </c>
    </row>
    <row r="819" spans="1:39" x14ac:dyDescent="0.25">
      <c r="A819" s="90" t="str">
        <f>'Supply planning data'!C817</f>
        <v>Moderna</v>
      </c>
      <c r="B819" s="296">
        <f>'Supply planning data'!D817</f>
        <v>45839</v>
      </c>
      <c r="C819" s="92" t="str">
        <f>'Supply planning data'!E817</f>
        <v>No</v>
      </c>
      <c r="D819" s="92">
        <f>'Supply planning data'!F817</f>
        <v>0</v>
      </c>
      <c r="E819" s="316">
        <f>'Supply planning data'!G817</f>
        <v>0</v>
      </c>
      <c r="F819" s="317">
        <f>'Supply planning data'!H817</f>
        <v>0</v>
      </c>
      <c r="G819" s="317">
        <f>'Supply planning data'!I817</f>
        <v>0</v>
      </c>
      <c r="H819" s="98">
        <f>'Supply planning data'!J817</f>
        <v>0</v>
      </c>
      <c r="I819" s="317">
        <f>'Supply planning data'!K817</f>
        <v>0</v>
      </c>
      <c r="J819" s="175" t="str">
        <f>'Supply planning data'!L817</f>
        <v/>
      </c>
      <c r="K819" s="98">
        <f>'Supply planning data'!M817</f>
        <v>0</v>
      </c>
      <c r="L819" s="317">
        <f>'Supply planning data'!N817+'Supply planning data'!P817</f>
        <v>0</v>
      </c>
      <c r="M819" s="339">
        <f>'Supply planning data'!O817</f>
        <v>0</v>
      </c>
      <c r="N819" s="317">
        <f>'Supply planning data'!P817</f>
        <v>0</v>
      </c>
      <c r="O819" s="339">
        <f>'Supply planning data'!Q817</f>
        <v>0</v>
      </c>
      <c r="P819" s="98">
        <f>'Supply planning data'!R817</f>
        <v>0</v>
      </c>
      <c r="Q819" s="98">
        <f>'Supply planning data'!S817</f>
        <v>0</v>
      </c>
      <c r="R819" s="98">
        <f>'Supply planning data'!T817</f>
        <v>0</v>
      </c>
      <c r="S819" s="98">
        <f>'Supply planning data'!U817</f>
        <v>0</v>
      </c>
      <c r="T819" s="98">
        <f>'Supply planning data'!V817</f>
        <v>0</v>
      </c>
      <c r="U819" s="325" t="str">
        <f>'Supply planning data'!W817</f>
        <v/>
      </c>
      <c r="V819" s="98">
        <f>'Supply planning data'!X817</f>
        <v>0</v>
      </c>
      <c r="W819" s="317">
        <f>'Supply planning data'!Y817</f>
        <v>0</v>
      </c>
      <c r="X819" s="328">
        <f>'Supply planning data'!Z817</f>
        <v>0</v>
      </c>
      <c r="Y819" s="98">
        <f>'Supply planning data'!AA817</f>
        <v>0</v>
      </c>
      <c r="Z819" s="98">
        <f>'Supply planning data'!AB817</f>
        <v>0</v>
      </c>
      <c r="AA819" s="98">
        <f>'Supply planning data'!AC817</f>
        <v>0</v>
      </c>
      <c r="AB819" s="98">
        <f>'Supply planning data'!AD817</f>
        <v>0</v>
      </c>
      <c r="AC819" s="98">
        <f>'Supply planning data'!AE817</f>
        <v>0</v>
      </c>
      <c r="AD819" s="325" t="str">
        <f>'Supply planning data'!AF817</f>
        <v/>
      </c>
      <c r="AE819" s="98">
        <f>'Supply planning data'!AG817</f>
        <v>0</v>
      </c>
      <c r="AF819" s="317">
        <f>'Supply planning data'!AH817</f>
        <v>0</v>
      </c>
      <c r="AG819" s="175">
        <f>'Supply planning data'!AI817</f>
        <v>0</v>
      </c>
      <c r="AH819" s="98">
        <f>'Supply planning data'!AJ817</f>
        <v>0</v>
      </c>
      <c r="AI819" s="98">
        <f>'Supply planning data'!AK817</f>
        <v>0</v>
      </c>
      <c r="AJ819" s="98">
        <f>'Supply planning data'!AL817</f>
        <v>0</v>
      </c>
      <c r="AK819" s="98">
        <f>'Supply planning data'!AM817</f>
        <v>0</v>
      </c>
      <c r="AL819" s="98">
        <f>'Supply planning data'!AN817</f>
        <v>0</v>
      </c>
      <c r="AM819" s="325" t="str">
        <f>'Supply planning data'!AO817</f>
        <v/>
      </c>
    </row>
    <row r="820" spans="1:39" x14ac:dyDescent="0.25">
      <c r="A820" s="90" t="str">
        <f>'Supply planning data'!C818</f>
        <v>Pfizer</v>
      </c>
      <c r="B820" s="296">
        <f>'Supply planning data'!D818</f>
        <v>45839</v>
      </c>
      <c r="C820" s="92" t="str">
        <f>'Supply planning data'!E818</f>
        <v>Yes</v>
      </c>
      <c r="D820" s="92">
        <f>'Supply planning data'!F818</f>
        <v>3000000</v>
      </c>
      <c r="E820" s="316">
        <f>'Supply planning data'!G818</f>
        <v>0</v>
      </c>
      <c r="F820" s="317">
        <f>'Supply planning data'!H818</f>
        <v>0</v>
      </c>
      <c r="G820" s="317">
        <f>'Supply planning data'!I818</f>
        <v>0</v>
      </c>
      <c r="H820" s="98">
        <f>'Supply planning data'!J818</f>
        <v>0</v>
      </c>
      <c r="I820" s="317">
        <f>'Supply planning data'!K818</f>
        <v>0</v>
      </c>
      <c r="J820" s="175" t="str">
        <f>'Supply planning data'!L818</f>
        <v/>
      </c>
      <c r="K820" s="98">
        <f>'Supply planning data'!M818</f>
        <v>0</v>
      </c>
      <c r="L820" s="317">
        <f>'Supply planning data'!N818+'Supply planning data'!P818</f>
        <v>0</v>
      </c>
      <c r="M820" s="339">
        <f>'Supply planning data'!O818</f>
        <v>0</v>
      </c>
      <c r="N820" s="317">
        <f>'Supply planning data'!P818</f>
        <v>0</v>
      </c>
      <c r="O820" s="339">
        <f>'Supply planning data'!Q818</f>
        <v>0</v>
      </c>
      <c r="P820" s="98">
        <f>'Supply planning data'!R818</f>
        <v>0</v>
      </c>
      <c r="Q820" s="98">
        <f>'Supply planning data'!S818</f>
        <v>0</v>
      </c>
      <c r="R820" s="98">
        <f>'Supply planning data'!T818</f>
        <v>110538</v>
      </c>
      <c r="S820" s="98">
        <f>'Supply planning data'!U818</f>
        <v>0</v>
      </c>
      <c r="T820" s="98">
        <f>'Supply planning data'!V818</f>
        <v>3000000</v>
      </c>
      <c r="U820" s="325" t="str">
        <f>'Supply planning data'!W818</f>
        <v/>
      </c>
      <c r="V820" s="98">
        <f>'Supply planning data'!X818</f>
        <v>2440000</v>
      </c>
      <c r="W820" s="317">
        <f>'Supply planning data'!Y818</f>
        <v>0</v>
      </c>
      <c r="X820" s="328">
        <f>'Supply planning data'!Z818</f>
        <v>0</v>
      </c>
      <c r="Y820" s="98">
        <f>'Supply planning data'!AA818</f>
        <v>0</v>
      </c>
      <c r="Z820" s="98">
        <f>'Supply planning data'!AB818</f>
        <v>0</v>
      </c>
      <c r="AA820" s="98">
        <f>'Supply planning data'!AC818</f>
        <v>0</v>
      </c>
      <c r="AB820" s="98">
        <f>'Supply planning data'!AD818</f>
        <v>0</v>
      </c>
      <c r="AC820" s="98">
        <f>'Supply planning data'!AE818</f>
        <v>2440000</v>
      </c>
      <c r="AD820" s="325" t="str">
        <f>'Supply planning data'!AF818</f>
        <v/>
      </c>
      <c r="AE820" s="98">
        <f>'Supply planning data'!AG818</f>
        <v>3000000</v>
      </c>
      <c r="AF820" s="317">
        <f>'Supply planning data'!AH818</f>
        <v>0</v>
      </c>
      <c r="AG820" s="175">
        <f>'Supply planning data'!AI818</f>
        <v>0</v>
      </c>
      <c r="AH820" s="98">
        <f>'Supply planning data'!AJ818</f>
        <v>0</v>
      </c>
      <c r="AI820" s="98">
        <f>'Supply planning data'!AK818</f>
        <v>0</v>
      </c>
      <c r="AJ820" s="98">
        <f>'Supply planning data'!AL818</f>
        <v>110538</v>
      </c>
      <c r="AK820" s="98">
        <f>'Supply planning data'!AM818</f>
        <v>0</v>
      </c>
      <c r="AL820" s="98">
        <f>'Supply planning data'!AN818</f>
        <v>3000000</v>
      </c>
      <c r="AM820" s="325" t="str">
        <f>'Supply planning data'!AO818</f>
        <v/>
      </c>
    </row>
    <row r="821" spans="1:39" x14ac:dyDescent="0.25">
      <c r="A821" s="90" t="str">
        <f>'Supply planning data'!C819</f>
        <v>Sinovac</v>
      </c>
      <c r="B821" s="296">
        <f>'Supply planning data'!D819</f>
        <v>45839</v>
      </c>
      <c r="C821" s="92" t="str">
        <f>'Supply planning data'!E819</f>
        <v>No</v>
      </c>
      <c r="D821" s="92">
        <f>'Supply planning data'!F819</f>
        <v>0</v>
      </c>
      <c r="E821" s="316">
        <f>'Supply planning data'!G819</f>
        <v>0</v>
      </c>
      <c r="F821" s="317">
        <f>'Supply planning data'!H819</f>
        <v>0</v>
      </c>
      <c r="G821" s="317">
        <f>'Supply planning data'!I819</f>
        <v>0</v>
      </c>
      <c r="H821" s="98">
        <f>'Supply planning data'!J819</f>
        <v>0</v>
      </c>
      <c r="I821" s="317">
        <f>'Supply planning data'!K819</f>
        <v>0</v>
      </c>
      <c r="J821" s="175" t="str">
        <f>'Supply planning data'!L819</f>
        <v/>
      </c>
      <c r="K821" s="98">
        <f>'Supply planning data'!M819</f>
        <v>0</v>
      </c>
      <c r="L821" s="317">
        <f>'Supply planning data'!N819+'Supply planning data'!P819</f>
        <v>0</v>
      </c>
      <c r="M821" s="339">
        <f>'Supply planning data'!O819</f>
        <v>0</v>
      </c>
      <c r="N821" s="317">
        <f>'Supply planning data'!P819</f>
        <v>0</v>
      </c>
      <c r="O821" s="339">
        <f>'Supply planning data'!Q819</f>
        <v>0</v>
      </c>
      <c r="P821" s="98">
        <f>'Supply planning data'!R819</f>
        <v>0</v>
      </c>
      <c r="Q821" s="98">
        <f>'Supply planning data'!S819</f>
        <v>0</v>
      </c>
      <c r="R821" s="98">
        <f>'Supply planning data'!T819</f>
        <v>0</v>
      </c>
      <c r="S821" s="98">
        <f>'Supply planning data'!U819</f>
        <v>0</v>
      </c>
      <c r="T821" s="98">
        <f>'Supply planning data'!V819</f>
        <v>0</v>
      </c>
      <c r="U821" s="325" t="str">
        <f>'Supply planning data'!W819</f>
        <v/>
      </c>
      <c r="V821" s="98">
        <f>'Supply planning data'!X819</f>
        <v>0</v>
      </c>
      <c r="W821" s="317">
        <f>'Supply planning data'!Y819</f>
        <v>0</v>
      </c>
      <c r="X821" s="328">
        <f>'Supply planning data'!Z819</f>
        <v>0</v>
      </c>
      <c r="Y821" s="98">
        <f>'Supply planning data'!AA819</f>
        <v>0</v>
      </c>
      <c r="Z821" s="98">
        <f>'Supply planning data'!AB819</f>
        <v>0</v>
      </c>
      <c r="AA821" s="98">
        <f>'Supply planning data'!AC819</f>
        <v>0</v>
      </c>
      <c r="AB821" s="98">
        <f>'Supply planning data'!AD819</f>
        <v>0</v>
      </c>
      <c r="AC821" s="98">
        <f>'Supply planning data'!AE819</f>
        <v>0</v>
      </c>
      <c r="AD821" s="325" t="str">
        <f>'Supply planning data'!AF819</f>
        <v/>
      </c>
      <c r="AE821" s="98">
        <f>'Supply planning data'!AG819</f>
        <v>0</v>
      </c>
      <c r="AF821" s="317">
        <f>'Supply planning data'!AH819</f>
        <v>0</v>
      </c>
      <c r="AG821" s="175">
        <f>'Supply planning data'!AI819</f>
        <v>0</v>
      </c>
      <c r="AH821" s="98">
        <f>'Supply planning data'!AJ819</f>
        <v>0</v>
      </c>
      <c r="AI821" s="98">
        <f>'Supply planning data'!AK819</f>
        <v>0</v>
      </c>
      <c r="AJ821" s="98">
        <f>'Supply planning data'!AL819</f>
        <v>0</v>
      </c>
      <c r="AK821" s="98">
        <f>'Supply planning data'!AM819</f>
        <v>0</v>
      </c>
      <c r="AL821" s="98">
        <f>'Supply planning data'!AN819</f>
        <v>0</v>
      </c>
      <c r="AM821" s="325" t="str">
        <f>'Supply planning data'!AO819</f>
        <v/>
      </c>
    </row>
    <row r="822" spans="1:39" hidden="1" x14ac:dyDescent="0.25">
      <c r="A822" s="90" t="str">
        <f>'Supply planning data'!C820</f>
        <v/>
      </c>
      <c r="B822" s="296">
        <f>'Supply planning data'!D820</f>
        <v>45839</v>
      </c>
      <c r="C822" s="92" t="str">
        <f>'Supply planning data'!E820</f>
        <v>No</v>
      </c>
      <c r="D822" s="92">
        <f>'Supply planning data'!F820</f>
        <v>0</v>
      </c>
      <c r="E822" s="316">
        <f>'Supply planning data'!G820</f>
        <v>0</v>
      </c>
      <c r="F822" s="317">
        <f>'Supply planning data'!H820</f>
        <v>0</v>
      </c>
      <c r="G822" s="317">
        <f>'Supply planning data'!I820</f>
        <v>0</v>
      </c>
      <c r="H822" s="98">
        <f>'Supply planning data'!J820</f>
        <v>0</v>
      </c>
      <c r="I822" s="317">
        <f>'Supply planning data'!K820</f>
        <v>0</v>
      </c>
      <c r="J822" s="175" t="str">
        <f>'Supply planning data'!L820</f>
        <v/>
      </c>
      <c r="K822" s="98">
        <f>'Supply planning data'!M820</f>
        <v>0</v>
      </c>
      <c r="L822" s="317">
        <f>'Supply planning data'!N820+'Supply planning data'!P820</f>
        <v>0</v>
      </c>
      <c r="M822" s="339">
        <f>'Supply planning data'!O820</f>
        <v>0</v>
      </c>
      <c r="N822" s="317">
        <f>'Supply planning data'!P820</f>
        <v>0</v>
      </c>
      <c r="O822" s="339">
        <f>'Supply planning data'!Q820</f>
        <v>0</v>
      </c>
      <c r="P822" s="98">
        <f>'Supply planning data'!R820</f>
        <v>0</v>
      </c>
      <c r="Q822" s="98">
        <f>'Supply planning data'!S820</f>
        <v>0</v>
      </c>
      <c r="R822" s="98">
        <f>'Supply planning data'!T820</f>
        <v>0</v>
      </c>
      <c r="S822" s="98">
        <f>'Supply planning data'!U820</f>
        <v>0</v>
      </c>
      <c r="T822" s="98">
        <f>'Supply planning data'!V820</f>
        <v>0</v>
      </c>
      <c r="U822" s="325" t="str">
        <f>'Supply planning data'!W820</f>
        <v/>
      </c>
      <c r="V822" s="98">
        <f>'Supply planning data'!X820</f>
        <v>0</v>
      </c>
      <c r="W822" s="317">
        <f>'Supply planning data'!Y820</f>
        <v>0</v>
      </c>
      <c r="X822" s="328">
        <f>'Supply planning data'!Z820</f>
        <v>0</v>
      </c>
      <c r="Y822" s="98">
        <f>'Supply planning data'!AA820</f>
        <v>0</v>
      </c>
      <c r="Z822" s="98">
        <f>'Supply planning data'!AB820</f>
        <v>0</v>
      </c>
      <c r="AA822" s="98">
        <f>'Supply planning data'!AC820</f>
        <v>0</v>
      </c>
      <c r="AB822" s="98">
        <f>'Supply planning data'!AD820</f>
        <v>0</v>
      </c>
      <c r="AC822" s="98">
        <f>'Supply planning data'!AE820</f>
        <v>0</v>
      </c>
      <c r="AD822" s="325" t="str">
        <f>'Supply planning data'!AF820</f>
        <v/>
      </c>
      <c r="AE822" s="98">
        <f>'Supply planning data'!AG820</f>
        <v>0</v>
      </c>
      <c r="AF822" s="317">
        <f>'Supply planning data'!AH820</f>
        <v>0</v>
      </c>
      <c r="AG822" s="175">
        <f>'Supply planning data'!AI820</f>
        <v>0</v>
      </c>
      <c r="AH822" s="98">
        <f>'Supply planning data'!AJ820</f>
        <v>0</v>
      </c>
      <c r="AI822" s="98">
        <f>'Supply planning data'!AK820</f>
        <v>0</v>
      </c>
      <c r="AJ822" s="98">
        <f>'Supply planning data'!AL820</f>
        <v>0</v>
      </c>
      <c r="AK822" s="98">
        <f>'Supply planning data'!AM820</f>
        <v>0</v>
      </c>
      <c r="AL822" s="98">
        <f>'Supply planning data'!AN820</f>
        <v>0</v>
      </c>
      <c r="AM822" s="325" t="str">
        <f>'Supply planning data'!AO820</f>
        <v/>
      </c>
    </row>
    <row r="823" spans="1:39" hidden="1" x14ac:dyDescent="0.25">
      <c r="A823" s="90" t="str">
        <f>'Supply planning data'!C821</f>
        <v/>
      </c>
      <c r="B823" s="296">
        <f>'Supply planning data'!D821</f>
        <v>45839</v>
      </c>
      <c r="C823" s="92" t="str">
        <f>'Supply planning data'!E821</f>
        <v>No</v>
      </c>
      <c r="D823" s="92">
        <f>'Supply planning data'!F821</f>
        <v>0</v>
      </c>
      <c r="E823" s="316">
        <f>'Supply planning data'!G821</f>
        <v>0</v>
      </c>
      <c r="F823" s="317">
        <f>'Supply planning data'!H821</f>
        <v>0</v>
      </c>
      <c r="G823" s="317">
        <f>'Supply planning data'!I821</f>
        <v>0</v>
      </c>
      <c r="H823" s="98">
        <f>'Supply planning data'!J821</f>
        <v>0</v>
      </c>
      <c r="I823" s="317">
        <f>'Supply planning data'!K821</f>
        <v>0</v>
      </c>
      <c r="J823" s="175" t="str">
        <f>'Supply planning data'!L821</f>
        <v/>
      </c>
      <c r="K823" s="98">
        <f>'Supply planning data'!M821</f>
        <v>0</v>
      </c>
      <c r="L823" s="317">
        <f>'Supply planning data'!N821+'Supply planning data'!P821</f>
        <v>0</v>
      </c>
      <c r="M823" s="339">
        <f>'Supply planning data'!O821</f>
        <v>0</v>
      </c>
      <c r="N823" s="317">
        <f>'Supply planning data'!P821</f>
        <v>0</v>
      </c>
      <c r="O823" s="339">
        <f>'Supply planning data'!Q821</f>
        <v>0</v>
      </c>
      <c r="P823" s="98">
        <f>'Supply planning data'!R821</f>
        <v>0</v>
      </c>
      <c r="Q823" s="98">
        <f>'Supply planning data'!S821</f>
        <v>0</v>
      </c>
      <c r="R823" s="98">
        <f>'Supply planning data'!T821</f>
        <v>0</v>
      </c>
      <c r="S823" s="98">
        <f>'Supply planning data'!U821</f>
        <v>0</v>
      </c>
      <c r="T823" s="98">
        <f>'Supply planning data'!V821</f>
        <v>0</v>
      </c>
      <c r="U823" s="325" t="str">
        <f>'Supply planning data'!W821</f>
        <v/>
      </c>
      <c r="V823" s="98">
        <f>'Supply planning data'!X821</f>
        <v>0</v>
      </c>
      <c r="W823" s="317">
        <f>'Supply planning data'!Y821</f>
        <v>0</v>
      </c>
      <c r="X823" s="328">
        <f>'Supply planning data'!Z821</f>
        <v>0</v>
      </c>
      <c r="Y823" s="98">
        <f>'Supply planning data'!AA821</f>
        <v>0</v>
      </c>
      <c r="Z823" s="98">
        <f>'Supply planning data'!AB821</f>
        <v>0</v>
      </c>
      <c r="AA823" s="98">
        <f>'Supply planning data'!AC821</f>
        <v>0</v>
      </c>
      <c r="AB823" s="98">
        <f>'Supply planning data'!AD821</f>
        <v>0</v>
      </c>
      <c r="AC823" s="98">
        <f>'Supply planning data'!AE821</f>
        <v>0</v>
      </c>
      <c r="AD823" s="325" t="str">
        <f>'Supply planning data'!AF821</f>
        <v/>
      </c>
      <c r="AE823" s="98">
        <f>'Supply planning data'!AG821</f>
        <v>0</v>
      </c>
      <c r="AF823" s="317">
        <f>'Supply planning data'!AH821</f>
        <v>0</v>
      </c>
      <c r="AG823" s="175">
        <f>'Supply planning data'!AI821</f>
        <v>0</v>
      </c>
      <c r="AH823" s="98">
        <f>'Supply planning data'!AJ821</f>
        <v>0</v>
      </c>
      <c r="AI823" s="98">
        <f>'Supply planning data'!AK821</f>
        <v>0</v>
      </c>
      <c r="AJ823" s="98">
        <f>'Supply planning data'!AL821</f>
        <v>0</v>
      </c>
      <c r="AK823" s="98">
        <f>'Supply planning data'!AM821</f>
        <v>0</v>
      </c>
      <c r="AL823" s="98">
        <f>'Supply planning data'!AN821</f>
        <v>0</v>
      </c>
      <c r="AM823" s="325" t="str">
        <f>'Supply planning data'!AO821</f>
        <v/>
      </c>
    </row>
    <row r="824" spans="1:39" hidden="1" x14ac:dyDescent="0.25">
      <c r="A824" s="90" t="str">
        <f>'Supply planning data'!C822</f>
        <v/>
      </c>
      <c r="B824" s="296">
        <f>'Supply planning data'!D822</f>
        <v>45839</v>
      </c>
      <c r="C824" s="92" t="str">
        <f>'Supply planning data'!E822</f>
        <v>No</v>
      </c>
      <c r="D824" s="92">
        <f>'Supply planning data'!F822</f>
        <v>0</v>
      </c>
      <c r="E824" s="316">
        <f>'Supply planning data'!G822</f>
        <v>0</v>
      </c>
      <c r="F824" s="317">
        <f>'Supply planning data'!H822</f>
        <v>0</v>
      </c>
      <c r="G824" s="317">
        <f>'Supply planning data'!I822</f>
        <v>0</v>
      </c>
      <c r="H824" s="98">
        <f>'Supply planning data'!J822</f>
        <v>0</v>
      </c>
      <c r="I824" s="317">
        <f>'Supply planning data'!K822</f>
        <v>0</v>
      </c>
      <c r="J824" s="175" t="str">
        <f>'Supply planning data'!L822</f>
        <v/>
      </c>
      <c r="K824" s="98">
        <f>'Supply planning data'!M822</f>
        <v>0</v>
      </c>
      <c r="L824" s="317">
        <f>'Supply planning data'!N822+'Supply planning data'!P822</f>
        <v>0</v>
      </c>
      <c r="M824" s="339">
        <f>'Supply planning data'!O822</f>
        <v>0</v>
      </c>
      <c r="N824" s="317">
        <f>'Supply planning data'!P822</f>
        <v>0</v>
      </c>
      <c r="O824" s="339">
        <f>'Supply planning data'!Q822</f>
        <v>0</v>
      </c>
      <c r="P824" s="98">
        <f>'Supply planning data'!R822</f>
        <v>0</v>
      </c>
      <c r="Q824" s="98">
        <f>'Supply planning data'!S822</f>
        <v>0</v>
      </c>
      <c r="R824" s="98">
        <f>'Supply planning data'!T822</f>
        <v>0</v>
      </c>
      <c r="S824" s="98">
        <f>'Supply planning data'!U822</f>
        <v>0</v>
      </c>
      <c r="T824" s="98">
        <f>'Supply planning data'!V822</f>
        <v>0</v>
      </c>
      <c r="U824" s="325" t="str">
        <f>'Supply planning data'!W822</f>
        <v/>
      </c>
      <c r="V824" s="98">
        <f>'Supply planning data'!X822</f>
        <v>0</v>
      </c>
      <c r="W824" s="317">
        <f>'Supply planning data'!Y822</f>
        <v>0</v>
      </c>
      <c r="X824" s="328">
        <f>'Supply planning data'!Z822</f>
        <v>0</v>
      </c>
      <c r="Y824" s="98">
        <f>'Supply planning data'!AA822</f>
        <v>0</v>
      </c>
      <c r="Z824" s="98">
        <f>'Supply planning data'!AB822</f>
        <v>0</v>
      </c>
      <c r="AA824" s="98">
        <f>'Supply planning data'!AC822</f>
        <v>0</v>
      </c>
      <c r="AB824" s="98">
        <f>'Supply planning data'!AD822</f>
        <v>0</v>
      </c>
      <c r="AC824" s="98">
        <f>'Supply planning data'!AE822</f>
        <v>0</v>
      </c>
      <c r="AD824" s="325" t="str">
        <f>'Supply planning data'!AF822</f>
        <v/>
      </c>
      <c r="AE824" s="98">
        <f>'Supply planning data'!AG822</f>
        <v>0</v>
      </c>
      <c r="AF824" s="317">
        <f>'Supply planning data'!AH822</f>
        <v>0</v>
      </c>
      <c r="AG824" s="175">
        <f>'Supply planning data'!AI822</f>
        <v>0</v>
      </c>
      <c r="AH824" s="98">
        <f>'Supply planning data'!AJ822</f>
        <v>0</v>
      </c>
      <c r="AI824" s="98">
        <f>'Supply planning data'!AK822</f>
        <v>0</v>
      </c>
      <c r="AJ824" s="98">
        <f>'Supply planning data'!AL822</f>
        <v>0</v>
      </c>
      <c r="AK824" s="98">
        <f>'Supply planning data'!AM822</f>
        <v>0</v>
      </c>
      <c r="AL824" s="98">
        <f>'Supply planning data'!AN822</f>
        <v>0</v>
      </c>
      <c r="AM824" s="325" t="str">
        <f>'Supply planning data'!AO822</f>
        <v/>
      </c>
    </row>
    <row r="825" spans="1:39" hidden="1" x14ac:dyDescent="0.25">
      <c r="A825" s="90" t="str">
        <f>'Supply planning data'!C823</f>
        <v/>
      </c>
      <c r="B825" s="296">
        <f>'Supply planning data'!D823</f>
        <v>45839</v>
      </c>
      <c r="C825" s="92" t="str">
        <f>'Supply planning data'!E823</f>
        <v>No</v>
      </c>
      <c r="D825" s="92">
        <f>'Supply planning data'!F823</f>
        <v>0</v>
      </c>
      <c r="E825" s="316">
        <f>'Supply planning data'!G823</f>
        <v>0</v>
      </c>
      <c r="F825" s="317">
        <f>'Supply planning data'!H823</f>
        <v>0</v>
      </c>
      <c r="G825" s="317">
        <f>'Supply planning data'!I823</f>
        <v>0</v>
      </c>
      <c r="H825" s="98">
        <f>'Supply planning data'!J823</f>
        <v>0</v>
      </c>
      <c r="I825" s="317">
        <f>'Supply planning data'!K823</f>
        <v>0</v>
      </c>
      <c r="J825" s="175" t="str">
        <f>'Supply planning data'!L823</f>
        <v/>
      </c>
      <c r="K825" s="98">
        <f>'Supply planning data'!M823</f>
        <v>0</v>
      </c>
      <c r="L825" s="317">
        <f>'Supply planning data'!N823+'Supply planning data'!P823</f>
        <v>0</v>
      </c>
      <c r="M825" s="339">
        <f>'Supply planning data'!O823</f>
        <v>0</v>
      </c>
      <c r="N825" s="317">
        <f>'Supply planning data'!P823</f>
        <v>0</v>
      </c>
      <c r="O825" s="339">
        <f>'Supply planning data'!Q823</f>
        <v>0</v>
      </c>
      <c r="P825" s="98">
        <f>'Supply planning data'!R823</f>
        <v>0</v>
      </c>
      <c r="Q825" s="98">
        <f>'Supply planning data'!S823</f>
        <v>0</v>
      </c>
      <c r="R825" s="98">
        <f>'Supply planning data'!T823</f>
        <v>0</v>
      </c>
      <c r="S825" s="98">
        <f>'Supply planning data'!U823</f>
        <v>0</v>
      </c>
      <c r="T825" s="98">
        <f>'Supply planning data'!V823</f>
        <v>0</v>
      </c>
      <c r="U825" s="325" t="str">
        <f>'Supply planning data'!W823</f>
        <v/>
      </c>
      <c r="V825" s="98">
        <f>'Supply planning data'!X823</f>
        <v>0</v>
      </c>
      <c r="W825" s="317">
        <f>'Supply planning data'!Y823</f>
        <v>0</v>
      </c>
      <c r="X825" s="328">
        <f>'Supply planning data'!Z823</f>
        <v>0</v>
      </c>
      <c r="Y825" s="98">
        <f>'Supply planning data'!AA823</f>
        <v>0</v>
      </c>
      <c r="Z825" s="98">
        <f>'Supply planning data'!AB823</f>
        <v>0</v>
      </c>
      <c r="AA825" s="98">
        <f>'Supply planning data'!AC823</f>
        <v>0</v>
      </c>
      <c r="AB825" s="98">
        <f>'Supply planning data'!AD823</f>
        <v>0</v>
      </c>
      <c r="AC825" s="98">
        <f>'Supply planning data'!AE823</f>
        <v>0</v>
      </c>
      <c r="AD825" s="325" t="str">
        <f>'Supply planning data'!AF823</f>
        <v/>
      </c>
      <c r="AE825" s="98">
        <f>'Supply planning data'!AG823</f>
        <v>0</v>
      </c>
      <c r="AF825" s="317">
        <f>'Supply planning data'!AH823</f>
        <v>0</v>
      </c>
      <c r="AG825" s="175">
        <f>'Supply planning data'!AI823</f>
        <v>0</v>
      </c>
      <c r="AH825" s="98">
        <f>'Supply planning data'!AJ823</f>
        <v>0</v>
      </c>
      <c r="AI825" s="98">
        <f>'Supply planning data'!AK823</f>
        <v>0</v>
      </c>
      <c r="AJ825" s="98">
        <f>'Supply planning data'!AL823</f>
        <v>0</v>
      </c>
      <c r="AK825" s="98">
        <f>'Supply planning data'!AM823</f>
        <v>0</v>
      </c>
      <c r="AL825" s="98">
        <f>'Supply planning data'!AN823</f>
        <v>0</v>
      </c>
      <c r="AM825" s="325" t="str">
        <f>'Supply planning data'!AO823</f>
        <v/>
      </c>
    </row>
    <row r="826" spans="1:39" hidden="1" x14ac:dyDescent="0.25">
      <c r="A826" s="90" t="str">
        <f>'Supply planning data'!C824</f>
        <v/>
      </c>
      <c r="B826" s="296">
        <f>'Supply planning data'!D824</f>
        <v>45839</v>
      </c>
      <c r="C826" s="92" t="str">
        <f>'Supply planning data'!E824</f>
        <v>No</v>
      </c>
      <c r="D826" s="92">
        <f>'Supply planning data'!F824</f>
        <v>0</v>
      </c>
      <c r="E826" s="316">
        <f>'Supply planning data'!G824</f>
        <v>0</v>
      </c>
      <c r="F826" s="317">
        <f>'Supply planning data'!H824</f>
        <v>0</v>
      </c>
      <c r="G826" s="317">
        <f>'Supply planning data'!I824</f>
        <v>0</v>
      </c>
      <c r="H826" s="98">
        <f>'Supply planning data'!J824</f>
        <v>0</v>
      </c>
      <c r="I826" s="317">
        <f>'Supply planning data'!K824</f>
        <v>0</v>
      </c>
      <c r="J826" s="175" t="str">
        <f>'Supply planning data'!L824</f>
        <v/>
      </c>
      <c r="K826" s="98">
        <f>'Supply planning data'!M824</f>
        <v>0</v>
      </c>
      <c r="L826" s="317">
        <f>'Supply planning data'!N824+'Supply planning data'!P824</f>
        <v>0</v>
      </c>
      <c r="M826" s="339">
        <f>'Supply planning data'!O824</f>
        <v>0</v>
      </c>
      <c r="N826" s="317">
        <f>'Supply planning data'!P824</f>
        <v>0</v>
      </c>
      <c r="O826" s="339">
        <f>'Supply planning data'!Q824</f>
        <v>0</v>
      </c>
      <c r="P826" s="98">
        <f>'Supply planning data'!R824</f>
        <v>0</v>
      </c>
      <c r="Q826" s="98">
        <f>'Supply planning data'!S824</f>
        <v>0</v>
      </c>
      <c r="R826" s="98">
        <f>'Supply planning data'!T824</f>
        <v>0</v>
      </c>
      <c r="S826" s="98">
        <f>'Supply planning data'!U824</f>
        <v>0</v>
      </c>
      <c r="T826" s="98">
        <f>'Supply planning data'!V824</f>
        <v>0</v>
      </c>
      <c r="U826" s="325" t="str">
        <f>'Supply planning data'!W824</f>
        <v/>
      </c>
      <c r="V826" s="98">
        <f>'Supply planning data'!X824</f>
        <v>0</v>
      </c>
      <c r="W826" s="317">
        <f>'Supply planning data'!Y824</f>
        <v>0</v>
      </c>
      <c r="X826" s="328">
        <f>'Supply planning data'!Z824</f>
        <v>0</v>
      </c>
      <c r="Y826" s="98">
        <f>'Supply planning data'!AA824</f>
        <v>0</v>
      </c>
      <c r="Z826" s="98">
        <f>'Supply planning data'!AB824</f>
        <v>0</v>
      </c>
      <c r="AA826" s="98">
        <f>'Supply planning data'!AC824</f>
        <v>0</v>
      </c>
      <c r="AB826" s="98">
        <f>'Supply planning data'!AD824</f>
        <v>0</v>
      </c>
      <c r="AC826" s="98">
        <f>'Supply planning data'!AE824</f>
        <v>0</v>
      </c>
      <c r="AD826" s="325" t="str">
        <f>'Supply planning data'!AF824</f>
        <v/>
      </c>
      <c r="AE826" s="98">
        <f>'Supply planning data'!AG824</f>
        <v>0</v>
      </c>
      <c r="AF826" s="317">
        <f>'Supply planning data'!AH824</f>
        <v>0</v>
      </c>
      <c r="AG826" s="175">
        <f>'Supply planning data'!AI824</f>
        <v>0</v>
      </c>
      <c r="AH826" s="98">
        <f>'Supply planning data'!AJ824</f>
        <v>0</v>
      </c>
      <c r="AI826" s="98">
        <f>'Supply planning data'!AK824</f>
        <v>0</v>
      </c>
      <c r="AJ826" s="98">
        <f>'Supply planning data'!AL824</f>
        <v>0</v>
      </c>
      <c r="AK826" s="98">
        <f>'Supply planning data'!AM824</f>
        <v>0</v>
      </c>
      <c r="AL826" s="98">
        <f>'Supply planning data'!AN824</f>
        <v>0</v>
      </c>
      <c r="AM826" s="325" t="str">
        <f>'Supply planning data'!AO824</f>
        <v/>
      </c>
    </row>
    <row r="827" spans="1:39" hidden="1" x14ac:dyDescent="0.25">
      <c r="A827" s="90" t="str">
        <f>'Supply planning data'!C825</f>
        <v/>
      </c>
      <c r="B827" s="296">
        <f>'Supply planning data'!D825</f>
        <v>45839</v>
      </c>
      <c r="C827" s="92" t="str">
        <f>'Supply planning data'!E825</f>
        <v>No</v>
      </c>
      <c r="D827" s="92">
        <f>'Supply planning data'!F825</f>
        <v>0</v>
      </c>
      <c r="E827" s="316">
        <f>'Supply planning data'!G825</f>
        <v>0</v>
      </c>
      <c r="F827" s="317">
        <f>'Supply planning data'!H825</f>
        <v>0</v>
      </c>
      <c r="G827" s="317">
        <f>'Supply planning data'!I825</f>
        <v>0</v>
      </c>
      <c r="H827" s="98">
        <f>'Supply planning data'!J825</f>
        <v>0</v>
      </c>
      <c r="I827" s="317">
        <f>'Supply planning data'!K825</f>
        <v>0</v>
      </c>
      <c r="J827" s="175" t="str">
        <f>'Supply planning data'!L825</f>
        <v/>
      </c>
      <c r="K827" s="98">
        <f>'Supply planning data'!M825</f>
        <v>0</v>
      </c>
      <c r="L827" s="317">
        <f>'Supply planning data'!N825+'Supply planning data'!P825</f>
        <v>0</v>
      </c>
      <c r="M827" s="339">
        <f>'Supply planning data'!O825</f>
        <v>0</v>
      </c>
      <c r="N827" s="317">
        <f>'Supply planning data'!P825</f>
        <v>0</v>
      </c>
      <c r="O827" s="339">
        <f>'Supply planning data'!Q825</f>
        <v>0</v>
      </c>
      <c r="P827" s="98">
        <f>'Supply planning data'!R825</f>
        <v>0</v>
      </c>
      <c r="Q827" s="98">
        <f>'Supply planning data'!S825</f>
        <v>0</v>
      </c>
      <c r="R827" s="98">
        <f>'Supply planning data'!T825</f>
        <v>0</v>
      </c>
      <c r="S827" s="98">
        <f>'Supply planning data'!U825</f>
        <v>0</v>
      </c>
      <c r="T827" s="98">
        <f>'Supply planning data'!V825</f>
        <v>0</v>
      </c>
      <c r="U827" s="325" t="str">
        <f>'Supply planning data'!W825</f>
        <v/>
      </c>
      <c r="V827" s="98">
        <f>'Supply planning data'!X825</f>
        <v>0</v>
      </c>
      <c r="W827" s="317">
        <f>'Supply planning data'!Y825</f>
        <v>0</v>
      </c>
      <c r="X827" s="328">
        <f>'Supply planning data'!Z825</f>
        <v>0</v>
      </c>
      <c r="Y827" s="98">
        <f>'Supply planning data'!AA825</f>
        <v>0</v>
      </c>
      <c r="Z827" s="98">
        <f>'Supply planning data'!AB825</f>
        <v>0</v>
      </c>
      <c r="AA827" s="98">
        <f>'Supply planning data'!AC825</f>
        <v>0</v>
      </c>
      <c r="AB827" s="98">
        <f>'Supply planning data'!AD825</f>
        <v>0</v>
      </c>
      <c r="AC827" s="98">
        <f>'Supply planning data'!AE825</f>
        <v>0</v>
      </c>
      <c r="AD827" s="325" t="str">
        <f>'Supply planning data'!AF825</f>
        <v/>
      </c>
      <c r="AE827" s="98">
        <f>'Supply planning data'!AG825</f>
        <v>0</v>
      </c>
      <c r="AF827" s="317">
        <f>'Supply planning data'!AH825</f>
        <v>0</v>
      </c>
      <c r="AG827" s="175">
        <f>'Supply planning data'!AI825</f>
        <v>0</v>
      </c>
      <c r="AH827" s="98">
        <f>'Supply planning data'!AJ825</f>
        <v>0</v>
      </c>
      <c r="AI827" s="98">
        <f>'Supply planning data'!AK825</f>
        <v>0</v>
      </c>
      <c r="AJ827" s="98">
        <f>'Supply planning data'!AL825</f>
        <v>0</v>
      </c>
      <c r="AK827" s="98">
        <f>'Supply planning data'!AM825</f>
        <v>0</v>
      </c>
      <c r="AL827" s="98">
        <f>'Supply planning data'!AN825</f>
        <v>0</v>
      </c>
      <c r="AM827" s="325" t="str">
        <f>'Supply planning data'!AO825</f>
        <v/>
      </c>
    </row>
    <row r="828" spans="1:39" hidden="1" x14ac:dyDescent="0.25">
      <c r="A828" s="90" t="str">
        <f>'Supply planning data'!C826</f>
        <v/>
      </c>
      <c r="B828" s="296">
        <f>'Supply planning data'!D826</f>
        <v>45839</v>
      </c>
      <c r="C828" s="92" t="str">
        <f>'Supply planning data'!E826</f>
        <v>No</v>
      </c>
      <c r="D828" s="92">
        <f>'Supply planning data'!F826</f>
        <v>0</v>
      </c>
      <c r="E828" s="316">
        <f>'Supply planning data'!G826</f>
        <v>0</v>
      </c>
      <c r="F828" s="317">
        <f>'Supply planning data'!H826</f>
        <v>0</v>
      </c>
      <c r="G828" s="317">
        <f>'Supply planning data'!I826</f>
        <v>0</v>
      </c>
      <c r="H828" s="98">
        <f>'Supply planning data'!J826</f>
        <v>0</v>
      </c>
      <c r="I828" s="317">
        <f>'Supply planning data'!K826</f>
        <v>0</v>
      </c>
      <c r="J828" s="175" t="str">
        <f>'Supply planning data'!L826</f>
        <v/>
      </c>
      <c r="K828" s="98">
        <f>'Supply planning data'!M826</f>
        <v>0</v>
      </c>
      <c r="L828" s="317">
        <f>'Supply planning data'!N826+'Supply planning data'!P826</f>
        <v>0</v>
      </c>
      <c r="M828" s="339">
        <f>'Supply planning data'!O826</f>
        <v>0</v>
      </c>
      <c r="N828" s="317">
        <f>'Supply planning data'!P826</f>
        <v>0</v>
      </c>
      <c r="O828" s="339">
        <f>'Supply planning data'!Q826</f>
        <v>0</v>
      </c>
      <c r="P828" s="98">
        <f>'Supply planning data'!R826</f>
        <v>0</v>
      </c>
      <c r="Q828" s="98">
        <f>'Supply planning data'!S826</f>
        <v>0</v>
      </c>
      <c r="R828" s="98">
        <f>'Supply planning data'!T826</f>
        <v>0</v>
      </c>
      <c r="S828" s="98">
        <f>'Supply planning data'!U826</f>
        <v>0</v>
      </c>
      <c r="T828" s="98">
        <f>'Supply planning data'!V826</f>
        <v>0</v>
      </c>
      <c r="U828" s="325" t="str">
        <f>'Supply planning data'!W826</f>
        <v/>
      </c>
      <c r="V828" s="98">
        <f>'Supply planning data'!X826</f>
        <v>0</v>
      </c>
      <c r="W828" s="317">
        <f>'Supply planning data'!Y826</f>
        <v>0</v>
      </c>
      <c r="X828" s="328">
        <f>'Supply planning data'!Z826</f>
        <v>0</v>
      </c>
      <c r="Y828" s="98">
        <f>'Supply planning data'!AA826</f>
        <v>0</v>
      </c>
      <c r="Z828" s="98">
        <f>'Supply planning data'!AB826</f>
        <v>0</v>
      </c>
      <c r="AA828" s="98">
        <f>'Supply planning data'!AC826</f>
        <v>0</v>
      </c>
      <c r="AB828" s="98">
        <f>'Supply planning data'!AD826</f>
        <v>0</v>
      </c>
      <c r="AC828" s="98">
        <f>'Supply planning data'!AE826</f>
        <v>0</v>
      </c>
      <c r="AD828" s="325" t="str">
        <f>'Supply planning data'!AF826</f>
        <v/>
      </c>
      <c r="AE828" s="98">
        <f>'Supply planning data'!AG826</f>
        <v>0</v>
      </c>
      <c r="AF828" s="317">
        <f>'Supply planning data'!AH826</f>
        <v>0</v>
      </c>
      <c r="AG828" s="175">
        <f>'Supply planning data'!AI826</f>
        <v>0</v>
      </c>
      <c r="AH828" s="98">
        <f>'Supply planning data'!AJ826</f>
        <v>0</v>
      </c>
      <c r="AI828" s="98">
        <f>'Supply planning data'!AK826</f>
        <v>0</v>
      </c>
      <c r="AJ828" s="98">
        <f>'Supply planning data'!AL826</f>
        <v>0</v>
      </c>
      <c r="AK828" s="98">
        <f>'Supply planning data'!AM826</f>
        <v>0</v>
      </c>
      <c r="AL828" s="98">
        <f>'Supply planning data'!AN826</f>
        <v>0</v>
      </c>
      <c r="AM828" s="325" t="str">
        <f>'Supply planning data'!AO826</f>
        <v/>
      </c>
    </row>
    <row r="829" spans="1:39" hidden="1" x14ac:dyDescent="0.25">
      <c r="A829" s="90" t="str">
        <f>'Supply planning data'!C827</f>
        <v/>
      </c>
      <c r="B829" s="296">
        <f>'Supply planning data'!D827</f>
        <v>45839</v>
      </c>
      <c r="C829" s="92" t="str">
        <f>'Supply planning data'!E827</f>
        <v>No</v>
      </c>
      <c r="D829" s="92">
        <f>'Supply planning data'!F827</f>
        <v>0</v>
      </c>
      <c r="E829" s="316">
        <f>'Supply planning data'!G827</f>
        <v>0</v>
      </c>
      <c r="F829" s="317">
        <f>'Supply planning data'!H827</f>
        <v>0</v>
      </c>
      <c r="G829" s="317">
        <f>'Supply planning data'!I827</f>
        <v>0</v>
      </c>
      <c r="H829" s="98">
        <f>'Supply planning data'!J827</f>
        <v>0</v>
      </c>
      <c r="I829" s="317">
        <f>'Supply planning data'!K827</f>
        <v>0</v>
      </c>
      <c r="J829" s="175" t="str">
        <f>'Supply planning data'!L827</f>
        <v/>
      </c>
      <c r="K829" s="98">
        <f>'Supply planning data'!M827</f>
        <v>0</v>
      </c>
      <c r="L829" s="317">
        <f>'Supply planning data'!N827+'Supply planning data'!P827</f>
        <v>0</v>
      </c>
      <c r="M829" s="339">
        <f>'Supply planning data'!O827</f>
        <v>0</v>
      </c>
      <c r="N829" s="317">
        <f>'Supply planning data'!P827</f>
        <v>0</v>
      </c>
      <c r="O829" s="339">
        <f>'Supply planning data'!Q827</f>
        <v>0</v>
      </c>
      <c r="P829" s="98">
        <f>'Supply planning data'!R827</f>
        <v>0</v>
      </c>
      <c r="Q829" s="98">
        <f>'Supply planning data'!S827</f>
        <v>0</v>
      </c>
      <c r="R829" s="98">
        <f>'Supply planning data'!T827</f>
        <v>0</v>
      </c>
      <c r="S829" s="98">
        <f>'Supply planning data'!U827</f>
        <v>0</v>
      </c>
      <c r="T829" s="98">
        <f>'Supply planning data'!V827</f>
        <v>0</v>
      </c>
      <c r="U829" s="325" t="str">
        <f>'Supply planning data'!W827</f>
        <v/>
      </c>
      <c r="V829" s="98">
        <f>'Supply planning data'!X827</f>
        <v>0</v>
      </c>
      <c r="W829" s="317">
        <f>'Supply planning data'!Y827</f>
        <v>0</v>
      </c>
      <c r="X829" s="328">
        <f>'Supply planning data'!Z827</f>
        <v>0</v>
      </c>
      <c r="Y829" s="98">
        <f>'Supply planning data'!AA827</f>
        <v>0</v>
      </c>
      <c r="Z829" s="98">
        <f>'Supply planning data'!AB827</f>
        <v>0</v>
      </c>
      <c r="AA829" s="98">
        <f>'Supply planning data'!AC827</f>
        <v>0</v>
      </c>
      <c r="AB829" s="98">
        <f>'Supply planning data'!AD827</f>
        <v>0</v>
      </c>
      <c r="AC829" s="98">
        <f>'Supply planning data'!AE827</f>
        <v>0</v>
      </c>
      <c r="AD829" s="325" t="str">
        <f>'Supply planning data'!AF827</f>
        <v/>
      </c>
      <c r="AE829" s="98">
        <f>'Supply planning data'!AG827</f>
        <v>0</v>
      </c>
      <c r="AF829" s="317">
        <f>'Supply planning data'!AH827</f>
        <v>0</v>
      </c>
      <c r="AG829" s="175">
        <f>'Supply planning data'!AI827</f>
        <v>0</v>
      </c>
      <c r="AH829" s="98">
        <f>'Supply planning data'!AJ827</f>
        <v>0</v>
      </c>
      <c r="AI829" s="98">
        <f>'Supply planning data'!AK827</f>
        <v>0</v>
      </c>
      <c r="AJ829" s="98">
        <f>'Supply planning data'!AL827</f>
        <v>0</v>
      </c>
      <c r="AK829" s="98">
        <f>'Supply planning data'!AM827</f>
        <v>0</v>
      </c>
      <c r="AL829" s="98">
        <f>'Supply planning data'!AN827</f>
        <v>0</v>
      </c>
      <c r="AM829" s="325" t="str">
        <f>'Supply planning data'!AO827</f>
        <v/>
      </c>
    </row>
    <row r="830" spans="1:39" hidden="1" x14ac:dyDescent="0.25">
      <c r="A830" s="90" t="str">
        <f>'Supply planning data'!C828</f>
        <v/>
      </c>
      <c r="B830" s="296">
        <f>'Supply planning data'!D828</f>
        <v>45839</v>
      </c>
      <c r="C830" s="92" t="str">
        <f>'Supply planning data'!E828</f>
        <v>No</v>
      </c>
      <c r="D830" s="92">
        <f>'Supply planning data'!F828</f>
        <v>0</v>
      </c>
      <c r="E830" s="316">
        <f>'Supply planning data'!G828</f>
        <v>0</v>
      </c>
      <c r="F830" s="317">
        <f>'Supply planning data'!H828</f>
        <v>0</v>
      </c>
      <c r="G830" s="317">
        <f>'Supply planning data'!I828</f>
        <v>0</v>
      </c>
      <c r="H830" s="98">
        <f>'Supply planning data'!J828</f>
        <v>0</v>
      </c>
      <c r="I830" s="317">
        <f>'Supply planning data'!K828</f>
        <v>0</v>
      </c>
      <c r="J830" s="175" t="str">
        <f>'Supply planning data'!L828</f>
        <v/>
      </c>
      <c r="K830" s="98">
        <f>'Supply planning data'!M828</f>
        <v>0</v>
      </c>
      <c r="L830" s="317">
        <f>'Supply planning data'!N828+'Supply planning data'!P828</f>
        <v>0</v>
      </c>
      <c r="M830" s="339">
        <f>'Supply planning data'!O828</f>
        <v>0</v>
      </c>
      <c r="N830" s="317">
        <f>'Supply planning data'!P828</f>
        <v>0</v>
      </c>
      <c r="O830" s="339">
        <f>'Supply planning data'!Q828</f>
        <v>0</v>
      </c>
      <c r="P830" s="98">
        <f>'Supply planning data'!R828</f>
        <v>0</v>
      </c>
      <c r="Q830" s="98">
        <f>'Supply planning data'!S828</f>
        <v>0</v>
      </c>
      <c r="R830" s="98">
        <f>'Supply planning data'!T828</f>
        <v>0</v>
      </c>
      <c r="S830" s="98">
        <f>'Supply planning data'!U828</f>
        <v>0</v>
      </c>
      <c r="T830" s="98">
        <f>'Supply planning data'!V828</f>
        <v>0</v>
      </c>
      <c r="U830" s="325" t="str">
        <f>'Supply planning data'!W828</f>
        <v/>
      </c>
      <c r="V830" s="98">
        <f>'Supply planning data'!X828</f>
        <v>0</v>
      </c>
      <c r="W830" s="317">
        <f>'Supply planning data'!Y828</f>
        <v>0</v>
      </c>
      <c r="X830" s="328">
        <f>'Supply planning data'!Z828</f>
        <v>0</v>
      </c>
      <c r="Y830" s="98">
        <f>'Supply planning data'!AA828</f>
        <v>0</v>
      </c>
      <c r="Z830" s="98">
        <f>'Supply planning data'!AB828</f>
        <v>0</v>
      </c>
      <c r="AA830" s="98">
        <f>'Supply planning data'!AC828</f>
        <v>0</v>
      </c>
      <c r="AB830" s="98">
        <f>'Supply planning data'!AD828</f>
        <v>0</v>
      </c>
      <c r="AC830" s="98">
        <f>'Supply planning data'!AE828</f>
        <v>0</v>
      </c>
      <c r="AD830" s="325" t="str">
        <f>'Supply planning data'!AF828</f>
        <v/>
      </c>
      <c r="AE830" s="98">
        <f>'Supply planning data'!AG828</f>
        <v>0</v>
      </c>
      <c r="AF830" s="317">
        <f>'Supply planning data'!AH828</f>
        <v>0</v>
      </c>
      <c r="AG830" s="175">
        <f>'Supply planning data'!AI828</f>
        <v>0</v>
      </c>
      <c r="AH830" s="98">
        <f>'Supply planning data'!AJ828</f>
        <v>0</v>
      </c>
      <c r="AI830" s="98">
        <f>'Supply planning data'!AK828</f>
        <v>0</v>
      </c>
      <c r="AJ830" s="98">
        <f>'Supply planning data'!AL828</f>
        <v>0</v>
      </c>
      <c r="AK830" s="98">
        <f>'Supply planning data'!AM828</f>
        <v>0</v>
      </c>
      <c r="AL830" s="98">
        <f>'Supply planning data'!AN828</f>
        <v>0</v>
      </c>
      <c r="AM830" s="325" t="str">
        <f>'Supply planning data'!AO828</f>
        <v/>
      </c>
    </row>
    <row r="831" spans="1:39" hidden="1" x14ac:dyDescent="0.25">
      <c r="A831" s="90" t="str">
        <f>'Supply planning data'!C829</f>
        <v/>
      </c>
      <c r="B831" s="296">
        <f>'Supply planning data'!D829</f>
        <v>45839</v>
      </c>
      <c r="C831" s="92" t="str">
        <f>'Supply planning data'!E829</f>
        <v>No</v>
      </c>
      <c r="D831" s="92">
        <f>'Supply planning data'!F829</f>
        <v>0</v>
      </c>
      <c r="E831" s="316">
        <f>'Supply planning data'!G829</f>
        <v>0</v>
      </c>
      <c r="F831" s="317">
        <f>'Supply planning data'!H829</f>
        <v>0</v>
      </c>
      <c r="G831" s="317">
        <f>'Supply planning data'!I829</f>
        <v>0</v>
      </c>
      <c r="H831" s="98">
        <f>'Supply planning data'!J829</f>
        <v>0</v>
      </c>
      <c r="I831" s="317">
        <f>'Supply planning data'!K829</f>
        <v>0</v>
      </c>
      <c r="J831" s="175" t="str">
        <f>'Supply planning data'!L829</f>
        <v/>
      </c>
      <c r="K831" s="98">
        <f>'Supply planning data'!M829</f>
        <v>0</v>
      </c>
      <c r="L831" s="317">
        <f>'Supply planning data'!N829+'Supply planning data'!P829</f>
        <v>0</v>
      </c>
      <c r="M831" s="339">
        <f>'Supply planning data'!O829</f>
        <v>0</v>
      </c>
      <c r="N831" s="317">
        <f>'Supply planning data'!P829</f>
        <v>0</v>
      </c>
      <c r="O831" s="339">
        <f>'Supply planning data'!Q829</f>
        <v>0</v>
      </c>
      <c r="P831" s="98">
        <f>'Supply planning data'!R829</f>
        <v>0</v>
      </c>
      <c r="Q831" s="98">
        <f>'Supply planning data'!S829</f>
        <v>0</v>
      </c>
      <c r="R831" s="98">
        <f>'Supply planning data'!T829</f>
        <v>0</v>
      </c>
      <c r="S831" s="98">
        <f>'Supply planning data'!U829</f>
        <v>0</v>
      </c>
      <c r="T831" s="98">
        <f>'Supply planning data'!V829</f>
        <v>0</v>
      </c>
      <c r="U831" s="325" t="str">
        <f>'Supply planning data'!W829</f>
        <v/>
      </c>
      <c r="V831" s="98">
        <f>'Supply planning data'!X829</f>
        <v>0</v>
      </c>
      <c r="W831" s="317">
        <f>'Supply planning data'!Y829</f>
        <v>0</v>
      </c>
      <c r="X831" s="328">
        <f>'Supply planning data'!Z829</f>
        <v>0</v>
      </c>
      <c r="Y831" s="98">
        <f>'Supply planning data'!AA829</f>
        <v>0</v>
      </c>
      <c r="Z831" s="98">
        <f>'Supply planning data'!AB829</f>
        <v>0</v>
      </c>
      <c r="AA831" s="98">
        <f>'Supply planning data'!AC829</f>
        <v>0</v>
      </c>
      <c r="AB831" s="98">
        <f>'Supply planning data'!AD829</f>
        <v>0</v>
      </c>
      <c r="AC831" s="98">
        <f>'Supply planning data'!AE829</f>
        <v>0</v>
      </c>
      <c r="AD831" s="325" t="str">
        <f>'Supply planning data'!AF829</f>
        <v/>
      </c>
      <c r="AE831" s="98">
        <f>'Supply planning data'!AG829</f>
        <v>0</v>
      </c>
      <c r="AF831" s="317">
        <f>'Supply planning data'!AH829</f>
        <v>0</v>
      </c>
      <c r="AG831" s="175">
        <f>'Supply planning data'!AI829</f>
        <v>0</v>
      </c>
      <c r="AH831" s="98">
        <f>'Supply planning data'!AJ829</f>
        <v>0</v>
      </c>
      <c r="AI831" s="98">
        <f>'Supply planning data'!AK829</f>
        <v>0</v>
      </c>
      <c r="AJ831" s="98">
        <f>'Supply planning data'!AL829</f>
        <v>0</v>
      </c>
      <c r="AK831" s="98">
        <f>'Supply planning data'!AM829</f>
        <v>0</v>
      </c>
      <c r="AL831" s="98">
        <f>'Supply planning data'!AN829</f>
        <v>0</v>
      </c>
      <c r="AM831" s="325" t="str">
        <f>'Supply planning data'!AO829</f>
        <v/>
      </c>
    </row>
    <row r="832" spans="1:39" x14ac:dyDescent="0.25">
      <c r="A832" s="104" t="str">
        <f>'Supply planning data'!C830</f>
        <v>AstraZeneca</v>
      </c>
      <c r="B832" s="298">
        <f>'Supply planning data'!D830</f>
        <v>45870</v>
      </c>
      <c r="C832" s="105" t="str">
        <f>'Supply planning data'!E830</f>
        <v>Yes</v>
      </c>
      <c r="D832" s="105">
        <f>'Supply planning data'!F830</f>
        <v>0</v>
      </c>
      <c r="E832" s="320">
        <f>'Supply planning data'!G830</f>
        <v>0</v>
      </c>
      <c r="F832" s="320">
        <f>'Supply planning data'!H830</f>
        <v>0</v>
      </c>
      <c r="G832" s="320">
        <f>'Supply planning data'!I830</f>
        <v>0</v>
      </c>
      <c r="H832" s="105">
        <f>'Supply planning data'!J830</f>
        <v>0</v>
      </c>
      <c r="I832" s="320">
        <f>'Supply planning data'!K830</f>
        <v>0</v>
      </c>
      <c r="J832" s="177" t="str">
        <f>'Supply planning data'!L830</f>
        <v/>
      </c>
      <c r="K832" s="105">
        <f>'Supply planning data'!M830</f>
        <v>0</v>
      </c>
      <c r="L832" s="320">
        <f>'Supply planning data'!N830+'Supply planning data'!P830</f>
        <v>0</v>
      </c>
      <c r="M832" s="341">
        <f>'Supply planning data'!O830</f>
        <v>0</v>
      </c>
      <c r="N832" s="320">
        <f>'Supply planning data'!P830</f>
        <v>0</v>
      </c>
      <c r="O832" s="341">
        <f>'Supply planning data'!Q830</f>
        <v>0</v>
      </c>
      <c r="P832" s="105">
        <f>'Supply planning data'!R830</f>
        <v>0</v>
      </c>
      <c r="Q832" s="105">
        <f>'Supply planning data'!S830</f>
        <v>0</v>
      </c>
      <c r="R832" s="105">
        <f>'Supply planning data'!T830</f>
        <v>0</v>
      </c>
      <c r="S832" s="105">
        <f>'Supply planning data'!U830</f>
        <v>0</v>
      </c>
      <c r="T832" s="105">
        <f>'Supply planning data'!V830</f>
        <v>0</v>
      </c>
      <c r="U832" s="326" t="str">
        <f>'Supply planning data'!W830</f>
        <v/>
      </c>
      <c r="V832" s="105">
        <f>'Supply planning data'!X830</f>
        <v>154701</v>
      </c>
      <c r="W832" s="320">
        <f>'Supply planning data'!Y830</f>
        <v>0</v>
      </c>
      <c r="X832" s="329">
        <f>'Supply planning data'!Z830</f>
        <v>0</v>
      </c>
      <c r="Y832" s="105">
        <f>'Supply planning data'!AA830</f>
        <v>0</v>
      </c>
      <c r="Z832" s="105">
        <f>'Supply planning data'!AB830</f>
        <v>0</v>
      </c>
      <c r="AA832" s="105">
        <f>'Supply planning data'!AC830</f>
        <v>0</v>
      </c>
      <c r="AB832" s="105">
        <f>'Supply planning data'!AD830</f>
        <v>0</v>
      </c>
      <c r="AC832" s="105">
        <f>'Supply planning data'!AE830</f>
        <v>154701</v>
      </c>
      <c r="AD832" s="326" t="str">
        <f>'Supply planning data'!AF830</f>
        <v/>
      </c>
      <c r="AE832" s="105">
        <f>'Supply planning data'!AG830</f>
        <v>0</v>
      </c>
      <c r="AF832" s="320">
        <f>'Supply planning data'!AH830</f>
        <v>0</v>
      </c>
      <c r="AG832" s="177">
        <f>'Supply planning data'!AI830</f>
        <v>0</v>
      </c>
      <c r="AH832" s="105">
        <f>'Supply planning data'!AJ830</f>
        <v>0</v>
      </c>
      <c r="AI832" s="105">
        <f>'Supply planning data'!AK830</f>
        <v>0</v>
      </c>
      <c r="AJ832" s="105">
        <f>'Supply planning data'!AL830</f>
        <v>0</v>
      </c>
      <c r="AK832" s="105">
        <f>'Supply planning data'!AM830</f>
        <v>0</v>
      </c>
      <c r="AL832" s="105">
        <f>'Supply planning data'!AN830</f>
        <v>0</v>
      </c>
      <c r="AM832" s="326" t="str">
        <f>'Supply planning data'!AO830</f>
        <v/>
      </c>
    </row>
    <row r="833" spans="1:39" x14ac:dyDescent="0.25">
      <c r="A833" s="109" t="str">
        <f>'Supply planning data'!C831</f>
        <v>Jansen</v>
      </c>
      <c r="B833" s="298">
        <f>'Supply planning data'!D831</f>
        <v>45870</v>
      </c>
      <c r="C833" s="105" t="str">
        <f>'Supply planning data'!E831</f>
        <v>Yes</v>
      </c>
      <c r="D833" s="105">
        <f>'Supply planning data'!F831</f>
        <v>1871200</v>
      </c>
      <c r="E833" s="320">
        <f>'Supply planning data'!G831</f>
        <v>0</v>
      </c>
      <c r="F833" s="320">
        <f>'Supply planning data'!H831</f>
        <v>0</v>
      </c>
      <c r="G833" s="320">
        <f>'Supply planning data'!I831</f>
        <v>0</v>
      </c>
      <c r="H833" s="105">
        <f>'Supply planning data'!J831</f>
        <v>0</v>
      </c>
      <c r="I833" s="320">
        <f>'Supply planning data'!K831</f>
        <v>0</v>
      </c>
      <c r="J833" s="177" t="str">
        <f>'Supply planning data'!L831</f>
        <v/>
      </c>
      <c r="K833" s="105">
        <f>'Supply planning data'!M831</f>
        <v>0</v>
      </c>
      <c r="L833" s="321">
        <f>'Supply planning data'!N831+'Supply planning data'!P831</f>
        <v>0</v>
      </c>
      <c r="M833" s="342">
        <f>'Supply planning data'!O831</f>
        <v>0</v>
      </c>
      <c r="N833" s="321">
        <f>'Supply planning data'!P831</f>
        <v>0</v>
      </c>
      <c r="O833" s="342">
        <f>'Supply planning data'!Q831</f>
        <v>0</v>
      </c>
      <c r="P833" s="111">
        <f>'Supply planning data'!R831</f>
        <v>0</v>
      </c>
      <c r="Q833" s="111">
        <f>'Supply planning data'!S831</f>
        <v>0</v>
      </c>
      <c r="R833" s="111">
        <f>'Supply planning data'!T831</f>
        <v>387547</v>
      </c>
      <c r="S833" s="111">
        <f>'Supply planning data'!U831</f>
        <v>0</v>
      </c>
      <c r="T833" s="111">
        <f>'Supply planning data'!V831</f>
        <v>1871200</v>
      </c>
      <c r="U833" s="327" t="str">
        <f>'Supply planning data'!W831</f>
        <v/>
      </c>
      <c r="V833" s="111">
        <f>'Supply planning data'!X831</f>
        <v>1311200</v>
      </c>
      <c r="W833" s="321">
        <f>'Supply planning data'!Y831</f>
        <v>0</v>
      </c>
      <c r="X833" s="329">
        <f>'Supply planning data'!Z831</f>
        <v>0</v>
      </c>
      <c r="Y833" s="111">
        <f>'Supply planning data'!AA831</f>
        <v>0</v>
      </c>
      <c r="Z833" s="111">
        <f>'Supply planning data'!AB831</f>
        <v>0</v>
      </c>
      <c r="AA833" s="111">
        <f>'Supply planning data'!AC831</f>
        <v>0</v>
      </c>
      <c r="AB833" s="111">
        <f>'Supply planning data'!AD831</f>
        <v>0</v>
      </c>
      <c r="AC833" s="111">
        <f>'Supply planning data'!AE831</f>
        <v>1311200</v>
      </c>
      <c r="AD833" s="327" t="str">
        <f>'Supply planning data'!AF831</f>
        <v/>
      </c>
      <c r="AE833" s="111">
        <f>'Supply planning data'!AG831</f>
        <v>1871200</v>
      </c>
      <c r="AF833" s="321">
        <f>'Supply planning data'!AH831</f>
        <v>0</v>
      </c>
      <c r="AG833" s="349">
        <f>'Supply planning data'!AI831</f>
        <v>0</v>
      </c>
      <c r="AH833" s="111">
        <f>'Supply planning data'!AJ831</f>
        <v>0</v>
      </c>
      <c r="AI833" s="111">
        <f>'Supply planning data'!AK831</f>
        <v>0</v>
      </c>
      <c r="AJ833" s="111">
        <f>'Supply planning data'!AL831</f>
        <v>387547</v>
      </c>
      <c r="AK833" s="111">
        <f>'Supply planning data'!AM831</f>
        <v>0</v>
      </c>
      <c r="AL833" s="111">
        <f>'Supply planning data'!AN831</f>
        <v>1871200</v>
      </c>
      <c r="AM833" s="327" t="str">
        <f>'Supply planning data'!AO831</f>
        <v/>
      </c>
    </row>
    <row r="834" spans="1:39" x14ac:dyDescent="0.25">
      <c r="A834" s="104" t="str">
        <f>'Supply planning data'!C832</f>
        <v>Moderna</v>
      </c>
      <c r="B834" s="298">
        <f>'Supply planning data'!D832</f>
        <v>45870</v>
      </c>
      <c r="C834" s="105" t="str">
        <f>'Supply planning data'!E832</f>
        <v>No</v>
      </c>
      <c r="D834" s="105">
        <f>'Supply planning data'!F832</f>
        <v>0</v>
      </c>
      <c r="E834" s="320">
        <f>'Supply planning data'!G832</f>
        <v>0</v>
      </c>
      <c r="F834" s="320">
        <f>'Supply planning data'!H832</f>
        <v>0</v>
      </c>
      <c r="G834" s="320">
        <f>'Supply planning data'!I832</f>
        <v>0</v>
      </c>
      <c r="H834" s="105">
        <f>'Supply planning data'!J832</f>
        <v>0</v>
      </c>
      <c r="I834" s="320">
        <f>'Supply planning data'!K832</f>
        <v>0</v>
      </c>
      <c r="J834" s="177" t="str">
        <f>'Supply planning data'!L832</f>
        <v/>
      </c>
      <c r="K834" s="105">
        <f>'Supply planning data'!M832</f>
        <v>0</v>
      </c>
      <c r="L834" s="321">
        <f>'Supply planning data'!N832+'Supply planning data'!P832</f>
        <v>0</v>
      </c>
      <c r="M834" s="342">
        <f>'Supply planning data'!O832</f>
        <v>0</v>
      </c>
      <c r="N834" s="321">
        <f>'Supply planning data'!P832</f>
        <v>0</v>
      </c>
      <c r="O834" s="342">
        <f>'Supply planning data'!Q832</f>
        <v>0</v>
      </c>
      <c r="P834" s="111">
        <f>'Supply planning data'!R832</f>
        <v>0</v>
      </c>
      <c r="Q834" s="111">
        <f>'Supply planning data'!S832</f>
        <v>0</v>
      </c>
      <c r="R834" s="111">
        <f>'Supply planning data'!T832</f>
        <v>0</v>
      </c>
      <c r="S834" s="111">
        <f>'Supply planning data'!U832</f>
        <v>0</v>
      </c>
      <c r="T834" s="111">
        <f>'Supply planning data'!V832</f>
        <v>0</v>
      </c>
      <c r="U834" s="327" t="str">
        <f>'Supply planning data'!W832</f>
        <v/>
      </c>
      <c r="V834" s="111">
        <f>'Supply planning data'!X832</f>
        <v>0</v>
      </c>
      <c r="W834" s="321">
        <f>'Supply planning data'!Y832</f>
        <v>0</v>
      </c>
      <c r="X834" s="329">
        <f>'Supply planning data'!Z832</f>
        <v>0</v>
      </c>
      <c r="Y834" s="111">
        <f>'Supply planning data'!AA832</f>
        <v>0</v>
      </c>
      <c r="Z834" s="111">
        <f>'Supply planning data'!AB832</f>
        <v>0</v>
      </c>
      <c r="AA834" s="111">
        <f>'Supply planning data'!AC832</f>
        <v>0</v>
      </c>
      <c r="AB834" s="111">
        <f>'Supply planning data'!AD832</f>
        <v>0</v>
      </c>
      <c r="AC834" s="111">
        <f>'Supply planning data'!AE832</f>
        <v>0</v>
      </c>
      <c r="AD834" s="327" t="str">
        <f>'Supply planning data'!AF832</f>
        <v/>
      </c>
      <c r="AE834" s="111">
        <f>'Supply planning data'!AG832</f>
        <v>0</v>
      </c>
      <c r="AF834" s="321">
        <f>'Supply planning data'!AH832</f>
        <v>0</v>
      </c>
      <c r="AG834" s="349">
        <f>'Supply planning data'!AI832</f>
        <v>0</v>
      </c>
      <c r="AH834" s="111">
        <f>'Supply planning data'!AJ832</f>
        <v>0</v>
      </c>
      <c r="AI834" s="111">
        <f>'Supply planning data'!AK832</f>
        <v>0</v>
      </c>
      <c r="AJ834" s="111">
        <f>'Supply planning data'!AL832</f>
        <v>0</v>
      </c>
      <c r="AK834" s="111">
        <f>'Supply planning data'!AM832</f>
        <v>0</v>
      </c>
      <c r="AL834" s="111">
        <f>'Supply planning data'!AN832</f>
        <v>0</v>
      </c>
      <c r="AM834" s="327" t="str">
        <f>'Supply planning data'!AO832</f>
        <v/>
      </c>
    </row>
    <row r="835" spans="1:39" x14ac:dyDescent="0.25">
      <c r="A835" s="109" t="str">
        <f>'Supply planning data'!C833</f>
        <v>Pfizer</v>
      </c>
      <c r="B835" s="298">
        <f>'Supply planning data'!D833</f>
        <v>45870</v>
      </c>
      <c r="C835" s="105" t="str">
        <f>'Supply planning data'!E833</f>
        <v>Yes</v>
      </c>
      <c r="D835" s="105">
        <f>'Supply planning data'!F833</f>
        <v>3000000</v>
      </c>
      <c r="E835" s="320">
        <f>'Supply planning data'!G833</f>
        <v>0</v>
      </c>
      <c r="F835" s="320">
        <f>'Supply planning data'!H833</f>
        <v>0</v>
      </c>
      <c r="G835" s="320">
        <f>'Supply planning data'!I833</f>
        <v>0</v>
      </c>
      <c r="H835" s="105">
        <f>'Supply planning data'!J833</f>
        <v>0</v>
      </c>
      <c r="I835" s="320">
        <f>'Supply planning data'!K833</f>
        <v>0</v>
      </c>
      <c r="J835" s="177" t="str">
        <f>'Supply planning data'!L833</f>
        <v/>
      </c>
      <c r="K835" s="105">
        <f>'Supply planning data'!M833</f>
        <v>0</v>
      </c>
      <c r="L835" s="321">
        <f>'Supply planning data'!N833+'Supply planning data'!P833</f>
        <v>0</v>
      </c>
      <c r="M835" s="342">
        <f>'Supply planning data'!O833</f>
        <v>0</v>
      </c>
      <c r="N835" s="321">
        <f>'Supply planning data'!P833</f>
        <v>0</v>
      </c>
      <c r="O835" s="342">
        <f>'Supply planning data'!Q833</f>
        <v>0</v>
      </c>
      <c r="P835" s="111">
        <f>'Supply planning data'!R833</f>
        <v>0</v>
      </c>
      <c r="Q835" s="111">
        <f>'Supply planning data'!S833</f>
        <v>0</v>
      </c>
      <c r="R835" s="111">
        <f>'Supply planning data'!T833</f>
        <v>110538</v>
      </c>
      <c r="S835" s="111">
        <f>'Supply planning data'!U833</f>
        <v>0</v>
      </c>
      <c r="T835" s="111">
        <f>'Supply planning data'!V833</f>
        <v>3000000</v>
      </c>
      <c r="U835" s="327" t="str">
        <f>'Supply planning data'!W833</f>
        <v/>
      </c>
      <c r="V835" s="111">
        <f>'Supply planning data'!X833</f>
        <v>2440000</v>
      </c>
      <c r="W835" s="321">
        <f>'Supply planning data'!Y833</f>
        <v>0</v>
      </c>
      <c r="X835" s="329">
        <f>'Supply planning data'!Z833</f>
        <v>0</v>
      </c>
      <c r="Y835" s="111">
        <f>'Supply planning data'!AA833</f>
        <v>0</v>
      </c>
      <c r="Z835" s="111">
        <f>'Supply planning data'!AB833</f>
        <v>0</v>
      </c>
      <c r="AA835" s="111">
        <f>'Supply planning data'!AC833</f>
        <v>0</v>
      </c>
      <c r="AB835" s="111">
        <f>'Supply planning data'!AD833</f>
        <v>0</v>
      </c>
      <c r="AC835" s="111">
        <f>'Supply planning data'!AE833</f>
        <v>2440000</v>
      </c>
      <c r="AD835" s="327" t="str">
        <f>'Supply planning data'!AF833</f>
        <v/>
      </c>
      <c r="AE835" s="111">
        <f>'Supply planning data'!AG833</f>
        <v>3000000</v>
      </c>
      <c r="AF835" s="321">
        <f>'Supply planning data'!AH833</f>
        <v>0</v>
      </c>
      <c r="AG835" s="349">
        <f>'Supply planning data'!AI833</f>
        <v>0</v>
      </c>
      <c r="AH835" s="111">
        <f>'Supply planning data'!AJ833</f>
        <v>0</v>
      </c>
      <c r="AI835" s="111">
        <f>'Supply planning data'!AK833</f>
        <v>0</v>
      </c>
      <c r="AJ835" s="111">
        <f>'Supply planning data'!AL833</f>
        <v>110538</v>
      </c>
      <c r="AK835" s="111">
        <f>'Supply planning data'!AM833</f>
        <v>0</v>
      </c>
      <c r="AL835" s="111">
        <f>'Supply planning data'!AN833</f>
        <v>3000000</v>
      </c>
      <c r="AM835" s="327" t="str">
        <f>'Supply planning data'!AO833</f>
        <v/>
      </c>
    </row>
    <row r="836" spans="1:39" x14ac:dyDescent="0.25">
      <c r="A836" s="104" t="str">
        <f>'Supply planning data'!C834</f>
        <v>Sinovac</v>
      </c>
      <c r="B836" s="298">
        <f>'Supply planning data'!D834</f>
        <v>45870</v>
      </c>
      <c r="C836" s="105" t="str">
        <f>'Supply planning data'!E834</f>
        <v>No</v>
      </c>
      <c r="D836" s="105">
        <f>'Supply planning data'!F834</f>
        <v>0</v>
      </c>
      <c r="E836" s="320">
        <f>'Supply planning data'!G834</f>
        <v>0</v>
      </c>
      <c r="F836" s="320">
        <f>'Supply planning data'!H834</f>
        <v>0</v>
      </c>
      <c r="G836" s="320">
        <f>'Supply planning data'!I834</f>
        <v>0</v>
      </c>
      <c r="H836" s="105">
        <f>'Supply planning data'!J834</f>
        <v>0</v>
      </c>
      <c r="I836" s="320">
        <f>'Supply planning data'!K834</f>
        <v>0</v>
      </c>
      <c r="J836" s="177" t="str">
        <f>'Supply planning data'!L834</f>
        <v/>
      </c>
      <c r="K836" s="105">
        <f>'Supply planning data'!M834</f>
        <v>0</v>
      </c>
      <c r="L836" s="321">
        <f>'Supply planning data'!N834+'Supply planning data'!P834</f>
        <v>0</v>
      </c>
      <c r="M836" s="342">
        <f>'Supply planning data'!O834</f>
        <v>0</v>
      </c>
      <c r="N836" s="321">
        <f>'Supply planning data'!P834</f>
        <v>0</v>
      </c>
      <c r="O836" s="342">
        <f>'Supply planning data'!Q834</f>
        <v>0</v>
      </c>
      <c r="P836" s="111">
        <f>'Supply planning data'!R834</f>
        <v>0</v>
      </c>
      <c r="Q836" s="111">
        <f>'Supply planning data'!S834</f>
        <v>0</v>
      </c>
      <c r="R836" s="111">
        <f>'Supply planning data'!T834</f>
        <v>0</v>
      </c>
      <c r="S836" s="111">
        <f>'Supply planning data'!U834</f>
        <v>0</v>
      </c>
      <c r="T836" s="111">
        <f>'Supply planning data'!V834</f>
        <v>0</v>
      </c>
      <c r="U836" s="327" t="str">
        <f>'Supply planning data'!W834</f>
        <v/>
      </c>
      <c r="V836" s="111">
        <f>'Supply planning data'!X834</f>
        <v>0</v>
      </c>
      <c r="W836" s="321">
        <f>'Supply planning data'!Y834</f>
        <v>0</v>
      </c>
      <c r="X836" s="329">
        <f>'Supply planning data'!Z834</f>
        <v>0</v>
      </c>
      <c r="Y836" s="111">
        <f>'Supply planning data'!AA834</f>
        <v>0</v>
      </c>
      <c r="Z836" s="111">
        <f>'Supply planning data'!AB834</f>
        <v>0</v>
      </c>
      <c r="AA836" s="111">
        <f>'Supply planning data'!AC834</f>
        <v>0</v>
      </c>
      <c r="AB836" s="111">
        <f>'Supply planning data'!AD834</f>
        <v>0</v>
      </c>
      <c r="AC836" s="111">
        <f>'Supply planning data'!AE834</f>
        <v>0</v>
      </c>
      <c r="AD836" s="327" t="str">
        <f>'Supply planning data'!AF834</f>
        <v/>
      </c>
      <c r="AE836" s="111">
        <f>'Supply planning data'!AG834</f>
        <v>0</v>
      </c>
      <c r="AF836" s="321">
        <f>'Supply planning data'!AH834</f>
        <v>0</v>
      </c>
      <c r="AG836" s="349">
        <f>'Supply planning data'!AI834</f>
        <v>0</v>
      </c>
      <c r="AH836" s="111">
        <f>'Supply planning data'!AJ834</f>
        <v>0</v>
      </c>
      <c r="AI836" s="111">
        <f>'Supply planning data'!AK834</f>
        <v>0</v>
      </c>
      <c r="AJ836" s="111">
        <f>'Supply planning data'!AL834</f>
        <v>0</v>
      </c>
      <c r="AK836" s="111">
        <f>'Supply planning data'!AM834</f>
        <v>0</v>
      </c>
      <c r="AL836" s="111">
        <f>'Supply planning data'!AN834</f>
        <v>0</v>
      </c>
      <c r="AM836" s="327" t="str">
        <f>'Supply planning data'!AO834</f>
        <v/>
      </c>
    </row>
    <row r="837" spans="1:39" hidden="1" x14ac:dyDescent="0.25">
      <c r="A837" s="109" t="str">
        <f>'Supply planning data'!C835</f>
        <v/>
      </c>
      <c r="B837" s="298">
        <f>'Supply planning data'!D835</f>
        <v>45870</v>
      </c>
      <c r="C837" s="105" t="str">
        <f>'Supply planning data'!E835</f>
        <v>No</v>
      </c>
      <c r="D837" s="105">
        <f>'Supply planning data'!F835</f>
        <v>0</v>
      </c>
      <c r="E837" s="320">
        <f>'Supply planning data'!G835</f>
        <v>0</v>
      </c>
      <c r="F837" s="320">
        <f>'Supply planning data'!H835</f>
        <v>0</v>
      </c>
      <c r="G837" s="320">
        <f>'Supply planning data'!I835</f>
        <v>0</v>
      </c>
      <c r="H837" s="105">
        <f>'Supply planning data'!J835</f>
        <v>0</v>
      </c>
      <c r="I837" s="320">
        <f>'Supply planning data'!K835</f>
        <v>0</v>
      </c>
      <c r="J837" s="177" t="str">
        <f>'Supply planning data'!L835</f>
        <v/>
      </c>
      <c r="K837" s="105">
        <f>'Supply planning data'!M835</f>
        <v>0</v>
      </c>
      <c r="L837" s="321">
        <f>'Supply planning data'!N835+'Supply planning data'!P835</f>
        <v>0</v>
      </c>
      <c r="M837" s="342">
        <f>'Supply planning data'!O835</f>
        <v>0</v>
      </c>
      <c r="N837" s="321">
        <f>'Supply planning data'!P835</f>
        <v>0</v>
      </c>
      <c r="O837" s="342">
        <f>'Supply planning data'!Q835</f>
        <v>0</v>
      </c>
      <c r="P837" s="111">
        <f>'Supply planning data'!R835</f>
        <v>0</v>
      </c>
      <c r="Q837" s="111">
        <f>'Supply planning data'!S835</f>
        <v>0</v>
      </c>
      <c r="R837" s="111">
        <f>'Supply planning data'!T835</f>
        <v>0</v>
      </c>
      <c r="S837" s="111">
        <f>'Supply planning data'!U835</f>
        <v>0</v>
      </c>
      <c r="T837" s="111">
        <f>'Supply planning data'!V835</f>
        <v>0</v>
      </c>
      <c r="U837" s="327" t="str">
        <f>'Supply planning data'!W835</f>
        <v/>
      </c>
      <c r="V837" s="111">
        <f>'Supply planning data'!X835</f>
        <v>0</v>
      </c>
      <c r="W837" s="321">
        <f>'Supply planning data'!Y835</f>
        <v>0</v>
      </c>
      <c r="X837" s="329">
        <f>'Supply planning data'!Z835</f>
        <v>0</v>
      </c>
      <c r="Y837" s="111">
        <f>'Supply planning data'!AA835</f>
        <v>0</v>
      </c>
      <c r="Z837" s="111">
        <f>'Supply planning data'!AB835</f>
        <v>0</v>
      </c>
      <c r="AA837" s="111">
        <f>'Supply planning data'!AC835</f>
        <v>0</v>
      </c>
      <c r="AB837" s="111">
        <f>'Supply planning data'!AD835</f>
        <v>0</v>
      </c>
      <c r="AC837" s="111">
        <f>'Supply planning data'!AE835</f>
        <v>0</v>
      </c>
      <c r="AD837" s="327" t="str">
        <f>'Supply planning data'!AF835</f>
        <v/>
      </c>
      <c r="AE837" s="111">
        <f>'Supply planning data'!AG835</f>
        <v>0</v>
      </c>
      <c r="AF837" s="321">
        <f>'Supply planning data'!AH835</f>
        <v>0</v>
      </c>
      <c r="AG837" s="349">
        <f>'Supply planning data'!AI835</f>
        <v>0</v>
      </c>
      <c r="AH837" s="111">
        <f>'Supply planning data'!AJ835</f>
        <v>0</v>
      </c>
      <c r="AI837" s="111">
        <f>'Supply planning data'!AK835</f>
        <v>0</v>
      </c>
      <c r="AJ837" s="111">
        <f>'Supply planning data'!AL835</f>
        <v>0</v>
      </c>
      <c r="AK837" s="111">
        <f>'Supply planning data'!AM835</f>
        <v>0</v>
      </c>
      <c r="AL837" s="111">
        <f>'Supply planning data'!AN835</f>
        <v>0</v>
      </c>
      <c r="AM837" s="327" t="str">
        <f>'Supply planning data'!AO835</f>
        <v/>
      </c>
    </row>
    <row r="838" spans="1:39" hidden="1" x14ac:dyDescent="0.25">
      <c r="A838" s="104" t="str">
        <f>'Supply planning data'!C836</f>
        <v/>
      </c>
      <c r="B838" s="298">
        <f>'Supply planning data'!D836</f>
        <v>45870</v>
      </c>
      <c r="C838" s="105" t="str">
        <f>'Supply planning data'!E836</f>
        <v>No</v>
      </c>
      <c r="D838" s="105">
        <f>'Supply planning data'!F836</f>
        <v>0</v>
      </c>
      <c r="E838" s="320">
        <f>'Supply planning data'!G836</f>
        <v>0</v>
      </c>
      <c r="F838" s="320">
        <f>'Supply planning data'!H836</f>
        <v>0</v>
      </c>
      <c r="G838" s="320">
        <f>'Supply planning data'!I836</f>
        <v>0</v>
      </c>
      <c r="H838" s="105">
        <f>'Supply planning data'!J836</f>
        <v>0</v>
      </c>
      <c r="I838" s="320">
        <f>'Supply planning data'!K836</f>
        <v>0</v>
      </c>
      <c r="J838" s="177" t="str">
        <f>'Supply planning data'!L836</f>
        <v/>
      </c>
      <c r="K838" s="105">
        <f>'Supply planning data'!M836</f>
        <v>0</v>
      </c>
      <c r="L838" s="321">
        <f>'Supply planning data'!N836+'Supply planning data'!P836</f>
        <v>0</v>
      </c>
      <c r="M838" s="342">
        <f>'Supply planning data'!O836</f>
        <v>0</v>
      </c>
      <c r="N838" s="321">
        <f>'Supply planning data'!P836</f>
        <v>0</v>
      </c>
      <c r="O838" s="342">
        <f>'Supply planning data'!Q836</f>
        <v>0</v>
      </c>
      <c r="P838" s="111">
        <f>'Supply planning data'!R836</f>
        <v>0</v>
      </c>
      <c r="Q838" s="111">
        <f>'Supply planning data'!S836</f>
        <v>0</v>
      </c>
      <c r="R838" s="111">
        <f>'Supply planning data'!T836</f>
        <v>0</v>
      </c>
      <c r="S838" s="111">
        <f>'Supply planning data'!U836</f>
        <v>0</v>
      </c>
      <c r="T838" s="111">
        <f>'Supply planning data'!V836</f>
        <v>0</v>
      </c>
      <c r="U838" s="327" t="str">
        <f>'Supply planning data'!W836</f>
        <v/>
      </c>
      <c r="V838" s="111">
        <f>'Supply planning data'!X836</f>
        <v>0</v>
      </c>
      <c r="W838" s="321">
        <f>'Supply planning data'!Y836</f>
        <v>0</v>
      </c>
      <c r="X838" s="329">
        <f>'Supply planning data'!Z836</f>
        <v>0</v>
      </c>
      <c r="Y838" s="111">
        <f>'Supply planning data'!AA836</f>
        <v>0</v>
      </c>
      <c r="Z838" s="111">
        <f>'Supply planning data'!AB836</f>
        <v>0</v>
      </c>
      <c r="AA838" s="111">
        <f>'Supply planning data'!AC836</f>
        <v>0</v>
      </c>
      <c r="AB838" s="111">
        <f>'Supply planning data'!AD836</f>
        <v>0</v>
      </c>
      <c r="AC838" s="111">
        <f>'Supply planning data'!AE836</f>
        <v>0</v>
      </c>
      <c r="AD838" s="327" t="str">
        <f>'Supply planning data'!AF836</f>
        <v/>
      </c>
      <c r="AE838" s="111">
        <f>'Supply planning data'!AG836</f>
        <v>0</v>
      </c>
      <c r="AF838" s="321">
        <f>'Supply planning data'!AH836</f>
        <v>0</v>
      </c>
      <c r="AG838" s="349">
        <f>'Supply planning data'!AI836</f>
        <v>0</v>
      </c>
      <c r="AH838" s="111">
        <f>'Supply planning data'!AJ836</f>
        <v>0</v>
      </c>
      <c r="AI838" s="111">
        <f>'Supply planning data'!AK836</f>
        <v>0</v>
      </c>
      <c r="AJ838" s="111">
        <f>'Supply planning data'!AL836</f>
        <v>0</v>
      </c>
      <c r="AK838" s="111">
        <f>'Supply planning data'!AM836</f>
        <v>0</v>
      </c>
      <c r="AL838" s="111">
        <f>'Supply planning data'!AN836</f>
        <v>0</v>
      </c>
      <c r="AM838" s="327" t="str">
        <f>'Supply planning data'!AO836</f>
        <v/>
      </c>
    </row>
    <row r="839" spans="1:39" hidden="1" x14ac:dyDescent="0.25">
      <c r="A839" s="109" t="str">
        <f>'Supply planning data'!C837</f>
        <v/>
      </c>
      <c r="B839" s="298">
        <f>'Supply planning data'!D837</f>
        <v>45870</v>
      </c>
      <c r="C839" s="105" t="str">
        <f>'Supply planning data'!E837</f>
        <v>No</v>
      </c>
      <c r="D839" s="105">
        <f>'Supply planning data'!F837</f>
        <v>0</v>
      </c>
      <c r="E839" s="320">
        <f>'Supply planning data'!G837</f>
        <v>0</v>
      </c>
      <c r="F839" s="320">
        <f>'Supply planning data'!H837</f>
        <v>0</v>
      </c>
      <c r="G839" s="320">
        <f>'Supply planning data'!I837</f>
        <v>0</v>
      </c>
      <c r="H839" s="105">
        <f>'Supply planning data'!J837</f>
        <v>0</v>
      </c>
      <c r="I839" s="320">
        <f>'Supply planning data'!K837</f>
        <v>0</v>
      </c>
      <c r="J839" s="177" t="str">
        <f>'Supply planning data'!L837</f>
        <v/>
      </c>
      <c r="K839" s="105">
        <f>'Supply planning data'!M837</f>
        <v>0</v>
      </c>
      <c r="L839" s="321">
        <f>'Supply planning data'!N837+'Supply planning data'!P837</f>
        <v>0</v>
      </c>
      <c r="M839" s="342">
        <f>'Supply planning data'!O837</f>
        <v>0</v>
      </c>
      <c r="N839" s="321">
        <f>'Supply planning data'!P837</f>
        <v>0</v>
      </c>
      <c r="O839" s="342">
        <f>'Supply planning data'!Q837</f>
        <v>0</v>
      </c>
      <c r="P839" s="111">
        <f>'Supply planning data'!R837</f>
        <v>0</v>
      </c>
      <c r="Q839" s="111">
        <f>'Supply planning data'!S837</f>
        <v>0</v>
      </c>
      <c r="R839" s="111">
        <f>'Supply planning data'!T837</f>
        <v>0</v>
      </c>
      <c r="S839" s="111">
        <f>'Supply planning data'!U837</f>
        <v>0</v>
      </c>
      <c r="T839" s="111">
        <f>'Supply planning data'!V837</f>
        <v>0</v>
      </c>
      <c r="U839" s="327" t="str">
        <f>'Supply planning data'!W837</f>
        <v/>
      </c>
      <c r="V839" s="111">
        <f>'Supply planning data'!X837</f>
        <v>0</v>
      </c>
      <c r="W839" s="321">
        <f>'Supply planning data'!Y837</f>
        <v>0</v>
      </c>
      <c r="X839" s="329">
        <f>'Supply planning data'!Z837</f>
        <v>0</v>
      </c>
      <c r="Y839" s="111">
        <f>'Supply planning data'!AA837</f>
        <v>0</v>
      </c>
      <c r="Z839" s="111">
        <f>'Supply planning data'!AB837</f>
        <v>0</v>
      </c>
      <c r="AA839" s="111">
        <f>'Supply planning data'!AC837</f>
        <v>0</v>
      </c>
      <c r="AB839" s="111">
        <f>'Supply planning data'!AD837</f>
        <v>0</v>
      </c>
      <c r="AC839" s="111">
        <f>'Supply planning data'!AE837</f>
        <v>0</v>
      </c>
      <c r="AD839" s="327" t="str">
        <f>'Supply planning data'!AF837</f>
        <v/>
      </c>
      <c r="AE839" s="111">
        <f>'Supply planning data'!AG837</f>
        <v>0</v>
      </c>
      <c r="AF839" s="321">
        <f>'Supply planning data'!AH837</f>
        <v>0</v>
      </c>
      <c r="AG839" s="349">
        <f>'Supply planning data'!AI837</f>
        <v>0</v>
      </c>
      <c r="AH839" s="111">
        <f>'Supply planning data'!AJ837</f>
        <v>0</v>
      </c>
      <c r="AI839" s="111">
        <f>'Supply planning data'!AK837</f>
        <v>0</v>
      </c>
      <c r="AJ839" s="111">
        <f>'Supply planning data'!AL837</f>
        <v>0</v>
      </c>
      <c r="AK839" s="111">
        <f>'Supply planning data'!AM837</f>
        <v>0</v>
      </c>
      <c r="AL839" s="111">
        <f>'Supply planning data'!AN837</f>
        <v>0</v>
      </c>
      <c r="AM839" s="327" t="str">
        <f>'Supply planning data'!AO837</f>
        <v/>
      </c>
    </row>
    <row r="840" spans="1:39" hidden="1" x14ac:dyDescent="0.25">
      <c r="A840" s="104" t="str">
        <f>'Supply planning data'!C838</f>
        <v/>
      </c>
      <c r="B840" s="298">
        <f>'Supply planning data'!D838</f>
        <v>45870</v>
      </c>
      <c r="C840" s="105" t="str">
        <f>'Supply planning data'!E838</f>
        <v>No</v>
      </c>
      <c r="D840" s="105">
        <f>'Supply planning data'!F838</f>
        <v>0</v>
      </c>
      <c r="E840" s="320">
        <f>'Supply planning data'!G838</f>
        <v>0</v>
      </c>
      <c r="F840" s="320">
        <f>'Supply planning data'!H838</f>
        <v>0</v>
      </c>
      <c r="G840" s="320">
        <f>'Supply planning data'!I838</f>
        <v>0</v>
      </c>
      <c r="H840" s="105">
        <f>'Supply planning data'!J838</f>
        <v>0</v>
      </c>
      <c r="I840" s="320">
        <f>'Supply planning data'!K838</f>
        <v>0</v>
      </c>
      <c r="J840" s="177" t="str">
        <f>'Supply planning data'!L838</f>
        <v/>
      </c>
      <c r="K840" s="105">
        <f>'Supply planning data'!M838</f>
        <v>0</v>
      </c>
      <c r="L840" s="321">
        <f>'Supply planning data'!N838+'Supply planning data'!P838</f>
        <v>0</v>
      </c>
      <c r="M840" s="342">
        <f>'Supply planning data'!O838</f>
        <v>0</v>
      </c>
      <c r="N840" s="321">
        <f>'Supply planning data'!P838</f>
        <v>0</v>
      </c>
      <c r="O840" s="342">
        <f>'Supply planning data'!Q838</f>
        <v>0</v>
      </c>
      <c r="P840" s="111">
        <f>'Supply planning data'!R838</f>
        <v>0</v>
      </c>
      <c r="Q840" s="111">
        <f>'Supply planning data'!S838</f>
        <v>0</v>
      </c>
      <c r="R840" s="111">
        <f>'Supply planning data'!T838</f>
        <v>0</v>
      </c>
      <c r="S840" s="111">
        <f>'Supply planning data'!U838</f>
        <v>0</v>
      </c>
      <c r="T840" s="111">
        <f>'Supply planning data'!V838</f>
        <v>0</v>
      </c>
      <c r="U840" s="327" t="str">
        <f>'Supply planning data'!W838</f>
        <v/>
      </c>
      <c r="V840" s="111">
        <f>'Supply planning data'!X838</f>
        <v>0</v>
      </c>
      <c r="W840" s="321">
        <f>'Supply planning data'!Y838</f>
        <v>0</v>
      </c>
      <c r="X840" s="329">
        <f>'Supply planning data'!Z838</f>
        <v>0</v>
      </c>
      <c r="Y840" s="111">
        <f>'Supply planning data'!AA838</f>
        <v>0</v>
      </c>
      <c r="Z840" s="111">
        <f>'Supply planning data'!AB838</f>
        <v>0</v>
      </c>
      <c r="AA840" s="111">
        <f>'Supply planning data'!AC838</f>
        <v>0</v>
      </c>
      <c r="AB840" s="111">
        <f>'Supply planning data'!AD838</f>
        <v>0</v>
      </c>
      <c r="AC840" s="111">
        <f>'Supply planning data'!AE838</f>
        <v>0</v>
      </c>
      <c r="AD840" s="327" t="str">
        <f>'Supply planning data'!AF838</f>
        <v/>
      </c>
      <c r="AE840" s="111">
        <f>'Supply planning data'!AG838</f>
        <v>0</v>
      </c>
      <c r="AF840" s="321">
        <f>'Supply planning data'!AH838</f>
        <v>0</v>
      </c>
      <c r="AG840" s="349">
        <f>'Supply planning data'!AI838</f>
        <v>0</v>
      </c>
      <c r="AH840" s="111">
        <f>'Supply planning data'!AJ838</f>
        <v>0</v>
      </c>
      <c r="AI840" s="111">
        <f>'Supply planning data'!AK838</f>
        <v>0</v>
      </c>
      <c r="AJ840" s="111">
        <f>'Supply planning data'!AL838</f>
        <v>0</v>
      </c>
      <c r="AK840" s="111">
        <f>'Supply planning data'!AM838</f>
        <v>0</v>
      </c>
      <c r="AL840" s="111">
        <f>'Supply planning data'!AN838</f>
        <v>0</v>
      </c>
      <c r="AM840" s="327" t="str">
        <f>'Supply planning data'!AO838</f>
        <v/>
      </c>
    </row>
    <row r="841" spans="1:39" hidden="1" x14ac:dyDescent="0.25">
      <c r="A841" s="109" t="str">
        <f>'Supply planning data'!C839</f>
        <v/>
      </c>
      <c r="B841" s="298">
        <f>'Supply planning data'!D839</f>
        <v>45870</v>
      </c>
      <c r="C841" s="105" t="str">
        <f>'Supply planning data'!E839</f>
        <v>No</v>
      </c>
      <c r="D841" s="105">
        <f>'Supply planning data'!F839</f>
        <v>0</v>
      </c>
      <c r="E841" s="320">
        <f>'Supply planning data'!G839</f>
        <v>0</v>
      </c>
      <c r="F841" s="320">
        <f>'Supply planning data'!H839</f>
        <v>0</v>
      </c>
      <c r="G841" s="320">
        <f>'Supply planning data'!I839</f>
        <v>0</v>
      </c>
      <c r="H841" s="105">
        <f>'Supply planning data'!J839</f>
        <v>0</v>
      </c>
      <c r="I841" s="320">
        <f>'Supply planning data'!K839</f>
        <v>0</v>
      </c>
      <c r="J841" s="177" t="str">
        <f>'Supply planning data'!L839</f>
        <v/>
      </c>
      <c r="K841" s="105">
        <f>'Supply planning data'!M839</f>
        <v>0</v>
      </c>
      <c r="L841" s="321">
        <f>'Supply planning data'!N839+'Supply planning data'!P839</f>
        <v>0</v>
      </c>
      <c r="M841" s="342">
        <f>'Supply planning data'!O839</f>
        <v>0</v>
      </c>
      <c r="N841" s="321">
        <f>'Supply planning data'!P839</f>
        <v>0</v>
      </c>
      <c r="O841" s="342">
        <f>'Supply planning data'!Q839</f>
        <v>0</v>
      </c>
      <c r="P841" s="111">
        <f>'Supply planning data'!R839</f>
        <v>0</v>
      </c>
      <c r="Q841" s="111">
        <f>'Supply planning data'!S839</f>
        <v>0</v>
      </c>
      <c r="R841" s="111">
        <f>'Supply planning data'!T839</f>
        <v>0</v>
      </c>
      <c r="S841" s="111">
        <f>'Supply planning data'!U839</f>
        <v>0</v>
      </c>
      <c r="T841" s="111">
        <f>'Supply planning data'!V839</f>
        <v>0</v>
      </c>
      <c r="U841" s="327" t="str">
        <f>'Supply planning data'!W839</f>
        <v/>
      </c>
      <c r="V841" s="111">
        <f>'Supply planning data'!X839</f>
        <v>0</v>
      </c>
      <c r="W841" s="321">
        <f>'Supply planning data'!Y839</f>
        <v>0</v>
      </c>
      <c r="X841" s="329">
        <f>'Supply planning data'!Z839</f>
        <v>0</v>
      </c>
      <c r="Y841" s="111">
        <f>'Supply planning data'!AA839</f>
        <v>0</v>
      </c>
      <c r="Z841" s="111">
        <f>'Supply planning data'!AB839</f>
        <v>0</v>
      </c>
      <c r="AA841" s="111">
        <f>'Supply planning data'!AC839</f>
        <v>0</v>
      </c>
      <c r="AB841" s="111">
        <f>'Supply planning data'!AD839</f>
        <v>0</v>
      </c>
      <c r="AC841" s="111">
        <f>'Supply planning data'!AE839</f>
        <v>0</v>
      </c>
      <c r="AD841" s="327" t="str">
        <f>'Supply planning data'!AF839</f>
        <v/>
      </c>
      <c r="AE841" s="111">
        <f>'Supply planning data'!AG839</f>
        <v>0</v>
      </c>
      <c r="AF841" s="321">
        <f>'Supply planning data'!AH839</f>
        <v>0</v>
      </c>
      <c r="AG841" s="349">
        <f>'Supply planning data'!AI839</f>
        <v>0</v>
      </c>
      <c r="AH841" s="111">
        <f>'Supply planning data'!AJ839</f>
        <v>0</v>
      </c>
      <c r="AI841" s="111">
        <f>'Supply planning data'!AK839</f>
        <v>0</v>
      </c>
      <c r="AJ841" s="111">
        <f>'Supply planning data'!AL839</f>
        <v>0</v>
      </c>
      <c r="AK841" s="111">
        <f>'Supply planning data'!AM839</f>
        <v>0</v>
      </c>
      <c r="AL841" s="111">
        <f>'Supply planning data'!AN839</f>
        <v>0</v>
      </c>
      <c r="AM841" s="327" t="str">
        <f>'Supply planning data'!AO839</f>
        <v/>
      </c>
    </row>
    <row r="842" spans="1:39" hidden="1" x14ac:dyDescent="0.25">
      <c r="A842" s="104" t="str">
        <f>'Supply planning data'!C840</f>
        <v/>
      </c>
      <c r="B842" s="298">
        <f>'Supply planning data'!D840</f>
        <v>45870</v>
      </c>
      <c r="C842" s="105" t="str">
        <f>'Supply planning data'!E840</f>
        <v>No</v>
      </c>
      <c r="D842" s="105">
        <f>'Supply planning data'!F840</f>
        <v>0</v>
      </c>
      <c r="E842" s="320">
        <f>'Supply planning data'!G840</f>
        <v>0</v>
      </c>
      <c r="F842" s="320">
        <f>'Supply planning data'!H840</f>
        <v>0</v>
      </c>
      <c r="G842" s="320">
        <f>'Supply planning data'!I840</f>
        <v>0</v>
      </c>
      <c r="H842" s="105">
        <f>'Supply planning data'!J840</f>
        <v>0</v>
      </c>
      <c r="I842" s="320">
        <f>'Supply planning data'!K840</f>
        <v>0</v>
      </c>
      <c r="J842" s="177" t="str">
        <f>'Supply planning data'!L840</f>
        <v/>
      </c>
      <c r="K842" s="105">
        <f>'Supply planning data'!M840</f>
        <v>0</v>
      </c>
      <c r="L842" s="321">
        <f>'Supply planning data'!N840+'Supply planning data'!P840</f>
        <v>0</v>
      </c>
      <c r="M842" s="342">
        <f>'Supply planning data'!O840</f>
        <v>0</v>
      </c>
      <c r="N842" s="321">
        <f>'Supply planning data'!P840</f>
        <v>0</v>
      </c>
      <c r="O842" s="342">
        <f>'Supply planning data'!Q840</f>
        <v>0</v>
      </c>
      <c r="P842" s="111">
        <f>'Supply planning data'!R840</f>
        <v>0</v>
      </c>
      <c r="Q842" s="111">
        <f>'Supply planning data'!S840</f>
        <v>0</v>
      </c>
      <c r="R842" s="111">
        <f>'Supply planning data'!T840</f>
        <v>0</v>
      </c>
      <c r="S842" s="111">
        <f>'Supply planning data'!U840</f>
        <v>0</v>
      </c>
      <c r="T842" s="111">
        <f>'Supply planning data'!V840</f>
        <v>0</v>
      </c>
      <c r="U842" s="327" t="str">
        <f>'Supply planning data'!W840</f>
        <v/>
      </c>
      <c r="V842" s="111">
        <f>'Supply planning data'!X840</f>
        <v>0</v>
      </c>
      <c r="W842" s="321">
        <f>'Supply planning data'!Y840</f>
        <v>0</v>
      </c>
      <c r="X842" s="329">
        <f>'Supply planning data'!Z840</f>
        <v>0</v>
      </c>
      <c r="Y842" s="111">
        <f>'Supply planning data'!AA840</f>
        <v>0</v>
      </c>
      <c r="Z842" s="111">
        <f>'Supply planning data'!AB840</f>
        <v>0</v>
      </c>
      <c r="AA842" s="111">
        <f>'Supply planning data'!AC840</f>
        <v>0</v>
      </c>
      <c r="AB842" s="111">
        <f>'Supply planning data'!AD840</f>
        <v>0</v>
      </c>
      <c r="AC842" s="111">
        <f>'Supply planning data'!AE840</f>
        <v>0</v>
      </c>
      <c r="AD842" s="327" t="str">
        <f>'Supply planning data'!AF840</f>
        <v/>
      </c>
      <c r="AE842" s="111">
        <f>'Supply planning data'!AG840</f>
        <v>0</v>
      </c>
      <c r="AF842" s="321">
        <f>'Supply planning data'!AH840</f>
        <v>0</v>
      </c>
      <c r="AG842" s="349">
        <f>'Supply planning data'!AI840</f>
        <v>0</v>
      </c>
      <c r="AH842" s="111">
        <f>'Supply planning data'!AJ840</f>
        <v>0</v>
      </c>
      <c r="AI842" s="111">
        <f>'Supply planning data'!AK840</f>
        <v>0</v>
      </c>
      <c r="AJ842" s="111">
        <f>'Supply planning data'!AL840</f>
        <v>0</v>
      </c>
      <c r="AK842" s="111">
        <f>'Supply planning data'!AM840</f>
        <v>0</v>
      </c>
      <c r="AL842" s="111">
        <f>'Supply planning data'!AN840</f>
        <v>0</v>
      </c>
      <c r="AM842" s="327" t="str">
        <f>'Supply planning data'!AO840</f>
        <v/>
      </c>
    </row>
    <row r="843" spans="1:39" hidden="1" x14ac:dyDescent="0.25">
      <c r="A843" s="109" t="str">
        <f>'Supply planning data'!C841</f>
        <v/>
      </c>
      <c r="B843" s="298">
        <f>'Supply planning data'!D841</f>
        <v>45870</v>
      </c>
      <c r="C843" s="105" t="str">
        <f>'Supply planning data'!E841</f>
        <v>No</v>
      </c>
      <c r="D843" s="105">
        <f>'Supply planning data'!F841</f>
        <v>0</v>
      </c>
      <c r="E843" s="320">
        <f>'Supply planning data'!G841</f>
        <v>0</v>
      </c>
      <c r="F843" s="320">
        <f>'Supply planning data'!H841</f>
        <v>0</v>
      </c>
      <c r="G843" s="320">
        <f>'Supply planning data'!I841</f>
        <v>0</v>
      </c>
      <c r="H843" s="105">
        <f>'Supply planning data'!J841</f>
        <v>0</v>
      </c>
      <c r="I843" s="320">
        <f>'Supply planning data'!K841</f>
        <v>0</v>
      </c>
      <c r="J843" s="177" t="str">
        <f>'Supply planning data'!L841</f>
        <v/>
      </c>
      <c r="K843" s="105">
        <f>'Supply planning data'!M841</f>
        <v>0</v>
      </c>
      <c r="L843" s="321">
        <f>'Supply planning data'!N841+'Supply planning data'!P841</f>
        <v>0</v>
      </c>
      <c r="M843" s="342">
        <f>'Supply planning data'!O841</f>
        <v>0</v>
      </c>
      <c r="N843" s="321">
        <f>'Supply planning data'!P841</f>
        <v>0</v>
      </c>
      <c r="O843" s="342">
        <f>'Supply planning data'!Q841</f>
        <v>0</v>
      </c>
      <c r="P843" s="111">
        <f>'Supply planning data'!R841</f>
        <v>0</v>
      </c>
      <c r="Q843" s="111">
        <f>'Supply planning data'!S841</f>
        <v>0</v>
      </c>
      <c r="R843" s="111">
        <f>'Supply planning data'!T841</f>
        <v>0</v>
      </c>
      <c r="S843" s="111">
        <f>'Supply planning data'!U841</f>
        <v>0</v>
      </c>
      <c r="T843" s="111">
        <f>'Supply planning data'!V841</f>
        <v>0</v>
      </c>
      <c r="U843" s="327" t="str">
        <f>'Supply planning data'!W841</f>
        <v/>
      </c>
      <c r="V843" s="111">
        <f>'Supply planning data'!X841</f>
        <v>0</v>
      </c>
      <c r="W843" s="321">
        <f>'Supply planning data'!Y841</f>
        <v>0</v>
      </c>
      <c r="X843" s="329">
        <f>'Supply planning data'!Z841</f>
        <v>0</v>
      </c>
      <c r="Y843" s="111">
        <f>'Supply planning data'!AA841</f>
        <v>0</v>
      </c>
      <c r="Z843" s="111">
        <f>'Supply planning data'!AB841</f>
        <v>0</v>
      </c>
      <c r="AA843" s="111">
        <f>'Supply planning data'!AC841</f>
        <v>0</v>
      </c>
      <c r="AB843" s="111">
        <f>'Supply planning data'!AD841</f>
        <v>0</v>
      </c>
      <c r="AC843" s="111">
        <f>'Supply planning data'!AE841</f>
        <v>0</v>
      </c>
      <c r="AD843" s="327" t="str">
        <f>'Supply planning data'!AF841</f>
        <v/>
      </c>
      <c r="AE843" s="111">
        <f>'Supply planning data'!AG841</f>
        <v>0</v>
      </c>
      <c r="AF843" s="321">
        <f>'Supply planning data'!AH841</f>
        <v>0</v>
      </c>
      <c r="AG843" s="349">
        <f>'Supply planning data'!AI841</f>
        <v>0</v>
      </c>
      <c r="AH843" s="111">
        <f>'Supply planning data'!AJ841</f>
        <v>0</v>
      </c>
      <c r="AI843" s="111">
        <f>'Supply planning data'!AK841</f>
        <v>0</v>
      </c>
      <c r="AJ843" s="111">
        <f>'Supply planning data'!AL841</f>
        <v>0</v>
      </c>
      <c r="AK843" s="111">
        <f>'Supply planning data'!AM841</f>
        <v>0</v>
      </c>
      <c r="AL843" s="111">
        <f>'Supply planning data'!AN841</f>
        <v>0</v>
      </c>
      <c r="AM843" s="327" t="str">
        <f>'Supply planning data'!AO841</f>
        <v/>
      </c>
    </row>
    <row r="844" spans="1:39" hidden="1" x14ac:dyDescent="0.25">
      <c r="A844" s="104" t="str">
        <f>'Supply planning data'!C842</f>
        <v/>
      </c>
      <c r="B844" s="298">
        <f>'Supply planning data'!D842</f>
        <v>45870</v>
      </c>
      <c r="C844" s="105" t="str">
        <f>'Supply planning data'!E842</f>
        <v>No</v>
      </c>
      <c r="D844" s="105">
        <f>'Supply planning data'!F842</f>
        <v>0</v>
      </c>
      <c r="E844" s="320">
        <f>'Supply planning data'!G842</f>
        <v>0</v>
      </c>
      <c r="F844" s="320">
        <f>'Supply planning data'!H842</f>
        <v>0</v>
      </c>
      <c r="G844" s="320">
        <f>'Supply planning data'!I842</f>
        <v>0</v>
      </c>
      <c r="H844" s="105">
        <f>'Supply planning data'!J842</f>
        <v>0</v>
      </c>
      <c r="I844" s="320">
        <f>'Supply planning data'!K842</f>
        <v>0</v>
      </c>
      <c r="J844" s="177" t="str">
        <f>'Supply planning data'!L842</f>
        <v/>
      </c>
      <c r="K844" s="105">
        <f>'Supply planning data'!M842</f>
        <v>0</v>
      </c>
      <c r="L844" s="321">
        <f>'Supply planning data'!N842+'Supply planning data'!P842</f>
        <v>0</v>
      </c>
      <c r="M844" s="342">
        <f>'Supply planning data'!O842</f>
        <v>0</v>
      </c>
      <c r="N844" s="321">
        <f>'Supply planning data'!P842</f>
        <v>0</v>
      </c>
      <c r="O844" s="342">
        <f>'Supply planning data'!Q842</f>
        <v>0</v>
      </c>
      <c r="P844" s="111">
        <f>'Supply planning data'!R842</f>
        <v>0</v>
      </c>
      <c r="Q844" s="111">
        <f>'Supply planning data'!S842</f>
        <v>0</v>
      </c>
      <c r="R844" s="111">
        <f>'Supply planning data'!T842</f>
        <v>0</v>
      </c>
      <c r="S844" s="111">
        <f>'Supply planning data'!U842</f>
        <v>0</v>
      </c>
      <c r="T844" s="111">
        <f>'Supply planning data'!V842</f>
        <v>0</v>
      </c>
      <c r="U844" s="327" t="str">
        <f>'Supply planning data'!W842</f>
        <v/>
      </c>
      <c r="V844" s="111">
        <f>'Supply planning data'!X842</f>
        <v>0</v>
      </c>
      <c r="W844" s="321">
        <f>'Supply planning data'!Y842</f>
        <v>0</v>
      </c>
      <c r="X844" s="329">
        <f>'Supply planning data'!Z842</f>
        <v>0</v>
      </c>
      <c r="Y844" s="111">
        <f>'Supply planning data'!AA842</f>
        <v>0</v>
      </c>
      <c r="Z844" s="111">
        <f>'Supply planning data'!AB842</f>
        <v>0</v>
      </c>
      <c r="AA844" s="111">
        <f>'Supply planning data'!AC842</f>
        <v>0</v>
      </c>
      <c r="AB844" s="111">
        <f>'Supply planning data'!AD842</f>
        <v>0</v>
      </c>
      <c r="AC844" s="111">
        <f>'Supply planning data'!AE842</f>
        <v>0</v>
      </c>
      <c r="AD844" s="327" t="str">
        <f>'Supply planning data'!AF842</f>
        <v/>
      </c>
      <c r="AE844" s="111">
        <f>'Supply planning data'!AG842</f>
        <v>0</v>
      </c>
      <c r="AF844" s="321">
        <f>'Supply planning data'!AH842</f>
        <v>0</v>
      </c>
      <c r="AG844" s="349">
        <f>'Supply planning data'!AI842</f>
        <v>0</v>
      </c>
      <c r="AH844" s="111">
        <f>'Supply planning data'!AJ842</f>
        <v>0</v>
      </c>
      <c r="AI844" s="111">
        <f>'Supply planning data'!AK842</f>
        <v>0</v>
      </c>
      <c r="AJ844" s="111">
        <f>'Supply planning data'!AL842</f>
        <v>0</v>
      </c>
      <c r="AK844" s="111">
        <f>'Supply planning data'!AM842</f>
        <v>0</v>
      </c>
      <c r="AL844" s="111">
        <f>'Supply planning data'!AN842</f>
        <v>0</v>
      </c>
      <c r="AM844" s="327" t="str">
        <f>'Supply planning data'!AO842</f>
        <v/>
      </c>
    </row>
    <row r="845" spans="1:39" hidden="1" x14ac:dyDescent="0.25">
      <c r="A845" s="109" t="str">
        <f>'Supply planning data'!C843</f>
        <v/>
      </c>
      <c r="B845" s="298">
        <f>'Supply planning data'!D843</f>
        <v>45870</v>
      </c>
      <c r="C845" s="105" t="str">
        <f>'Supply planning data'!E843</f>
        <v>No</v>
      </c>
      <c r="D845" s="105">
        <f>'Supply planning data'!F843</f>
        <v>0</v>
      </c>
      <c r="E845" s="320">
        <f>'Supply planning data'!G843</f>
        <v>0</v>
      </c>
      <c r="F845" s="320">
        <f>'Supply planning data'!H843</f>
        <v>0</v>
      </c>
      <c r="G845" s="320">
        <f>'Supply planning data'!I843</f>
        <v>0</v>
      </c>
      <c r="H845" s="105">
        <f>'Supply planning data'!J843</f>
        <v>0</v>
      </c>
      <c r="I845" s="320">
        <f>'Supply planning data'!K843</f>
        <v>0</v>
      </c>
      <c r="J845" s="177" t="str">
        <f>'Supply planning data'!L843</f>
        <v/>
      </c>
      <c r="K845" s="105">
        <f>'Supply planning data'!M843</f>
        <v>0</v>
      </c>
      <c r="L845" s="321">
        <f>'Supply planning data'!N843+'Supply planning data'!P843</f>
        <v>0</v>
      </c>
      <c r="M845" s="342">
        <f>'Supply planning data'!O843</f>
        <v>0</v>
      </c>
      <c r="N845" s="321">
        <f>'Supply planning data'!P843</f>
        <v>0</v>
      </c>
      <c r="O845" s="342">
        <f>'Supply planning data'!Q843</f>
        <v>0</v>
      </c>
      <c r="P845" s="111">
        <f>'Supply planning data'!R843</f>
        <v>0</v>
      </c>
      <c r="Q845" s="111">
        <f>'Supply planning data'!S843</f>
        <v>0</v>
      </c>
      <c r="R845" s="111">
        <f>'Supply planning data'!T843</f>
        <v>0</v>
      </c>
      <c r="S845" s="111">
        <f>'Supply planning data'!U843</f>
        <v>0</v>
      </c>
      <c r="T845" s="111">
        <f>'Supply planning data'!V843</f>
        <v>0</v>
      </c>
      <c r="U845" s="327" t="str">
        <f>'Supply planning data'!W843</f>
        <v/>
      </c>
      <c r="V845" s="111">
        <f>'Supply planning data'!X843</f>
        <v>0</v>
      </c>
      <c r="W845" s="321">
        <f>'Supply planning data'!Y843</f>
        <v>0</v>
      </c>
      <c r="X845" s="329">
        <f>'Supply planning data'!Z843</f>
        <v>0</v>
      </c>
      <c r="Y845" s="111">
        <f>'Supply planning data'!AA843</f>
        <v>0</v>
      </c>
      <c r="Z845" s="111">
        <f>'Supply planning data'!AB843</f>
        <v>0</v>
      </c>
      <c r="AA845" s="111">
        <f>'Supply planning data'!AC843</f>
        <v>0</v>
      </c>
      <c r="AB845" s="111">
        <f>'Supply planning data'!AD843</f>
        <v>0</v>
      </c>
      <c r="AC845" s="111">
        <f>'Supply planning data'!AE843</f>
        <v>0</v>
      </c>
      <c r="AD845" s="327" t="str">
        <f>'Supply planning data'!AF843</f>
        <v/>
      </c>
      <c r="AE845" s="111">
        <f>'Supply planning data'!AG843</f>
        <v>0</v>
      </c>
      <c r="AF845" s="321">
        <f>'Supply planning data'!AH843</f>
        <v>0</v>
      </c>
      <c r="AG845" s="349">
        <f>'Supply planning data'!AI843</f>
        <v>0</v>
      </c>
      <c r="AH845" s="111">
        <f>'Supply planning data'!AJ843</f>
        <v>0</v>
      </c>
      <c r="AI845" s="111">
        <f>'Supply planning data'!AK843</f>
        <v>0</v>
      </c>
      <c r="AJ845" s="111">
        <f>'Supply planning data'!AL843</f>
        <v>0</v>
      </c>
      <c r="AK845" s="111">
        <f>'Supply planning data'!AM843</f>
        <v>0</v>
      </c>
      <c r="AL845" s="111">
        <f>'Supply planning data'!AN843</f>
        <v>0</v>
      </c>
      <c r="AM845" s="327" t="str">
        <f>'Supply planning data'!AO843</f>
        <v/>
      </c>
    </row>
    <row r="846" spans="1:39" hidden="1" x14ac:dyDescent="0.25">
      <c r="A846" s="104" t="str">
        <f>'Supply planning data'!C844</f>
        <v/>
      </c>
      <c r="B846" s="298">
        <f>'Supply planning data'!D844</f>
        <v>45870</v>
      </c>
      <c r="C846" s="105" t="str">
        <f>'Supply planning data'!E844</f>
        <v>No</v>
      </c>
      <c r="D846" s="105">
        <f>'Supply planning data'!F844</f>
        <v>0</v>
      </c>
      <c r="E846" s="320">
        <f>'Supply planning data'!G844</f>
        <v>0</v>
      </c>
      <c r="F846" s="320">
        <f>'Supply planning data'!H844</f>
        <v>0</v>
      </c>
      <c r="G846" s="320">
        <f>'Supply planning data'!I844</f>
        <v>0</v>
      </c>
      <c r="H846" s="105">
        <f>'Supply planning data'!J844</f>
        <v>0</v>
      </c>
      <c r="I846" s="320">
        <f>'Supply planning data'!K844</f>
        <v>0</v>
      </c>
      <c r="J846" s="177" t="str">
        <f>'Supply planning data'!L844</f>
        <v/>
      </c>
      <c r="K846" s="105">
        <f>'Supply planning data'!M844</f>
        <v>0</v>
      </c>
      <c r="L846" s="321">
        <f>'Supply planning data'!N844+'Supply planning data'!P844</f>
        <v>0</v>
      </c>
      <c r="M846" s="342">
        <f>'Supply planning data'!O844</f>
        <v>0</v>
      </c>
      <c r="N846" s="321">
        <f>'Supply planning data'!P844</f>
        <v>0</v>
      </c>
      <c r="O846" s="342">
        <f>'Supply planning data'!Q844</f>
        <v>0</v>
      </c>
      <c r="P846" s="111">
        <f>'Supply planning data'!R844</f>
        <v>0</v>
      </c>
      <c r="Q846" s="111">
        <f>'Supply planning data'!S844</f>
        <v>0</v>
      </c>
      <c r="R846" s="111">
        <f>'Supply planning data'!T844</f>
        <v>0</v>
      </c>
      <c r="S846" s="111">
        <f>'Supply planning data'!U844</f>
        <v>0</v>
      </c>
      <c r="T846" s="111">
        <f>'Supply planning data'!V844</f>
        <v>0</v>
      </c>
      <c r="U846" s="327" t="str">
        <f>'Supply planning data'!W844</f>
        <v/>
      </c>
      <c r="V846" s="111">
        <f>'Supply planning data'!X844</f>
        <v>0</v>
      </c>
      <c r="W846" s="321">
        <f>'Supply planning data'!Y844</f>
        <v>0</v>
      </c>
      <c r="X846" s="329">
        <f>'Supply planning data'!Z844</f>
        <v>0</v>
      </c>
      <c r="Y846" s="111">
        <f>'Supply planning data'!AA844</f>
        <v>0</v>
      </c>
      <c r="Z846" s="111">
        <f>'Supply planning data'!AB844</f>
        <v>0</v>
      </c>
      <c r="AA846" s="111">
        <f>'Supply planning data'!AC844</f>
        <v>0</v>
      </c>
      <c r="AB846" s="111">
        <f>'Supply planning data'!AD844</f>
        <v>0</v>
      </c>
      <c r="AC846" s="111">
        <f>'Supply planning data'!AE844</f>
        <v>0</v>
      </c>
      <c r="AD846" s="327" t="str">
        <f>'Supply planning data'!AF844</f>
        <v/>
      </c>
      <c r="AE846" s="111">
        <f>'Supply planning data'!AG844</f>
        <v>0</v>
      </c>
      <c r="AF846" s="321">
        <f>'Supply planning data'!AH844</f>
        <v>0</v>
      </c>
      <c r="AG846" s="349">
        <f>'Supply planning data'!AI844</f>
        <v>0</v>
      </c>
      <c r="AH846" s="111">
        <f>'Supply planning data'!AJ844</f>
        <v>0</v>
      </c>
      <c r="AI846" s="111">
        <f>'Supply planning data'!AK844</f>
        <v>0</v>
      </c>
      <c r="AJ846" s="111">
        <f>'Supply planning data'!AL844</f>
        <v>0</v>
      </c>
      <c r="AK846" s="111">
        <f>'Supply planning data'!AM844</f>
        <v>0</v>
      </c>
      <c r="AL846" s="111">
        <f>'Supply planning data'!AN844</f>
        <v>0</v>
      </c>
      <c r="AM846" s="327" t="str">
        <f>'Supply planning data'!AO844</f>
        <v/>
      </c>
    </row>
    <row r="847" spans="1:39" x14ac:dyDescent="0.25">
      <c r="A847" s="90" t="str">
        <f>'Supply planning data'!C845</f>
        <v>AstraZeneca</v>
      </c>
      <c r="B847" s="296">
        <f>'Supply planning data'!D845</f>
        <v>45901</v>
      </c>
      <c r="C847" s="92" t="str">
        <f>'Supply planning data'!E845</f>
        <v>Yes</v>
      </c>
      <c r="D847" s="92">
        <f>'Supply planning data'!F845</f>
        <v>0</v>
      </c>
      <c r="E847" s="316">
        <f>'Supply planning data'!G845</f>
        <v>0</v>
      </c>
      <c r="F847" s="316">
        <f>'Supply planning data'!H845</f>
        <v>0</v>
      </c>
      <c r="G847" s="316">
        <f>'Supply planning data'!I845</f>
        <v>0</v>
      </c>
      <c r="H847" s="92">
        <f>'Supply planning data'!J845</f>
        <v>0</v>
      </c>
      <c r="I847" s="316">
        <f>'Supply planning data'!K845</f>
        <v>0</v>
      </c>
      <c r="J847" s="174" t="str">
        <f>'Supply planning data'!L845</f>
        <v/>
      </c>
      <c r="K847" s="92">
        <f>'Supply planning data'!M845</f>
        <v>0</v>
      </c>
      <c r="L847" s="316">
        <f>'Supply planning data'!N845+'Supply planning data'!P845</f>
        <v>0</v>
      </c>
      <c r="M847" s="343">
        <f>'Supply planning data'!O845</f>
        <v>0</v>
      </c>
      <c r="N847" s="316">
        <f>'Supply planning data'!P845</f>
        <v>0</v>
      </c>
      <c r="O847" s="343">
        <f>'Supply planning data'!Q845</f>
        <v>0</v>
      </c>
      <c r="P847" s="92">
        <f>'Supply planning data'!R845</f>
        <v>0</v>
      </c>
      <c r="Q847" s="92">
        <f>'Supply planning data'!S845</f>
        <v>0</v>
      </c>
      <c r="R847" s="92">
        <f>'Supply planning data'!T845</f>
        <v>0</v>
      </c>
      <c r="S847" s="92">
        <f>'Supply planning data'!U845</f>
        <v>0</v>
      </c>
      <c r="T847" s="92">
        <f>'Supply planning data'!V845</f>
        <v>0</v>
      </c>
      <c r="U847" s="324" t="str">
        <f>'Supply planning data'!W845</f>
        <v/>
      </c>
      <c r="V847" s="92">
        <f>'Supply planning data'!X845</f>
        <v>154701</v>
      </c>
      <c r="W847" s="316">
        <f>'Supply planning data'!Y845</f>
        <v>0</v>
      </c>
      <c r="X847" s="328">
        <f>'Supply planning data'!Z845</f>
        <v>0</v>
      </c>
      <c r="Y847" s="92">
        <f>'Supply planning data'!AA845</f>
        <v>0</v>
      </c>
      <c r="Z847" s="92">
        <f>'Supply planning data'!AB845</f>
        <v>0</v>
      </c>
      <c r="AA847" s="92">
        <f>'Supply planning data'!AC845</f>
        <v>0</v>
      </c>
      <c r="AB847" s="92">
        <f>'Supply planning data'!AD845</f>
        <v>0</v>
      </c>
      <c r="AC847" s="92">
        <f>'Supply planning data'!AE845</f>
        <v>154701</v>
      </c>
      <c r="AD847" s="324" t="str">
        <f>'Supply planning data'!AF845</f>
        <v/>
      </c>
      <c r="AE847" s="92">
        <f>'Supply planning data'!AG845</f>
        <v>0</v>
      </c>
      <c r="AF847" s="316">
        <f>'Supply planning data'!AH845</f>
        <v>0</v>
      </c>
      <c r="AG847" s="174">
        <f>'Supply planning data'!AI845</f>
        <v>0</v>
      </c>
      <c r="AH847" s="92">
        <f>'Supply planning data'!AJ845</f>
        <v>0</v>
      </c>
      <c r="AI847" s="92">
        <f>'Supply planning data'!AK845</f>
        <v>0</v>
      </c>
      <c r="AJ847" s="92">
        <f>'Supply planning data'!AL845</f>
        <v>0</v>
      </c>
      <c r="AK847" s="92">
        <f>'Supply planning data'!AM845</f>
        <v>0</v>
      </c>
      <c r="AL847" s="92">
        <f>'Supply planning data'!AN845</f>
        <v>0</v>
      </c>
      <c r="AM847" s="324" t="str">
        <f>'Supply planning data'!AO845</f>
        <v/>
      </c>
    </row>
    <row r="848" spans="1:39" x14ac:dyDescent="0.25">
      <c r="A848" s="90" t="str">
        <f>'Supply planning data'!C846</f>
        <v>Jansen</v>
      </c>
      <c r="B848" s="296">
        <f>'Supply planning data'!D846</f>
        <v>45901</v>
      </c>
      <c r="C848" s="92" t="str">
        <f>'Supply planning data'!E846</f>
        <v>Yes</v>
      </c>
      <c r="D848" s="92">
        <f>'Supply planning data'!F846</f>
        <v>1871200</v>
      </c>
      <c r="E848" s="316">
        <f>'Supply planning data'!G846</f>
        <v>0</v>
      </c>
      <c r="F848" s="317">
        <f>'Supply planning data'!H846</f>
        <v>0</v>
      </c>
      <c r="G848" s="317">
        <f>'Supply planning data'!I846</f>
        <v>0</v>
      </c>
      <c r="H848" s="98">
        <f>'Supply planning data'!J846</f>
        <v>0</v>
      </c>
      <c r="I848" s="317">
        <f>'Supply planning data'!K846</f>
        <v>0</v>
      </c>
      <c r="J848" s="175" t="str">
        <f>'Supply planning data'!L846</f>
        <v/>
      </c>
      <c r="K848" s="98">
        <f>'Supply planning data'!M846</f>
        <v>0</v>
      </c>
      <c r="L848" s="317">
        <f>'Supply planning data'!N846+'Supply planning data'!P846</f>
        <v>0</v>
      </c>
      <c r="M848" s="339">
        <f>'Supply planning data'!O846</f>
        <v>0</v>
      </c>
      <c r="N848" s="317">
        <f>'Supply planning data'!P846</f>
        <v>0</v>
      </c>
      <c r="O848" s="339">
        <f>'Supply planning data'!Q846</f>
        <v>0</v>
      </c>
      <c r="P848" s="98">
        <f>'Supply planning data'!R846</f>
        <v>0</v>
      </c>
      <c r="Q848" s="98">
        <f>'Supply planning data'!S846</f>
        <v>0</v>
      </c>
      <c r="R848" s="98">
        <f>'Supply planning data'!T846</f>
        <v>387547</v>
      </c>
      <c r="S848" s="98">
        <f>'Supply planning data'!U846</f>
        <v>0</v>
      </c>
      <c r="T848" s="98">
        <f>'Supply planning data'!V846</f>
        <v>1871200</v>
      </c>
      <c r="U848" s="325" t="str">
        <f>'Supply planning data'!W846</f>
        <v/>
      </c>
      <c r="V848" s="98">
        <f>'Supply planning data'!X846</f>
        <v>1311200</v>
      </c>
      <c r="W848" s="317">
        <f>'Supply planning data'!Y846</f>
        <v>0</v>
      </c>
      <c r="X848" s="328">
        <f>'Supply planning data'!Z846</f>
        <v>0</v>
      </c>
      <c r="Y848" s="98">
        <f>'Supply planning data'!AA846</f>
        <v>0</v>
      </c>
      <c r="Z848" s="98">
        <f>'Supply planning data'!AB846</f>
        <v>0</v>
      </c>
      <c r="AA848" s="98">
        <f>'Supply planning data'!AC846</f>
        <v>0</v>
      </c>
      <c r="AB848" s="98">
        <f>'Supply planning data'!AD846</f>
        <v>0</v>
      </c>
      <c r="AC848" s="98">
        <f>'Supply planning data'!AE846</f>
        <v>1311200</v>
      </c>
      <c r="AD848" s="325" t="str">
        <f>'Supply planning data'!AF846</f>
        <v/>
      </c>
      <c r="AE848" s="98">
        <f>'Supply planning data'!AG846</f>
        <v>1871200</v>
      </c>
      <c r="AF848" s="317">
        <f>'Supply planning data'!AH846</f>
        <v>0</v>
      </c>
      <c r="AG848" s="175">
        <f>'Supply planning data'!AI846</f>
        <v>0</v>
      </c>
      <c r="AH848" s="98">
        <f>'Supply planning data'!AJ846</f>
        <v>0</v>
      </c>
      <c r="AI848" s="98">
        <f>'Supply planning data'!AK846</f>
        <v>0</v>
      </c>
      <c r="AJ848" s="98">
        <f>'Supply planning data'!AL846</f>
        <v>387547</v>
      </c>
      <c r="AK848" s="98">
        <f>'Supply planning data'!AM846</f>
        <v>0</v>
      </c>
      <c r="AL848" s="98">
        <f>'Supply planning data'!AN846</f>
        <v>1871200</v>
      </c>
      <c r="AM848" s="325" t="str">
        <f>'Supply planning data'!AO846</f>
        <v/>
      </c>
    </row>
    <row r="849" spans="1:39" x14ac:dyDescent="0.25">
      <c r="A849" s="90" t="str">
        <f>'Supply planning data'!C847</f>
        <v>Moderna</v>
      </c>
      <c r="B849" s="296">
        <f>'Supply planning data'!D847</f>
        <v>45901</v>
      </c>
      <c r="C849" s="92" t="str">
        <f>'Supply planning data'!E847</f>
        <v>No</v>
      </c>
      <c r="D849" s="92">
        <f>'Supply planning data'!F847</f>
        <v>0</v>
      </c>
      <c r="E849" s="316">
        <f>'Supply planning data'!G847</f>
        <v>0</v>
      </c>
      <c r="F849" s="317">
        <f>'Supply planning data'!H847</f>
        <v>0</v>
      </c>
      <c r="G849" s="317">
        <f>'Supply planning data'!I847</f>
        <v>0</v>
      </c>
      <c r="H849" s="98">
        <f>'Supply planning data'!J847</f>
        <v>0</v>
      </c>
      <c r="I849" s="317">
        <f>'Supply planning data'!K847</f>
        <v>0</v>
      </c>
      <c r="J849" s="175" t="str">
        <f>'Supply planning data'!L847</f>
        <v/>
      </c>
      <c r="K849" s="98">
        <f>'Supply planning data'!M847</f>
        <v>0</v>
      </c>
      <c r="L849" s="317">
        <f>'Supply planning data'!N847+'Supply planning data'!P847</f>
        <v>0</v>
      </c>
      <c r="M849" s="339">
        <f>'Supply planning data'!O847</f>
        <v>0</v>
      </c>
      <c r="N849" s="317">
        <f>'Supply planning data'!P847</f>
        <v>0</v>
      </c>
      <c r="O849" s="339">
        <f>'Supply planning data'!Q847</f>
        <v>0</v>
      </c>
      <c r="P849" s="98">
        <f>'Supply planning data'!R847</f>
        <v>0</v>
      </c>
      <c r="Q849" s="98">
        <f>'Supply planning data'!S847</f>
        <v>0</v>
      </c>
      <c r="R849" s="98">
        <f>'Supply planning data'!T847</f>
        <v>0</v>
      </c>
      <c r="S849" s="98">
        <f>'Supply planning data'!U847</f>
        <v>0</v>
      </c>
      <c r="T849" s="98">
        <f>'Supply planning data'!V847</f>
        <v>0</v>
      </c>
      <c r="U849" s="325" t="str">
        <f>'Supply planning data'!W847</f>
        <v/>
      </c>
      <c r="V849" s="98">
        <f>'Supply planning data'!X847</f>
        <v>0</v>
      </c>
      <c r="W849" s="317">
        <f>'Supply planning data'!Y847</f>
        <v>0</v>
      </c>
      <c r="X849" s="328">
        <f>'Supply planning data'!Z847</f>
        <v>0</v>
      </c>
      <c r="Y849" s="98">
        <f>'Supply planning data'!AA847</f>
        <v>0</v>
      </c>
      <c r="Z849" s="98">
        <f>'Supply planning data'!AB847</f>
        <v>0</v>
      </c>
      <c r="AA849" s="98">
        <f>'Supply planning data'!AC847</f>
        <v>0</v>
      </c>
      <c r="AB849" s="98">
        <f>'Supply planning data'!AD847</f>
        <v>0</v>
      </c>
      <c r="AC849" s="98">
        <f>'Supply planning data'!AE847</f>
        <v>0</v>
      </c>
      <c r="AD849" s="325" t="str">
        <f>'Supply planning data'!AF847</f>
        <v/>
      </c>
      <c r="AE849" s="98">
        <f>'Supply planning data'!AG847</f>
        <v>0</v>
      </c>
      <c r="AF849" s="317">
        <f>'Supply planning data'!AH847</f>
        <v>0</v>
      </c>
      <c r="AG849" s="175">
        <f>'Supply planning data'!AI847</f>
        <v>0</v>
      </c>
      <c r="AH849" s="98">
        <f>'Supply planning data'!AJ847</f>
        <v>0</v>
      </c>
      <c r="AI849" s="98">
        <f>'Supply planning data'!AK847</f>
        <v>0</v>
      </c>
      <c r="AJ849" s="98">
        <f>'Supply planning data'!AL847</f>
        <v>0</v>
      </c>
      <c r="AK849" s="98">
        <f>'Supply planning data'!AM847</f>
        <v>0</v>
      </c>
      <c r="AL849" s="98">
        <f>'Supply planning data'!AN847</f>
        <v>0</v>
      </c>
      <c r="AM849" s="325" t="str">
        <f>'Supply planning data'!AO847</f>
        <v/>
      </c>
    </row>
    <row r="850" spans="1:39" x14ac:dyDescent="0.25">
      <c r="A850" s="90" t="str">
        <f>'Supply planning data'!C848</f>
        <v>Pfizer</v>
      </c>
      <c r="B850" s="296">
        <f>'Supply planning data'!D848</f>
        <v>45901</v>
      </c>
      <c r="C850" s="92" t="str">
        <f>'Supply planning data'!E848</f>
        <v>Yes</v>
      </c>
      <c r="D850" s="92">
        <f>'Supply planning data'!F848</f>
        <v>3000000</v>
      </c>
      <c r="E850" s="316">
        <f>'Supply planning data'!G848</f>
        <v>0</v>
      </c>
      <c r="F850" s="317">
        <f>'Supply planning data'!H848</f>
        <v>0</v>
      </c>
      <c r="G850" s="317">
        <f>'Supply planning data'!I848</f>
        <v>0</v>
      </c>
      <c r="H850" s="98">
        <f>'Supply planning data'!J848</f>
        <v>0</v>
      </c>
      <c r="I850" s="317">
        <f>'Supply planning data'!K848</f>
        <v>0</v>
      </c>
      <c r="J850" s="175" t="str">
        <f>'Supply planning data'!L848</f>
        <v/>
      </c>
      <c r="K850" s="98">
        <f>'Supply planning data'!M848</f>
        <v>0</v>
      </c>
      <c r="L850" s="317">
        <f>'Supply planning data'!N848+'Supply planning data'!P848</f>
        <v>0</v>
      </c>
      <c r="M850" s="339">
        <f>'Supply planning data'!O848</f>
        <v>0</v>
      </c>
      <c r="N850" s="317">
        <f>'Supply planning data'!P848</f>
        <v>0</v>
      </c>
      <c r="O850" s="339">
        <f>'Supply planning data'!Q848</f>
        <v>0</v>
      </c>
      <c r="P850" s="98">
        <f>'Supply planning data'!R848</f>
        <v>0</v>
      </c>
      <c r="Q850" s="98">
        <f>'Supply planning data'!S848</f>
        <v>0</v>
      </c>
      <c r="R850" s="98">
        <f>'Supply planning data'!T848</f>
        <v>110538</v>
      </c>
      <c r="S850" s="98">
        <f>'Supply planning data'!U848</f>
        <v>0</v>
      </c>
      <c r="T850" s="98">
        <f>'Supply planning data'!V848</f>
        <v>3000000</v>
      </c>
      <c r="U850" s="325" t="str">
        <f>'Supply planning data'!W848</f>
        <v/>
      </c>
      <c r="V850" s="98">
        <f>'Supply planning data'!X848</f>
        <v>2440000</v>
      </c>
      <c r="W850" s="317">
        <f>'Supply planning data'!Y848</f>
        <v>0</v>
      </c>
      <c r="X850" s="328">
        <f>'Supply planning data'!Z848</f>
        <v>0</v>
      </c>
      <c r="Y850" s="98">
        <f>'Supply planning data'!AA848</f>
        <v>0</v>
      </c>
      <c r="Z850" s="98">
        <f>'Supply planning data'!AB848</f>
        <v>0</v>
      </c>
      <c r="AA850" s="98">
        <f>'Supply planning data'!AC848</f>
        <v>0</v>
      </c>
      <c r="AB850" s="98">
        <f>'Supply planning data'!AD848</f>
        <v>0</v>
      </c>
      <c r="AC850" s="98">
        <f>'Supply planning data'!AE848</f>
        <v>2440000</v>
      </c>
      <c r="AD850" s="325" t="str">
        <f>'Supply planning data'!AF848</f>
        <v/>
      </c>
      <c r="AE850" s="98">
        <f>'Supply planning data'!AG848</f>
        <v>3000000</v>
      </c>
      <c r="AF850" s="317">
        <f>'Supply planning data'!AH848</f>
        <v>0</v>
      </c>
      <c r="AG850" s="175">
        <f>'Supply planning data'!AI848</f>
        <v>0</v>
      </c>
      <c r="AH850" s="98">
        <f>'Supply planning data'!AJ848</f>
        <v>0</v>
      </c>
      <c r="AI850" s="98">
        <f>'Supply planning data'!AK848</f>
        <v>0</v>
      </c>
      <c r="AJ850" s="98">
        <f>'Supply planning data'!AL848</f>
        <v>110538</v>
      </c>
      <c r="AK850" s="98">
        <f>'Supply planning data'!AM848</f>
        <v>0</v>
      </c>
      <c r="AL850" s="98">
        <f>'Supply planning data'!AN848</f>
        <v>3000000</v>
      </c>
      <c r="AM850" s="325" t="str">
        <f>'Supply planning data'!AO848</f>
        <v/>
      </c>
    </row>
    <row r="851" spans="1:39" x14ac:dyDescent="0.25">
      <c r="A851" s="90" t="str">
        <f>'Supply planning data'!C849</f>
        <v>Sinovac</v>
      </c>
      <c r="B851" s="296">
        <f>'Supply planning data'!D849</f>
        <v>45901</v>
      </c>
      <c r="C851" s="92" t="str">
        <f>'Supply planning data'!E849</f>
        <v>No</v>
      </c>
      <c r="D851" s="92">
        <f>'Supply planning data'!F849</f>
        <v>0</v>
      </c>
      <c r="E851" s="316">
        <f>'Supply planning data'!G849</f>
        <v>0</v>
      </c>
      <c r="F851" s="317">
        <f>'Supply planning data'!H849</f>
        <v>0</v>
      </c>
      <c r="G851" s="317">
        <f>'Supply planning data'!I849</f>
        <v>0</v>
      </c>
      <c r="H851" s="98">
        <f>'Supply planning data'!J849</f>
        <v>0</v>
      </c>
      <c r="I851" s="317">
        <f>'Supply planning data'!K849</f>
        <v>0</v>
      </c>
      <c r="J851" s="175" t="str">
        <f>'Supply planning data'!L849</f>
        <v/>
      </c>
      <c r="K851" s="98">
        <f>'Supply planning data'!M849</f>
        <v>0</v>
      </c>
      <c r="L851" s="317">
        <f>'Supply planning data'!N849+'Supply planning data'!P849</f>
        <v>0</v>
      </c>
      <c r="M851" s="339">
        <f>'Supply planning data'!O849</f>
        <v>0</v>
      </c>
      <c r="N851" s="317">
        <f>'Supply planning data'!P849</f>
        <v>0</v>
      </c>
      <c r="O851" s="339">
        <f>'Supply planning data'!Q849</f>
        <v>0</v>
      </c>
      <c r="P851" s="98">
        <f>'Supply planning data'!R849</f>
        <v>0</v>
      </c>
      <c r="Q851" s="98">
        <f>'Supply planning data'!S849</f>
        <v>0</v>
      </c>
      <c r="R851" s="98">
        <f>'Supply planning data'!T849</f>
        <v>0</v>
      </c>
      <c r="S851" s="98">
        <f>'Supply planning data'!U849</f>
        <v>0</v>
      </c>
      <c r="T851" s="98">
        <f>'Supply planning data'!V849</f>
        <v>0</v>
      </c>
      <c r="U851" s="325" t="str">
        <f>'Supply planning data'!W849</f>
        <v/>
      </c>
      <c r="V851" s="98">
        <f>'Supply planning data'!X849</f>
        <v>0</v>
      </c>
      <c r="W851" s="317">
        <f>'Supply planning data'!Y849</f>
        <v>0</v>
      </c>
      <c r="X851" s="328">
        <f>'Supply planning data'!Z849</f>
        <v>0</v>
      </c>
      <c r="Y851" s="98">
        <f>'Supply planning data'!AA849</f>
        <v>0</v>
      </c>
      <c r="Z851" s="98">
        <f>'Supply planning data'!AB849</f>
        <v>0</v>
      </c>
      <c r="AA851" s="98">
        <f>'Supply planning data'!AC849</f>
        <v>0</v>
      </c>
      <c r="AB851" s="98">
        <f>'Supply planning data'!AD849</f>
        <v>0</v>
      </c>
      <c r="AC851" s="98">
        <f>'Supply planning data'!AE849</f>
        <v>0</v>
      </c>
      <c r="AD851" s="325" t="str">
        <f>'Supply planning data'!AF849</f>
        <v/>
      </c>
      <c r="AE851" s="98">
        <f>'Supply planning data'!AG849</f>
        <v>0</v>
      </c>
      <c r="AF851" s="317">
        <f>'Supply planning data'!AH849</f>
        <v>0</v>
      </c>
      <c r="AG851" s="175">
        <f>'Supply planning data'!AI849</f>
        <v>0</v>
      </c>
      <c r="AH851" s="98">
        <f>'Supply planning data'!AJ849</f>
        <v>0</v>
      </c>
      <c r="AI851" s="98">
        <f>'Supply planning data'!AK849</f>
        <v>0</v>
      </c>
      <c r="AJ851" s="98">
        <f>'Supply planning data'!AL849</f>
        <v>0</v>
      </c>
      <c r="AK851" s="98">
        <f>'Supply planning data'!AM849</f>
        <v>0</v>
      </c>
      <c r="AL851" s="98">
        <f>'Supply planning data'!AN849</f>
        <v>0</v>
      </c>
      <c r="AM851" s="325" t="str">
        <f>'Supply planning data'!AO849</f>
        <v/>
      </c>
    </row>
    <row r="852" spans="1:39" hidden="1" x14ac:dyDescent="0.25">
      <c r="A852" s="90" t="str">
        <f>'Supply planning data'!C850</f>
        <v/>
      </c>
      <c r="B852" s="296">
        <f>'Supply planning data'!D850</f>
        <v>45901</v>
      </c>
      <c r="C852" s="92" t="str">
        <f>'Supply planning data'!E850</f>
        <v>No</v>
      </c>
      <c r="D852" s="92">
        <f>'Supply planning data'!F850</f>
        <v>0</v>
      </c>
      <c r="E852" s="316">
        <f>'Supply planning data'!G850</f>
        <v>0</v>
      </c>
      <c r="F852" s="317">
        <f>'Supply planning data'!H850</f>
        <v>0</v>
      </c>
      <c r="G852" s="317">
        <f>'Supply planning data'!I850</f>
        <v>0</v>
      </c>
      <c r="H852" s="98">
        <f>'Supply planning data'!J850</f>
        <v>0</v>
      </c>
      <c r="I852" s="317">
        <f>'Supply planning data'!K850</f>
        <v>0</v>
      </c>
      <c r="J852" s="175" t="str">
        <f>'Supply planning data'!L850</f>
        <v/>
      </c>
      <c r="K852" s="98">
        <f>'Supply planning data'!M850</f>
        <v>0</v>
      </c>
      <c r="L852" s="317">
        <f>'Supply planning data'!N850+'Supply planning data'!P850</f>
        <v>0</v>
      </c>
      <c r="M852" s="339">
        <f>'Supply planning data'!O850</f>
        <v>0</v>
      </c>
      <c r="N852" s="317">
        <f>'Supply planning data'!P850</f>
        <v>0</v>
      </c>
      <c r="O852" s="339">
        <f>'Supply planning data'!Q850</f>
        <v>0</v>
      </c>
      <c r="P852" s="98">
        <f>'Supply planning data'!R850</f>
        <v>0</v>
      </c>
      <c r="Q852" s="98">
        <f>'Supply planning data'!S850</f>
        <v>0</v>
      </c>
      <c r="R852" s="98">
        <f>'Supply planning data'!T850</f>
        <v>0</v>
      </c>
      <c r="S852" s="98">
        <f>'Supply planning data'!U850</f>
        <v>0</v>
      </c>
      <c r="T852" s="98">
        <f>'Supply planning data'!V850</f>
        <v>0</v>
      </c>
      <c r="U852" s="325" t="str">
        <f>'Supply planning data'!W850</f>
        <v/>
      </c>
      <c r="V852" s="98">
        <f>'Supply planning data'!X850</f>
        <v>0</v>
      </c>
      <c r="W852" s="317">
        <f>'Supply planning data'!Y850</f>
        <v>0</v>
      </c>
      <c r="X852" s="328">
        <f>'Supply planning data'!Z850</f>
        <v>0</v>
      </c>
      <c r="Y852" s="98">
        <f>'Supply planning data'!AA850</f>
        <v>0</v>
      </c>
      <c r="Z852" s="98">
        <f>'Supply planning data'!AB850</f>
        <v>0</v>
      </c>
      <c r="AA852" s="98">
        <f>'Supply planning data'!AC850</f>
        <v>0</v>
      </c>
      <c r="AB852" s="98">
        <f>'Supply planning data'!AD850</f>
        <v>0</v>
      </c>
      <c r="AC852" s="98">
        <f>'Supply planning data'!AE850</f>
        <v>0</v>
      </c>
      <c r="AD852" s="325" t="str">
        <f>'Supply planning data'!AF850</f>
        <v/>
      </c>
      <c r="AE852" s="98">
        <f>'Supply planning data'!AG850</f>
        <v>0</v>
      </c>
      <c r="AF852" s="317">
        <f>'Supply planning data'!AH850</f>
        <v>0</v>
      </c>
      <c r="AG852" s="175">
        <f>'Supply planning data'!AI850</f>
        <v>0</v>
      </c>
      <c r="AH852" s="98">
        <f>'Supply planning data'!AJ850</f>
        <v>0</v>
      </c>
      <c r="AI852" s="98">
        <f>'Supply planning data'!AK850</f>
        <v>0</v>
      </c>
      <c r="AJ852" s="98">
        <f>'Supply planning data'!AL850</f>
        <v>0</v>
      </c>
      <c r="AK852" s="98">
        <f>'Supply planning data'!AM850</f>
        <v>0</v>
      </c>
      <c r="AL852" s="98">
        <f>'Supply planning data'!AN850</f>
        <v>0</v>
      </c>
      <c r="AM852" s="325" t="str">
        <f>'Supply planning data'!AO850</f>
        <v/>
      </c>
    </row>
    <row r="853" spans="1:39" hidden="1" x14ac:dyDescent="0.25">
      <c r="A853" s="90" t="str">
        <f>'Supply planning data'!C851</f>
        <v/>
      </c>
      <c r="B853" s="296">
        <f>'Supply planning data'!D851</f>
        <v>45901</v>
      </c>
      <c r="C853" s="92" t="str">
        <f>'Supply planning data'!E851</f>
        <v>No</v>
      </c>
      <c r="D853" s="92">
        <f>'Supply planning data'!F851</f>
        <v>0</v>
      </c>
      <c r="E853" s="316">
        <f>'Supply planning data'!G851</f>
        <v>0</v>
      </c>
      <c r="F853" s="317">
        <f>'Supply planning data'!H851</f>
        <v>0</v>
      </c>
      <c r="G853" s="317">
        <f>'Supply planning data'!I851</f>
        <v>0</v>
      </c>
      <c r="H853" s="98">
        <f>'Supply planning data'!J851</f>
        <v>0</v>
      </c>
      <c r="I853" s="317">
        <f>'Supply planning data'!K851</f>
        <v>0</v>
      </c>
      <c r="J853" s="175" t="str">
        <f>'Supply planning data'!L851</f>
        <v/>
      </c>
      <c r="K853" s="98">
        <f>'Supply planning data'!M851</f>
        <v>0</v>
      </c>
      <c r="L853" s="317">
        <f>'Supply planning data'!N851+'Supply planning data'!P851</f>
        <v>0</v>
      </c>
      <c r="M853" s="339">
        <f>'Supply planning data'!O851</f>
        <v>0</v>
      </c>
      <c r="N853" s="317">
        <f>'Supply planning data'!P851</f>
        <v>0</v>
      </c>
      <c r="O853" s="339">
        <f>'Supply planning data'!Q851</f>
        <v>0</v>
      </c>
      <c r="P853" s="98">
        <f>'Supply planning data'!R851</f>
        <v>0</v>
      </c>
      <c r="Q853" s="98">
        <f>'Supply planning data'!S851</f>
        <v>0</v>
      </c>
      <c r="R853" s="98">
        <f>'Supply planning data'!T851</f>
        <v>0</v>
      </c>
      <c r="S853" s="98">
        <f>'Supply planning data'!U851</f>
        <v>0</v>
      </c>
      <c r="T853" s="98">
        <f>'Supply planning data'!V851</f>
        <v>0</v>
      </c>
      <c r="U853" s="325" t="str">
        <f>'Supply planning data'!W851</f>
        <v/>
      </c>
      <c r="V853" s="98">
        <f>'Supply planning data'!X851</f>
        <v>0</v>
      </c>
      <c r="W853" s="317">
        <f>'Supply planning data'!Y851</f>
        <v>0</v>
      </c>
      <c r="X853" s="328">
        <f>'Supply planning data'!Z851</f>
        <v>0</v>
      </c>
      <c r="Y853" s="98">
        <f>'Supply planning data'!AA851</f>
        <v>0</v>
      </c>
      <c r="Z853" s="98">
        <f>'Supply planning data'!AB851</f>
        <v>0</v>
      </c>
      <c r="AA853" s="98">
        <f>'Supply planning data'!AC851</f>
        <v>0</v>
      </c>
      <c r="AB853" s="98">
        <f>'Supply planning data'!AD851</f>
        <v>0</v>
      </c>
      <c r="AC853" s="98">
        <f>'Supply planning data'!AE851</f>
        <v>0</v>
      </c>
      <c r="AD853" s="325" t="str">
        <f>'Supply planning data'!AF851</f>
        <v/>
      </c>
      <c r="AE853" s="98">
        <f>'Supply planning data'!AG851</f>
        <v>0</v>
      </c>
      <c r="AF853" s="317">
        <f>'Supply planning data'!AH851</f>
        <v>0</v>
      </c>
      <c r="AG853" s="175">
        <f>'Supply planning data'!AI851</f>
        <v>0</v>
      </c>
      <c r="AH853" s="98">
        <f>'Supply planning data'!AJ851</f>
        <v>0</v>
      </c>
      <c r="AI853" s="98">
        <f>'Supply planning data'!AK851</f>
        <v>0</v>
      </c>
      <c r="AJ853" s="98">
        <f>'Supply planning data'!AL851</f>
        <v>0</v>
      </c>
      <c r="AK853" s="98">
        <f>'Supply planning data'!AM851</f>
        <v>0</v>
      </c>
      <c r="AL853" s="98">
        <f>'Supply planning data'!AN851</f>
        <v>0</v>
      </c>
      <c r="AM853" s="325" t="str">
        <f>'Supply planning data'!AO851</f>
        <v/>
      </c>
    </row>
    <row r="854" spans="1:39" hidden="1" x14ac:dyDescent="0.25">
      <c r="A854" s="90" t="str">
        <f>'Supply planning data'!C852</f>
        <v/>
      </c>
      <c r="B854" s="296">
        <f>'Supply planning data'!D852</f>
        <v>45901</v>
      </c>
      <c r="C854" s="92" t="str">
        <f>'Supply planning data'!E852</f>
        <v>No</v>
      </c>
      <c r="D854" s="92">
        <f>'Supply planning data'!F852</f>
        <v>0</v>
      </c>
      <c r="E854" s="316">
        <f>'Supply planning data'!G852</f>
        <v>0</v>
      </c>
      <c r="F854" s="317">
        <f>'Supply planning data'!H852</f>
        <v>0</v>
      </c>
      <c r="G854" s="317">
        <f>'Supply planning data'!I852</f>
        <v>0</v>
      </c>
      <c r="H854" s="98">
        <f>'Supply planning data'!J852</f>
        <v>0</v>
      </c>
      <c r="I854" s="317">
        <f>'Supply planning data'!K852</f>
        <v>0</v>
      </c>
      <c r="J854" s="175" t="str">
        <f>'Supply planning data'!L852</f>
        <v/>
      </c>
      <c r="K854" s="98">
        <f>'Supply planning data'!M852</f>
        <v>0</v>
      </c>
      <c r="L854" s="317">
        <f>'Supply planning data'!N852+'Supply planning data'!P852</f>
        <v>0</v>
      </c>
      <c r="M854" s="339">
        <f>'Supply planning data'!O852</f>
        <v>0</v>
      </c>
      <c r="N854" s="317">
        <f>'Supply planning data'!P852</f>
        <v>0</v>
      </c>
      <c r="O854" s="339">
        <f>'Supply planning data'!Q852</f>
        <v>0</v>
      </c>
      <c r="P854" s="98">
        <f>'Supply planning data'!R852</f>
        <v>0</v>
      </c>
      <c r="Q854" s="98">
        <f>'Supply planning data'!S852</f>
        <v>0</v>
      </c>
      <c r="R854" s="98">
        <f>'Supply planning data'!T852</f>
        <v>0</v>
      </c>
      <c r="S854" s="98">
        <f>'Supply planning data'!U852</f>
        <v>0</v>
      </c>
      <c r="T854" s="98">
        <f>'Supply planning data'!V852</f>
        <v>0</v>
      </c>
      <c r="U854" s="325" t="str">
        <f>'Supply planning data'!W852</f>
        <v/>
      </c>
      <c r="V854" s="98">
        <f>'Supply planning data'!X852</f>
        <v>0</v>
      </c>
      <c r="W854" s="317">
        <f>'Supply planning data'!Y852</f>
        <v>0</v>
      </c>
      <c r="X854" s="328">
        <f>'Supply planning data'!Z852</f>
        <v>0</v>
      </c>
      <c r="Y854" s="98">
        <f>'Supply planning data'!AA852</f>
        <v>0</v>
      </c>
      <c r="Z854" s="98">
        <f>'Supply planning data'!AB852</f>
        <v>0</v>
      </c>
      <c r="AA854" s="98">
        <f>'Supply planning data'!AC852</f>
        <v>0</v>
      </c>
      <c r="AB854" s="98">
        <f>'Supply planning data'!AD852</f>
        <v>0</v>
      </c>
      <c r="AC854" s="98">
        <f>'Supply planning data'!AE852</f>
        <v>0</v>
      </c>
      <c r="AD854" s="325" t="str">
        <f>'Supply planning data'!AF852</f>
        <v/>
      </c>
      <c r="AE854" s="98">
        <f>'Supply planning data'!AG852</f>
        <v>0</v>
      </c>
      <c r="AF854" s="317">
        <f>'Supply planning data'!AH852</f>
        <v>0</v>
      </c>
      <c r="AG854" s="175">
        <f>'Supply planning data'!AI852</f>
        <v>0</v>
      </c>
      <c r="AH854" s="98">
        <f>'Supply planning data'!AJ852</f>
        <v>0</v>
      </c>
      <c r="AI854" s="98">
        <f>'Supply planning data'!AK852</f>
        <v>0</v>
      </c>
      <c r="AJ854" s="98">
        <f>'Supply planning data'!AL852</f>
        <v>0</v>
      </c>
      <c r="AK854" s="98">
        <f>'Supply planning data'!AM852</f>
        <v>0</v>
      </c>
      <c r="AL854" s="98">
        <f>'Supply planning data'!AN852</f>
        <v>0</v>
      </c>
      <c r="AM854" s="325" t="str">
        <f>'Supply planning data'!AO852</f>
        <v/>
      </c>
    </row>
    <row r="855" spans="1:39" hidden="1" x14ac:dyDescent="0.25">
      <c r="A855" s="90" t="str">
        <f>'Supply planning data'!C853</f>
        <v/>
      </c>
      <c r="B855" s="296">
        <f>'Supply planning data'!D853</f>
        <v>45901</v>
      </c>
      <c r="C855" s="92" t="str">
        <f>'Supply planning data'!E853</f>
        <v>No</v>
      </c>
      <c r="D855" s="92">
        <f>'Supply planning data'!F853</f>
        <v>0</v>
      </c>
      <c r="E855" s="316">
        <f>'Supply planning data'!G853</f>
        <v>0</v>
      </c>
      <c r="F855" s="317">
        <f>'Supply planning data'!H853</f>
        <v>0</v>
      </c>
      <c r="G855" s="317">
        <f>'Supply planning data'!I853</f>
        <v>0</v>
      </c>
      <c r="H855" s="98">
        <f>'Supply planning data'!J853</f>
        <v>0</v>
      </c>
      <c r="I855" s="317">
        <f>'Supply planning data'!K853</f>
        <v>0</v>
      </c>
      <c r="J855" s="175" t="str">
        <f>'Supply planning data'!L853</f>
        <v/>
      </c>
      <c r="K855" s="98">
        <f>'Supply planning data'!M853</f>
        <v>0</v>
      </c>
      <c r="L855" s="317">
        <f>'Supply planning data'!N853+'Supply planning data'!P853</f>
        <v>0</v>
      </c>
      <c r="M855" s="339">
        <f>'Supply planning data'!O853</f>
        <v>0</v>
      </c>
      <c r="N855" s="317">
        <f>'Supply planning data'!P853</f>
        <v>0</v>
      </c>
      <c r="O855" s="339">
        <f>'Supply planning data'!Q853</f>
        <v>0</v>
      </c>
      <c r="P855" s="98">
        <f>'Supply planning data'!R853</f>
        <v>0</v>
      </c>
      <c r="Q855" s="98">
        <f>'Supply planning data'!S853</f>
        <v>0</v>
      </c>
      <c r="R855" s="98">
        <f>'Supply planning data'!T853</f>
        <v>0</v>
      </c>
      <c r="S855" s="98">
        <f>'Supply planning data'!U853</f>
        <v>0</v>
      </c>
      <c r="T855" s="98">
        <f>'Supply planning data'!V853</f>
        <v>0</v>
      </c>
      <c r="U855" s="325" t="str">
        <f>'Supply planning data'!W853</f>
        <v/>
      </c>
      <c r="V855" s="98">
        <f>'Supply planning data'!X853</f>
        <v>0</v>
      </c>
      <c r="W855" s="317">
        <f>'Supply planning data'!Y853</f>
        <v>0</v>
      </c>
      <c r="X855" s="328">
        <f>'Supply planning data'!Z853</f>
        <v>0</v>
      </c>
      <c r="Y855" s="98">
        <f>'Supply planning data'!AA853</f>
        <v>0</v>
      </c>
      <c r="Z855" s="98">
        <f>'Supply planning data'!AB853</f>
        <v>0</v>
      </c>
      <c r="AA855" s="98">
        <f>'Supply planning data'!AC853</f>
        <v>0</v>
      </c>
      <c r="AB855" s="98">
        <f>'Supply planning data'!AD853</f>
        <v>0</v>
      </c>
      <c r="AC855" s="98">
        <f>'Supply planning data'!AE853</f>
        <v>0</v>
      </c>
      <c r="AD855" s="325" t="str">
        <f>'Supply planning data'!AF853</f>
        <v/>
      </c>
      <c r="AE855" s="98">
        <f>'Supply planning data'!AG853</f>
        <v>0</v>
      </c>
      <c r="AF855" s="317">
        <f>'Supply planning data'!AH853</f>
        <v>0</v>
      </c>
      <c r="AG855" s="175">
        <f>'Supply planning data'!AI853</f>
        <v>0</v>
      </c>
      <c r="AH855" s="98">
        <f>'Supply planning data'!AJ853</f>
        <v>0</v>
      </c>
      <c r="AI855" s="98">
        <f>'Supply planning data'!AK853</f>
        <v>0</v>
      </c>
      <c r="AJ855" s="98">
        <f>'Supply planning data'!AL853</f>
        <v>0</v>
      </c>
      <c r="AK855" s="98">
        <f>'Supply planning data'!AM853</f>
        <v>0</v>
      </c>
      <c r="AL855" s="98">
        <f>'Supply planning data'!AN853</f>
        <v>0</v>
      </c>
      <c r="AM855" s="325" t="str">
        <f>'Supply planning data'!AO853</f>
        <v/>
      </c>
    </row>
    <row r="856" spans="1:39" hidden="1" x14ac:dyDescent="0.25">
      <c r="A856" s="90" t="str">
        <f>'Supply planning data'!C854</f>
        <v/>
      </c>
      <c r="B856" s="296">
        <f>'Supply planning data'!D854</f>
        <v>45901</v>
      </c>
      <c r="C856" s="92" t="str">
        <f>'Supply planning data'!E854</f>
        <v>No</v>
      </c>
      <c r="D856" s="92">
        <f>'Supply planning data'!F854</f>
        <v>0</v>
      </c>
      <c r="E856" s="316">
        <f>'Supply planning data'!G854</f>
        <v>0</v>
      </c>
      <c r="F856" s="317">
        <f>'Supply planning data'!H854</f>
        <v>0</v>
      </c>
      <c r="G856" s="317">
        <f>'Supply planning data'!I854</f>
        <v>0</v>
      </c>
      <c r="H856" s="98">
        <f>'Supply planning data'!J854</f>
        <v>0</v>
      </c>
      <c r="I856" s="317">
        <f>'Supply planning data'!K854</f>
        <v>0</v>
      </c>
      <c r="J856" s="175" t="str">
        <f>'Supply planning data'!L854</f>
        <v/>
      </c>
      <c r="K856" s="98">
        <f>'Supply planning data'!M854</f>
        <v>0</v>
      </c>
      <c r="L856" s="317">
        <f>'Supply planning data'!N854+'Supply planning data'!P854</f>
        <v>0</v>
      </c>
      <c r="M856" s="339">
        <f>'Supply planning data'!O854</f>
        <v>0</v>
      </c>
      <c r="N856" s="317">
        <f>'Supply planning data'!P854</f>
        <v>0</v>
      </c>
      <c r="O856" s="339">
        <f>'Supply planning data'!Q854</f>
        <v>0</v>
      </c>
      <c r="P856" s="98">
        <f>'Supply planning data'!R854</f>
        <v>0</v>
      </c>
      <c r="Q856" s="98">
        <f>'Supply planning data'!S854</f>
        <v>0</v>
      </c>
      <c r="R856" s="98">
        <f>'Supply planning data'!T854</f>
        <v>0</v>
      </c>
      <c r="S856" s="98">
        <f>'Supply planning data'!U854</f>
        <v>0</v>
      </c>
      <c r="T856" s="98">
        <f>'Supply planning data'!V854</f>
        <v>0</v>
      </c>
      <c r="U856" s="325" t="str">
        <f>'Supply planning data'!W854</f>
        <v/>
      </c>
      <c r="V856" s="98">
        <f>'Supply planning data'!X854</f>
        <v>0</v>
      </c>
      <c r="W856" s="317">
        <f>'Supply planning data'!Y854</f>
        <v>0</v>
      </c>
      <c r="X856" s="328">
        <f>'Supply planning data'!Z854</f>
        <v>0</v>
      </c>
      <c r="Y856" s="98">
        <f>'Supply planning data'!AA854</f>
        <v>0</v>
      </c>
      <c r="Z856" s="98">
        <f>'Supply planning data'!AB854</f>
        <v>0</v>
      </c>
      <c r="AA856" s="98">
        <f>'Supply planning data'!AC854</f>
        <v>0</v>
      </c>
      <c r="AB856" s="98">
        <f>'Supply planning data'!AD854</f>
        <v>0</v>
      </c>
      <c r="AC856" s="98">
        <f>'Supply planning data'!AE854</f>
        <v>0</v>
      </c>
      <c r="AD856" s="325" t="str">
        <f>'Supply planning data'!AF854</f>
        <v/>
      </c>
      <c r="AE856" s="98">
        <f>'Supply planning data'!AG854</f>
        <v>0</v>
      </c>
      <c r="AF856" s="317">
        <f>'Supply planning data'!AH854</f>
        <v>0</v>
      </c>
      <c r="AG856" s="175">
        <f>'Supply planning data'!AI854</f>
        <v>0</v>
      </c>
      <c r="AH856" s="98">
        <f>'Supply planning data'!AJ854</f>
        <v>0</v>
      </c>
      <c r="AI856" s="98">
        <f>'Supply planning data'!AK854</f>
        <v>0</v>
      </c>
      <c r="AJ856" s="98">
        <f>'Supply planning data'!AL854</f>
        <v>0</v>
      </c>
      <c r="AK856" s="98">
        <f>'Supply planning data'!AM854</f>
        <v>0</v>
      </c>
      <c r="AL856" s="98">
        <f>'Supply planning data'!AN854</f>
        <v>0</v>
      </c>
      <c r="AM856" s="325" t="str">
        <f>'Supply planning data'!AO854</f>
        <v/>
      </c>
    </row>
    <row r="857" spans="1:39" hidden="1" x14ac:dyDescent="0.25">
      <c r="A857" s="90" t="str">
        <f>'Supply planning data'!C855</f>
        <v/>
      </c>
      <c r="B857" s="296">
        <f>'Supply planning data'!D855</f>
        <v>45901</v>
      </c>
      <c r="C857" s="92" t="str">
        <f>'Supply planning data'!E855</f>
        <v>No</v>
      </c>
      <c r="D857" s="92">
        <f>'Supply planning data'!F855</f>
        <v>0</v>
      </c>
      <c r="E857" s="316">
        <f>'Supply planning data'!G855</f>
        <v>0</v>
      </c>
      <c r="F857" s="317">
        <f>'Supply planning data'!H855</f>
        <v>0</v>
      </c>
      <c r="G857" s="317">
        <f>'Supply planning data'!I855</f>
        <v>0</v>
      </c>
      <c r="H857" s="98">
        <f>'Supply planning data'!J855</f>
        <v>0</v>
      </c>
      <c r="I857" s="317">
        <f>'Supply planning data'!K855</f>
        <v>0</v>
      </c>
      <c r="J857" s="175" t="str">
        <f>'Supply planning data'!L855</f>
        <v/>
      </c>
      <c r="K857" s="98">
        <f>'Supply planning data'!M855</f>
        <v>0</v>
      </c>
      <c r="L857" s="317">
        <f>'Supply planning data'!N855+'Supply planning data'!P855</f>
        <v>0</v>
      </c>
      <c r="M857" s="339">
        <f>'Supply planning data'!O855</f>
        <v>0</v>
      </c>
      <c r="N857" s="317">
        <f>'Supply planning data'!P855</f>
        <v>0</v>
      </c>
      <c r="O857" s="339">
        <f>'Supply planning data'!Q855</f>
        <v>0</v>
      </c>
      <c r="P857" s="98">
        <f>'Supply planning data'!R855</f>
        <v>0</v>
      </c>
      <c r="Q857" s="98">
        <f>'Supply planning data'!S855</f>
        <v>0</v>
      </c>
      <c r="R857" s="98">
        <f>'Supply planning data'!T855</f>
        <v>0</v>
      </c>
      <c r="S857" s="98">
        <f>'Supply planning data'!U855</f>
        <v>0</v>
      </c>
      <c r="T857" s="98">
        <f>'Supply planning data'!V855</f>
        <v>0</v>
      </c>
      <c r="U857" s="325" t="str">
        <f>'Supply planning data'!W855</f>
        <v/>
      </c>
      <c r="V857" s="98">
        <f>'Supply planning data'!X855</f>
        <v>0</v>
      </c>
      <c r="W857" s="317">
        <f>'Supply planning data'!Y855</f>
        <v>0</v>
      </c>
      <c r="X857" s="328">
        <f>'Supply planning data'!Z855</f>
        <v>0</v>
      </c>
      <c r="Y857" s="98">
        <f>'Supply planning data'!AA855</f>
        <v>0</v>
      </c>
      <c r="Z857" s="98">
        <f>'Supply planning data'!AB855</f>
        <v>0</v>
      </c>
      <c r="AA857" s="98">
        <f>'Supply planning data'!AC855</f>
        <v>0</v>
      </c>
      <c r="AB857" s="98">
        <f>'Supply planning data'!AD855</f>
        <v>0</v>
      </c>
      <c r="AC857" s="98">
        <f>'Supply planning data'!AE855</f>
        <v>0</v>
      </c>
      <c r="AD857" s="325" t="str">
        <f>'Supply planning data'!AF855</f>
        <v/>
      </c>
      <c r="AE857" s="98">
        <f>'Supply planning data'!AG855</f>
        <v>0</v>
      </c>
      <c r="AF857" s="317">
        <f>'Supply planning data'!AH855</f>
        <v>0</v>
      </c>
      <c r="AG857" s="175">
        <f>'Supply planning data'!AI855</f>
        <v>0</v>
      </c>
      <c r="AH857" s="98">
        <f>'Supply planning data'!AJ855</f>
        <v>0</v>
      </c>
      <c r="AI857" s="98">
        <f>'Supply planning data'!AK855</f>
        <v>0</v>
      </c>
      <c r="AJ857" s="98">
        <f>'Supply planning data'!AL855</f>
        <v>0</v>
      </c>
      <c r="AK857" s="98">
        <f>'Supply planning data'!AM855</f>
        <v>0</v>
      </c>
      <c r="AL857" s="98">
        <f>'Supply planning data'!AN855</f>
        <v>0</v>
      </c>
      <c r="AM857" s="325" t="str">
        <f>'Supply planning data'!AO855</f>
        <v/>
      </c>
    </row>
    <row r="858" spans="1:39" hidden="1" x14ac:dyDescent="0.25">
      <c r="A858" s="90" t="str">
        <f>'Supply planning data'!C856</f>
        <v/>
      </c>
      <c r="B858" s="296">
        <f>'Supply planning data'!D856</f>
        <v>45901</v>
      </c>
      <c r="C858" s="92" t="str">
        <f>'Supply planning data'!E856</f>
        <v>No</v>
      </c>
      <c r="D858" s="92">
        <f>'Supply planning data'!F856</f>
        <v>0</v>
      </c>
      <c r="E858" s="316">
        <f>'Supply planning data'!G856</f>
        <v>0</v>
      </c>
      <c r="F858" s="317">
        <f>'Supply planning data'!H856</f>
        <v>0</v>
      </c>
      <c r="G858" s="317">
        <f>'Supply planning data'!I856</f>
        <v>0</v>
      </c>
      <c r="H858" s="98">
        <f>'Supply planning data'!J856</f>
        <v>0</v>
      </c>
      <c r="I858" s="317">
        <f>'Supply planning data'!K856</f>
        <v>0</v>
      </c>
      <c r="J858" s="175" t="str">
        <f>'Supply planning data'!L856</f>
        <v/>
      </c>
      <c r="K858" s="98">
        <f>'Supply planning data'!M856</f>
        <v>0</v>
      </c>
      <c r="L858" s="317">
        <f>'Supply planning data'!N856+'Supply planning data'!P856</f>
        <v>0</v>
      </c>
      <c r="M858" s="339">
        <f>'Supply planning data'!O856</f>
        <v>0</v>
      </c>
      <c r="N858" s="317">
        <f>'Supply planning data'!P856</f>
        <v>0</v>
      </c>
      <c r="O858" s="339">
        <f>'Supply planning data'!Q856</f>
        <v>0</v>
      </c>
      <c r="P858" s="98">
        <f>'Supply planning data'!R856</f>
        <v>0</v>
      </c>
      <c r="Q858" s="98">
        <f>'Supply planning data'!S856</f>
        <v>0</v>
      </c>
      <c r="R858" s="98">
        <f>'Supply planning data'!T856</f>
        <v>0</v>
      </c>
      <c r="S858" s="98">
        <f>'Supply planning data'!U856</f>
        <v>0</v>
      </c>
      <c r="T858" s="98">
        <f>'Supply planning data'!V856</f>
        <v>0</v>
      </c>
      <c r="U858" s="325" t="str">
        <f>'Supply planning data'!W856</f>
        <v/>
      </c>
      <c r="V858" s="98">
        <f>'Supply planning data'!X856</f>
        <v>0</v>
      </c>
      <c r="W858" s="317">
        <f>'Supply planning data'!Y856</f>
        <v>0</v>
      </c>
      <c r="X858" s="328">
        <f>'Supply planning data'!Z856</f>
        <v>0</v>
      </c>
      <c r="Y858" s="98">
        <f>'Supply planning data'!AA856</f>
        <v>0</v>
      </c>
      <c r="Z858" s="98">
        <f>'Supply planning data'!AB856</f>
        <v>0</v>
      </c>
      <c r="AA858" s="98">
        <f>'Supply planning data'!AC856</f>
        <v>0</v>
      </c>
      <c r="AB858" s="98">
        <f>'Supply planning data'!AD856</f>
        <v>0</v>
      </c>
      <c r="AC858" s="98">
        <f>'Supply planning data'!AE856</f>
        <v>0</v>
      </c>
      <c r="AD858" s="325" t="str">
        <f>'Supply planning data'!AF856</f>
        <v/>
      </c>
      <c r="AE858" s="98">
        <f>'Supply planning data'!AG856</f>
        <v>0</v>
      </c>
      <c r="AF858" s="317">
        <f>'Supply planning data'!AH856</f>
        <v>0</v>
      </c>
      <c r="AG858" s="175">
        <f>'Supply planning data'!AI856</f>
        <v>0</v>
      </c>
      <c r="AH858" s="98">
        <f>'Supply planning data'!AJ856</f>
        <v>0</v>
      </c>
      <c r="AI858" s="98">
        <f>'Supply planning data'!AK856</f>
        <v>0</v>
      </c>
      <c r="AJ858" s="98">
        <f>'Supply planning data'!AL856</f>
        <v>0</v>
      </c>
      <c r="AK858" s="98">
        <f>'Supply planning data'!AM856</f>
        <v>0</v>
      </c>
      <c r="AL858" s="98">
        <f>'Supply planning data'!AN856</f>
        <v>0</v>
      </c>
      <c r="AM858" s="325" t="str">
        <f>'Supply planning data'!AO856</f>
        <v/>
      </c>
    </row>
    <row r="859" spans="1:39" hidden="1" x14ac:dyDescent="0.25">
      <c r="A859" s="90" t="str">
        <f>'Supply planning data'!C857</f>
        <v/>
      </c>
      <c r="B859" s="296">
        <f>'Supply planning data'!D857</f>
        <v>45901</v>
      </c>
      <c r="C859" s="92" t="str">
        <f>'Supply planning data'!E857</f>
        <v>No</v>
      </c>
      <c r="D859" s="92">
        <f>'Supply planning data'!F857</f>
        <v>0</v>
      </c>
      <c r="E859" s="316">
        <f>'Supply planning data'!G857</f>
        <v>0</v>
      </c>
      <c r="F859" s="317">
        <f>'Supply planning data'!H857</f>
        <v>0</v>
      </c>
      <c r="G859" s="317">
        <f>'Supply planning data'!I857</f>
        <v>0</v>
      </c>
      <c r="H859" s="98">
        <f>'Supply planning data'!J857</f>
        <v>0</v>
      </c>
      <c r="I859" s="317">
        <f>'Supply planning data'!K857</f>
        <v>0</v>
      </c>
      <c r="J859" s="175" t="str">
        <f>'Supply planning data'!L857</f>
        <v/>
      </c>
      <c r="K859" s="98">
        <f>'Supply planning data'!M857</f>
        <v>0</v>
      </c>
      <c r="L859" s="317">
        <f>'Supply planning data'!N857+'Supply planning data'!P857</f>
        <v>0</v>
      </c>
      <c r="M859" s="339">
        <f>'Supply planning data'!O857</f>
        <v>0</v>
      </c>
      <c r="N859" s="317">
        <f>'Supply planning data'!P857</f>
        <v>0</v>
      </c>
      <c r="O859" s="339">
        <f>'Supply planning data'!Q857</f>
        <v>0</v>
      </c>
      <c r="P859" s="98">
        <f>'Supply planning data'!R857</f>
        <v>0</v>
      </c>
      <c r="Q859" s="98">
        <f>'Supply planning data'!S857</f>
        <v>0</v>
      </c>
      <c r="R859" s="98">
        <f>'Supply planning data'!T857</f>
        <v>0</v>
      </c>
      <c r="S859" s="98">
        <f>'Supply planning data'!U857</f>
        <v>0</v>
      </c>
      <c r="T859" s="98">
        <f>'Supply planning data'!V857</f>
        <v>0</v>
      </c>
      <c r="U859" s="325" t="str">
        <f>'Supply planning data'!W857</f>
        <v/>
      </c>
      <c r="V859" s="98">
        <f>'Supply planning data'!X857</f>
        <v>0</v>
      </c>
      <c r="W859" s="317">
        <f>'Supply planning data'!Y857</f>
        <v>0</v>
      </c>
      <c r="X859" s="328">
        <f>'Supply planning data'!Z857</f>
        <v>0</v>
      </c>
      <c r="Y859" s="98">
        <f>'Supply planning data'!AA857</f>
        <v>0</v>
      </c>
      <c r="Z859" s="98">
        <f>'Supply planning data'!AB857</f>
        <v>0</v>
      </c>
      <c r="AA859" s="98">
        <f>'Supply planning data'!AC857</f>
        <v>0</v>
      </c>
      <c r="AB859" s="98">
        <f>'Supply planning data'!AD857</f>
        <v>0</v>
      </c>
      <c r="AC859" s="98">
        <f>'Supply planning data'!AE857</f>
        <v>0</v>
      </c>
      <c r="AD859" s="325" t="str">
        <f>'Supply planning data'!AF857</f>
        <v/>
      </c>
      <c r="AE859" s="98">
        <f>'Supply planning data'!AG857</f>
        <v>0</v>
      </c>
      <c r="AF859" s="317">
        <f>'Supply planning data'!AH857</f>
        <v>0</v>
      </c>
      <c r="AG859" s="175">
        <f>'Supply planning data'!AI857</f>
        <v>0</v>
      </c>
      <c r="AH859" s="98">
        <f>'Supply planning data'!AJ857</f>
        <v>0</v>
      </c>
      <c r="AI859" s="98">
        <f>'Supply planning data'!AK857</f>
        <v>0</v>
      </c>
      <c r="AJ859" s="98">
        <f>'Supply planning data'!AL857</f>
        <v>0</v>
      </c>
      <c r="AK859" s="98">
        <f>'Supply planning data'!AM857</f>
        <v>0</v>
      </c>
      <c r="AL859" s="98">
        <f>'Supply planning data'!AN857</f>
        <v>0</v>
      </c>
      <c r="AM859" s="325" t="str">
        <f>'Supply planning data'!AO857</f>
        <v/>
      </c>
    </row>
    <row r="860" spans="1:39" hidden="1" x14ac:dyDescent="0.25">
      <c r="A860" s="90" t="str">
        <f>'Supply planning data'!C858</f>
        <v/>
      </c>
      <c r="B860" s="296">
        <f>'Supply planning data'!D858</f>
        <v>45901</v>
      </c>
      <c r="C860" s="92" t="str">
        <f>'Supply planning data'!E858</f>
        <v>No</v>
      </c>
      <c r="D860" s="92">
        <f>'Supply planning data'!F858</f>
        <v>0</v>
      </c>
      <c r="E860" s="316">
        <f>'Supply planning data'!G858</f>
        <v>0</v>
      </c>
      <c r="F860" s="317">
        <f>'Supply planning data'!H858</f>
        <v>0</v>
      </c>
      <c r="G860" s="317">
        <f>'Supply planning data'!I858</f>
        <v>0</v>
      </c>
      <c r="H860" s="98">
        <f>'Supply planning data'!J858</f>
        <v>0</v>
      </c>
      <c r="I860" s="317">
        <f>'Supply planning data'!K858</f>
        <v>0</v>
      </c>
      <c r="J860" s="175" t="str">
        <f>'Supply planning data'!L858</f>
        <v/>
      </c>
      <c r="K860" s="98">
        <f>'Supply planning data'!M858</f>
        <v>0</v>
      </c>
      <c r="L860" s="317">
        <f>'Supply planning data'!N858+'Supply planning data'!P858</f>
        <v>0</v>
      </c>
      <c r="M860" s="339">
        <f>'Supply planning data'!O858</f>
        <v>0</v>
      </c>
      <c r="N860" s="317">
        <f>'Supply planning data'!P858</f>
        <v>0</v>
      </c>
      <c r="O860" s="339">
        <f>'Supply planning data'!Q858</f>
        <v>0</v>
      </c>
      <c r="P860" s="98">
        <f>'Supply planning data'!R858</f>
        <v>0</v>
      </c>
      <c r="Q860" s="98">
        <f>'Supply planning data'!S858</f>
        <v>0</v>
      </c>
      <c r="R860" s="98">
        <f>'Supply planning data'!T858</f>
        <v>0</v>
      </c>
      <c r="S860" s="98">
        <f>'Supply planning data'!U858</f>
        <v>0</v>
      </c>
      <c r="T860" s="98">
        <f>'Supply planning data'!V858</f>
        <v>0</v>
      </c>
      <c r="U860" s="325" t="str">
        <f>'Supply planning data'!W858</f>
        <v/>
      </c>
      <c r="V860" s="98">
        <f>'Supply planning data'!X858</f>
        <v>0</v>
      </c>
      <c r="W860" s="317">
        <f>'Supply planning data'!Y858</f>
        <v>0</v>
      </c>
      <c r="X860" s="328">
        <f>'Supply planning data'!Z858</f>
        <v>0</v>
      </c>
      <c r="Y860" s="98">
        <f>'Supply planning data'!AA858</f>
        <v>0</v>
      </c>
      <c r="Z860" s="98">
        <f>'Supply planning data'!AB858</f>
        <v>0</v>
      </c>
      <c r="AA860" s="98">
        <f>'Supply planning data'!AC858</f>
        <v>0</v>
      </c>
      <c r="AB860" s="98">
        <f>'Supply planning data'!AD858</f>
        <v>0</v>
      </c>
      <c r="AC860" s="98">
        <f>'Supply planning data'!AE858</f>
        <v>0</v>
      </c>
      <c r="AD860" s="325" t="str">
        <f>'Supply planning data'!AF858</f>
        <v/>
      </c>
      <c r="AE860" s="98">
        <f>'Supply planning data'!AG858</f>
        <v>0</v>
      </c>
      <c r="AF860" s="317">
        <f>'Supply planning data'!AH858</f>
        <v>0</v>
      </c>
      <c r="AG860" s="175">
        <f>'Supply planning data'!AI858</f>
        <v>0</v>
      </c>
      <c r="AH860" s="98">
        <f>'Supply planning data'!AJ858</f>
        <v>0</v>
      </c>
      <c r="AI860" s="98">
        <f>'Supply planning data'!AK858</f>
        <v>0</v>
      </c>
      <c r="AJ860" s="98">
        <f>'Supply planning data'!AL858</f>
        <v>0</v>
      </c>
      <c r="AK860" s="98">
        <f>'Supply planning data'!AM858</f>
        <v>0</v>
      </c>
      <c r="AL860" s="98">
        <f>'Supply planning data'!AN858</f>
        <v>0</v>
      </c>
      <c r="AM860" s="325" t="str">
        <f>'Supply planning data'!AO858</f>
        <v/>
      </c>
    </row>
    <row r="861" spans="1:39" hidden="1" x14ac:dyDescent="0.25">
      <c r="A861" s="90" t="str">
        <f>'Supply planning data'!C859</f>
        <v/>
      </c>
      <c r="B861" s="296">
        <f>'Supply planning data'!D859</f>
        <v>45901</v>
      </c>
      <c r="C861" s="92" t="str">
        <f>'Supply planning data'!E859</f>
        <v>No</v>
      </c>
      <c r="D861" s="92">
        <f>'Supply planning data'!F859</f>
        <v>0</v>
      </c>
      <c r="E861" s="316">
        <f>'Supply planning data'!G859</f>
        <v>0</v>
      </c>
      <c r="F861" s="317">
        <f>'Supply planning data'!H859</f>
        <v>0</v>
      </c>
      <c r="G861" s="317">
        <f>'Supply planning data'!I859</f>
        <v>0</v>
      </c>
      <c r="H861" s="98">
        <f>'Supply planning data'!J859</f>
        <v>0</v>
      </c>
      <c r="I861" s="317">
        <f>'Supply planning data'!K859</f>
        <v>0</v>
      </c>
      <c r="J861" s="175" t="str">
        <f>'Supply planning data'!L859</f>
        <v/>
      </c>
      <c r="K861" s="98">
        <f>'Supply planning data'!M859</f>
        <v>0</v>
      </c>
      <c r="L861" s="317">
        <f>'Supply planning data'!N859+'Supply planning data'!P859</f>
        <v>0</v>
      </c>
      <c r="M861" s="339">
        <f>'Supply planning data'!O859</f>
        <v>0</v>
      </c>
      <c r="N861" s="317">
        <f>'Supply planning data'!P859</f>
        <v>0</v>
      </c>
      <c r="O861" s="339">
        <f>'Supply planning data'!Q859</f>
        <v>0</v>
      </c>
      <c r="P861" s="98">
        <f>'Supply planning data'!R859</f>
        <v>0</v>
      </c>
      <c r="Q861" s="98">
        <f>'Supply planning data'!S859</f>
        <v>0</v>
      </c>
      <c r="R861" s="98">
        <f>'Supply planning data'!T859</f>
        <v>0</v>
      </c>
      <c r="S861" s="98">
        <f>'Supply planning data'!U859</f>
        <v>0</v>
      </c>
      <c r="T861" s="98">
        <f>'Supply planning data'!V859</f>
        <v>0</v>
      </c>
      <c r="U861" s="325" t="str">
        <f>'Supply planning data'!W859</f>
        <v/>
      </c>
      <c r="V861" s="98">
        <f>'Supply planning data'!X859</f>
        <v>0</v>
      </c>
      <c r="W861" s="317">
        <f>'Supply planning data'!Y859</f>
        <v>0</v>
      </c>
      <c r="X861" s="328">
        <f>'Supply planning data'!Z859</f>
        <v>0</v>
      </c>
      <c r="Y861" s="98">
        <f>'Supply planning data'!AA859</f>
        <v>0</v>
      </c>
      <c r="Z861" s="98">
        <f>'Supply planning data'!AB859</f>
        <v>0</v>
      </c>
      <c r="AA861" s="98">
        <f>'Supply planning data'!AC859</f>
        <v>0</v>
      </c>
      <c r="AB861" s="98">
        <f>'Supply planning data'!AD859</f>
        <v>0</v>
      </c>
      <c r="AC861" s="98">
        <f>'Supply planning data'!AE859</f>
        <v>0</v>
      </c>
      <c r="AD861" s="325" t="str">
        <f>'Supply planning data'!AF859</f>
        <v/>
      </c>
      <c r="AE861" s="98">
        <f>'Supply planning data'!AG859</f>
        <v>0</v>
      </c>
      <c r="AF861" s="317">
        <f>'Supply planning data'!AH859</f>
        <v>0</v>
      </c>
      <c r="AG861" s="175">
        <f>'Supply planning data'!AI859</f>
        <v>0</v>
      </c>
      <c r="AH861" s="98">
        <f>'Supply planning data'!AJ859</f>
        <v>0</v>
      </c>
      <c r="AI861" s="98">
        <f>'Supply planning data'!AK859</f>
        <v>0</v>
      </c>
      <c r="AJ861" s="98">
        <f>'Supply planning data'!AL859</f>
        <v>0</v>
      </c>
      <c r="AK861" s="98">
        <f>'Supply planning data'!AM859</f>
        <v>0</v>
      </c>
      <c r="AL861" s="98">
        <f>'Supply planning data'!AN859</f>
        <v>0</v>
      </c>
      <c r="AM861" s="325" t="str">
        <f>'Supply planning data'!AO859</f>
        <v/>
      </c>
    </row>
    <row r="862" spans="1:39" x14ac:dyDescent="0.25">
      <c r="A862" s="104" t="str">
        <f>'Supply planning data'!C860</f>
        <v>AstraZeneca</v>
      </c>
      <c r="B862" s="298">
        <f>'Supply planning data'!D860</f>
        <v>45931</v>
      </c>
      <c r="C862" s="105" t="str">
        <f>'Supply planning data'!E860</f>
        <v>Yes</v>
      </c>
      <c r="D862" s="105">
        <f>'Supply planning data'!F860</f>
        <v>0</v>
      </c>
      <c r="E862" s="320">
        <f>'Supply planning data'!G860</f>
        <v>0</v>
      </c>
      <c r="F862" s="320">
        <f>'Supply planning data'!H860</f>
        <v>0</v>
      </c>
      <c r="G862" s="320">
        <f>'Supply planning data'!I860</f>
        <v>0</v>
      </c>
      <c r="H862" s="105">
        <f>'Supply planning data'!J860</f>
        <v>0</v>
      </c>
      <c r="I862" s="320">
        <f>'Supply planning data'!K860</f>
        <v>0</v>
      </c>
      <c r="J862" s="177" t="str">
        <f>'Supply planning data'!L860</f>
        <v/>
      </c>
      <c r="K862" s="105">
        <f>'Supply planning data'!M860</f>
        <v>0</v>
      </c>
      <c r="L862" s="320">
        <f>'Supply planning data'!N860+'Supply planning data'!P860</f>
        <v>0</v>
      </c>
      <c r="M862" s="341">
        <f>'Supply planning data'!O860</f>
        <v>0</v>
      </c>
      <c r="N862" s="320">
        <f>'Supply planning data'!P860</f>
        <v>0</v>
      </c>
      <c r="O862" s="341">
        <f>'Supply planning data'!Q860</f>
        <v>0</v>
      </c>
      <c r="P862" s="105">
        <f>'Supply planning data'!R860</f>
        <v>0</v>
      </c>
      <c r="Q862" s="105">
        <f>'Supply planning data'!S860</f>
        <v>0</v>
      </c>
      <c r="R862" s="105">
        <f>'Supply planning data'!T860</f>
        <v>0</v>
      </c>
      <c r="S862" s="105">
        <f>'Supply planning data'!U860</f>
        <v>0</v>
      </c>
      <c r="T862" s="105">
        <f>'Supply planning data'!V860</f>
        <v>0</v>
      </c>
      <c r="U862" s="326" t="str">
        <f>'Supply planning data'!W860</f>
        <v/>
      </c>
      <c r="V862" s="105">
        <f>'Supply planning data'!X860</f>
        <v>154701</v>
      </c>
      <c r="W862" s="320">
        <f>'Supply planning data'!Y860</f>
        <v>0</v>
      </c>
      <c r="X862" s="329">
        <f>'Supply planning data'!Z860</f>
        <v>0</v>
      </c>
      <c r="Y862" s="105">
        <f>'Supply planning data'!AA860</f>
        <v>0</v>
      </c>
      <c r="Z862" s="105">
        <f>'Supply planning data'!AB860</f>
        <v>0</v>
      </c>
      <c r="AA862" s="105">
        <f>'Supply planning data'!AC860</f>
        <v>0</v>
      </c>
      <c r="AB862" s="105">
        <f>'Supply planning data'!AD860</f>
        <v>0</v>
      </c>
      <c r="AC862" s="105">
        <f>'Supply planning data'!AE860</f>
        <v>154701</v>
      </c>
      <c r="AD862" s="326" t="str">
        <f>'Supply planning data'!AF860</f>
        <v/>
      </c>
      <c r="AE862" s="105">
        <f>'Supply planning data'!AG860</f>
        <v>0</v>
      </c>
      <c r="AF862" s="320">
        <f>'Supply planning data'!AH860</f>
        <v>0</v>
      </c>
      <c r="AG862" s="177">
        <f>'Supply planning data'!AI860</f>
        <v>0</v>
      </c>
      <c r="AH862" s="105">
        <f>'Supply planning data'!AJ860</f>
        <v>0</v>
      </c>
      <c r="AI862" s="105">
        <f>'Supply planning data'!AK860</f>
        <v>0</v>
      </c>
      <c r="AJ862" s="105">
        <f>'Supply planning data'!AL860</f>
        <v>0</v>
      </c>
      <c r="AK862" s="105">
        <f>'Supply planning data'!AM860</f>
        <v>0</v>
      </c>
      <c r="AL862" s="105">
        <f>'Supply planning data'!AN860</f>
        <v>0</v>
      </c>
      <c r="AM862" s="326" t="str">
        <f>'Supply planning data'!AO860</f>
        <v/>
      </c>
    </row>
    <row r="863" spans="1:39" x14ac:dyDescent="0.25">
      <c r="A863" s="109" t="str">
        <f>'Supply planning data'!C861</f>
        <v>Jansen</v>
      </c>
      <c r="B863" s="298">
        <f>'Supply planning data'!D861</f>
        <v>45931</v>
      </c>
      <c r="C863" s="105" t="str">
        <f>'Supply planning data'!E861</f>
        <v>Yes</v>
      </c>
      <c r="D863" s="105">
        <f>'Supply planning data'!F861</f>
        <v>1871200</v>
      </c>
      <c r="E863" s="320">
        <f>'Supply planning data'!G861</f>
        <v>0</v>
      </c>
      <c r="F863" s="320">
        <f>'Supply planning data'!H861</f>
        <v>0</v>
      </c>
      <c r="G863" s="320">
        <f>'Supply planning data'!I861</f>
        <v>0</v>
      </c>
      <c r="H863" s="105">
        <f>'Supply planning data'!J861</f>
        <v>0</v>
      </c>
      <c r="I863" s="320">
        <f>'Supply planning data'!K861</f>
        <v>0</v>
      </c>
      <c r="J863" s="177" t="str">
        <f>'Supply planning data'!L861</f>
        <v/>
      </c>
      <c r="K863" s="105">
        <f>'Supply planning data'!M861</f>
        <v>0</v>
      </c>
      <c r="L863" s="321">
        <f>'Supply planning data'!N861+'Supply planning data'!P861</f>
        <v>0</v>
      </c>
      <c r="M863" s="342">
        <f>'Supply planning data'!O861</f>
        <v>0</v>
      </c>
      <c r="N863" s="321">
        <f>'Supply planning data'!P861</f>
        <v>0</v>
      </c>
      <c r="O863" s="342">
        <f>'Supply planning data'!Q861</f>
        <v>0</v>
      </c>
      <c r="P863" s="111">
        <f>'Supply planning data'!R861</f>
        <v>0</v>
      </c>
      <c r="Q863" s="111">
        <f>'Supply planning data'!S861</f>
        <v>0</v>
      </c>
      <c r="R863" s="111">
        <f>'Supply planning data'!T861</f>
        <v>387547</v>
      </c>
      <c r="S863" s="111">
        <f>'Supply planning data'!U861</f>
        <v>0</v>
      </c>
      <c r="T863" s="111">
        <f>'Supply planning data'!V861</f>
        <v>1871200</v>
      </c>
      <c r="U863" s="327" t="str">
        <f>'Supply planning data'!W861</f>
        <v/>
      </c>
      <c r="V863" s="111">
        <f>'Supply planning data'!X861</f>
        <v>1311200</v>
      </c>
      <c r="W863" s="321">
        <f>'Supply planning data'!Y861</f>
        <v>0</v>
      </c>
      <c r="X863" s="329">
        <f>'Supply planning data'!Z861</f>
        <v>0</v>
      </c>
      <c r="Y863" s="111">
        <f>'Supply planning data'!AA861</f>
        <v>0</v>
      </c>
      <c r="Z863" s="111">
        <f>'Supply planning data'!AB861</f>
        <v>0</v>
      </c>
      <c r="AA863" s="111">
        <f>'Supply planning data'!AC861</f>
        <v>0</v>
      </c>
      <c r="AB863" s="111">
        <f>'Supply planning data'!AD861</f>
        <v>0</v>
      </c>
      <c r="AC863" s="111">
        <f>'Supply planning data'!AE861</f>
        <v>1311200</v>
      </c>
      <c r="AD863" s="327" t="str">
        <f>'Supply planning data'!AF861</f>
        <v/>
      </c>
      <c r="AE863" s="111">
        <f>'Supply planning data'!AG861</f>
        <v>1871200</v>
      </c>
      <c r="AF863" s="321">
        <f>'Supply planning data'!AH861</f>
        <v>0</v>
      </c>
      <c r="AG863" s="349">
        <f>'Supply planning data'!AI861</f>
        <v>0</v>
      </c>
      <c r="AH863" s="111">
        <f>'Supply planning data'!AJ861</f>
        <v>0</v>
      </c>
      <c r="AI863" s="111">
        <f>'Supply planning data'!AK861</f>
        <v>0</v>
      </c>
      <c r="AJ863" s="111">
        <f>'Supply planning data'!AL861</f>
        <v>387547</v>
      </c>
      <c r="AK863" s="111">
        <f>'Supply planning data'!AM861</f>
        <v>0</v>
      </c>
      <c r="AL863" s="111">
        <f>'Supply planning data'!AN861</f>
        <v>1871200</v>
      </c>
      <c r="AM863" s="327" t="str">
        <f>'Supply planning data'!AO861</f>
        <v/>
      </c>
    </row>
    <row r="864" spans="1:39" x14ac:dyDescent="0.25">
      <c r="A864" s="104" t="str">
        <f>'Supply planning data'!C862</f>
        <v>Moderna</v>
      </c>
      <c r="B864" s="298">
        <f>'Supply planning data'!D862</f>
        <v>45931</v>
      </c>
      <c r="C864" s="105" t="str">
        <f>'Supply planning data'!E862</f>
        <v>No</v>
      </c>
      <c r="D864" s="105">
        <f>'Supply planning data'!F862</f>
        <v>0</v>
      </c>
      <c r="E864" s="320">
        <f>'Supply planning data'!G862</f>
        <v>0</v>
      </c>
      <c r="F864" s="320">
        <f>'Supply planning data'!H862</f>
        <v>0</v>
      </c>
      <c r="G864" s="320">
        <f>'Supply planning data'!I862</f>
        <v>0</v>
      </c>
      <c r="H864" s="105">
        <f>'Supply planning data'!J862</f>
        <v>0</v>
      </c>
      <c r="I864" s="320">
        <f>'Supply planning data'!K862</f>
        <v>0</v>
      </c>
      <c r="J864" s="177" t="str">
        <f>'Supply planning data'!L862</f>
        <v/>
      </c>
      <c r="K864" s="105">
        <f>'Supply planning data'!M862</f>
        <v>0</v>
      </c>
      <c r="L864" s="321">
        <f>'Supply planning data'!N862+'Supply planning data'!P862</f>
        <v>0</v>
      </c>
      <c r="M864" s="342">
        <f>'Supply planning data'!O862</f>
        <v>0</v>
      </c>
      <c r="N864" s="321">
        <f>'Supply planning data'!P862</f>
        <v>0</v>
      </c>
      <c r="O864" s="342">
        <f>'Supply planning data'!Q862</f>
        <v>0</v>
      </c>
      <c r="P864" s="111">
        <f>'Supply planning data'!R862</f>
        <v>0</v>
      </c>
      <c r="Q864" s="111">
        <f>'Supply planning data'!S862</f>
        <v>0</v>
      </c>
      <c r="R864" s="111">
        <f>'Supply planning data'!T862</f>
        <v>0</v>
      </c>
      <c r="S864" s="111">
        <f>'Supply planning data'!U862</f>
        <v>0</v>
      </c>
      <c r="T864" s="111">
        <f>'Supply planning data'!V862</f>
        <v>0</v>
      </c>
      <c r="U864" s="327" t="str">
        <f>'Supply planning data'!W862</f>
        <v/>
      </c>
      <c r="V864" s="111">
        <f>'Supply planning data'!X862</f>
        <v>0</v>
      </c>
      <c r="W864" s="321">
        <f>'Supply planning data'!Y862</f>
        <v>0</v>
      </c>
      <c r="X864" s="329">
        <f>'Supply planning data'!Z862</f>
        <v>0</v>
      </c>
      <c r="Y864" s="111">
        <f>'Supply planning data'!AA862</f>
        <v>0</v>
      </c>
      <c r="Z864" s="111">
        <f>'Supply planning data'!AB862</f>
        <v>0</v>
      </c>
      <c r="AA864" s="111">
        <f>'Supply planning data'!AC862</f>
        <v>0</v>
      </c>
      <c r="AB864" s="111">
        <f>'Supply planning data'!AD862</f>
        <v>0</v>
      </c>
      <c r="AC864" s="111">
        <f>'Supply planning data'!AE862</f>
        <v>0</v>
      </c>
      <c r="AD864" s="327" t="str">
        <f>'Supply planning data'!AF862</f>
        <v/>
      </c>
      <c r="AE864" s="111">
        <f>'Supply planning data'!AG862</f>
        <v>0</v>
      </c>
      <c r="AF864" s="321">
        <f>'Supply planning data'!AH862</f>
        <v>0</v>
      </c>
      <c r="AG864" s="349">
        <f>'Supply planning data'!AI862</f>
        <v>0</v>
      </c>
      <c r="AH864" s="111">
        <f>'Supply planning data'!AJ862</f>
        <v>0</v>
      </c>
      <c r="AI864" s="111">
        <f>'Supply planning data'!AK862</f>
        <v>0</v>
      </c>
      <c r="AJ864" s="111">
        <f>'Supply planning data'!AL862</f>
        <v>0</v>
      </c>
      <c r="AK864" s="111">
        <f>'Supply planning data'!AM862</f>
        <v>0</v>
      </c>
      <c r="AL864" s="111">
        <f>'Supply planning data'!AN862</f>
        <v>0</v>
      </c>
      <c r="AM864" s="327" t="str">
        <f>'Supply planning data'!AO862</f>
        <v/>
      </c>
    </row>
    <row r="865" spans="1:39" x14ac:dyDescent="0.25">
      <c r="A865" s="109" t="str">
        <f>'Supply planning data'!C863</f>
        <v>Pfizer</v>
      </c>
      <c r="B865" s="298">
        <f>'Supply planning data'!D863</f>
        <v>45931</v>
      </c>
      <c r="C865" s="105" t="str">
        <f>'Supply planning data'!E863</f>
        <v>Yes</v>
      </c>
      <c r="D865" s="105">
        <f>'Supply planning data'!F863</f>
        <v>3000000</v>
      </c>
      <c r="E865" s="320">
        <f>'Supply planning data'!G863</f>
        <v>0</v>
      </c>
      <c r="F865" s="320">
        <f>'Supply planning data'!H863</f>
        <v>0</v>
      </c>
      <c r="G865" s="320">
        <f>'Supply planning data'!I863</f>
        <v>0</v>
      </c>
      <c r="H865" s="105">
        <f>'Supply planning data'!J863</f>
        <v>0</v>
      </c>
      <c r="I865" s="320">
        <f>'Supply planning data'!K863</f>
        <v>0</v>
      </c>
      <c r="J865" s="177" t="str">
        <f>'Supply planning data'!L863</f>
        <v/>
      </c>
      <c r="K865" s="105">
        <f>'Supply planning data'!M863</f>
        <v>0</v>
      </c>
      <c r="L865" s="321">
        <f>'Supply planning data'!N863+'Supply planning data'!P863</f>
        <v>0</v>
      </c>
      <c r="M865" s="342">
        <f>'Supply planning data'!O863</f>
        <v>0</v>
      </c>
      <c r="N865" s="321">
        <f>'Supply planning data'!P863</f>
        <v>0</v>
      </c>
      <c r="O865" s="342">
        <f>'Supply planning data'!Q863</f>
        <v>0</v>
      </c>
      <c r="P865" s="111">
        <f>'Supply planning data'!R863</f>
        <v>0</v>
      </c>
      <c r="Q865" s="111">
        <f>'Supply planning data'!S863</f>
        <v>0</v>
      </c>
      <c r="R865" s="111">
        <f>'Supply planning data'!T863</f>
        <v>110538</v>
      </c>
      <c r="S865" s="111">
        <f>'Supply planning data'!U863</f>
        <v>0</v>
      </c>
      <c r="T865" s="111">
        <f>'Supply planning data'!V863</f>
        <v>3000000</v>
      </c>
      <c r="U865" s="327" t="str">
        <f>'Supply planning data'!W863</f>
        <v/>
      </c>
      <c r="V865" s="111">
        <f>'Supply planning data'!X863</f>
        <v>2440000</v>
      </c>
      <c r="W865" s="321">
        <f>'Supply planning data'!Y863</f>
        <v>0</v>
      </c>
      <c r="X865" s="329">
        <f>'Supply planning data'!Z863</f>
        <v>0</v>
      </c>
      <c r="Y865" s="111">
        <f>'Supply planning data'!AA863</f>
        <v>0</v>
      </c>
      <c r="Z865" s="111">
        <f>'Supply planning data'!AB863</f>
        <v>0</v>
      </c>
      <c r="AA865" s="111">
        <f>'Supply planning data'!AC863</f>
        <v>0</v>
      </c>
      <c r="AB865" s="111">
        <f>'Supply planning data'!AD863</f>
        <v>0</v>
      </c>
      <c r="AC865" s="111">
        <f>'Supply planning data'!AE863</f>
        <v>2440000</v>
      </c>
      <c r="AD865" s="327" t="str">
        <f>'Supply planning data'!AF863</f>
        <v/>
      </c>
      <c r="AE865" s="111">
        <f>'Supply planning data'!AG863</f>
        <v>3000000</v>
      </c>
      <c r="AF865" s="321">
        <f>'Supply planning data'!AH863</f>
        <v>0</v>
      </c>
      <c r="AG865" s="349">
        <f>'Supply planning data'!AI863</f>
        <v>0</v>
      </c>
      <c r="AH865" s="111">
        <f>'Supply planning data'!AJ863</f>
        <v>0</v>
      </c>
      <c r="AI865" s="111">
        <f>'Supply planning data'!AK863</f>
        <v>0</v>
      </c>
      <c r="AJ865" s="111">
        <f>'Supply planning data'!AL863</f>
        <v>110538</v>
      </c>
      <c r="AK865" s="111">
        <f>'Supply planning data'!AM863</f>
        <v>0</v>
      </c>
      <c r="AL865" s="111">
        <f>'Supply planning data'!AN863</f>
        <v>3000000</v>
      </c>
      <c r="AM865" s="327" t="str">
        <f>'Supply planning data'!AO863</f>
        <v/>
      </c>
    </row>
    <row r="866" spans="1:39" x14ac:dyDescent="0.25">
      <c r="A866" s="104" t="str">
        <f>'Supply planning data'!C864</f>
        <v>Sinovac</v>
      </c>
      <c r="B866" s="298">
        <f>'Supply planning data'!D864</f>
        <v>45931</v>
      </c>
      <c r="C866" s="105" t="str">
        <f>'Supply planning data'!E864</f>
        <v>No</v>
      </c>
      <c r="D866" s="105">
        <f>'Supply planning data'!F864</f>
        <v>0</v>
      </c>
      <c r="E866" s="320">
        <f>'Supply planning data'!G864</f>
        <v>0</v>
      </c>
      <c r="F866" s="320">
        <f>'Supply planning data'!H864</f>
        <v>0</v>
      </c>
      <c r="G866" s="320">
        <f>'Supply planning data'!I864</f>
        <v>0</v>
      </c>
      <c r="H866" s="105">
        <f>'Supply planning data'!J864</f>
        <v>0</v>
      </c>
      <c r="I866" s="320">
        <f>'Supply planning data'!K864</f>
        <v>0</v>
      </c>
      <c r="J866" s="177" t="str">
        <f>'Supply planning data'!L864</f>
        <v/>
      </c>
      <c r="K866" s="105">
        <f>'Supply planning data'!M864</f>
        <v>0</v>
      </c>
      <c r="L866" s="321">
        <f>'Supply planning data'!N864+'Supply planning data'!P864</f>
        <v>0</v>
      </c>
      <c r="M866" s="342">
        <f>'Supply planning data'!O864</f>
        <v>0</v>
      </c>
      <c r="N866" s="321">
        <f>'Supply planning data'!P864</f>
        <v>0</v>
      </c>
      <c r="O866" s="342">
        <f>'Supply planning data'!Q864</f>
        <v>0</v>
      </c>
      <c r="P866" s="111">
        <f>'Supply planning data'!R864</f>
        <v>0</v>
      </c>
      <c r="Q866" s="111">
        <f>'Supply planning data'!S864</f>
        <v>0</v>
      </c>
      <c r="R866" s="111">
        <f>'Supply planning data'!T864</f>
        <v>0</v>
      </c>
      <c r="S866" s="111">
        <f>'Supply planning data'!U864</f>
        <v>0</v>
      </c>
      <c r="T866" s="111">
        <f>'Supply planning data'!V864</f>
        <v>0</v>
      </c>
      <c r="U866" s="327" t="str">
        <f>'Supply planning data'!W864</f>
        <v/>
      </c>
      <c r="V866" s="111">
        <f>'Supply planning data'!X864</f>
        <v>0</v>
      </c>
      <c r="W866" s="321">
        <f>'Supply planning data'!Y864</f>
        <v>0</v>
      </c>
      <c r="X866" s="329">
        <f>'Supply planning data'!Z864</f>
        <v>0</v>
      </c>
      <c r="Y866" s="111">
        <f>'Supply planning data'!AA864</f>
        <v>0</v>
      </c>
      <c r="Z866" s="111">
        <f>'Supply planning data'!AB864</f>
        <v>0</v>
      </c>
      <c r="AA866" s="111">
        <f>'Supply planning data'!AC864</f>
        <v>0</v>
      </c>
      <c r="AB866" s="111">
        <f>'Supply planning data'!AD864</f>
        <v>0</v>
      </c>
      <c r="AC866" s="111">
        <f>'Supply planning data'!AE864</f>
        <v>0</v>
      </c>
      <c r="AD866" s="327" t="str">
        <f>'Supply planning data'!AF864</f>
        <v/>
      </c>
      <c r="AE866" s="111">
        <f>'Supply planning data'!AG864</f>
        <v>0</v>
      </c>
      <c r="AF866" s="321">
        <f>'Supply planning data'!AH864</f>
        <v>0</v>
      </c>
      <c r="AG866" s="349">
        <f>'Supply planning data'!AI864</f>
        <v>0</v>
      </c>
      <c r="AH866" s="111">
        <f>'Supply planning data'!AJ864</f>
        <v>0</v>
      </c>
      <c r="AI866" s="111">
        <f>'Supply planning data'!AK864</f>
        <v>0</v>
      </c>
      <c r="AJ866" s="111">
        <f>'Supply planning data'!AL864</f>
        <v>0</v>
      </c>
      <c r="AK866" s="111">
        <f>'Supply planning data'!AM864</f>
        <v>0</v>
      </c>
      <c r="AL866" s="111">
        <f>'Supply planning data'!AN864</f>
        <v>0</v>
      </c>
      <c r="AM866" s="327" t="str">
        <f>'Supply planning data'!AO864</f>
        <v/>
      </c>
    </row>
    <row r="867" spans="1:39" hidden="1" x14ac:dyDescent="0.25">
      <c r="A867" s="109" t="str">
        <f>'Supply planning data'!C865</f>
        <v/>
      </c>
      <c r="B867" s="298">
        <f>'Supply planning data'!D865</f>
        <v>45931</v>
      </c>
      <c r="C867" s="105" t="str">
        <f>'Supply planning data'!E865</f>
        <v>No</v>
      </c>
      <c r="D867" s="105">
        <f>'Supply planning data'!F865</f>
        <v>0</v>
      </c>
      <c r="E867" s="320">
        <f>'Supply planning data'!G865</f>
        <v>0</v>
      </c>
      <c r="F867" s="320">
        <f>'Supply planning data'!H865</f>
        <v>0</v>
      </c>
      <c r="G867" s="320">
        <f>'Supply planning data'!I865</f>
        <v>0</v>
      </c>
      <c r="H867" s="105">
        <f>'Supply planning data'!J865</f>
        <v>0</v>
      </c>
      <c r="I867" s="320">
        <f>'Supply planning data'!K865</f>
        <v>0</v>
      </c>
      <c r="J867" s="177" t="str">
        <f>'Supply planning data'!L865</f>
        <v/>
      </c>
      <c r="K867" s="105">
        <f>'Supply planning data'!M865</f>
        <v>0</v>
      </c>
      <c r="L867" s="321">
        <f>'Supply planning data'!N865+'Supply planning data'!P865</f>
        <v>0</v>
      </c>
      <c r="M867" s="342">
        <f>'Supply planning data'!O865</f>
        <v>0</v>
      </c>
      <c r="N867" s="321">
        <f>'Supply planning data'!P865</f>
        <v>0</v>
      </c>
      <c r="O867" s="342">
        <f>'Supply planning data'!Q865</f>
        <v>0</v>
      </c>
      <c r="P867" s="111">
        <f>'Supply planning data'!R865</f>
        <v>0</v>
      </c>
      <c r="Q867" s="111">
        <f>'Supply planning data'!S865</f>
        <v>0</v>
      </c>
      <c r="R867" s="111">
        <f>'Supply planning data'!T865</f>
        <v>0</v>
      </c>
      <c r="S867" s="111">
        <f>'Supply planning data'!U865</f>
        <v>0</v>
      </c>
      <c r="T867" s="111">
        <f>'Supply planning data'!V865</f>
        <v>0</v>
      </c>
      <c r="U867" s="327" t="str">
        <f>'Supply planning data'!W865</f>
        <v/>
      </c>
      <c r="V867" s="111">
        <f>'Supply planning data'!X865</f>
        <v>0</v>
      </c>
      <c r="W867" s="321">
        <f>'Supply planning data'!Y865</f>
        <v>0</v>
      </c>
      <c r="X867" s="329">
        <f>'Supply planning data'!Z865</f>
        <v>0</v>
      </c>
      <c r="Y867" s="111">
        <f>'Supply planning data'!AA865</f>
        <v>0</v>
      </c>
      <c r="Z867" s="111">
        <f>'Supply planning data'!AB865</f>
        <v>0</v>
      </c>
      <c r="AA867" s="111">
        <f>'Supply planning data'!AC865</f>
        <v>0</v>
      </c>
      <c r="AB867" s="111">
        <f>'Supply planning data'!AD865</f>
        <v>0</v>
      </c>
      <c r="AC867" s="111">
        <f>'Supply planning data'!AE865</f>
        <v>0</v>
      </c>
      <c r="AD867" s="327" t="str">
        <f>'Supply planning data'!AF865</f>
        <v/>
      </c>
      <c r="AE867" s="111">
        <f>'Supply planning data'!AG865</f>
        <v>0</v>
      </c>
      <c r="AF867" s="321">
        <f>'Supply planning data'!AH865</f>
        <v>0</v>
      </c>
      <c r="AG867" s="349">
        <f>'Supply planning data'!AI865</f>
        <v>0</v>
      </c>
      <c r="AH867" s="111">
        <f>'Supply planning data'!AJ865</f>
        <v>0</v>
      </c>
      <c r="AI867" s="111">
        <f>'Supply planning data'!AK865</f>
        <v>0</v>
      </c>
      <c r="AJ867" s="111">
        <f>'Supply planning data'!AL865</f>
        <v>0</v>
      </c>
      <c r="AK867" s="111">
        <f>'Supply planning data'!AM865</f>
        <v>0</v>
      </c>
      <c r="AL867" s="111">
        <f>'Supply planning data'!AN865</f>
        <v>0</v>
      </c>
      <c r="AM867" s="327" t="str">
        <f>'Supply planning data'!AO865</f>
        <v/>
      </c>
    </row>
    <row r="868" spans="1:39" hidden="1" x14ac:dyDescent="0.25">
      <c r="A868" s="104" t="str">
        <f>'Supply planning data'!C866</f>
        <v/>
      </c>
      <c r="B868" s="298">
        <f>'Supply planning data'!D866</f>
        <v>45931</v>
      </c>
      <c r="C868" s="105" t="str">
        <f>'Supply planning data'!E866</f>
        <v>No</v>
      </c>
      <c r="D868" s="105">
        <f>'Supply planning data'!F866</f>
        <v>0</v>
      </c>
      <c r="E868" s="320">
        <f>'Supply planning data'!G866</f>
        <v>0</v>
      </c>
      <c r="F868" s="320">
        <f>'Supply planning data'!H866</f>
        <v>0</v>
      </c>
      <c r="G868" s="320">
        <f>'Supply planning data'!I866</f>
        <v>0</v>
      </c>
      <c r="H868" s="105">
        <f>'Supply planning data'!J866</f>
        <v>0</v>
      </c>
      <c r="I868" s="320">
        <f>'Supply planning data'!K866</f>
        <v>0</v>
      </c>
      <c r="J868" s="177" t="str">
        <f>'Supply planning data'!L866</f>
        <v/>
      </c>
      <c r="K868" s="105">
        <f>'Supply planning data'!M866</f>
        <v>0</v>
      </c>
      <c r="L868" s="321">
        <f>'Supply planning data'!N866+'Supply planning data'!P866</f>
        <v>0</v>
      </c>
      <c r="M868" s="342">
        <f>'Supply planning data'!O866</f>
        <v>0</v>
      </c>
      <c r="N868" s="321">
        <f>'Supply planning data'!P866</f>
        <v>0</v>
      </c>
      <c r="O868" s="342">
        <f>'Supply planning data'!Q866</f>
        <v>0</v>
      </c>
      <c r="P868" s="111">
        <f>'Supply planning data'!R866</f>
        <v>0</v>
      </c>
      <c r="Q868" s="111">
        <f>'Supply planning data'!S866</f>
        <v>0</v>
      </c>
      <c r="R868" s="111">
        <f>'Supply planning data'!T866</f>
        <v>0</v>
      </c>
      <c r="S868" s="111">
        <f>'Supply planning data'!U866</f>
        <v>0</v>
      </c>
      <c r="T868" s="111">
        <f>'Supply planning data'!V866</f>
        <v>0</v>
      </c>
      <c r="U868" s="327" t="str">
        <f>'Supply planning data'!W866</f>
        <v/>
      </c>
      <c r="V868" s="111">
        <f>'Supply planning data'!X866</f>
        <v>0</v>
      </c>
      <c r="W868" s="321">
        <f>'Supply planning data'!Y866</f>
        <v>0</v>
      </c>
      <c r="X868" s="329">
        <f>'Supply planning data'!Z866</f>
        <v>0</v>
      </c>
      <c r="Y868" s="111">
        <f>'Supply planning data'!AA866</f>
        <v>0</v>
      </c>
      <c r="Z868" s="111">
        <f>'Supply planning data'!AB866</f>
        <v>0</v>
      </c>
      <c r="AA868" s="111">
        <f>'Supply planning data'!AC866</f>
        <v>0</v>
      </c>
      <c r="AB868" s="111">
        <f>'Supply planning data'!AD866</f>
        <v>0</v>
      </c>
      <c r="AC868" s="111">
        <f>'Supply planning data'!AE866</f>
        <v>0</v>
      </c>
      <c r="AD868" s="327" t="str">
        <f>'Supply planning data'!AF866</f>
        <v/>
      </c>
      <c r="AE868" s="111">
        <f>'Supply planning data'!AG866</f>
        <v>0</v>
      </c>
      <c r="AF868" s="321">
        <f>'Supply planning data'!AH866</f>
        <v>0</v>
      </c>
      <c r="AG868" s="349">
        <f>'Supply planning data'!AI866</f>
        <v>0</v>
      </c>
      <c r="AH868" s="111">
        <f>'Supply planning data'!AJ866</f>
        <v>0</v>
      </c>
      <c r="AI868" s="111">
        <f>'Supply planning data'!AK866</f>
        <v>0</v>
      </c>
      <c r="AJ868" s="111">
        <f>'Supply planning data'!AL866</f>
        <v>0</v>
      </c>
      <c r="AK868" s="111">
        <f>'Supply planning data'!AM866</f>
        <v>0</v>
      </c>
      <c r="AL868" s="111">
        <f>'Supply planning data'!AN866</f>
        <v>0</v>
      </c>
      <c r="AM868" s="327" t="str">
        <f>'Supply planning data'!AO866</f>
        <v/>
      </c>
    </row>
    <row r="869" spans="1:39" hidden="1" x14ac:dyDescent="0.25">
      <c r="A869" s="109" t="str">
        <f>'Supply planning data'!C867</f>
        <v/>
      </c>
      <c r="B869" s="298">
        <f>'Supply planning data'!D867</f>
        <v>45931</v>
      </c>
      <c r="C869" s="105" t="str">
        <f>'Supply planning data'!E867</f>
        <v>No</v>
      </c>
      <c r="D869" s="105">
        <f>'Supply planning data'!F867</f>
        <v>0</v>
      </c>
      <c r="E869" s="320">
        <f>'Supply planning data'!G867</f>
        <v>0</v>
      </c>
      <c r="F869" s="320">
        <f>'Supply planning data'!H867</f>
        <v>0</v>
      </c>
      <c r="G869" s="320">
        <f>'Supply planning data'!I867</f>
        <v>0</v>
      </c>
      <c r="H869" s="105">
        <f>'Supply planning data'!J867</f>
        <v>0</v>
      </c>
      <c r="I869" s="320">
        <f>'Supply planning data'!K867</f>
        <v>0</v>
      </c>
      <c r="J869" s="177" t="str">
        <f>'Supply planning data'!L867</f>
        <v/>
      </c>
      <c r="K869" s="105">
        <f>'Supply planning data'!M867</f>
        <v>0</v>
      </c>
      <c r="L869" s="321">
        <f>'Supply planning data'!N867+'Supply planning data'!P867</f>
        <v>0</v>
      </c>
      <c r="M869" s="342">
        <f>'Supply planning data'!O867</f>
        <v>0</v>
      </c>
      <c r="N869" s="321">
        <f>'Supply planning data'!P867</f>
        <v>0</v>
      </c>
      <c r="O869" s="342">
        <f>'Supply planning data'!Q867</f>
        <v>0</v>
      </c>
      <c r="P869" s="111">
        <f>'Supply planning data'!R867</f>
        <v>0</v>
      </c>
      <c r="Q869" s="111">
        <f>'Supply planning data'!S867</f>
        <v>0</v>
      </c>
      <c r="R869" s="111">
        <f>'Supply planning data'!T867</f>
        <v>0</v>
      </c>
      <c r="S869" s="111">
        <f>'Supply planning data'!U867</f>
        <v>0</v>
      </c>
      <c r="T869" s="111">
        <f>'Supply planning data'!V867</f>
        <v>0</v>
      </c>
      <c r="U869" s="327" t="str">
        <f>'Supply planning data'!W867</f>
        <v/>
      </c>
      <c r="V869" s="111">
        <f>'Supply planning data'!X867</f>
        <v>0</v>
      </c>
      <c r="W869" s="321">
        <f>'Supply planning data'!Y867</f>
        <v>0</v>
      </c>
      <c r="X869" s="329">
        <f>'Supply planning data'!Z867</f>
        <v>0</v>
      </c>
      <c r="Y869" s="111">
        <f>'Supply planning data'!AA867</f>
        <v>0</v>
      </c>
      <c r="Z869" s="111">
        <f>'Supply planning data'!AB867</f>
        <v>0</v>
      </c>
      <c r="AA869" s="111">
        <f>'Supply planning data'!AC867</f>
        <v>0</v>
      </c>
      <c r="AB869" s="111">
        <f>'Supply planning data'!AD867</f>
        <v>0</v>
      </c>
      <c r="AC869" s="111">
        <f>'Supply planning data'!AE867</f>
        <v>0</v>
      </c>
      <c r="AD869" s="327" t="str">
        <f>'Supply planning data'!AF867</f>
        <v/>
      </c>
      <c r="AE869" s="111">
        <f>'Supply planning data'!AG867</f>
        <v>0</v>
      </c>
      <c r="AF869" s="321">
        <f>'Supply planning data'!AH867</f>
        <v>0</v>
      </c>
      <c r="AG869" s="349">
        <f>'Supply planning data'!AI867</f>
        <v>0</v>
      </c>
      <c r="AH869" s="111">
        <f>'Supply planning data'!AJ867</f>
        <v>0</v>
      </c>
      <c r="AI869" s="111">
        <f>'Supply planning data'!AK867</f>
        <v>0</v>
      </c>
      <c r="AJ869" s="111">
        <f>'Supply planning data'!AL867</f>
        <v>0</v>
      </c>
      <c r="AK869" s="111">
        <f>'Supply planning data'!AM867</f>
        <v>0</v>
      </c>
      <c r="AL869" s="111">
        <f>'Supply planning data'!AN867</f>
        <v>0</v>
      </c>
      <c r="AM869" s="327" t="str">
        <f>'Supply planning data'!AO867</f>
        <v/>
      </c>
    </row>
    <row r="870" spans="1:39" hidden="1" x14ac:dyDescent="0.25">
      <c r="A870" s="104" t="str">
        <f>'Supply planning data'!C868</f>
        <v/>
      </c>
      <c r="B870" s="298">
        <f>'Supply planning data'!D868</f>
        <v>45931</v>
      </c>
      <c r="C870" s="105" t="str">
        <f>'Supply planning data'!E868</f>
        <v>No</v>
      </c>
      <c r="D870" s="105">
        <f>'Supply planning data'!F868</f>
        <v>0</v>
      </c>
      <c r="E870" s="320">
        <f>'Supply planning data'!G868</f>
        <v>0</v>
      </c>
      <c r="F870" s="320">
        <f>'Supply planning data'!H868</f>
        <v>0</v>
      </c>
      <c r="G870" s="320">
        <f>'Supply planning data'!I868</f>
        <v>0</v>
      </c>
      <c r="H870" s="105">
        <f>'Supply planning data'!J868</f>
        <v>0</v>
      </c>
      <c r="I870" s="320">
        <f>'Supply planning data'!K868</f>
        <v>0</v>
      </c>
      <c r="J870" s="177" t="str">
        <f>'Supply planning data'!L868</f>
        <v/>
      </c>
      <c r="K870" s="105">
        <f>'Supply planning data'!M868</f>
        <v>0</v>
      </c>
      <c r="L870" s="321">
        <f>'Supply planning data'!N868+'Supply planning data'!P868</f>
        <v>0</v>
      </c>
      <c r="M870" s="342">
        <f>'Supply planning data'!O868</f>
        <v>0</v>
      </c>
      <c r="N870" s="321">
        <f>'Supply planning data'!P868</f>
        <v>0</v>
      </c>
      <c r="O870" s="342">
        <f>'Supply planning data'!Q868</f>
        <v>0</v>
      </c>
      <c r="P870" s="111">
        <f>'Supply planning data'!R868</f>
        <v>0</v>
      </c>
      <c r="Q870" s="111">
        <f>'Supply planning data'!S868</f>
        <v>0</v>
      </c>
      <c r="R870" s="111">
        <f>'Supply planning data'!T868</f>
        <v>0</v>
      </c>
      <c r="S870" s="111">
        <f>'Supply planning data'!U868</f>
        <v>0</v>
      </c>
      <c r="T870" s="111">
        <f>'Supply planning data'!V868</f>
        <v>0</v>
      </c>
      <c r="U870" s="327" t="str">
        <f>'Supply planning data'!W868</f>
        <v/>
      </c>
      <c r="V870" s="111">
        <f>'Supply planning data'!X868</f>
        <v>0</v>
      </c>
      <c r="W870" s="321">
        <f>'Supply planning data'!Y868</f>
        <v>0</v>
      </c>
      <c r="X870" s="329">
        <f>'Supply planning data'!Z868</f>
        <v>0</v>
      </c>
      <c r="Y870" s="111">
        <f>'Supply planning data'!AA868</f>
        <v>0</v>
      </c>
      <c r="Z870" s="111">
        <f>'Supply planning data'!AB868</f>
        <v>0</v>
      </c>
      <c r="AA870" s="111">
        <f>'Supply planning data'!AC868</f>
        <v>0</v>
      </c>
      <c r="AB870" s="111">
        <f>'Supply planning data'!AD868</f>
        <v>0</v>
      </c>
      <c r="AC870" s="111">
        <f>'Supply planning data'!AE868</f>
        <v>0</v>
      </c>
      <c r="AD870" s="327" t="str">
        <f>'Supply planning data'!AF868</f>
        <v/>
      </c>
      <c r="AE870" s="111">
        <f>'Supply planning data'!AG868</f>
        <v>0</v>
      </c>
      <c r="AF870" s="321">
        <f>'Supply planning data'!AH868</f>
        <v>0</v>
      </c>
      <c r="AG870" s="349">
        <f>'Supply planning data'!AI868</f>
        <v>0</v>
      </c>
      <c r="AH870" s="111">
        <f>'Supply planning data'!AJ868</f>
        <v>0</v>
      </c>
      <c r="AI870" s="111">
        <f>'Supply planning data'!AK868</f>
        <v>0</v>
      </c>
      <c r="AJ870" s="111">
        <f>'Supply planning data'!AL868</f>
        <v>0</v>
      </c>
      <c r="AK870" s="111">
        <f>'Supply planning data'!AM868</f>
        <v>0</v>
      </c>
      <c r="AL870" s="111">
        <f>'Supply planning data'!AN868</f>
        <v>0</v>
      </c>
      <c r="AM870" s="327" t="str">
        <f>'Supply planning data'!AO868</f>
        <v/>
      </c>
    </row>
    <row r="871" spans="1:39" hidden="1" x14ac:dyDescent="0.25">
      <c r="A871" s="109" t="str">
        <f>'Supply planning data'!C869</f>
        <v/>
      </c>
      <c r="B871" s="298">
        <f>'Supply planning data'!D869</f>
        <v>45931</v>
      </c>
      <c r="C871" s="105" t="str">
        <f>'Supply planning data'!E869</f>
        <v>No</v>
      </c>
      <c r="D871" s="105">
        <f>'Supply planning data'!F869</f>
        <v>0</v>
      </c>
      <c r="E871" s="320">
        <f>'Supply planning data'!G869</f>
        <v>0</v>
      </c>
      <c r="F871" s="320">
        <f>'Supply planning data'!H869</f>
        <v>0</v>
      </c>
      <c r="G871" s="320">
        <f>'Supply planning data'!I869</f>
        <v>0</v>
      </c>
      <c r="H871" s="105">
        <f>'Supply planning data'!J869</f>
        <v>0</v>
      </c>
      <c r="I871" s="320">
        <f>'Supply planning data'!K869</f>
        <v>0</v>
      </c>
      <c r="J871" s="177" t="str">
        <f>'Supply planning data'!L869</f>
        <v/>
      </c>
      <c r="K871" s="105">
        <f>'Supply planning data'!M869</f>
        <v>0</v>
      </c>
      <c r="L871" s="321">
        <f>'Supply planning data'!N869+'Supply planning data'!P869</f>
        <v>0</v>
      </c>
      <c r="M871" s="342">
        <f>'Supply planning data'!O869</f>
        <v>0</v>
      </c>
      <c r="N871" s="321">
        <f>'Supply planning data'!P869</f>
        <v>0</v>
      </c>
      <c r="O871" s="342">
        <f>'Supply planning data'!Q869</f>
        <v>0</v>
      </c>
      <c r="P871" s="111">
        <f>'Supply planning data'!R869</f>
        <v>0</v>
      </c>
      <c r="Q871" s="111">
        <f>'Supply planning data'!S869</f>
        <v>0</v>
      </c>
      <c r="R871" s="111">
        <f>'Supply planning data'!T869</f>
        <v>0</v>
      </c>
      <c r="S871" s="111">
        <f>'Supply planning data'!U869</f>
        <v>0</v>
      </c>
      <c r="T871" s="111">
        <f>'Supply planning data'!V869</f>
        <v>0</v>
      </c>
      <c r="U871" s="327" t="str">
        <f>'Supply planning data'!W869</f>
        <v/>
      </c>
      <c r="V871" s="111">
        <f>'Supply planning data'!X869</f>
        <v>0</v>
      </c>
      <c r="W871" s="321">
        <f>'Supply planning data'!Y869</f>
        <v>0</v>
      </c>
      <c r="X871" s="329">
        <f>'Supply planning data'!Z869</f>
        <v>0</v>
      </c>
      <c r="Y871" s="111">
        <f>'Supply planning data'!AA869</f>
        <v>0</v>
      </c>
      <c r="Z871" s="111">
        <f>'Supply planning data'!AB869</f>
        <v>0</v>
      </c>
      <c r="AA871" s="111">
        <f>'Supply planning data'!AC869</f>
        <v>0</v>
      </c>
      <c r="AB871" s="111">
        <f>'Supply planning data'!AD869</f>
        <v>0</v>
      </c>
      <c r="AC871" s="111">
        <f>'Supply planning data'!AE869</f>
        <v>0</v>
      </c>
      <c r="AD871" s="327" t="str">
        <f>'Supply planning data'!AF869</f>
        <v/>
      </c>
      <c r="AE871" s="111">
        <f>'Supply planning data'!AG869</f>
        <v>0</v>
      </c>
      <c r="AF871" s="321">
        <f>'Supply planning data'!AH869</f>
        <v>0</v>
      </c>
      <c r="AG871" s="349">
        <f>'Supply planning data'!AI869</f>
        <v>0</v>
      </c>
      <c r="AH871" s="111">
        <f>'Supply planning data'!AJ869</f>
        <v>0</v>
      </c>
      <c r="AI871" s="111">
        <f>'Supply planning data'!AK869</f>
        <v>0</v>
      </c>
      <c r="AJ871" s="111">
        <f>'Supply planning data'!AL869</f>
        <v>0</v>
      </c>
      <c r="AK871" s="111">
        <f>'Supply planning data'!AM869</f>
        <v>0</v>
      </c>
      <c r="AL871" s="111">
        <f>'Supply planning data'!AN869</f>
        <v>0</v>
      </c>
      <c r="AM871" s="327" t="str">
        <f>'Supply planning data'!AO869</f>
        <v/>
      </c>
    </row>
    <row r="872" spans="1:39" hidden="1" x14ac:dyDescent="0.25">
      <c r="A872" s="104" t="str">
        <f>'Supply planning data'!C870</f>
        <v/>
      </c>
      <c r="B872" s="298">
        <f>'Supply planning data'!D870</f>
        <v>45931</v>
      </c>
      <c r="C872" s="105" t="str">
        <f>'Supply planning data'!E870</f>
        <v>No</v>
      </c>
      <c r="D872" s="105">
        <f>'Supply planning data'!F870</f>
        <v>0</v>
      </c>
      <c r="E872" s="320">
        <f>'Supply planning data'!G870</f>
        <v>0</v>
      </c>
      <c r="F872" s="320">
        <f>'Supply planning data'!H870</f>
        <v>0</v>
      </c>
      <c r="G872" s="320">
        <f>'Supply planning data'!I870</f>
        <v>0</v>
      </c>
      <c r="H872" s="105">
        <f>'Supply planning data'!J870</f>
        <v>0</v>
      </c>
      <c r="I872" s="320">
        <f>'Supply planning data'!K870</f>
        <v>0</v>
      </c>
      <c r="J872" s="177" t="str">
        <f>'Supply planning data'!L870</f>
        <v/>
      </c>
      <c r="K872" s="105">
        <f>'Supply planning data'!M870</f>
        <v>0</v>
      </c>
      <c r="L872" s="321">
        <f>'Supply planning data'!N870+'Supply planning data'!P870</f>
        <v>0</v>
      </c>
      <c r="M872" s="342">
        <f>'Supply planning data'!O870</f>
        <v>0</v>
      </c>
      <c r="N872" s="321">
        <f>'Supply planning data'!P870</f>
        <v>0</v>
      </c>
      <c r="O872" s="342">
        <f>'Supply planning data'!Q870</f>
        <v>0</v>
      </c>
      <c r="P872" s="111">
        <f>'Supply planning data'!R870</f>
        <v>0</v>
      </c>
      <c r="Q872" s="111">
        <f>'Supply planning data'!S870</f>
        <v>0</v>
      </c>
      <c r="R872" s="111">
        <f>'Supply planning data'!T870</f>
        <v>0</v>
      </c>
      <c r="S872" s="111">
        <f>'Supply planning data'!U870</f>
        <v>0</v>
      </c>
      <c r="T872" s="111">
        <f>'Supply planning data'!V870</f>
        <v>0</v>
      </c>
      <c r="U872" s="327" t="str">
        <f>'Supply planning data'!W870</f>
        <v/>
      </c>
      <c r="V872" s="111">
        <f>'Supply planning data'!X870</f>
        <v>0</v>
      </c>
      <c r="W872" s="321">
        <f>'Supply planning data'!Y870</f>
        <v>0</v>
      </c>
      <c r="X872" s="329">
        <f>'Supply planning data'!Z870</f>
        <v>0</v>
      </c>
      <c r="Y872" s="111">
        <f>'Supply planning data'!AA870</f>
        <v>0</v>
      </c>
      <c r="Z872" s="111">
        <f>'Supply planning data'!AB870</f>
        <v>0</v>
      </c>
      <c r="AA872" s="111">
        <f>'Supply planning data'!AC870</f>
        <v>0</v>
      </c>
      <c r="AB872" s="111">
        <f>'Supply planning data'!AD870</f>
        <v>0</v>
      </c>
      <c r="AC872" s="111">
        <f>'Supply planning data'!AE870</f>
        <v>0</v>
      </c>
      <c r="AD872" s="327" t="str">
        <f>'Supply planning data'!AF870</f>
        <v/>
      </c>
      <c r="AE872" s="111">
        <f>'Supply planning data'!AG870</f>
        <v>0</v>
      </c>
      <c r="AF872" s="321">
        <f>'Supply planning data'!AH870</f>
        <v>0</v>
      </c>
      <c r="AG872" s="349">
        <f>'Supply planning data'!AI870</f>
        <v>0</v>
      </c>
      <c r="AH872" s="111">
        <f>'Supply planning data'!AJ870</f>
        <v>0</v>
      </c>
      <c r="AI872" s="111">
        <f>'Supply planning data'!AK870</f>
        <v>0</v>
      </c>
      <c r="AJ872" s="111">
        <f>'Supply planning data'!AL870</f>
        <v>0</v>
      </c>
      <c r="AK872" s="111">
        <f>'Supply planning data'!AM870</f>
        <v>0</v>
      </c>
      <c r="AL872" s="111">
        <f>'Supply planning data'!AN870</f>
        <v>0</v>
      </c>
      <c r="AM872" s="327" t="str">
        <f>'Supply planning data'!AO870</f>
        <v/>
      </c>
    </row>
    <row r="873" spans="1:39" hidden="1" x14ac:dyDescent="0.25">
      <c r="A873" s="109" t="str">
        <f>'Supply planning data'!C871</f>
        <v/>
      </c>
      <c r="B873" s="298">
        <f>'Supply planning data'!D871</f>
        <v>45931</v>
      </c>
      <c r="C873" s="105" t="str">
        <f>'Supply planning data'!E871</f>
        <v>No</v>
      </c>
      <c r="D873" s="105">
        <f>'Supply planning data'!F871</f>
        <v>0</v>
      </c>
      <c r="E873" s="320">
        <f>'Supply planning data'!G871</f>
        <v>0</v>
      </c>
      <c r="F873" s="320">
        <f>'Supply planning data'!H871</f>
        <v>0</v>
      </c>
      <c r="G873" s="320">
        <f>'Supply planning data'!I871</f>
        <v>0</v>
      </c>
      <c r="H873" s="105">
        <f>'Supply planning data'!J871</f>
        <v>0</v>
      </c>
      <c r="I873" s="320">
        <f>'Supply planning data'!K871</f>
        <v>0</v>
      </c>
      <c r="J873" s="177" t="str">
        <f>'Supply planning data'!L871</f>
        <v/>
      </c>
      <c r="K873" s="105">
        <f>'Supply planning data'!M871</f>
        <v>0</v>
      </c>
      <c r="L873" s="321">
        <f>'Supply planning data'!N871+'Supply planning data'!P871</f>
        <v>0</v>
      </c>
      <c r="M873" s="342">
        <f>'Supply planning data'!O871</f>
        <v>0</v>
      </c>
      <c r="N873" s="321">
        <f>'Supply planning data'!P871</f>
        <v>0</v>
      </c>
      <c r="O873" s="342">
        <f>'Supply planning data'!Q871</f>
        <v>0</v>
      </c>
      <c r="P873" s="111">
        <f>'Supply planning data'!R871</f>
        <v>0</v>
      </c>
      <c r="Q873" s="111">
        <f>'Supply planning data'!S871</f>
        <v>0</v>
      </c>
      <c r="R873" s="111">
        <f>'Supply planning data'!T871</f>
        <v>0</v>
      </c>
      <c r="S873" s="111">
        <f>'Supply planning data'!U871</f>
        <v>0</v>
      </c>
      <c r="T873" s="111">
        <f>'Supply planning data'!V871</f>
        <v>0</v>
      </c>
      <c r="U873" s="327" t="str">
        <f>'Supply planning data'!W871</f>
        <v/>
      </c>
      <c r="V873" s="111">
        <f>'Supply planning data'!X871</f>
        <v>0</v>
      </c>
      <c r="W873" s="321">
        <f>'Supply planning data'!Y871</f>
        <v>0</v>
      </c>
      <c r="X873" s="329">
        <f>'Supply planning data'!Z871</f>
        <v>0</v>
      </c>
      <c r="Y873" s="111">
        <f>'Supply planning data'!AA871</f>
        <v>0</v>
      </c>
      <c r="Z873" s="111">
        <f>'Supply planning data'!AB871</f>
        <v>0</v>
      </c>
      <c r="AA873" s="111">
        <f>'Supply planning data'!AC871</f>
        <v>0</v>
      </c>
      <c r="AB873" s="111">
        <f>'Supply planning data'!AD871</f>
        <v>0</v>
      </c>
      <c r="AC873" s="111">
        <f>'Supply planning data'!AE871</f>
        <v>0</v>
      </c>
      <c r="AD873" s="327" t="str">
        <f>'Supply planning data'!AF871</f>
        <v/>
      </c>
      <c r="AE873" s="111">
        <f>'Supply planning data'!AG871</f>
        <v>0</v>
      </c>
      <c r="AF873" s="321">
        <f>'Supply planning data'!AH871</f>
        <v>0</v>
      </c>
      <c r="AG873" s="349">
        <f>'Supply planning data'!AI871</f>
        <v>0</v>
      </c>
      <c r="AH873" s="111">
        <f>'Supply planning data'!AJ871</f>
        <v>0</v>
      </c>
      <c r="AI873" s="111">
        <f>'Supply planning data'!AK871</f>
        <v>0</v>
      </c>
      <c r="AJ873" s="111">
        <f>'Supply planning data'!AL871</f>
        <v>0</v>
      </c>
      <c r="AK873" s="111">
        <f>'Supply planning data'!AM871</f>
        <v>0</v>
      </c>
      <c r="AL873" s="111">
        <f>'Supply planning data'!AN871</f>
        <v>0</v>
      </c>
      <c r="AM873" s="327" t="str">
        <f>'Supply planning data'!AO871</f>
        <v/>
      </c>
    </row>
    <row r="874" spans="1:39" hidden="1" x14ac:dyDescent="0.25">
      <c r="A874" s="104" t="str">
        <f>'Supply planning data'!C872</f>
        <v/>
      </c>
      <c r="B874" s="298">
        <f>'Supply planning data'!D872</f>
        <v>45931</v>
      </c>
      <c r="C874" s="105" t="str">
        <f>'Supply planning data'!E872</f>
        <v>No</v>
      </c>
      <c r="D874" s="105">
        <f>'Supply planning data'!F872</f>
        <v>0</v>
      </c>
      <c r="E874" s="320">
        <f>'Supply planning data'!G872</f>
        <v>0</v>
      </c>
      <c r="F874" s="320">
        <f>'Supply planning data'!H872</f>
        <v>0</v>
      </c>
      <c r="G874" s="320">
        <f>'Supply planning data'!I872</f>
        <v>0</v>
      </c>
      <c r="H874" s="105">
        <f>'Supply planning data'!J872</f>
        <v>0</v>
      </c>
      <c r="I874" s="320">
        <f>'Supply planning data'!K872</f>
        <v>0</v>
      </c>
      <c r="J874" s="177" t="str">
        <f>'Supply planning data'!L872</f>
        <v/>
      </c>
      <c r="K874" s="105">
        <f>'Supply planning data'!M872</f>
        <v>0</v>
      </c>
      <c r="L874" s="321">
        <f>'Supply planning data'!N872+'Supply planning data'!P872</f>
        <v>0</v>
      </c>
      <c r="M874" s="342">
        <f>'Supply planning data'!O872</f>
        <v>0</v>
      </c>
      <c r="N874" s="321">
        <f>'Supply planning data'!P872</f>
        <v>0</v>
      </c>
      <c r="O874" s="342">
        <f>'Supply planning data'!Q872</f>
        <v>0</v>
      </c>
      <c r="P874" s="111">
        <f>'Supply planning data'!R872</f>
        <v>0</v>
      </c>
      <c r="Q874" s="111">
        <f>'Supply planning data'!S872</f>
        <v>0</v>
      </c>
      <c r="R874" s="111">
        <f>'Supply planning data'!T872</f>
        <v>0</v>
      </c>
      <c r="S874" s="111">
        <f>'Supply planning data'!U872</f>
        <v>0</v>
      </c>
      <c r="T874" s="111">
        <f>'Supply planning data'!V872</f>
        <v>0</v>
      </c>
      <c r="U874" s="327" t="str">
        <f>'Supply planning data'!W872</f>
        <v/>
      </c>
      <c r="V874" s="111">
        <f>'Supply planning data'!X872</f>
        <v>0</v>
      </c>
      <c r="W874" s="321">
        <f>'Supply planning data'!Y872</f>
        <v>0</v>
      </c>
      <c r="X874" s="329">
        <f>'Supply planning data'!Z872</f>
        <v>0</v>
      </c>
      <c r="Y874" s="111">
        <f>'Supply planning data'!AA872</f>
        <v>0</v>
      </c>
      <c r="Z874" s="111">
        <f>'Supply planning data'!AB872</f>
        <v>0</v>
      </c>
      <c r="AA874" s="111">
        <f>'Supply planning data'!AC872</f>
        <v>0</v>
      </c>
      <c r="AB874" s="111">
        <f>'Supply planning data'!AD872</f>
        <v>0</v>
      </c>
      <c r="AC874" s="111">
        <f>'Supply planning data'!AE872</f>
        <v>0</v>
      </c>
      <c r="AD874" s="327" t="str">
        <f>'Supply planning data'!AF872</f>
        <v/>
      </c>
      <c r="AE874" s="111">
        <f>'Supply planning data'!AG872</f>
        <v>0</v>
      </c>
      <c r="AF874" s="321">
        <f>'Supply planning data'!AH872</f>
        <v>0</v>
      </c>
      <c r="AG874" s="349">
        <f>'Supply planning data'!AI872</f>
        <v>0</v>
      </c>
      <c r="AH874" s="111">
        <f>'Supply planning data'!AJ872</f>
        <v>0</v>
      </c>
      <c r="AI874" s="111">
        <f>'Supply planning data'!AK872</f>
        <v>0</v>
      </c>
      <c r="AJ874" s="111">
        <f>'Supply planning data'!AL872</f>
        <v>0</v>
      </c>
      <c r="AK874" s="111">
        <f>'Supply planning data'!AM872</f>
        <v>0</v>
      </c>
      <c r="AL874" s="111">
        <f>'Supply planning data'!AN872</f>
        <v>0</v>
      </c>
      <c r="AM874" s="327" t="str">
        <f>'Supply planning data'!AO872</f>
        <v/>
      </c>
    </row>
    <row r="875" spans="1:39" hidden="1" x14ac:dyDescent="0.25">
      <c r="A875" s="109" t="str">
        <f>'Supply planning data'!C873</f>
        <v/>
      </c>
      <c r="B875" s="298">
        <f>'Supply planning data'!D873</f>
        <v>45931</v>
      </c>
      <c r="C875" s="105" t="str">
        <f>'Supply planning data'!E873</f>
        <v>No</v>
      </c>
      <c r="D875" s="105">
        <f>'Supply planning data'!F873</f>
        <v>0</v>
      </c>
      <c r="E875" s="320">
        <f>'Supply planning data'!G873</f>
        <v>0</v>
      </c>
      <c r="F875" s="320">
        <f>'Supply planning data'!H873</f>
        <v>0</v>
      </c>
      <c r="G875" s="320">
        <f>'Supply planning data'!I873</f>
        <v>0</v>
      </c>
      <c r="H875" s="105">
        <f>'Supply planning data'!J873</f>
        <v>0</v>
      </c>
      <c r="I875" s="320">
        <f>'Supply planning data'!K873</f>
        <v>0</v>
      </c>
      <c r="J875" s="177" t="str">
        <f>'Supply planning data'!L873</f>
        <v/>
      </c>
      <c r="K875" s="105">
        <f>'Supply planning data'!M873</f>
        <v>0</v>
      </c>
      <c r="L875" s="321">
        <f>'Supply planning data'!N873+'Supply planning data'!P873</f>
        <v>0</v>
      </c>
      <c r="M875" s="342">
        <f>'Supply planning data'!O873</f>
        <v>0</v>
      </c>
      <c r="N875" s="321">
        <f>'Supply planning data'!P873</f>
        <v>0</v>
      </c>
      <c r="O875" s="342">
        <f>'Supply planning data'!Q873</f>
        <v>0</v>
      </c>
      <c r="P875" s="111">
        <f>'Supply planning data'!R873</f>
        <v>0</v>
      </c>
      <c r="Q875" s="111">
        <f>'Supply planning data'!S873</f>
        <v>0</v>
      </c>
      <c r="R875" s="111">
        <f>'Supply planning data'!T873</f>
        <v>0</v>
      </c>
      <c r="S875" s="111">
        <f>'Supply planning data'!U873</f>
        <v>0</v>
      </c>
      <c r="T875" s="111">
        <f>'Supply planning data'!V873</f>
        <v>0</v>
      </c>
      <c r="U875" s="327" t="str">
        <f>'Supply planning data'!W873</f>
        <v/>
      </c>
      <c r="V875" s="111">
        <f>'Supply planning data'!X873</f>
        <v>0</v>
      </c>
      <c r="W875" s="321">
        <f>'Supply planning data'!Y873</f>
        <v>0</v>
      </c>
      <c r="X875" s="329">
        <f>'Supply planning data'!Z873</f>
        <v>0</v>
      </c>
      <c r="Y875" s="111">
        <f>'Supply planning data'!AA873</f>
        <v>0</v>
      </c>
      <c r="Z875" s="111">
        <f>'Supply planning data'!AB873</f>
        <v>0</v>
      </c>
      <c r="AA875" s="111">
        <f>'Supply planning data'!AC873</f>
        <v>0</v>
      </c>
      <c r="AB875" s="111">
        <f>'Supply planning data'!AD873</f>
        <v>0</v>
      </c>
      <c r="AC875" s="111">
        <f>'Supply planning data'!AE873</f>
        <v>0</v>
      </c>
      <c r="AD875" s="327" t="str">
        <f>'Supply planning data'!AF873</f>
        <v/>
      </c>
      <c r="AE875" s="111">
        <f>'Supply planning data'!AG873</f>
        <v>0</v>
      </c>
      <c r="AF875" s="321">
        <f>'Supply planning data'!AH873</f>
        <v>0</v>
      </c>
      <c r="AG875" s="349">
        <f>'Supply planning data'!AI873</f>
        <v>0</v>
      </c>
      <c r="AH875" s="111">
        <f>'Supply planning data'!AJ873</f>
        <v>0</v>
      </c>
      <c r="AI875" s="111">
        <f>'Supply planning data'!AK873</f>
        <v>0</v>
      </c>
      <c r="AJ875" s="111">
        <f>'Supply planning data'!AL873</f>
        <v>0</v>
      </c>
      <c r="AK875" s="111">
        <f>'Supply planning data'!AM873</f>
        <v>0</v>
      </c>
      <c r="AL875" s="111">
        <f>'Supply planning data'!AN873</f>
        <v>0</v>
      </c>
      <c r="AM875" s="327" t="str">
        <f>'Supply planning data'!AO873</f>
        <v/>
      </c>
    </row>
    <row r="876" spans="1:39" hidden="1" x14ac:dyDescent="0.25">
      <c r="A876" s="104" t="str">
        <f>'Supply planning data'!C874</f>
        <v/>
      </c>
      <c r="B876" s="298">
        <f>'Supply planning data'!D874</f>
        <v>45931</v>
      </c>
      <c r="C876" s="105" t="str">
        <f>'Supply planning data'!E874</f>
        <v>No</v>
      </c>
      <c r="D876" s="105">
        <f>'Supply planning data'!F874</f>
        <v>0</v>
      </c>
      <c r="E876" s="320">
        <f>'Supply planning data'!G874</f>
        <v>0</v>
      </c>
      <c r="F876" s="320">
        <f>'Supply planning data'!H874</f>
        <v>0</v>
      </c>
      <c r="G876" s="320">
        <f>'Supply planning data'!I874</f>
        <v>0</v>
      </c>
      <c r="H876" s="105">
        <f>'Supply planning data'!J874</f>
        <v>0</v>
      </c>
      <c r="I876" s="320">
        <f>'Supply planning data'!K874</f>
        <v>0</v>
      </c>
      <c r="J876" s="177" t="str">
        <f>'Supply planning data'!L874</f>
        <v/>
      </c>
      <c r="K876" s="105">
        <f>'Supply planning data'!M874</f>
        <v>0</v>
      </c>
      <c r="L876" s="321">
        <f>'Supply planning data'!N874+'Supply planning data'!P874</f>
        <v>0</v>
      </c>
      <c r="M876" s="342">
        <f>'Supply planning data'!O874</f>
        <v>0</v>
      </c>
      <c r="N876" s="321">
        <f>'Supply planning data'!P874</f>
        <v>0</v>
      </c>
      <c r="O876" s="342">
        <f>'Supply planning data'!Q874</f>
        <v>0</v>
      </c>
      <c r="P876" s="111">
        <f>'Supply planning data'!R874</f>
        <v>0</v>
      </c>
      <c r="Q876" s="111">
        <f>'Supply planning data'!S874</f>
        <v>0</v>
      </c>
      <c r="R876" s="111">
        <f>'Supply planning data'!T874</f>
        <v>0</v>
      </c>
      <c r="S876" s="111">
        <f>'Supply planning data'!U874</f>
        <v>0</v>
      </c>
      <c r="T876" s="111">
        <f>'Supply planning data'!V874</f>
        <v>0</v>
      </c>
      <c r="U876" s="327" t="str">
        <f>'Supply planning data'!W874</f>
        <v/>
      </c>
      <c r="V876" s="111">
        <f>'Supply planning data'!X874</f>
        <v>0</v>
      </c>
      <c r="W876" s="321">
        <f>'Supply planning data'!Y874</f>
        <v>0</v>
      </c>
      <c r="X876" s="329">
        <f>'Supply planning data'!Z874</f>
        <v>0</v>
      </c>
      <c r="Y876" s="111">
        <f>'Supply planning data'!AA874</f>
        <v>0</v>
      </c>
      <c r="Z876" s="111">
        <f>'Supply planning data'!AB874</f>
        <v>0</v>
      </c>
      <c r="AA876" s="111">
        <f>'Supply planning data'!AC874</f>
        <v>0</v>
      </c>
      <c r="AB876" s="111">
        <f>'Supply planning data'!AD874</f>
        <v>0</v>
      </c>
      <c r="AC876" s="111">
        <f>'Supply planning data'!AE874</f>
        <v>0</v>
      </c>
      <c r="AD876" s="327" t="str">
        <f>'Supply planning data'!AF874</f>
        <v/>
      </c>
      <c r="AE876" s="111">
        <f>'Supply planning data'!AG874</f>
        <v>0</v>
      </c>
      <c r="AF876" s="321">
        <f>'Supply planning data'!AH874</f>
        <v>0</v>
      </c>
      <c r="AG876" s="349">
        <f>'Supply planning data'!AI874</f>
        <v>0</v>
      </c>
      <c r="AH876" s="111">
        <f>'Supply planning data'!AJ874</f>
        <v>0</v>
      </c>
      <c r="AI876" s="111">
        <f>'Supply planning data'!AK874</f>
        <v>0</v>
      </c>
      <c r="AJ876" s="111">
        <f>'Supply planning data'!AL874</f>
        <v>0</v>
      </c>
      <c r="AK876" s="111">
        <f>'Supply planning data'!AM874</f>
        <v>0</v>
      </c>
      <c r="AL876" s="111">
        <f>'Supply planning data'!AN874</f>
        <v>0</v>
      </c>
      <c r="AM876" s="327" t="str">
        <f>'Supply planning data'!AO874</f>
        <v/>
      </c>
    </row>
    <row r="877" spans="1:39" x14ac:dyDescent="0.25">
      <c r="A877" s="90" t="str">
        <f>'Supply planning data'!C875</f>
        <v>AstraZeneca</v>
      </c>
      <c r="B877" s="296">
        <f>'Supply planning data'!D875</f>
        <v>45962</v>
      </c>
      <c r="C877" s="92" t="str">
        <f>'Supply planning data'!E875</f>
        <v>Yes</v>
      </c>
      <c r="D877" s="92">
        <f>'Supply planning data'!F875</f>
        <v>0</v>
      </c>
      <c r="E877" s="316">
        <f>'Supply planning data'!G875</f>
        <v>0</v>
      </c>
      <c r="F877" s="316">
        <f>'Supply planning data'!H875</f>
        <v>0</v>
      </c>
      <c r="G877" s="316">
        <f>'Supply planning data'!I875</f>
        <v>0</v>
      </c>
      <c r="H877" s="92">
        <f>'Supply planning data'!J875</f>
        <v>0</v>
      </c>
      <c r="I877" s="316">
        <f>'Supply planning data'!K875</f>
        <v>0</v>
      </c>
      <c r="J877" s="174" t="str">
        <f>'Supply planning data'!L875</f>
        <v/>
      </c>
      <c r="K877" s="92">
        <f>'Supply planning data'!M875</f>
        <v>0</v>
      </c>
      <c r="L877" s="316">
        <f>'Supply planning data'!N875+'Supply planning data'!P875</f>
        <v>0</v>
      </c>
      <c r="M877" s="343">
        <f>'Supply planning data'!O875</f>
        <v>0</v>
      </c>
      <c r="N877" s="316">
        <f>'Supply planning data'!P875</f>
        <v>0</v>
      </c>
      <c r="O877" s="343">
        <f>'Supply planning data'!Q875</f>
        <v>0</v>
      </c>
      <c r="P877" s="92">
        <f>'Supply planning data'!R875</f>
        <v>0</v>
      </c>
      <c r="Q877" s="92">
        <f>'Supply planning data'!S875</f>
        <v>0</v>
      </c>
      <c r="R877" s="92">
        <f>'Supply planning data'!T875</f>
        <v>0</v>
      </c>
      <c r="S877" s="92">
        <f>'Supply planning data'!U875</f>
        <v>0</v>
      </c>
      <c r="T877" s="92">
        <f>'Supply planning data'!V875</f>
        <v>0</v>
      </c>
      <c r="U877" s="324" t="str">
        <f>'Supply planning data'!W875</f>
        <v/>
      </c>
      <c r="V877" s="92">
        <f>'Supply planning data'!X875</f>
        <v>154701</v>
      </c>
      <c r="W877" s="316">
        <f>'Supply planning data'!Y875</f>
        <v>0</v>
      </c>
      <c r="X877" s="328">
        <f>'Supply planning data'!Z875</f>
        <v>0</v>
      </c>
      <c r="Y877" s="92">
        <f>'Supply planning data'!AA875</f>
        <v>0</v>
      </c>
      <c r="Z877" s="92">
        <f>'Supply planning data'!AB875</f>
        <v>0</v>
      </c>
      <c r="AA877" s="92">
        <f>'Supply planning data'!AC875</f>
        <v>0</v>
      </c>
      <c r="AB877" s="92">
        <f>'Supply planning data'!AD875</f>
        <v>0</v>
      </c>
      <c r="AC877" s="92">
        <f>'Supply planning data'!AE875</f>
        <v>154701</v>
      </c>
      <c r="AD877" s="324" t="str">
        <f>'Supply planning data'!AF875</f>
        <v/>
      </c>
      <c r="AE877" s="92">
        <f>'Supply planning data'!AG875</f>
        <v>0</v>
      </c>
      <c r="AF877" s="316">
        <f>'Supply planning data'!AH875</f>
        <v>0</v>
      </c>
      <c r="AG877" s="174">
        <f>'Supply planning data'!AI875</f>
        <v>0</v>
      </c>
      <c r="AH877" s="92">
        <f>'Supply planning data'!AJ875</f>
        <v>0</v>
      </c>
      <c r="AI877" s="92">
        <f>'Supply planning data'!AK875</f>
        <v>0</v>
      </c>
      <c r="AJ877" s="92">
        <f>'Supply planning data'!AL875</f>
        <v>0</v>
      </c>
      <c r="AK877" s="92">
        <f>'Supply planning data'!AM875</f>
        <v>0</v>
      </c>
      <c r="AL877" s="92">
        <f>'Supply planning data'!AN875</f>
        <v>0</v>
      </c>
      <c r="AM877" s="324" t="str">
        <f>'Supply planning data'!AO875</f>
        <v/>
      </c>
    </row>
    <row r="878" spans="1:39" x14ac:dyDescent="0.25">
      <c r="A878" s="90" t="str">
        <f>'Supply planning data'!C876</f>
        <v>Jansen</v>
      </c>
      <c r="B878" s="296">
        <f>'Supply planning data'!D876</f>
        <v>45962</v>
      </c>
      <c r="C878" s="92" t="str">
        <f>'Supply planning data'!E876</f>
        <v>Yes</v>
      </c>
      <c r="D878" s="92">
        <f>'Supply planning data'!F876</f>
        <v>1871200</v>
      </c>
      <c r="E878" s="316">
        <f>'Supply planning data'!G876</f>
        <v>0</v>
      </c>
      <c r="F878" s="317">
        <f>'Supply planning data'!H876</f>
        <v>0</v>
      </c>
      <c r="G878" s="317">
        <f>'Supply planning data'!I876</f>
        <v>0</v>
      </c>
      <c r="H878" s="98">
        <f>'Supply planning data'!J876</f>
        <v>0</v>
      </c>
      <c r="I878" s="317">
        <f>'Supply planning data'!K876</f>
        <v>0</v>
      </c>
      <c r="J878" s="175" t="str">
        <f>'Supply planning data'!L876</f>
        <v/>
      </c>
      <c r="K878" s="98">
        <f>'Supply planning data'!M876</f>
        <v>0</v>
      </c>
      <c r="L878" s="317">
        <f>'Supply planning data'!N876+'Supply planning data'!P876</f>
        <v>0</v>
      </c>
      <c r="M878" s="339">
        <f>'Supply planning data'!O876</f>
        <v>0</v>
      </c>
      <c r="N878" s="317">
        <f>'Supply planning data'!P876</f>
        <v>0</v>
      </c>
      <c r="O878" s="339">
        <f>'Supply planning data'!Q876</f>
        <v>0</v>
      </c>
      <c r="P878" s="98">
        <f>'Supply planning data'!R876</f>
        <v>0</v>
      </c>
      <c r="Q878" s="98">
        <f>'Supply planning data'!S876</f>
        <v>0</v>
      </c>
      <c r="R878" s="98">
        <f>'Supply planning data'!T876</f>
        <v>387547</v>
      </c>
      <c r="S878" s="98">
        <f>'Supply planning data'!U876</f>
        <v>0</v>
      </c>
      <c r="T878" s="98">
        <f>'Supply planning data'!V876</f>
        <v>1871200</v>
      </c>
      <c r="U878" s="325" t="str">
        <f>'Supply planning data'!W876</f>
        <v/>
      </c>
      <c r="V878" s="98">
        <f>'Supply planning data'!X876</f>
        <v>1311200</v>
      </c>
      <c r="W878" s="317">
        <f>'Supply planning data'!Y876</f>
        <v>0</v>
      </c>
      <c r="X878" s="328">
        <f>'Supply planning data'!Z876</f>
        <v>0</v>
      </c>
      <c r="Y878" s="98">
        <f>'Supply planning data'!AA876</f>
        <v>0</v>
      </c>
      <c r="Z878" s="98">
        <f>'Supply planning data'!AB876</f>
        <v>0</v>
      </c>
      <c r="AA878" s="98">
        <f>'Supply planning data'!AC876</f>
        <v>0</v>
      </c>
      <c r="AB878" s="98">
        <f>'Supply planning data'!AD876</f>
        <v>0</v>
      </c>
      <c r="AC878" s="98">
        <f>'Supply planning data'!AE876</f>
        <v>1311200</v>
      </c>
      <c r="AD878" s="325" t="str">
        <f>'Supply planning data'!AF876</f>
        <v/>
      </c>
      <c r="AE878" s="98">
        <f>'Supply planning data'!AG876</f>
        <v>1871200</v>
      </c>
      <c r="AF878" s="317">
        <f>'Supply planning data'!AH876</f>
        <v>0</v>
      </c>
      <c r="AG878" s="175">
        <f>'Supply planning data'!AI876</f>
        <v>0</v>
      </c>
      <c r="AH878" s="98">
        <f>'Supply planning data'!AJ876</f>
        <v>0</v>
      </c>
      <c r="AI878" s="98">
        <f>'Supply planning data'!AK876</f>
        <v>0</v>
      </c>
      <c r="AJ878" s="98">
        <f>'Supply planning data'!AL876</f>
        <v>387547</v>
      </c>
      <c r="AK878" s="98">
        <f>'Supply planning data'!AM876</f>
        <v>0</v>
      </c>
      <c r="AL878" s="98">
        <f>'Supply planning data'!AN876</f>
        <v>1871200</v>
      </c>
      <c r="AM878" s="325" t="str">
        <f>'Supply planning data'!AO876</f>
        <v/>
      </c>
    </row>
    <row r="879" spans="1:39" x14ac:dyDescent="0.25">
      <c r="A879" s="90" t="str">
        <f>'Supply planning data'!C877</f>
        <v>Moderna</v>
      </c>
      <c r="B879" s="296">
        <f>'Supply planning data'!D877</f>
        <v>45962</v>
      </c>
      <c r="C879" s="92" t="str">
        <f>'Supply planning data'!E877</f>
        <v>No</v>
      </c>
      <c r="D879" s="92">
        <f>'Supply planning data'!F877</f>
        <v>0</v>
      </c>
      <c r="E879" s="316">
        <f>'Supply planning data'!G877</f>
        <v>0</v>
      </c>
      <c r="F879" s="317">
        <f>'Supply planning data'!H877</f>
        <v>0</v>
      </c>
      <c r="G879" s="317">
        <f>'Supply planning data'!I877</f>
        <v>0</v>
      </c>
      <c r="H879" s="98">
        <f>'Supply planning data'!J877</f>
        <v>0</v>
      </c>
      <c r="I879" s="317">
        <f>'Supply planning data'!K877</f>
        <v>0</v>
      </c>
      <c r="J879" s="175" t="str">
        <f>'Supply planning data'!L877</f>
        <v/>
      </c>
      <c r="K879" s="98">
        <f>'Supply planning data'!M877</f>
        <v>0</v>
      </c>
      <c r="L879" s="317">
        <f>'Supply planning data'!N877+'Supply planning data'!P877</f>
        <v>0</v>
      </c>
      <c r="M879" s="339">
        <f>'Supply planning data'!O877</f>
        <v>0</v>
      </c>
      <c r="N879" s="317">
        <f>'Supply planning data'!P877</f>
        <v>0</v>
      </c>
      <c r="O879" s="339">
        <f>'Supply planning data'!Q877</f>
        <v>0</v>
      </c>
      <c r="P879" s="98">
        <f>'Supply planning data'!R877</f>
        <v>0</v>
      </c>
      <c r="Q879" s="98">
        <f>'Supply planning data'!S877</f>
        <v>0</v>
      </c>
      <c r="R879" s="98">
        <f>'Supply planning data'!T877</f>
        <v>0</v>
      </c>
      <c r="S879" s="98">
        <f>'Supply planning data'!U877</f>
        <v>0</v>
      </c>
      <c r="T879" s="98">
        <f>'Supply planning data'!V877</f>
        <v>0</v>
      </c>
      <c r="U879" s="325" t="str">
        <f>'Supply planning data'!W877</f>
        <v/>
      </c>
      <c r="V879" s="98">
        <f>'Supply planning data'!X877</f>
        <v>0</v>
      </c>
      <c r="W879" s="317">
        <f>'Supply planning data'!Y877</f>
        <v>0</v>
      </c>
      <c r="X879" s="328">
        <f>'Supply planning data'!Z877</f>
        <v>0</v>
      </c>
      <c r="Y879" s="98">
        <f>'Supply planning data'!AA877</f>
        <v>0</v>
      </c>
      <c r="Z879" s="98">
        <f>'Supply planning data'!AB877</f>
        <v>0</v>
      </c>
      <c r="AA879" s="98">
        <f>'Supply planning data'!AC877</f>
        <v>0</v>
      </c>
      <c r="AB879" s="98">
        <f>'Supply planning data'!AD877</f>
        <v>0</v>
      </c>
      <c r="AC879" s="98">
        <f>'Supply planning data'!AE877</f>
        <v>0</v>
      </c>
      <c r="AD879" s="325" t="str">
        <f>'Supply planning data'!AF877</f>
        <v/>
      </c>
      <c r="AE879" s="98">
        <f>'Supply planning data'!AG877</f>
        <v>0</v>
      </c>
      <c r="AF879" s="317">
        <f>'Supply planning data'!AH877</f>
        <v>0</v>
      </c>
      <c r="AG879" s="175">
        <f>'Supply planning data'!AI877</f>
        <v>0</v>
      </c>
      <c r="AH879" s="98">
        <f>'Supply planning data'!AJ877</f>
        <v>0</v>
      </c>
      <c r="AI879" s="98">
        <f>'Supply planning data'!AK877</f>
        <v>0</v>
      </c>
      <c r="AJ879" s="98">
        <f>'Supply planning data'!AL877</f>
        <v>0</v>
      </c>
      <c r="AK879" s="98">
        <f>'Supply planning data'!AM877</f>
        <v>0</v>
      </c>
      <c r="AL879" s="98">
        <f>'Supply planning data'!AN877</f>
        <v>0</v>
      </c>
      <c r="AM879" s="325" t="str">
        <f>'Supply planning data'!AO877</f>
        <v/>
      </c>
    </row>
    <row r="880" spans="1:39" x14ac:dyDescent="0.25">
      <c r="A880" s="90" t="str">
        <f>'Supply planning data'!C878</f>
        <v>Pfizer</v>
      </c>
      <c r="B880" s="296">
        <f>'Supply planning data'!D878</f>
        <v>45962</v>
      </c>
      <c r="C880" s="92" t="str">
        <f>'Supply planning data'!E878</f>
        <v>Yes</v>
      </c>
      <c r="D880" s="92">
        <f>'Supply planning data'!F878</f>
        <v>3000000</v>
      </c>
      <c r="E880" s="316">
        <f>'Supply planning data'!G878</f>
        <v>0</v>
      </c>
      <c r="F880" s="317">
        <f>'Supply planning data'!H878</f>
        <v>0</v>
      </c>
      <c r="G880" s="317">
        <f>'Supply planning data'!I878</f>
        <v>0</v>
      </c>
      <c r="H880" s="98">
        <f>'Supply planning data'!J878</f>
        <v>0</v>
      </c>
      <c r="I880" s="317">
        <f>'Supply planning data'!K878</f>
        <v>0</v>
      </c>
      <c r="J880" s="175" t="str">
        <f>'Supply planning data'!L878</f>
        <v/>
      </c>
      <c r="K880" s="98">
        <f>'Supply planning data'!M878</f>
        <v>0</v>
      </c>
      <c r="L880" s="317">
        <f>'Supply planning data'!N878+'Supply planning data'!P878</f>
        <v>0</v>
      </c>
      <c r="M880" s="339">
        <f>'Supply planning data'!O878</f>
        <v>0</v>
      </c>
      <c r="N880" s="317">
        <f>'Supply planning data'!P878</f>
        <v>0</v>
      </c>
      <c r="O880" s="339">
        <f>'Supply planning data'!Q878</f>
        <v>0</v>
      </c>
      <c r="P880" s="98">
        <f>'Supply planning data'!R878</f>
        <v>0</v>
      </c>
      <c r="Q880" s="98">
        <f>'Supply planning data'!S878</f>
        <v>0</v>
      </c>
      <c r="R880" s="98">
        <f>'Supply planning data'!T878</f>
        <v>110538</v>
      </c>
      <c r="S880" s="98">
        <f>'Supply planning data'!U878</f>
        <v>0</v>
      </c>
      <c r="T880" s="98">
        <f>'Supply planning data'!V878</f>
        <v>3000000</v>
      </c>
      <c r="U880" s="325" t="str">
        <f>'Supply planning data'!W878</f>
        <v/>
      </c>
      <c r="V880" s="98">
        <f>'Supply planning data'!X878</f>
        <v>2440000</v>
      </c>
      <c r="W880" s="317">
        <f>'Supply planning data'!Y878</f>
        <v>0</v>
      </c>
      <c r="X880" s="328">
        <f>'Supply planning data'!Z878</f>
        <v>0</v>
      </c>
      <c r="Y880" s="98">
        <f>'Supply planning data'!AA878</f>
        <v>0</v>
      </c>
      <c r="Z880" s="98">
        <f>'Supply planning data'!AB878</f>
        <v>0</v>
      </c>
      <c r="AA880" s="98">
        <f>'Supply planning data'!AC878</f>
        <v>0</v>
      </c>
      <c r="AB880" s="98">
        <f>'Supply planning data'!AD878</f>
        <v>0</v>
      </c>
      <c r="AC880" s="98">
        <f>'Supply planning data'!AE878</f>
        <v>2440000</v>
      </c>
      <c r="AD880" s="325" t="str">
        <f>'Supply planning data'!AF878</f>
        <v/>
      </c>
      <c r="AE880" s="98">
        <f>'Supply planning data'!AG878</f>
        <v>3000000</v>
      </c>
      <c r="AF880" s="317">
        <f>'Supply planning data'!AH878</f>
        <v>0</v>
      </c>
      <c r="AG880" s="175">
        <f>'Supply planning data'!AI878</f>
        <v>0</v>
      </c>
      <c r="AH880" s="98">
        <f>'Supply planning data'!AJ878</f>
        <v>0</v>
      </c>
      <c r="AI880" s="98">
        <f>'Supply planning data'!AK878</f>
        <v>0</v>
      </c>
      <c r="AJ880" s="98">
        <f>'Supply planning data'!AL878</f>
        <v>110538</v>
      </c>
      <c r="AK880" s="98">
        <f>'Supply planning data'!AM878</f>
        <v>0</v>
      </c>
      <c r="AL880" s="98">
        <f>'Supply planning data'!AN878</f>
        <v>3000000</v>
      </c>
      <c r="AM880" s="325" t="str">
        <f>'Supply planning data'!AO878</f>
        <v/>
      </c>
    </row>
    <row r="881" spans="1:39" x14ac:dyDescent="0.25">
      <c r="A881" s="90" t="str">
        <f>'Supply planning data'!C879</f>
        <v>Sinovac</v>
      </c>
      <c r="B881" s="296">
        <f>'Supply planning data'!D879</f>
        <v>45962</v>
      </c>
      <c r="C881" s="92" t="str">
        <f>'Supply planning data'!E879</f>
        <v>No</v>
      </c>
      <c r="D881" s="92">
        <f>'Supply planning data'!F879</f>
        <v>0</v>
      </c>
      <c r="E881" s="316">
        <f>'Supply planning data'!G879</f>
        <v>0</v>
      </c>
      <c r="F881" s="317">
        <f>'Supply planning data'!H879</f>
        <v>0</v>
      </c>
      <c r="G881" s="317">
        <f>'Supply planning data'!I879</f>
        <v>0</v>
      </c>
      <c r="H881" s="98">
        <f>'Supply planning data'!J879</f>
        <v>0</v>
      </c>
      <c r="I881" s="317">
        <f>'Supply planning data'!K879</f>
        <v>0</v>
      </c>
      <c r="J881" s="175" t="str">
        <f>'Supply planning data'!L879</f>
        <v/>
      </c>
      <c r="K881" s="98">
        <f>'Supply planning data'!M879</f>
        <v>0</v>
      </c>
      <c r="L881" s="317">
        <f>'Supply planning data'!N879+'Supply planning data'!P879</f>
        <v>0</v>
      </c>
      <c r="M881" s="339">
        <f>'Supply planning data'!O879</f>
        <v>0</v>
      </c>
      <c r="N881" s="317">
        <f>'Supply planning data'!P879</f>
        <v>0</v>
      </c>
      <c r="O881" s="339">
        <f>'Supply planning data'!Q879</f>
        <v>0</v>
      </c>
      <c r="P881" s="98">
        <f>'Supply planning data'!R879</f>
        <v>0</v>
      </c>
      <c r="Q881" s="98">
        <f>'Supply planning data'!S879</f>
        <v>0</v>
      </c>
      <c r="R881" s="98">
        <f>'Supply planning data'!T879</f>
        <v>0</v>
      </c>
      <c r="S881" s="98">
        <f>'Supply planning data'!U879</f>
        <v>0</v>
      </c>
      <c r="T881" s="98">
        <f>'Supply planning data'!V879</f>
        <v>0</v>
      </c>
      <c r="U881" s="325" t="str">
        <f>'Supply planning data'!W879</f>
        <v/>
      </c>
      <c r="V881" s="98">
        <f>'Supply planning data'!X879</f>
        <v>0</v>
      </c>
      <c r="W881" s="317">
        <f>'Supply planning data'!Y879</f>
        <v>0</v>
      </c>
      <c r="X881" s="328">
        <f>'Supply planning data'!Z879</f>
        <v>0</v>
      </c>
      <c r="Y881" s="98">
        <f>'Supply planning data'!AA879</f>
        <v>0</v>
      </c>
      <c r="Z881" s="98">
        <f>'Supply planning data'!AB879</f>
        <v>0</v>
      </c>
      <c r="AA881" s="98">
        <f>'Supply planning data'!AC879</f>
        <v>0</v>
      </c>
      <c r="AB881" s="98">
        <f>'Supply planning data'!AD879</f>
        <v>0</v>
      </c>
      <c r="AC881" s="98">
        <f>'Supply planning data'!AE879</f>
        <v>0</v>
      </c>
      <c r="AD881" s="325" t="str">
        <f>'Supply planning data'!AF879</f>
        <v/>
      </c>
      <c r="AE881" s="98">
        <f>'Supply planning data'!AG879</f>
        <v>0</v>
      </c>
      <c r="AF881" s="317">
        <f>'Supply planning data'!AH879</f>
        <v>0</v>
      </c>
      <c r="AG881" s="175">
        <f>'Supply planning data'!AI879</f>
        <v>0</v>
      </c>
      <c r="AH881" s="98">
        <f>'Supply planning data'!AJ879</f>
        <v>0</v>
      </c>
      <c r="AI881" s="98">
        <f>'Supply planning data'!AK879</f>
        <v>0</v>
      </c>
      <c r="AJ881" s="98">
        <f>'Supply planning data'!AL879</f>
        <v>0</v>
      </c>
      <c r="AK881" s="98">
        <f>'Supply planning data'!AM879</f>
        <v>0</v>
      </c>
      <c r="AL881" s="98">
        <f>'Supply planning data'!AN879</f>
        <v>0</v>
      </c>
      <c r="AM881" s="325" t="str">
        <f>'Supply planning data'!AO879</f>
        <v/>
      </c>
    </row>
    <row r="882" spans="1:39" hidden="1" x14ac:dyDescent="0.25">
      <c r="A882" s="90" t="str">
        <f>'Supply planning data'!C880</f>
        <v/>
      </c>
      <c r="B882" s="296">
        <f>'Supply planning data'!D880</f>
        <v>45962</v>
      </c>
      <c r="C882" s="92" t="str">
        <f>'Supply planning data'!E880</f>
        <v>No</v>
      </c>
      <c r="D882" s="92">
        <f>'Supply planning data'!F880</f>
        <v>0</v>
      </c>
      <c r="E882" s="316">
        <f>'Supply planning data'!G880</f>
        <v>0</v>
      </c>
      <c r="F882" s="317">
        <f>'Supply planning data'!H880</f>
        <v>0</v>
      </c>
      <c r="G882" s="317">
        <f>'Supply planning data'!I880</f>
        <v>0</v>
      </c>
      <c r="H882" s="98">
        <f>'Supply planning data'!J880</f>
        <v>0</v>
      </c>
      <c r="I882" s="317">
        <f>'Supply planning data'!K880</f>
        <v>0</v>
      </c>
      <c r="J882" s="175" t="str">
        <f>'Supply planning data'!L880</f>
        <v/>
      </c>
      <c r="K882" s="98">
        <f>'Supply planning data'!M880</f>
        <v>0</v>
      </c>
      <c r="L882" s="317">
        <f>'Supply planning data'!N880+'Supply planning data'!P880</f>
        <v>0</v>
      </c>
      <c r="M882" s="339">
        <f>'Supply planning data'!O880</f>
        <v>0</v>
      </c>
      <c r="N882" s="317">
        <f>'Supply planning data'!P880</f>
        <v>0</v>
      </c>
      <c r="O882" s="339">
        <f>'Supply planning data'!Q880</f>
        <v>0</v>
      </c>
      <c r="P882" s="98">
        <f>'Supply planning data'!R880</f>
        <v>0</v>
      </c>
      <c r="Q882" s="98">
        <f>'Supply planning data'!S880</f>
        <v>0</v>
      </c>
      <c r="R882" s="98">
        <f>'Supply planning data'!T880</f>
        <v>0</v>
      </c>
      <c r="S882" s="98">
        <f>'Supply planning data'!U880</f>
        <v>0</v>
      </c>
      <c r="T882" s="98">
        <f>'Supply planning data'!V880</f>
        <v>0</v>
      </c>
      <c r="U882" s="325" t="str">
        <f>'Supply planning data'!W880</f>
        <v/>
      </c>
      <c r="V882" s="98">
        <f>'Supply planning data'!X880</f>
        <v>0</v>
      </c>
      <c r="W882" s="317">
        <f>'Supply planning data'!Y880</f>
        <v>0</v>
      </c>
      <c r="X882" s="328">
        <f>'Supply planning data'!Z880</f>
        <v>0</v>
      </c>
      <c r="Y882" s="98">
        <f>'Supply planning data'!AA880</f>
        <v>0</v>
      </c>
      <c r="Z882" s="98">
        <f>'Supply planning data'!AB880</f>
        <v>0</v>
      </c>
      <c r="AA882" s="98">
        <f>'Supply planning data'!AC880</f>
        <v>0</v>
      </c>
      <c r="AB882" s="98">
        <f>'Supply planning data'!AD880</f>
        <v>0</v>
      </c>
      <c r="AC882" s="98">
        <f>'Supply planning data'!AE880</f>
        <v>0</v>
      </c>
      <c r="AD882" s="325" t="str">
        <f>'Supply planning data'!AF880</f>
        <v/>
      </c>
      <c r="AE882" s="98">
        <f>'Supply planning data'!AG880</f>
        <v>0</v>
      </c>
      <c r="AF882" s="317">
        <f>'Supply planning data'!AH880</f>
        <v>0</v>
      </c>
      <c r="AG882" s="175">
        <f>'Supply planning data'!AI880</f>
        <v>0</v>
      </c>
      <c r="AH882" s="98">
        <f>'Supply planning data'!AJ880</f>
        <v>0</v>
      </c>
      <c r="AI882" s="98">
        <f>'Supply planning data'!AK880</f>
        <v>0</v>
      </c>
      <c r="AJ882" s="98">
        <f>'Supply planning data'!AL880</f>
        <v>0</v>
      </c>
      <c r="AK882" s="98">
        <f>'Supply planning data'!AM880</f>
        <v>0</v>
      </c>
      <c r="AL882" s="98">
        <f>'Supply planning data'!AN880</f>
        <v>0</v>
      </c>
      <c r="AM882" s="325" t="str">
        <f>'Supply planning data'!AO880</f>
        <v/>
      </c>
    </row>
    <row r="883" spans="1:39" hidden="1" x14ac:dyDescent="0.25">
      <c r="A883" s="90" t="str">
        <f>'Supply planning data'!C881</f>
        <v/>
      </c>
      <c r="B883" s="296">
        <f>'Supply planning data'!D881</f>
        <v>45962</v>
      </c>
      <c r="C883" s="92" t="str">
        <f>'Supply planning data'!E881</f>
        <v>No</v>
      </c>
      <c r="D883" s="92">
        <f>'Supply planning data'!F881</f>
        <v>0</v>
      </c>
      <c r="E883" s="316">
        <f>'Supply planning data'!G881</f>
        <v>0</v>
      </c>
      <c r="F883" s="317">
        <f>'Supply planning data'!H881</f>
        <v>0</v>
      </c>
      <c r="G883" s="317">
        <f>'Supply planning data'!I881</f>
        <v>0</v>
      </c>
      <c r="H883" s="98">
        <f>'Supply planning data'!J881</f>
        <v>0</v>
      </c>
      <c r="I883" s="317">
        <f>'Supply planning data'!K881</f>
        <v>0</v>
      </c>
      <c r="J883" s="175" t="str">
        <f>'Supply planning data'!L881</f>
        <v/>
      </c>
      <c r="K883" s="98">
        <f>'Supply planning data'!M881</f>
        <v>0</v>
      </c>
      <c r="L883" s="317">
        <f>'Supply planning data'!N881+'Supply planning data'!P881</f>
        <v>0</v>
      </c>
      <c r="M883" s="339">
        <f>'Supply planning data'!O881</f>
        <v>0</v>
      </c>
      <c r="N883" s="317">
        <f>'Supply planning data'!P881</f>
        <v>0</v>
      </c>
      <c r="O883" s="339">
        <f>'Supply planning data'!Q881</f>
        <v>0</v>
      </c>
      <c r="P883" s="98">
        <f>'Supply planning data'!R881</f>
        <v>0</v>
      </c>
      <c r="Q883" s="98">
        <f>'Supply planning data'!S881</f>
        <v>0</v>
      </c>
      <c r="R883" s="98">
        <f>'Supply planning data'!T881</f>
        <v>0</v>
      </c>
      <c r="S883" s="98">
        <f>'Supply planning data'!U881</f>
        <v>0</v>
      </c>
      <c r="T883" s="98">
        <f>'Supply planning data'!V881</f>
        <v>0</v>
      </c>
      <c r="U883" s="325" t="str">
        <f>'Supply planning data'!W881</f>
        <v/>
      </c>
      <c r="V883" s="98">
        <f>'Supply planning data'!X881</f>
        <v>0</v>
      </c>
      <c r="W883" s="317">
        <f>'Supply planning data'!Y881</f>
        <v>0</v>
      </c>
      <c r="X883" s="328">
        <f>'Supply planning data'!Z881</f>
        <v>0</v>
      </c>
      <c r="Y883" s="98">
        <f>'Supply planning data'!AA881</f>
        <v>0</v>
      </c>
      <c r="Z883" s="98">
        <f>'Supply planning data'!AB881</f>
        <v>0</v>
      </c>
      <c r="AA883" s="98">
        <f>'Supply planning data'!AC881</f>
        <v>0</v>
      </c>
      <c r="AB883" s="98">
        <f>'Supply planning data'!AD881</f>
        <v>0</v>
      </c>
      <c r="AC883" s="98">
        <f>'Supply planning data'!AE881</f>
        <v>0</v>
      </c>
      <c r="AD883" s="325" t="str">
        <f>'Supply planning data'!AF881</f>
        <v/>
      </c>
      <c r="AE883" s="98">
        <f>'Supply planning data'!AG881</f>
        <v>0</v>
      </c>
      <c r="AF883" s="317">
        <f>'Supply planning data'!AH881</f>
        <v>0</v>
      </c>
      <c r="AG883" s="175">
        <f>'Supply planning data'!AI881</f>
        <v>0</v>
      </c>
      <c r="AH883" s="98">
        <f>'Supply planning data'!AJ881</f>
        <v>0</v>
      </c>
      <c r="AI883" s="98">
        <f>'Supply planning data'!AK881</f>
        <v>0</v>
      </c>
      <c r="AJ883" s="98">
        <f>'Supply planning data'!AL881</f>
        <v>0</v>
      </c>
      <c r="AK883" s="98">
        <f>'Supply planning data'!AM881</f>
        <v>0</v>
      </c>
      <c r="AL883" s="98">
        <f>'Supply planning data'!AN881</f>
        <v>0</v>
      </c>
      <c r="AM883" s="325" t="str">
        <f>'Supply planning data'!AO881</f>
        <v/>
      </c>
    </row>
    <row r="884" spans="1:39" hidden="1" x14ac:dyDescent="0.25">
      <c r="A884" s="90" t="str">
        <f>'Supply planning data'!C882</f>
        <v/>
      </c>
      <c r="B884" s="296">
        <f>'Supply planning data'!D882</f>
        <v>45962</v>
      </c>
      <c r="C884" s="92" t="str">
        <f>'Supply planning data'!E882</f>
        <v>No</v>
      </c>
      <c r="D884" s="92">
        <f>'Supply planning data'!F882</f>
        <v>0</v>
      </c>
      <c r="E884" s="316">
        <f>'Supply planning data'!G882</f>
        <v>0</v>
      </c>
      <c r="F884" s="317">
        <f>'Supply planning data'!H882</f>
        <v>0</v>
      </c>
      <c r="G884" s="317">
        <f>'Supply planning data'!I882</f>
        <v>0</v>
      </c>
      <c r="H884" s="98">
        <f>'Supply planning data'!J882</f>
        <v>0</v>
      </c>
      <c r="I884" s="317">
        <f>'Supply planning data'!K882</f>
        <v>0</v>
      </c>
      <c r="J884" s="175" t="str">
        <f>'Supply planning data'!L882</f>
        <v/>
      </c>
      <c r="K884" s="98">
        <f>'Supply planning data'!M882</f>
        <v>0</v>
      </c>
      <c r="L884" s="317">
        <f>'Supply planning data'!N882+'Supply planning data'!P882</f>
        <v>0</v>
      </c>
      <c r="M884" s="339">
        <f>'Supply planning data'!O882</f>
        <v>0</v>
      </c>
      <c r="N884" s="317">
        <f>'Supply planning data'!P882</f>
        <v>0</v>
      </c>
      <c r="O884" s="339">
        <f>'Supply planning data'!Q882</f>
        <v>0</v>
      </c>
      <c r="P884" s="98">
        <f>'Supply planning data'!R882</f>
        <v>0</v>
      </c>
      <c r="Q884" s="98">
        <f>'Supply planning data'!S882</f>
        <v>0</v>
      </c>
      <c r="R884" s="98">
        <f>'Supply planning data'!T882</f>
        <v>0</v>
      </c>
      <c r="S884" s="98">
        <f>'Supply planning data'!U882</f>
        <v>0</v>
      </c>
      <c r="T884" s="98">
        <f>'Supply planning data'!V882</f>
        <v>0</v>
      </c>
      <c r="U884" s="325" t="str">
        <f>'Supply planning data'!W882</f>
        <v/>
      </c>
      <c r="V884" s="98">
        <f>'Supply planning data'!X882</f>
        <v>0</v>
      </c>
      <c r="W884" s="317">
        <f>'Supply planning data'!Y882</f>
        <v>0</v>
      </c>
      <c r="X884" s="328">
        <f>'Supply planning data'!Z882</f>
        <v>0</v>
      </c>
      <c r="Y884" s="98">
        <f>'Supply planning data'!AA882</f>
        <v>0</v>
      </c>
      <c r="Z884" s="98">
        <f>'Supply planning data'!AB882</f>
        <v>0</v>
      </c>
      <c r="AA884" s="98">
        <f>'Supply planning data'!AC882</f>
        <v>0</v>
      </c>
      <c r="AB884" s="98">
        <f>'Supply planning data'!AD882</f>
        <v>0</v>
      </c>
      <c r="AC884" s="98">
        <f>'Supply planning data'!AE882</f>
        <v>0</v>
      </c>
      <c r="AD884" s="325" t="str">
        <f>'Supply planning data'!AF882</f>
        <v/>
      </c>
      <c r="AE884" s="98">
        <f>'Supply planning data'!AG882</f>
        <v>0</v>
      </c>
      <c r="AF884" s="317">
        <f>'Supply planning data'!AH882</f>
        <v>0</v>
      </c>
      <c r="AG884" s="175">
        <f>'Supply planning data'!AI882</f>
        <v>0</v>
      </c>
      <c r="AH884" s="98">
        <f>'Supply planning data'!AJ882</f>
        <v>0</v>
      </c>
      <c r="AI884" s="98">
        <f>'Supply planning data'!AK882</f>
        <v>0</v>
      </c>
      <c r="AJ884" s="98">
        <f>'Supply planning data'!AL882</f>
        <v>0</v>
      </c>
      <c r="AK884" s="98">
        <f>'Supply planning data'!AM882</f>
        <v>0</v>
      </c>
      <c r="AL884" s="98">
        <f>'Supply planning data'!AN882</f>
        <v>0</v>
      </c>
      <c r="AM884" s="325" t="str">
        <f>'Supply planning data'!AO882</f>
        <v/>
      </c>
    </row>
    <row r="885" spans="1:39" hidden="1" x14ac:dyDescent="0.25">
      <c r="A885" s="90" t="str">
        <f>'Supply planning data'!C883</f>
        <v/>
      </c>
      <c r="B885" s="296">
        <f>'Supply planning data'!D883</f>
        <v>45962</v>
      </c>
      <c r="C885" s="92" t="str">
        <f>'Supply planning data'!E883</f>
        <v>No</v>
      </c>
      <c r="D885" s="92">
        <f>'Supply planning data'!F883</f>
        <v>0</v>
      </c>
      <c r="E885" s="316">
        <f>'Supply planning data'!G883</f>
        <v>0</v>
      </c>
      <c r="F885" s="317">
        <f>'Supply planning data'!H883</f>
        <v>0</v>
      </c>
      <c r="G885" s="317">
        <f>'Supply planning data'!I883</f>
        <v>0</v>
      </c>
      <c r="H885" s="98">
        <f>'Supply planning data'!J883</f>
        <v>0</v>
      </c>
      <c r="I885" s="317">
        <f>'Supply planning data'!K883</f>
        <v>0</v>
      </c>
      <c r="J885" s="175" t="str">
        <f>'Supply planning data'!L883</f>
        <v/>
      </c>
      <c r="K885" s="98">
        <f>'Supply planning data'!M883</f>
        <v>0</v>
      </c>
      <c r="L885" s="317">
        <f>'Supply planning data'!N883+'Supply planning data'!P883</f>
        <v>0</v>
      </c>
      <c r="M885" s="339">
        <f>'Supply planning data'!O883</f>
        <v>0</v>
      </c>
      <c r="N885" s="317">
        <f>'Supply planning data'!P883</f>
        <v>0</v>
      </c>
      <c r="O885" s="339">
        <f>'Supply planning data'!Q883</f>
        <v>0</v>
      </c>
      <c r="P885" s="98">
        <f>'Supply planning data'!R883</f>
        <v>0</v>
      </c>
      <c r="Q885" s="98">
        <f>'Supply planning data'!S883</f>
        <v>0</v>
      </c>
      <c r="R885" s="98">
        <f>'Supply planning data'!T883</f>
        <v>0</v>
      </c>
      <c r="S885" s="98">
        <f>'Supply planning data'!U883</f>
        <v>0</v>
      </c>
      <c r="T885" s="98">
        <f>'Supply planning data'!V883</f>
        <v>0</v>
      </c>
      <c r="U885" s="325" t="str">
        <f>'Supply planning data'!W883</f>
        <v/>
      </c>
      <c r="V885" s="98">
        <f>'Supply planning data'!X883</f>
        <v>0</v>
      </c>
      <c r="W885" s="317">
        <f>'Supply planning data'!Y883</f>
        <v>0</v>
      </c>
      <c r="X885" s="328">
        <f>'Supply planning data'!Z883</f>
        <v>0</v>
      </c>
      <c r="Y885" s="98">
        <f>'Supply planning data'!AA883</f>
        <v>0</v>
      </c>
      <c r="Z885" s="98">
        <f>'Supply planning data'!AB883</f>
        <v>0</v>
      </c>
      <c r="AA885" s="98">
        <f>'Supply planning data'!AC883</f>
        <v>0</v>
      </c>
      <c r="AB885" s="98">
        <f>'Supply planning data'!AD883</f>
        <v>0</v>
      </c>
      <c r="AC885" s="98">
        <f>'Supply planning data'!AE883</f>
        <v>0</v>
      </c>
      <c r="AD885" s="325" t="str">
        <f>'Supply planning data'!AF883</f>
        <v/>
      </c>
      <c r="AE885" s="98">
        <f>'Supply planning data'!AG883</f>
        <v>0</v>
      </c>
      <c r="AF885" s="317">
        <f>'Supply planning data'!AH883</f>
        <v>0</v>
      </c>
      <c r="AG885" s="175">
        <f>'Supply planning data'!AI883</f>
        <v>0</v>
      </c>
      <c r="AH885" s="98">
        <f>'Supply planning data'!AJ883</f>
        <v>0</v>
      </c>
      <c r="AI885" s="98">
        <f>'Supply planning data'!AK883</f>
        <v>0</v>
      </c>
      <c r="AJ885" s="98">
        <f>'Supply planning data'!AL883</f>
        <v>0</v>
      </c>
      <c r="AK885" s="98">
        <f>'Supply planning data'!AM883</f>
        <v>0</v>
      </c>
      <c r="AL885" s="98">
        <f>'Supply planning data'!AN883</f>
        <v>0</v>
      </c>
      <c r="AM885" s="325" t="str">
        <f>'Supply planning data'!AO883</f>
        <v/>
      </c>
    </row>
    <row r="886" spans="1:39" hidden="1" x14ac:dyDescent="0.25">
      <c r="A886" s="90" t="str">
        <f>'Supply planning data'!C884</f>
        <v/>
      </c>
      <c r="B886" s="296">
        <f>'Supply planning data'!D884</f>
        <v>45962</v>
      </c>
      <c r="C886" s="92" t="str">
        <f>'Supply planning data'!E884</f>
        <v>No</v>
      </c>
      <c r="D886" s="92">
        <f>'Supply planning data'!F884</f>
        <v>0</v>
      </c>
      <c r="E886" s="316">
        <f>'Supply planning data'!G884</f>
        <v>0</v>
      </c>
      <c r="F886" s="317">
        <f>'Supply planning data'!H884</f>
        <v>0</v>
      </c>
      <c r="G886" s="317">
        <f>'Supply planning data'!I884</f>
        <v>0</v>
      </c>
      <c r="H886" s="98">
        <f>'Supply planning data'!J884</f>
        <v>0</v>
      </c>
      <c r="I886" s="317">
        <f>'Supply planning data'!K884</f>
        <v>0</v>
      </c>
      <c r="J886" s="175" t="str">
        <f>'Supply planning data'!L884</f>
        <v/>
      </c>
      <c r="K886" s="98">
        <f>'Supply planning data'!M884</f>
        <v>0</v>
      </c>
      <c r="L886" s="317">
        <f>'Supply planning data'!N884+'Supply planning data'!P884</f>
        <v>0</v>
      </c>
      <c r="M886" s="339">
        <f>'Supply planning data'!O884</f>
        <v>0</v>
      </c>
      <c r="N886" s="317">
        <f>'Supply planning data'!P884</f>
        <v>0</v>
      </c>
      <c r="O886" s="339">
        <f>'Supply planning data'!Q884</f>
        <v>0</v>
      </c>
      <c r="P886" s="98">
        <f>'Supply planning data'!R884</f>
        <v>0</v>
      </c>
      <c r="Q886" s="98">
        <f>'Supply planning data'!S884</f>
        <v>0</v>
      </c>
      <c r="R886" s="98">
        <f>'Supply planning data'!T884</f>
        <v>0</v>
      </c>
      <c r="S886" s="98">
        <f>'Supply planning data'!U884</f>
        <v>0</v>
      </c>
      <c r="T886" s="98">
        <f>'Supply planning data'!V884</f>
        <v>0</v>
      </c>
      <c r="U886" s="325" t="str">
        <f>'Supply planning data'!W884</f>
        <v/>
      </c>
      <c r="V886" s="98">
        <f>'Supply planning data'!X884</f>
        <v>0</v>
      </c>
      <c r="W886" s="317">
        <f>'Supply planning data'!Y884</f>
        <v>0</v>
      </c>
      <c r="X886" s="328">
        <f>'Supply planning data'!Z884</f>
        <v>0</v>
      </c>
      <c r="Y886" s="98">
        <f>'Supply planning data'!AA884</f>
        <v>0</v>
      </c>
      <c r="Z886" s="98">
        <f>'Supply planning data'!AB884</f>
        <v>0</v>
      </c>
      <c r="AA886" s="98">
        <f>'Supply planning data'!AC884</f>
        <v>0</v>
      </c>
      <c r="AB886" s="98">
        <f>'Supply planning data'!AD884</f>
        <v>0</v>
      </c>
      <c r="AC886" s="98">
        <f>'Supply planning data'!AE884</f>
        <v>0</v>
      </c>
      <c r="AD886" s="325" t="str">
        <f>'Supply planning data'!AF884</f>
        <v/>
      </c>
      <c r="AE886" s="98">
        <f>'Supply planning data'!AG884</f>
        <v>0</v>
      </c>
      <c r="AF886" s="317">
        <f>'Supply planning data'!AH884</f>
        <v>0</v>
      </c>
      <c r="AG886" s="175">
        <f>'Supply planning data'!AI884</f>
        <v>0</v>
      </c>
      <c r="AH886" s="98">
        <f>'Supply planning data'!AJ884</f>
        <v>0</v>
      </c>
      <c r="AI886" s="98">
        <f>'Supply planning data'!AK884</f>
        <v>0</v>
      </c>
      <c r="AJ886" s="98">
        <f>'Supply planning data'!AL884</f>
        <v>0</v>
      </c>
      <c r="AK886" s="98">
        <f>'Supply planning data'!AM884</f>
        <v>0</v>
      </c>
      <c r="AL886" s="98">
        <f>'Supply planning data'!AN884</f>
        <v>0</v>
      </c>
      <c r="AM886" s="325" t="str">
        <f>'Supply planning data'!AO884</f>
        <v/>
      </c>
    </row>
    <row r="887" spans="1:39" hidden="1" x14ac:dyDescent="0.25">
      <c r="A887" s="90" t="str">
        <f>'Supply planning data'!C885</f>
        <v/>
      </c>
      <c r="B887" s="296">
        <f>'Supply planning data'!D885</f>
        <v>45962</v>
      </c>
      <c r="C887" s="92" t="str">
        <f>'Supply planning data'!E885</f>
        <v>No</v>
      </c>
      <c r="D887" s="92">
        <f>'Supply planning data'!F885</f>
        <v>0</v>
      </c>
      <c r="E887" s="316">
        <f>'Supply planning data'!G885</f>
        <v>0</v>
      </c>
      <c r="F887" s="317">
        <f>'Supply planning data'!H885</f>
        <v>0</v>
      </c>
      <c r="G887" s="317">
        <f>'Supply planning data'!I885</f>
        <v>0</v>
      </c>
      <c r="H887" s="98">
        <f>'Supply planning data'!J885</f>
        <v>0</v>
      </c>
      <c r="I887" s="317">
        <f>'Supply planning data'!K885</f>
        <v>0</v>
      </c>
      <c r="J887" s="175" t="str">
        <f>'Supply planning data'!L885</f>
        <v/>
      </c>
      <c r="K887" s="98">
        <f>'Supply planning data'!M885</f>
        <v>0</v>
      </c>
      <c r="L887" s="317">
        <f>'Supply planning data'!N885+'Supply planning data'!P885</f>
        <v>0</v>
      </c>
      <c r="M887" s="339">
        <f>'Supply planning data'!O885</f>
        <v>0</v>
      </c>
      <c r="N887" s="317">
        <f>'Supply planning data'!P885</f>
        <v>0</v>
      </c>
      <c r="O887" s="339">
        <f>'Supply planning data'!Q885</f>
        <v>0</v>
      </c>
      <c r="P887" s="98">
        <f>'Supply planning data'!R885</f>
        <v>0</v>
      </c>
      <c r="Q887" s="98">
        <f>'Supply planning data'!S885</f>
        <v>0</v>
      </c>
      <c r="R887" s="98">
        <f>'Supply planning data'!T885</f>
        <v>0</v>
      </c>
      <c r="S887" s="98">
        <f>'Supply planning data'!U885</f>
        <v>0</v>
      </c>
      <c r="T887" s="98">
        <f>'Supply planning data'!V885</f>
        <v>0</v>
      </c>
      <c r="U887" s="325" t="str">
        <f>'Supply planning data'!W885</f>
        <v/>
      </c>
      <c r="V887" s="98">
        <f>'Supply planning data'!X885</f>
        <v>0</v>
      </c>
      <c r="W887" s="317">
        <f>'Supply planning data'!Y885</f>
        <v>0</v>
      </c>
      <c r="X887" s="328">
        <f>'Supply planning data'!Z885</f>
        <v>0</v>
      </c>
      <c r="Y887" s="98">
        <f>'Supply planning data'!AA885</f>
        <v>0</v>
      </c>
      <c r="Z887" s="98">
        <f>'Supply planning data'!AB885</f>
        <v>0</v>
      </c>
      <c r="AA887" s="98">
        <f>'Supply planning data'!AC885</f>
        <v>0</v>
      </c>
      <c r="AB887" s="98">
        <f>'Supply planning data'!AD885</f>
        <v>0</v>
      </c>
      <c r="AC887" s="98">
        <f>'Supply planning data'!AE885</f>
        <v>0</v>
      </c>
      <c r="AD887" s="325" t="str">
        <f>'Supply planning data'!AF885</f>
        <v/>
      </c>
      <c r="AE887" s="98">
        <f>'Supply planning data'!AG885</f>
        <v>0</v>
      </c>
      <c r="AF887" s="317">
        <f>'Supply planning data'!AH885</f>
        <v>0</v>
      </c>
      <c r="AG887" s="175">
        <f>'Supply planning data'!AI885</f>
        <v>0</v>
      </c>
      <c r="AH887" s="98">
        <f>'Supply planning data'!AJ885</f>
        <v>0</v>
      </c>
      <c r="AI887" s="98">
        <f>'Supply planning data'!AK885</f>
        <v>0</v>
      </c>
      <c r="AJ887" s="98">
        <f>'Supply planning data'!AL885</f>
        <v>0</v>
      </c>
      <c r="AK887" s="98">
        <f>'Supply planning data'!AM885</f>
        <v>0</v>
      </c>
      <c r="AL887" s="98">
        <f>'Supply planning data'!AN885</f>
        <v>0</v>
      </c>
      <c r="AM887" s="325" t="str">
        <f>'Supply planning data'!AO885</f>
        <v/>
      </c>
    </row>
    <row r="888" spans="1:39" hidden="1" x14ac:dyDescent="0.25">
      <c r="A888" s="90" t="str">
        <f>'Supply planning data'!C886</f>
        <v/>
      </c>
      <c r="B888" s="296">
        <f>'Supply planning data'!D886</f>
        <v>45962</v>
      </c>
      <c r="C888" s="92" t="str">
        <f>'Supply planning data'!E886</f>
        <v>No</v>
      </c>
      <c r="D888" s="92">
        <f>'Supply planning data'!F886</f>
        <v>0</v>
      </c>
      <c r="E888" s="316">
        <f>'Supply planning data'!G886</f>
        <v>0</v>
      </c>
      <c r="F888" s="317">
        <f>'Supply planning data'!H886</f>
        <v>0</v>
      </c>
      <c r="G888" s="317">
        <f>'Supply planning data'!I886</f>
        <v>0</v>
      </c>
      <c r="H888" s="98">
        <f>'Supply planning data'!J886</f>
        <v>0</v>
      </c>
      <c r="I888" s="317">
        <f>'Supply planning data'!K886</f>
        <v>0</v>
      </c>
      <c r="J888" s="175" t="str">
        <f>'Supply planning data'!L886</f>
        <v/>
      </c>
      <c r="K888" s="98">
        <f>'Supply planning data'!M886</f>
        <v>0</v>
      </c>
      <c r="L888" s="317">
        <f>'Supply planning data'!N886+'Supply planning data'!P886</f>
        <v>0</v>
      </c>
      <c r="M888" s="339">
        <f>'Supply planning data'!O886</f>
        <v>0</v>
      </c>
      <c r="N888" s="317">
        <f>'Supply planning data'!P886</f>
        <v>0</v>
      </c>
      <c r="O888" s="339">
        <f>'Supply planning data'!Q886</f>
        <v>0</v>
      </c>
      <c r="P888" s="98">
        <f>'Supply planning data'!R886</f>
        <v>0</v>
      </c>
      <c r="Q888" s="98">
        <f>'Supply planning data'!S886</f>
        <v>0</v>
      </c>
      <c r="R888" s="98">
        <f>'Supply planning data'!T886</f>
        <v>0</v>
      </c>
      <c r="S888" s="98">
        <f>'Supply planning data'!U886</f>
        <v>0</v>
      </c>
      <c r="T888" s="98">
        <f>'Supply planning data'!V886</f>
        <v>0</v>
      </c>
      <c r="U888" s="325" t="str">
        <f>'Supply planning data'!W886</f>
        <v/>
      </c>
      <c r="V888" s="98">
        <f>'Supply planning data'!X886</f>
        <v>0</v>
      </c>
      <c r="W888" s="317">
        <f>'Supply planning data'!Y886</f>
        <v>0</v>
      </c>
      <c r="X888" s="328">
        <f>'Supply planning data'!Z886</f>
        <v>0</v>
      </c>
      <c r="Y888" s="98">
        <f>'Supply planning data'!AA886</f>
        <v>0</v>
      </c>
      <c r="Z888" s="98">
        <f>'Supply planning data'!AB886</f>
        <v>0</v>
      </c>
      <c r="AA888" s="98">
        <f>'Supply planning data'!AC886</f>
        <v>0</v>
      </c>
      <c r="AB888" s="98">
        <f>'Supply planning data'!AD886</f>
        <v>0</v>
      </c>
      <c r="AC888" s="98">
        <f>'Supply planning data'!AE886</f>
        <v>0</v>
      </c>
      <c r="AD888" s="325" t="str">
        <f>'Supply planning data'!AF886</f>
        <v/>
      </c>
      <c r="AE888" s="98">
        <f>'Supply planning data'!AG886</f>
        <v>0</v>
      </c>
      <c r="AF888" s="317">
        <f>'Supply planning data'!AH886</f>
        <v>0</v>
      </c>
      <c r="AG888" s="175">
        <f>'Supply planning data'!AI886</f>
        <v>0</v>
      </c>
      <c r="AH888" s="98">
        <f>'Supply planning data'!AJ886</f>
        <v>0</v>
      </c>
      <c r="AI888" s="98">
        <f>'Supply planning data'!AK886</f>
        <v>0</v>
      </c>
      <c r="AJ888" s="98">
        <f>'Supply planning data'!AL886</f>
        <v>0</v>
      </c>
      <c r="AK888" s="98">
        <f>'Supply planning data'!AM886</f>
        <v>0</v>
      </c>
      <c r="AL888" s="98">
        <f>'Supply planning data'!AN886</f>
        <v>0</v>
      </c>
      <c r="AM888" s="325" t="str">
        <f>'Supply planning data'!AO886</f>
        <v/>
      </c>
    </row>
    <row r="889" spans="1:39" hidden="1" x14ac:dyDescent="0.25">
      <c r="A889" s="90" t="str">
        <f>'Supply planning data'!C887</f>
        <v/>
      </c>
      <c r="B889" s="296">
        <f>'Supply planning data'!D887</f>
        <v>45962</v>
      </c>
      <c r="C889" s="92" t="str">
        <f>'Supply planning data'!E887</f>
        <v>No</v>
      </c>
      <c r="D889" s="92">
        <f>'Supply planning data'!F887</f>
        <v>0</v>
      </c>
      <c r="E889" s="316">
        <f>'Supply planning data'!G887</f>
        <v>0</v>
      </c>
      <c r="F889" s="317">
        <f>'Supply planning data'!H887</f>
        <v>0</v>
      </c>
      <c r="G889" s="317">
        <f>'Supply planning data'!I887</f>
        <v>0</v>
      </c>
      <c r="H889" s="98">
        <f>'Supply planning data'!J887</f>
        <v>0</v>
      </c>
      <c r="I889" s="317">
        <f>'Supply planning data'!K887</f>
        <v>0</v>
      </c>
      <c r="J889" s="175" t="str">
        <f>'Supply planning data'!L887</f>
        <v/>
      </c>
      <c r="K889" s="98">
        <f>'Supply planning data'!M887</f>
        <v>0</v>
      </c>
      <c r="L889" s="317">
        <f>'Supply planning data'!N887+'Supply planning data'!P887</f>
        <v>0</v>
      </c>
      <c r="M889" s="339">
        <f>'Supply planning data'!O887</f>
        <v>0</v>
      </c>
      <c r="N889" s="317">
        <f>'Supply planning data'!P887</f>
        <v>0</v>
      </c>
      <c r="O889" s="339">
        <f>'Supply planning data'!Q887</f>
        <v>0</v>
      </c>
      <c r="P889" s="98">
        <f>'Supply planning data'!R887</f>
        <v>0</v>
      </c>
      <c r="Q889" s="98">
        <f>'Supply planning data'!S887</f>
        <v>0</v>
      </c>
      <c r="R889" s="98">
        <f>'Supply planning data'!T887</f>
        <v>0</v>
      </c>
      <c r="S889" s="98">
        <f>'Supply planning data'!U887</f>
        <v>0</v>
      </c>
      <c r="T889" s="98">
        <f>'Supply planning data'!V887</f>
        <v>0</v>
      </c>
      <c r="U889" s="325" t="str">
        <f>'Supply planning data'!W887</f>
        <v/>
      </c>
      <c r="V889" s="98">
        <f>'Supply planning data'!X887</f>
        <v>0</v>
      </c>
      <c r="W889" s="317">
        <f>'Supply planning data'!Y887</f>
        <v>0</v>
      </c>
      <c r="X889" s="328">
        <f>'Supply planning data'!Z887</f>
        <v>0</v>
      </c>
      <c r="Y889" s="98">
        <f>'Supply planning data'!AA887</f>
        <v>0</v>
      </c>
      <c r="Z889" s="98">
        <f>'Supply planning data'!AB887</f>
        <v>0</v>
      </c>
      <c r="AA889" s="98">
        <f>'Supply planning data'!AC887</f>
        <v>0</v>
      </c>
      <c r="AB889" s="98">
        <f>'Supply planning data'!AD887</f>
        <v>0</v>
      </c>
      <c r="AC889" s="98">
        <f>'Supply planning data'!AE887</f>
        <v>0</v>
      </c>
      <c r="AD889" s="325" t="str">
        <f>'Supply planning data'!AF887</f>
        <v/>
      </c>
      <c r="AE889" s="98">
        <f>'Supply planning data'!AG887</f>
        <v>0</v>
      </c>
      <c r="AF889" s="317">
        <f>'Supply planning data'!AH887</f>
        <v>0</v>
      </c>
      <c r="AG889" s="175">
        <f>'Supply planning data'!AI887</f>
        <v>0</v>
      </c>
      <c r="AH889" s="98">
        <f>'Supply planning data'!AJ887</f>
        <v>0</v>
      </c>
      <c r="AI889" s="98">
        <f>'Supply planning data'!AK887</f>
        <v>0</v>
      </c>
      <c r="AJ889" s="98">
        <f>'Supply planning data'!AL887</f>
        <v>0</v>
      </c>
      <c r="AK889" s="98">
        <f>'Supply planning data'!AM887</f>
        <v>0</v>
      </c>
      <c r="AL889" s="98">
        <f>'Supply planning data'!AN887</f>
        <v>0</v>
      </c>
      <c r="AM889" s="325" t="str">
        <f>'Supply planning data'!AO887</f>
        <v/>
      </c>
    </row>
    <row r="890" spans="1:39" hidden="1" x14ac:dyDescent="0.25">
      <c r="A890" s="90" t="str">
        <f>'Supply planning data'!C888</f>
        <v/>
      </c>
      <c r="B890" s="296">
        <f>'Supply planning data'!D888</f>
        <v>45962</v>
      </c>
      <c r="C890" s="92" t="str">
        <f>'Supply planning data'!E888</f>
        <v>No</v>
      </c>
      <c r="D890" s="92">
        <f>'Supply planning data'!F888</f>
        <v>0</v>
      </c>
      <c r="E890" s="316">
        <f>'Supply planning data'!G888</f>
        <v>0</v>
      </c>
      <c r="F890" s="317">
        <f>'Supply planning data'!H888</f>
        <v>0</v>
      </c>
      <c r="G890" s="317">
        <f>'Supply planning data'!I888</f>
        <v>0</v>
      </c>
      <c r="H890" s="98">
        <f>'Supply planning data'!J888</f>
        <v>0</v>
      </c>
      <c r="I890" s="317">
        <f>'Supply planning data'!K888</f>
        <v>0</v>
      </c>
      <c r="J890" s="175" t="str">
        <f>'Supply planning data'!L888</f>
        <v/>
      </c>
      <c r="K890" s="98">
        <f>'Supply planning data'!M888</f>
        <v>0</v>
      </c>
      <c r="L890" s="317">
        <f>'Supply planning data'!N888+'Supply planning data'!P888</f>
        <v>0</v>
      </c>
      <c r="M890" s="339">
        <f>'Supply planning data'!O888</f>
        <v>0</v>
      </c>
      <c r="N890" s="317">
        <f>'Supply planning data'!P888</f>
        <v>0</v>
      </c>
      <c r="O890" s="339">
        <f>'Supply planning data'!Q888</f>
        <v>0</v>
      </c>
      <c r="P890" s="98">
        <f>'Supply planning data'!R888</f>
        <v>0</v>
      </c>
      <c r="Q890" s="98">
        <f>'Supply planning data'!S888</f>
        <v>0</v>
      </c>
      <c r="R890" s="98">
        <f>'Supply planning data'!T888</f>
        <v>0</v>
      </c>
      <c r="S890" s="98">
        <f>'Supply planning data'!U888</f>
        <v>0</v>
      </c>
      <c r="T890" s="98">
        <f>'Supply planning data'!V888</f>
        <v>0</v>
      </c>
      <c r="U890" s="325" t="str">
        <f>'Supply planning data'!W888</f>
        <v/>
      </c>
      <c r="V890" s="98">
        <f>'Supply planning data'!X888</f>
        <v>0</v>
      </c>
      <c r="W890" s="317">
        <f>'Supply planning data'!Y888</f>
        <v>0</v>
      </c>
      <c r="X890" s="328">
        <f>'Supply planning data'!Z888</f>
        <v>0</v>
      </c>
      <c r="Y890" s="98">
        <f>'Supply planning data'!AA888</f>
        <v>0</v>
      </c>
      <c r="Z890" s="98">
        <f>'Supply planning data'!AB888</f>
        <v>0</v>
      </c>
      <c r="AA890" s="98">
        <f>'Supply planning data'!AC888</f>
        <v>0</v>
      </c>
      <c r="AB890" s="98">
        <f>'Supply planning data'!AD888</f>
        <v>0</v>
      </c>
      <c r="AC890" s="98">
        <f>'Supply planning data'!AE888</f>
        <v>0</v>
      </c>
      <c r="AD890" s="325" t="str">
        <f>'Supply planning data'!AF888</f>
        <v/>
      </c>
      <c r="AE890" s="98">
        <f>'Supply planning data'!AG888</f>
        <v>0</v>
      </c>
      <c r="AF890" s="317">
        <f>'Supply planning data'!AH888</f>
        <v>0</v>
      </c>
      <c r="AG890" s="175">
        <f>'Supply planning data'!AI888</f>
        <v>0</v>
      </c>
      <c r="AH890" s="98">
        <f>'Supply planning data'!AJ888</f>
        <v>0</v>
      </c>
      <c r="AI890" s="98">
        <f>'Supply planning data'!AK888</f>
        <v>0</v>
      </c>
      <c r="AJ890" s="98">
        <f>'Supply planning data'!AL888</f>
        <v>0</v>
      </c>
      <c r="AK890" s="98">
        <f>'Supply planning data'!AM888</f>
        <v>0</v>
      </c>
      <c r="AL890" s="98">
        <f>'Supply planning data'!AN888</f>
        <v>0</v>
      </c>
      <c r="AM890" s="325" t="str">
        <f>'Supply planning data'!AO888</f>
        <v/>
      </c>
    </row>
    <row r="891" spans="1:39" hidden="1" x14ac:dyDescent="0.25">
      <c r="A891" s="90" t="str">
        <f>'Supply planning data'!C889</f>
        <v/>
      </c>
      <c r="B891" s="296">
        <f>'Supply planning data'!D889</f>
        <v>45962</v>
      </c>
      <c r="C891" s="92" t="str">
        <f>'Supply planning data'!E889</f>
        <v>No</v>
      </c>
      <c r="D891" s="92">
        <f>'Supply planning data'!F889</f>
        <v>0</v>
      </c>
      <c r="E891" s="316">
        <f>'Supply planning data'!G889</f>
        <v>0</v>
      </c>
      <c r="F891" s="317">
        <f>'Supply planning data'!H889</f>
        <v>0</v>
      </c>
      <c r="G891" s="317">
        <f>'Supply planning data'!I889</f>
        <v>0</v>
      </c>
      <c r="H891" s="98">
        <f>'Supply planning data'!J889</f>
        <v>0</v>
      </c>
      <c r="I891" s="317">
        <f>'Supply planning data'!K889</f>
        <v>0</v>
      </c>
      <c r="J891" s="175" t="str">
        <f>'Supply planning data'!L889</f>
        <v/>
      </c>
      <c r="K891" s="98">
        <f>'Supply planning data'!M889</f>
        <v>0</v>
      </c>
      <c r="L891" s="317">
        <f>'Supply planning data'!N889+'Supply planning data'!P889</f>
        <v>0</v>
      </c>
      <c r="M891" s="339">
        <f>'Supply planning data'!O889</f>
        <v>0</v>
      </c>
      <c r="N891" s="317">
        <f>'Supply planning data'!P889</f>
        <v>0</v>
      </c>
      <c r="O891" s="339">
        <f>'Supply planning data'!Q889</f>
        <v>0</v>
      </c>
      <c r="P891" s="98">
        <f>'Supply planning data'!R889</f>
        <v>0</v>
      </c>
      <c r="Q891" s="98">
        <f>'Supply planning data'!S889</f>
        <v>0</v>
      </c>
      <c r="R891" s="98">
        <f>'Supply planning data'!T889</f>
        <v>0</v>
      </c>
      <c r="S891" s="98">
        <f>'Supply planning data'!U889</f>
        <v>0</v>
      </c>
      <c r="T891" s="98">
        <f>'Supply planning data'!V889</f>
        <v>0</v>
      </c>
      <c r="U891" s="325" t="str">
        <f>'Supply planning data'!W889</f>
        <v/>
      </c>
      <c r="V891" s="98">
        <f>'Supply planning data'!X889</f>
        <v>0</v>
      </c>
      <c r="W891" s="317">
        <f>'Supply planning data'!Y889</f>
        <v>0</v>
      </c>
      <c r="X891" s="328">
        <f>'Supply planning data'!Z889</f>
        <v>0</v>
      </c>
      <c r="Y891" s="98">
        <f>'Supply planning data'!AA889</f>
        <v>0</v>
      </c>
      <c r="Z891" s="98">
        <f>'Supply planning data'!AB889</f>
        <v>0</v>
      </c>
      <c r="AA891" s="98">
        <f>'Supply planning data'!AC889</f>
        <v>0</v>
      </c>
      <c r="AB891" s="98">
        <f>'Supply planning data'!AD889</f>
        <v>0</v>
      </c>
      <c r="AC891" s="98">
        <f>'Supply planning data'!AE889</f>
        <v>0</v>
      </c>
      <c r="AD891" s="325" t="str">
        <f>'Supply planning data'!AF889</f>
        <v/>
      </c>
      <c r="AE891" s="98">
        <f>'Supply planning data'!AG889</f>
        <v>0</v>
      </c>
      <c r="AF891" s="317">
        <f>'Supply planning data'!AH889</f>
        <v>0</v>
      </c>
      <c r="AG891" s="175">
        <f>'Supply planning data'!AI889</f>
        <v>0</v>
      </c>
      <c r="AH891" s="98">
        <f>'Supply planning data'!AJ889</f>
        <v>0</v>
      </c>
      <c r="AI891" s="98">
        <f>'Supply planning data'!AK889</f>
        <v>0</v>
      </c>
      <c r="AJ891" s="98">
        <f>'Supply planning data'!AL889</f>
        <v>0</v>
      </c>
      <c r="AK891" s="98">
        <f>'Supply planning data'!AM889</f>
        <v>0</v>
      </c>
      <c r="AL891" s="98">
        <f>'Supply planning data'!AN889</f>
        <v>0</v>
      </c>
      <c r="AM891" s="325" t="str">
        <f>'Supply planning data'!AO889</f>
        <v/>
      </c>
    </row>
    <row r="892" spans="1:39" x14ac:dyDescent="0.25">
      <c r="A892" s="104" t="str">
        <f>'Supply planning data'!C890</f>
        <v>AstraZeneca</v>
      </c>
      <c r="B892" s="298">
        <f>'Supply planning data'!D890</f>
        <v>45992</v>
      </c>
      <c r="C892" s="105" t="str">
        <f>'Supply planning data'!E890</f>
        <v>Yes</v>
      </c>
      <c r="D892" s="105">
        <f>'Supply planning data'!F890</f>
        <v>0</v>
      </c>
      <c r="E892" s="320">
        <f>'Supply planning data'!G890</f>
        <v>0</v>
      </c>
      <c r="F892" s="320">
        <f>'Supply planning data'!H890</f>
        <v>0</v>
      </c>
      <c r="G892" s="320">
        <f>'Supply planning data'!I890</f>
        <v>0</v>
      </c>
      <c r="H892" s="105">
        <f>'Supply planning data'!J890</f>
        <v>0</v>
      </c>
      <c r="I892" s="320">
        <f>'Supply planning data'!K890</f>
        <v>0</v>
      </c>
      <c r="J892" s="177" t="str">
        <f>'Supply planning data'!L890</f>
        <v/>
      </c>
      <c r="K892" s="105">
        <f>'Supply planning data'!M890</f>
        <v>0</v>
      </c>
      <c r="L892" s="320">
        <f>'Supply planning data'!N890+'Supply planning data'!P890</f>
        <v>0</v>
      </c>
      <c r="M892" s="341">
        <f>'Supply planning data'!O890</f>
        <v>0</v>
      </c>
      <c r="N892" s="320">
        <f>'Supply planning data'!P890</f>
        <v>0</v>
      </c>
      <c r="O892" s="341">
        <f>'Supply planning data'!Q890</f>
        <v>0</v>
      </c>
      <c r="P892" s="105">
        <f>'Supply planning data'!R890</f>
        <v>0</v>
      </c>
      <c r="Q892" s="105">
        <f>'Supply planning data'!S890</f>
        <v>0</v>
      </c>
      <c r="R892" s="105">
        <f>'Supply planning data'!T890</f>
        <v>0</v>
      </c>
      <c r="S892" s="105">
        <f>'Supply planning data'!U890</f>
        <v>0</v>
      </c>
      <c r="T892" s="105">
        <f>'Supply planning data'!V890</f>
        <v>0</v>
      </c>
      <c r="U892" s="326" t="str">
        <f>'Supply planning data'!W890</f>
        <v/>
      </c>
      <c r="V892" s="105">
        <f>'Supply planning data'!X890</f>
        <v>154701</v>
      </c>
      <c r="W892" s="320">
        <f>'Supply planning data'!Y890</f>
        <v>0</v>
      </c>
      <c r="X892" s="329">
        <f>'Supply planning data'!Z890</f>
        <v>0</v>
      </c>
      <c r="Y892" s="105">
        <f>'Supply planning data'!AA890</f>
        <v>0</v>
      </c>
      <c r="Z892" s="105">
        <f>'Supply planning data'!AB890</f>
        <v>0</v>
      </c>
      <c r="AA892" s="105">
        <f>'Supply planning data'!AC890</f>
        <v>0</v>
      </c>
      <c r="AB892" s="105">
        <f>'Supply planning data'!AD890</f>
        <v>0</v>
      </c>
      <c r="AC892" s="105">
        <f>'Supply planning data'!AE890</f>
        <v>154701</v>
      </c>
      <c r="AD892" s="326" t="str">
        <f>'Supply planning data'!AF890</f>
        <v/>
      </c>
      <c r="AE892" s="105">
        <f>'Supply planning data'!AG890</f>
        <v>0</v>
      </c>
      <c r="AF892" s="320">
        <f>'Supply planning data'!AH890</f>
        <v>0</v>
      </c>
      <c r="AG892" s="177">
        <f>'Supply planning data'!AI890</f>
        <v>0</v>
      </c>
      <c r="AH892" s="105">
        <f>'Supply planning data'!AJ890</f>
        <v>0</v>
      </c>
      <c r="AI892" s="105">
        <f>'Supply planning data'!AK890</f>
        <v>0</v>
      </c>
      <c r="AJ892" s="105">
        <f>'Supply planning data'!AL890</f>
        <v>0</v>
      </c>
      <c r="AK892" s="105">
        <f>'Supply planning data'!AM890</f>
        <v>0</v>
      </c>
      <c r="AL892" s="105">
        <f>'Supply planning data'!AN890</f>
        <v>0</v>
      </c>
      <c r="AM892" s="326" t="str">
        <f>'Supply planning data'!AO890</f>
        <v/>
      </c>
    </row>
    <row r="893" spans="1:39" x14ac:dyDescent="0.25">
      <c r="A893" s="109" t="str">
        <f>'Supply planning data'!C891</f>
        <v>Jansen</v>
      </c>
      <c r="B893" s="298">
        <f>'Supply planning data'!D891</f>
        <v>45992</v>
      </c>
      <c r="C893" s="105" t="str">
        <f>'Supply planning data'!E891</f>
        <v>Yes</v>
      </c>
      <c r="D893" s="105">
        <f>'Supply planning data'!F891</f>
        <v>1871200</v>
      </c>
      <c r="E893" s="320">
        <f>'Supply planning data'!G891</f>
        <v>0</v>
      </c>
      <c r="F893" s="320">
        <f>'Supply planning data'!H891</f>
        <v>0</v>
      </c>
      <c r="G893" s="320">
        <f>'Supply planning data'!I891</f>
        <v>0</v>
      </c>
      <c r="H893" s="105">
        <f>'Supply planning data'!J891</f>
        <v>0</v>
      </c>
      <c r="I893" s="320">
        <f>'Supply planning data'!K891</f>
        <v>0</v>
      </c>
      <c r="J893" s="177" t="str">
        <f>'Supply planning data'!L891</f>
        <v/>
      </c>
      <c r="K893" s="105">
        <f>'Supply planning data'!M891</f>
        <v>0</v>
      </c>
      <c r="L893" s="321">
        <f>'Supply planning data'!N891+'Supply planning data'!P891</f>
        <v>0</v>
      </c>
      <c r="M893" s="342">
        <f>'Supply planning data'!O891</f>
        <v>0</v>
      </c>
      <c r="N893" s="321">
        <f>'Supply planning data'!P891</f>
        <v>0</v>
      </c>
      <c r="O893" s="342">
        <f>'Supply planning data'!Q891</f>
        <v>0</v>
      </c>
      <c r="P893" s="111">
        <f>'Supply planning data'!R891</f>
        <v>0</v>
      </c>
      <c r="Q893" s="111">
        <f>'Supply planning data'!S891</f>
        <v>0</v>
      </c>
      <c r="R893" s="111">
        <f>'Supply planning data'!T891</f>
        <v>0</v>
      </c>
      <c r="S893" s="111">
        <f>'Supply planning data'!U891</f>
        <v>0</v>
      </c>
      <c r="T893" s="111">
        <f>'Supply planning data'!V891</f>
        <v>1871200</v>
      </c>
      <c r="U893" s="327" t="str">
        <f>'Supply planning data'!W891</f>
        <v/>
      </c>
      <c r="V893" s="111">
        <f>'Supply planning data'!X891</f>
        <v>1311200</v>
      </c>
      <c r="W893" s="321">
        <f>'Supply planning data'!Y891</f>
        <v>0</v>
      </c>
      <c r="X893" s="329">
        <f>'Supply planning data'!Z891</f>
        <v>0</v>
      </c>
      <c r="Y893" s="111">
        <f>'Supply planning data'!AA891</f>
        <v>0</v>
      </c>
      <c r="Z893" s="111">
        <f>'Supply planning data'!AB891</f>
        <v>0</v>
      </c>
      <c r="AA893" s="111">
        <f>'Supply planning data'!AC891</f>
        <v>0</v>
      </c>
      <c r="AB893" s="111">
        <f>'Supply planning data'!AD891</f>
        <v>0</v>
      </c>
      <c r="AC893" s="111">
        <f>'Supply planning data'!AE891</f>
        <v>1311200</v>
      </c>
      <c r="AD893" s="327" t="str">
        <f>'Supply planning data'!AF891</f>
        <v/>
      </c>
      <c r="AE893" s="111">
        <f>'Supply planning data'!AG891</f>
        <v>1871200</v>
      </c>
      <c r="AF893" s="321">
        <f>'Supply planning data'!AH891</f>
        <v>0</v>
      </c>
      <c r="AG893" s="349">
        <f>'Supply planning data'!AI891</f>
        <v>0</v>
      </c>
      <c r="AH893" s="111">
        <f>'Supply planning data'!AJ891</f>
        <v>0</v>
      </c>
      <c r="AI893" s="111">
        <f>'Supply planning data'!AK891</f>
        <v>0</v>
      </c>
      <c r="AJ893" s="111">
        <f>'Supply planning data'!AL891</f>
        <v>0</v>
      </c>
      <c r="AK893" s="111">
        <f>'Supply planning data'!AM891</f>
        <v>0</v>
      </c>
      <c r="AL893" s="111">
        <f>'Supply planning data'!AN891</f>
        <v>1871200</v>
      </c>
      <c r="AM893" s="327" t="str">
        <f>'Supply planning data'!AO891</f>
        <v/>
      </c>
    </row>
    <row r="894" spans="1:39" x14ac:dyDescent="0.25">
      <c r="A894" s="104" t="str">
        <f>'Supply planning data'!C892</f>
        <v>Moderna</v>
      </c>
      <c r="B894" s="298">
        <f>'Supply planning data'!D892</f>
        <v>45992</v>
      </c>
      <c r="C894" s="105" t="str">
        <f>'Supply planning data'!E892</f>
        <v>No</v>
      </c>
      <c r="D894" s="105">
        <f>'Supply planning data'!F892</f>
        <v>0</v>
      </c>
      <c r="E894" s="320">
        <f>'Supply planning data'!G892</f>
        <v>0</v>
      </c>
      <c r="F894" s="320">
        <f>'Supply planning data'!H892</f>
        <v>0</v>
      </c>
      <c r="G894" s="320">
        <f>'Supply planning data'!I892</f>
        <v>0</v>
      </c>
      <c r="H894" s="105">
        <f>'Supply planning data'!J892</f>
        <v>0</v>
      </c>
      <c r="I894" s="320">
        <f>'Supply planning data'!K892</f>
        <v>0</v>
      </c>
      <c r="J894" s="177" t="str">
        <f>'Supply planning data'!L892</f>
        <v/>
      </c>
      <c r="K894" s="105">
        <f>'Supply planning data'!M892</f>
        <v>0</v>
      </c>
      <c r="L894" s="321">
        <f>'Supply planning data'!N892+'Supply planning data'!P892</f>
        <v>0</v>
      </c>
      <c r="M894" s="342">
        <f>'Supply planning data'!O892</f>
        <v>0</v>
      </c>
      <c r="N894" s="321">
        <f>'Supply planning data'!P892</f>
        <v>0</v>
      </c>
      <c r="O894" s="342">
        <f>'Supply planning data'!Q892</f>
        <v>0</v>
      </c>
      <c r="P894" s="111">
        <f>'Supply planning data'!R892</f>
        <v>0</v>
      </c>
      <c r="Q894" s="111">
        <f>'Supply planning data'!S892</f>
        <v>0</v>
      </c>
      <c r="R894" s="111">
        <f>'Supply planning data'!T892</f>
        <v>0</v>
      </c>
      <c r="S894" s="111">
        <f>'Supply planning data'!U892</f>
        <v>0</v>
      </c>
      <c r="T894" s="111">
        <f>'Supply planning data'!V892</f>
        <v>0</v>
      </c>
      <c r="U894" s="327" t="str">
        <f>'Supply planning data'!W892</f>
        <v/>
      </c>
      <c r="V894" s="111">
        <f>'Supply planning data'!X892</f>
        <v>0</v>
      </c>
      <c r="W894" s="321">
        <f>'Supply planning data'!Y892</f>
        <v>0</v>
      </c>
      <c r="X894" s="329">
        <f>'Supply planning data'!Z892</f>
        <v>0</v>
      </c>
      <c r="Y894" s="111">
        <f>'Supply planning data'!AA892</f>
        <v>0</v>
      </c>
      <c r="Z894" s="111">
        <f>'Supply planning data'!AB892</f>
        <v>0</v>
      </c>
      <c r="AA894" s="111">
        <f>'Supply planning data'!AC892</f>
        <v>0</v>
      </c>
      <c r="AB894" s="111">
        <f>'Supply planning data'!AD892</f>
        <v>0</v>
      </c>
      <c r="AC894" s="111">
        <f>'Supply planning data'!AE892</f>
        <v>0</v>
      </c>
      <c r="AD894" s="327" t="str">
        <f>'Supply planning data'!AF892</f>
        <v/>
      </c>
      <c r="AE894" s="111">
        <f>'Supply planning data'!AG892</f>
        <v>0</v>
      </c>
      <c r="AF894" s="321">
        <f>'Supply planning data'!AH892</f>
        <v>0</v>
      </c>
      <c r="AG894" s="349">
        <f>'Supply planning data'!AI892</f>
        <v>0</v>
      </c>
      <c r="AH894" s="111">
        <f>'Supply planning data'!AJ892</f>
        <v>0</v>
      </c>
      <c r="AI894" s="111">
        <f>'Supply planning data'!AK892</f>
        <v>0</v>
      </c>
      <c r="AJ894" s="111">
        <f>'Supply planning data'!AL892</f>
        <v>0</v>
      </c>
      <c r="AK894" s="111">
        <f>'Supply planning data'!AM892</f>
        <v>0</v>
      </c>
      <c r="AL894" s="111">
        <f>'Supply planning data'!AN892</f>
        <v>0</v>
      </c>
      <c r="AM894" s="327" t="str">
        <f>'Supply planning data'!AO892</f>
        <v/>
      </c>
    </row>
    <row r="895" spans="1:39" x14ac:dyDescent="0.25">
      <c r="A895" s="109" t="str">
        <f>'Supply planning data'!C893</f>
        <v>Pfizer</v>
      </c>
      <c r="B895" s="298">
        <f>'Supply planning data'!D893</f>
        <v>45992</v>
      </c>
      <c r="C895" s="105" t="str">
        <f>'Supply planning data'!E893</f>
        <v>Yes</v>
      </c>
      <c r="D895" s="105">
        <f>'Supply planning data'!F893</f>
        <v>3000000</v>
      </c>
      <c r="E895" s="320">
        <f>'Supply planning data'!G893</f>
        <v>0</v>
      </c>
      <c r="F895" s="320">
        <f>'Supply planning data'!H893</f>
        <v>0</v>
      </c>
      <c r="G895" s="320">
        <f>'Supply planning data'!I893</f>
        <v>0</v>
      </c>
      <c r="H895" s="105">
        <f>'Supply planning data'!J893</f>
        <v>0</v>
      </c>
      <c r="I895" s="320">
        <f>'Supply planning data'!K893</f>
        <v>0</v>
      </c>
      <c r="J895" s="177" t="str">
        <f>'Supply planning data'!L893</f>
        <v/>
      </c>
      <c r="K895" s="105">
        <f>'Supply planning data'!M893</f>
        <v>0</v>
      </c>
      <c r="L895" s="321">
        <f>'Supply planning data'!N893+'Supply planning data'!P893</f>
        <v>0</v>
      </c>
      <c r="M895" s="342">
        <f>'Supply planning data'!O893</f>
        <v>0</v>
      </c>
      <c r="N895" s="321">
        <f>'Supply planning data'!P893</f>
        <v>0</v>
      </c>
      <c r="O895" s="342">
        <f>'Supply planning data'!Q893</f>
        <v>0</v>
      </c>
      <c r="P895" s="111">
        <f>'Supply planning data'!R893</f>
        <v>0</v>
      </c>
      <c r="Q895" s="111">
        <f>'Supply planning data'!S893</f>
        <v>0</v>
      </c>
      <c r="R895" s="111">
        <f>'Supply planning data'!T893</f>
        <v>0</v>
      </c>
      <c r="S895" s="111">
        <f>'Supply planning data'!U893</f>
        <v>0</v>
      </c>
      <c r="T895" s="111">
        <f>'Supply planning data'!V893</f>
        <v>3000000</v>
      </c>
      <c r="U895" s="327" t="str">
        <f>'Supply planning data'!W893</f>
        <v/>
      </c>
      <c r="V895" s="111">
        <f>'Supply planning data'!X893</f>
        <v>2440000</v>
      </c>
      <c r="W895" s="321">
        <f>'Supply planning data'!Y893</f>
        <v>0</v>
      </c>
      <c r="X895" s="329">
        <f>'Supply planning data'!Z893</f>
        <v>0</v>
      </c>
      <c r="Y895" s="111">
        <f>'Supply planning data'!AA893</f>
        <v>0</v>
      </c>
      <c r="Z895" s="111">
        <f>'Supply planning data'!AB893</f>
        <v>0</v>
      </c>
      <c r="AA895" s="111">
        <f>'Supply planning data'!AC893</f>
        <v>0</v>
      </c>
      <c r="AB895" s="111">
        <f>'Supply planning data'!AD893</f>
        <v>0</v>
      </c>
      <c r="AC895" s="111">
        <f>'Supply planning data'!AE893</f>
        <v>2440000</v>
      </c>
      <c r="AD895" s="327" t="str">
        <f>'Supply planning data'!AF893</f>
        <v/>
      </c>
      <c r="AE895" s="111">
        <f>'Supply planning data'!AG893</f>
        <v>3000000</v>
      </c>
      <c r="AF895" s="321">
        <f>'Supply planning data'!AH893</f>
        <v>0</v>
      </c>
      <c r="AG895" s="349">
        <f>'Supply planning data'!AI893</f>
        <v>0</v>
      </c>
      <c r="AH895" s="111">
        <f>'Supply planning data'!AJ893</f>
        <v>0</v>
      </c>
      <c r="AI895" s="111">
        <f>'Supply planning data'!AK893</f>
        <v>0</v>
      </c>
      <c r="AJ895" s="111">
        <f>'Supply planning data'!AL893</f>
        <v>0</v>
      </c>
      <c r="AK895" s="111">
        <f>'Supply planning data'!AM893</f>
        <v>0</v>
      </c>
      <c r="AL895" s="111">
        <f>'Supply planning data'!AN893</f>
        <v>3000000</v>
      </c>
      <c r="AM895" s="327" t="str">
        <f>'Supply planning data'!AO893</f>
        <v/>
      </c>
    </row>
    <row r="896" spans="1:39" x14ac:dyDescent="0.25">
      <c r="A896" s="104" t="str">
        <f>'Supply planning data'!C894</f>
        <v>Sinovac</v>
      </c>
      <c r="B896" s="298">
        <f>'Supply planning data'!D894</f>
        <v>45992</v>
      </c>
      <c r="C896" s="105" t="str">
        <f>'Supply planning data'!E894</f>
        <v>No</v>
      </c>
      <c r="D896" s="105">
        <f>'Supply planning data'!F894</f>
        <v>0</v>
      </c>
      <c r="E896" s="320">
        <f>'Supply planning data'!G894</f>
        <v>0</v>
      </c>
      <c r="F896" s="320">
        <f>'Supply planning data'!H894</f>
        <v>0</v>
      </c>
      <c r="G896" s="320">
        <f>'Supply planning data'!I894</f>
        <v>0</v>
      </c>
      <c r="H896" s="105">
        <f>'Supply planning data'!J894</f>
        <v>0</v>
      </c>
      <c r="I896" s="320">
        <f>'Supply planning data'!K894</f>
        <v>0</v>
      </c>
      <c r="J896" s="177" t="str">
        <f>'Supply planning data'!L894</f>
        <v/>
      </c>
      <c r="K896" s="105">
        <f>'Supply planning data'!M894</f>
        <v>0</v>
      </c>
      <c r="L896" s="321">
        <f>'Supply planning data'!N894+'Supply planning data'!P894</f>
        <v>0</v>
      </c>
      <c r="M896" s="342">
        <f>'Supply planning data'!O894</f>
        <v>0</v>
      </c>
      <c r="N896" s="321">
        <f>'Supply planning data'!P894</f>
        <v>0</v>
      </c>
      <c r="O896" s="342">
        <f>'Supply planning data'!Q894</f>
        <v>0</v>
      </c>
      <c r="P896" s="111">
        <f>'Supply planning data'!R894</f>
        <v>0</v>
      </c>
      <c r="Q896" s="111">
        <f>'Supply planning data'!S894</f>
        <v>0</v>
      </c>
      <c r="R896" s="111">
        <f>'Supply planning data'!T894</f>
        <v>0</v>
      </c>
      <c r="S896" s="111">
        <f>'Supply planning data'!U894</f>
        <v>0</v>
      </c>
      <c r="T896" s="111">
        <f>'Supply planning data'!V894</f>
        <v>0</v>
      </c>
      <c r="U896" s="327" t="str">
        <f>'Supply planning data'!W894</f>
        <v/>
      </c>
      <c r="V896" s="111">
        <f>'Supply planning data'!X894</f>
        <v>0</v>
      </c>
      <c r="W896" s="321">
        <f>'Supply planning data'!Y894</f>
        <v>0</v>
      </c>
      <c r="X896" s="329">
        <f>'Supply planning data'!Z894</f>
        <v>0</v>
      </c>
      <c r="Y896" s="111">
        <f>'Supply planning data'!AA894</f>
        <v>0</v>
      </c>
      <c r="Z896" s="111">
        <f>'Supply planning data'!AB894</f>
        <v>0</v>
      </c>
      <c r="AA896" s="111">
        <f>'Supply planning data'!AC894</f>
        <v>0</v>
      </c>
      <c r="AB896" s="111">
        <f>'Supply planning data'!AD894</f>
        <v>0</v>
      </c>
      <c r="AC896" s="111">
        <f>'Supply planning data'!AE894</f>
        <v>0</v>
      </c>
      <c r="AD896" s="327" t="str">
        <f>'Supply planning data'!AF894</f>
        <v/>
      </c>
      <c r="AE896" s="111">
        <f>'Supply planning data'!AG894</f>
        <v>0</v>
      </c>
      <c r="AF896" s="321">
        <f>'Supply planning data'!AH894</f>
        <v>0</v>
      </c>
      <c r="AG896" s="349">
        <f>'Supply planning data'!AI894</f>
        <v>0</v>
      </c>
      <c r="AH896" s="111">
        <f>'Supply planning data'!AJ894</f>
        <v>0</v>
      </c>
      <c r="AI896" s="111">
        <f>'Supply planning data'!AK894</f>
        <v>0</v>
      </c>
      <c r="AJ896" s="111">
        <f>'Supply planning data'!AL894</f>
        <v>0</v>
      </c>
      <c r="AK896" s="111">
        <f>'Supply planning data'!AM894</f>
        <v>0</v>
      </c>
      <c r="AL896" s="111">
        <f>'Supply planning data'!AN894</f>
        <v>0</v>
      </c>
      <c r="AM896" s="327" t="str">
        <f>'Supply planning data'!AO894</f>
        <v/>
      </c>
    </row>
    <row r="897" spans="1:39" hidden="1" x14ac:dyDescent="0.25">
      <c r="A897" s="109" t="str">
        <f>'Supply planning data'!C895</f>
        <v/>
      </c>
      <c r="B897" s="298">
        <f>'Supply planning data'!D895</f>
        <v>45992</v>
      </c>
      <c r="C897" s="105" t="str">
        <f>'Supply planning data'!E895</f>
        <v>No</v>
      </c>
      <c r="D897" s="105">
        <f>'Supply planning data'!F895</f>
        <v>0</v>
      </c>
      <c r="E897" s="320">
        <f>'Supply planning data'!G895</f>
        <v>0</v>
      </c>
      <c r="F897" s="320">
        <f>'Supply planning data'!H895</f>
        <v>0</v>
      </c>
      <c r="G897" s="320">
        <f>'Supply planning data'!I895</f>
        <v>0</v>
      </c>
      <c r="H897" s="105">
        <f>'Supply planning data'!J895</f>
        <v>0</v>
      </c>
      <c r="I897" s="320">
        <f>'Supply planning data'!K895</f>
        <v>0</v>
      </c>
      <c r="J897" s="177" t="str">
        <f>'Supply planning data'!L895</f>
        <v/>
      </c>
      <c r="K897" s="105">
        <f>'Supply planning data'!M895</f>
        <v>0</v>
      </c>
      <c r="L897" s="321">
        <f>'Supply planning data'!N895+'Supply planning data'!P895</f>
        <v>0</v>
      </c>
      <c r="M897" s="342">
        <f>'Supply planning data'!O895</f>
        <v>0</v>
      </c>
      <c r="N897" s="321">
        <f>'Supply planning data'!P895</f>
        <v>0</v>
      </c>
      <c r="O897" s="342">
        <f>'Supply planning data'!Q895</f>
        <v>0</v>
      </c>
      <c r="P897" s="111">
        <f>'Supply planning data'!R895</f>
        <v>0</v>
      </c>
      <c r="Q897" s="111">
        <f>'Supply planning data'!S895</f>
        <v>0</v>
      </c>
      <c r="R897" s="111">
        <f>'Supply planning data'!T895</f>
        <v>0</v>
      </c>
      <c r="S897" s="111">
        <f>'Supply planning data'!U895</f>
        <v>0</v>
      </c>
      <c r="T897" s="111">
        <f>'Supply planning data'!V895</f>
        <v>0</v>
      </c>
      <c r="U897" s="327" t="str">
        <f>'Supply planning data'!W895</f>
        <v/>
      </c>
      <c r="V897" s="111">
        <f>'Supply planning data'!X895</f>
        <v>0</v>
      </c>
      <c r="W897" s="321">
        <f>'Supply planning data'!Y895</f>
        <v>0</v>
      </c>
      <c r="X897" s="329">
        <f>'Supply planning data'!Z895</f>
        <v>0</v>
      </c>
      <c r="Y897" s="111">
        <f>'Supply planning data'!AA895</f>
        <v>0</v>
      </c>
      <c r="Z897" s="111">
        <f>'Supply planning data'!AB895</f>
        <v>0</v>
      </c>
      <c r="AA897" s="111">
        <f>'Supply planning data'!AC895</f>
        <v>0</v>
      </c>
      <c r="AB897" s="111">
        <f>'Supply planning data'!AD895</f>
        <v>0</v>
      </c>
      <c r="AC897" s="111">
        <f>'Supply planning data'!AE895</f>
        <v>0</v>
      </c>
      <c r="AD897" s="327" t="str">
        <f>'Supply planning data'!AF895</f>
        <v/>
      </c>
      <c r="AE897" s="111">
        <f>'Supply planning data'!AG895</f>
        <v>0</v>
      </c>
      <c r="AF897" s="321">
        <f>'Supply planning data'!AH895</f>
        <v>0</v>
      </c>
      <c r="AG897" s="349">
        <f>'Supply planning data'!AI895</f>
        <v>0</v>
      </c>
      <c r="AH897" s="111">
        <f>'Supply planning data'!AJ895</f>
        <v>0</v>
      </c>
      <c r="AI897" s="111">
        <f>'Supply planning data'!AK895</f>
        <v>0</v>
      </c>
      <c r="AJ897" s="111">
        <f>'Supply planning data'!AL895</f>
        <v>0</v>
      </c>
      <c r="AK897" s="111">
        <f>'Supply planning data'!AM895</f>
        <v>0</v>
      </c>
      <c r="AL897" s="111">
        <f>'Supply planning data'!AN895</f>
        <v>0</v>
      </c>
      <c r="AM897" s="327" t="str">
        <f>'Supply planning data'!AO895</f>
        <v/>
      </c>
    </row>
    <row r="898" spans="1:39" hidden="1" x14ac:dyDescent="0.25">
      <c r="A898" s="104" t="str">
        <f>'Supply planning data'!C896</f>
        <v/>
      </c>
      <c r="B898" s="298">
        <f>'Supply planning data'!D896</f>
        <v>45992</v>
      </c>
      <c r="C898" s="105" t="str">
        <f>'Supply planning data'!E896</f>
        <v>No</v>
      </c>
      <c r="D898" s="105">
        <f>'Supply planning data'!F896</f>
        <v>0</v>
      </c>
      <c r="E898" s="320">
        <f>'Supply planning data'!G896</f>
        <v>0</v>
      </c>
      <c r="F898" s="320">
        <f>'Supply planning data'!H896</f>
        <v>0</v>
      </c>
      <c r="G898" s="320">
        <f>'Supply planning data'!I896</f>
        <v>0</v>
      </c>
      <c r="H898" s="105">
        <f>'Supply planning data'!J896</f>
        <v>0</v>
      </c>
      <c r="I898" s="320">
        <f>'Supply planning data'!K896</f>
        <v>0</v>
      </c>
      <c r="J898" s="177" t="str">
        <f>'Supply planning data'!L896</f>
        <v/>
      </c>
      <c r="K898" s="105">
        <f>'Supply planning data'!M896</f>
        <v>0</v>
      </c>
      <c r="L898" s="321">
        <f>'Supply planning data'!N896+'Supply planning data'!P896</f>
        <v>0</v>
      </c>
      <c r="M898" s="342">
        <f>'Supply planning data'!O896</f>
        <v>0</v>
      </c>
      <c r="N898" s="321">
        <f>'Supply planning data'!P896</f>
        <v>0</v>
      </c>
      <c r="O898" s="342">
        <f>'Supply planning data'!Q896</f>
        <v>0</v>
      </c>
      <c r="P898" s="111">
        <f>'Supply planning data'!R896</f>
        <v>0</v>
      </c>
      <c r="Q898" s="111">
        <f>'Supply planning data'!S896</f>
        <v>0</v>
      </c>
      <c r="R898" s="111">
        <f>'Supply planning data'!T896</f>
        <v>0</v>
      </c>
      <c r="S898" s="111">
        <f>'Supply planning data'!U896</f>
        <v>0</v>
      </c>
      <c r="T898" s="111">
        <f>'Supply planning data'!V896</f>
        <v>0</v>
      </c>
      <c r="U898" s="327" t="str">
        <f>'Supply planning data'!W896</f>
        <v/>
      </c>
      <c r="V898" s="111">
        <f>'Supply planning data'!X896</f>
        <v>0</v>
      </c>
      <c r="W898" s="321">
        <f>'Supply planning data'!Y896</f>
        <v>0</v>
      </c>
      <c r="X898" s="329">
        <f>'Supply planning data'!Z896</f>
        <v>0</v>
      </c>
      <c r="Y898" s="111">
        <f>'Supply planning data'!AA896</f>
        <v>0</v>
      </c>
      <c r="Z898" s="111">
        <f>'Supply planning data'!AB896</f>
        <v>0</v>
      </c>
      <c r="AA898" s="111">
        <f>'Supply planning data'!AC896</f>
        <v>0</v>
      </c>
      <c r="AB898" s="111">
        <f>'Supply planning data'!AD896</f>
        <v>0</v>
      </c>
      <c r="AC898" s="111">
        <f>'Supply planning data'!AE896</f>
        <v>0</v>
      </c>
      <c r="AD898" s="327" t="str">
        <f>'Supply planning data'!AF896</f>
        <v/>
      </c>
      <c r="AE898" s="111">
        <f>'Supply planning data'!AG896</f>
        <v>0</v>
      </c>
      <c r="AF898" s="321">
        <f>'Supply planning data'!AH896</f>
        <v>0</v>
      </c>
      <c r="AG898" s="349">
        <f>'Supply planning data'!AI896</f>
        <v>0</v>
      </c>
      <c r="AH898" s="111">
        <f>'Supply planning data'!AJ896</f>
        <v>0</v>
      </c>
      <c r="AI898" s="111">
        <f>'Supply planning data'!AK896</f>
        <v>0</v>
      </c>
      <c r="AJ898" s="111">
        <f>'Supply planning data'!AL896</f>
        <v>0</v>
      </c>
      <c r="AK898" s="111">
        <f>'Supply planning data'!AM896</f>
        <v>0</v>
      </c>
      <c r="AL898" s="111">
        <f>'Supply planning data'!AN896</f>
        <v>0</v>
      </c>
      <c r="AM898" s="327" t="str">
        <f>'Supply planning data'!AO896</f>
        <v/>
      </c>
    </row>
    <row r="899" spans="1:39" hidden="1" x14ac:dyDescent="0.25">
      <c r="A899" s="109" t="str">
        <f>'Supply planning data'!C897</f>
        <v/>
      </c>
      <c r="B899" s="298">
        <f>'Supply planning data'!D897</f>
        <v>45992</v>
      </c>
      <c r="C899" s="105" t="str">
        <f>'Supply planning data'!E897</f>
        <v>No</v>
      </c>
      <c r="D899" s="105">
        <f>'Supply planning data'!F897</f>
        <v>0</v>
      </c>
      <c r="E899" s="320">
        <f>'Supply planning data'!G897</f>
        <v>0</v>
      </c>
      <c r="F899" s="320">
        <f>'Supply planning data'!H897</f>
        <v>0</v>
      </c>
      <c r="G899" s="320">
        <f>'Supply planning data'!I897</f>
        <v>0</v>
      </c>
      <c r="H899" s="105">
        <f>'Supply planning data'!J897</f>
        <v>0</v>
      </c>
      <c r="I899" s="320">
        <f>'Supply planning data'!K897</f>
        <v>0</v>
      </c>
      <c r="J899" s="177" t="str">
        <f>'Supply planning data'!L897</f>
        <v/>
      </c>
      <c r="K899" s="105">
        <f>'Supply planning data'!M897</f>
        <v>0</v>
      </c>
      <c r="L899" s="321">
        <f>'Supply planning data'!N897+'Supply planning data'!P897</f>
        <v>0</v>
      </c>
      <c r="M899" s="342">
        <f>'Supply planning data'!O897</f>
        <v>0</v>
      </c>
      <c r="N899" s="321">
        <f>'Supply planning data'!P897</f>
        <v>0</v>
      </c>
      <c r="O899" s="342">
        <f>'Supply planning data'!Q897</f>
        <v>0</v>
      </c>
      <c r="P899" s="111">
        <f>'Supply planning data'!R897</f>
        <v>0</v>
      </c>
      <c r="Q899" s="111">
        <f>'Supply planning data'!S897</f>
        <v>0</v>
      </c>
      <c r="R899" s="111">
        <f>'Supply planning data'!T897</f>
        <v>0</v>
      </c>
      <c r="S899" s="111">
        <f>'Supply planning data'!U897</f>
        <v>0</v>
      </c>
      <c r="T899" s="111">
        <f>'Supply planning data'!V897</f>
        <v>0</v>
      </c>
      <c r="U899" s="327" t="str">
        <f>'Supply planning data'!W897</f>
        <v/>
      </c>
      <c r="V899" s="111">
        <f>'Supply planning data'!X897</f>
        <v>0</v>
      </c>
      <c r="W899" s="321">
        <f>'Supply planning data'!Y897</f>
        <v>0</v>
      </c>
      <c r="X899" s="329">
        <f>'Supply planning data'!Z897</f>
        <v>0</v>
      </c>
      <c r="Y899" s="111">
        <f>'Supply planning data'!AA897</f>
        <v>0</v>
      </c>
      <c r="Z899" s="111">
        <f>'Supply planning data'!AB897</f>
        <v>0</v>
      </c>
      <c r="AA899" s="111">
        <f>'Supply planning data'!AC897</f>
        <v>0</v>
      </c>
      <c r="AB899" s="111">
        <f>'Supply planning data'!AD897</f>
        <v>0</v>
      </c>
      <c r="AC899" s="111">
        <f>'Supply planning data'!AE897</f>
        <v>0</v>
      </c>
      <c r="AD899" s="327" t="str">
        <f>'Supply planning data'!AF897</f>
        <v/>
      </c>
      <c r="AE899" s="111">
        <f>'Supply planning data'!AG897</f>
        <v>0</v>
      </c>
      <c r="AF899" s="321">
        <f>'Supply planning data'!AH897</f>
        <v>0</v>
      </c>
      <c r="AG899" s="349">
        <f>'Supply planning data'!AI897</f>
        <v>0</v>
      </c>
      <c r="AH899" s="111">
        <f>'Supply planning data'!AJ897</f>
        <v>0</v>
      </c>
      <c r="AI899" s="111">
        <f>'Supply planning data'!AK897</f>
        <v>0</v>
      </c>
      <c r="AJ899" s="111">
        <f>'Supply planning data'!AL897</f>
        <v>0</v>
      </c>
      <c r="AK899" s="111">
        <f>'Supply planning data'!AM897</f>
        <v>0</v>
      </c>
      <c r="AL899" s="111">
        <f>'Supply planning data'!AN897</f>
        <v>0</v>
      </c>
      <c r="AM899" s="327" t="str">
        <f>'Supply planning data'!AO897</f>
        <v/>
      </c>
    </row>
    <row r="900" spans="1:39" hidden="1" x14ac:dyDescent="0.25">
      <c r="A900" s="104" t="str">
        <f>'Supply planning data'!C898</f>
        <v/>
      </c>
      <c r="B900" s="298">
        <f>'Supply planning data'!D898</f>
        <v>45992</v>
      </c>
      <c r="C900" s="105" t="str">
        <f>'Supply planning data'!E898</f>
        <v>No</v>
      </c>
      <c r="D900" s="105">
        <f>'Supply planning data'!F898</f>
        <v>0</v>
      </c>
      <c r="E900" s="320">
        <f>'Supply planning data'!G898</f>
        <v>0</v>
      </c>
      <c r="F900" s="320">
        <f>'Supply planning data'!H898</f>
        <v>0</v>
      </c>
      <c r="G900" s="320">
        <f>'Supply planning data'!I898</f>
        <v>0</v>
      </c>
      <c r="H900" s="105">
        <f>'Supply planning data'!J898</f>
        <v>0</v>
      </c>
      <c r="I900" s="320">
        <f>'Supply planning data'!K898</f>
        <v>0</v>
      </c>
      <c r="J900" s="177" t="str">
        <f>'Supply planning data'!L898</f>
        <v/>
      </c>
      <c r="K900" s="105">
        <f>'Supply planning data'!M898</f>
        <v>0</v>
      </c>
      <c r="L900" s="321">
        <f>'Supply planning data'!N898+'Supply planning data'!P898</f>
        <v>0</v>
      </c>
      <c r="M900" s="342">
        <f>'Supply planning data'!O898</f>
        <v>0</v>
      </c>
      <c r="N900" s="321">
        <f>'Supply planning data'!P898</f>
        <v>0</v>
      </c>
      <c r="O900" s="342">
        <f>'Supply planning data'!Q898</f>
        <v>0</v>
      </c>
      <c r="P900" s="111">
        <f>'Supply planning data'!R898</f>
        <v>0</v>
      </c>
      <c r="Q900" s="111">
        <f>'Supply planning data'!S898</f>
        <v>0</v>
      </c>
      <c r="R900" s="111">
        <f>'Supply planning data'!T898</f>
        <v>0</v>
      </c>
      <c r="S900" s="111">
        <f>'Supply planning data'!U898</f>
        <v>0</v>
      </c>
      <c r="T900" s="111">
        <f>'Supply planning data'!V898</f>
        <v>0</v>
      </c>
      <c r="U900" s="327" t="str">
        <f>'Supply planning data'!W898</f>
        <v/>
      </c>
      <c r="V900" s="111">
        <f>'Supply planning data'!X898</f>
        <v>0</v>
      </c>
      <c r="W900" s="321">
        <f>'Supply planning data'!Y898</f>
        <v>0</v>
      </c>
      <c r="X900" s="329">
        <f>'Supply planning data'!Z898</f>
        <v>0</v>
      </c>
      <c r="Y900" s="111">
        <f>'Supply planning data'!AA898</f>
        <v>0</v>
      </c>
      <c r="Z900" s="111">
        <f>'Supply planning data'!AB898</f>
        <v>0</v>
      </c>
      <c r="AA900" s="111">
        <f>'Supply planning data'!AC898</f>
        <v>0</v>
      </c>
      <c r="AB900" s="111">
        <f>'Supply planning data'!AD898</f>
        <v>0</v>
      </c>
      <c r="AC900" s="111">
        <f>'Supply planning data'!AE898</f>
        <v>0</v>
      </c>
      <c r="AD900" s="327" t="str">
        <f>'Supply planning data'!AF898</f>
        <v/>
      </c>
      <c r="AE900" s="111">
        <f>'Supply planning data'!AG898</f>
        <v>0</v>
      </c>
      <c r="AF900" s="321">
        <f>'Supply planning data'!AH898</f>
        <v>0</v>
      </c>
      <c r="AG900" s="349">
        <f>'Supply planning data'!AI898</f>
        <v>0</v>
      </c>
      <c r="AH900" s="111">
        <f>'Supply planning data'!AJ898</f>
        <v>0</v>
      </c>
      <c r="AI900" s="111">
        <f>'Supply planning data'!AK898</f>
        <v>0</v>
      </c>
      <c r="AJ900" s="111">
        <f>'Supply planning data'!AL898</f>
        <v>0</v>
      </c>
      <c r="AK900" s="111">
        <f>'Supply planning data'!AM898</f>
        <v>0</v>
      </c>
      <c r="AL900" s="111">
        <f>'Supply planning data'!AN898</f>
        <v>0</v>
      </c>
      <c r="AM900" s="327" t="str">
        <f>'Supply planning data'!AO898</f>
        <v/>
      </c>
    </row>
    <row r="901" spans="1:39" hidden="1" x14ac:dyDescent="0.25">
      <c r="A901" s="109" t="str">
        <f>'Supply planning data'!C899</f>
        <v/>
      </c>
      <c r="B901" s="298">
        <f>'Supply planning data'!D899</f>
        <v>45992</v>
      </c>
      <c r="C901" s="105" t="str">
        <f>'Supply planning data'!E899</f>
        <v>No</v>
      </c>
      <c r="D901" s="105">
        <f>'Supply planning data'!F899</f>
        <v>0</v>
      </c>
      <c r="E901" s="320">
        <f>'Supply planning data'!G899</f>
        <v>0</v>
      </c>
      <c r="F901" s="320">
        <f>'Supply planning data'!H899</f>
        <v>0</v>
      </c>
      <c r="G901" s="320">
        <f>'Supply planning data'!I899</f>
        <v>0</v>
      </c>
      <c r="H901" s="105">
        <f>'Supply planning data'!J899</f>
        <v>0</v>
      </c>
      <c r="I901" s="320">
        <f>'Supply planning data'!K899</f>
        <v>0</v>
      </c>
      <c r="J901" s="177" t="str">
        <f>'Supply planning data'!L899</f>
        <v/>
      </c>
      <c r="K901" s="105">
        <f>'Supply planning data'!M899</f>
        <v>0</v>
      </c>
      <c r="L901" s="321">
        <f>'Supply planning data'!N899+'Supply planning data'!P899</f>
        <v>0</v>
      </c>
      <c r="M901" s="342">
        <f>'Supply planning data'!O899</f>
        <v>0</v>
      </c>
      <c r="N901" s="321">
        <f>'Supply planning data'!P899</f>
        <v>0</v>
      </c>
      <c r="O901" s="342">
        <f>'Supply planning data'!Q899</f>
        <v>0</v>
      </c>
      <c r="P901" s="111">
        <f>'Supply planning data'!R899</f>
        <v>0</v>
      </c>
      <c r="Q901" s="111">
        <f>'Supply planning data'!S899</f>
        <v>0</v>
      </c>
      <c r="R901" s="111">
        <f>'Supply planning data'!T899</f>
        <v>0</v>
      </c>
      <c r="S901" s="111">
        <f>'Supply planning data'!U899</f>
        <v>0</v>
      </c>
      <c r="T901" s="111">
        <f>'Supply planning data'!V899</f>
        <v>0</v>
      </c>
      <c r="U901" s="327" t="str">
        <f>'Supply planning data'!W899</f>
        <v/>
      </c>
      <c r="V901" s="111">
        <f>'Supply planning data'!X899</f>
        <v>0</v>
      </c>
      <c r="W901" s="321">
        <f>'Supply planning data'!Y899</f>
        <v>0</v>
      </c>
      <c r="X901" s="329">
        <f>'Supply planning data'!Z899</f>
        <v>0</v>
      </c>
      <c r="Y901" s="111">
        <f>'Supply planning data'!AA899</f>
        <v>0</v>
      </c>
      <c r="Z901" s="111">
        <f>'Supply planning data'!AB899</f>
        <v>0</v>
      </c>
      <c r="AA901" s="111">
        <f>'Supply planning data'!AC899</f>
        <v>0</v>
      </c>
      <c r="AB901" s="111">
        <f>'Supply planning data'!AD899</f>
        <v>0</v>
      </c>
      <c r="AC901" s="111">
        <f>'Supply planning data'!AE899</f>
        <v>0</v>
      </c>
      <c r="AD901" s="327" t="str">
        <f>'Supply planning data'!AF899</f>
        <v/>
      </c>
      <c r="AE901" s="111">
        <f>'Supply planning data'!AG899</f>
        <v>0</v>
      </c>
      <c r="AF901" s="321">
        <f>'Supply planning data'!AH899</f>
        <v>0</v>
      </c>
      <c r="AG901" s="349">
        <f>'Supply planning data'!AI899</f>
        <v>0</v>
      </c>
      <c r="AH901" s="111">
        <f>'Supply planning data'!AJ899</f>
        <v>0</v>
      </c>
      <c r="AI901" s="111">
        <f>'Supply planning data'!AK899</f>
        <v>0</v>
      </c>
      <c r="AJ901" s="111">
        <f>'Supply planning data'!AL899</f>
        <v>0</v>
      </c>
      <c r="AK901" s="111">
        <f>'Supply planning data'!AM899</f>
        <v>0</v>
      </c>
      <c r="AL901" s="111">
        <f>'Supply planning data'!AN899</f>
        <v>0</v>
      </c>
      <c r="AM901" s="327" t="str">
        <f>'Supply planning data'!AO899</f>
        <v/>
      </c>
    </row>
    <row r="902" spans="1:39" hidden="1" x14ac:dyDescent="0.25">
      <c r="A902" s="104" t="str">
        <f>'Supply planning data'!C900</f>
        <v/>
      </c>
      <c r="B902" s="298">
        <f>'Supply planning data'!D900</f>
        <v>45992</v>
      </c>
      <c r="C902" s="105" t="str">
        <f>'Supply planning data'!E900</f>
        <v>No</v>
      </c>
      <c r="D902" s="105">
        <f>'Supply planning data'!F900</f>
        <v>0</v>
      </c>
      <c r="E902" s="320">
        <f>'Supply planning data'!G900</f>
        <v>0</v>
      </c>
      <c r="F902" s="320">
        <f>'Supply planning data'!H900</f>
        <v>0</v>
      </c>
      <c r="G902" s="320">
        <f>'Supply planning data'!I900</f>
        <v>0</v>
      </c>
      <c r="H902" s="105">
        <f>'Supply planning data'!J900</f>
        <v>0</v>
      </c>
      <c r="I902" s="320">
        <f>'Supply planning data'!K900</f>
        <v>0</v>
      </c>
      <c r="J902" s="177" t="str">
        <f>'Supply planning data'!L900</f>
        <v/>
      </c>
      <c r="K902" s="105">
        <f>'Supply planning data'!M900</f>
        <v>0</v>
      </c>
      <c r="L902" s="321">
        <f>'Supply planning data'!N900+'Supply planning data'!P900</f>
        <v>0</v>
      </c>
      <c r="M902" s="342">
        <f>'Supply planning data'!O900</f>
        <v>0</v>
      </c>
      <c r="N902" s="321">
        <f>'Supply planning data'!P900</f>
        <v>0</v>
      </c>
      <c r="O902" s="342">
        <f>'Supply planning data'!Q900</f>
        <v>0</v>
      </c>
      <c r="P902" s="111">
        <f>'Supply planning data'!R900</f>
        <v>0</v>
      </c>
      <c r="Q902" s="111">
        <f>'Supply planning data'!S900</f>
        <v>0</v>
      </c>
      <c r="R902" s="111">
        <f>'Supply planning data'!T900</f>
        <v>0</v>
      </c>
      <c r="S902" s="111">
        <f>'Supply planning data'!U900</f>
        <v>0</v>
      </c>
      <c r="T902" s="111">
        <f>'Supply planning data'!V900</f>
        <v>0</v>
      </c>
      <c r="U902" s="327" t="str">
        <f>'Supply planning data'!W900</f>
        <v/>
      </c>
      <c r="V902" s="111">
        <f>'Supply planning data'!X900</f>
        <v>0</v>
      </c>
      <c r="W902" s="321">
        <f>'Supply planning data'!Y900</f>
        <v>0</v>
      </c>
      <c r="X902" s="329">
        <f>'Supply planning data'!Z900</f>
        <v>0</v>
      </c>
      <c r="Y902" s="111">
        <f>'Supply planning data'!AA900</f>
        <v>0</v>
      </c>
      <c r="Z902" s="111">
        <f>'Supply planning data'!AB900</f>
        <v>0</v>
      </c>
      <c r="AA902" s="111">
        <f>'Supply planning data'!AC900</f>
        <v>0</v>
      </c>
      <c r="AB902" s="111">
        <f>'Supply planning data'!AD900</f>
        <v>0</v>
      </c>
      <c r="AC902" s="111">
        <f>'Supply planning data'!AE900</f>
        <v>0</v>
      </c>
      <c r="AD902" s="327" t="str">
        <f>'Supply planning data'!AF900</f>
        <v/>
      </c>
      <c r="AE902" s="111">
        <f>'Supply planning data'!AG900</f>
        <v>0</v>
      </c>
      <c r="AF902" s="321">
        <f>'Supply planning data'!AH900</f>
        <v>0</v>
      </c>
      <c r="AG902" s="349">
        <f>'Supply planning data'!AI900</f>
        <v>0</v>
      </c>
      <c r="AH902" s="111">
        <f>'Supply planning data'!AJ900</f>
        <v>0</v>
      </c>
      <c r="AI902" s="111">
        <f>'Supply planning data'!AK900</f>
        <v>0</v>
      </c>
      <c r="AJ902" s="111">
        <f>'Supply planning data'!AL900</f>
        <v>0</v>
      </c>
      <c r="AK902" s="111">
        <f>'Supply planning data'!AM900</f>
        <v>0</v>
      </c>
      <c r="AL902" s="111">
        <f>'Supply planning data'!AN900</f>
        <v>0</v>
      </c>
      <c r="AM902" s="327" t="str">
        <f>'Supply planning data'!AO900</f>
        <v/>
      </c>
    </row>
    <row r="903" spans="1:39" hidden="1" x14ac:dyDescent="0.25">
      <c r="A903" s="109" t="str">
        <f>'Supply planning data'!C901</f>
        <v/>
      </c>
      <c r="B903" s="298">
        <f>'Supply planning data'!D901</f>
        <v>45992</v>
      </c>
      <c r="C903" s="105" t="str">
        <f>'Supply planning data'!E901</f>
        <v>No</v>
      </c>
      <c r="D903" s="105">
        <f>'Supply planning data'!F901</f>
        <v>0</v>
      </c>
      <c r="E903" s="320">
        <f>'Supply planning data'!G901</f>
        <v>0</v>
      </c>
      <c r="F903" s="320">
        <f>'Supply planning data'!H901</f>
        <v>0</v>
      </c>
      <c r="G903" s="320">
        <f>'Supply planning data'!I901</f>
        <v>0</v>
      </c>
      <c r="H903" s="105">
        <f>'Supply planning data'!J901</f>
        <v>0</v>
      </c>
      <c r="I903" s="320">
        <f>'Supply planning data'!K901</f>
        <v>0</v>
      </c>
      <c r="J903" s="177" t="str">
        <f>'Supply planning data'!L901</f>
        <v/>
      </c>
      <c r="K903" s="105">
        <f>'Supply planning data'!M901</f>
        <v>0</v>
      </c>
      <c r="L903" s="321">
        <f>'Supply planning data'!N901+'Supply planning data'!P901</f>
        <v>0</v>
      </c>
      <c r="M903" s="342">
        <f>'Supply planning data'!O901</f>
        <v>0</v>
      </c>
      <c r="N903" s="321">
        <f>'Supply planning data'!P901</f>
        <v>0</v>
      </c>
      <c r="O903" s="342">
        <f>'Supply planning data'!Q901</f>
        <v>0</v>
      </c>
      <c r="P903" s="111">
        <f>'Supply planning data'!R901</f>
        <v>0</v>
      </c>
      <c r="Q903" s="111">
        <f>'Supply planning data'!S901</f>
        <v>0</v>
      </c>
      <c r="R903" s="111">
        <f>'Supply planning data'!T901</f>
        <v>0</v>
      </c>
      <c r="S903" s="111">
        <f>'Supply planning data'!U901</f>
        <v>0</v>
      </c>
      <c r="T903" s="111">
        <f>'Supply planning data'!V901</f>
        <v>0</v>
      </c>
      <c r="U903" s="327" t="str">
        <f>'Supply planning data'!W901</f>
        <v/>
      </c>
      <c r="V903" s="111">
        <f>'Supply planning data'!X901</f>
        <v>0</v>
      </c>
      <c r="W903" s="321">
        <f>'Supply planning data'!Y901</f>
        <v>0</v>
      </c>
      <c r="X903" s="329">
        <f>'Supply planning data'!Z901</f>
        <v>0</v>
      </c>
      <c r="Y903" s="111">
        <f>'Supply planning data'!AA901</f>
        <v>0</v>
      </c>
      <c r="Z903" s="111">
        <f>'Supply planning data'!AB901</f>
        <v>0</v>
      </c>
      <c r="AA903" s="111">
        <f>'Supply planning data'!AC901</f>
        <v>0</v>
      </c>
      <c r="AB903" s="111">
        <f>'Supply planning data'!AD901</f>
        <v>0</v>
      </c>
      <c r="AC903" s="111">
        <f>'Supply planning data'!AE901</f>
        <v>0</v>
      </c>
      <c r="AD903" s="327" t="str">
        <f>'Supply planning data'!AF901</f>
        <v/>
      </c>
      <c r="AE903" s="111">
        <f>'Supply planning data'!AG901</f>
        <v>0</v>
      </c>
      <c r="AF903" s="321">
        <f>'Supply planning data'!AH901</f>
        <v>0</v>
      </c>
      <c r="AG903" s="349">
        <f>'Supply planning data'!AI901</f>
        <v>0</v>
      </c>
      <c r="AH903" s="111">
        <f>'Supply planning data'!AJ901</f>
        <v>0</v>
      </c>
      <c r="AI903" s="111">
        <f>'Supply planning data'!AK901</f>
        <v>0</v>
      </c>
      <c r="AJ903" s="111">
        <f>'Supply planning data'!AL901</f>
        <v>0</v>
      </c>
      <c r="AK903" s="111">
        <f>'Supply planning data'!AM901</f>
        <v>0</v>
      </c>
      <c r="AL903" s="111">
        <f>'Supply planning data'!AN901</f>
        <v>0</v>
      </c>
      <c r="AM903" s="327" t="str">
        <f>'Supply planning data'!AO901</f>
        <v/>
      </c>
    </row>
    <row r="904" spans="1:39" hidden="1" x14ac:dyDescent="0.25">
      <c r="A904" s="104" t="str">
        <f>'Supply planning data'!C902</f>
        <v/>
      </c>
      <c r="B904" s="298">
        <f>'Supply planning data'!D902</f>
        <v>45992</v>
      </c>
      <c r="C904" s="105" t="str">
        <f>'Supply planning data'!E902</f>
        <v>No</v>
      </c>
      <c r="D904" s="105">
        <f>'Supply planning data'!F902</f>
        <v>0</v>
      </c>
      <c r="E904" s="320">
        <f>'Supply planning data'!G902</f>
        <v>0</v>
      </c>
      <c r="F904" s="320">
        <f>'Supply planning data'!H902</f>
        <v>0</v>
      </c>
      <c r="G904" s="320">
        <f>'Supply planning data'!I902</f>
        <v>0</v>
      </c>
      <c r="H904" s="105">
        <f>'Supply planning data'!J902</f>
        <v>0</v>
      </c>
      <c r="I904" s="320">
        <f>'Supply planning data'!K902</f>
        <v>0</v>
      </c>
      <c r="J904" s="177" t="str">
        <f>'Supply planning data'!L902</f>
        <v/>
      </c>
      <c r="K904" s="105">
        <f>'Supply planning data'!M902</f>
        <v>0</v>
      </c>
      <c r="L904" s="321">
        <f>'Supply planning data'!N902+'Supply planning data'!P902</f>
        <v>0</v>
      </c>
      <c r="M904" s="342">
        <f>'Supply planning data'!O902</f>
        <v>0</v>
      </c>
      <c r="N904" s="321">
        <f>'Supply planning data'!P902</f>
        <v>0</v>
      </c>
      <c r="O904" s="342">
        <f>'Supply planning data'!Q902</f>
        <v>0</v>
      </c>
      <c r="P904" s="111">
        <f>'Supply planning data'!R902</f>
        <v>0</v>
      </c>
      <c r="Q904" s="111">
        <f>'Supply planning data'!S902</f>
        <v>0</v>
      </c>
      <c r="R904" s="111">
        <f>'Supply planning data'!T902</f>
        <v>0</v>
      </c>
      <c r="S904" s="111">
        <f>'Supply planning data'!U902</f>
        <v>0</v>
      </c>
      <c r="T904" s="111">
        <f>'Supply planning data'!V902</f>
        <v>0</v>
      </c>
      <c r="U904" s="327" t="str">
        <f>'Supply planning data'!W902</f>
        <v/>
      </c>
      <c r="V904" s="111">
        <f>'Supply planning data'!X902</f>
        <v>0</v>
      </c>
      <c r="W904" s="321">
        <f>'Supply planning data'!Y902</f>
        <v>0</v>
      </c>
      <c r="X904" s="329">
        <f>'Supply planning data'!Z902</f>
        <v>0</v>
      </c>
      <c r="Y904" s="111">
        <f>'Supply planning data'!AA902</f>
        <v>0</v>
      </c>
      <c r="Z904" s="111">
        <f>'Supply planning data'!AB902</f>
        <v>0</v>
      </c>
      <c r="AA904" s="111">
        <f>'Supply planning data'!AC902</f>
        <v>0</v>
      </c>
      <c r="AB904" s="111">
        <f>'Supply planning data'!AD902</f>
        <v>0</v>
      </c>
      <c r="AC904" s="111">
        <f>'Supply planning data'!AE902</f>
        <v>0</v>
      </c>
      <c r="AD904" s="327" t="str">
        <f>'Supply planning data'!AF902</f>
        <v/>
      </c>
      <c r="AE904" s="111">
        <f>'Supply planning data'!AG902</f>
        <v>0</v>
      </c>
      <c r="AF904" s="321">
        <f>'Supply planning data'!AH902</f>
        <v>0</v>
      </c>
      <c r="AG904" s="349">
        <f>'Supply planning data'!AI902</f>
        <v>0</v>
      </c>
      <c r="AH904" s="111">
        <f>'Supply planning data'!AJ902</f>
        <v>0</v>
      </c>
      <c r="AI904" s="111">
        <f>'Supply planning data'!AK902</f>
        <v>0</v>
      </c>
      <c r="AJ904" s="111">
        <f>'Supply planning data'!AL902</f>
        <v>0</v>
      </c>
      <c r="AK904" s="111">
        <f>'Supply planning data'!AM902</f>
        <v>0</v>
      </c>
      <c r="AL904" s="111">
        <f>'Supply planning data'!AN902</f>
        <v>0</v>
      </c>
      <c r="AM904" s="327" t="str">
        <f>'Supply planning data'!AO902</f>
        <v/>
      </c>
    </row>
    <row r="905" spans="1:39" hidden="1" x14ac:dyDescent="0.25">
      <c r="A905" s="109" t="str">
        <f>'Supply planning data'!C903</f>
        <v/>
      </c>
      <c r="B905" s="298">
        <f>'Supply planning data'!D903</f>
        <v>45992</v>
      </c>
      <c r="C905" s="105" t="str">
        <f>'Supply planning data'!E903</f>
        <v>No</v>
      </c>
      <c r="D905" s="105">
        <f>'Supply planning data'!F903</f>
        <v>0</v>
      </c>
      <c r="E905" s="320">
        <f>'Supply planning data'!G903</f>
        <v>0</v>
      </c>
      <c r="F905" s="320">
        <f>'Supply planning data'!H903</f>
        <v>0</v>
      </c>
      <c r="G905" s="320">
        <f>'Supply planning data'!I903</f>
        <v>0</v>
      </c>
      <c r="H905" s="105">
        <f>'Supply planning data'!J903</f>
        <v>0</v>
      </c>
      <c r="I905" s="320">
        <f>'Supply planning data'!K903</f>
        <v>0</v>
      </c>
      <c r="J905" s="177" t="str">
        <f>'Supply planning data'!L903</f>
        <v/>
      </c>
      <c r="K905" s="105">
        <f>'Supply planning data'!M903</f>
        <v>0</v>
      </c>
      <c r="L905" s="321">
        <f>'Supply planning data'!N903+'Supply planning data'!P903</f>
        <v>0</v>
      </c>
      <c r="M905" s="342">
        <f>'Supply planning data'!O903</f>
        <v>0</v>
      </c>
      <c r="N905" s="321">
        <f>'Supply planning data'!P903</f>
        <v>0</v>
      </c>
      <c r="O905" s="342">
        <f>'Supply planning data'!Q903</f>
        <v>0</v>
      </c>
      <c r="P905" s="111">
        <f>'Supply planning data'!R903</f>
        <v>0</v>
      </c>
      <c r="Q905" s="111">
        <f>'Supply planning data'!S903</f>
        <v>0</v>
      </c>
      <c r="R905" s="111">
        <f>'Supply planning data'!T903</f>
        <v>0</v>
      </c>
      <c r="S905" s="111">
        <f>'Supply planning data'!U903</f>
        <v>0</v>
      </c>
      <c r="T905" s="111">
        <f>'Supply planning data'!V903</f>
        <v>0</v>
      </c>
      <c r="U905" s="327" t="str">
        <f>'Supply planning data'!W903</f>
        <v/>
      </c>
      <c r="V905" s="111">
        <f>'Supply planning data'!X903</f>
        <v>0</v>
      </c>
      <c r="W905" s="321">
        <f>'Supply planning data'!Y903</f>
        <v>0</v>
      </c>
      <c r="X905" s="329">
        <f>'Supply planning data'!Z903</f>
        <v>0</v>
      </c>
      <c r="Y905" s="111">
        <f>'Supply planning data'!AA903</f>
        <v>0</v>
      </c>
      <c r="Z905" s="111">
        <f>'Supply planning data'!AB903</f>
        <v>0</v>
      </c>
      <c r="AA905" s="111">
        <f>'Supply planning data'!AC903</f>
        <v>0</v>
      </c>
      <c r="AB905" s="111">
        <f>'Supply planning data'!AD903</f>
        <v>0</v>
      </c>
      <c r="AC905" s="111">
        <f>'Supply planning data'!AE903</f>
        <v>0</v>
      </c>
      <c r="AD905" s="327" t="str">
        <f>'Supply planning data'!AF903</f>
        <v/>
      </c>
      <c r="AE905" s="111">
        <f>'Supply planning data'!AG903</f>
        <v>0</v>
      </c>
      <c r="AF905" s="321">
        <f>'Supply planning data'!AH903</f>
        <v>0</v>
      </c>
      <c r="AG905" s="349">
        <f>'Supply planning data'!AI903</f>
        <v>0</v>
      </c>
      <c r="AH905" s="111">
        <f>'Supply planning data'!AJ903</f>
        <v>0</v>
      </c>
      <c r="AI905" s="111">
        <f>'Supply planning data'!AK903</f>
        <v>0</v>
      </c>
      <c r="AJ905" s="111">
        <f>'Supply planning data'!AL903</f>
        <v>0</v>
      </c>
      <c r="AK905" s="111">
        <f>'Supply planning data'!AM903</f>
        <v>0</v>
      </c>
      <c r="AL905" s="111">
        <f>'Supply planning data'!AN903</f>
        <v>0</v>
      </c>
      <c r="AM905" s="327" t="str">
        <f>'Supply planning data'!AO903</f>
        <v/>
      </c>
    </row>
    <row r="906" spans="1:39" hidden="1" x14ac:dyDescent="0.25">
      <c r="A906" s="104" t="str">
        <f>'Supply planning data'!C904</f>
        <v/>
      </c>
      <c r="B906" s="298">
        <f>'Supply planning data'!D904</f>
        <v>45992</v>
      </c>
      <c r="C906" s="105" t="str">
        <f>'Supply planning data'!E904</f>
        <v>No</v>
      </c>
      <c r="D906" s="105">
        <f>'Supply planning data'!F904</f>
        <v>0</v>
      </c>
      <c r="E906" s="320">
        <f>'Supply planning data'!G904</f>
        <v>0</v>
      </c>
      <c r="F906" s="320">
        <f>'Supply planning data'!H904</f>
        <v>0</v>
      </c>
      <c r="G906" s="320">
        <f>'Supply planning data'!I904</f>
        <v>0</v>
      </c>
      <c r="H906" s="105">
        <f>'Supply planning data'!J904</f>
        <v>0</v>
      </c>
      <c r="I906" s="320">
        <f>'Supply planning data'!K904</f>
        <v>0</v>
      </c>
      <c r="J906" s="177" t="str">
        <f>'Supply planning data'!L904</f>
        <v/>
      </c>
      <c r="K906" s="105">
        <f>'Supply planning data'!M904</f>
        <v>0</v>
      </c>
      <c r="L906" s="321">
        <f>'Supply planning data'!N904+'Supply planning data'!P904</f>
        <v>0</v>
      </c>
      <c r="M906" s="342">
        <f>'Supply planning data'!O904</f>
        <v>0</v>
      </c>
      <c r="N906" s="321">
        <f>'Supply planning data'!P904</f>
        <v>0</v>
      </c>
      <c r="O906" s="342">
        <f>'Supply planning data'!Q904</f>
        <v>0</v>
      </c>
      <c r="P906" s="111">
        <f>'Supply planning data'!R904</f>
        <v>0</v>
      </c>
      <c r="Q906" s="111">
        <f>'Supply planning data'!S904</f>
        <v>0</v>
      </c>
      <c r="R906" s="111">
        <f>'Supply planning data'!T904</f>
        <v>0</v>
      </c>
      <c r="S906" s="111">
        <f>'Supply planning data'!U904</f>
        <v>0</v>
      </c>
      <c r="T906" s="111">
        <f>'Supply planning data'!V904</f>
        <v>0</v>
      </c>
      <c r="U906" s="327" t="str">
        <f>'Supply planning data'!W904</f>
        <v/>
      </c>
      <c r="V906" s="111">
        <f>'Supply planning data'!X904</f>
        <v>0</v>
      </c>
      <c r="W906" s="321">
        <f>'Supply planning data'!Y904</f>
        <v>0</v>
      </c>
      <c r="X906" s="329">
        <f>'Supply planning data'!Z904</f>
        <v>0</v>
      </c>
      <c r="Y906" s="111">
        <f>'Supply planning data'!AA904</f>
        <v>0</v>
      </c>
      <c r="Z906" s="111">
        <f>'Supply planning data'!AB904</f>
        <v>0</v>
      </c>
      <c r="AA906" s="111">
        <f>'Supply planning data'!AC904</f>
        <v>0</v>
      </c>
      <c r="AB906" s="111">
        <f>'Supply planning data'!AD904</f>
        <v>0</v>
      </c>
      <c r="AC906" s="111">
        <f>'Supply planning data'!AE904</f>
        <v>0</v>
      </c>
      <c r="AD906" s="327" t="str">
        <f>'Supply planning data'!AF904</f>
        <v/>
      </c>
      <c r="AE906" s="111">
        <f>'Supply planning data'!AG904</f>
        <v>0</v>
      </c>
      <c r="AF906" s="321">
        <f>'Supply planning data'!AH904</f>
        <v>0</v>
      </c>
      <c r="AG906" s="349">
        <f>'Supply planning data'!AI904</f>
        <v>0</v>
      </c>
      <c r="AH906" s="111">
        <f>'Supply planning data'!AJ904</f>
        <v>0</v>
      </c>
      <c r="AI906" s="111">
        <f>'Supply planning data'!AK904</f>
        <v>0</v>
      </c>
      <c r="AJ906" s="111">
        <f>'Supply planning data'!AL904</f>
        <v>0</v>
      </c>
      <c r="AK906" s="111">
        <f>'Supply planning data'!AM904</f>
        <v>0</v>
      </c>
      <c r="AL906" s="111">
        <f>'Supply planning data'!AN904</f>
        <v>0</v>
      </c>
      <c r="AM906" s="327" t="str">
        <f>'Supply planning data'!AO904</f>
        <v/>
      </c>
    </row>
  </sheetData>
  <sheetProtection algorithmName="SHA-512" hashValue="g+zfrMkf49fapRZGkyO/x1H4D9YS5K49TuH9XYD9I/S6/Yqf/mnJ2dDq/27FpOt+Z1EuwJCmTjmbsXlBpeL5Uw==" saltValue="CsV6xwaN1n8u+erVlkoybA==" spinCount="100000" sheet="1" selectLockedCells="1" sort="0" autoFilter="0"/>
  <autoFilter ref="A6:B906" xr:uid="{8A1180E9-93A8-4532-AA2A-2A53C4D81032}">
    <filterColumn colId="0">
      <customFilters>
        <customFilter operator="notEqual" val=" "/>
      </customFilters>
    </filterColumn>
  </autoFilter>
  <mergeCells count="2">
    <mergeCell ref="V5:AD5"/>
    <mergeCell ref="AE5:AM5"/>
  </mergeCells>
  <conditionalFormatting sqref="S7:S906 AB7:AB906">
    <cfRule type="cellIs" dxfId="93" priority="18" operator="greaterThan">
      <formula>0</formula>
    </cfRule>
  </conditionalFormatting>
  <conditionalFormatting sqref="T5:T906">
    <cfRule type="expression" dxfId="92" priority="3">
      <formula>(D5-K5+L5+N5+P5-S5)&lt;0</formula>
    </cfRule>
  </conditionalFormatting>
  <pageMargins left="0.7" right="0.7" top="0.75" bottom="0.75" header="0.3" footer="0.3"/>
  <pageSetup paperSize="9" scale="84" pageOrder="overThenDown" orientation="landscape" r:id="rId1"/>
  <headerFooter>
    <oddHeader>&amp;LCOVID-19 Collaborative Supply Planning&amp;R&amp;G</oddHeader>
    <oddFooter>&amp;L&amp;D&amp;R&amp;P of &amp;N</oddFooter>
  </headerFooter>
  <colBreaks count="1" manualBreakCount="1">
    <brk id="21" min="2" max="905" man="1"/>
  </colBreaks>
  <ignoredErrors>
    <ignoredError sqref="A6 C6 E7:G7 M7:O7 AF7:AG7 AI7:AI24 E8:G8 M8:O8 AF8:AG8 E9:G9 M9:O9 AF9:AG9 E10:G10 M10:O10 AF10:AG10 E11:G11 I11:I21 L11:O11 W11:X11 Z11:Z21 AF11:AG11 E12:G12 L12:O12 W12:X12 AF12:AG12 E13:G13 L13:O13 W13:X13 AF13:AG13 E14:G14 L14:O14 W14:X14 AF14:AG14 E15:G15 L15:O15 W15:X15 AF15:AG15 E16:G16 L16:O16 W16:X16 AF16:AG16 E17:G17 L17:O17 W17:X17 AF17:AG17 E18:G18 L18:O18 W18:X18 AF18:AG18 E19:G19 L19:O19 W19:X19 AF19:AG19 E20:G20 L20:O20 W20:X20 AF20:AG20 E21:G21 L21:O21 W21:X21 AF21:AG21 E22:G22 M22:O22 AF22:AG22 E23:G23 M23:O23 AF23:AG23 E24:G24 M24:O24 AF24:AG24 E25:G25 M25:O25 AF25:AG25" unlockedFormula="1"/>
  </ignoredError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4" operator="containsText" id="{903F9451-115D-4C52-BFD3-1AC363CF6652}">
            <xm:f>NOT(ISERROR(SEARCH("-",A7)))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L8:M36 L52:M66 L82:M96 L112:M126 L142:M156 L172:M186 L202:M216 L232:M246 L262:M276 L292:M306 L322:M336 L352:M366 L382:M396 L412:M426 L442:M456 L472:M486 L502:M516 L532:M546 L562:M576 L592:M606 L622:M636 L652:M666 L682:M696 L712:M726 L742:M756 L772:M786 L802:M816 L832:M846 L862:M876 L892:M906 E52:F66 E82:F96 E112:F126 E142:F156 E172:F186 E202:F216 E232:F246 E262:F276 E292:F306 E322:F336 E352:F366 E382:F396 E412:F426 E442:F456 E472:F486 E502:F516 E532:F546 E562:F576 E592:F606 E622:F636 E652:F666 E682:F696 E712:F726 E742:F756 E772:F786 E802:F816 E832:F846 E862:F876 E892:F906 E7:F36 A877:B891 A847:B861 A817:B831 A787:B801 A757:B771 A727:B741 A697:B711 A667:B681 A637:B651 A607:B621 A577:B591 A547:B561 A517:B531 A487:B501 A457:B471 A427:B441 A397:B411 A367:B381 A337:B351 A307:B321 A277:B291 A247:B261 A217:B231 A187:B201 A157:B171 A127:B141 A97:B111 A67:B81 A7:B21 A37:B51 O892:O906 O862:O876 O832:O846 O802:O816 O772:O786 O742:O756 O712:O726 O682:O696 O652:O666 O622:O636 O592:O606 O562:O576 O532:O546 O502:O516 O472:O486 O442:O456 O412:O426 O382:O396 O352:O366 O322:O336 O292:O306 O262:O276 O232:O246 O202:O216 O172:O186 O142:O156 O112:O126 O82:O96 O52:O66 O8:O36</xm:sqref>
        </x14:conditionalFormatting>
        <x14:conditionalFormatting xmlns:xm="http://schemas.microsoft.com/office/excel/2006/main">
          <x14:cfRule type="containsText" priority="73" operator="containsText" id="{12E05859-1F93-4440-94AB-72A729AC5053}">
            <xm:f>NOT(ISERROR(SEARCH("-",B22)))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B892:B906 B862:B876 B832:B846 B802:B816 B772:B786 B742:B756 B712:B726 B682:B696 B652:B666 B622:B636 B592:B606 B562:B576 B532:B546 B502:B516 B472:B486 B442:B456 B412:B426 B382:B396 B352:B366 B322:B336 B292:B306 B262:B276 B232:B246 B202:B216 B172:B186 B142:B156 B112:B126 B82:B96 B52:B66 B22:B36</xm:sqref>
        </x14:conditionalFormatting>
        <x14:conditionalFormatting xmlns:xm="http://schemas.microsoft.com/office/excel/2006/main">
          <x14:cfRule type="containsText" priority="72" operator="containsText" id="{A9F30947-C94B-4192-9B1C-4BD78FCDB190}">
            <xm:f>NOT(ISERROR(SEARCH("-",E37)))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E37:E51 L37:M51 E67:E81 E97:E111 E127:E141 E157:E171 E187:E201 E217:E231 E247:E261 E277:E291 E307:E321 E337:E351 E367:E381 E397:E411 E427:E441 E457:E471 E487:E501 E517:E531 E547:E561 E577:E591 E607:E621 E637:E651 E667:E681 E697:E711 E727:E741 E757:E771 E787:E801 E817:E831 E847:E861 E877:E891 L67:M81 L97:M111 L127:M141 L157:M171 L187:M201 L217:M231 L247:M261 L277:M291 L307:M321 L337:M351 L367:M381 L397:M411 L427:M441 L457:M471 L487:M501 L517:M531 L547:M561 L577:M591 L607:M621 L637:M651 L667:M681 L697:M711 L727:M741 L757:M771 L787:M801 L817:M831 L847:M861 L877:M891 O877:O891 O847:O861 O817:O831 O787:O801 O757:O771 O727:O741 O697:O711 O667:O681 O637:O651 O607:O621 O577:O591 O547:O561 O517:O531 O487:O501 O457:O471 O427:O441 O397:O411 O367:O381 O337:O351 O307:O321 O277:O291 O247:O261 O217:O231 O187:O201 O157:O171 O127:O141 O97:O111 O67:O81 O37:O51</xm:sqref>
        </x14:conditionalFormatting>
        <x14:conditionalFormatting xmlns:xm="http://schemas.microsoft.com/office/excel/2006/main">
          <x14:cfRule type="containsText" priority="68" operator="containsText" id="{6C229785-1D4E-439E-A59E-CD60B4E30885}">
            <xm:f>NOT(ISERROR(SEARCH("-",Z7)))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Z7:Z906 AB7:AB906</xm:sqref>
        </x14:conditionalFormatting>
        <x14:conditionalFormatting xmlns:xm="http://schemas.microsoft.com/office/excel/2006/main">
          <x14:cfRule type="containsText" priority="70" operator="containsText" id="{44A40077-F7CE-4255-99E7-765B106F9AF2}">
            <xm:f>NOT(ISERROR(SEARCH("-",D7)))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D7:D36 D52:D66 D82:D96 D112:D126 D142:D156 D172:D186 D202:D216 D232:D246 D262:D276 D292:D306 D322:D336 D352:D366 D382:D396 D412:D426 D442:D456 D472:D486 D502:D516 D532:D546 D562:D576 D592:D606 D622:D636 D652:D666 D682:D696 D712:D726 D742:D756 D772:D786 D802:D816 D832:D846 D862:D876 D892:D906</xm:sqref>
        </x14:conditionalFormatting>
        <x14:conditionalFormatting xmlns:xm="http://schemas.microsoft.com/office/excel/2006/main">
          <x14:cfRule type="containsText" priority="69" operator="containsText" id="{92CA24CF-1683-4B74-8B1E-3B9DFD86005E}">
            <xm:f>NOT(ISERROR(SEARCH("-",D37)))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D37:D51 D67:D81 D97:D111 D127:D141 D157:D171 D187:D201 D217:D231 D247:D261 D277:D291 D307:D321 D337:D351 D367:D381 D397:D411 D427:D441 D457:D471 D487:D501 D517:D531 D547:D561 D577:D591 D607:D621 D637:D651 D667:D681 D697:D711 D727:D741 D757:D771 D787:D801 D817:D831 D847:D861 D877:D891</xm:sqref>
        </x14:conditionalFormatting>
        <x14:conditionalFormatting xmlns:xm="http://schemas.microsoft.com/office/excel/2006/main">
          <x14:cfRule type="containsText" priority="67" operator="containsText" id="{C44BA7D2-A71B-405A-9B34-EAC58CF20BA6}">
            <xm:f>NOT(ISERROR(SEARCH("-",W7)))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W7:W906</xm:sqref>
        </x14:conditionalFormatting>
        <x14:conditionalFormatting xmlns:xm="http://schemas.microsoft.com/office/excel/2006/main">
          <x14:cfRule type="containsText" priority="64" operator="containsText" id="{CB445554-19BC-47FE-B60E-4FC36FD82F72}">
            <xm:f>NOT(ISERROR(SEARCH("-",Y7)))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Y7:Y906</xm:sqref>
        </x14:conditionalFormatting>
        <x14:conditionalFormatting xmlns:xm="http://schemas.microsoft.com/office/excel/2006/main">
          <x14:cfRule type="containsText" priority="66" operator="containsText" id="{DE8C3042-278A-4707-8DCE-57475390ACFC}">
            <xm:f>NOT(ISERROR(SEARCH("-",X7)))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X7:Z906 AB7:AB906</xm:sqref>
        </x14:conditionalFormatting>
        <x14:conditionalFormatting xmlns:xm="http://schemas.microsoft.com/office/excel/2006/main">
          <x14:cfRule type="containsText" priority="65" operator="containsText" id="{FF04DB6B-F5A2-42D1-8759-26BC1F0A8B4E}">
            <xm:f>NOT(ISERROR(SEARCH("-",X7)))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X7:Z906 AB7:AB906</xm:sqref>
        </x14:conditionalFormatting>
        <x14:conditionalFormatting xmlns:xm="http://schemas.microsoft.com/office/excel/2006/main">
          <x14:cfRule type="containsText" priority="63" operator="containsText" id="{86C92C25-E9AF-48BC-B057-48257C873C86}">
            <xm:f>NOT(ISERROR(SEARCH("-",F37)))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F37:F51 F67:F81 F97:F111 F127:F141 F157:F171 F187:F201 F217:F231 F247:F261 F277:F291 F307:F321 F337:F351 F367:F381 F397:F411 F427:F441 F457:F471 F487:F501 F517:F531 F547:F561 F577:F591 F607:F621 F637:F651 F667:F681 F697:F711 F727:F741 F757:F771 F787:F801 F817:F831 F847:F861 F877:F891</xm:sqref>
        </x14:conditionalFormatting>
        <x14:conditionalFormatting xmlns:xm="http://schemas.microsoft.com/office/excel/2006/main">
          <x14:cfRule type="containsText" priority="62" operator="containsText" id="{CC6DBA95-B1C7-40B5-8171-CEE0A844DD39}">
            <xm:f>NOT(ISERROR(SEARCH("-",V7)))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V7:V906</xm:sqref>
        </x14:conditionalFormatting>
        <x14:conditionalFormatting xmlns:xm="http://schemas.microsoft.com/office/excel/2006/main">
          <x14:cfRule type="containsText" priority="61" operator="containsText" id="{4D4C5E3C-4E3B-4623-9BC8-86050883BA36}">
            <xm:f>NOT(ISERROR(SEARCH("-",AF7)))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AF7:AF906</xm:sqref>
        </x14:conditionalFormatting>
        <x14:conditionalFormatting xmlns:xm="http://schemas.microsoft.com/office/excel/2006/main">
          <x14:cfRule type="containsText" priority="60" operator="containsText" id="{6BDCFA17-431A-44A2-BA6A-E628CA0B1A99}">
            <xm:f>NOT(ISERROR(SEARCH("-",A22)))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A22:A36 A52:A66 A82:A96 A112:A126 A142:A156 A172:A186 A202:A216 A232:A246 A262:A276 A292:A306 A322:A336 A352:A366 A382:A396 A412:A426 A442:A456 A472:A486 A502:A516 A532:A546 A562:A576 A592:A606 A622:A636 A652:A666 A682:A696 A712:A726 A742:A756 A772:A786 A802:A816 A832:A846 A862:A876 A892:A906</xm:sqref>
        </x14:conditionalFormatting>
        <x14:conditionalFormatting xmlns:xm="http://schemas.microsoft.com/office/excel/2006/main">
          <x14:cfRule type="containsText" priority="58" operator="containsText" id="{83A13265-9DA4-40E4-97D3-E35A26FAB10C}">
            <xm:f>NOT(ISERROR(SEARCH("-",C37)))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C37:C51 C67:C81 C97:C111 C127:C141 C157:C171 C187:C201 C217:C231 C247:C261 C277:C291 C307:C321 C337:C351 C367:C381 C397:C411 C427:C441 C457:C471 C487:C501 C517:C531 C547:C561 C577:C591 C607:C621 C637:C651 C667:C681 C697:C711 C727:C741 C757:C771 C787:C801 C817:C831 C847:C861 C877:C891</xm:sqref>
        </x14:conditionalFormatting>
        <x14:conditionalFormatting xmlns:xm="http://schemas.microsoft.com/office/excel/2006/main">
          <x14:cfRule type="containsText" priority="59" operator="containsText" id="{AA13EE08-1823-4E97-98D3-DA7D0A30BDD8}">
            <xm:f>NOT(ISERROR(SEARCH("-",C7)))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C7:C36 C52:C66 C82:C96 C112:C126 C142:C156 C172:C186 C202:C216 C232:C246 C262:C276 C292:C306 C322:C336 C352:C366 C382:C396 C412:C426 C442:C456 C472:C486 C502:C516 C532:C546 C562:C576 C592:C606 C622:C636 C652:C666 C682:C696 C712:C726 C742:C756 C772:C786 C802:C816 C832:C846 C862:C876 C892:C906</xm:sqref>
        </x14:conditionalFormatting>
        <x14:conditionalFormatting xmlns:xm="http://schemas.microsoft.com/office/excel/2006/main">
          <x14:cfRule type="containsText" priority="57" operator="containsText" id="{096F3379-087F-4CE6-88A1-9C50B3A500FE}">
            <xm:f>NOT(ISERROR(SEARCH("-",G7)))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G52:G66 G82:G96 G112:G126 G142:G156 G172:G186 G202:G216 G232:G246 G262:G276 G292:G306 G322:G336 G352:G366 G382:G396 G412:G426 G442:G456 G472:G486 G502:G516 G532:G546 G562:G576 G592:G606 G622:G636 G652:G666 G682:G696 G712:G726 G742:G756 G772:G786 G802:G816 G832:G846 G862:G876 G892:G906 G7:G36</xm:sqref>
        </x14:conditionalFormatting>
        <x14:conditionalFormatting xmlns:xm="http://schemas.microsoft.com/office/excel/2006/main">
          <x14:cfRule type="containsText" priority="56" operator="containsText" id="{21C2087D-C148-4409-8BE6-EC2591E3E56B}">
            <xm:f>NOT(ISERROR(SEARCH("-",G37)))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G37:G51 G67:G81 G97:G111 G127:G141 G157:G171 G187:G201 G217:G231 G247:G261 G277:G291 G307:G321 G337:G351 G367:G381 G397:G411 G427:G441 G457:G471 G487:G501 G517:G531 G547:G561 G577:G591 G607:G621 G637:G651 G667:G681 G697:G711 G727:G741 G757:G771 G787:G801 G817:G831 G847:G861 G877:G891</xm:sqref>
        </x14:conditionalFormatting>
        <x14:conditionalFormatting xmlns:xm="http://schemas.microsoft.com/office/excel/2006/main">
          <x14:cfRule type="containsText" priority="55" operator="containsText" id="{26D5D887-8A6D-4E2F-9158-6FDA9B2AC4D1}">
            <xm:f>NOT(ISERROR(SEARCH("-",H7)))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H52:H66 H82:H96 H112:H126 H142:H156 H172:H186 H202:H216 H232:H246 H262:H276 H292:H306 H322:H336 H352:H366 H382:H396 H412:H426 H442:H456 H472:H486 H502:H516 H532:H546 H562:H576 H592:H606 H622:H636 H652:H666 H682:H696 H712:H726 H742:H756 H772:H786 H802:H816 H832:H846 H862:H876 H892:H906 H7:H36</xm:sqref>
        </x14:conditionalFormatting>
        <x14:conditionalFormatting xmlns:xm="http://schemas.microsoft.com/office/excel/2006/main">
          <x14:cfRule type="containsText" priority="54" operator="containsText" id="{3457D636-27E4-49FC-905E-B27A1B180AA3}">
            <xm:f>NOT(ISERROR(SEARCH("-",H37)))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H37:H51 H67:H81 H97:H111 H127:H141 H157:H171 H187:H201 H217:H231 H247:H261 H277:H291 H307:H321 H337:H351 H367:H381 H397:H411 H427:H441 H457:H471 H487:H501 H517:H531 H547:H561 H577:H591 H607:H621 H637:H651 H667:H681 H697:H711 H727:H741 H757:H771 H787:H801 H817:H831 H847:H861 H877:H891</xm:sqref>
        </x14:conditionalFormatting>
        <x14:conditionalFormatting xmlns:xm="http://schemas.microsoft.com/office/excel/2006/main">
          <x14:cfRule type="containsText" priority="53" operator="containsText" id="{D5848C86-0375-43C0-AC3F-1E09E45789E1}">
            <xm:f>NOT(ISERROR(SEARCH("-",P7)))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P52:P66 P82:P96 P112:P126 P142:P156 P172:P186 P202:P216 P232:P246 P262:P276 P292:P306 P322:P336 P352:P366 P382:P396 P412:P426 P442:P456 P472:P486 P502:P516 P532:P546 P562:P576 P592:P606 P622:P636 P652:P666 P682:P696 P712:P726 P742:P756 P772:P786 P802:P816 P832:P846 P862:P876 P892:P906 P7:P36</xm:sqref>
        </x14:conditionalFormatting>
        <x14:conditionalFormatting xmlns:xm="http://schemas.microsoft.com/office/excel/2006/main">
          <x14:cfRule type="containsText" priority="52" operator="containsText" id="{12A442F2-043C-4051-A028-5787F1FE5E54}">
            <xm:f>NOT(ISERROR(SEARCH("-",P37)))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P37:P51 P67:P81 P97:P111 P127:P141 P157:P171 P187:P201 P217:P231 P247:P261 P277:P291 P307:P321 P337:P351 P367:P381 P397:P411 P427:P441 P457:P471 P487:P501 P517:P531 P547:P561 P577:P591 P607:P621 P637:P651 P667:P681 P697:P711 P727:P741 P757:P771 P787:P801 P817:P831 P847:P861 P877:P891</xm:sqref>
        </x14:conditionalFormatting>
        <x14:conditionalFormatting xmlns:xm="http://schemas.microsoft.com/office/excel/2006/main">
          <x14:cfRule type="containsText" priority="48" operator="containsText" id="{714ABC48-9551-4B4D-9B04-1F39903ADA9B}">
            <xm:f>NOT(ISERROR(SEARCH("-",AE7)))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AE7:AE906</xm:sqref>
        </x14:conditionalFormatting>
        <x14:conditionalFormatting xmlns:xm="http://schemas.microsoft.com/office/excel/2006/main">
          <x14:cfRule type="containsText" priority="49" operator="containsText" id="{2D9E7EA7-8D62-47BB-9A92-3FFF80084F96}">
            <xm:f>NOT(ISERROR(SEARCH("-",AE7)))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AE7:AE906</xm:sqref>
        </x14:conditionalFormatting>
        <x14:conditionalFormatting xmlns:xm="http://schemas.microsoft.com/office/excel/2006/main">
          <x14:cfRule type="containsText" priority="51" operator="containsText" id="{D0C8F87A-E260-4D8F-A0C9-0B8FCFD52929}">
            <xm:f>NOT(ISERROR(SEARCH("-",Z7)))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Z7:Z906</xm:sqref>
        </x14:conditionalFormatting>
        <x14:conditionalFormatting xmlns:xm="http://schemas.microsoft.com/office/excel/2006/main">
          <x14:cfRule type="containsText" priority="50" operator="containsText" id="{7723C177-4EBC-4408-9045-7A8D057A648A}">
            <xm:f>NOT(ISERROR(SEARCH("-",Z7)))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Z7:Z906</xm:sqref>
        </x14:conditionalFormatting>
        <x14:conditionalFormatting xmlns:xm="http://schemas.microsoft.com/office/excel/2006/main">
          <x14:cfRule type="containsText" priority="47" operator="containsText" id="{D56A418F-3733-4CB1-AABB-10E0B58C99CF}">
            <xm:f>NOT(ISERROR(SEARCH("-",AE7)))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AE7:AE906</xm:sqref>
        </x14:conditionalFormatting>
        <x14:conditionalFormatting xmlns:xm="http://schemas.microsoft.com/office/excel/2006/main">
          <x14:cfRule type="containsText" priority="46" operator="containsText" id="{1431C68C-78C4-4E55-8EB0-F771387B2EA5}">
            <xm:f>NOT(ISERROR(SEARCH("-",AB7)))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AB7:AB906</xm:sqref>
        </x14:conditionalFormatting>
        <x14:conditionalFormatting xmlns:xm="http://schemas.microsoft.com/office/excel/2006/main">
          <x14:cfRule type="containsText" priority="43" operator="containsText" id="{01D092FB-B7B5-4F98-A44B-3A63AD4C33E3}">
            <xm:f>NOT(ISERROR(SEARCH("-",AG7)))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AG7:AG906</xm:sqref>
        </x14:conditionalFormatting>
        <x14:conditionalFormatting xmlns:xm="http://schemas.microsoft.com/office/excel/2006/main">
          <x14:cfRule type="containsText" priority="45" operator="containsText" id="{7A09D2E0-9B50-4AAB-BF64-E3401C9EE905}">
            <xm:f>NOT(ISERROR(SEARCH("-",AG7)))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AG7:AG906</xm:sqref>
        </x14:conditionalFormatting>
        <x14:conditionalFormatting xmlns:xm="http://schemas.microsoft.com/office/excel/2006/main">
          <x14:cfRule type="containsText" priority="44" operator="containsText" id="{04D498D1-E9CB-4F51-8C6E-6CB35C863944}">
            <xm:f>NOT(ISERROR(SEARCH("-",AG7)))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AG7:AG906</xm:sqref>
        </x14:conditionalFormatting>
        <x14:conditionalFormatting xmlns:xm="http://schemas.microsoft.com/office/excel/2006/main">
          <x14:cfRule type="containsText" priority="40" operator="containsText" id="{334CEB35-1E24-46AF-8AC7-021E293292B2}">
            <xm:f>NOT(ISERROR(SEARCH("-",AH7)))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AH7:AH906</xm:sqref>
        </x14:conditionalFormatting>
        <x14:conditionalFormatting xmlns:xm="http://schemas.microsoft.com/office/excel/2006/main">
          <x14:cfRule type="containsText" priority="42" operator="containsText" id="{00117425-7B30-46CF-8891-E6BFA56A0E66}">
            <xm:f>NOT(ISERROR(SEARCH("-",AH7)))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AH7:AH906</xm:sqref>
        </x14:conditionalFormatting>
        <x14:conditionalFormatting xmlns:xm="http://schemas.microsoft.com/office/excel/2006/main">
          <x14:cfRule type="containsText" priority="41" operator="containsText" id="{8981B4E8-F66B-432B-9BCA-4637AEB310BE}">
            <xm:f>NOT(ISERROR(SEARCH("-",AH7)))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AH7:AH906</xm:sqref>
        </x14:conditionalFormatting>
        <x14:conditionalFormatting xmlns:xm="http://schemas.microsoft.com/office/excel/2006/main">
          <x14:cfRule type="containsText" priority="37" operator="containsText" id="{5097637E-4778-4FBE-A0FE-CE35B376E135}">
            <xm:f>NOT(ISERROR(SEARCH("-",AI7)))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AI7:AI906</xm:sqref>
        </x14:conditionalFormatting>
        <x14:conditionalFormatting xmlns:xm="http://schemas.microsoft.com/office/excel/2006/main">
          <x14:cfRule type="containsText" priority="39" operator="containsText" id="{682F54A4-7B51-4E47-9427-039491AA891B}">
            <xm:f>NOT(ISERROR(SEARCH("-",AI7)))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AI7:AI906</xm:sqref>
        </x14:conditionalFormatting>
        <x14:conditionalFormatting xmlns:xm="http://schemas.microsoft.com/office/excel/2006/main">
          <x14:cfRule type="containsText" priority="38" operator="containsText" id="{766AEB92-8480-49B0-8EC9-0F0922EF6DAA}">
            <xm:f>NOT(ISERROR(SEARCH("-",AI7)))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AI7:AI906</xm:sqref>
        </x14:conditionalFormatting>
        <x14:conditionalFormatting xmlns:xm="http://schemas.microsoft.com/office/excel/2006/main">
          <x14:cfRule type="containsText" priority="35" operator="containsText" id="{16CDC61B-8E08-4C4F-BD42-E8BBC70D4D81}">
            <xm:f>NOT(ISERROR(SEARCH("-",AK7)))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AK7:AK906</xm:sqref>
        </x14:conditionalFormatting>
        <x14:conditionalFormatting xmlns:xm="http://schemas.microsoft.com/office/excel/2006/main">
          <x14:cfRule type="containsText" priority="36" operator="containsText" id="{012F3B8C-35C2-4AB4-B8C0-1F9FB5890804}">
            <xm:f>NOT(ISERROR(SEARCH("-",AK7)))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AK7:AK906</xm:sqref>
        </x14:conditionalFormatting>
        <x14:conditionalFormatting xmlns:xm="http://schemas.microsoft.com/office/excel/2006/main">
          <x14:cfRule type="containsText" priority="34" operator="containsText" id="{12F2B504-A1BE-4AD0-B2E8-F81A7EB1CB6B}">
            <xm:f>NOT(ISERROR(SEARCH("-",AK7)))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AK7:AK906</xm:sqref>
        </x14:conditionalFormatting>
        <x14:conditionalFormatting xmlns:xm="http://schemas.microsoft.com/office/excel/2006/main">
          <x14:cfRule type="containsText" priority="28" operator="containsText" id="{A2B73C0B-8FAC-46B1-8E37-0FED9B6D9553}">
            <xm:f>NOT(ISERROR(SEARCH("-",K37)))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K37:K51 K67:K81 K97:K111 K127:K141 K157:K171 K187:K201 K217:K231 K247:K261 K277:K291 K307:K321 K337:K351 K367:K381 K397:K411 K427:K441 K457:K471 K487:K501 K517:K531 K547:K561 K577:K591 K607:K621 K637:K651 K667:K681 K697:K711 K727:K741 K757:K771 K787:K801 K817:K831 K847:K861 K877:K891</xm:sqref>
        </x14:conditionalFormatting>
        <x14:conditionalFormatting xmlns:xm="http://schemas.microsoft.com/office/excel/2006/main">
          <x14:cfRule type="containsText" priority="30" operator="containsText" id="{6410E365-1E14-4AFC-A9BE-116B03A877CB}">
            <xm:f>NOT(ISERROR(SEARCH("-",J37)))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J37:J51 J67:J81 J97:J111 J127:J141 J157:J171 J187:J201 J217:J231 J247:J261 J277:J291 J307:J321 J337:J351 J367:J381 J397:J411 J427:J441 J457:J471 J487:J501 J517:J531 J547:J561 J577:J591 J607:J621 J637:J651 J667:J681 J697:J711 J727:J741 J757:J771 J787:J801 J817:J831 J847:J861 J877:J891</xm:sqref>
        </x14:conditionalFormatting>
        <x14:conditionalFormatting xmlns:xm="http://schemas.microsoft.com/office/excel/2006/main">
          <x14:cfRule type="containsText" priority="29" operator="containsText" id="{5E3B0475-B9DD-4097-84B9-1EEA3F54E2F0}">
            <xm:f>NOT(ISERROR(SEARCH("-",K7)))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K52:K66 K82:K96 K112:K126 K142:K156 K172:K186 K202:K216 K232:K246 K262:K276 K292:K306 K322:K336 K352:K366 K382:K396 K412:K426 K442:K456 K472:K486 K502:K516 K532:K546 K562:K576 K592:K606 K622:K636 K652:K666 K682:K696 K712:K726 K742:K756 K772:K786 K802:K816 K832:K846 K862:K876 K892:K906 K7:K36</xm:sqref>
        </x14:conditionalFormatting>
        <x14:conditionalFormatting xmlns:xm="http://schemas.microsoft.com/office/excel/2006/main">
          <x14:cfRule type="containsText" priority="33" operator="containsText" id="{1B4261D8-FF92-41FA-BCF2-17815A1AAB5B}">
            <xm:f>NOT(ISERROR(SEARCH("-",I7)))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I52:I66 I82:I96 I112:I126 I142:I156 I172:I186 I202:I216 I232:I246 I262:I276 I292:I306 I322:I336 I352:I366 I382:I396 I412:I426 I442:I456 I472:I486 I502:I516 I532:I546 I562:I576 I592:I606 I622:I636 I652:I666 I682:I696 I712:I726 I742:I756 I772:I786 I802:I816 I832:I846 I862:I876 I892:I906 I7:I36</xm:sqref>
        </x14:conditionalFormatting>
        <x14:conditionalFormatting xmlns:xm="http://schemas.microsoft.com/office/excel/2006/main">
          <x14:cfRule type="containsText" priority="32" operator="containsText" id="{E520AE17-FB44-49B2-BF31-DB0DA3C8701F}">
            <xm:f>NOT(ISERROR(SEARCH("-",I37)))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I37:I51 I67:I81 I97:I111 I127:I141 I157:I171 I187:I201 I217:I231 I247:I261 I277:I291 I307:I321 I337:I351 I367:I381 I397:I411 I427:I441 I457:I471 I487:I501 I517:I531 I547:I561 I577:I591 I607:I621 I637:I651 I667:I681 I697:I711 I727:I741 I757:I771 I787:I801 I817:I831 I847:I861 I877:I891</xm:sqref>
        </x14:conditionalFormatting>
        <x14:conditionalFormatting xmlns:xm="http://schemas.microsoft.com/office/excel/2006/main">
          <x14:cfRule type="containsText" priority="31" operator="containsText" id="{957A42A8-0E75-4EBA-B987-F8709D782C81}">
            <xm:f>NOT(ISERROR(SEARCH("-",J7)))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J52:J66 J82:J96 J112:J126 J142:J156 J172:J186 J202:J216 J232:J246 J262:J276 J292:J306 J322:J336 J352:J366 J382:J396 J412:J426 J442:J456 J472:J486 J502:J516 J532:J546 J562:J576 J592:J606 J622:J636 J652:J666 J682:J696 J712:J726 J742:J756 J772:J786 J802:J816 J832:J846 J862:J876 J892:J906 J7:J36</xm:sqref>
        </x14:conditionalFormatting>
        <x14:conditionalFormatting xmlns:xm="http://schemas.microsoft.com/office/excel/2006/main">
          <x14:cfRule type="containsText" priority="27" operator="containsText" id="{09CDDD21-CE1C-40D0-B915-BB85443AFA8B}">
            <xm:f>NOT(ISERROR(SEARCH("-",U7)))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U7:U906</xm:sqref>
        </x14:conditionalFormatting>
        <x14:conditionalFormatting xmlns:xm="http://schemas.microsoft.com/office/excel/2006/main">
          <x14:cfRule type="containsText" priority="26" operator="containsText" id="{9558B359-01AC-4A72-B863-42A297B7DC10}">
            <xm:f>NOT(ISERROR(SEARCH("-",N8)))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N8:N36 N52:N66 N82:N96 N112:N126 N142:N156 N172:N186 N202:N216 N232:N246 N262:N276 N292:N306 N322:N336 N352:N366 N382:N396 N412:N426 N442:N456 N472:N486 N502:N516 N532:N546 N562:N576 N592:N606 N622:N636 N652:N666 N682:N696 N712:N726 N742:N756 N772:N786 N802:N816 N832:N846 N862:N876 N892:N906</xm:sqref>
        </x14:conditionalFormatting>
        <x14:conditionalFormatting xmlns:xm="http://schemas.microsoft.com/office/excel/2006/main">
          <x14:cfRule type="containsText" priority="25" operator="containsText" id="{C42C8A2E-BDD9-4A7E-9632-0F828D4FA1CA}">
            <xm:f>NOT(ISERROR(SEARCH("-",N37)))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N37:N51 N67:N81 N97:N111 N127:N141 N157:N171 N187:N201 N217:N231 N247:N261 N277:N291 N307:N321 N337:N351 N367:N381 N397:N411 N427:N441 N457:N471 N487:N501 N517:N531 N547:N561 N577:N591 N607:N621 N637:N651 N667:N681 N697:N711 N727:N741 N757:N771 N787:N801 N817:N831 N847:N861 N877:N891</xm:sqref>
        </x14:conditionalFormatting>
        <x14:conditionalFormatting xmlns:xm="http://schemas.microsoft.com/office/excel/2006/main">
          <x14:cfRule type="containsText" priority="23" operator="containsText" id="{3C474988-0503-4F52-97ED-1507A067B590}">
            <xm:f>NOT(ISERROR(SEARCH("-",R37)))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R37:R51 R67:R81 R97:R111 R127:R141 R157:R171 R187:R201 R217:R231 R247:R261 R277:R291 R307:R321 R337:R351 R367:R381 R397:R411 R427:R441 R457:R471 R487:R501 R517:R531 R547:R561 R577:R591 R607:R621 R637:R651 R667:R681 R697:R711 R727:R741 R757:R771 R787:R801 R817:R831 R847:R861 R877:R891</xm:sqref>
        </x14:conditionalFormatting>
        <x14:conditionalFormatting xmlns:xm="http://schemas.microsoft.com/office/excel/2006/main">
          <x14:cfRule type="containsText" priority="24" operator="containsText" id="{23BA6BB6-D17A-4D9F-9E9F-19592DA7612C}">
            <xm:f>NOT(ISERROR(SEARCH("-",R7)))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R7:R36 R52:R66 R82:R96 R112:R126 R142:R156 R172:R186 R202:R216 R232:R246 R262:R276 R292:R306 R322:R336 R352:R366 R382:R396 R412:R426 R442:R456 R472:R486 R502:R516 R532:R546 R562:R576 R592:R606 R622:R636 R652:R666 R682:R696 R712:R726 R742:R756 R772:R786 R802:R816 R832:R846 R862:R876 R892:R906</xm:sqref>
        </x14:conditionalFormatting>
        <x14:conditionalFormatting xmlns:xm="http://schemas.microsoft.com/office/excel/2006/main">
          <x14:cfRule type="containsText" priority="21" operator="containsText" id="{F3935C08-1749-4C95-BC9B-9D6A2D94DC29}">
            <xm:f>NOT(ISERROR(SEARCH("-",AA37)))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AA37:AA51 AA67:AA81 AA97:AA111 AA127:AA141 AA157:AA171 AA187:AA201 AA217:AA231 AA247:AA261 AA277:AA291 AA307:AA321 AA337:AA351 AA367:AA381 AA397:AA411 AA427:AA441 AA457:AA471 AA487:AA501 AA517:AA531 AA547:AA561 AA577:AA591 AA607:AA621 AA637:AA651 AA667:AA681 AA697:AA711 AA727:AA741 AA757:AA771 AA787:AA801 AA817:AA831 AA847:AA861 AA877:AA891</xm:sqref>
        </x14:conditionalFormatting>
        <x14:conditionalFormatting xmlns:xm="http://schemas.microsoft.com/office/excel/2006/main">
          <x14:cfRule type="containsText" priority="22" operator="containsText" id="{A8A2306F-E2DF-4B2D-869E-8A09B1415BE9}">
            <xm:f>NOT(ISERROR(SEARCH("-",AA7)))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AA7:AA36 AA52:AA66 AA82:AA96 AA112:AA126 AA142:AA156 AA172:AA186 AA202:AA216 AA232:AA246 AA262:AA276 AA292:AA306 AA322:AA336 AA352:AA366 AA382:AA396 AA412:AA426 AA442:AA456 AA472:AA486 AA502:AA516 AA532:AA546 AA562:AA576 AA592:AA606 AA622:AA636 AA652:AA666 AA682:AA696 AA712:AA726 AA742:AA756 AA772:AA786 AA802:AA816 AA832:AA846 AA862:AA876 AA892:AA906</xm:sqref>
        </x14:conditionalFormatting>
        <x14:conditionalFormatting xmlns:xm="http://schemas.microsoft.com/office/excel/2006/main">
          <x14:cfRule type="containsText" priority="19" operator="containsText" id="{CD9B3C2F-29BB-4BCB-AA18-D4CD02D04747}">
            <xm:f>NOT(ISERROR(SEARCH("-",AJ37)))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AJ37:AJ51 AJ67:AJ81 AJ97:AJ111 AJ127:AJ141 AJ157:AJ171 AJ187:AJ201 AJ217:AJ231 AJ247:AJ261 AJ277:AJ291 AJ307:AJ321 AJ337:AJ351 AJ367:AJ381 AJ397:AJ411 AJ427:AJ441 AJ457:AJ471 AJ487:AJ501 AJ517:AJ531 AJ547:AJ561 AJ577:AJ591 AJ607:AJ621 AJ637:AJ651 AJ667:AJ681 AJ697:AJ711 AJ727:AJ741 AJ757:AJ771 AJ787:AJ801 AJ817:AJ831 AJ847:AJ861 AJ877:AJ891</xm:sqref>
        </x14:conditionalFormatting>
        <x14:conditionalFormatting xmlns:xm="http://schemas.microsoft.com/office/excel/2006/main">
          <x14:cfRule type="containsText" priority="20" operator="containsText" id="{64CD408B-8699-40A6-B694-94DD8DC62BD5}">
            <xm:f>NOT(ISERROR(SEARCH("-",AJ7)))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AJ7:AJ36 AJ52:AJ66 AJ82:AJ96 AJ112:AJ126 AJ142:AJ156 AJ172:AJ186 AJ202:AJ216 AJ232:AJ246 AJ262:AJ276 AJ292:AJ306 AJ322:AJ336 AJ352:AJ366 AJ382:AJ396 AJ412:AJ426 AJ442:AJ456 AJ472:AJ486 AJ502:AJ516 AJ532:AJ546 AJ562:AJ576 AJ592:AJ606 AJ622:AJ636 AJ652:AJ666 AJ682:AJ696 AJ712:AJ726 AJ742:AJ756 AJ772:AJ786 AJ802:AJ816 AJ832:AJ846 AJ862:AJ876 AJ892:AJ906</xm:sqref>
        </x14:conditionalFormatting>
        <x14:conditionalFormatting xmlns:xm="http://schemas.microsoft.com/office/excel/2006/main">
          <x14:cfRule type="containsText" priority="16" operator="containsText" id="{D2D62DA7-9B8A-4062-88D3-93A60CD77B13}">
            <xm:f>NOT(ISERROR(SEARCH("-",AL37)))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AL37:AL51 AL67:AL81 AL97:AL111 AL127:AL141 AL157:AL171 AL187:AL201 AL217:AL231 AL247:AL261 AL277:AL291 AL307:AL321 AL337:AL351 AL367:AL381 AL397:AL411 AL427:AL441 AL457:AL471 AL487:AL501 AL517:AL531 AL547:AL561 AL577:AL591 AL607:AL621 AL637:AL651 AL667:AL681 AL697:AL711 AL727:AL741 AL757:AL771 AL787:AL801 AL817:AL831 AL847:AL861 AL877:AL891</xm:sqref>
        </x14:conditionalFormatting>
        <x14:conditionalFormatting xmlns:xm="http://schemas.microsoft.com/office/excel/2006/main">
          <x14:cfRule type="containsText" priority="17" operator="containsText" id="{863E1764-9F78-40FD-9022-F476E2065FDC}">
            <xm:f>NOT(ISERROR(SEARCH("-",AL8)))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AL8:AL36 AL52:AL66 AL82:AL96 AL112:AL126 AL142:AL156 AL172:AL186 AL202:AL216 AL232:AL246 AL262:AL276 AL292:AL306 AL322:AL336 AL352:AL366 AL382:AL396 AL412:AL426 AL442:AL456 AL472:AL486 AL502:AL516 AL532:AL546 AL562:AL576 AL592:AL606 AL622:AL636 AL652:AL666 AL682:AL696 AL712:AL726 AL742:AL756 AL772:AL786 AL802:AL816 AL832:AL846 AL862:AL876 AL892:AL906</xm:sqref>
        </x14:conditionalFormatting>
        <x14:conditionalFormatting xmlns:xm="http://schemas.microsoft.com/office/excel/2006/main">
          <x14:cfRule type="containsText" priority="15" operator="containsText" id="{0AA06E82-0D29-4705-9702-59CB8E873194}">
            <xm:f>NOT(ISERROR(SEARCH("-",Q7)))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Q52:Q66 Q82:Q96 Q112:Q126 Q142:Q156 Q172:Q186 Q202:Q216 Q232:Q246 Q262:Q276 Q292:Q306 Q322:Q336 Q352:Q366 Q382:Q396 Q412:Q426 Q442:Q456 Q472:Q486 Q502:Q516 Q532:Q546 Q562:Q576 Q592:Q606 Q622:Q636 Q652:Q666 Q682:Q696 Q712:Q726 Q742:Q756 Q772:Q786 Q802:Q816 Q832:Q846 Q862:Q876 Q892:Q906 Q7:Q36</xm:sqref>
        </x14:conditionalFormatting>
        <x14:conditionalFormatting xmlns:xm="http://schemas.microsoft.com/office/excel/2006/main">
          <x14:cfRule type="containsText" priority="14" operator="containsText" id="{FF2C0CED-A184-4188-9E55-7C0827B50BE3}">
            <xm:f>NOT(ISERROR(SEARCH("-",Q37)))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Q37:Q51 Q67:Q81 Q97:Q111 Q127:Q141 Q157:Q171 Q187:Q201 Q217:Q231 Q247:Q261 Q277:Q291 Q307:Q321 Q337:Q351 Q367:Q381 Q397:Q411 Q427:Q441 Q457:Q471 Q487:Q501 Q517:Q531 Q547:Q561 Q577:Q591 Q607:Q621 Q637:Q651 Q667:Q681 Q697:Q711 Q727:Q741 Q757:Q771 Q787:Q801 Q817:Q831 Q847:Q861 Q877:Q891</xm:sqref>
        </x14:conditionalFormatting>
        <x14:conditionalFormatting xmlns:xm="http://schemas.microsoft.com/office/excel/2006/main">
          <x14:cfRule type="containsText" priority="13" operator="containsText" id="{99DD799C-7B9B-4406-AD77-FE94001EE8C7}">
            <xm:f>NOT(ISERROR(SEARCH("-",AD7)))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AD7:AD906</xm:sqref>
        </x14:conditionalFormatting>
        <x14:conditionalFormatting xmlns:xm="http://schemas.microsoft.com/office/excel/2006/main">
          <x14:cfRule type="containsText" priority="12" operator="containsText" id="{0078CDE6-F790-4BB3-9D05-05CD8ED28E53}">
            <xm:f>NOT(ISERROR(SEARCH("-",AM7)))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AM7:AM906</xm:sqref>
        </x14:conditionalFormatting>
        <x14:conditionalFormatting xmlns:xm="http://schemas.microsoft.com/office/excel/2006/main">
          <x14:cfRule type="containsText" priority="11" operator="containsText" id="{84023B54-76CF-4E6E-979B-AAD993A578B3}">
            <xm:f>NOT(ISERROR(SEARCH("-",AC7)))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AC7:AC906</xm:sqref>
        </x14:conditionalFormatting>
        <x14:conditionalFormatting xmlns:xm="http://schemas.microsoft.com/office/excel/2006/main">
          <x14:cfRule type="containsText" priority="10" operator="containsText" id="{A5BE4BAC-984B-4978-AF91-9EEE4E3632DB}">
            <xm:f>NOT(ISERROR(SEARCH("-",AC7)))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AC7:AC906</xm:sqref>
        </x14:conditionalFormatting>
        <x14:conditionalFormatting xmlns:xm="http://schemas.microsoft.com/office/excel/2006/main">
          <x14:cfRule type="containsText" priority="9" operator="containsText" id="{C25D7155-6B84-4E6E-A7F3-E1C9D0AA2957}">
            <xm:f>NOT(ISERROR(SEARCH("-",AC7)))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AC7:AC906</xm:sqref>
        </x14:conditionalFormatting>
        <x14:conditionalFormatting xmlns:xm="http://schemas.microsoft.com/office/excel/2006/main">
          <x14:cfRule type="containsText" priority="8" operator="containsText" id="{E520F789-CC90-4A71-AB09-54EC22515266}">
            <xm:f>NOT(ISERROR(SEARCH("-",AC7)))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AC7:AC906</xm:sqref>
        </x14:conditionalFormatting>
        <x14:conditionalFormatting xmlns:xm="http://schemas.microsoft.com/office/excel/2006/main">
          <x14:cfRule type="containsText" priority="7" operator="containsText" id="{543C2E80-0BA1-42F1-A94D-C956EF596684}">
            <xm:f>NOT(ISERROR(SEARCH("-",AL7)))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AL7</xm:sqref>
        </x14:conditionalFormatting>
        <x14:conditionalFormatting xmlns:xm="http://schemas.microsoft.com/office/excel/2006/main">
          <x14:cfRule type="containsText" priority="6" operator="containsText" id="{8329231A-16DA-4AD7-AC7B-3590C624535F}">
            <xm:f>NOT(ISERROR(SEARCH("-",AL7)))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AL7</xm:sqref>
        </x14:conditionalFormatting>
        <x14:conditionalFormatting xmlns:xm="http://schemas.microsoft.com/office/excel/2006/main">
          <x14:cfRule type="containsText" priority="5" operator="containsText" id="{65061E8A-6EE5-4FD9-9F7F-CD06B40FFB2A}">
            <xm:f>NOT(ISERROR(SEARCH("-",AL7)))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AL7</xm:sqref>
        </x14:conditionalFormatting>
        <x14:conditionalFormatting xmlns:xm="http://schemas.microsoft.com/office/excel/2006/main">
          <x14:cfRule type="containsText" priority="4" operator="containsText" id="{572158BB-14A7-4762-8A31-7A990C3C63F2}">
            <xm:f>NOT(ISERROR(SEARCH("-",AL7)))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AL7</xm:sqref>
        </x14:conditionalFormatting>
        <x14:conditionalFormatting xmlns:xm="http://schemas.microsoft.com/office/excel/2006/main">
          <x14:cfRule type="containsText" priority="2" operator="containsText" id="{B22E427E-71DF-4816-9116-ACDF8D18234A}">
            <xm:f>NOT(ISERROR(SEARCH("-",L7)))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L7:M7 O7</xm:sqref>
        </x14:conditionalFormatting>
        <x14:conditionalFormatting xmlns:xm="http://schemas.microsoft.com/office/excel/2006/main">
          <x14:cfRule type="containsText" priority="1" operator="containsText" id="{6E718118-F93B-4679-B4AB-9EB74B6461C4}">
            <xm:f>NOT(ISERROR(SEARCH("-",N7)))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N7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I33"/>
  <sheetViews>
    <sheetView zoomScale="90" zoomScaleNormal="90" workbookViewId="0">
      <selection activeCell="A26" sqref="A26:I30"/>
    </sheetView>
  </sheetViews>
  <sheetFormatPr defaultRowHeight="15" x14ac:dyDescent="0.25"/>
  <cols>
    <col min="1" max="1" width="85.7109375" customWidth="1"/>
    <col min="2" max="2" width="15.28515625" customWidth="1"/>
    <col min="3" max="3" width="33.5703125" customWidth="1"/>
    <col min="4" max="4" width="30.140625" customWidth="1"/>
    <col min="5" max="5" width="19.7109375" customWidth="1"/>
    <col min="6" max="6" width="15.42578125" customWidth="1"/>
    <col min="7" max="7" width="30.85546875" customWidth="1"/>
    <col min="8" max="8" width="28.5703125" customWidth="1"/>
    <col min="9" max="9" width="29.5703125" bestFit="1" customWidth="1"/>
  </cols>
  <sheetData>
    <row r="1" spans="1:9" x14ac:dyDescent="0.25">
      <c r="A1" s="171" t="s">
        <v>33</v>
      </c>
      <c r="B1" s="171" t="s">
        <v>32</v>
      </c>
      <c r="C1" s="171" t="s">
        <v>304</v>
      </c>
      <c r="D1" s="171" t="s">
        <v>305</v>
      </c>
      <c r="E1" s="171" t="s">
        <v>306</v>
      </c>
      <c r="F1" s="171" t="s">
        <v>307</v>
      </c>
      <c r="G1" s="171" t="s">
        <v>308</v>
      </c>
      <c r="H1" s="171" t="s">
        <v>309</v>
      </c>
      <c r="I1" s="171" t="s">
        <v>310</v>
      </c>
    </row>
    <row r="2" spans="1:9" x14ac:dyDescent="0.25">
      <c r="A2" t="s">
        <v>311</v>
      </c>
      <c r="B2" t="s">
        <v>312</v>
      </c>
      <c r="C2" t="s">
        <v>313</v>
      </c>
      <c r="D2" t="s">
        <v>314</v>
      </c>
      <c r="E2" t="s">
        <v>22</v>
      </c>
      <c r="F2">
        <v>2</v>
      </c>
      <c r="G2" s="181">
        <v>7.03</v>
      </c>
      <c r="H2" s="182">
        <v>9.1295000000000019</v>
      </c>
      <c r="I2" t="s">
        <v>315</v>
      </c>
    </row>
    <row r="3" spans="1:9" x14ac:dyDescent="0.25">
      <c r="A3" t="s">
        <v>316</v>
      </c>
      <c r="B3" t="s">
        <v>312</v>
      </c>
      <c r="C3" t="s">
        <v>313</v>
      </c>
      <c r="D3" t="s">
        <v>314</v>
      </c>
      <c r="E3" t="s">
        <v>22</v>
      </c>
      <c r="F3">
        <v>10</v>
      </c>
      <c r="G3" s="182">
        <v>2.109</v>
      </c>
      <c r="H3" s="182">
        <v>2.6112333333333337</v>
      </c>
      <c r="I3" t="s">
        <v>315</v>
      </c>
    </row>
    <row r="4" spans="1:9" x14ac:dyDescent="0.25">
      <c r="A4" t="s">
        <v>65</v>
      </c>
      <c r="B4" t="s">
        <v>312</v>
      </c>
      <c r="C4" t="s">
        <v>317</v>
      </c>
      <c r="D4" t="s">
        <v>314</v>
      </c>
      <c r="E4" t="s">
        <v>22</v>
      </c>
      <c r="F4">
        <v>10</v>
      </c>
      <c r="G4" s="182">
        <v>3.76</v>
      </c>
      <c r="H4" s="182">
        <v>5.3567999999999998</v>
      </c>
      <c r="I4" t="s">
        <v>315</v>
      </c>
    </row>
    <row r="5" spans="1:9" x14ac:dyDescent="0.25">
      <c r="A5" t="s">
        <v>318</v>
      </c>
      <c r="B5" t="s">
        <v>312</v>
      </c>
      <c r="C5" t="s">
        <v>319</v>
      </c>
      <c r="D5" t="s">
        <v>320</v>
      </c>
      <c r="E5" t="s">
        <v>22</v>
      </c>
      <c r="F5" t="s">
        <v>321</v>
      </c>
      <c r="G5" s="182" t="s">
        <v>321</v>
      </c>
      <c r="H5" s="182" t="s">
        <v>321</v>
      </c>
      <c r="I5" t="s">
        <v>315</v>
      </c>
    </row>
    <row r="6" spans="1:9" x14ac:dyDescent="0.25">
      <c r="A6" t="s">
        <v>322</v>
      </c>
      <c r="B6" t="s">
        <v>312</v>
      </c>
      <c r="C6" t="s">
        <v>323</v>
      </c>
      <c r="D6" t="s">
        <v>324</v>
      </c>
      <c r="E6" t="s">
        <v>325</v>
      </c>
      <c r="F6">
        <v>1</v>
      </c>
      <c r="G6" s="182">
        <v>61.8</v>
      </c>
      <c r="H6" s="182">
        <v>78.313749999999999</v>
      </c>
      <c r="I6" t="s">
        <v>315</v>
      </c>
    </row>
    <row r="7" spans="1:9" x14ac:dyDescent="0.25">
      <c r="A7" t="s">
        <v>326</v>
      </c>
      <c r="B7" t="s">
        <v>312</v>
      </c>
      <c r="C7" t="s">
        <v>323</v>
      </c>
      <c r="D7" t="s">
        <v>324</v>
      </c>
      <c r="E7" t="s">
        <v>325</v>
      </c>
      <c r="F7">
        <v>1</v>
      </c>
      <c r="G7" s="182">
        <v>21.2</v>
      </c>
      <c r="H7" s="182">
        <v>28.903333333333332</v>
      </c>
      <c r="I7" t="s">
        <v>315</v>
      </c>
    </row>
    <row r="8" spans="1:9" x14ac:dyDescent="0.25">
      <c r="A8" t="s">
        <v>327</v>
      </c>
      <c r="B8" t="s">
        <v>312</v>
      </c>
      <c r="C8" t="s">
        <v>323</v>
      </c>
      <c r="D8" t="s">
        <v>324</v>
      </c>
      <c r="E8" t="s">
        <v>325</v>
      </c>
      <c r="F8">
        <v>2</v>
      </c>
      <c r="G8" s="182">
        <v>30.8</v>
      </c>
      <c r="H8" s="183">
        <v>39.159999999999997</v>
      </c>
      <c r="I8" t="s">
        <v>315</v>
      </c>
    </row>
    <row r="9" spans="1:9" x14ac:dyDescent="0.25">
      <c r="A9" t="s">
        <v>328</v>
      </c>
      <c r="B9" t="s">
        <v>312</v>
      </c>
      <c r="C9" t="s">
        <v>323</v>
      </c>
      <c r="D9" t="s">
        <v>324</v>
      </c>
      <c r="E9" t="s">
        <v>325</v>
      </c>
      <c r="F9">
        <v>2</v>
      </c>
      <c r="G9" s="182">
        <v>10.5</v>
      </c>
      <c r="H9" s="183">
        <v>14.45</v>
      </c>
      <c r="I9" t="s">
        <v>315</v>
      </c>
    </row>
    <row r="10" spans="1:9" x14ac:dyDescent="0.25">
      <c r="A10" t="s">
        <v>329</v>
      </c>
      <c r="B10" t="s">
        <v>312</v>
      </c>
      <c r="C10" t="s">
        <v>323</v>
      </c>
      <c r="D10" t="s">
        <v>324</v>
      </c>
      <c r="E10" t="s">
        <v>325</v>
      </c>
      <c r="F10">
        <v>2</v>
      </c>
      <c r="G10" s="182">
        <v>11.4</v>
      </c>
      <c r="H10" s="183">
        <v>14.03</v>
      </c>
      <c r="I10" t="s">
        <v>315</v>
      </c>
    </row>
    <row r="11" spans="1:9" x14ac:dyDescent="0.25">
      <c r="A11" t="s">
        <v>60</v>
      </c>
      <c r="B11" t="s">
        <v>312</v>
      </c>
      <c r="C11" t="s">
        <v>323</v>
      </c>
      <c r="D11" t="s">
        <v>324</v>
      </c>
      <c r="E11" t="s">
        <v>325</v>
      </c>
      <c r="F11">
        <v>5</v>
      </c>
      <c r="G11" s="182">
        <v>12.3</v>
      </c>
      <c r="H11" s="183">
        <v>15.66</v>
      </c>
      <c r="I11" t="s">
        <v>315</v>
      </c>
    </row>
    <row r="12" spans="1:9" x14ac:dyDescent="0.25">
      <c r="A12" t="s">
        <v>330</v>
      </c>
      <c r="B12" t="s">
        <v>312</v>
      </c>
      <c r="C12" t="s">
        <v>323</v>
      </c>
      <c r="D12" t="s">
        <v>324</v>
      </c>
      <c r="E12" t="s">
        <v>325</v>
      </c>
      <c r="F12">
        <v>5</v>
      </c>
      <c r="G12" s="182">
        <v>4.2</v>
      </c>
      <c r="H12" s="183">
        <v>5.78</v>
      </c>
      <c r="I12" t="s">
        <v>315</v>
      </c>
    </row>
    <row r="13" spans="1:9" x14ac:dyDescent="0.25">
      <c r="A13" t="s">
        <v>331</v>
      </c>
      <c r="B13" t="s">
        <v>312</v>
      </c>
      <c r="C13" t="s">
        <v>323</v>
      </c>
      <c r="D13" t="s">
        <v>324</v>
      </c>
      <c r="E13" t="s">
        <v>325</v>
      </c>
      <c r="F13">
        <v>5</v>
      </c>
      <c r="G13" s="182">
        <v>4.5</v>
      </c>
      <c r="H13" s="183">
        <v>6.82</v>
      </c>
      <c r="I13" t="s">
        <v>315</v>
      </c>
    </row>
    <row r="14" spans="1:9" x14ac:dyDescent="0.25">
      <c r="A14" t="s">
        <v>332</v>
      </c>
      <c r="B14" t="s">
        <v>312</v>
      </c>
      <c r="C14" t="s">
        <v>323</v>
      </c>
      <c r="D14" t="s">
        <v>324</v>
      </c>
      <c r="E14" t="s">
        <v>325</v>
      </c>
      <c r="F14">
        <v>1</v>
      </c>
      <c r="G14" s="182">
        <v>94.9</v>
      </c>
      <c r="H14" s="182">
        <v>115.88500000000001</v>
      </c>
      <c r="I14" t="s">
        <v>315</v>
      </c>
    </row>
    <row r="15" spans="1:9" x14ac:dyDescent="0.25">
      <c r="A15" t="s">
        <v>333</v>
      </c>
      <c r="B15" t="s">
        <v>312</v>
      </c>
      <c r="C15" t="s">
        <v>323</v>
      </c>
      <c r="D15" t="s">
        <v>324</v>
      </c>
      <c r="E15" t="s">
        <v>325</v>
      </c>
      <c r="F15">
        <v>1</v>
      </c>
      <c r="G15" s="182">
        <v>124.9</v>
      </c>
      <c r="H15" s="182">
        <v>154</v>
      </c>
      <c r="I15" t="s">
        <v>315</v>
      </c>
    </row>
    <row r="16" spans="1:9" x14ac:dyDescent="0.25">
      <c r="A16" t="s">
        <v>334</v>
      </c>
      <c r="B16" t="s">
        <v>312</v>
      </c>
      <c r="C16" t="s">
        <v>323</v>
      </c>
      <c r="D16" t="s">
        <v>324</v>
      </c>
      <c r="E16" t="s">
        <v>325</v>
      </c>
      <c r="F16" t="s">
        <v>321</v>
      </c>
      <c r="G16" s="182" t="s">
        <v>321</v>
      </c>
      <c r="H16" s="182" t="s">
        <v>321</v>
      </c>
      <c r="I16" t="s">
        <v>315</v>
      </c>
    </row>
    <row r="17" spans="1:9" x14ac:dyDescent="0.25">
      <c r="A17" t="s">
        <v>68</v>
      </c>
      <c r="B17" t="s">
        <v>312</v>
      </c>
      <c r="C17" t="s">
        <v>335</v>
      </c>
      <c r="D17" t="s">
        <v>336</v>
      </c>
      <c r="E17" t="s">
        <v>24</v>
      </c>
      <c r="F17">
        <v>5</v>
      </c>
      <c r="G17" s="182">
        <v>3.82</v>
      </c>
      <c r="H17" s="182">
        <v>5.3199100000000001</v>
      </c>
      <c r="I17" t="s">
        <v>315</v>
      </c>
    </row>
    <row r="18" spans="1:9" x14ac:dyDescent="0.25">
      <c r="A18" t="s">
        <v>337</v>
      </c>
      <c r="B18" t="s">
        <v>312</v>
      </c>
      <c r="C18" t="s">
        <v>25</v>
      </c>
      <c r="D18" t="s">
        <v>338</v>
      </c>
      <c r="E18" t="s">
        <v>25</v>
      </c>
      <c r="F18">
        <v>10</v>
      </c>
      <c r="G18" s="182">
        <v>4.96</v>
      </c>
      <c r="H18" s="182">
        <v>5.8283874999999998</v>
      </c>
      <c r="I18" t="s">
        <v>339</v>
      </c>
    </row>
    <row r="19" spans="1:9" x14ac:dyDescent="0.25">
      <c r="A19" t="s">
        <v>340</v>
      </c>
      <c r="B19" t="s">
        <v>341</v>
      </c>
      <c r="C19" t="s">
        <v>25</v>
      </c>
      <c r="D19" t="s">
        <v>342</v>
      </c>
      <c r="E19" t="s">
        <v>25</v>
      </c>
      <c r="F19">
        <v>15</v>
      </c>
      <c r="G19" s="182">
        <v>3.3066666666666666</v>
      </c>
      <c r="H19" s="182">
        <v>3.8855916666666661</v>
      </c>
      <c r="I19" t="s">
        <v>339</v>
      </c>
    </row>
    <row r="20" spans="1:9" x14ac:dyDescent="0.25">
      <c r="A20" t="s">
        <v>343</v>
      </c>
      <c r="B20" t="s">
        <v>312</v>
      </c>
      <c r="C20" t="s">
        <v>344</v>
      </c>
      <c r="D20" t="s">
        <v>345</v>
      </c>
      <c r="E20" t="s">
        <v>346</v>
      </c>
      <c r="F20">
        <v>1</v>
      </c>
      <c r="G20" s="182">
        <v>14.45</v>
      </c>
      <c r="H20" s="182">
        <v>18.307291666666668</v>
      </c>
      <c r="I20" t="s">
        <v>315</v>
      </c>
    </row>
    <row r="21" spans="1:9" x14ac:dyDescent="0.25">
      <c r="A21" t="s">
        <v>347</v>
      </c>
      <c r="B21" t="s">
        <v>312</v>
      </c>
      <c r="C21" t="s">
        <v>344</v>
      </c>
      <c r="D21" t="s">
        <v>345</v>
      </c>
      <c r="E21" t="s">
        <v>346</v>
      </c>
      <c r="F21">
        <v>5</v>
      </c>
      <c r="G21" s="182">
        <v>2.89</v>
      </c>
      <c r="H21" s="183">
        <v>3.6614583333333335</v>
      </c>
      <c r="I21" t="s">
        <v>315</v>
      </c>
    </row>
    <row r="22" spans="1:9" x14ac:dyDescent="0.25">
      <c r="A22" t="s">
        <v>348</v>
      </c>
      <c r="B22" t="s">
        <v>312</v>
      </c>
      <c r="C22" t="s">
        <v>344</v>
      </c>
      <c r="D22" t="s">
        <v>345</v>
      </c>
      <c r="E22" t="s">
        <v>346</v>
      </c>
      <c r="F22">
        <v>10</v>
      </c>
      <c r="G22" s="182">
        <v>2.69</v>
      </c>
      <c r="H22" s="183">
        <v>3.04296875</v>
      </c>
      <c r="I22" t="s">
        <v>315</v>
      </c>
    </row>
    <row r="23" spans="1:9" x14ac:dyDescent="0.25">
      <c r="A23" t="s">
        <v>349</v>
      </c>
      <c r="B23" t="s">
        <v>312</v>
      </c>
      <c r="C23" t="s">
        <v>344</v>
      </c>
      <c r="D23" t="s">
        <v>345</v>
      </c>
      <c r="E23" t="s">
        <v>346</v>
      </c>
      <c r="F23">
        <v>10</v>
      </c>
      <c r="G23" s="182">
        <v>2.69</v>
      </c>
      <c r="H23" s="183">
        <v>3.5036458333333331</v>
      </c>
      <c r="I23" t="s">
        <v>315</v>
      </c>
    </row>
    <row r="24" spans="1:9" x14ac:dyDescent="0.25">
      <c r="A24" t="s">
        <v>350</v>
      </c>
      <c r="B24" t="s">
        <v>312</v>
      </c>
      <c r="C24" t="s">
        <v>344</v>
      </c>
      <c r="D24" t="s">
        <v>345</v>
      </c>
      <c r="E24" t="s">
        <v>346</v>
      </c>
      <c r="F24">
        <v>20</v>
      </c>
      <c r="G24" s="182">
        <v>1.72</v>
      </c>
      <c r="H24" s="183">
        <v>2.0286458333333335</v>
      </c>
      <c r="I24" t="s">
        <v>315</v>
      </c>
    </row>
    <row r="25" spans="1:9" x14ac:dyDescent="0.25">
      <c r="A25" t="s">
        <v>351</v>
      </c>
      <c r="B25" t="s">
        <v>312</v>
      </c>
      <c r="C25" t="s">
        <v>344</v>
      </c>
      <c r="D25" t="s">
        <v>345</v>
      </c>
      <c r="E25" t="s">
        <v>346</v>
      </c>
      <c r="F25" t="s">
        <v>321</v>
      </c>
      <c r="G25" s="182" t="s">
        <v>321</v>
      </c>
      <c r="H25" s="183" t="s">
        <v>321</v>
      </c>
      <c r="I25" t="s">
        <v>315</v>
      </c>
    </row>
    <row r="26" spans="1:9" x14ac:dyDescent="0.25">
      <c r="A26" t="s">
        <v>78</v>
      </c>
      <c r="B26" t="s">
        <v>312</v>
      </c>
      <c r="C26" t="s">
        <v>352</v>
      </c>
      <c r="D26" t="s">
        <v>353</v>
      </c>
      <c r="E26" t="s">
        <v>27</v>
      </c>
      <c r="F26">
        <v>6</v>
      </c>
      <c r="G26" s="182">
        <v>1.8</v>
      </c>
      <c r="H26" s="183">
        <v>15.316239316239317</v>
      </c>
      <c r="I26" t="s">
        <v>354</v>
      </c>
    </row>
    <row r="27" spans="1:9" x14ac:dyDescent="0.25">
      <c r="A27" t="s">
        <v>83</v>
      </c>
      <c r="B27" t="s">
        <v>312</v>
      </c>
      <c r="C27" t="s">
        <v>352</v>
      </c>
      <c r="D27" t="s">
        <v>353</v>
      </c>
      <c r="E27" t="s">
        <v>27</v>
      </c>
      <c r="F27">
        <v>6</v>
      </c>
      <c r="G27" s="182">
        <v>1.8</v>
      </c>
      <c r="H27" s="183">
        <v>15.316239316239317</v>
      </c>
      <c r="I27" t="s">
        <v>354</v>
      </c>
    </row>
    <row r="28" spans="1:9" x14ac:dyDescent="0.25">
      <c r="A28" t="s">
        <v>355</v>
      </c>
      <c r="B28" t="s">
        <v>312</v>
      </c>
      <c r="C28" t="s">
        <v>352</v>
      </c>
      <c r="D28" t="s">
        <v>353</v>
      </c>
      <c r="E28" t="s">
        <v>27</v>
      </c>
      <c r="F28">
        <v>6</v>
      </c>
      <c r="G28" s="182">
        <v>1.9</v>
      </c>
      <c r="H28" s="183">
        <v>15.316239316239317</v>
      </c>
      <c r="I28" t="s">
        <v>354</v>
      </c>
    </row>
    <row r="29" spans="1:9" x14ac:dyDescent="0.25">
      <c r="A29" t="s">
        <v>356</v>
      </c>
      <c r="B29" t="s">
        <v>312</v>
      </c>
      <c r="C29" t="s">
        <v>352</v>
      </c>
      <c r="D29" t="s">
        <v>353</v>
      </c>
      <c r="E29" s="487" t="s">
        <v>27</v>
      </c>
      <c r="F29">
        <v>6</v>
      </c>
      <c r="G29" s="182">
        <v>2.6</v>
      </c>
      <c r="H29" s="488"/>
      <c r="I29" t="s">
        <v>354</v>
      </c>
    </row>
    <row r="30" spans="1:9" x14ac:dyDescent="0.25">
      <c r="A30" t="s">
        <v>357</v>
      </c>
      <c r="B30" t="s">
        <v>312</v>
      </c>
      <c r="C30" t="s">
        <v>352</v>
      </c>
      <c r="D30" t="s">
        <v>353</v>
      </c>
      <c r="E30" s="487" t="s">
        <v>27</v>
      </c>
      <c r="F30">
        <v>10</v>
      </c>
      <c r="G30" s="182">
        <v>1.1000000000000001</v>
      </c>
      <c r="H30" s="183">
        <v>15.316239316239317</v>
      </c>
      <c r="I30" t="s">
        <v>354</v>
      </c>
    </row>
    <row r="31" spans="1:9" x14ac:dyDescent="0.25">
      <c r="A31" t="s">
        <v>358</v>
      </c>
      <c r="B31" t="s">
        <v>312</v>
      </c>
      <c r="C31" t="s">
        <v>359</v>
      </c>
      <c r="D31" t="s">
        <v>360</v>
      </c>
      <c r="E31" t="s">
        <v>28</v>
      </c>
      <c r="F31">
        <v>10</v>
      </c>
      <c r="G31" s="182">
        <v>1.5</v>
      </c>
      <c r="H31" s="488"/>
      <c r="I31" t="s">
        <v>354</v>
      </c>
    </row>
    <row r="32" spans="1:9" x14ac:dyDescent="0.25">
      <c r="A32" t="s">
        <v>361</v>
      </c>
      <c r="B32" t="s">
        <v>312</v>
      </c>
      <c r="C32" t="s">
        <v>359</v>
      </c>
      <c r="D32" t="s">
        <v>360</v>
      </c>
      <c r="E32" t="s">
        <v>28</v>
      </c>
      <c r="F32">
        <v>1</v>
      </c>
      <c r="G32" s="182">
        <v>41.65</v>
      </c>
      <c r="H32" s="183">
        <v>49.819860000000006</v>
      </c>
      <c r="I32" t="s">
        <v>315</v>
      </c>
    </row>
    <row r="33" spans="1:9" x14ac:dyDescent="0.25">
      <c r="A33" t="s">
        <v>362</v>
      </c>
      <c r="B33" t="s">
        <v>312</v>
      </c>
      <c r="C33" t="s">
        <v>359</v>
      </c>
      <c r="D33" t="s">
        <v>360</v>
      </c>
      <c r="E33" t="s">
        <v>28</v>
      </c>
      <c r="F33" t="s">
        <v>321</v>
      </c>
      <c r="G33" s="182" t="s">
        <v>321</v>
      </c>
      <c r="H33" s="183" t="s">
        <v>321</v>
      </c>
      <c r="I33" t="s">
        <v>315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AJ252"/>
  <sheetViews>
    <sheetView topLeftCell="C1" workbookViewId="0">
      <selection activeCell="Q27" sqref="Q27"/>
    </sheetView>
  </sheetViews>
  <sheetFormatPr defaultRowHeight="15" x14ac:dyDescent="0.25"/>
  <cols>
    <col min="2" max="2" width="29" bestFit="1" customWidth="1"/>
    <col min="3" max="3" width="10.5703125" customWidth="1"/>
    <col min="7" max="7" width="23.85546875" customWidth="1"/>
    <col min="8" max="8" width="17.5703125" customWidth="1"/>
    <col min="9" max="9" width="14.5703125" customWidth="1"/>
    <col min="15" max="15" width="13.5703125" customWidth="1"/>
    <col min="17" max="17" width="11.140625" bestFit="1" customWidth="1"/>
    <col min="18" max="18" width="12.140625" bestFit="1" customWidth="1"/>
    <col min="19" max="19" width="11.42578125" bestFit="1" customWidth="1"/>
    <col min="21" max="21" width="19.42578125" bestFit="1" customWidth="1"/>
  </cols>
  <sheetData>
    <row r="1" spans="1:23" x14ac:dyDescent="0.25">
      <c r="A1" s="9"/>
      <c r="B1" s="29" t="s">
        <v>30</v>
      </c>
      <c r="C1" s="29" t="s">
        <v>363</v>
      </c>
      <c r="E1" s="7" t="s">
        <v>364</v>
      </c>
      <c r="F1" s="7" t="s">
        <v>365</v>
      </c>
      <c r="G1" s="7" t="s">
        <v>366</v>
      </c>
      <c r="H1" s="7" t="s">
        <v>33</v>
      </c>
      <c r="I1" s="7" t="s">
        <v>367</v>
      </c>
      <c r="J1" s="7" t="s">
        <v>368</v>
      </c>
      <c r="K1" t="s">
        <v>47</v>
      </c>
      <c r="M1" t="s">
        <v>44</v>
      </c>
      <c r="O1" t="s">
        <v>43</v>
      </c>
      <c r="Q1" s="411">
        <v>44197</v>
      </c>
      <c r="R1" s="411">
        <v>44227</v>
      </c>
      <c r="S1" t="str">
        <f>Start!C15</f>
        <v>Vaccine</v>
      </c>
      <c r="U1" s="48" t="s">
        <v>14</v>
      </c>
      <c r="V1" s="48"/>
      <c r="W1" t="s">
        <v>23</v>
      </c>
    </row>
    <row r="2" spans="1:23" x14ac:dyDescent="0.25">
      <c r="A2">
        <v>1</v>
      </c>
      <c r="B2" s="3" t="s">
        <v>369</v>
      </c>
      <c r="C2" s="4" t="s">
        <v>370</v>
      </c>
      <c r="E2" s="2">
        <v>2021</v>
      </c>
      <c r="F2" s="2" t="s">
        <v>371</v>
      </c>
      <c r="G2" s="2" t="s">
        <v>372</v>
      </c>
      <c r="H2" s="2" t="s">
        <v>373</v>
      </c>
      <c r="I2" s="2" t="s">
        <v>27</v>
      </c>
      <c r="J2" s="2" t="s">
        <v>374</v>
      </c>
      <c r="K2" t="s">
        <v>85</v>
      </c>
      <c r="M2" t="s">
        <v>82</v>
      </c>
      <c r="O2" t="s">
        <v>61</v>
      </c>
      <c r="Q2" s="411">
        <v>44228</v>
      </c>
      <c r="R2" s="411">
        <v>44255</v>
      </c>
      <c r="S2" t="s">
        <v>21</v>
      </c>
      <c r="U2" s="48" t="s">
        <v>15</v>
      </c>
      <c r="V2" s="48"/>
      <c r="W2" t="s">
        <v>26</v>
      </c>
    </row>
    <row r="3" spans="1:23" x14ac:dyDescent="0.25">
      <c r="A3">
        <v>2</v>
      </c>
      <c r="B3" s="3" t="s">
        <v>375</v>
      </c>
      <c r="C3" s="4" t="s">
        <v>376</v>
      </c>
      <c r="E3" s="2">
        <v>2022</v>
      </c>
      <c r="F3" s="2" t="s">
        <v>377</v>
      </c>
      <c r="G3" s="2" t="s">
        <v>25</v>
      </c>
      <c r="H3" s="2" t="s">
        <v>338</v>
      </c>
      <c r="I3" s="2" t="s">
        <v>25</v>
      </c>
      <c r="J3" s="2" t="s">
        <v>378</v>
      </c>
      <c r="K3" s="2" t="s">
        <v>64</v>
      </c>
      <c r="M3" t="s">
        <v>62</v>
      </c>
      <c r="O3" t="s">
        <v>379</v>
      </c>
      <c r="Q3" s="411">
        <v>44256</v>
      </c>
      <c r="R3" s="411">
        <v>44286</v>
      </c>
      <c r="S3" t="str">
        <f>Start!C17</f>
        <v>AstraZeneca</v>
      </c>
      <c r="U3" s="48" t="s">
        <v>16</v>
      </c>
      <c r="V3" s="48"/>
    </row>
    <row r="4" spans="1:23" x14ac:dyDescent="0.25">
      <c r="A4">
        <v>3</v>
      </c>
      <c r="B4" s="3" t="s">
        <v>380</v>
      </c>
      <c r="C4" s="4" t="s">
        <v>381</v>
      </c>
      <c r="E4" s="2">
        <v>2023</v>
      </c>
      <c r="F4" s="2" t="s">
        <v>382</v>
      </c>
      <c r="G4" s="2" t="s">
        <v>22</v>
      </c>
      <c r="H4" s="2" t="s">
        <v>383</v>
      </c>
      <c r="I4" s="2" t="s">
        <v>22</v>
      </c>
      <c r="J4" s="2" t="s">
        <v>384</v>
      </c>
      <c r="K4" s="2" t="s">
        <v>283</v>
      </c>
      <c r="O4" t="s">
        <v>385</v>
      </c>
      <c r="Q4" s="411">
        <v>44287</v>
      </c>
      <c r="R4" s="411">
        <v>44316</v>
      </c>
      <c r="S4" t="str">
        <f>Start!C18</f>
        <v>Jansen</v>
      </c>
    </row>
    <row r="5" spans="1:23" x14ac:dyDescent="0.25">
      <c r="A5">
        <v>4</v>
      </c>
      <c r="B5" s="3" t="s">
        <v>386</v>
      </c>
      <c r="C5" s="4" t="s">
        <v>387</v>
      </c>
      <c r="E5" s="2">
        <v>2024</v>
      </c>
      <c r="F5" s="2" t="s">
        <v>388</v>
      </c>
      <c r="G5" s="2" t="s">
        <v>389</v>
      </c>
      <c r="H5" s="2" t="s">
        <v>390</v>
      </c>
      <c r="I5" s="2" t="s">
        <v>24</v>
      </c>
      <c r="J5" s="2"/>
      <c r="K5" t="s">
        <v>63</v>
      </c>
      <c r="Q5" s="411">
        <v>44317</v>
      </c>
      <c r="R5" s="411">
        <v>44347</v>
      </c>
      <c r="S5" t="str">
        <f>Start!C19</f>
        <v>Moderna</v>
      </c>
    </row>
    <row r="6" spans="1:23" x14ac:dyDescent="0.25">
      <c r="A6">
        <v>5</v>
      </c>
      <c r="B6" s="3" t="s">
        <v>391</v>
      </c>
      <c r="C6" s="4" t="s">
        <v>392</v>
      </c>
      <c r="E6" s="2"/>
      <c r="F6" s="2" t="s">
        <v>393</v>
      </c>
      <c r="G6" s="2" t="s">
        <v>394</v>
      </c>
      <c r="H6" s="2" t="s">
        <v>395</v>
      </c>
      <c r="I6" s="2" t="s">
        <v>325</v>
      </c>
      <c r="J6" s="2"/>
      <c r="K6" s="2"/>
      <c r="Q6" s="411">
        <v>44348</v>
      </c>
      <c r="R6" s="411">
        <v>44377</v>
      </c>
      <c r="S6" t="str">
        <f>Start!C20</f>
        <v>Pfizer</v>
      </c>
    </row>
    <row r="7" spans="1:23" x14ac:dyDescent="0.25">
      <c r="A7">
        <v>6</v>
      </c>
      <c r="B7" s="3" t="s">
        <v>396</v>
      </c>
      <c r="C7" s="4" t="s">
        <v>397</v>
      </c>
      <c r="E7" s="2"/>
      <c r="F7" s="2" t="s">
        <v>398</v>
      </c>
      <c r="G7" s="2" t="s">
        <v>28</v>
      </c>
      <c r="H7" s="2" t="s">
        <v>399</v>
      </c>
      <c r="I7" s="2" t="s">
        <v>28</v>
      </c>
      <c r="J7" s="2"/>
      <c r="K7" s="2"/>
      <c r="Q7" s="411">
        <v>44378</v>
      </c>
      <c r="R7" s="411">
        <v>44408</v>
      </c>
      <c r="S7" t="str">
        <f>Start!C21</f>
        <v>Sinovac</v>
      </c>
    </row>
    <row r="8" spans="1:23" x14ac:dyDescent="0.25">
      <c r="A8">
        <v>7</v>
      </c>
      <c r="B8" s="3" t="s">
        <v>400</v>
      </c>
      <c r="C8" s="4" t="s">
        <v>401</v>
      </c>
      <c r="E8" s="2"/>
      <c r="F8" s="2" t="s">
        <v>402</v>
      </c>
      <c r="G8" s="2" t="s">
        <v>403</v>
      </c>
      <c r="H8" s="2" t="s">
        <v>404</v>
      </c>
      <c r="I8" s="2" t="s">
        <v>22</v>
      </c>
      <c r="J8" s="2"/>
      <c r="K8" s="2"/>
      <c r="Q8" s="411">
        <v>44409</v>
      </c>
      <c r="R8" s="411">
        <v>44439</v>
      </c>
      <c r="S8">
        <f>Start!C22</f>
        <v>0</v>
      </c>
    </row>
    <row r="9" spans="1:23" x14ac:dyDescent="0.25">
      <c r="A9">
        <v>8</v>
      </c>
      <c r="B9" s="3" t="s">
        <v>405</v>
      </c>
      <c r="C9" s="4" t="s">
        <v>406</v>
      </c>
      <c r="E9" s="2"/>
      <c r="F9" s="2" t="s">
        <v>407</v>
      </c>
      <c r="G9" s="2" t="s">
        <v>408</v>
      </c>
      <c r="H9" s="2" t="s">
        <v>409</v>
      </c>
      <c r="I9" s="2" t="s">
        <v>409</v>
      </c>
      <c r="J9" s="2"/>
      <c r="K9" s="2"/>
      <c r="O9" t="s">
        <v>205</v>
      </c>
      <c r="Q9" s="411">
        <v>44440</v>
      </c>
      <c r="R9" s="411">
        <v>44469</v>
      </c>
      <c r="S9">
        <f>Start!C23</f>
        <v>0</v>
      </c>
    </row>
    <row r="10" spans="1:23" x14ac:dyDescent="0.25">
      <c r="A10">
        <v>9</v>
      </c>
      <c r="B10" s="3" t="s">
        <v>410</v>
      </c>
      <c r="C10" s="4" t="s">
        <v>411</v>
      </c>
      <c r="E10" s="2"/>
      <c r="F10" s="2" t="s">
        <v>412</v>
      </c>
      <c r="G10" s="2" t="s">
        <v>408</v>
      </c>
      <c r="H10" s="2" t="s">
        <v>413</v>
      </c>
      <c r="I10" t="s">
        <v>413</v>
      </c>
      <c r="J10" s="2"/>
      <c r="K10" s="2"/>
      <c r="O10" t="s">
        <v>213</v>
      </c>
      <c r="Q10" s="411">
        <v>44470</v>
      </c>
      <c r="R10" s="411">
        <v>44500</v>
      </c>
      <c r="S10">
        <f>Start!C24</f>
        <v>0</v>
      </c>
    </row>
    <row r="11" spans="1:23" x14ac:dyDescent="0.25">
      <c r="A11">
        <v>10</v>
      </c>
      <c r="B11" s="3" t="s">
        <v>414</v>
      </c>
      <c r="C11" s="4" t="s">
        <v>415</v>
      </c>
      <c r="E11" s="2"/>
      <c r="F11" s="2" t="s">
        <v>416</v>
      </c>
      <c r="G11" s="2"/>
      <c r="H11" s="2"/>
      <c r="I11" s="2" t="s">
        <v>346</v>
      </c>
      <c r="J11" s="2"/>
      <c r="K11" s="2"/>
      <c r="O11" t="s">
        <v>214</v>
      </c>
      <c r="Q11" s="411">
        <v>44501</v>
      </c>
      <c r="R11" s="411">
        <v>44530</v>
      </c>
      <c r="S11" t="s">
        <v>346</v>
      </c>
    </row>
    <row r="12" spans="1:23" x14ac:dyDescent="0.25">
      <c r="A12">
        <v>11</v>
      </c>
      <c r="B12" s="3" t="s">
        <v>417</v>
      </c>
      <c r="C12" s="4" t="s">
        <v>418</v>
      </c>
      <c r="E12" s="2"/>
      <c r="F12" s="2" t="s">
        <v>419</v>
      </c>
      <c r="G12" s="2"/>
      <c r="H12" s="2"/>
      <c r="J12" s="2"/>
      <c r="K12" s="2"/>
      <c r="O12" t="s">
        <v>130</v>
      </c>
      <c r="Q12" s="411">
        <v>44531</v>
      </c>
      <c r="R12" s="411">
        <v>44561</v>
      </c>
      <c r="S12">
        <f>Start!C26</f>
        <v>0</v>
      </c>
    </row>
    <row r="13" spans="1:23" x14ac:dyDescent="0.25">
      <c r="A13">
        <v>12</v>
      </c>
      <c r="B13" s="3" t="s">
        <v>420</v>
      </c>
      <c r="C13" s="4" t="s">
        <v>421</v>
      </c>
      <c r="E13" s="2"/>
      <c r="F13" s="2" t="s">
        <v>422</v>
      </c>
      <c r="I13" s="1"/>
      <c r="O13" t="s">
        <v>215</v>
      </c>
      <c r="Q13" s="411">
        <v>44562</v>
      </c>
      <c r="R13" s="411">
        <v>44592</v>
      </c>
      <c r="S13">
        <f>Start!C27</f>
        <v>0</v>
      </c>
    </row>
    <row r="14" spans="1:23" x14ac:dyDescent="0.25">
      <c r="A14">
        <v>13</v>
      </c>
      <c r="B14" s="3" t="s">
        <v>423</v>
      </c>
      <c r="C14" s="4" t="s">
        <v>424</v>
      </c>
      <c r="E14" s="2"/>
      <c r="F14" s="2"/>
      <c r="I14" s="1"/>
      <c r="J14" s="86"/>
      <c r="O14" t="s">
        <v>216</v>
      </c>
      <c r="Q14" s="411">
        <v>44593</v>
      </c>
      <c r="R14" s="411">
        <v>44620</v>
      </c>
      <c r="S14">
        <f>Start!C28</f>
        <v>0</v>
      </c>
    </row>
    <row r="15" spans="1:23" x14ac:dyDescent="0.25">
      <c r="A15">
        <v>14</v>
      </c>
      <c r="B15" s="3" t="s">
        <v>425</v>
      </c>
      <c r="C15" s="4" t="s">
        <v>426</v>
      </c>
      <c r="H15" s="85"/>
      <c r="O15" t="s">
        <v>217</v>
      </c>
      <c r="Q15" s="411">
        <v>44621</v>
      </c>
      <c r="R15" s="411">
        <v>44651</v>
      </c>
      <c r="S15">
        <f>Start!C29</f>
        <v>0</v>
      </c>
    </row>
    <row r="16" spans="1:23" x14ac:dyDescent="0.25">
      <c r="A16">
        <v>15</v>
      </c>
      <c r="B16" s="3" t="s">
        <v>427</v>
      </c>
      <c r="C16" s="4" t="s">
        <v>428</v>
      </c>
      <c r="O16" t="s">
        <v>218</v>
      </c>
      <c r="Q16" s="411">
        <v>44652</v>
      </c>
      <c r="R16" s="411">
        <v>44681</v>
      </c>
      <c r="S16">
        <f>Start!C30</f>
        <v>0</v>
      </c>
    </row>
    <row r="17" spans="1:19" x14ac:dyDescent="0.25">
      <c r="A17">
        <v>16</v>
      </c>
      <c r="B17" s="3" t="s">
        <v>429</v>
      </c>
      <c r="C17" s="4" t="s">
        <v>430</v>
      </c>
      <c r="Q17" s="411">
        <v>44682</v>
      </c>
      <c r="R17" s="411">
        <v>44712</v>
      </c>
      <c r="S17">
        <f>Start!C31</f>
        <v>0</v>
      </c>
    </row>
    <row r="18" spans="1:19" x14ac:dyDescent="0.25">
      <c r="A18">
        <v>17</v>
      </c>
      <c r="B18" s="3" t="s">
        <v>431</v>
      </c>
      <c r="C18" s="4" t="s">
        <v>432</v>
      </c>
      <c r="Q18" s="411">
        <v>44713</v>
      </c>
      <c r="R18" s="411">
        <v>44742</v>
      </c>
    </row>
    <row r="19" spans="1:19" x14ac:dyDescent="0.25">
      <c r="A19">
        <v>18</v>
      </c>
      <c r="B19" s="3" t="s">
        <v>433</v>
      </c>
      <c r="C19" s="4" t="s">
        <v>434</v>
      </c>
      <c r="Q19" s="411">
        <v>44743</v>
      </c>
      <c r="R19" s="411">
        <v>44773</v>
      </c>
    </row>
    <row r="20" spans="1:19" x14ac:dyDescent="0.25">
      <c r="A20">
        <v>19</v>
      </c>
      <c r="B20" s="3" t="s">
        <v>435</v>
      </c>
      <c r="C20" s="4" t="s">
        <v>436</v>
      </c>
      <c r="Q20" s="411">
        <v>44774</v>
      </c>
      <c r="R20" s="411">
        <v>44804</v>
      </c>
    </row>
    <row r="21" spans="1:19" x14ac:dyDescent="0.25">
      <c r="A21">
        <v>20</v>
      </c>
      <c r="B21" s="3" t="s">
        <v>437</v>
      </c>
      <c r="C21" s="4" t="s">
        <v>438</v>
      </c>
      <c r="Q21" s="411">
        <v>44805</v>
      </c>
      <c r="R21" s="411">
        <v>44834</v>
      </c>
    </row>
    <row r="22" spans="1:19" x14ac:dyDescent="0.25">
      <c r="A22">
        <v>21</v>
      </c>
      <c r="B22" s="3" t="s">
        <v>439</v>
      </c>
      <c r="C22" s="4" t="s">
        <v>440</v>
      </c>
      <c r="Q22" s="411">
        <v>44835</v>
      </c>
      <c r="R22" s="411">
        <v>44865</v>
      </c>
    </row>
    <row r="23" spans="1:19" x14ac:dyDescent="0.25">
      <c r="A23">
        <v>22</v>
      </c>
      <c r="B23" s="3" t="s">
        <v>441</v>
      </c>
      <c r="C23" s="4" t="s">
        <v>442</v>
      </c>
      <c r="Q23" s="411">
        <v>44866</v>
      </c>
      <c r="R23" s="411">
        <v>44895</v>
      </c>
    </row>
    <row r="24" spans="1:19" x14ac:dyDescent="0.25">
      <c r="A24">
        <v>23</v>
      </c>
      <c r="B24" s="3" t="s">
        <v>443</v>
      </c>
      <c r="C24" s="4" t="s">
        <v>444</v>
      </c>
      <c r="Q24" s="411">
        <v>44896</v>
      </c>
      <c r="R24" s="411">
        <v>44926</v>
      </c>
    </row>
    <row r="25" spans="1:19" x14ac:dyDescent="0.25">
      <c r="A25">
        <v>24</v>
      </c>
      <c r="B25" s="3" t="s">
        <v>445</v>
      </c>
      <c r="C25" s="4" t="s">
        <v>446</v>
      </c>
      <c r="Q25" s="411">
        <v>44927</v>
      </c>
      <c r="R25" s="411">
        <v>44957</v>
      </c>
    </row>
    <row r="26" spans="1:19" x14ac:dyDescent="0.25">
      <c r="A26">
        <v>25</v>
      </c>
      <c r="B26" s="3" t="s">
        <v>447</v>
      </c>
      <c r="C26" s="4" t="s">
        <v>448</v>
      </c>
      <c r="Q26" s="411">
        <v>44958</v>
      </c>
      <c r="R26" s="411">
        <v>44985</v>
      </c>
    </row>
    <row r="27" spans="1:19" x14ac:dyDescent="0.25">
      <c r="A27">
        <v>26</v>
      </c>
      <c r="B27" s="3" t="s">
        <v>449</v>
      </c>
      <c r="C27" s="4" t="s">
        <v>450</v>
      </c>
      <c r="Q27" s="411">
        <v>44986</v>
      </c>
      <c r="R27" s="411">
        <v>45016</v>
      </c>
    </row>
    <row r="28" spans="1:19" x14ac:dyDescent="0.25">
      <c r="A28">
        <v>27</v>
      </c>
      <c r="B28" s="3" t="s">
        <v>451</v>
      </c>
      <c r="C28" s="4" t="s">
        <v>452</v>
      </c>
      <c r="Q28" s="411">
        <v>45017</v>
      </c>
      <c r="R28" s="411">
        <v>45046</v>
      </c>
    </row>
    <row r="29" spans="1:19" x14ac:dyDescent="0.25">
      <c r="A29">
        <v>28</v>
      </c>
      <c r="B29" s="3" t="s">
        <v>453</v>
      </c>
      <c r="C29" s="4" t="s">
        <v>454</v>
      </c>
      <c r="Q29" s="411">
        <v>45047</v>
      </c>
      <c r="R29" s="411">
        <v>45077</v>
      </c>
    </row>
    <row r="30" spans="1:19" x14ac:dyDescent="0.25">
      <c r="A30">
        <v>29</v>
      </c>
      <c r="B30" s="3" t="s">
        <v>455</v>
      </c>
      <c r="C30" s="4" t="s">
        <v>456</v>
      </c>
      <c r="Q30" s="411">
        <v>45078</v>
      </c>
      <c r="R30" s="411">
        <v>45107</v>
      </c>
    </row>
    <row r="31" spans="1:19" x14ac:dyDescent="0.25">
      <c r="A31">
        <v>30</v>
      </c>
      <c r="B31" s="3" t="s">
        <v>457</v>
      </c>
      <c r="C31" s="4" t="s">
        <v>458</v>
      </c>
      <c r="Q31" s="411">
        <v>45108</v>
      </c>
      <c r="R31" s="411">
        <v>45138</v>
      </c>
    </row>
    <row r="32" spans="1:19" x14ac:dyDescent="0.25">
      <c r="A32">
        <v>31</v>
      </c>
      <c r="B32" s="3" t="s">
        <v>459</v>
      </c>
      <c r="C32" s="4" t="s">
        <v>460</v>
      </c>
      <c r="Q32" s="411">
        <v>45139</v>
      </c>
      <c r="R32" s="411">
        <v>45169</v>
      </c>
    </row>
    <row r="33" spans="1:18" x14ac:dyDescent="0.25">
      <c r="A33">
        <v>32</v>
      </c>
      <c r="B33" s="3" t="s">
        <v>461</v>
      </c>
      <c r="C33" s="4" t="s">
        <v>462</v>
      </c>
      <c r="Q33" s="411">
        <v>45170</v>
      </c>
      <c r="R33" s="411">
        <v>45199</v>
      </c>
    </row>
    <row r="34" spans="1:18" x14ac:dyDescent="0.25">
      <c r="A34">
        <v>33</v>
      </c>
      <c r="B34" s="3" t="s">
        <v>463</v>
      </c>
      <c r="C34" s="4" t="s">
        <v>464</v>
      </c>
      <c r="Q34" s="411">
        <v>45200</v>
      </c>
      <c r="R34" s="411">
        <v>45230</v>
      </c>
    </row>
    <row r="35" spans="1:18" x14ac:dyDescent="0.25">
      <c r="A35">
        <v>34</v>
      </c>
      <c r="B35" s="3" t="s">
        <v>465</v>
      </c>
      <c r="C35" s="4" t="s">
        <v>466</v>
      </c>
      <c r="Q35" s="411">
        <v>45231</v>
      </c>
      <c r="R35" s="411">
        <v>45260</v>
      </c>
    </row>
    <row r="36" spans="1:18" x14ac:dyDescent="0.25">
      <c r="A36">
        <v>35</v>
      </c>
      <c r="B36" s="3" t="s">
        <v>467</v>
      </c>
      <c r="C36" s="4" t="s">
        <v>468</v>
      </c>
      <c r="Q36" s="411">
        <v>45261</v>
      </c>
      <c r="R36" s="411">
        <v>45291</v>
      </c>
    </row>
    <row r="37" spans="1:18" x14ac:dyDescent="0.25">
      <c r="A37">
        <v>36</v>
      </c>
      <c r="B37" s="3" t="s">
        <v>469</v>
      </c>
      <c r="C37" s="4" t="s">
        <v>470</v>
      </c>
      <c r="Q37" s="411">
        <v>45292</v>
      </c>
      <c r="R37" s="411">
        <v>45322</v>
      </c>
    </row>
    <row r="38" spans="1:18" x14ac:dyDescent="0.25">
      <c r="A38">
        <v>37</v>
      </c>
      <c r="B38" s="3" t="s">
        <v>471</v>
      </c>
      <c r="C38" s="4" t="s">
        <v>472</v>
      </c>
      <c r="Q38" s="411">
        <v>45323</v>
      </c>
      <c r="R38" s="411">
        <v>45351</v>
      </c>
    </row>
    <row r="39" spans="1:18" x14ac:dyDescent="0.25">
      <c r="A39">
        <v>38</v>
      </c>
      <c r="B39" s="3" t="s">
        <v>473</v>
      </c>
      <c r="C39" s="4" t="s">
        <v>474</v>
      </c>
      <c r="Q39" s="411">
        <v>45352</v>
      </c>
      <c r="R39" s="411">
        <v>45382</v>
      </c>
    </row>
    <row r="40" spans="1:18" x14ac:dyDescent="0.25">
      <c r="A40">
        <v>39</v>
      </c>
      <c r="B40" s="3" t="s">
        <v>475</v>
      </c>
      <c r="C40" s="4" t="s">
        <v>476</v>
      </c>
      <c r="Q40" s="411">
        <v>45383</v>
      </c>
      <c r="R40" s="411">
        <v>45412</v>
      </c>
    </row>
    <row r="41" spans="1:18" x14ac:dyDescent="0.25">
      <c r="A41">
        <v>40</v>
      </c>
      <c r="B41" s="3" t="s">
        <v>477</v>
      </c>
      <c r="C41" s="4" t="s">
        <v>478</v>
      </c>
      <c r="Q41" s="411">
        <v>45413</v>
      </c>
      <c r="R41" s="411">
        <v>45443</v>
      </c>
    </row>
    <row r="42" spans="1:18" x14ac:dyDescent="0.25">
      <c r="A42">
        <v>41</v>
      </c>
      <c r="B42" s="3" t="s">
        <v>479</v>
      </c>
      <c r="C42" s="4" t="s">
        <v>480</v>
      </c>
      <c r="Q42" s="411">
        <v>45444</v>
      </c>
      <c r="R42" s="411">
        <v>45473</v>
      </c>
    </row>
    <row r="43" spans="1:18" x14ac:dyDescent="0.25">
      <c r="A43">
        <v>42</v>
      </c>
      <c r="B43" s="3" t="s">
        <v>481</v>
      </c>
      <c r="C43" s="4" t="s">
        <v>482</v>
      </c>
      <c r="Q43" s="411">
        <v>45474</v>
      </c>
      <c r="R43" s="411">
        <v>45504</v>
      </c>
    </row>
    <row r="44" spans="1:18" x14ac:dyDescent="0.25">
      <c r="A44">
        <v>43</v>
      </c>
      <c r="B44" s="3" t="s">
        <v>483</v>
      </c>
      <c r="C44" s="4" t="s">
        <v>484</v>
      </c>
      <c r="Q44" s="411">
        <v>45505</v>
      </c>
      <c r="R44" s="411">
        <v>45535</v>
      </c>
    </row>
    <row r="45" spans="1:18" x14ac:dyDescent="0.25">
      <c r="A45">
        <v>44</v>
      </c>
      <c r="B45" s="3" t="s">
        <v>485</v>
      </c>
      <c r="C45" s="4" t="s">
        <v>486</v>
      </c>
      <c r="Q45" s="411">
        <v>45536</v>
      </c>
      <c r="R45" s="411">
        <v>45565</v>
      </c>
    </row>
    <row r="46" spans="1:18" x14ac:dyDescent="0.25">
      <c r="A46">
        <v>45</v>
      </c>
      <c r="B46" s="3" t="s">
        <v>487</v>
      </c>
      <c r="C46" s="4" t="s">
        <v>488</v>
      </c>
      <c r="Q46" s="411">
        <v>45566</v>
      </c>
      <c r="R46" s="411">
        <v>45596</v>
      </c>
    </row>
    <row r="47" spans="1:18" x14ac:dyDescent="0.25">
      <c r="A47">
        <v>46</v>
      </c>
      <c r="B47" s="3" t="s">
        <v>489</v>
      </c>
      <c r="C47" s="4" t="s">
        <v>490</v>
      </c>
      <c r="Q47" s="411">
        <v>45597</v>
      </c>
      <c r="R47" s="411">
        <v>45626</v>
      </c>
    </row>
    <row r="48" spans="1:18" x14ac:dyDescent="0.25">
      <c r="A48">
        <v>47</v>
      </c>
      <c r="B48" s="3" t="s">
        <v>491</v>
      </c>
      <c r="C48" s="4" t="s">
        <v>492</v>
      </c>
      <c r="Q48" s="411">
        <v>45627</v>
      </c>
      <c r="R48" s="411">
        <v>45657</v>
      </c>
    </row>
    <row r="49" spans="1:36" x14ac:dyDescent="0.25">
      <c r="A49">
        <v>48</v>
      </c>
      <c r="B49" s="3" t="s">
        <v>493</v>
      </c>
      <c r="C49" s="4" t="s">
        <v>494</v>
      </c>
      <c r="Q49" s="411">
        <v>45658</v>
      </c>
      <c r="R49" s="411">
        <v>45688</v>
      </c>
    </row>
    <row r="50" spans="1:36" x14ac:dyDescent="0.25">
      <c r="A50">
        <v>49</v>
      </c>
      <c r="B50" s="3" t="s">
        <v>495</v>
      </c>
      <c r="C50" s="4" t="s">
        <v>496</v>
      </c>
      <c r="Q50" s="411">
        <v>45689</v>
      </c>
      <c r="R50" s="411">
        <v>45716</v>
      </c>
    </row>
    <row r="51" spans="1:36" x14ac:dyDescent="0.25">
      <c r="A51">
        <v>50</v>
      </c>
      <c r="B51" s="3" t="s">
        <v>497</v>
      </c>
      <c r="C51" s="4" t="s">
        <v>498</v>
      </c>
      <c r="Q51" s="411">
        <v>45717</v>
      </c>
      <c r="R51" s="411">
        <v>45747</v>
      </c>
      <c r="AA51" t="s">
        <v>499</v>
      </c>
      <c r="AJ51" t="s">
        <v>500</v>
      </c>
    </row>
    <row r="52" spans="1:36" x14ac:dyDescent="0.25">
      <c r="A52">
        <v>51</v>
      </c>
      <c r="B52" s="3" t="s">
        <v>501</v>
      </c>
      <c r="C52" s="4" t="s">
        <v>502</v>
      </c>
      <c r="Q52" s="411">
        <v>45748</v>
      </c>
      <c r="R52" s="411">
        <v>45777</v>
      </c>
    </row>
    <row r="53" spans="1:36" x14ac:dyDescent="0.25">
      <c r="A53">
        <v>52</v>
      </c>
      <c r="B53" s="3" t="s">
        <v>503</v>
      </c>
      <c r="C53" s="4" t="s">
        <v>504</v>
      </c>
      <c r="Q53" s="411">
        <v>45778</v>
      </c>
      <c r="R53" s="411">
        <v>45808</v>
      </c>
    </row>
    <row r="54" spans="1:36" x14ac:dyDescent="0.25">
      <c r="A54">
        <v>53</v>
      </c>
      <c r="B54" s="3" t="s">
        <v>505</v>
      </c>
      <c r="C54" s="4" t="s">
        <v>506</v>
      </c>
      <c r="Q54" s="411">
        <v>45809</v>
      </c>
      <c r="R54" s="411">
        <v>45838</v>
      </c>
    </row>
    <row r="55" spans="1:36" x14ac:dyDescent="0.25">
      <c r="A55">
        <v>54</v>
      </c>
      <c r="B55" s="3" t="s">
        <v>507</v>
      </c>
      <c r="C55" s="4" t="s">
        <v>508</v>
      </c>
      <c r="Q55" s="411">
        <v>45839</v>
      </c>
      <c r="R55" s="411">
        <v>45869</v>
      </c>
    </row>
    <row r="56" spans="1:36" x14ac:dyDescent="0.25">
      <c r="A56">
        <v>55</v>
      </c>
      <c r="B56" s="3" t="s">
        <v>509</v>
      </c>
      <c r="C56" s="4" t="s">
        <v>510</v>
      </c>
      <c r="Q56" s="411">
        <v>45870</v>
      </c>
      <c r="R56" s="411">
        <v>45900</v>
      </c>
    </row>
    <row r="57" spans="1:36" x14ac:dyDescent="0.25">
      <c r="A57">
        <v>56</v>
      </c>
      <c r="B57" s="3" t="s">
        <v>511</v>
      </c>
      <c r="C57" s="4" t="s">
        <v>512</v>
      </c>
      <c r="Q57" s="411">
        <v>45901</v>
      </c>
      <c r="R57" s="411">
        <v>45930</v>
      </c>
    </row>
    <row r="58" spans="1:36" x14ac:dyDescent="0.25">
      <c r="A58">
        <v>57</v>
      </c>
      <c r="B58" s="3" t="s">
        <v>513</v>
      </c>
      <c r="C58" s="4" t="s">
        <v>514</v>
      </c>
      <c r="Q58" s="411">
        <v>45931</v>
      </c>
      <c r="R58" s="411">
        <v>45961</v>
      </c>
    </row>
    <row r="59" spans="1:36" x14ac:dyDescent="0.25">
      <c r="A59">
        <v>58</v>
      </c>
      <c r="B59" s="3" t="s">
        <v>515</v>
      </c>
      <c r="C59" s="4" t="s">
        <v>516</v>
      </c>
      <c r="Q59" s="411">
        <v>45962</v>
      </c>
      <c r="R59" s="411">
        <v>45991</v>
      </c>
    </row>
    <row r="60" spans="1:36" x14ac:dyDescent="0.25">
      <c r="A60">
        <v>59</v>
      </c>
      <c r="B60" s="3" t="s">
        <v>517</v>
      </c>
      <c r="C60" s="4" t="s">
        <v>518</v>
      </c>
      <c r="Q60" s="411">
        <v>45992</v>
      </c>
      <c r="R60" s="411">
        <v>46022</v>
      </c>
    </row>
    <row r="61" spans="1:36" x14ac:dyDescent="0.25">
      <c r="A61">
        <v>60</v>
      </c>
      <c r="B61" s="3" t="s">
        <v>519</v>
      </c>
      <c r="C61" s="4" t="s">
        <v>520</v>
      </c>
    </row>
    <row r="62" spans="1:36" x14ac:dyDescent="0.25">
      <c r="A62">
        <v>61</v>
      </c>
      <c r="B62" s="3" t="s">
        <v>521</v>
      </c>
      <c r="C62" s="4" t="s">
        <v>522</v>
      </c>
    </row>
    <row r="63" spans="1:36" x14ac:dyDescent="0.25">
      <c r="A63">
        <v>62</v>
      </c>
      <c r="B63" s="3" t="s">
        <v>523</v>
      </c>
      <c r="C63" s="4" t="s">
        <v>524</v>
      </c>
    </row>
    <row r="64" spans="1:36" x14ac:dyDescent="0.25">
      <c r="A64">
        <v>63</v>
      </c>
      <c r="B64" s="3" t="s">
        <v>525</v>
      </c>
      <c r="C64" s="4" t="s">
        <v>526</v>
      </c>
    </row>
    <row r="65" spans="1:36" x14ac:dyDescent="0.25">
      <c r="A65">
        <v>64</v>
      </c>
      <c r="B65" s="3" t="s">
        <v>527</v>
      </c>
      <c r="C65" s="4" t="s">
        <v>528</v>
      </c>
    </row>
    <row r="66" spans="1:36" x14ac:dyDescent="0.25">
      <c r="A66">
        <v>65</v>
      </c>
      <c r="B66" s="3" t="s">
        <v>529</v>
      </c>
      <c r="C66" s="4" t="s">
        <v>530</v>
      </c>
    </row>
    <row r="67" spans="1:36" x14ac:dyDescent="0.25">
      <c r="A67">
        <v>66</v>
      </c>
      <c r="B67" s="3" t="s">
        <v>531</v>
      </c>
      <c r="C67" s="4" t="s">
        <v>532</v>
      </c>
    </row>
    <row r="68" spans="1:36" ht="27" customHeight="1" x14ac:dyDescent="0.25">
      <c r="A68">
        <v>67</v>
      </c>
      <c r="B68" s="3" t="s">
        <v>533</v>
      </c>
      <c r="C68" s="4" t="s">
        <v>534</v>
      </c>
      <c r="AA68" t="s">
        <v>535</v>
      </c>
      <c r="AJ68" t="s">
        <v>536</v>
      </c>
    </row>
    <row r="69" spans="1:36" x14ac:dyDescent="0.25">
      <c r="A69">
        <v>68</v>
      </c>
      <c r="B69" s="3" t="s">
        <v>537</v>
      </c>
      <c r="C69" s="4" t="s">
        <v>538</v>
      </c>
    </row>
    <row r="70" spans="1:36" x14ac:dyDescent="0.25">
      <c r="A70">
        <v>69</v>
      </c>
      <c r="B70" s="3" t="s">
        <v>539</v>
      </c>
      <c r="C70" s="4" t="s">
        <v>540</v>
      </c>
    </row>
    <row r="71" spans="1:36" x14ac:dyDescent="0.25">
      <c r="A71">
        <v>70</v>
      </c>
      <c r="B71" s="3" t="s">
        <v>541</v>
      </c>
      <c r="C71" s="4" t="s">
        <v>542</v>
      </c>
    </row>
    <row r="72" spans="1:36" x14ac:dyDescent="0.25">
      <c r="A72">
        <v>71</v>
      </c>
      <c r="B72" s="3" t="s">
        <v>543</v>
      </c>
      <c r="C72" s="4" t="s">
        <v>544</v>
      </c>
    </row>
    <row r="73" spans="1:36" x14ac:dyDescent="0.25">
      <c r="A73">
        <v>72</v>
      </c>
      <c r="B73" s="3" t="s">
        <v>545</v>
      </c>
      <c r="C73" s="4" t="s">
        <v>546</v>
      </c>
    </row>
    <row r="74" spans="1:36" x14ac:dyDescent="0.25">
      <c r="A74">
        <v>73</v>
      </c>
      <c r="B74" s="3" t="s">
        <v>547</v>
      </c>
      <c r="C74" s="4" t="s">
        <v>548</v>
      </c>
    </row>
    <row r="75" spans="1:36" x14ac:dyDescent="0.25">
      <c r="A75">
        <v>74</v>
      </c>
      <c r="B75" s="3" t="s">
        <v>549</v>
      </c>
      <c r="C75" s="4" t="s">
        <v>550</v>
      </c>
    </row>
    <row r="76" spans="1:36" x14ac:dyDescent="0.25">
      <c r="A76">
        <v>75</v>
      </c>
      <c r="B76" s="3" t="s">
        <v>551</v>
      </c>
      <c r="C76" s="4" t="s">
        <v>552</v>
      </c>
    </row>
    <row r="77" spans="1:36" x14ac:dyDescent="0.25">
      <c r="A77">
        <v>76</v>
      </c>
      <c r="B77" s="3" t="s">
        <v>553</v>
      </c>
      <c r="C77" s="4" t="s">
        <v>554</v>
      </c>
    </row>
    <row r="78" spans="1:36" x14ac:dyDescent="0.25">
      <c r="A78">
        <v>77</v>
      </c>
      <c r="B78" s="3" t="s">
        <v>555</v>
      </c>
      <c r="C78" s="4" t="s">
        <v>556</v>
      </c>
    </row>
    <row r="79" spans="1:36" x14ac:dyDescent="0.25">
      <c r="A79">
        <v>78</v>
      </c>
      <c r="B79" s="3" t="s">
        <v>557</v>
      </c>
      <c r="C79" s="4" t="s">
        <v>558</v>
      </c>
    </row>
    <row r="80" spans="1:36" x14ac:dyDescent="0.25">
      <c r="A80">
        <v>79</v>
      </c>
      <c r="B80" s="3" t="s">
        <v>559</v>
      </c>
      <c r="C80" s="4" t="s">
        <v>560</v>
      </c>
    </row>
    <row r="81" spans="1:3" x14ac:dyDescent="0.25">
      <c r="A81">
        <v>80</v>
      </c>
      <c r="B81" s="3" t="s">
        <v>561</v>
      </c>
      <c r="C81" s="4" t="s">
        <v>562</v>
      </c>
    </row>
    <row r="82" spans="1:3" x14ac:dyDescent="0.25">
      <c r="A82">
        <v>81</v>
      </c>
      <c r="B82" s="3" t="s">
        <v>563</v>
      </c>
      <c r="C82" s="4" t="s">
        <v>564</v>
      </c>
    </row>
    <row r="83" spans="1:3" x14ac:dyDescent="0.25">
      <c r="A83">
        <v>82</v>
      </c>
      <c r="B83" s="3" t="s">
        <v>565</v>
      </c>
      <c r="C83" s="4" t="s">
        <v>566</v>
      </c>
    </row>
    <row r="84" spans="1:3" x14ac:dyDescent="0.25">
      <c r="A84">
        <v>83</v>
      </c>
      <c r="B84" s="3" t="s">
        <v>567</v>
      </c>
      <c r="C84" s="4" t="s">
        <v>568</v>
      </c>
    </row>
    <row r="85" spans="1:3" x14ac:dyDescent="0.25">
      <c r="A85">
        <v>84</v>
      </c>
      <c r="B85" s="3" t="s">
        <v>569</v>
      </c>
      <c r="C85" s="4" t="s">
        <v>570</v>
      </c>
    </row>
    <row r="86" spans="1:3" x14ac:dyDescent="0.25">
      <c r="A86">
        <v>85</v>
      </c>
      <c r="B86" s="3" t="s">
        <v>571</v>
      </c>
      <c r="C86" s="4" t="s">
        <v>572</v>
      </c>
    </row>
    <row r="87" spans="1:3" x14ac:dyDescent="0.25">
      <c r="A87">
        <v>86</v>
      </c>
      <c r="B87" s="3" t="s">
        <v>573</v>
      </c>
      <c r="C87" s="4" t="s">
        <v>574</v>
      </c>
    </row>
    <row r="88" spans="1:3" x14ac:dyDescent="0.25">
      <c r="A88">
        <v>87</v>
      </c>
      <c r="B88" s="3" t="s">
        <v>575</v>
      </c>
      <c r="C88" s="4" t="s">
        <v>576</v>
      </c>
    </row>
    <row r="89" spans="1:3" x14ac:dyDescent="0.25">
      <c r="A89">
        <v>88</v>
      </c>
      <c r="B89" s="3" t="s">
        <v>577</v>
      </c>
      <c r="C89" s="4" t="s">
        <v>578</v>
      </c>
    </row>
    <row r="90" spans="1:3" x14ac:dyDescent="0.25">
      <c r="A90">
        <v>89</v>
      </c>
      <c r="B90" s="3" t="s">
        <v>579</v>
      </c>
      <c r="C90" s="4" t="s">
        <v>580</v>
      </c>
    </row>
    <row r="91" spans="1:3" x14ac:dyDescent="0.25">
      <c r="A91">
        <v>90</v>
      </c>
      <c r="B91" s="3" t="s">
        <v>581</v>
      </c>
      <c r="C91" s="4" t="s">
        <v>582</v>
      </c>
    </row>
    <row r="92" spans="1:3" x14ac:dyDescent="0.25">
      <c r="A92">
        <v>91</v>
      </c>
      <c r="B92" s="3" t="s">
        <v>583</v>
      </c>
      <c r="C92" s="4" t="s">
        <v>584</v>
      </c>
    </row>
    <row r="93" spans="1:3" x14ac:dyDescent="0.25">
      <c r="A93">
        <v>92</v>
      </c>
      <c r="B93" s="3" t="s">
        <v>585</v>
      </c>
      <c r="C93" s="4" t="s">
        <v>586</v>
      </c>
    </row>
    <row r="94" spans="1:3" x14ac:dyDescent="0.25">
      <c r="A94">
        <v>93</v>
      </c>
      <c r="B94" s="3" t="s">
        <v>587</v>
      </c>
      <c r="C94" s="4" t="s">
        <v>588</v>
      </c>
    </row>
    <row r="95" spans="1:3" x14ac:dyDescent="0.25">
      <c r="A95">
        <v>94</v>
      </c>
      <c r="B95" s="3" t="s">
        <v>589</v>
      </c>
      <c r="C95" s="4" t="s">
        <v>590</v>
      </c>
    </row>
    <row r="96" spans="1:3" x14ac:dyDescent="0.25">
      <c r="A96">
        <v>95</v>
      </c>
      <c r="B96" s="3" t="s">
        <v>591</v>
      </c>
      <c r="C96" s="4" t="s">
        <v>592</v>
      </c>
    </row>
    <row r="97" spans="1:3" x14ac:dyDescent="0.25">
      <c r="A97">
        <v>96</v>
      </c>
      <c r="B97" s="3" t="s">
        <v>593</v>
      </c>
      <c r="C97" s="4" t="s">
        <v>594</v>
      </c>
    </row>
    <row r="98" spans="1:3" x14ac:dyDescent="0.25">
      <c r="A98">
        <v>97</v>
      </c>
      <c r="B98" s="3" t="s">
        <v>595</v>
      </c>
      <c r="C98" s="4" t="s">
        <v>596</v>
      </c>
    </row>
    <row r="99" spans="1:3" x14ac:dyDescent="0.25">
      <c r="A99">
        <v>98</v>
      </c>
      <c r="B99" s="3" t="s">
        <v>597</v>
      </c>
      <c r="C99" s="4" t="s">
        <v>598</v>
      </c>
    </row>
    <row r="100" spans="1:3" x14ac:dyDescent="0.25">
      <c r="A100">
        <v>99</v>
      </c>
      <c r="B100" s="3" t="s">
        <v>599</v>
      </c>
      <c r="C100" s="4" t="s">
        <v>600</v>
      </c>
    </row>
    <row r="101" spans="1:3" x14ac:dyDescent="0.25">
      <c r="A101">
        <v>100</v>
      </c>
      <c r="B101" s="3" t="s">
        <v>601</v>
      </c>
      <c r="C101" s="4" t="s">
        <v>602</v>
      </c>
    </row>
    <row r="102" spans="1:3" x14ac:dyDescent="0.25">
      <c r="A102">
        <v>101</v>
      </c>
      <c r="B102" s="3" t="s">
        <v>603</v>
      </c>
      <c r="C102" s="4" t="s">
        <v>604</v>
      </c>
    </row>
    <row r="103" spans="1:3" x14ac:dyDescent="0.25">
      <c r="A103">
        <v>102</v>
      </c>
      <c r="B103" s="3" t="s">
        <v>605</v>
      </c>
      <c r="C103" s="4" t="s">
        <v>606</v>
      </c>
    </row>
    <row r="104" spans="1:3" x14ac:dyDescent="0.25">
      <c r="A104">
        <v>103</v>
      </c>
      <c r="B104" s="3" t="s">
        <v>607</v>
      </c>
      <c r="C104" s="4" t="s">
        <v>608</v>
      </c>
    </row>
    <row r="105" spans="1:3" x14ac:dyDescent="0.25">
      <c r="A105">
        <v>104</v>
      </c>
      <c r="B105" s="3" t="s">
        <v>609</v>
      </c>
      <c r="C105" s="4" t="s">
        <v>610</v>
      </c>
    </row>
    <row r="106" spans="1:3" x14ac:dyDescent="0.25">
      <c r="A106">
        <v>105</v>
      </c>
      <c r="B106" s="3" t="s">
        <v>611</v>
      </c>
      <c r="C106" s="4" t="s">
        <v>612</v>
      </c>
    </row>
    <row r="107" spans="1:3" x14ac:dyDescent="0.25">
      <c r="A107">
        <v>106</v>
      </c>
      <c r="B107" s="3" t="s">
        <v>613</v>
      </c>
      <c r="C107" s="4" t="s">
        <v>614</v>
      </c>
    </row>
    <row r="108" spans="1:3" x14ac:dyDescent="0.25">
      <c r="A108">
        <v>107</v>
      </c>
      <c r="B108" s="3" t="s">
        <v>615</v>
      </c>
      <c r="C108" s="4" t="s">
        <v>616</v>
      </c>
    </row>
    <row r="109" spans="1:3" x14ac:dyDescent="0.25">
      <c r="A109">
        <v>108</v>
      </c>
      <c r="B109" s="3" t="s">
        <v>617</v>
      </c>
      <c r="C109" s="4" t="s">
        <v>618</v>
      </c>
    </row>
    <row r="110" spans="1:3" x14ac:dyDescent="0.25">
      <c r="A110">
        <v>109</v>
      </c>
      <c r="B110" s="3" t="s">
        <v>619</v>
      </c>
      <c r="C110" s="4" t="s">
        <v>620</v>
      </c>
    </row>
    <row r="111" spans="1:3" x14ac:dyDescent="0.25">
      <c r="A111">
        <v>110</v>
      </c>
      <c r="B111" s="3" t="s">
        <v>621</v>
      </c>
      <c r="C111" s="4" t="s">
        <v>622</v>
      </c>
    </row>
    <row r="112" spans="1:3" x14ac:dyDescent="0.25">
      <c r="A112">
        <v>111</v>
      </c>
      <c r="B112" s="3" t="s">
        <v>623</v>
      </c>
      <c r="C112" s="4" t="s">
        <v>624</v>
      </c>
    </row>
    <row r="113" spans="1:3" x14ac:dyDescent="0.25">
      <c r="A113">
        <v>112</v>
      </c>
      <c r="B113" s="3" t="s">
        <v>625</v>
      </c>
      <c r="C113" s="4" t="s">
        <v>626</v>
      </c>
    </row>
    <row r="114" spans="1:3" x14ac:dyDescent="0.25">
      <c r="A114">
        <v>113</v>
      </c>
      <c r="B114" s="3" t="s">
        <v>627</v>
      </c>
      <c r="C114" s="4" t="s">
        <v>628</v>
      </c>
    </row>
    <row r="115" spans="1:3" x14ac:dyDescent="0.25">
      <c r="A115">
        <v>114</v>
      </c>
      <c r="B115" s="3" t="s">
        <v>629</v>
      </c>
      <c r="C115" s="4" t="s">
        <v>630</v>
      </c>
    </row>
    <row r="116" spans="1:3" x14ac:dyDescent="0.25">
      <c r="A116">
        <v>115</v>
      </c>
      <c r="B116" s="3" t="s">
        <v>631</v>
      </c>
      <c r="C116" s="4" t="s">
        <v>632</v>
      </c>
    </row>
    <row r="117" spans="1:3" x14ac:dyDescent="0.25">
      <c r="A117">
        <v>116</v>
      </c>
      <c r="B117" s="3" t="s">
        <v>633</v>
      </c>
      <c r="C117" s="4" t="s">
        <v>634</v>
      </c>
    </row>
    <row r="118" spans="1:3" x14ac:dyDescent="0.25">
      <c r="A118">
        <v>117</v>
      </c>
      <c r="B118" s="3" t="s">
        <v>635</v>
      </c>
      <c r="C118" s="4" t="s">
        <v>636</v>
      </c>
    </row>
    <row r="119" spans="1:3" x14ac:dyDescent="0.25">
      <c r="A119">
        <v>118</v>
      </c>
      <c r="B119" s="3" t="s">
        <v>637</v>
      </c>
      <c r="C119" s="4" t="s">
        <v>638</v>
      </c>
    </row>
    <row r="120" spans="1:3" x14ac:dyDescent="0.25">
      <c r="A120">
        <v>119</v>
      </c>
      <c r="B120" s="3" t="s">
        <v>639</v>
      </c>
      <c r="C120" s="4" t="s">
        <v>640</v>
      </c>
    </row>
    <row r="121" spans="1:3" x14ac:dyDescent="0.25">
      <c r="A121">
        <v>120</v>
      </c>
      <c r="B121" s="3" t="s">
        <v>641</v>
      </c>
      <c r="C121" s="4" t="s">
        <v>642</v>
      </c>
    </row>
    <row r="122" spans="1:3" x14ac:dyDescent="0.25">
      <c r="A122">
        <v>121</v>
      </c>
      <c r="B122" s="3" t="s">
        <v>643</v>
      </c>
      <c r="C122" s="4" t="s">
        <v>644</v>
      </c>
    </row>
    <row r="123" spans="1:3" x14ac:dyDescent="0.25">
      <c r="A123">
        <v>122</v>
      </c>
      <c r="B123" s="3" t="s">
        <v>645</v>
      </c>
      <c r="C123" s="4" t="s">
        <v>646</v>
      </c>
    </row>
    <row r="124" spans="1:3" x14ac:dyDescent="0.25">
      <c r="A124">
        <v>123</v>
      </c>
      <c r="B124" s="3" t="s">
        <v>647</v>
      </c>
      <c r="C124" s="4" t="s">
        <v>648</v>
      </c>
    </row>
    <row r="125" spans="1:3" x14ac:dyDescent="0.25">
      <c r="A125">
        <v>124</v>
      </c>
      <c r="B125" s="3" t="s">
        <v>649</v>
      </c>
      <c r="C125" s="4" t="s">
        <v>650</v>
      </c>
    </row>
    <row r="126" spans="1:3" x14ac:dyDescent="0.25">
      <c r="A126">
        <v>125</v>
      </c>
      <c r="B126" s="3" t="s">
        <v>651</v>
      </c>
      <c r="C126" s="4" t="s">
        <v>652</v>
      </c>
    </row>
    <row r="127" spans="1:3" x14ac:dyDescent="0.25">
      <c r="A127">
        <v>126</v>
      </c>
      <c r="B127" s="3" t="s">
        <v>653</v>
      </c>
      <c r="C127" s="4" t="s">
        <v>654</v>
      </c>
    </row>
    <row r="128" spans="1:3" x14ac:dyDescent="0.25">
      <c r="A128">
        <v>127</v>
      </c>
      <c r="B128" s="3" t="s">
        <v>655</v>
      </c>
      <c r="C128" s="4" t="s">
        <v>656</v>
      </c>
    </row>
    <row r="129" spans="1:3" x14ac:dyDescent="0.25">
      <c r="A129">
        <v>128</v>
      </c>
      <c r="B129" s="3" t="s">
        <v>657</v>
      </c>
      <c r="C129" s="4" t="s">
        <v>658</v>
      </c>
    </row>
    <row r="130" spans="1:3" x14ac:dyDescent="0.25">
      <c r="A130">
        <v>129</v>
      </c>
      <c r="B130" s="3" t="s">
        <v>659</v>
      </c>
      <c r="C130" s="4" t="s">
        <v>660</v>
      </c>
    </row>
    <row r="131" spans="1:3" x14ac:dyDescent="0.25">
      <c r="A131">
        <v>130</v>
      </c>
      <c r="B131" s="3" t="s">
        <v>661</v>
      </c>
      <c r="C131" s="4" t="s">
        <v>662</v>
      </c>
    </row>
    <row r="132" spans="1:3" x14ac:dyDescent="0.25">
      <c r="A132">
        <v>131</v>
      </c>
      <c r="B132" s="3" t="s">
        <v>663</v>
      </c>
      <c r="C132" s="4" t="s">
        <v>664</v>
      </c>
    </row>
    <row r="133" spans="1:3" x14ac:dyDescent="0.25">
      <c r="A133">
        <v>132</v>
      </c>
      <c r="B133" s="3" t="s">
        <v>665</v>
      </c>
      <c r="C133" s="4" t="s">
        <v>666</v>
      </c>
    </row>
    <row r="134" spans="1:3" x14ac:dyDescent="0.25">
      <c r="A134">
        <v>133</v>
      </c>
      <c r="B134" s="3" t="s">
        <v>667</v>
      </c>
      <c r="C134" s="4" t="s">
        <v>668</v>
      </c>
    </row>
    <row r="135" spans="1:3" x14ac:dyDescent="0.25">
      <c r="A135">
        <v>134</v>
      </c>
      <c r="B135" s="3" t="s">
        <v>669</v>
      </c>
      <c r="C135" s="4" t="s">
        <v>670</v>
      </c>
    </row>
    <row r="136" spans="1:3" x14ac:dyDescent="0.25">
      <c r="A136">
        <v>135</v>
      </c>
      <c r="B136" s="3" t="s">
        <v>671</v>
      </c>
      <c r="C136" s="4" t="s">
        <v>672</v>
      </c>
    </row>
    <row r="137" spans="1:3" x14ac:dyDescent="0.25">
      <c r="A137">
        <v>136</v>
      </c>
      <c r="B137" s="3" t="s">
        <v>673</v>
      </c>
      <c r="C137" s="4" t="s">
        <v>674</v>
      </c>
    </row>
    <row r="138" spans="1:3" x14ac:dyDescent="0.25">
      <c r="A138">
        <v>137</v>
      </c>
      <c r="B138" s="3" t="s">
        <v>675</v>
      </c>
      <c r="C138" s="4" t="s">
        <v>676</v>
      </c>
    </row>
    <row r="139" spans="1:3" x14ac:dyDescent="0.25">
      <c r="A139">
        <v>138</v>
      </c>
      <c r="B139" s="3" t="s">
        <v>677</v>
      </c>
      <c r="C139" s="4" t="s">
        <v>678</v>
      </c>
    </row>
    <row r="140" spans="1:3" x14ac:dyDescent="0.25">
      <c r="A140">
        <v>139</v>
      </c>
      <c r="B140" s="3" t="s">
        <v>679</v>
      </c>
      <c r="C140" s="4" t="s">
        <v>680</v>
      </c>
    </row>
    <row r="141" spans="1:3" x14ac:dyDescent="0.25">
      <c r="A141">
        <v>140</v>
      </c>
      <c r="B141" s="3" t="s">
        <v>681</v>
      </c>
      <c r="C141" s="4" t="s">
        <v>682</v>
      </c>
    </row>
    <row r="142" spans="1:3" x14ac:dyDescent="0.25">
      <c r="A142">
        <v>141</v>
      </c>
      <c r="B142" s="3" t="s">
        <v>683</v>
      </c>
      <c r="C142" s="4" t="s">
        <v>684</v>
      </c>
    </row>
    <row r="143" spans="1:3" x14ac:dyDescent="0.25">
      <c r="A143">
        <v>142</v>
      </c>
      <c r="B143" s="3" t="s">
        <v>685</v>
      </c>
      <c r="C143" s="4" t="s">
        <v>686</v>
      </c>
    </row>
    <row r="144" spans="1:3" x14ac:dyDescent="0.25">
      <c r="A144">
        <v>143</v>
      </c>
      <c r="B144" s="3" t="s">
        <v>687</v>
      </c>
      <c r="C144" s="4" t="s">
        <v>688</v>
      </c>
    </row>
    <row r="145" spans="1:3" x14ac:dyDescent="0.25">
      <c r="A145">
        <v>144</v>
      </c>
      <c r="B145" s="3" t="s">
        <v>689</v>
      </c>
      <c r="C145" s="4" t="s">
        <v>690</v>
      </c>
    </row>
    <row r="146" spans="1:3" x14ac:dyDescent="0.25">
      <c r="A146">
        <v>145</v>
      </c>
      <c r="B146" s="3" t="s">
        <v>691</v>
      </c>
      <c r="C146" s="4" t="s">
        <v>692</v>
      </c>
    </row>
    <row r="147" spans="1:3" x14ac:dyDescent="0.25">
      <c r="A147">
        <v>146</v>
      </c>
      <c r="B147" s="3" t="s">
        <v>693</v>
      </c>
      <c r="C147" s="4" t="s">
        <v>694</v>
      </c>
    </row>
    <row r="148" spans="1:3" x14ac:dyDescent="0.25">
      <c r="A148">
        <v>147</v>
      </c>
      <c r="B148" s="3" t="s">
        <v>695</v>
      </c>
      <c r="C148" s="4" t="s">
        <v>696</v>
      </c>
    </row>
    <row r="149" spans="1:3" x14ac:dyDescent="0.25">
      <c r="A149">
        <v>148</v>
      </c>
      <c r="B149" s="3" t="s">
        <v>697</v>
      </c>
      <c r="C149" s="4" t="s">
        <v>698</v>
      </c>
    </row>
    <row r="150" spans="1:3" x14ac:dyDescent="0.25">
      <c r="A150">
        <v>149</v>
      </c>
      <c r="B150" s="3" t="s">
        <v>699</v>
      </c>
      <c r="C150" s="4" t="s">
        <v>700</v>
      </c>
    </row>
    <row r="151" spans="1:3" x14ac:dyDescent="0.25">
      <c r="A151">
        <v>150</v>
      </c>
      <c r="B151" s="3" t="s">
        <v>701</v>
      </c>
      <c r="C151" s="4" t="s">
        <v>702</v>
      </c>
    </row>
    <row r="152" spans="1:3" x14ac:dyDescent="0.25">
      <c r="A152">
        <v>151</v>
      </c>
      <c r="B152" s="3" t="s">
        <v>703</v>
      </c>
      <c r="C152" s="4" t="s">
        <v>704</v>
      </c>
    </row>
    <row r="153" spans="1:3" x14ac:dyDescent="0.25">
      <c r="A153">
        <v>152</v>
      </c>
      <c r="B153" s="3" t="s">
        <v>705</v>
      </c>
      <c r="C153" s="4" t="s">
        <v>706</v>
      </c>
    </row>
    <row r="154" spans="1:3" x14ac:dyDescent="0.25">
      <c r="A154">
        <v>153</v>
      </c>
      <c r="B154" s="3" t="s">
        <v>707</v>
      </c>
      <c r="C154" s="4" t="s">
        <v>708</v>
      </c>
    </row>
    <row r="155" spans="1:3" x14ac:dyDescent="0.25">
      <c r="A155">
        <v>154</v>
      </c>
      <c r="B155" s="3" t="s">
        <v>709</v>
      </c>
      <c r="C155" s="4" t="s">
        <v>710</v>
      </c>
    </row>
    <row r="156" spans="1:3" x14ac:dyDescent="0.25">
      <c r="A156">
        <v>155</v>
      </c>
      <c r="B156" s="3" t="s">
        <v>711</v>
      </c>
      <c r="C156" s="4" t="s">
        <v>712</v>
      </c>
    </row>
    <row r="157" spans="1:3" x14ac:dyDescent="0.25">
      <c r="A157">
        <v>156</v>
      </c>
      <c r="B157" s="3" t="s">
        <v>713</v>
      </c>
      <c r="C157" s="4" t="s">
        <v>714</v>
      </c>
    </row>
    <row r="158" spans="1:3" x14ac:dyDescent="0.25">
      <c r="A158">
        <v>157</v>
      </c>
      <c r="B158" s="3" t="s">
        <v>715</v>
      </c>
      <c r="C158" s="4" t="s">
        <v>716</v>
      </c>
    </row>
    <row r="159" spans="1:3" x14ac:dyDescent="0.25">
      <c r="A159">
        <v>158</v>
      </c>
      <c r="B159" s="3" t="s">
        <v>717</v>
      </c>
      <c r="C159" s="4" t="s">
        <v>718</v>
      </c>
    </row>
    <row r="160" spans="1:3" x14ac:dyDescent="0.25">
      <c r="A160">
        <v>159</v>
      </c>
      <c r="B160" s="3" t="s">
        <v>719</v>
      </c>
      <c r="C160" s="4" t="s">
        <v>720</v>
      </c>
    </row>
    <row r="161" spans="1:3" x14ac:dyDescent="0.25">
      <c r="A161">
        <v>160</v>
      </c>
      <c r="B161" s="3" t="s">
        <v>721</v>
      </c>
      <c r="C161" s="4" t="s">
        <v>722</v>
      </c>
    </row>
    <row r="162" spans="1:3" x14ac:dyDescent="0.25">
      <c r="A162">
        <v>161</v>
      </c>
      <c r="B162" s="3" t="s">
        <v>723</v>
      </c>
      <c r="C162" s="4" t="s">
        <v>724</v>
      </c>
    </row>
    <row r="163" spans="1:3" x14ac:dyDescent="0.25">
      <c r="A163">
        <v>162</v>
      </c>
      <c r="B163" s="3" t="s">
        <v>725</v>
      </c>
      <c r="C163" s="4" t="s">
        <v>726</v>
      </c>
    </row>
    <row r="164" spans="1:3" x14ac:dyDescent="0.25">
      <c r="A164">
        <v>163</v>
      </c>
      <c r="B164" s="3" t="s">
        <v>727</v>
      </c>
      <c r="C164" s="4" t="s">
        <v>728</v>
      </c>
    </row>
    <row r="165" spans="1:3" x14ac:dyDescent="0.25">
      <c r="A165">
        <v>164</v>
      </c>
      <c r="B165" s="3" t="s">
        <v>729</v>
      </c>
      <c r="C165" s="4" t="s">
        <v>730</v>
      </c>
    </row>
    <row r="166" spans="1:3" x14ac:dyDescent="0.25">
      <c r="A166">
        <v>165</v>
      </c>
      <c r="B166" s="3" t="s">
        <v>731</v>
      </c>
      <c r="C166" s="4" t="s">
        <v>732</v>
      </c>
    </row>
    <row r="167" spans="1:3" x14ac:dyDescent="0.25">
      <c r="A167">
        <v>166</v>
      </c>
      <c r="B167" s="3" t="s">
        <v>733</v>
      </c>
      <c r="C167" s="4" t="s">
        <v>734</v>
      </c>
    </row>
    <row r="168" spans="1:3" x14ac:dyDescent="0.25">
      <c r="A168">
        <v>167</v>
      </c>
      <c r="B168" s="3" t="s">
        <v>735</v>
      </c>
      <c r="C168" s="4" t="s">
        <v>736</v>
      </c>
    </row>
    <row r="169" spans="1:3" x14ac:dyDescent="0.25">
      <c r="A169">
        <v>168</v>
      </c>
      <c r="B169" s="3" t="s">
        <v>737</v>
      </c>
      <c r="C169" s="4" t="s">
        <v>738</v>
      </c>
    </row>
    <row r="170" spans="1:3" x14ac:dyDescent="0.25">
      <c r="A170">
        <v>169</v>
      </c>
      <c r="B170" s="3" t="s">
        <v>739</v>
      </c>
      <c r="C170" s="4" t="s">
        <v>740</v>
      </c>
    </row>
    <row r="171" spans="1:3" x14ac:dyDescent="0.25">
      <c r="A171">
        <v>170</v>
      </c>
      <c r="B171" s="3" t="s">
        <v>741</v>
      </c>
      <c r="C171" s="4" t="s">
        <v>742</v>
      </c>
    </row>
    <row r="172" spans="1:3" x14ac:dyDescent="0.25">
      <c r="A172">
        <v>171</v>
      </c>
      <c r="B172" s="3" t="s">
        <v>743</v>
      </c>
      <c r="C172" s="4" t="s">
        <v>744</v>
      </c>
    </row>
    <row r="173" spans="1:3" x14ac:dyDescent="0.25">
      <c r="A173">
        <v>172</v>
      </c>
      <c r="B173" s="3" t="s">
        <v>745</v>
      </c>
      <c r="C173" s="4" t="s">
        <v>746</v>
      </c>
    </row>
    <row r="174" spans="1:3" x14ac:dyDescent="0.25">
      <c r="A174">
        <v>173</v>
      </c>
      <c r="B174" s="3" t="s">
        <v>747</v>
      </c>
      <c r="C174" s="4" t="s">
        <v>748</v>
      </c>
    </row>
    <row r="175" spans="1:3" x14ac:dyDescent="0.25">
      <c r="A175">
        <v>174</v>
      </c>
      <c r="B175" s="3" t="s">
        <v>749</v>
      </c>
      <c r="C175" s="4" t="s">
        <v>750</v>
      </c>
    </row>
    <row r="176" spans="1:3" x14ac:dyDescent="0.25">
      <c r="A176">
        <v>175</v>
      </c>
      <c r="B176" s="3" t="s">
        <v>751</v>
      </c>
      <c r="C176" s="4" t="s">
        <v>752</v>
      </c>
    </row>
    <row r="177" spans="1:3" x14ac:dyDescent="0.25">
      <c r="A177">
        <v>176</v>
      </c>
      <c r="B177" s="3" t="s">
        <v>753</v>
      </c>
      <c r="C177" s="4" t="s">
        <v>754</v>
      </c>
    </row>
    <row r="178" spans="1:3" x14ac:dyDescent="0.25">
      <c r="A178">
        <v>177</v>
      </c>
      <c r="B178" s="3" t="s">
        <v>755</v>
      </c>
      <c r="C178" s="4" t="s">
        <v>756</v>
      </c>
    </row>
    <row r="179" spans="1:3" x14ac:dyDescent="0.25">
      <c r="A179">
        <v>178</v>
      </c>
      <c r="B179" s="3" t="s">
        <v>757</v>
      </c>
      <c r="C179" s="4" t="s">
        <v>758</v>
      </c>
    </row>
    <row r="180" spans="1:3" x14ac:dyDescent="0.25">
      <c r="A180">
        <v>179</v>
      </c>
      <c r="B180" s="3" t="s">
        <v>759</v>
      </c>
      <c r="C180" s="4" t="s">
        <v>760</v>
      </c>
    </row>
    <row r="181" spans="1:3" x14ac:dyDescent="0.25">
      <c r="A181">
        <v>180</v>
      </c>
      <c r="B181" s="3" t="s">
        <v>761</v>
      </c>
      <c r="C181" s="4" t="s">
        <v>762</v>
      </c>
    </row>
    <row r="182" spans="1:3" x14ac:dyDescent="0.25">
      <c r="A182">
        <v>181</v>
      </c>
      <c r="B182" s="3" t="s">
        <v>763</v>
      </c>
      <c r="C182" s="4" t="s">
        <v>764</v>
      </c>
    </row>
    <row r="183" spans="1:3" x14ac:dyDescent="0.25">
      <c r="A183">
        <v>182</v>
      </c>
      <c r="B183" s="3" t="s">
        <v>765</v>
      </c>
      <c r="C183" s="4" t="s">
        <v>766</v>
      </c>
    </row>
    <row r="184" spans="1:3" x14ac:dyDescent="0.25">
      <c r="A184">
        <v>183</v>
      </c>
      <c r="B184" s="3" t="s">
        <v>767</v>
      </c>
      <c r="C184" s="4" t="s">
        <v>768</v>
      </c>
    </row>
    <row r="185" spans="1:3" x14ac:dyDescent="0.25">
      <c r="A185">
        <v>184</v>
      </c>
      <c r="B185" s="3" t="s">
        <v>769</v>
      </c>
      <c r="C185" s="4" t="s">
        <v>770</v>
      </c>
    </row>
    <row r="186" spans="1:3" x14ac:dyDescent="0.25">
      <c r="A186">
        <v>185</v>
      </c>
      <c r="B186" s="3" t="s">
        <v>771</v>
      </c>
      <c r="C186" s="4" t="s">
        <v>772</v>
      </c>
    </row>
    <row r="187" spans="1:3" x14ac:dyDescent="0.25">
      <c r="A187">
        <v>186</v>
      </c>
      <c r="B187" s="3" t="s">
        <v>773</v>
      </c>
      <c r="C187" s="4" t="s">
        <v>774</v>
      </c>
    </row>
    <row r="188" spans="1:3" x14ac:dyDescent="0.25">
      <c r="A188">
        <v>187</v>
      </c>
      <c r="B188" s="3" t="s">
        <v>775</v>
      </c>
      <c r="C188" s="4" t="s">
        <v>776</v>
      </c>
    </row>
    <row r="189" spans="1:3" x14ac:dyDescent="0.25">
      <c r="A189">
        <v>188</v>
      </c>
      <c r="B189" s="3" t="s">
        <v>777</v>
      </c>
      <c r="C189" s="4" t="s">
        <v>778</v>
      </c>
    </row>
    <row r="190" spans="1:3" x14ac:dyDescent="0.25">
      <c r="A190">
        <v>189</v>
      </c>
      <c r="B190" s="3" t="s">
        <v>779</v>
      </c>
      <c r="C190" s="4" t="s">
        <v>780</v>
      </c>
    </row>
    <row r="191" spans="1:3" x14ac:dyDescent="0.25">
      <c r="A191">
        <v>190</v>
      </c>
      <c r="B191" s="3" t="s">
        <v>781</v>
      </c>
      <c r="C191" s="4" t="s">
        <v>782</v>
      </c>
    </row>
    <row r="192" spans="1:3" x14ac:dyDescent="0.25">
      <c r="A192">
        <v>191</v>
      </c>
      <c r="B192" s="3" t="s">
        <v>783</v>
      </c>
      <c r="C192" s="4" t="s">
        <v>784</v>
      </c>
    </row>
    <row r="193" spans="1:3" x14ac:dyDescent="0.25">
      <c r="A193">
        <v>192</v>
      </c>
      <c r="B193" s="3" t="s">
        <v>785</v>
      </c>
      <c r="C193" s="4" t="s">
        <v>786</v>
      </c>
    </row>
    <row r="194" spans="1:3" x14ac:dyDescent="0.25">
      <c r="A194">
        <v>193</v>
      </c>
      <c r="B194" s="3" t="s">
        <v>787</v>
      </c>
      <c r="C194" s="4" t="s">
        <v>788</v>
      </c>
    </row>
    <row r="195" spans="1:3" x14ac:dyDescent="0.25">
      <c r="A195">
        <v>194</v>
      </c>
      <c r="B195" s="3" t="s">
        <v>789</v>
      </c>
      <c r="C195" s="4" t="s">
        <v>790</v>
      </c>
    </row>
    <row r="196" spans="1:3" x14ac:dyDescent="0.25">
      <c r="A196">
        <v>195</v>
      </c>
      <c r="B196" s="3" t="s">
        <v>791</v>
      </c>
      <c r="C196" s="4" t="s">
        <v>792</v>
      </c>
    </row>
    <row r="197" spans="1:3" x14ac:dyDescent="0.25">
      <c r="A197">
        <v>196</v>
      </c>
      <c r="B197" s="3" t="s">
        <v>793</v>
      </c>
      <c r="C197" s="4" t="s">
        <v>794</v>
      </c>
    </row>
    <row r="198" spans="1:3" x14ac:dyDescent="0.25">
      <c r="A198">
        <v>197</v>
      </c>
      <c r="B198" s="3" t="s">
        <v>795</v>
      </c>
      <c r="C198" s="4" t="s">
        <v>796</v>
      </c>
    </row>
    <row r="199" spans="1:3" x14ac:dyDescent="0.25">
      <c r="A199">
        <v>198</v>
      </c>
      <c r="B199" s="3" t="s">
        <v>797</v>
      </c>
      <c r="C199" s="4" t="s">
        <v>798</v>
      </c>
    </row>
    <row r="200" spans="1:3" x14ac:dyDescent="0.25">
      <c r="A200">
        <v>199</v>
      </c>
      <c r="B200" s="3" t="s">
        <v>799</v>
      </c>
      <c r="C200" s="4" t="s">
        <v>800</v>
      </c>
    </row>
    <row r="201" spans="1:3" x14ac:dyDescent="0.25">
      <c r="A201">
        <v>200</v>
      </c>
      <c r="B201" s="3" t="s">
        <v>801</v>
      </c>
      <c r="C201" s="4" t="s">
        <v>802</v>
      </c>
    </row>
    <row r="202" spans="1:3" x14ac:dyDescent="0.25">
      <c r="A202">
        <v>201</v>
      </c>
      <c r="B202" s="3" t="s">
        <v>803</v>
      </c>
      <c r="C202" s="4" t="s">
        <v>804</v>
      </c>
    </row>
    <row r="203" spans="1:3" x14ac:dyDescent="0.25">
      <c r="A203">
        <v>202</v>
      </c>
      <c r="B203" s="3" t="s">
        <v>805</v>
      </c>
      <c r="C203" s="4" t="s">
        <v>806</v>
      </c>
    </row>
    <row r="204" spans="1:3" x14ac:dyDescent="0.25">
      <c r="A204">
        <v>203</v>
      </c>
      <c r="B204" s="3" t="s">
        <v>807</v>
      </c>
      <c r="C204" s="4" t="s">
        <v>808</v>
      </c>
    </row>
    <row r="205" spans="1:3" x14ac:dyDescent="0.25">
      <c r="A205">
        <v>204</v>
      </c>
      <c r="B205" s="3" t="s">
        <v>809</v>
      </c>
      <c r="C205" s="4" t="s">
        <v>810</v>
      </c>
    </row>
    <row r="206" spans="1:3" x14ac:dyDescent="0.25">
      <c r="A206">
        <v>205</v>
      </c>
      <c r="B206" s="3" t="s">
        <v>811</v>
      </c>
      <c r="C206" s="4" t="s">
        <v>812</v>
      </c>
    </row>
    <row r="207" spans="1:3" x14ac:dyDescent="0.25">
      <c r="A207">
        <v>206</v>
      </c>
      <c r="B207" s="3" t="s">
        <v>813</v>
      </c>
      <c r="C207" s="4" t="s">
        <v>814</v>
      </c>
    </row>
    <row r="208" spans="1:3" x14ac:dyDescent="0.25">
      <c r="A208">
        <v>207</v>
      </c>
      <c r="B208" s="3" t="s">
        <v>815</v>
      </c>
      <c r="C208" s="4" t="s">
        <v>816</v>
      </c>
    </row>
    <row r="209" spans="1:3" x14ac:dyDescent="0.25">
      <c r="A209">
        <v>208</v>
      </c>
      <c r="B209" s="3" t="s">
        <v>817</v>
      </c>
      <c r="C209" s="4" t="s">
        <v>818</v>
      </c>
    </row>
    <row r="210" spans="1:3" x14ac:dyDescent="0.25">
      <c r="A210">
        <v>209</v>
      </c>
      <c r="B210" s="3" t="s">
        <v>819</v>
      </c>
      <c r="C210" s="4" t="s">
        <v>820</v>
      </c>
    </row>
    <row r="211" spans="1:3" x14ac:dyDescent="0.25">
      <c r="A211">
        <v>210</v>
      </c>
      <c r="B211" s="3" t="s">
        <v>821</v>
      </c>
      <c r="C211" s="4" t="s">
        <v>822</v>
      </c>
    </row>
    <row r="212" spans="1:3" x14ac:dyDescent="0.25">
      <c r="A212">
        <v>211</v>
      </c>
      <c r="B212" s="3" t="s">
        <v>823</v>
      </c>
      <c r="C212" s="4" t="s">
        <v>824</v>
      </c>
    </row>
    <row r="213" spans="1:3" x14ac:dyDescent="0.25">
      <c r="A213">
        <v>212</v>
      </c>
      <c r="B213" s="3" t="s">
        <v>825</v>
      </c>
      <c r="C213" s="4" t="s">
        <v>826</v>
      </c>
    </row>
    <row r="214" spans="1:3" x14ac:dyDescent="0.25">
      <c r="A214">
        <v>213</v>
      </c>
      <c r="B214" s="3" t="s">
        <v>827</v>
      </c>
      <c r="C214" s="4" t="s">
        <v>828</v>
      </c>
    </row>
    <row r="215" spans="1:3" x14ac:dyDescent="0.25">
      <c r="A215">
        <v>214</v>
      </c>
      <c r="B215" s="3" t="s">
        <v>829</v>
      </c>
      <c r="C215" s="4" t="s">
        <v>830</v>
      </c>
    </row>
    <row r="216" spans="1:3" x14ac:dyDescent="0.25">
      <c r="A216">
        <v>215</v>
      </c>
      <c r="B216" s="3" t="s">
        <v>831</v>
      </c>
      <c r="C216" s="4" t="s">
        <v>832</v>
      </c>
    </row>
    <row r="217" spans="1:3" x14ac:dyDescent="0.25">
      <c r="A217">
        <v>216</v>
      </c>
      <c r="B217" s="3" t="s">
        <v>833</v>
      </c>
      <c r="C217" s="4" t="s">
        <v>834</v>
      </c>
    </row>
    <row r="218" spans="1:3" x14ac:dyDescent="0.25">
      <c r="A218">
        <v>217</v>
      </c>
      <c r="B218" s="3" t="s">
        <v>835</v>
      </c>
      <c r="C218" s="4" t="s">
        <v>836</v>
      </c>
    </row>
    <row r="219" spans="1:3" x14ac:dyDescent="0.25">
      <c r="A219">
        <v>218</v>
      </c>
      <c r="B219" s="3" t="s">
        <v>837</v>
      </c>
      <c r="C219" s="4" t="s">
        <v>838</v>
      </c>
    </row>
    <row r="220" spans="1:3" x14ac:dyDescent="0.25">
      <c r="A220">
        <v>219</v>
      </c>
      <c r="B220" s="3" t="s">
        <v>839</v>
      </c>
      <c r="C220" s="4" t="s">
        <v>840</v>
      </c>
    </row>
    <row r="221" spans="1:3" x14ac:dyDescent="0.25">
      <c r="A221">
        <v>220</v>
      </c>
      <c r="B221" s="3" t="s">
        <v>841</v>
      </c>
      <c r="C221" s="4" t="s">
        <v>842</v>
      </c>
    </row>
    <row r="222" spans="1:3" x14ac:dyDescent="0.25">
      <c r="A222">
        <v>221</v>
      </c>
      <c r="B222" s="3" t="s">
        <v>843</v>
      </c>
      <c r="C222" s="4" t="s">
        <v>844</v>
      </c>
    </row>
    <row r="223" spans="1:3" x14ac:dyDescent="0.25">
      <c r="A223">
        <v>222</v>
      </c>
      <c r="B223" s="3" t="s">
        <v>845</v>
      </c>
      <c r="C223" s="4" t="s">
        <v>846</v>
      </c>
    </row>
    <row r="224" spans="1:3" x14ac:dyDescent="0.25">
      <c r="A224">
        <v>223</v>
      </c>
      <c r="B224" s="3" t="s">
        <v>847</v>
      </c>
      <c r="C224" s="4" t="s">
        <v>848</v>
      </c>
    </row>
    <row r="225" spans="1:3" x14ac:dyDescent="0.25">
      <c r="A225">
        <v>224</v>
      </c>
      <c r="B225" s="3" t="s">
        <v>849</v>
      </c>
      <c r="C225" s="4" t="s">
        <v>850</v>
      </c>
    </row>
    <row r="226" spans="1:3" x14ac:dyDescent="0.25">
      <c r="A226">
        <v>225</v>
      </c>
      <c r="B226" s="3" t="s">
        <v>851</v>
      </c>
      <c r="C226" s="4" t="s">
        <v>852</v>
      </c>
    </row>
    <row r="227" spans="1:3" x14ac:dyDescent="0.25">
      <c r="A227">
        <v>226</v>
      </c>
      <c r="B227" s="3" t="s">
        <v>853</v>
      </c>
      <c r="C227" s="4" t="s">
        <v>854</v>
      </c>
    </row>
    <row r="228" spans="1:3" x14ac:dyDescent="0.25">
      <c r="A228">
        <v>227</v>
      </c>
      <c r="B228" s="3" t="s">
        <v>855</v>
      </c>
      <c r="C228" s="4" t="s">
        <v>856</v>
      </c>
    </row>
    <row r="229" spans="1:3" x14ac:dyDescent="0.25">
      <c r="A229">
        <v>228</v>
      </c>
      <c r="B229" s="3" t="s">
        <v>857</v>
      </c>
      <c r="C229" s="4" t="s">
        <v>858</v>
      </c>
    </row>
    <row r="230" spans="1:3" x14ac:dyDescent="0.25">
      <c r="A230">
        <v>229</v>
      </c>
      <c r="B230" s="3" t="s">
        <v>859</v>
      </c>
      <c r="C230" s="4" t="s">
        <v>860</v>
      </c>
    </row>
    <row r="231" spans="1:3" x14ac:dyDescent="0.25">
      <c r="A231">
        <v>230</v>
      </c>
      <c r="B231" s="3" t="s">
        <v>861</v>
      </c>
      <c r="C231" s="4" t="s">
        <v>862</v>
      </c>
    </row>
    <row r="232" spans="1:3" x14ac:dyDescent="0.25">
      <c r="A232">
        <v>231</v>
      </c>
      <c r="B232" s="3" t="s">
        <v>863</v>
      </c>
      <c r="C232" s="4" t="s">
        <v>864</v>
      </c>
    </row>
    <row r="233" spans="1:3" x14ac:dyDescent="0.25">
      <c r="A233">
        <v>232</v>
      </c>
      <c r="B233" s="3" t="s">
        <v>865</v>
      </c>
      <c r="C233" s="4" t="s">
        <v>866</v>
      </c>
    </row>
    <row r="234" spans="1:3" x14ac:dyDescent="0.25">
      <c r="A234">
        <v>233</v>
      </c>
      <c r="B234" s="3" t="s">
        <v>867</v>
      </c>
      <c r="C234" s="4" t="s">
        <v>868</v>
      </c>
    </row>
    <row r="235" spans="1:3" x14ac:dyDescent="0.25">
      <c r="A235">
        <v>234</v>
      </c>
      <c r="B235" s="3" t="s">
        <v>869</v>
      </c>
      <c r="C235" s="4" t="s">
        <v>870</v>
      </c>
    </row>
    <row r="236" spans="1:3" x14ac:dyDescent="0.25">
      <c r="A236">
        <v>235</v>
      </c>
      <c r="B236" s="3" t="s">
        <v>871</v>
      </c>
      <c r="C236" s="4" t="s">
        <v>872</v>
      </c>
    </row>
    <row r="237" spans="1:3" x14ac:dyDescent="0.25">
      <c r="A237">
        <v>236</v>
      </c>
      <c r="B237" s="3" t="s">
        <v>873</v>
      </c>
      <c r="C237" s="4" t="s">
        <v>874</v>
      </c>
    </row>
    <row r="238" spans="1:3" x14ac:dyDescent="0.25">
      <c r="A238">
        <v>237</v>
      </c>
      <c r="B238" s="3" t="s">
        <v>875</v>
      </c>
      <c r="C238" s="4" t="s">
        <v>876</v>
      </c>
    </row>
    <row r="239" spans="1:3" x14ac:dyDescent="0.25">
      <c r="A239">
        <v>238</v>
      </c>
      <c r="B239" s="3" t="s">
        <v>877</v>
      </c>
      <c r="C239" s="4" t="s">
        <v>878</v>
      </c>
    </row>
    <row r="240" spans="1:3" x14ac:dyDescent="0.25">
      <c r="A240">
        <v>239</v>
      </c>
      <c r="B240" s="3" t="s">
        <v>879</v>
      </c>
      <c r="C240" s="4" t="s">
        <v>880</v>
      </c>
    </row>
    <row r="241" spans="1:3" x14ac:dyDescent="0.25">
      <c r="A241">
        <v>240</v>
      </c>
      <c r="B241" s="3" t="s">
        <v>881</v>
      </c>
      <c r="C241" s="4" t="s">
        <v>882</v>
      </c>
    </row>
    <row r="242" spans="1:3" x14ac:dyDescent="0.25">
      <c r="A242">
        <v>241</v>
      </c>
      <c r="B242" s="3" t="s">
        <v>883</v>
      </c>
      <c r="C242" s="4" t="s">
        <v>884</v>
      </c>
    </row>
    <row r="243" spans="1:3" x14ac:dyDescent="0.25">
      <c r="A243">
        <v>242</v>
      </c>
      <c r="B243" s="3" t="s">
        <v>885</v>
      </c>
      <c r="C243" s="4" t="s">
        <v>886</v>
      </c>
    </row>
    <row r="244" spans="1:3" x14ac:dyDescent="0.25">
      <c r="A244">
        <v>243</v>
      </c>
      <c r="B244" s="3" t="s">
        <v>887</v>
      </c>
      <c r="C244" s="4" t="s">
        <v>888</v>
      </c>
    </row>
    <row r="245" spans="1:3" x14ac:dyDescent="0.25">
      <c r="A245">
        <v>244</v>
      </c>
      <c r="B245" s="3" t="s">
        <v>889</v>
      </c>
      <c r="C245" s="4" t="s">
        <v>890</v>
      </c>
    </row>
    <row r="246" spans="1:3" x14ac:dyDescent="0.25">
      <c r="A246">
        <v>245</v>
      </c>
      <c r="B246" s="3" t="s">
        <v>891</v>
      </c>
      <c r="C246" s="4" t="s">
        <v>892</v>
      </c>
    </row>
    <row r="247" spans="1:3" x14ac:dyDescent="0.25">
      <c r="A247">
        <v>246</v>
      </c>
      <c r="B247" s="3" t="s">
        <v>893</v>
      </c>
      <c r="C247" s="4" t="s">
        <v>894</v>
      </c>
    </row>
    <row r="248" spans="1:3" x14ac:dyDescent="0.25">
      <c r="A248">
        <v>247</v>
      </c>
      <c r="B248" s="3" t="s">
        <v>895</v>
      </c>
      <c r="C248" s="4" t="s">
        <v>896</v>
      </c>
    </row>
    <row r="249" spans="1:3" x14ac:dyDescent="0.25">
      <c r="A249">
        <v>248</v>
      </c>
      <c r="B249" s="3" t="s">
        <v>897</v>
      </c>
      <c r="C249" s="4" t="s">
        <v>898</v>
      </c>
    </row>
    <row r="250" spans="1:3" x14ac:dyDescent="0.25">
      <c r="A250">
        <v>249</v>
      </c>
      <c r="B250" s="3" t="s">
        <v>899</v>
      </c>
      <c r="C250" s="4" t="s">
        <v>900</v>
      </c>
    </row>
    <row r="251" spans="1:3" x14ac:dyDescent="0.25">
      <c r="A251">
        <v>250</v>
      </c>
      <c r="B251" s="3" t="s">
        <v>11</v>
      </c>
      <c r="C251" s="4" t="s">
        <v>901</v>
      </c>
    </row>
    <row r="252" spans="1:3" ht="15.75" thickBot="1" x14ac:dyDescent="0.3">
      <c r="B252" s="5"/>
      <c r="C252" s="6"/>
    </row>
  </sheetData>
  <sheetProtection algorithmName="SHA-512" hashValue="utUrYBa4o6bM5C5m9vHZLxvR8Dujnjvzs9K/utD7McuC3KsUkfrJEmGqJIRqTu/wxB+doaQjinH1WeqYbBBPnQ==" saltValue="0/o9SF54kys4Fkc3wU4Tjw==" spinCount="100000" sheet="1" objects="1" scenarios="1"/>
  <pageMargins left="0.7" right="0.7" top="0.75" bottom="0.75" header="0.3" footer="0.3"/>
  <tableParts count="8">
    <tablePart r:id="rId1"/>
    <tablePart r:id="rId2"/>
    <tablePart r:id="rId3"/>
    <tablePart r:id="rId4"/>
    <tablePart r:id="rId5"/>
    <tablePart r:id="rId6"/>
    <tablePart r:id="rId7"/>
    <tablePart r:id="rId8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G212"/>
  <sheetViews>
    <sheetView workbookViewId="0">
      <selection sqref="A1:G212"/>
    </sheetView>
  </sheetViews>
  <sheetFormatPr defaultRowHeight="15" x14ac:dyDescent="0.25"/>
  <cols>
    <col min="1" max="1" width="22.7109375" customWidth="1"/>
    <col min="2" max="2" width="11.140625" bestFit="1" customWidth="1"/>
    <col min="3" max="3" width="13.85546875" bestFit="1" customWidth="1"/>
    <col min="4" max="4" width="8.28515625" customWidth="1"/>
    <col min="5" max="7" width="14.28515625" style="41" bestFit="1" customWidth="1"/>
  </cols>
  <sheetData>
    <row r="1" spans="1:7" x14ac:dyDescent="0.25">
      <c r="A1" s="34" t="s">
        <v>902</v>
      </c>
      <c r="B1" s="35" t="s">
        <v>903</v>
      </c>
      <c r="C1" s="35" t="s">
        <v>904</v>
      </c>
      <c r="D1" s="35" t="s">
        <v>905</v>
      </c>
      <c r="E1" s="35" t="s">
        <v>906</v>
      </c>
      <c r="F1" s="35" t="s">
        <v>907</v>
      </c>
      <c r="G1" s="35" t="s">
        <v>908</v>
      </c>
    </row>
    <row r="2" spans="1:7" x14ac:dyDescent="0.25">
      <c r="A2" s="36" t="s">
        <v>369</v>
      </c>
      <c r="B2" s="33" t="s">
        <v>370</v>
      </c>
      <c r="C2" s="33" t="s">
        <v>909</v>
      </c>
      <c r="D2" s="33" t="s">
        <v>910</v>
      </c>
      <c r="E2" s="37">
        <v>38928346</v>
      </c>
      <c r="F2" s="37">
        <v>26539341</v>
      </c>
      <c r="G2" s="37">
        <v>20507564</v>
      </c>
    </row>
    <row r="3" spans="1:7" x14ac:dyDescent="0.25">
      <c r="A3" s="36" t="s">
        <v>375</v>
      </c>
      <c r="B3" s="33" t="s">
        <v>376</v>
      </c>
      <c r="C3" s="33" t="s">
        <v>911</v>
      </c>
      <c r="D3" s="33" t="s">
        <v>912</v>
      </c>
      <c r="E3" s="37">
        <v>2877800</v>
      </c>
      <c r="F3" s="37">
        <v>2477398</v>
      </c>
      <c r="G3" s="37">
        <v>2273598</v>
      </c>
    </row>
    <row r="4" spans="1:7" x14ac:dyDescent="0.25">
      <c r="A4" s="36" t="s">
        <v>380</v>
      </c>
      <c r="B4" s="33" t="s">
        <v>381</v>
      </c>
      <c r="C4" s="33" t="s">
        <v>913</v>
      </c>
      <c r="D4" s="33" t="s">
        <v>914</v>
      </c>
      <c r="E4" s="37">
        <v>43851044</v>
      </c>
      <c r="F4" s="37">
        <v>33124575</v>
      </c>
      <c r="G4" s="37">
        <v>28916510</v>
      </c>
    </row>
    <row r="5" spans="1:7" x14ac:dyDescent="0.25">
      <c r="A5" s="36" t="s">
        <v>386</v>
      </c>
      <c r="B5" s="33" t="s">
        <v>387</v>
      </c>
      <c r="C5" s="33" t="s">
        <v>915</v>
      </c>
      <c r="D5" s="33" t="s">
        <v>912</v>
      </c>
      <c r="E5" s="37">
        <v>55197</v>
      </c>
      <c r="F5" s="37"/>
      <c r="G5" s="37"/>
    </row>
    <row r="6" spans="1:7" x14ac:dyDescent="0.25">
      <c r="A6" s="36" t="s">
        <v>391</v>
      </c>
      <c r="B6" s="33" t="s">
        <v>392</v>
      </c>
      <c r="C6" s="33" t="s">
        <v>911</v>
      </c>
      <c r="D6" s="33" t="s">
        <v>916</v>
      </c>
      <c r="E6" s="37">
        <v>77265</v>
      </c>
      <c r="F6" s="37">
        <v>69752</v>
      </c>
      <c r="G6" s="37">
        <v>64943</v>
      </c>
    </row>
    <row r="7" spans="1:7" x14ac:dyDescent="0.25">
      <c r="A7" s="36" t="s">
        <v>396</v>
      </c>
      <c r="B7" s="33" t="s">
        <v>397</v>
      </c>
      <c r="C7" s="33" t="s">
        <v>913</v>
      </c>
      <c r="D7" s="33" t="s">
        <v>914</v>
      </c>
      <c r="E7" s="37">
        <v>32866272</v>
      </c>
      <c r="F7" s="37">
        <v>20882592</v>
      </c>
      <c r="G7" s="37">
        <v>15968533</v>
      </c>
    </row>
    <row r="8" spans="1:7" x14ac:dyDescent="0.25">
      <c r="A8" s="36" t="s">
        <v>400</v>
      </c>
      <c r="B8" s="33" t="s">
        <v>401</v>
      </c>
      <c r="C8" s="33" t="s">
        <v>917</v>
      </c>
      <c r="D8" s="33" t="s">
        <v>385</v>
      </c>
      <c r="E8" s="37">
        <v>15002</v>
      </c>
      <c r="F8" s="37"/>
      <c r="G8" s="37"/>
    </row>
    <row r="9" spans="1:7" x14ac:dyDescent="0.25">
      <c r="A9" s="36" t="s">
        <v>410</v>
      </c>
      <c r="B9" s="33" t="s">
        <v>411</v>
      </c>
      <c r="C9" s="33" t="s">
        <v>917</v>
      </c>
      <c r="D9" s="33" t="s">
        <v>916</v>
      </c>
      <c r="E9" s="37">
        <v>97929</v>
      </c>
      <c r="F9" s="37">
        <v>81338</v>
      </c>
      <c r="G9" s="37">
        <v>73147</v>
      </c>
    </row>
    <row r="10" spans="1:7" x14ac:dyDescent="0.25">
      <c r="A10" s="36" t="s">
        <v>414</v>
      </c>
      <c r="B10" s="33" t="s">
        <v>415</v>
      </c>
      <c r="C10" s="33" t="s">
        <v>917</v>
      </c>
      <c r="D10" s="33" t="s">
        <v>912</v>
      </c>
      <c r="E10" s="37">
        <v>45195774</v>
      </c>
      <c r="F10" s="37">
        <v>36691384</v>
      </c>
      <c r="G10" s="37">
        <v>32399823</v>
      </c>
    </row>
    <row r="11" spans="1:7" x14ac:dyDescent="0.25">
      <c r="A11" s="36" t="s">
        <v>417</v>
      </c>
      <c r="B11" s="33" t="s">
        <v>418</v>
      </c>
      <c r="C11" s="33" t="s">
        <v>911</v>
      </c>
      <c r="D11" s="33" t="s">
        <v>912</v>
      </c>
      <c r="E11" s="37">
        <v>2963234</v>
      </c>
      <c r="F11" s="37">
        <v>2470266</v>
      </c>
      <c r="G11" s="37">
        <v>2243850</v>
      </c>
    </row>
    <row r="12" spans="1:7" x14ac:dyDescent="0.25">
      <c r="A12" s="36" t="s">
        <v>420</v>
      </c>
      <c r="B12" s="33" t="s">
        <v>421</v>
      </c>
      <c r="C12" s="33" t="s">
        <v>385</v>
      </c>
      <c r="D12" s="33" t="s">
        <v>916</v>
      </c>
      <c r="E12" s="37">
        <v>106766</v>
      </c>
      <c r="F12" s="37">
        <v>92766</v>
      </c>
      <c r="G12" s="37">
        <v>84390</v>
      </c>
    </row>
    <row r="13" spans="1:7" x14ac:dyDescent="0.25">
      <c r="A13" s="36" t="s">
        <v>423</v>
      </c>
      <c r="B13" s="33" t="s">
        <v>424</v>
      </c>
      <c r="C13" s="33" t="s">
        <v>915</v>
      </c>
      <c r="D13" s="33" t="s">
        <v>916</v>
      </c>
      <c r="E13" s="37">
        <v>25499884</v>
      </c>
      <c r="F13" s="37">
        <v>21785286</v>
      </c>
      <c r="G13" s="37">
        <v>19867484</v>
      </c>
    </row>
    <row r="14" spans="1:7" x14ac:dyDescent="0.25">
      <c r="A14" s="36" t="s">
        <v>425</v>
      </c>
      <c r="B14" s="33" t="s">
        <v>426</v>
      </c>
      <c r="C14" s="33" t="s">
        <v>911</v>
      </c>
      <c r="D14" s="33" t="s">
        <v>916</v>
      </c>
      <c r="E14" s="37">
        <v>8901064</v>
      </c>
      <c r="F14" s="37">
        <v>7989347</v>
      </c>
      <c r="G14" s="37">
        <v>7470549</v>
      </c>
    </row>
    <row r="15" spans="1:7" x14ac:dyDescent="0.25">
      <c r="A15" s="36" t="s">
        <v>427</v>
      </c>
      <c r="B15" s="33" t="s">
        <v>428</v>
      </c>
      <c r="C15" s="33" t="s">
        <v>911</v>
      </c>
      <c r="D15" s="33" t="s">
        <v>912</v>
      </c>
      <c r="E15" s="37">
        <v>10139175</v>
      </c>
      <c r="F15" s="37">
        <v>8244743</v>
      </c>
      <c r="G15" s="37">
        <v>7444529</v>
      </c>
    </row>
    <row r="16" spans="1:7" x14ac:dyDescent="0.25">
      <c r="A16" s="36" t="s">
        <v>918</v>
      </c>
      <c r="B16" s="33" t="s">
        <v>430</v>
      </c>
      <c r="C16" s="33" t="s">
        <v>917</v>
      </c>
      <c r="D16" s="33" t="s">
        <v>916</v>
      </c>
      <c r="E16" s="37">
        <v>393244</v>
      </c>
      <c r="F16" s="37">
        <v>331388</v>
      </c>
      <c r="G16" s="37">
        <v>292973</v>
      </c>
    </row>
    <row r="17" spans="1:7" x14ac:dyDescent="0.25">
      <c r="A17" s="36" t="s">
        <v>431</v>
      </c>
      <c r="B17" s="33" t="s">
        <v>432</v>
      </c>
      <c r="C17" s="33" t="s">
        <v>909</v>
      </c>
      <c r="D17" s="33" t="s">
        <v>916</v>
      </c>
      <c r="E17" s="37">
        <v>1701575</v>
      </c>
      <c r="F17" s="37">
        <v>1487865</v>
      </c>
      <c r="G17" s="37">
        <v>1374730</v>
      </c>
    </row>
    <row r="18" spans="1:7" x14ac:dyDescent="0.25">
      <c r="A18" s="36" t="s">
        <v>433</v>
      </c>
      <c r="B18" s="33" t="s">
        <v>434</v>
      </c>
      <c r="C18" s="33" t="s">
        <v>919</v>
      </c>
      <c r="D18" s="33" t="s">
        <v>914</v>
      </c>
      <c r="E18" s="37">
        <v>164689383</v>
      </c>
      <c r="F18" s="37">
        <v>131560741</v>
      </c>
      <c r="G18" s="37">
        <v>113308030</v>
      </c>
    </row>
    <row r="19" spans="1:7" x14ac:dyDescent="0.25">
      <c r="A19" s="36" t="s">
        <v>435</v>
      </c>
      <c r="B19" s="33" t="s">
        <v>436</v>
      </c>
      <c r="C19" s="33" t="s">
        <v>917</v>
      </c>
      <c r="D19" s="33" t="s">
        <v>916</v>
      </c>
      <c r="E19" s="37">
        <v>287375</v>
      </c>
      <c r="F19" s="37">
        <v>250635</v>
      </c>
      <c r="G19" s="37">
        <v>228942</v>
      </c>
    </row>
    <row r="20" spans="1:7" x14ac:dyDescent="0.25">
      <c r="A20" s="36" t="s">
        <v>437</v>
      </c>
      <c r="B20" s="33" t="s">
        <v>438</v>
      </c>
      <c r="C20" s="33" t="s">
        <v>911</v>
      </c>
      <c r="D20" s="33" t="s">
        <v>912</v>
      </c>
      <c r="E20" s="37">
        <v>9449321</v>
      </c>
      <c r="F20" s="37">
        <v>8098490</v>
      </c>
      <c r="G20" s="37">
        <v>7536094</v>
      </c>
    </row>
    <row r="21" spans="1:7" x14ac:dyDescent="0.25">
      <c r="A21" s="36" t="s">
        <v>439</v>
      </c>
      <c r="B21" s="33" t="s">
        <v>440</v>
      </c>
      <c r="C21" s="33" t="s">
        <v>911</v>
      </c>
      <c r="D21" s="33" t="s">
        <v>916</v>
      </c>
      <c r="E21" s="37">
        <v>11522440</v>
      </c>
      <c r="F21" s="37">
        <v>10065252</v>
      </c>
      <c r="G21" s="37">
        <v>9267161</v>
      </c>
    </row>
    <row r="22" spans="1:7" x14ac:dyDescent="0.25">
      <c r="A22" s="36" t="s">
        <v>441</v>
      </c>
      <c r="B22" s="33" t="s">
        <v>442</v>
      </c>
      <c r="C22" s="33" t="s">
        <v>917</v>
      </c>
      <c r="D22" s="33" t="s">
        <v>912</v>
      </c>
      <c r="E22" s="37">
        <v>397628</v>
      </c>
      <c r="F22" s="37">
        <v>311194</v>
      </c>
      <c r="G22" s="37">
        <v>264838</v>
      </c>
    </row>
    <row r="23" spans="1:7" x14ac:dyDescent="0.25">
      <c r="A23" s="36" t="s">
        <v>443</v>
      </c>
      <c r="B23" s="33" t="s">
        <v>444</v>
      </c>
      <c r="C23" s="33" t="s">
        <v>913</v>
      </c>
      <c r="D23" s="33" t="s">
        <v>914</v>
      </c>
      <c r="E23" s="37">
        <v>12123200</v>
      </c>
      <c r="F23" s="37">
        <v>8147236</v>
      </c>
      <c r="G23" s="37">
        <v>6437404</v>
      </c>
    </row>
    <row r="24" spans="1:7" x14ac:dyDescent="0.25">
      <c r="A24" s="36" t="s">
        <v>445</v>
      </c>
      <c r="B24" s="33" t="s">
        <v>446</v>
      </c>
      <c r="C24" s="33" t="s">
        <v>385</v>
      </c>
      <c r="D24" s="33" t="s">
        <v>916</v>
      </c>
      <c r="E24" s="37">
        <v>62273</v>
      </c>
      <c r="F24" s="37"/>
      <c r="G24" s="37"/>
    </row>
    <row r="25" spans="1:7" x14ac:dyDescent="0.25">
      <c r="A25" s="36" t="s">
        <v>447</v>
      </c>
      <c r="B25" s="33" t="s">
        <v>448</v>
      </c>
      <c r="C25" s="33" t="s">
        <v>919</v>
      </c>
      <c r="D25" s="33" t="s">
        <v>914</v>
      </c>
      <c r="E25" s="37">
        <v>771608</v>
      </c>
      <c r="F25" s="37">
        <v>628164</v>
      </c>
      <c r="G25" s="37">
        <v>547539</v>
      </c>
    </row>
    <row r="26" spans="1:7" x14ac:dyDescent="0.25">
      <c r="A26" s="36" t="s">
        <v>920</v>
      </c>
      <c r="B26" s="33" t="s">
        <v>450</v>
      </c>
      <c r="C26" s="33" t="s">
        <v>917</v>
      </c>
      <c r="D26" s="33" t="s">
        <v>914</v>
      </c>
      <c r="E26" s="37">
        <v>11673021</v>
      </c>
      <c r="F26" s="37">
        <v>9001144</v>
      </c>
      <c r="G26" s="37">
        <v>7617516</v>
      </c>
    </row>
    <row r="27" spans="1:7" x14ac:dyDescent="0.25">
      <c r="A27" s="36" t="s">
        <v>453</v>
      </c>
      <c r="B27" s="33" t="s">
        <v>454</v>
      </c>
      <c r="C27" s="33" t="s">
        <v>911</v>
      </c>
      <c r="D27" s="33" t="s">
        <v>912</v>
      </c>
      <c r="E27" s="37">
        <v>3280815</v>
      </c>
      <c r="F27" s="37">
        <v>2908322</v>
      </c>
      <c r="G27" s="37">
        <v>2698629</v>
      </c>
    </row>
    <row r="28" spans="1:7" x14ac:dyDescent="0.25">
      <c r="A28" s="36" t="s">
        <v>455</v>
      </c>
      <c r="B28" s="33" t="s">
        <v>456</v>
      </c>
      <c r="C28" s="33" t="s">
        <v>913</v>
      </c>
      <c r="D28" s="33" t="s">
        <v>912</v>
      </c>
      <c r="E28" s="37">
        <v>2351627</v>
      </c>
      <c r="F28" s="37">
        <v>1753584</v>
      </c>
      <c r="G28" s="37">
        <v>1464878</v>
      </c>
    </row>
    <row r="29" spans="1:7" x14ac:dyDescent="0.25">
      <c r="A29" s="36" t="s">
        <v>459</v>
      </c>
      <c r="B29" s="33" t="s">
        <v>460</v>
      </c>
      <c r="C29" s="33" t="s">
        <v>917</v>
      </c>
      <c r="D29" s="33" t="s">
        <v>912</v>
      </c>
      <c r="E29" s="37">
        <v>212559417</v>
      </c>
      <c r="F29" s="37">
        <v>179156568</v>
      </c>
      <c r="G29" s="37">
        <v>160832944</v>
      </c>
    </row>
    <row r="30" spans="1:7" x14ac:dyDescent="0.25">
      <c r="A30" s="36" t="s">
        <v>921</v>
      </c>
      <c r="B30" s="33" t="s">
        <v>886</v>
      </c>
      <c r="C30" s="33" t="s">
        <v>385</v>
      </c>
      <c r="D30" s="33" t="s">
        <v>916</v>
      </c>
      <c r="E30" s="37">
        <v>30237</v>
      </c>
      <c r="F30" s="37"/>
      <c r="G30" s="37"/>
    </row>
    <row r="31" spans="1:7" x14ac:dyDescent="0.25">
      <c r="A31" s="36" t="s">
        <v>463</v>
      </c>
      <c r="B31" s="33" t="s">
        <v>464</v>
      </c>
      <c r="C31" s="33" t="s">
        <v>915</v>
      </c>
      <c r="D31" s="33" t="s">
        <v>916</v>
      </c>
      <c r="E31" s="37">
        <v>437479</v>
      </c>
      <c r="F31" s="37">
        <v>363255</v>
      </c>
      <c r="G31" s="37">
        <v>325213</v>
      </c>
    </row>
    <row r="32" spans="1:7" x14ac:dyDescent="0.25">
      <c r="A32" s="36" t="s">
        <v>465</v>
      </c>
      <c r="B32" s="33" t="s">
        <v>466</v>
      </c>
      <c r="C32" s="33" t="s">
        <v>911</v>
      </c>
      <c r="D32" s="33" t="s">
        <v>912</v>
      </c>
      <c r="E32" s="37">
        <v>6951482</v>
      </c>
      <c r="F32" s="37">
        <v>6110904</v>
      </c>
      <c r="G32" s="37">
        <v>5681814</v>
      </c>
    </row>
    <row r="33" spans="1:7" x14ac:dyDescent="0.25">
      <c r="A33" s="36" t="s">
        <v>467</v>
      </c>
      <c r="B33" s="33" t="s">
        <v>468</v>
      </c>
      <c r="C33" s="33" t="s">
        <v>913</v>
      </c>
      <c r="D33" s="33" t="s">
        <v>910</v>
      </c>
      <c r="E33" s="37">
        <v>20903273</v>
      </c>
      <c r="F33" s="37">
        <v>13651642</v>
      </c>
      <c r="G33" s="37">
        <v>10540123</v>
      </c>
    </row>
    <row r="34" spans="1:7" x14ac:dyDescent="0.25">
      <c r="A34" s="36" t="s">
        <v>469</v>
      </c>
      <c r="B34" s="33" t="s">
        <v>470</v>
      </c>
      <c r="C34" s="33" t="s">
        <v>913</v>
      </c>
      <c r="D34" s="33" t="s">
        <v>910</v>
      </c>
      <c r="E34" s="37">
        <v>11890784</v>
      </c>
      <c r="F34" s="37">
        <v>7637165</v>
      </c>
      <c r="G34" s="37">
        <v>5942607</v>
      </c>
    </row>
    <row r="35" spans="1:7" x14ac:dyDescent="0.25">
      <c r="A35" s="36" t="s">
        <v>471</v>
      </c>
      <c r="B35" s="33" t="s">
        <v>472</v>
      </c>
      <c r="C35" s="33" t="s">
        <v>913</v>
      </c>
      <c r="D35" s="33" t="s">
        <v>914</v>
      </c>
      <c r="E35" s="37">
        <v>555987</v>
      </c>
      <c r="F35" s="37">
        <v>436696</v>
      </c>
      <c r="G35" s="37">
        <v>377020</v>
      </c>
    </row>
    <row r="36" spans="1:7" x14ac:dyDescent="0.25">
      <c r="A36" s="36" t="s">
        <v>473</v>
      </c>
      <c r="B36" s="33" t="s">
        <v>474</v>
      </c>
      <c r="C36" s="33" t="s">
        <v>915</v>
      </c>
      <c r="D36" s="33" t="s">
        <v>914</v>
      </c>
      <c r="E36" s="37">
        <v>16718965</v>
      </c>
      <c r="F36" s="37">
        <v>12729882</v>
      </c>
      <c r="G36" s="37">
        <v>10842307</v>
      </c>
    </row>
    <row r="37" spans="1:7" x14ac:dyDescent="0.25">
      <c r="A37" s="36" t="s">
        <v>475</v>
      </c>
      <c r="B37" s="33" t="s">
        <v>476</v>
      </c>
      <c r="C37" s="33" t="s">
        <v>913</v>
      </c>
      <c r="D37" s="33" t="s">
        <v>914</v>
      </c>
      <c r="E37" s="37">
        <v>26545863</v>
      </c>
      <c r="F37" s="37">
        <v>17840289</v>
      </c>
      <c r="G37" s="37">
        <v>14028704</v>
      </c>
    </row>
    <row r="38" spans="1:7" x14ac:dyDescent="0.25">
      <c r="A38" s="36" t="s">
        <v>477</v>
      </c>
      <c r="B38" s="33" t="s">
        <v>478</v>
      </c>
      <c r="C38" s="33" t="s">
        <v>917</v>
      </c>
      <c r="D38" s="33" t="s">
        <v>916</v>
      </c>
      <c r="E38" s="37">
        <v>37742154</v>
      </c>
      <c r="F38" s="37">
        <v>33282092</v>
      </c>
      <c r="G38" s="37">
        <v>30879348</v>
      </c>
    </row>
    <row r="39" spans="1:7" x14ac:dyDescent="0.25">
      <c r="A39" s="36" t="s">
        <v>922</v>
      </c>
      <c r="B39" s="33" t="s">
        <v>480</v>
      </c>
      <c r="C39" s="33" t="s">
        <v>385</v>
      </c>
      <c r="D39" s="33" t="s">
        <v>916</v>
      </c>
      <c r="E39" s="37">
        <v>65720</v>
      </c>
      <c r="F39" s="37"/>
      <c r="G39" s="37"/>
    </row>
    <row r="40" spans="1:7" x14ac:dyDescent="0.25">
      <c r="A40" s="36" t="s">
        <v>923</v>
      </c>
      <c r="B40" s="33" t="s">
        <v>482</v>
      </c>
      <c r="C40" s="33" t="s">
        <v>913</v>
      </c>
      <c r="D40" s="33" t="s">
        <v>910</v>
      </c>
      <c r="E40" s="37">
        <v>4829767</v>
      </c>
      <c r="F40" s="37">
        <v>3202030</v>
      </c>
      <c r="G40" s="37">
        <v>2426340</v>
      </c>
    </row>
    <row r="41" spans="1:7" x14ac:dyDescent="0.25">
      <c r="A41" s="36" t="s">
        <v>483</v>
      </c>
      <c r="B41" s="33" t="s">
        <v>484</v>
      </c>
      <c r="C41" s="33" t="s">
        <v>913</v>
      </c>
      <c r="D41" s="33" t="s">
        <v>910</v>
      </c>
      <c r="E41" s="37">
        <v>16425864</v>
      </c>
      <c r="F41" s="37">
        <v>10401064</v>
      </c>
      <c r="G41" s="37">
        <v>7908930</v>
      </c>
    </row>
    <row r="42" spans="1:7" x14ac:dyDescent="0.25">
      <c r="A42" s="36" t="s">
        <v>485</v>
      </c>
      <c r="B42" s="33" t="s">
        <v>486</v>
      </c>
      <c r="C42" s="33" t="s">
        <v>917</v>
      </c>
      <c r="D42" s="33" t="s">
        <v>916</v>
      </c>
      <c r="E42" s="37">
        <v>19116201</v>
      </c>
      <c r="F42" s="37">
        <v>16310586</v>
      </c>
      <c r="G42" s="37">
        <v>14820634</v>
      </c>
    </row>
    <row r="43" spans="1:7" x14ac:dyDescent="0.25">
      <c r="A43" s="36" t="s">
        <v>487</v>
      </c>
      <c r="B43" s="33" t="s">
        <v>488</v>
      </c>
      <c r="C43" s="33" t="s">
        <v>915</v>
      </c>
      <c r="D43" s="33" t="s">
        <v>912</v>
      </c>
      <c r="E43" s="37">
        <v>1471286879</v>
      </c>
      <c r="F43" s="37">
        <v>1240642686</v>
      </c>
      <c r="G43" s="37">
        <v>1140663141</v>
      </c>
    </row>
    <row r="44" spans="1:7" x14ac:dyDescent="0.25">
      <c r="A44" s="36" t="s">
        <v>493</v>
      </c>
      <c r="B44" s="33" t="s">
        <v>494</v>
      </c>
      <c r="C44" s="33" t="s">
        <v>917</v>
      </c>
      <c r="D44" s="33" t="s">
        <v>912</v>
      </c>
      <c r="E44" s="37">
        <v>50882891</v>
      </c>
      <c r="F44" s="37">
        <v>42358999</v>
      </c>
      <c r="G44" s="37">
        <v>37587212</v>
      </c>
    </row>
    <row r="45" spans="1:7" x14ac:dyDescent="0.25">
      <c r="A45" s="36" t="s">
        <v>924</v>
      </c>
      <c r="B45" s="33" t="s">
        <v>496</v>
      </c>
      <c r="C45" s="33" t="s">
        <v>913</v>
      </c>
      <c r="D45" s="33" t="s">
        <v>914</v>
      </c>
      <c r="E45" s="37">
        <v>869601</v>
      </c>
      <c r="F45" s="37">
        <v>604996</v>
      </c>
      <c r="G45" s="37">
        <v>487893</v>
      </c>
    </row>
    <row r="46" spans="1:7" x14ac:dyDescent="0.25">
      <c r="A46" s="36" t="s">
        <v>925</v>
      </c>
      <c r="B46" s="33" t="s">
        <v>502</v>
      </c>
      <c r="C46" s="33" t="s">
        <v>913</v>
      </c>
      <c r="D46" s="33" t="s">
        <v>914</v>
      </c>
      <c r="E46" s="37">
        <v>5518087</v>
      </c>
      <c r="F46" s="37">
        <v>3751949</v>
      </c>
      <c r="G46" s="37">
        <v>2970219</v>
      </c>
    </row>
    <row r="47" spans="1:7" x14ac:dyDescent="0.25">
      <c r="A47" s="36" t="s">
        <v>926</v>
      </c>
      <c r="B47" s="33" t="s">
        <v>498</v>
      </c>
      <c r="C47" s="33" t="s">
        <v>913</v>
      </c>
      <c r="D47" s="33" t="s">
        <v>910</v>
      </c>
      <c r="E47" s="37">
        <v>89561403</v>
      </c>
      <c r="F47" s="37">
        <v>57143681</v>
      </c>
      <c r="G47" s="37">
        <v>44100066</v>
      </c>
    </row>
    <row r="48" spans="1:7" x14ac:dyDescent="0.25">
      <c r="A48" s="36" t="s">
        <v>505</v>
      </c>
      <c r="B48" s="33" t="s">
        <v>506</v>
      </c>
      <c r="C48" s="33" t="s">
        <v>917</v>
      </c>
      <c r="D48" s="33" t="s">
        <v>912</v>
      </c>
      <c r="E48" s="37">
        <v>5094118</v>
      </c>
      <c r="F48" s="37">
        <v>4294888</v>
      </c>
      <c r="G48" s="37">
        <v>3867430</v>
      </c>
    </row>
    <row r="49" spans="1:7" x14ac:dyDescent="0.25">
      <c r="A49" s="36" t="s">
        <v>927</v>
      </c>
      <c r="B49" s="33" t="s">
        <v>518</v>
      </c>
      <c r="C49" s="33" t="s">
        <v>913</v>
      </c>
      <c r="D49" s="33" t="s">
        <v>914</v>
      </c>
      <c r="E49" s="37">
        <v>26378274</v>
      </c>
      <c r="F49" s="37">
        <v>17776712</v>
      </c>
      <c r="G49" s="37">
        <v>14057569</v>
      </c>
    </row>
    <row r="50" spans="1:7" x14ac:dyDescent="0.25">
      <c r="A50" s="36" t="s">
        <v>507</v>
      </c>
      <c r="B50" s="33" t="s">
        <v>508</v>
      </c>
      <c r="C50" s="33" t="s">
        <v>911</v>
      </c>
      <c r="D50" s="33" t="s">
        <v>916</v>
      </c>
      <c r="E50" s="37">
        <v>4058165</v>
      </c>
      <c r="F50" s="37">
        <v>3618983</v>
      </c>
      <c r="G50" s="37">
        <v>3372532</v>
      </c>
    </row>
    <row r="51" spans="1:7" x14ac:dyDescent="0.25">
      <c r="A51" s="36" t="s">
        <v>509</v>
      </c>
      <c r="B51" s="33" t="s">
        <v>510</v>
      </c>
      <c r="C51" s="33" t="s">
        <v>917</v>
      </c>
      <c r="D51" s="33" t="s">
        <v>912</v>
      </c>
      <c r="E51" s="37">
        <v>11326616</v>
      </c>
      <c r="F51" s="37">
        <v>9895861</v>
      </c>
      <c r="G51" s="37">
        <v>9165508</v>
      </c>
    </row>
    <row r="52" spans="1:7" x14ac:dyDescent="0.25">
      <c r="A52" s="36" t="s">
        <v>511</v>
      </c>
      <c r="B52" s="33" t="s">
        <v>512</v>
      </c>
      <c r="C52" s="33" t="s">
        <v>385</v>
      </c>
      <c r="D52" s="33" t="s">
        <v>916</v>
      </c>
      <c r="E52" s="37">
        <v>164093</v>
      </c>
      <c r="F52" s="37">
        <v>141695</v>
      </c>
      <c r="G52" s="37">
        <v>128873</v>
      </c>
    </row>
    <row r="53" spans="1:7" x14ac:dyDescent="0.25">
      <c r="A53" s="36" t="s">
        <v>513</v>
      </c>
      <c r="B53" s="33" t="s">
        <v>514</v>
      </c>
      <c r="C53" s="33" t="s">
        <v>911</v>
      </c>
      <c r="D53" s="33" t="s">
        <v>916</v>
      </c>
      <c r="E53" s="37">
        <v>888005</v>
      </c>
      <c r="F53" s="37">
        <v>1056860</v>
      </c>
      <c r="G53" s="37">
        <v>972531</v>
      </c>
    </row>
    <row r="54" spans="1:7" x14ac:dyDescent="0.25">
      <c r="A54" s="36" t="s">
        <v>515</v>
      </c>
      <c r="B54" s="33" t="s">
        <v>516</v>
      </c>
      <c r="C54" s="33" t="s">
        <v>911</v>
      </c>
      <c r="D54" s="33" t="s">
        <v>916</v>
      </c>
      <c r="E54" s="37">
        <v>10693939</v>
      </c>
      <c r="F54" s="37">
        <v>9378636</v>
      </c>
      <c r="G54" s="37">
        <v>8713366</v>
      </c>
    </row>
    <row r="55" spans="1:7" x14ac:dyDescent="0.25">
      <c r="A55" s="36" t="s">
        <v>519</v>
      </c>
      <c r="B55" s="33" t="s">
        <v>520</v>
      </c>
      <c r="C55" s="33" t="s">
        <v>911</v>
      </c>
      <c r="D55" s="33" t="s">
        <v>916</v>
      </c>
      <c r="E55" s="37">
        <v>5822763</v>
      </c>
      <c r="F55" s="37">
        <v>5072568</v>
      </c>
      <c r="G55" s="37">
        <v>4663479</v>
      </c>
    </row>
    <row r="56" spans="1:7" x14ac:dyDescent="0.25">
      <c r="A56" s="36" t="s">
        <v>521</v>
      </c>
      <c r="B56" s="33" t="s">
        <v>522</v>
      </c>
      <c r="C56" s="33" t="s">
        <v>909</v>
      </c>
      <c r="D56" s="33" t="s">
        <v>914</v>
      </c>
      <c r="E56" s="37">
        <v>988000</v>
      </c>
      <c r="F56" s="37">
        <v>768148</v>
      </c>
      <c r="G56" s="37">
        <v>661797</v>
      </c>
    </row>
    <row r="57" spans="1:7" x14ac:dyDescent="0.25">
      <c r="A57" s="36" t="s">
        <v>523</v>
      </c>
      <c r="B57" s="33" t="s">
        <v>524</v>
      </c>
      <c r="C57" s="33" t="s">
        <v>917</v>
      </c>
      <c r="D57" s="33" t="s">
        <v>912</v>
      </c>
      <c r="E57" s="37">
        <v>71991</v>
      </c>
      <c r="F57" s="37">
        <v>61268</v>
      </c>
      <c r="G57" s="37">
        <v>55784</v>
      </c>
    </row>
    <row r="58" spans="1:7" x14ac:dyDescent="0.25">
      <c r="A58" s="36" t="s">
        <v>928</v>
      </c>
      <c r="B58" s="33" t="s">
        <v>526</v>
      </c>
      <c r="C58" s="33" t="s">
        <v>917</v>
      </c>
      <c r="D58" s="33" t="s">
        <v>912</v>
      </c>
      <c r="E58" s="37">
        <v>10847910</v>
      </c>
      <c r="F58" s="37">
        <v>8561659</v>
      </c>
      <c r="G58" s="37">
        <v>7401548</v>
      </c>
    </row>
    <row r="59" spans="1:7" x14ac:dyDescent="0.25">
      <c r="A59" s="36" t="s">
        <v>527</v>
      </c>
      <c r="B59" s="33" t="s">
        <v>528</v>
      </c>
      <c r="C59" s="33" t="s">
        <v>917</v>
      </c>
      <c r="D59" s="33" t="s">
        <v>912</v>
      </c>
      <c r="E59" s="37">
        <v>17643054</v>
      </c>
      <c r="F59" s="37">
        <v>13959686</v>
      </c>
      <c r="G59" s="37">
        <v>12097041</v>
      </c>
    </row>
    <row r="60" spans="1:7" x14ac:dyDescent="0.25">
      <c r="A60" s="36" t="s">
        <v>529</v>
      </c>
      <c r="B60" s="33" t="s">
        <v>530</v>
      </c>
      <c r="C60" s="33" t="s">
        <v>909</v>
      </c>
      <c r="D60" s="33" t="s">
        <v>914</v>
      </c>
      <c r="E60" s="37">
        <v>102334404</v>
      </c>
      <c r="F60" s="37">
        <v>74727649</v>
      </c>
      <c r="G60" s="37">
        <v>63632713</v>
      </c>
    </row>
    <row r="61" spans="1:7" x14ac:dyDescent="0.25">
      <c r="A61" s="36" t="s">
        <v>531</v>
      </c>
      <c r="B61" s="33" t="s">
        <v>532</v>
      </c>
      <c r="C61" s="33" t="s">
        <v>917</v>
      </c>
      <c r="D61" s="33" t="s">
        <v>914</v>
      </c>
      <c r="E61" s="37">
        <v>6486205</v>
      </c>
      <c r="F61" s="37">
        <v>5147396</v>
      </c>
      <c r="G61" s="37">
        <v>4460506</v>
      </c>
    </row>
    <row r="62" spans="1:7" x14ac:dyDescent="0.25">
      <c r="A62" s="36" t="s">
        <v>533</v>
      </c>
      <c r="B62" s="33" t="s">
        <v>534</v>
      </c>
      <c r="C62" s="33" t="s">
        <v>913</v>
      </c>
      <c r="D62" s="33" t="s">
        <v>912</v>
      </c>
      <c r="E62" s="37">
        <v>1402985</v>
      </c>
      <c r="F62" s="37">
        <v>1004243</v>
      </c>
      <c r="G62" s="37">
        <v>836976</v>
      </c>
    </row>
    <row r="63" spans="1:7" x14ac:dyDescent="0.25">
      <c r="A63" s="36" t="s">
        <v>539</v>
      </c>
      <c r="B63" s="33" t="s">
        <v>540</v>
      </c>
      <c r="C63" s="33" t="s">
        <v>911</v>
      </c>
      <c r="D63" s="33" t="s">
        <v>916</v>
      </c>
      <c r="E63" s="37">
        <v>1328976</v>
      </c>
      <c r="F63" s="37">
        <v>1152386</v>
      </c>
      <c r="G63" s="37">
        <v>1066087</v>
      </c>
    </row>
    <row r="64" spans="1:7" x14ac:dyDescent="0.25">
      <c r="A64" s="36" t="s">
        <v>541</v>
      </c>
      <c r="B64" s="33" t="s">
        <v>542</v>
      </c>
      <c r="C64" s="33" t="s">
        <v>913</v>
      </c>
      <c r="D64" s="33" t="s">
        <v>914</v>
      </c>
      <c r="E64" s="37">
        <v>1160164</v>
      </c>
      <c r="F64" s="37">
        <v>827815</v>
      </c>
      <c r="G64" s="37">
        <v>657865</v>
      </c>
    </row>
    <row r="65" spans="1:7" x14ac:dyDescent="0.25">
      <c r="A65" s="36" t="s">
        <v>543</v>
      </c>
      <c r="B65" s="33" t="s">
        <v>544</v>
      </c>
      <c r="C65" s="33" t="s">
        <v>913</v>
      </c>
      <c r="D65" s="33" t="s">
        <v>910</v>
      </c>
      <c r="E65" s="37">
        <v>114963588</v>
      </c>
      <c r="F65" s="37">
        <v>79520005</v>
      </c>
      <c r="G65" s="37">
        <v>63261619</v>
      </c>
    </row>
    <row r="66" spans="1:7" x14ac:dyDescent="0.25">
      <c r="A66" s="36" t="s">
        <v>549</v>
      </c>
      <c r="B66" s="33" t="s">
        <v>550</v>
      </c>
      <c r="C66" s="33" t="s">
        <v>915</v>
      </c>
      <c r="D66" s="33" t="s">
        <v>912</v>
      </c>
      <c r="E66" s="37">
        <v>896445</v>
      </c>
      <c r="F66" s="37">
        <v>691456</v>
      </c>
      <c r="G66" s="37">
        <v>595510</v>
      </c>
    </row>
    <row r="67" spans="1:7" x14ac:dyDescent="0.25">
      <c r="A67" s="36" t="s">
        <v>551</v>
      </c>
      <c r="B67" s="33" t="s">
        <v>552</v>
      </c>
      <c r="C67" s="33" t="s">
        <v>911</v>
      </c>
      <c r="D67" s="33" t="s">
        <v>916</v>
      </c>
      <c r="E67" s="37">
        <v>5525292</v>
      </c>
      <c r="F67" s="37">
        <v>4867781</v>
      </c>
      <c r="G67" s="37">
        <v>4498945</v>
      </c>
    </row>
    <row r="68" spans="1:7" x14ac:dyDescent="0.25">
      <c r="A68" s="36" t="s">
        <v>553</v>
      </c>
      <c r="B68" s="33" t="s">
        <v>554</v>
      </c>
      <c r="C68" s="33" t="s">
        <v>911</v>
      </c>
      <c r="D68" s="33" t="s">
        <v>916</v>
      </c>
      <c r="E68" s="37">
        <v>65039359</v>
      </c>
      <c r="F68" s="37">
        <v>56383890</v>
      </c>
      <c r="G68" s="37">
        <v>51615786</v>
      </c>
    </row>
    <row r="69" spans="1:7" x14ac:dyDescent="0.25">
      <c r="A69" s="36" t="s">
        <v>555</v>
      </c>
      <c r="B69" s="33" t="s">
        <v>556</v>
      </c>
      <c r="C69" s="33" t="s">
        <v>385</v>
      </c>
      <c r="D69" s="33" t="s">
        <v>385</v>
      </c>
      <c r="E69" s="37">
        <v>298682</v>
      </c>
      <c r="F69" s="37">
        <v>226688</v>
      </c>
      <c r="G69" s="37">
        <v>191877</v>
      </c>
    </row>
    <row r="70" spans="1:7" x14ac:dyDescent="0.25">
      <c r="A70" s="36" t="s">
        <v>557</v>
      </c>
      <c r="B70" s="33" t="s">
        <v>558</v>
      </c>
      <c r="C70" s="33" t="s">
        <v>385</v>
      </c>
      <c r="D70" s="33" t="s">
        <v>916</v>
      </c>
      <c r="E70" s="37">
        <v>280908</v>
      </c>
      <c r="F70" s="37">
        <v>234217</v>
      </c>
      <c r="G70" s="37">
        <v>207249</v>
      </c>
    </row>
    <row r="71" spans="1:7" x14ac:dyDescent="0.25">
      <c r="A71" s="36" t="s">
        <v>561</v>
      </c>
      <c r="B71" s="33" t="s">
        <v>562</v>
      </c>
      <c r="C71" s="33" t="s">
        <v>913</v>
      </c>
      <c r="D71" s="33" t="s">
        <v>912</v>
      </c>
      <c r="E71" s="37">
        <v>2225734</v>
      </c>
      <c r="F71" s="37">
        <v>1564569</v>
      </c>
      <c r="G71" s="37">
        <v>1304690</v>
      </c>
    </row>
    <row r="72" spans="1:7" x14ac:dyDescent="0.25">
      <c r="A72" s="36" t="s">
        <v>929</v>
      </c>
      <c r="B72" s="33" t="s">
        <v>564</v>
      </c>
      <c r="C72" s="33" t="s">
        <v>913</v>
      </c>
      <c r="D72" s="33" t="s">
        <v>910</v>
      </c>
      <c r="E72" s="37">
        <v>2416668</v>
      </c>
      <c r="F72" s="37">
        <v>1576753</v>
      </c>
      <c r="G72" s="37">
        <v>1233947</v>
      </c>
    </row>
    <row r="73" spans="1:7" x14ac:dyDescent="0.25">
      <c r="A73" s="36" t="s">
        <v>565</v>
      </c>
      <c r="B73" s="33" t="s">
        <v>566</v>
      </c>
      <c r="C73" s="33" t="s">
        <v>911</v>
      </c>
      <c r="D73" s="33" t="s">
        <v>912</v>
      </c>
      <c r="E73" s="37">
        <v>3989175</v>
      </c>
      <c r="F73" s="37">
        <v>3325445</v>
      </c>
      <c r="G73" s="37">
        <v>3037989</v>
      </c>
    </row>
    <row r="74" spans="1:7" x14ac:dyDescent="0.25">
      <c r="A74" s="36" t="s">
        <v>567</v>
      </c>
      <c r="B74" s="33" t="s">
        <v>568</v>
      </c>
      <c r="C74" s="33" t="s">
        <v>911</v>
      </c>
      <c r="D74" s="33" t="s">
        <v>916</v>
      </c>
      <c r="E74" s="37">
        <v>83166711</v>
      </c>
      <c r="F74" s="37">
        <v>74409671</v>
      </c>
      <c r="G74" s="37">
        <v>69730735</v>
      </c>
    </row>
    <row r="75" spans="1:7" x14ac:dyDescent="0.25">
      <c r="A75" s="36" t="s">
        <v>569</v>
      </c>
      <c r="B75" s="33" t="s">
        <v>570</v>
      </c>
      <c r="C75" s="33" t="s">
        <v>913</v>
      </c>
      <c r="D75" s="33" t="s">
        <v>914</v>
      </c>
      <c r="E75" s="37">
        <v>31072940</v>
      </c>
      <c r="F75" s="37">
        <v>22108836</v>
      </c>
      <c r="G75" s="37">
        <v>18073232</v>
      </c>
    </row>
    <row r="76" spans="1:7" x14ac:dyDescent="0.25">
      <c r="A76" s="36" t="s">
        <v>573</v>
      </c>
      <c r="B76" s="33" t="s">
        <v>574</v>
      </c>
      <c r="C76" s="33" t="s">
        <v>911</v>
      </c>
      <c r="D76" s="33" t="s">
        <v>916</v>
      </c>
      <c r="E76" s="37">
        <v>10718565</v>
      </c>
      <c r="F76" s="37">
        <v>9307684</v>
      </c>
      <c r="G76" s="37">
        <v>8658445</v>
      </c>
    </row>
    <row r="77" spans="1:7" x14ac:dyDescent="0.25">
      <c r="A77" s="36" t="s">
        <v>577</v>
      </c>
      <c r="B77" s="33" t="s">
        <v>578</v>
      </c>
      <c r="C77" s="33" t="s">
        <v>917</v>
      </c>
      <c r="D77" s="33" t="s">
        <v>912</v>
      </c>
      <c r="E77" s="37">
        <v>112523</v>
      </c>
      <c r="F77" s="37">
        <v>91371</v>
      </c>
      <c r="G77" s="37">
        <v>81546</v>
      </c>
    </row>
    <row r="78" spans="1:7" x14ac:dyDescent="0.25">
      <c r="A78" s="36" t="s">
        <v>579</v>
      </c>
      <c r="B78" s="33" t="s">
        <v>580</v>
      </c>
      <c r="C78" s="33" t="s">
        <v>385</v>
      </c>
      <c r="D78" s="33" t="s">
        <v>385</v>
      </c>
      <c r="E78" s="37">
        <v>400124</v>
      </c>
      <c r="F78" s="37">
        <v>344634</v>
      </c>
      <c r="G78" s="37">
        <v>309491</v>
      </c>
    </row>
    <row r="79" spans="1:7" x14ac:dyDescent="0.25">
      <c r="A79" s="36" t="s">
        <v>581</v>
      </c>
      <c r="B79" s="33" t="s">
        <v>582</v>
      </c>
      <c r="C79" s="33" t="s">
        <v>385</v>
      </c>
      <c r="D79" s="33" t="s">
        <v>916</v>
      </c>
      <c r="E79" s="37">
        <v>168775</v>
      </c>
      <c r="F79" s="37">
        <v>137929</v>
      </c>
      <c r="G79" s="37">
        <v>121846</v>
      </c>
    </row>
    <row r="80" spans="1:7" x14ac:dyDescent="0.25">
      <c r="A80" s="36" t="s">
        <v>583</v>
      </c>
      <c r="B80" s="33" t="s">
        <v>584</v>
      </c>
      <c r="C80" s="33" t="s">
        <v>917</v>
      </c>
      <c r="D80" s="33" t="s">
        <v>912</v>
      </c>
      <c r="E80" s="37">
        <v>17915568</v>
      </c>
      <c r="F80" s="37">
        <v>13398409</v>
      </c>
      <c r="G80" s="37">
        <v>11081003</v>
      </c>
    </row>
    <row r="81" spans="1:7" x14ac:dyDescent="0.25">
      <c r="A81" s="36" t="s">
        <v>587</v>
      </c>
      <c r="B81" s="33" t="s">
        <v>588</v>
      </c>
      <c r="C81" s="33" t="s">
        <v>913</v>
      </c>
      <c r="D81" s="33" t="s">
        <v>910</v>
      </c>
      <c r="E81" s="37">
        <v>13132795</v>
      </c>
      <c r="F81" s="37">
        <v>8743165</v>
      </c>
      <c r="G81" s="37">
        <v>6784097</v>
      </c>
    </row>
    <row r="82" spans="1:7" x14ac:dyDescent="0.25">
      <c r="A82" s="36" t="s">
        <v>589</v>
      </c>
      <c r="B82" s="33" t="s">
        <v>590</v>
      </c>
      <c r="C82" s="33" t="s">
        <v>913</v>
      </c>
      <c r="D82" s="33" t="s">
        <v>910</v>
      </c>
      <c r="E82" s="37">
        <v>1968001</v>
      </c>
      <c r="F82" s="37">
        <v>1320603</v>
      </c>
      <c r="G82" s="37">
        <v>1043289</v>
      </c>
    </row>
    <row r="83" spans="1:7" x14ac:dyDescent="0.25">
      <c r="A83" s="36" t="s">
        <v>591</v>
      </c>
      <c r="B83" s="33" t="s">
        <v>592</v>
      </c>
      <c r="C83" s="33" t="s">
        <v>917</v>
      </c>
      <c r="D83" s="33" t="s">
        <v>912</v>
      </c>
      <c r="E83" s="37">
        <v>786552</v>
      </c>
      <c r="F83" s="37">
        <v>614751</v>
      </c>
      <c r="G83" s="37">
        <v>530130</v>
      </c>
    </row>
    <row r="84" spans="1:7" x14ac:dyDescent="0.25">
      <c r="A84" s="36" t="s">
        <v>593</v>
      </c>
      <c r="B84" s="33" t="s">
        <v>594</v>
      </c>
      <c r="C84" s="33" t="s">
        <v>917</v>
      </c>
      <c r="D84" s="33" t="s">
        <v>910</v>
      </c>
      <c r="E84" s="37">
        <v>11402528</v>
      </c>
      <c r="F84" s="37">
        <v>8553926</v>
      </c>
      <c r="G84" s="37">
        <v>7138427</v>
      </c>
    </row>
    <row r="85" spans="1:7" x14ac:dyDescent="0.25">
      <c r="A85" s="36" t="s">
        <v>599</v>
      </c>
      <c r="B85" s="33" t="s">
        <v>600</v>
      </c>
      <c r="C85" s="33" t="s">
        <v>917</v>
      </c>
      <c r="D85" s="33" t="s">
        <v>914</v>
      </c>
      <c r="E85" s="37">
        <v>9904607</v>
      </c>
      <c r="F85" s="37">
        <v>7647330</v>
      </c>
      <c r="G85" s="37">
        <v>6411707</v>
      </c>
    </row>
    <row r="86" spans="1:7" x14ac:dyDescent="0.25">
      <c r="A86" s="36" t="s">
        <v>603</v>
      </c>
      <c r="B86" s="33" t="s">
        <v>604</v>
      </c>
      <c r="C86" s="33" t="s">
        <v>911</v>
      </c>
      <c r="D86" s="33" t="s">
        <v>916</v>
      </c>
      <c r="E86" s="37">
        <v>9769526</v>
      </c>
      <c r="F86" s="37">
        <v>8534410</v>
      </c>
      <c r="G86" s="37">
        <v>7950595</v>
      </c>
    </row>
    <row r="87" spans="1:7" x14ac:dyDescent="0.25">
      <c r="A87" s="36" t="s">
        <v>605</v>
      </c>
      <c r="B87" s="33" t="s">
        <v>606</v>
      </c>
      <c r="C87" s="33" t="s">
        <v>911</v>
      </c>
      <c r="D87" s="33" t="s">
        <v>916</v>
      </c>
      <c r="E87" s="37">
        <v>364134</v>
      </c>
      <c r="F87" s="37">
        <v>291656</v>
      </c>
      <c r="G87" s="37">
        <v>264292</v>
      </c>
    </row>
    <row r="88" spans="1:7" x14ac:dyDescent="0.25">
      <c r="A88" s="36" t="s">
        <v>607</v>
      </c>
      <c r="B88" s="33" t="s">
        <v>608</v>
      </c>
      <c r="C88" s="33" t="s">
        <v>919</v>
      </c>
      <c r="D88" s="33" t="s">
        <v>914</v>
      </c>
      <c r="E88" s="37">
        <v>1380004385</v>
      </c>
      <c r="F88" s="37">
        <v>1110146897</v>
      </c>
      <c r="G88" s="37">
        <v>958174989</v>
      </c>
    </row>
    <row r="89" spans="1:7" x14ac:dyDescent="0.25">
      <c r="A89" s="36" t="s">
        <v>609</v>
      </c>
      <c r="B89" s="33" t="s">
        <v>610</v>
      </c>
      <c r="C89" s="33" t="s">
        <v>919</v>
      </c>
      <c r="D89" s="33" t="s">
        <v>912</v>
      </c>
      <c r="E89" s="37">
        <v>273523615</v>
      </c>
      <c r="F89" s="37">
        <v>219249380</v>
      </c>
      <c r="G89" s="37">
        <v>191658275</v>
      </c>
    </row>
    <row r="90" spans="1:7" x14ac:dyDescent="0.25">
      <c r="A90" s="36" t="s">
        <v>930</v>
      </c>
      <c r="B90" s="33" t="s">
        <v>612</v>
      </c>
      <c r="C90" s="33" t="s">
        <v>909</v>
      </c>
      <c r="D90" s="33" t="s">
        <v>912</v>
      </c>
      <c r="E90" s="37">
        <v>83992949</v>
      </c>
      <c r="F90" s="37">
        <v>67642021</v>
      </c>
      <c r="G90" s="37">
        <v>60471510</v>
      </c>
    </row>
    <row r="91" spans="1:7" x14ac:dyDescent="0.25">
      <c r="A91" s="36" t="s">
        <v>613</v>
      </c>
      <c r="B91" s="33" t="s">
        <v>614</v>
      </c>
      <c r="C91" s="33" t="s">
        <v>909</v>
      </c>
      <c r="D91" s="33" t="s">
        <v>912</v>
      </c>
      <c r="E91" s="37">
        <v>40222493</v>
      </c>
      <c r="F91" s="37">
        <v>28540592</v>
      </c>
      <c r="G91" s="37">
        <v>23241293</v>
      </c>
    </row>
    <row r="92" spans="1:7" x14ac:dyDescent="0.25">
      <c r="A92" s="36" t="s">
        <v>615</v>
      </c>
      <c r="B92" s="33" t="s">
        <v>616</v>
      </c>
      <c r="C92" s="33" t="s">
        <v>911</v>
      </c>
      <c r="D92" s="33" t="s">
        <v>916</v>
      </c>
      <c r="E92" s="37">
        <v>4964440</v>
      </c>
      <c r="F92" s="37">
        <v>4178955</v>
      </c>
      <c r="G92" s="37">
        <v>3763446</v>
      </c>
    </row>
    <row r="93" spans="1:7" x14ac:dyDescent="0.25">
      <c r="A93" s="36" t="s">
        <v>619</v>
      </c>
      <c r="B93" s="33" t="s">
        <v>620</v>
      </c>
      <c r="C93" s="33" t="s">
        <v>911</v>
      </c>
      <c r="D93" s="33" t="s">
        <v>916</v>
      </c>
      <c r="E93" s="37">
        <v>8655541</v>
      </c>
      <c r="F93" s="37">
        <v>6795797</v>
      </c>
      <c r="G93" s="37">
        <v>5937685</v>
      </c>
    </row>
    <row r="94" spans="1:7" x14ac:dyDescent="0.25">
      <c r="A94" s="36" t="s">
        <v>621</v>
      </c>
      <c r="B94" s="33" t="s">
        <v>622</v>
      </c>
      <c r="C94" s="33" t="s">
        <v>911</v>
      </c>
      <c r="D94" s="33" t="s">
        <v>916</v>
      </c>
      <c r="E94" s="37">
        <v>59641488</v>
      </c>
      <c r="F94" s="37">
        <v>54373835</v>
      </c>
      <c r="G94" s="37">
        <v>50914788</v>
      </c>
    </row>
    <row r="95" spans="1:7" x14ac:dyDescent="0.25">
      <c r="A95" s="36" t="s">
        <v>623</v>
      </c>
      <c r="B95" s="33" t="s">
        <v>624</v>
      </c>
      <c r="C95" s="33" t="s">
        <v>917</v>
      </c>
      <c r="D95" s="33" t="s">
        <v>912</v>
      </c>
      <c r="E95" s="37">
        <v>2961167</v>
      </c>
      <c r="F95" s="37">
        <v>2419735</v>
      </c>
      <c r="G95" s="37">
        <v>2147048</v>
      </c>
    </row>
    <row r="96" spans="1:7" x14ac:dyDescent="0.25">
      <c r="A96" s="36" t="s">
        <v>625</v>
      </c>
      <c r="B96" s="33" t="s">
        <v>626</v>
      </c>
      <c r="C96" s="33" t="s">
        <v>915</v>
      </c>
      <c r="D96" s="33" t="s">
        <v>916</v>
      </c>
      <c r="E96" s="37">
        <v>126476461</v>
      </c>
      <c r="F96" s="37">
        <v>113891262</v>
      </c>
      <c r="G96" s="37">
        <v>107164138</v>
      </c>
    </row>
    <row r="97" spans="1:7" x14ac:dyDescent="0.25">
      <c r="A97" s="36" t="s">
        <v>629</v>
      </c>
      <c r="B97" s="33" t="s">
        <v>630</v>
      </c>
      <c r="C97" s="33" t="s">
        <v>909</v>
      </c>
      <c r="D97" s="33" t="s">
        <v>912</v>
      </c>
      <c r="E97" s="37">
        <v>10203134</v>
      </c>
      <c r="F97" s="37">
        <v>7651737</v>
      </c>
      <c r="G97" s="37">
        <v>6328852</v>
      </c>
    </row>
    <row r="98" spans="1:7" x14ac:dyDescent="0.25">
      <c r="A98" s="36" t="s">
        <v>631</v>
      </c>
      <c r="B98" s="33" t="s">
        <v>632</v>
      </c>
      <c r="C98" s="33" t="s">
        <v>911</v>
      </c>
      <c r="D98" s="33" t="s">
        <v>912</v>
      </c>
      <c r="E98" s="37">
        <v>18776707</v>
      </c>
      <c r="F98" s="37">
        <v>14421325</v>
      </c>
      <c r="G98" s="37">
        <v>12686762</v>
      </c>
    </row>
    <row r="99" spans="1:7" x14ac:dyDescent="0.25">
      <c r="A99" s="36" t="s">
        <v>633</v>
      </c>
      <c r="B99" s="33" t="s">
        <v>634</v>
      </c>
      <c r="C99" s="33" t="s">
        <v>913</v>
      </c>
      <c r="D99" s="33" t="s">
        <v>914</v>
      </c>
      <c r="E99" s="37">
        <v>53771296</v>
      </c>
      <c r="F99" s="37">
        <v>38155174</v>
      </c>
      <c r="G99" s="37">
        <v>30301789</v>
      </c>
    </row>
    <row r="100" spans="1:7" x14ac:dyDescent="0.25">
      <c r="A100" s="36" t="s">
        <v>635</v>
      </c>
      <c r="B100" s="33" t="s">
        <v>636</v>
      </c>
      <c r="C100" s="33" t="s">
        <v>915</v>
      </c>
      <c r="D100" s="33" t="s">
        <v>914</v>
      </c>
      <c r="E100" s="37">
        <v>119449</v>
      </c>
      <c r="F100" s="37">
        <v>86042</v>
      </c>
      <c r="G100" s="37">
        <v>71239</v>
      </c>
    </row>
    <row r="101" spans="1:7" x14ac:dyDescent="0.25">
      <c r="A101" s="36" t="s">
        <v>931</v>
      </c>
      <c r="B101" s="33" t="s">
        <v>640</v>
      </c>
      <c r="C101" s="33" t="s">
        <v>915</v>
      </c>
      <c r="D101" s="33" t="s">
        <v>916</v>
      </c>
      <c r="E101" s="37">
        <v>51269185</v>
      </c>
      <c r="F101" s="37">
        <v>46375058</v>
      </c>
      <c r="G101" s="37">
        <v>43613889</v>
      </c>
    </row>
    <row r="102" spans="1:7" x14ac:dyDescent="0.25">
      <c r="A102" s="36" t="s">
        <v>932</v>
      </c>
      <c r="B102" s="33" t="s">
        <v>933</v>
      </c>
      <c r="C102" s="33" t="s">
        <v>911</v>
      </c>
      <c r="D102" s="33" t="s">
        <v>912</v>
      </c>
      <c r="E102" s="37">
        <v>1795666</v>
      </c>
      <c r="F102" s="37"/>
      <c r="G102" s="37"/>
    </row>
    <row r="103" spans="1:7" x14ac:dyDescent="0.25">
      <c r="A103" s="36" t="s">
        <v>641</v>
      </c>
      <c r="B103" s="33" t="s">
        <v>642</v>
      </c>
      <c r="C103" s="33" t="s">
        <v>909</v>
      </c>
      <c r="D103" s="33" t="s">
        <v>916</v>
      </c>
      <c r="E103" s="37">
        <v>4270571</v>
      </c>
      <c r="F103" s="37">
        <v>3601359</v>
      </c>
      <c r="G103" s="37">
        <v>3254555</v>
      </c>
    </row>
    <row r="104" spans="1:7" x14ac:dyDescent="0.25">
      <c r="A104" s="36" t="s">
        <v>643</v>
      </c>
      <c r="B104" s="33" t="s">
        <v>644</v>
      </c>
      <c r="C104" s="33" t="s">
        <v>911</v>
      </c>
      <c r="D104" s="33" t="s">
        <v>914</v>
      </c>
      <c r="E104" s="37">
        <v>6524191</v>
      </c>
      <c r="F104" s="37">
        <v>4827593</v>
      </c>
      <c r="G104" s="37">
        <v>4156092</v>
      </c>
    </row>
    <row r="105" spans="1:7" x14ac:dyDescent="0.25">
      <c r="A105" s="36" t="s">
        <v>934</v>
      </c>
      <c r="B105" s="33" t="s">
        <v>646</v>
      </c>
      <c r="C105" s="33" t="s">
        <v>915</v>
      </c>
      <c r="D105" s="33" t="s">
        <v>914</v>
      </c>
      <c r="E105" s="37">
        <v>7275560</v>
      </c>
      <c r="F105" s="37">
        <v>5500958</v>
      </c>
      <c r="G105" s="37">
        <v>4612373</v>
      </c>
    </row>
    <row r="106" spans="1:7" x14ac:dyDescent="0.25">
      <c r="A106" s="36" t="s">
        <v>647</v>
      </c>
      <c r="B106" s="33" t="s">
        <v>648</v>
      </c>
      <c r="C106" s="33" t="s">
        <v>911</v>
      </c>
      <c r="D106" s="33" t="s">
        <v>916</v>
      </c>
      <c r="E106" s="37">
        <v>1907675</v>
      </c>
      <c r="F106" s="37">
        <v>1615541</v>
      </c>
      <c r="G106" s="37">
        <v>1497831</v>
      </c>
    </row>
    <row r="107" spans="1:7" x14ac:dyDescent="0.25">
      <c r="A107" s="36" t="s">
        <v>649</v>
      </c>
      <c r="B107" s="33" t="s">
        <v>650</v>
      </c>
      <c r="C107" s="33" t="s">
        <v>909</v>
      </c>
      <c r="D107" s="33" t="s">
        <v>912</v>
      </c>
      <c r="E107" s="37">
        <v>6825445</v>
      </c>
      <c r="F107" s="37">
        <v>5436236</v>
      </c>
      <c r="G107" s="37">
        <v>4782867</v>
      </c>
    </row>
    <row r="108" spans="1:7" x14ac:dyDescent="0.25">
      <c r="A108" s="36" t="s">
        <v>651</v>
      </c>
      <c r="B108" s="33" t="s">
        <v>652</v>
      </c>
      <c r="C108" s="33" t="s">
        <v>913</v>
      </c>
      <c r="D108" s="33" t="s">
        <v>914</v>
      </c>
      <c r="E108" s="37">
        <v>2142249</v>
      </c>
      <c r="F108" s="37">
        <v>1590633</v>
      </c>
      <c r="G108" s="37">
        <v>1336809</v>
      </c>
    </row>
    <row r="109" spans="1:7" x14ac:dyDescent="0.25">
      <c r="A109" s="36" t="s">
        <v>653</v>
      </c>
      <c r="B109" s="33" t="s">
        <v>654</v>
      </c>
      <c r="C109" s="33" t="s">
        <v>913</v>
      </c>
      <c r="D109" s="33" t="s">
        <v>910</v>
      </c>
      <c r="E109" s="37">
        <v>5057681</v>
      </c>
      <c r="F109" s="37">
        <v>3479991</v>
      </c>
      <c r="G109" s="37">
        <v>2757457</v>
      </c>
    </row>
    <row r="110" spans="1:7" x14ac:dyDescent="0.25">
      <c r="A110" s="36" t="s">
        <v>655</v>
      </c>
      <c r="B110" s="33" t="s">
        <v>656</v>
      </c>
      <c r="C110" s="33" t="s">
        <v>909</v>
      </c>
      <c r="D110" s="33" t="s">
        <v>912</v>
      </c>
      <c r="E110" s="37">
        <v>6871292</v>
      </c>
      <c r="F110" s="37">
        <v>5426858</v>
      </c>
      <c r="G110" s="37">
        <v>4701443</v>
      </c>
    </row>
    <row r="111" spans="1:7" x14ac:dyDescent="0.25">
      <c r="A111" s="36" t="s">
        <v>659</v>
      </c>
      <c r="B111" s="33" t="s">
        <v>660</v>
      </c>
      <c r="C111" s="33" t="s">
        <v>911</v>
      </c>
      <c r="D111" s="33" t="s">
        <v>916</v>
      </c>
      <c r="E111" s="37">
        <v>2794090</v>
      </c>
      <c r="F111" s="37">
        <v>2340849</v>
      </c>
      <c r="G111" s="37">
        <v>2201588</v>
      </c>
    </row>
    <row r="112" spans="1:7" x14ac:dyDescent="0.25">
      <c r="A112" s="36" t="s">
        <v>661</v>
      </c>
      <c r="B112" s="33" t="s">
        <v>662</v>
      </c>
      <c r="C112" s="33" t="s">
        <v>911</v>
      </c>
      <c r="D112" s="33" t="s">
        <v>916</v>
      </c>
      <c r="E112" s="37">
        <v>626108</v>
      </c>
      <c r="F112" s="37">
        <v>555021</v>
      </c>
      <c r="G112" s="37">
        <v>515577</v>
      </c>
    </row>
    <row r="113" spans="1:7" x14ac:dyDescent="0.25">
      <c r="A113" s="36" t="s">
        <v>665</v>
      </c>
      <c r="B113" s="33" t="s">
        <v>666</v>
      </c>
      <c r="C113" s="33" t="s">
        <v>913</v>
      </c>
      <c r="D113" s="33" t="s">
        <v>910</v>
      </c>
      <c r="E113" s="37">
        <v>27691018</v>
      </c>
      <c r="F113" s="37">
        <v>19104861</v>
      </c>
      <c r="G113" s="37">
        <v>15227873</v>
      </c>
    </row>
    <row r="114" spans="1:7" x14ac:dyDescent="0.25">
      <c r="A114" s="36" t="s">
        <v>667</v>
      </c>
      <c r="B114" s="33" t="s">
        <v>668</v>
      </c>
      <c r="C114" s="33" t="s">
        <v>913</v>
      </c>
      <c r="D114" s="33" t="s">
        <v>910</v>
      </c>
      <c r="E114" s="37">
        <v>19129952</v>
      </c>
      <c r="F114" s="37">
        <v>12839954</v>
      </c>
      <c r="G114" s="37">
        <v>9895712</v>
      </c>
    </row>
    <row r="115" spans="1:7" x14ac:dyDescent="0.25">
      <c r="A115" s="36" t="s">
        <v>669</v>
      </c>
      <c r="B115" s="33" t="s">
        <v>670</v>
      </c>
      <c r="C115" s="33" t="s">
        <v>915</v>
      </c>
      <c r="D115" s="33" t="s">
        <v>912</v>
      </c>
      <c r="E115" s="37">
        <v>32365999</v>
      </c>
      <c r="F115" s="37">
        <v>26610636</v>
      </c>
      <c r="G115" s="37">
        <v>23606442</v>
      </c>
    </row>
    <row r="116" spans="1:7" x14ac:dyDescent="0.25">
      <c r="A116" s="36" t="s">
        <v>671</v>
      </c>
      <c r="B116" s="33" t="s">
        <v>672</v>
      </c>
      <c r="C116" s="33" t="s">
        <v>919</v>
      </c>
      <c r="D116" s="33" t="s">
        <v>912</v>
      </c>
      <c r="E116" s="37">
        <v>540544</v>
      </c>
      <c r="F116" s="37">
        <v>456091</v>
      </c>
      <c r="G116" s="37">
        <v>419451</v>
      </c>
    </row>
    <row r="117" spans="1:7" x14ac:dyDescent="0.25">
      <c r="A117" s="36" t="s">
        <v>673</v>
      </c>
      <c r="B117" s="33" t="s">
        <v>674</v>
      </c>
      <c r="C117" s="33" t="s">
        <v>913</v>
      </c>
      <c r="D117" s="33" t="s">
        <v>910</v>
      </c>
      <c r="E117" s="37">
        <v>20250833</v>
      </c>
      <c r="F117" s="37">
        <v>12764368</v>
      </c>
      <c r="G117" s="37">
        <v>9641748</v>
      </c>
    </row>
    <row r="118" spans="1:7" x14ac:dyDescent="0.25">
      <c r="A118" s="36" t="s">
        <v>675</v>
      </c>
      <c r="B118" s="33" t="s">
        <v>676</v>
      </c>
      <c r="C118" s="33" t="s">
        <v>911</v>
      </c>
      <c r="D118" s="33" t="s">
        <v>916</v>
      </c>
      <c r="E118" s="37">
        <v>514564</v>
      </c>
      <c r="F118" s="37">
        <v>391196</v>
      </c>
      <c r="G118" s="37">
        <v>366861</v>
      </c>
    </row>
    <row r="119" spans="1:7" x14ac:dyDescent="0.25">
      <c r="A119" s="36" t="s">
        <v>935</v>
      </c>
      <c r="B119" s="33" t="s">
        <v>678</v>
      </c>
      <c r="C119" s="33" t="s">
        <v>915</v>
      </c>
      <c r="D119" s="33" t="s">
        <v>912</v>
      </c>
      <c r="E119" s="37">
        <v>59194</v>
      </c>
      <c r="F119" s="37">
        <v>42901</v>
      </c>
      <c r="G119" s="37">
        <v>33889</v>
      </c>
    </row>
    <row r="120" spans="1:7" x14ac:dyDescent="0.25">
      <c r="A120" s="36" t="s">
        <v>681</v>
      </c>
      <c r="B120" s="33" t="s">
        <v>682</v>
      </c>
      <c r="C120" s="33" t="s">
        <v>913</v>
      </c>
      <c r="D120" s="33" t="s">
        <v>914</v>
      </c>
      <c r="E120" s="37">
        <v>4649658</v>
      </c>
      <c r="F120" s="37">
        <v>3210771</v>
      </c>
      <c r="G120" s="37">
        <v>2591848</v>
      </c>
    </row>
    <row r="121" spans="1:7" x14ac:dyDescent="0.25">
      <c r="A121" s="36" t="s">
        <v>683</v>
      </c>
      <c r="B121" s="33" t="s">
        <v>684</v>
      </c>
      <c r="C121" s="33" t="s">
        <v>913</v>
      </c>
      <c r="D121" s="33" t="s">
        <v>916</v>
      </c>
      <c r="E121" s="37">
        <v>1271768</v>
      </c>
      <c r="F121" s="37">
        <v>1112712</v>
      </c>
      <c r="G121" s="37">
        <v>1010252</v>
      </c>
    </row>
    <row r="122" spans="1:7" x14ac:dyDescent="0.25">
      <c r="A122" s="36" t="s">
        <v>687</v>
      </c>
      <c r="B122" s="33" t="s">
        <v>688</v>
      </c>
      <c r="C122" s="33" t="s">
        <v>917</v>
      </c>
      <c r="D122" s="33" t="s">
        <v>912</v>
      </c>
      <c r="E122" s="37">
        <v>128932753</v>
      </c>
      <c r="F122" s="37">
        <v>103729985</v>
      </c>
      <c r="G122" s="37">
        <v>90343547</v>
      </c>
    </row>
    <row r="123" spans="1:7" x14ac:dyDescent="0.25">
      <c r="A123" s="36" t="s">
        <v>936</v>
      </c>
      <c r="B123" s="33" t="s">
        <v>690</v>
      </c>
      <c r="C123" s="33" t="s">
        <v>915</v>
      </c>
      <c r="D123" s="33" t="s">
        <v>914</v>
      </c>
      <c r="E123" s="37">
        <v>115023</v>
      </c>
      <c r="F123" s="37">
        <v>87334</v>
      </c>
      <c r="G123" s="37">
        <v>73383</v>
      </c>
    </row>
    <row r="124" spans="1:7" x14ac:dyDescent="0.25">
      <c r="A124" s="36" t="s">
        <v>937</v>
      </c>
      <c r="B124" s="33" t="s">
        <v>692</v>
      </c>
      <c r="C124" s="33" t="s">
        <v>911</v>
      </c>
      <c r="D124" s="33" t="s">
        <v>914</v>
      </c>
      <c r="E124" s="37">
        <v>4033963</v>
      </c>
      <c r="F124" s="37">
        <v>3518509</v>
      </c>
      <c r="G124" s="37">
        <v>3265561</v>
      </c>
    </row>
    <row r="125" spans="1:7" x14ac:dyDescent="0.25">
      <c r="A125" s="36" t="s">
        <v>693</v>
      </c>
      <c r="B125" s="33" t="s">
        <v>694</v>
      </c>
      <c r="C125" s="33" t="s">
        <v>911</v>
      </c>
      <c r="D125" s="33" t="s">
        <v>916</v>
      </c>
      <c r="E125" s="37">
        <v>39244</v>
      </c>
      <c r="F125" s="37">
        <v>34525</v>
      </c>
      <c r="G125" s="37">
        <v>32557</v>
      </c>
    </row>
    <row r="126" spans="1:7" x14ac:dyDescent="0.25">
      <c r="A126" s="36" t="s">
        <v>695</v>
      </c>
      <c r="B126" s="33" t="s">
        <v>696</v>
      </c>
      <c r="C126" s="33" t="s">
        <v>915</v>
      </c>
      <c r="D126" s="33" t="s">
        <v>914</v>
      </c>
      <c r="E126" s="37">
        <v>3278290</v>
      </c>
      <c r="F126" s="37">
        <v>2459308</v>
      </c>
      <c r="G126" s="37">
        <v>2149338</v>
      </c>
    </row>
    <row r="127" spans="1:7" x14ac:dyDescent="0.25">
      <c r="A127" s="36" t="s">
        <v>697</v>
      </c>
      <c r="B127" s="33" t="s">
        <v>698</v>
      </c>
      <c r="C127" s="33" t="s">
        <v>911</v>
      </c>
      <c r="D127" s="33" t="s">
        <v>912</v>
      </c>
      <c r="E127" s="37">
        <v>628062</v>
      </c>
      <c r="F127" s="37">
        <v>538910</v>
      </c>
      <c r="G127" s="37">
        <v>491723</v>
      </c>
    </row>
    <row r="128" spans="1:7" x14ac:dyDescent="0.25">
      <c r="A128" s="36" t="s">
        <v>699</v>
      </c>
      <c r="B128" s="33" t="s">
        <v>700</v>
      </c>
      <c r="C128" s="33" t="s">
        <v>385</v>
      </c>
      <c r="D128" s="33" t="s">
        <v>385</v>
      </c>
      <c r="E128" s="37">
        <v>4999</v>
      </c>
      <c r="F128" s="37"/>
      <c r="G128" s="37"/>
    </row>
    <row r="129" spans="1:7" x14ac:dyDescent="0.25">
      <c r="A129" s="36" t="s">
        <v>701</v>
      </c>
      <c r="B129" s="33" t="s">
        <v>702</v>
      </c>
      <c r="C129" s="33" t="s">
        <v>909</v>
      </c>
      <c r="D129" s="33" t="s">
        <v>914</v>
      </c>
      <c r="E129" s="37">
        <v>36910560</v>
      </c>
      <c r="F129" s="37">
        <v>29322269</v>
      </c>
      <c r="G129" s="37">
        <v>25644541</v>
      </c>
    </row>
    <row r="130" spans="1:7" x14ac:dyDescent="0.25">
      <c r="A130" s="36" t="s">
        <v>703</v>
      </c>
      <c r="B130" s="33" t="s">
        <v>704</v>
      </c>
      <c r="C130" s="33" t="s">
        <v>913</v>
      </c>
      <c r="D130" s="33" t="s">
        <v>910</v>
      </c>
      <c r="E130" s="37">
        <v>31255435</v>
      </c>
      <c r="F130" s="37">
        <v>20505872</v>
      </c>
      <c r="G130" s="37">
        <v>15824386</v>
      </c>
    </row>
    <row r="131" spans="1:7" x14ac:dyDescent="0.25">
      <c r="A131" s="36" t="s">
        <v>705</v>
      </c>
      <c r="B131" s="33" t="s">
        <v>706</v>
      </c>
      <c r="C131" s="33" t="s">
        <v>919</v>
      </c>
      <c r="D131" s="33" t="s">
        <v>914</v>
      </c>
      <c r="E131" s="37">
        <v>54409800</v>
      </c>
      <c r="F131" s="37">
        <v>43943373</v>
      </c>
      <c r="G131" s="37">
        <v>38028383</v>
      </c>
    </row>
    <row r="132" spans="1:7" x14ac:dyDescent="0.25">
      <c r="A132" s="36" t="s">
        <v>707</v>
      </c>
      <c r="B132" s="33" t="s">
        <v>708</v>
      </c>
      <c r="C132" s="33" t="s">
        <v>913</v>
      </c>
      <c r="D132" s="33" t="s">
        <v>912</v>
      </c>
      <c r="E132" s="37">
        <v>2540905</v>
      </c>
      <c r="F132" s="37">
        <v>1807014</v>
      </c>
      <c r="G132" s="37">
        <v>1485342</v>
      </c>
    </row>
    <row r="133" spans="1:7" x14ac:dyDescent="0.25">
      <c r="A133" s="36" t="s">
        <v>709</v>
      </c>
      <c r="B133" s="33" t="s">
        <v>710</v>
      </c>
      <c r="C133" s="33" t="s">
        <v>915</v>
      </c>
      <c r="D133" s="33" t="s">
        <v>916</v>
      </c>
      <c r="E133" s="37">
        <v>10834</v>
      </c>
      <c r="F133" s="37">
        <v>7759</v>
      </c>
      <c r="G133" s="37">
        <v>6451</v>
      </c>
    </row>
    <row r="134" spans="1:7" x14ac:dyDescent="0.25">
      <c r="A134" s="36" t="s">
        <v>711</v>
      </c>
      <c r="B134" s="33" t="s">
        <v>712</v>
      </c>
      <c r="C134" s="33" t="s">
        <v>919</v>
      </c>
      <c r="D134" s="33" t="s">
        <v>914</v>
      </c>
      <c r="E134" s="37">
        <v>29136808</v>
      </c>
      <c r="F134" s="37">
        <v>23098818</v>
      </c>
      <c r="G134" s="37">
        <v>19496504</v>
      </c>
    </row>
    <row r="135" spans="1:7" x14ac:dyDescent="0.25">
      <c r="A135" s="36" t="s">
        <v>938</v>
      </c>
      <c r="B135" s="33" t="s">
        <v>714</v>
      </c>
      <c r="C135" s="33" t="s">
        <v>911</v>
      </c>
      <c r="D135" s="33" t="s">
        <v>916</v>
      </c>
      <c r="E135" s="37">
        <v>17407585</v>
      </c>
      <c r="F135" s="37">
        <v>15065087</v>
      </c>
      <c r="G135" s="37">
        <v>13907255</v>
      </c>
    </row>
    <row r="136" spans="1:7" x14ac:dyDescent="0.25">
      <c r="A136" s="36" t="s">
        <v>715</v>
      </c>
      <c r="B136" s="33" t="s">
        <v>716</v>
      </c>
      <c r="C136" s="33" t="s">
        <v>385</v>
      </c>
      <c r="D136" s="33" t="s">
        <v>916</v>
      </c>
      <c r="E136" s="37">
        <v>285498</v>
      </c>
      <c r="F136" s="37">
        <v>238701</v>
      </c>
      <c r="G136" s="37">
        <v>212714</v>
      </c>
    </row>
    <row r="137" spans="1:7" x14ac:dyDescent="0.25">
      <c r="A137" s="36" t="s">
        <v>717</v>
      </c>
      <c r="B137" s="33" t="s">
        <v>718</v>
      </c>
      <c r="C137" s="33" t="s">
        <v>915</v>
      </c>
      <c r="D137" s="33" t="s">
        <v>916</v>
      </c>
      <c r="E137" s="37">
        <v>4822233</v>
      </c>
      <c r="F137" s="37">
        <v>4118273</v>
      </c>
      <c r="G137" s="37">
        <v>3737687</v>
      </c>
    </row>
    <row r="138" spans="1:7" x14ac:dyDescent="0.25">
      <c r="A138" s="36" t="s">
        <v>719</v>
      </c>
      <c r="B138" s="33" t="s">
        <v>720</v>
      </c>
      <c r="C138" s="33" t="s">
        <v>917</v>
      </c>
      <c r="D138" s="33" t="s">
        <v>914</v>
      </c>
      <c r="E138" s="37">
        <v>6624554</v>
      </c>
      <c r="F138" s="37">
        <v>5132131</v>
      </c>
      <c r="G138" s="37">
        <v>4384127</v>
      </c>
    </row>
    <row r="139" spans="1:7" x14ac:dyDescent="0.25">
      <c r="A139" s="36" t="s">
        <v>939</v>
      </c>
      <c r="B139" s="33" t="s">
        <v>722</v>
      </c>
      <c r="C139" s="33" t="s">
        <v>913</v>
      </c>
      <c r="D139" s="33" t="s">
        <v>910</v>
      </c>
      <c r="E139" s="37">
        <v>24206644</v>
      </c>
      <c r="F139" s="37">
        <v>14636093</v>
      </c>
      <c r="G139" s="37">
        <v>10958406</v>
      </c>
    </row>
    <row r="140" spans="1:7" x14ac:dyDescent="0.25">
      <c r="A140" s="36" t="s">
        <v>723</v>
      </c>
      <c r="B140" s="33" t="s">
        <v>724</v>
      </c>
      <c r="C140" s="33" t="s">
        <v>913</v>
      </c>
      <c r="D140" s="33" t="s">
        <v>914</v>
      </c>
      <c r="E140" s="37">
        <v>206139589</v>
      </c>
      <c r="F140" s="37">
        <v>135250559</v>
      </c>
      <c r="G140" s="37">
        <v>105841968</v>
      </c>
    </row>
    <row r="141" spans="1:7" x14ac:dyDescent="0.25">
      <c r="A141" s="36" t="s">
        <v>940</v>
      </c>
      <c r="B141" s="33" t="s">
        <v>762</v>
      </c>
      <c r="C141" s="33" t="s">
        <v>911</v>
      </c>
      <c r="D141" s="33" t="s">
        <v>912</v>
      </c>
      <c r="E141" s="37">
        <v>2083380</v>
      </c>
      <c r="F141" s="37">
        <v>1811910</v>
      </c>
      <c r="G141" s="37">
        <v>1674950</v>
      </c>
    </row>
    <row r="142" spans="1:7" x14ac:dyDescent="0.25">
      <c r="A142" s="36" t="s">
        <v>941</v>
      </c>
      <c r="B142" s="33" t="s">
        <v>730</v>
      </c>
      <c r="C142" s="33" t="s">
        <v>385</v>
      </c>
      <c r="D142" s="33" t="s">
        <v>916</v>
      </c>
      <c r="E142" s="37">
        <v>57557</v>
      </c>
      <c r="F142" s="37"/>
      <c r="G142" s="37"/>
    </row>
    <row r="143" spans="1:7" x14ac:dyDescent="0.25">
      <c r="A143" s="36" t="s">
        <v>731</v>
      </c>
      <c r="B143" s="33" t="s">
        <v>732</v>
      </c>
      <c r="C143" s="33" t="s">
        <v>911</v>
      </c>
      <c r="D143" s="33" t="s">
        <v>916</v>
      </c>
      <c r="E143" s="37">
        <v>5367580</v>
      </c>
      <c r="F143" s="37">
        <v>4724814</v>
      </c>
      <c r="G143" s="37">
        <v>4335472</v>
      </c>
    </row>
    <row r="144" spans="1:7" x14ac:dyDescent="0.25">
      <c r="A144" s="36" t="s">
        <v>733</v>
      </c>
      <c r="B144" s="33" t="s">
        <v>734</v>
      </c>
      <c r="C144" s="33" t="s">
        <v>909</v>
      </c>
      <c r="D144" s="33" t="s">
        <v>916</v>
      </c>
      <c r="E144" s="37">
        <v>5106626</v>
      </c>
      <c r="F144" s="37">
        <v>4223609</v>
      </c>
      <c r="G144" s="37">
        <v>3876989</v>
      </c>
    </row>
    <row r="145" spans="1:7" x14ac:dyDescent="0.25">
      <c r="A145" s="36" t="s">
        <v>735</v>
      </c>
      <c r="B145" s="33" t="s">
        <v>736</v>
      </c>
      <c r="C145" s="33" t="s">
        <v>909</v>
      </c>
      <c r="D145" s="33" t="s">
        <v>914</v>
      </c>
      <c r="E145" s="37">
        <v>220892340</v>
      </c>
      <c r="F145" s="37">
        <v>161242113</v>
      </c>
      <c r="G145" s="37">
        <v>133748142</v>
      </c>
    </row>
    <row r="146" spans="1:7" x14ac:dyDescent="0.25">
      <c r="A146" s="36" t="s">
        <v>737</v>
      </c>
      <c r="B146" s="33" t="s">
        <v>738</v>
      </c>
      <c r="C146" s="33" t="s">
        <v>915</v>
      </c>
      <c r="D146" s="33" t="s">
        <v>916</v>
      </c>
      <c r="E146" s="37">
        <v>18092</v>
      </c>
      <c r="F146" s="37">
        <v>15290</v>
      </c>
      <c r="G146" s="37">
        <v>13859</v>
      </c>
    </row>
    <row r="147" spans="1:7" x14ac:dyDescent="0.25">
      <c r="A147" s="36" t="s">
        <v>741</v>
      </c>
      <c r="B147" s="33" t="s">
        <v>742</v>
      </c>
      <c r="C147" s="33" t="s">
        <v>917</v>
      </c>
      <c r="D147" s="33" t="s">
        <v>916</v>
      </c>
      <c r="E147" s="37">
        <v>4314767</v>
      </c>
      <c r="F147" s="37">
        <v>3453931</v>
      </c>
      <c r="G147" s="37">
        <v>3014485</v>
      </c>
    </row>
    <row r="148" spans="1:7" x14ac:dyDescent="0.25">
      <c r="A148" s="36" t="s">
        <v>743</v>
      </c>
      <c r="B148" s="33" t="s">
        <v>744</v>
      </c>
      <c r="C148" s="33" t="s">
        <v>915</v>
      </c>
      <c r="D148" s="33" t="s">
        <v>914</v>
      </c>
      <c r="E148" s="37">
        <v>8947024</v>
      </c>
      <c r="F148" s="37">
        <v>6537899</v>
      </c>
      <c r="G148" s="37">
        <v>5369550</v>
      </c>
    </row>
    <row r="149" spans="1:7" x14ac:dyDescent="0.25">
      <c r="A149" s="36" t="s">
        <v>745</v>
      </c>
      <c r="B149" s="33" t="s">
        <v>746</v>
      </c>
      <c r="C149" s="33" t="s">
        <v>917</v>
      </c>
      <c r="D149" s="33" t="s">
        <v>912</v>
      </c>
      <c r="E149" s="37">
        <v>7132538</v>
      </c>
      <c r="F149" s="37">
        <v>5558797</v>
      </c>
      <c r="G149" s="37">
        <v>4756222</v>
      </c>
    </row>
    <row r="150" spans="1:7" x14ac:dyDescent="0.25">
      <c r="A150" s="36" t="s">
        <v>747</v>
      </c>
      <c r="B150" s="33" t="s">
        <v>748</v>
      </c>
      <c r="C150" s="33" t="s">
        <v>917</v>
      </c>
      <c r="D150" s="33" t="s">
        <v>912</v>
      </c>
      <c r="E150" s="37">
        <v>32971854</v>
      </c>
      <c r="F150" s="37">
        <v>26765042</v>
      </c>
      <c r="G150" s="37">
        <v>23621468</v>
      </c>
    </row>
    <row r="151" spans="1:7" x14ac:dyDescent="0.25">
      <c r="A151" s="36" t="s">
        <v>942</v>
      </c>
      <c r="B151" s="33" t="s">
        <v>750</v>
      </c>
      <c r="C151" s="33" t="s">
        <v>915</v>
      </c>
      <c r="D151" s="33" t="s">
        <v>914</v>
      </c>
      <c r="E151" s="37">
        <v>109581078</v>
      </c>
      <c r="F151" s="37">
        <v>84787602</v>
      </c>
      <c r="G151" s="37">
        <v>71885687</v>
      </c>
    </row>
    <row r="152" spans="1:7" x14ac:dyDescent="0.25">
      <c r="A152" s="36" t="s">
        <v>753</v>
      </c>
      <c r="B152" s="33" t="s">
        <v>754</v>
      </c>
      <c r="C152" s="33" t="s">
        <v>911</v>
      </c>
      <c r="D152" s="33" t="s">
        <v>916</v>
      </c>
      <c r="E152" s="37">
        <v>37958138</v>
      </c>
      <c r="F152" s="37">
        <v>33234432</v>
      </c>
      <c r="G152" s="37">
        <v>30952546</v>
      </c>
    </row>
    <row r="153" spans="1:7" x14ac:dyDescent="0.25">
      <c r="A153" s="36" t="s">
        <v>755</v>
      </c>
      <c r="B153" s="33" t="s">
        <v>756</v>
      </c>
      <c r="C153" s="33" t="s">
        <v>911</v>
      </c>
      <c r="D153" s="33" t="s">
        <v>916</v>
      </c>
      <c r="E153" s="37">
        <v>10295909</v>
      </c>
      <c r="F153" s="37">
        <v>9154310</v>
      </c>
      <c r="G153" s="37">
        <v>8550329</v>
      </c>
    </row>
    <row r="154" spans="1:7" x14ac:dyDescent="0.25">
      <c r="A154" s="36" t="s">
        <v>757</v>
      </c>
      <c r="B154" s="33" t="s">
        <v>758</v>
      </c>
      <c r="C154" s="33" t="s">
        <v>385</v>
      </c>
      <c r="D154" s="33" t="s">
        <v>916</v>
      </c>
      <c r="E154" s="37">
        <v>2860853</v>
      </c>
      <c r="F154" s="37">
        <v>2536628</v>
      </c>
      <c r="G154" s="37">
        <v>2286632</v>
      </c>
    </row>
    <row r="155" spans="1:7" x14ac:dyDescent="0.25">
      <c r="A155" s="36" t="s">
        <v>759</v>
      </c>
      <c r="B155" s="33" t="s">
        <v>760</v>
      </c>
      <c r="C155" s="33" t="s">
        <v>909</v>
      </c>
      <c r="D155" s="33" t="s">
        <v>916</v>
      </c>
      <c r="E155" s="37">
        <v>2881053</v>
      </c>
      <c r="F155" s="37">
        <v>2605678</v>
      </c>
      <c r="G155" s="37">
        <v>2462329</v>
      </c>
    </row>
    <row r="156" spans="1:7" x14ac:dyDescent="0.25">
      <c r="A156" s="36" t="s">
        <v>763</v>
      </c>
      <c r="B156" s="33" t="s">
        <v>764</v>
      </c>
      <c r="C156" s="33" t="s">
        <v>911</v>
      </c>
      <c r="D156" s="33" t="s">
        <v>916</v>
      </c>
      <c r="E156" s="37">
        <v>19328838</v>
      </c>
      <c r="F156" s="37">
        <v>16821170</v>
      </c>
      <c r="G156" s="37">
        <v>15548671</v>
      </c>
    </row>
    <row r="157" spans="1:7" x14ac:dyDescent="0.25">
      <c r="A157" s="36" t="s">
        <v>943</v>
      </c>
      <c r="B157" s="33" t="s">
        <v>766</v>
      </c>
      <c r="C157" s="33" t="s">
        <v>911</v>
      </c>
      <c r="D157" s="33" t="s">
        <v>912</v>
      </c>
      <c r="E157" s="37">
        <v>145934460</v>
      </c>
      <c r="F157" s="37">
        <v>123839213</v>
      </c>
      <c r="G157" s="37">
        <v>114438192</v>
      </c>
    </row>
    <row r="158" spans="1:7" x14ac:dyDescent="0.25">
      <c r="A158" s="36" t="s">
        <v>767</v>
      </c>
      <c r="B158" s="33" t="s">
        <v>768</v>
      </c>
      <c r="C158" s="33" t="s">
        <v>913</v>
      </c>
      <c r="D158" s="33" t="s">
        <v>910</v>
      </c>
      <c r="E158" s="37">
        <v>12952218</v>
      </c>
      <c r="F158" s="37">
        <v>8999104</v>
      </c>
      <c r="G158" s="37">
        <v>7208061</v>
      </c>
    </row>
    <row r="159" spans="1:7" x14ac:dyDescent="0.25">
      <c r="A159" s="36" t="s">
        <v>944</v>
      </c>
      <c r="B159" s="33" t="s">
        <v>776</v>
      </c>
      <c r="C159" s="33" t="s">
        <v>917</v>
      </c>
      <c r="D159" s="33" t="s">
        <v>916</v>
      </c>
      <c r="E159" s="37">
        <v>53192</v>
      </c>
      <c r="F159" s="37">
        <v>45254</v>
      </c>
      <c r="G159" s="37">
        <v>40928</v>
      </c>
    </row>
    <row r="160" spans="1:7" x14ac:dyDescent="0.25">
      <c r="A160" s="36" t="s">
        <v>777</v>
      </c>
      <c r="B160" s="33" t="s">
        <v>778</v>
      </c>
      <c r="C160" s="33" t="s">
        <v>917</v>
      </c>
      <c r="D160" s="33" t="s">
        <v>912</v>
      </c>
      <c r="E160" s="37">
        <v>183627</v>
      </c>
      <c r="F160" s="37">
        <v>158351</v>
      </c>
      <c r="G160" s="37">
        <v>144420</v>
      </c>
    </row>
    <row r="161" spans="1:7" x14ac:dyDescent="0.25">
      <c r="A161" s="36" t="s">
        <v>945</v>
      </c>
      <c r="B161" s="33" t="s">
        <v>784</v>
      </c>
      <c r="C161" s="33" t="s">
        <v>917</v>
      </c>
      <c r="D161" s="33" t="s">
        <v>912</v>
      </c>
      <c r="E161" s="37">
        <v>110940</v>
      </c>
      <c r="F161" s="37">
        <v>92225</v>
      </c>
      <c r="G161" s="37">
        <v>82008</v>
      </c>
    </row>
    <row r="162" spans="1:7" x14ac:dyDescent="0.25">
      <c r="A162" s="36" t="s">
        <v>785</v>
      </c>
      <c r="B162" s="33" t="s">
        <v>786</v>
      </c>
      <c r="C162" s="33" t="s">
        <v>915</v>
      </c>
      <c r="D162" s="33" t="s">
        <v>912</v>
      </c>
      <c r="E162" s="37">
        <v>198414</v>
      </c>
      <c r="F162" s="37">
        <v>139412</v>
      </c>
      <c r="G162" s="37">
        <v>113699</v>
      </c>
    </row>
    <row r="163" spans="1:7" x14ac:dyDescent="0.25">
      <c r="A163" s="36" t="s">
        <v>787</v>
      </c>
      <c r="B163" s="33" t="s">
        <v>788</v>
      </c>
      <c r="C163" s="33" t="s">
        <v>911</v>
      </c>
      <c r="D163" s="33" t="s">
        <v>916</v>
      </c>
      <c r="E163" s="37">
        <v>33938</v>
      </c>
      <c r="F163" s="37">
        <v>30656</v>
      </c>
      <c r="G163" s="37">
        <v>28760</v>
      </c>
    </row>
    <row r="164" spans="1:7" x14ac:dyDescent="0.25">
      <c r="A164" s="36" t="s">
        <v>946</v>
      </c>
      <c r="B164" s="33" t="s">
        <v>790</v>
      </c>
      <c r="C164" s="33" t="s">
        <v>913</v>
      </c>
      <c r="D164" s="33" t="s">
        <v>914</v>
      </c>
      <c r="E164" s="37">
        <v>219159</v>
      </c>
      <c r="F164" s="37">
        <v>148579</v>
      </c>
      <c r="G164" s="37">
        <v>115095</v>
      </c>
    </row>
    <row r="165" spans="1:7" x14ac:dyDescent="0.25">
      <c r="A165" s="36" t="s">
        <v>791</v>
      </c>
      <c r="B165" s="33" t="s">
        <v>792</v>
      </c>
      <c r="C165" s="33" t="s">
        <v>909</v>
      </c>
      <c r="D165" s="33" t="s">
        <v>916</v>
      </c>
      <c r="E165" s="37">
        <v>34813871</v>
      </c>
      <c r="F165" s="37">
        <v>28256261</v>
      </c>
      <c r="G165" s="37">
        <v>25252378</v>
      </c>
    </row>
    <row r="166" spans="1:7" x14ac:dyDescent="0.25">
      <c r="A166" s="36" t="s">
        <v>793</v>
      </c>
      <c r="B166" s="33" t="s">
        <v>794</v>
      </c>
      <c r="C166" s="33" t="s">
        <v>913</v>
      </c>
      <c r="D166" s="33" t="s">
        <v>914</v>
      </c>
      <c r="E166" s="37">
        <v>16743927</v>
      </c>
      <c r="F166" s="37">
        <v>11183113</v>
      </c>
      <c r="G166" s="37">
        <v>8792567</v>
      </c>
    </row>
    <row r="167" spans="1:7" x14ac:dyDescent="0.25">
      <c r="A167" s="36" t="s">
        <v>795</v>
      </c>
      <c r="B167" s="33" t="s">
        <v>796</v>
      </c>
      <c r="C167" s="33" t="s">
        <v>911</v>
      </c>
      <c r="D167" s="33" t="s">
        <v>912</v>
      </c>
      <c r="E167" s="37">
        <v>6926705</v>
      </c>
      <c r="F167" s="37">
        <v>7664792</v>
      </c>
      <c r="G167" s="37">
        <v>7069530</v>
      </c>
    </row>
    <row r="168" spans="1:7" x14ac:dyDescent="0.25">
      <c r="A168" s="36" t="s">
        <v>797</v>
      </c>
      <c r="B168" s="33" t="s">
        <v>798</v>
      </c>
      <c r="C168" s="33" t="s">
        <v>913</v>
      </c>
      <c r="D168" s="33" t="s">
        <v>916</v>
      </c>
      <c r="E168" s="37">
        <v>98347</v>
      </c>
      <c r="F168" s="37">
        <v>79903</v>
      </c>
      <c r="G168" s="37">
        <v>71392</v>
      </c>
    </row>
    <row r="169" spans="1:7" x14ac:dyDescent="0.25">
      <c r="A169" s="36" t="s">
        <v>799</v>
      </c>
      <c r="B169" s="33" t="s">
        <v>800</v>
      </c>
      <c r="C169" s="33" t="s">
        <v>913</v>
      </c>
      <c r="D169" s="33" t="s">
        <v>910</v>
      </c>
      <c r="E169" s="37">
        <v>7976983</v>
      </c>
      <c r="F169" s="37">
        <v>5479124</v>
      </c>
      <c r="G169" s="37">
        <v>4332194</v>
      </c>
    </row>
    <row r="170" spans="1:7" x14ac:dyDescent="0.25">
      <c r="A170" s="36" t="s">
        <v>801</v>
      </c>
      <c r="B170" s="33" t="s">
        <v>802</v>
      </c>
      <c r="C170" s="33" t="s">
        <v>915</v>
      </c>
      <c r="D170" s="33" t="s">
        <v>916</v>
      </c>
      <c r="E170" s="37">
        <v>5850342</v>
      </c>
      <c r="F170" s="37">
        <v>5312279</v>
      </c>
      <c r="G170" s="37">
        <v>5016588</v>
      </c>
    </row>
    <row r="171" spans="1:7" x14ac:dyDescent="0.25">
      <c r="A171" s="36" t="s">
        <v>947</v>
      </c>
      <c r="B171" s="33" t="s">
        <v>804</v>
      </c>
      <c r="C171" s="33" t="s">
        <v>385</v>
      </c>
      <c r="D171" s="33" t="s">
        <v>916</v>
      </c>
      <c r="E171" s="37">
        <v>42882</v>
      </c>
      <c r="F171" s="37"/>
      <c r="G171" s="37"/>
    </row>
    <row r="172" spans="1:7" x14ac:dyDescent="0.25">
      <c r="A172" s="36" t="s">
        <v>805</v>
      </c>
      <c r="B172" s="33" t="s">
        <v>806</v>
      </c>
      <c r="C172" s="33" t="s">
        <v>911</v>
      </c>
      <c r="D172" s="33" t="s">
        <v>916</v>
      </c>
      <c r="E172" s="37">
        <v>5457873</v>
      </c>
      <c r="F172" s="37">
        <v>4780306</v>
      </c>
      <c r="G172" s="37">
        <v>4448901</v>
      </c>
    </row>
    <row r="173" spans="1:7" x14ac:dyDescent="0.25">
      <c r="A173" s="36" t="s">
        <v>807</v>
      </c>
      <c r="B173" s="33" t="s">
        <v>808</v>
      </c>
      <c r="C173" s="33" t="s">
        <v>911</v>
      </c>
      <c r="D173" s="33" t="s">
        <v>916</v>
      </c>
      <c r="E173" s="37">
        <v>2095861</v>
      </c>
      <c r="F173" s="37">
        <v>1827961</v>
      </c>
      <c r="G173" s="37">
        <v>1707078</v>
      </c>
    </row>
    <row r="174" spans="1:7" x14ac:dyDescent="0.25">
      <c r="A174" s="36" t="s">
        <v>809</v>
      </c>
      <c r="B174" s="33" t="s">
        <v>810</v>
      </c>
      <c r="C174" s="33" t="s">
        <v>915</v>
      </c>
      <c r="D174" s="33" t="s">
        <v>914</v>
      </c>
      <c r="E174" s="37">
        <v>686884</v>
      </c>
      <c r="F174" s="37">
        <v>470083</v>
      </c>
      <c r="G174" s="37">
        <v>379420</v>
      </c>
    </row>
    <row r="175" spans="1:7" x14ac:dyDescent="0.25">
      <c r="A175" s="36" t="s">
        <v>811</v>
      </c>
      <c r="B175" s="33" t="s">
        <v>812</v>
      </c>
      <c r="C175" s="33" t="s">
        <v>909</v>
      </c>
      <c r="D175" s="33" t="s">
        <v>910</v>
      </c>
      <c r="E175" s="37">
        <v>15893222</v>
      </c>
      <c r="F175" s="37">
        <v>10105502</v>
      </c>
      <c r="G175" s="37">
        <v>7680881</v>
      </c>
    </row>
    <row r="176" spans="1:7" x14ac:dyDescent="0.25">
      <c r="A176" s="36" t="s">
        <v>813</v>
      </c>
      <c r="B176" s="33" t="s">
        <v>814</v>
      </c>
      <c r="C176" s="33" t="s">
        <v>913</v>
      </c>
      <c r="D176" s="33" t="s">
        <v>912</v>
      </c>
      <c r="E176" s="37">
        <v>59308690</v>
      </c>
      <c r="F176" s="37">
        <v>46188150</v>
      </c>
      <c r="G176" s="37">
        <v>39806439</v>
      </c>
    </row>
    <row r="177" spans="1:7" x14ac:dyDescent="0.25">
      <c r="A177" s="36" t="s">
        <v>817</v>
      </c>
      <c r="B177" s="33" t="s">
        <v>818</v>
      </c>
      <c r="C177" s="33" t="s">
        <v>913</v>
      </c>
      <c r="D177" s="33" t="s">
        <v>910</v>
      </c>
      <c r="E177" s="37">
        <v>11193725</v>
      </c>
      <c r="F177" s="37">
        <v>7528668</v>
      </c>
      <c r="G177" s="37">
        <v>5952777</v>
      </c>
    </row>
    <row r="178" spans="1:7" x14ac:dyDescent="0.25">
      <c r="A178" s="36" t="s">
        <v>819</v>
      </c>
      <c r="B178" s="33" t="s">
        <v>820</v>
      </c>
      <c r="C178" s="33" t="s">
        <v>911</v>
      </c>
      <c r="D178" s="33" t="s">
        <v>916</v>
      </c>
      <c r="E178" s="37">
        <v>47332614</v>
      </c>
      <c r="F178" s="37">
        <v>41622785</v>
      </c>
      <c r="G178" s="37">
        <v>38690087</v>
      </c>
    </row>
    <row r="179" spans="1:7" x14ac:dyDescent="0.25">
      <c r="A179" s="36" t="s">
        <v>821</v>
      </c>
      <c r="B179" s="33" t="s">
        <v>822</v>
      </c>
      <c r="C179" s="33" t="s">
        <v>919</v>
      </c>
      <c r="D179" s="33" t="s">
        <v>914</v>
      </c>
      <c r="E179" s="37">
        <v>21413249</v>
      </c>
      <c r="F179" s="37">
        <v>17491024</v>
      </c>
      <c r="G179" s="37">
        <v>15444318</v>
      </c>
    </row>
    <row r="180" spans="1:7" x14ac:dyDescent="0.25">
      <c r="A180" s="36" t="s">
        <v>948</v>
      </c>
      <c r="B180" s="33" t="s">
        <v>824</v>
      </c>
      <c r="C180" s="33" t="s">
        <v>909</v>
      </c>
      <c r="D180" s="33" t="s">
        <v>910</v>
      </c>
      <c r="E180" s="37">
        <v>43849260</v>
      </c>
      <c r="F180" s="37">
        <v>30376262</v>
      </c>
      <c r="G180" s="37">
        <v>24179386</v>
      </c>
    </row>
    <row r="181" spans="1:7" x14ac:dyDescent="0.25">
      <c r="A181" s="36" t="s">
        <v>825</v>
      </c>
      <c r="B181" s="33" t="s">
        <v>826</v>
      </c>
      <c r="C181" s="33" t="s">
        <v>917</v>
      </c>
      <c r="D181" s="33" t="s">
        <v>912</v>
      </c>
      <c r="E181" s="37">
        <v>586632</v>
      </c>
      <c r="F181" s="37">
        <v>466373</v>
      </c>
      <c r="G181" s="37">
        <v>404952</v>
      </c>
    </row>
    <row r="182" spans="1:7" x14ac:dyDescent="0.25">
      <c r="A182" s="36" t="s">
        <v>829</v>
      </c>
      <c r="B182" s="33" t="s">
        <v>830</v>
      </c>
      <c r="C182" s="33" t="s">
        <v>911</v>
      </c>
      <c r="D182" s="33" t="s">
        <v>916</v>
      </c>
      <c r="E182" s="37">
        <v>10327589</v>
      </c>
      <c r="F182" s="37">
        <v>8722015</v>
      </c>
      <c r="G182" s="37">
        <v>8027875</v>
      </c>
    </row>
    <row r="183" spans="1:7" x14ac:dyDescent="0.25">
      <c r="A183" s="36" t="s">
        <v>831</v>
      </c>
      <c r="B183" s="33" t="s">
        <v>832</v>
      </c>
      <c r="C183" s="33" t="s">
        <v>911</v>
      </c>
      <c r="D183" s="33" t="s">
        <v>916</v>
      </c>
      <c r="E183" s="37">
        <v>8654618</v>
      </c>
      <c r="F183" s="37">
        <v>7654152</v>
      </c>
      <c r="G183" s="37">
        <v>7154962</v>
      </c>
    </row>
    <row r="184" spans="1:7" x14ac:dyDescent="0.25">
      <c r="A184" s="36" t="s">
        <v>833</v>
      </c>
      <c r="B184" s="33" t="s">
        <v>834</v>
      </c>
      <c r="C184" s="33" t="s">
        <v>909</v>
      </c>
      <c r="D184" s="33" t="s">
        <v>910</v>
      </c>
      <c r="E184" s="37">
        <v>17500658</v>
      </c>
      <c r="F184" s="37">
        <v>13726126</v>
      </c>
      <c r="G184" s="37">
        <v>11694996</v>
      </c>
    </row>
    <row r="185" spans="1:7" x14ac:dyDescent="0.25">
      <c r="A185" s="36" t="s">
        <v>837</v>
      </c>
      <c r="B185" s="33" t="s">
        <v>838</v>
      </c>
      <c r="C185" s="33" t="s">
        <v>911</v>
      </c>
      <c r="D185" s="33" t="s">
        <v>910</v>
      </c>
      <c r="E185" s="37">
        <v>9537642</v>
      </c>
      <c r="F185" s="37">
        <v>6690822</v>
      </c>
      <c r="G185" s="37">
        <v>5598428</v>
      </c>
    </row>
    <row r="186" spans="1:7" x14ac:dyDescent="0.25">
      <c r="A186" s="36" t="s">
        <v>949</v>
      </c>
      <c r="B186" s="33" t="s">
        <v>840</v>
      </c>
      <c r="C186" s="33" t="s">
        <v>913</v>
      </c>
      <c r="D186" s="33" t="s">
        <v>914</v>
      </c>
      <c r="E186" s="37">
        <v>59734218</v>
      </c>
      <c r="F186" s="37">
        <v>39470782</v>
      </c>
      <c r="G186" s="37">
        <v>30721315</v>
      </c>
    </row>
    <row r="187" spans="1:7" x14ac:dyDescent="0.25">
      <c r="A187" s="36" t="s">
        <v>841</v>
      </c>
      <c r="B187" s="33" t="s">
        <v>842</v>
      </c>
      <c r="C187" s="33" t="s">
        <v>915</v>
      </c>
      <c r="D187" s="33" t="s">
        <v>912</v>
      </c>
      <c r="E187" s="37">
        <v>69799978</v>
      </c>
      <c r="F187" s="37">
        <v>61018289</v>
      </c>
      <c r="G187" s="37">
        <v>55997797</v>
      </c>
    </row>
    <row r="188" spans="1:7" x14ac:dyDescent="0.25">
      <c r="A188" s="36" t="s">
        <v>843</v>
      </c>
      <c r="B188" s="33" t="s">
        <v>844</v>
      </c>
      <c r="C188" s="33" t="s">
        <v>919</v>
      </c>
      <c r="D188" s="33" t="s">
        <v>914</v>
      </c>
      <c r="E188" s="37">
        <v>1318445</v>
      </c>
      <c r="F188" s="37">
        <v>943534</v>
      </c>
      <c r="G188" s="37">
        <v>758771</v>
      </c>
    </row>
    <row r="189" spans="1:7" x14ac:dyDescent="0.25">
      <c r="A189" s="36" t="s">
        <v>845</v>
      </c>
      <c r="B189" s="33" t="s">
        <v>846</v>
      </c>
      <c r="C189" s="33" t="s">
        <v>913</v>
      </c>
      <c r="D189" s="33" t="s">
        <v>910</v>
      </c>
      <c r="E189" s="37">
        <v>8278724</v>
      </c>
      <c r="F189" s="37">
        <v>5675571</v>
      </c>
      <c r="G189" s="37">
        <v>4493861</v>
      </c>
    </row>
    <row r="190" spans="1:7" x14ac:dyDescent="0.25">
      <c r="A190" s="36" t="s">
        <v>849</v>
      </c>
      <c r="B190" s="33" t="s">
        <v>850</v>
      </c>
      <c r="C190" s="33" t="s">
        <v>915</v>
      </c>
      <c r="D190" s="33" t="s">
        <v>912</v>
      </c>
      <c r="E190" s="37">
        <v>105695</v>
      </c>
      <c r="F190" s="37">
        <v>77289</v>
      </c>
      <c r="G190" s="37">
        <v>63069</v>
      </c>
    </row>
    <row r="191" spans="1:7" x14ac:dyDescent="0.25">
      <c r="A191" s="36" t="s">
        <v>851</v>
      </c>
      <c r="B191" s="33" t="s">
        <v>852</v>
      </c>
      <c r="C191" s="33" t="s">
        <v>917</v>
      </c>
      <c r="D191" s="33" t="s">
        <v>916</v>
      </c>
      <c r="E191" s="37">
        <v>1399488</v>
      </c>
      <c r="F191" s="37">
        <v>1183163</v>
      </c>
      <c r="G191" s="37">
        <v>1069801</v>
      </c>
    </row>
    <row r="192" spans="1:7" x14ac:dyDescent="0.25">
      <c r="A192" s="36" t="s">
        <v>853</v>
      </c>
      <c r="B192" s="33" t="s">
        <v>854</v>
      </c>
      <c r="C192" s="33" t="s">
        <v>909</v>
      </c>
      <c r="D192" s="33" t="s">
        <v>914</v>
      </c>
      <c r="E192" s="37">
        <v>11818619</v>
      </c>
      <c r="F192" s="37">
        <v>9552584</v>
      </c>
      <c r="G192" s="37">
        <v>8566242</v>
      </c>
    </row>
    <row r="193" spans="1:7" x14ac:dyDescent="0.25">
      <c r="A193" s="36" t="s">
        <v>855</v>
      </c>
      <c r="B193" s="33" t="s">
        <v>856</v>
      </c>
      <c r="C193" s="33" t="s">
        <v>911</v>
      </c>
      <c r="D193" s="33" t="s">
        <v>912</v>
      </c>
      <c r="E193" s="37">
        <v>84339067</v>
      </c>
      <c r="F193" s="37">
        <v>69038229</v>
      </c>
      <c r="G193" s="37">
        <v>60933295</v>
      </c>
    </row>
    <row r="194" spans="1:7" x14ac:dyDescent="0.25">
      <c r="A194" s="36" t="s">
        <v>857</v>
      </c>
      <c r="B194" s="33" t="s">
        <v>858</v>
      </c>
      <c r="C194" s="33" t="s">
        <v>911</v>
      </c>
      <c r="D194" s="33" t="s">
        <v>912</v>
      </c>
      <c r="E194" s="37">
        <v>6031187</v>
      </c>
      <c r="F194" s="37">
        <v>4552953</v>
      </c>
      <c r="G194" s="37">
        <v>3947589</v>
      </c>
    </row>
    <row r="195" spans="1:7" x14ac:dyDescent="0.25">
      <c r="A195" s="36" t="s">
        <v>950</v>
      </c>
      <c r="B195" s="33" t="s">
        <v>860</v>
      </c>
      <c r="C195" s="33" t="s">
        <v>917</v>
      </c>
      <c r="D195" s="33" t="s">
        <v>916</v>
      </c>
      <c r="E195" s="37">
        <v>38718</v>
      </c>
      <c r="F195" s="37"/>
      <c r="G195" s="37"/>
    </row>
    <row r="196" spans="1:7" x14ac:dyDescent="0.25">
      <c r="A196" s="36" t="s">
        <v>861</v>
      </c>
      <c r="B196" s="33" t="s">
        <v>862</v>
      </c>
      <c r="C196" s="33" t="s">
        <v>915</v>
      </c>
      <c r="D196" s="33" t="s">
        <v>912</v>
      </c>
      <c r="E196" s="37">
        <v>11792</v>
      </c>
      <c r="F196" s="37">
        <v>8679</v>
      </c>
      <c r="G196" s="37">
        <v>7215</v>
      </c>
    </row>
    <row r="197" spans="1:7" x14ac:dyDescent="0.25">
      <c r="A197" s="36" t="s">
        <v>863</v>
      </c>
      <c r="B197" s="33" t="s">
        <v>864</v>
      </c>
      <c r="C197" s="33" t="s">
        <v>913</v>
      </c>
      <c r="D197" s="33" t="s">
        <v>910</v>
      </c>
      <c r="E197" s="37">
        <v>45741007</v>
      </c>
      <c r="F197" s="37">
        <v>29369440</v>
      </c>
      <c r="G197" s="37">
        <v>22285046</v>
      </c>
    </row>
    <row r="198" spans="1:7" x14ac:dyDescent="0.25">
      <c r="A198" s="36" t="s">
        <v>865</v>
      </c>
      <c r="B198" s="33" t="s">
        <v>866</v>
      </c>
      <c r="C198" s="33" t="s">
        <v>911</v>
      </c>
      <c r="D198" s="33" t="s">
        <v>914</v>
      </c>
      <c r="E198" s="37">
        <v>43733759</v>
      </c>
      <c r="F198" s="37">
        <v>38010168</v>
      </c>
      <c r="G198" s="37">
        <v>35283977</v>
      </c>
    </row>
    <row r="199" spans="1:7" x14ac:dyDescent="0.25">
      <c r="A199" s="36" t="s">
        <v>951</v>
      </c>
      <c r="B199" s="33" t="s">
        <v>868</v>
      </c>
      <c r="C199" s="33" t="s">
        <v>909</v>
      </c>
      <c r="D199" s="33" t="s">
        <v>916</v>
      </c>
      <c r="E199" s="37">
        <v>9890402</v>
      </c>
      <c r="F199" s="37">
        <v>8781807</v>
      </c>
      <c r="G199" s="37">
        <v>8252217</v>
      </c>
    </row>
    <row r="200" spans="1:7" x14ac:dyDescent="0.25">
      <c r="A200" s="36" t="s">
        <v>952</v>
      </c>
      <c r="B200" s="33" t="s">
        <v>870</v>
      </c>
      <c r="C200" s="33" t="s">
        <v>911</v>
      </c>
      <c r="D200" s="33" t="s">
        <v>916</v>
      </c>
      <c r="E200" s="37">
        <v>67886004</v>
      </c>
      <c r="F200" s="37">
        <v>58580164</v>
      </c>
      <c r="G200" s="37">
        <v>53930447</v>
      </c>
    </row>
    <row r="201" spans="1:7" x14ac:dyDescent="0.25">
      <c r="A201" s="36" t="s">
        <v>953</v>
      </c>
      <c r="B201" s="33" t="s">
        <v>874</v>
      </c>
      <c r="C201" s="33" t="s">
        <v>917</v>
      </c>
      <c r="D201" s="33" t="s">
        <v>916</v>
      </c>
      <c r="E201" s="37">
        <v>331002651</v>
      </c>
      <c r="F201" s="37">
        <v>284944899</v>
      </c>
      <c r="G201" s="37">
        <v>259393104</v>
      </c>
    </row>
    <row r="202" spans="1:7" x14ac:dyDescent="0.25">
      <c r="A202" s="36" t="s">
        <v>875</v>
      </c>
      <c r="B202" s="33" t="s">
        <v>876</v>
      </c>
      <c r="C202" s="33" t="s">
        <v>917</v>
      </c>
      <c r="D202" s="33" t="s">
        <v>916</v>
      </c>
      <c r="E202" s="37">
        <v>3473730</v>
      </c>
      <c r="F202" s="37">
        <v>2919659</v>
      </c>
      <c r="G202" s="37">
        <v>2636579</v>
      </c>
    </row>
    <row r="203" spans="1:7" x14ac:dyDescent="0.25">
      <c r="A203" s="36" t="s">
        <v>877</v>
      </c>
      <c r="B203" s="33" t="s">
        <v>878</v>
      </c>
      <c r="C203" s="33" t="s">
        <v>911</v>
      </c>
      <c r="D203" s="33" t="s">
        <v>914</v>
      </c>
      <c r="E203" s="37">
        <v>33469199</v>
      </c>
      <c r="F203" s="37">
        <v>25940900</v>
      </c>
      <c r="G203" s="37">
        <v>22605443</v>
      </c>
    </row>
    <row r="204" spans="1:7" x14ac:dyDescent="0.25">
      <c r="A204" s="36" t="s">
        <v>879</v>
      </c>
      <c r="B204" s="33" t="s">
        <v>880</v>
      </c>
      <c r="C204" s="33" t="s">
        <v>915</v>
      </c>
      <c r="D204" s="33" t="s">
        <v>914</v>
      </c>
      <c r="E204" s="37">
        <v>307145</v>
      </c>
      <c r="F204" s="37">
        <v>216977</v>
      </c>
      <c r="G204" s="37">
        <v>174869</v>
      </c>
    </row>
    <row r="205" spans="1:7" x14ac:dyDescent="0.25">
      <c r="A205" s="36" t="s">
        <v>881</v>
      </c>
      <c r="B205" s="33" t="s">
        <v>882</v>
      </c>
      <c r="C205" s="33" t="s">
        <v>917</v>
      </c>
      <c r="D205" s="33" t="s">
        <v>912</v>
      </c>
      <c r="E205" s="37">
        <v>28435940</v>
      </c>
      <c r="F205" s="37">
        <v>22674600</v>
      </c>
      <c r="G205" s="37">
        <v>19532392</v>
      </c>
    </row>
    <row r="206" spans="1:7" x14ac:dyDescent="0.25">
      <c r="A206" s="36" t="s">
        <v>883</v>
      </c>
      <c r="B206" s="33" t="s">
        <v>884</v>
      </c>
      <c r="C206" s="33" t="s">
        <v>915</v>
      </c>
      <c r="D206" s="33" t="s">
        <v>914</v>
      </c>
      <c r="E206" s="37">
        <v>97338579</v>
      </c>
      <c r="F206" s="37">
        <v>79689629</v>
      </c>
      <c r="G206" s="37">
        <v>71432762</v>
      </c>
    </row>
    <row r="207" spans="1:7" x14ac:dyDescent="0.25">
      <c r="A207" s="36" t="s">
        <v>889</v>
      </c>
      <c r="B207" s="33" t="s">
        <v>890</v>
      </c>
      <c r="C207" s="33" t="s">
        <v>385</v>
      </c>
      <c r="D207" s="33" t="s">
        <v>385</v>
      </c>
      <c r="E207" s="37">
        <v>11246</v>
      </c>
      <c r="F207" s="37"/>
      <c r="G207" s="37"/>
    </row>
    <row r="208" spans="1:7" x14ac:dyDescent="0.25">
      <c r="A208" s="36" t="s">
        <v>954</v>
      </c>
      <c r="B208" s="33" t="s">
        <v>740</v>
      </c>
      <c r="C208" s="33" t="s">
        <v>909</v>
      </c>
      <c r="D208" s="33" t="s">
        <v>914</v>
      </c>
      <c r="E208" s="37">
        <v>5101414</v>
      </c>
      <c r="F208" s="37">
        <v>3595836</v>
      </c>
      <c r="G208" s="37">
        <v>2916357</v>
      </c>
    </row>
    <row r="209" spans="1:7" x14ac:dyDescent="0.25">
      <c r="A209" s="36" t="s">
        <v>893</v>
      </c>
      <c r="B209" s="33" t="s">
        <v>894</v>
      </c>
      <c r="C209" s="33" t="s">
        <v>909</v>
      </c>
      <c r="D209" s="33" t="s">
        <v>910</v>
      </c>
      <c r="E209" s="37">
        <v>29825964</v>
      </c>
      <c r="F209" s="37">
        <v>20900374</v>
      </c>
      <c r="G209" s="37">
        <v>16782913</v>
      </c>
    </row>
    <row r="210" spans="1:7" x14ac:dyDescent="0.25">
      <c r="A210" s="36" t="s">
        <v>895</v>
      </c>
      <c r="B210" s="33" t="s">
        <v>896</v>
      </c>
      <c r="C210" s="33" t="s">
        <v>913</v>
      </c>
      <c r="D210" s="33" t="s">
        <v>914</v>
      </c>
      <c r="E210" s="37">
        <v>18383955</v>
      </c>
      <c r="F210" s="37">
        <v>12132014</v>
      </c>
      <c r="G210" s="37">
        <v>9326355</v>
      </c>
    </row>
    <row r="211" spans="1:7" x14ac:dyDescent="0.25">
      <c r="A211" s="38" t="s">
        <v>897</v>
      </c>
      <c r="B211" s="39" t="s">
        <v>898</v>
      </c>
      <c r="C211" s="39" t="s">
        <v>913</v>
      </c>
      <c r="D211" s="39" t="s">
        <v>914</v>
      </c>
      <c r="E211" s="40">
        <v>14862924</v>
      </c>
      <c r="F211" s="40">
        <v>10000024</v>
      </c>
      <c r="G211" s="40">
        <v>7814812</v>
      </c>
    </row>
    <row r="212" spans="1:7" x14ac:dyDescent="0.25">
      <c r="A212" s="495" t="s">
        <v>955</v>
      </c>
      <c r="B212" s="496" t="s">
        <v>901</v>
      </c>
      <c r="C212" s="496" t="s">
        <v>901</v>
      </c>
      <c r="D212" s="39" t="s">
        <v>914</v>
      </c>
      <c r="E212" s="40">
        <v>14862924</v>
      </c>
      <c r="F212" s="40">
        <v>10000024</v>
      </c>
      <c r="G212" s="40">
        <v>7814812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5C610-3A58-4294-A18B-9175A5C34152}">
  <dimension ref="A1:F10"/>
  <sheetViews>
    <sheetView showGridLines="0" zoomScale="90" zoomScaleNormal="90" workbookViewId="0">
      <selection activeCell="S1" sqref="R1:S1"/>
    </sheetView>
  </sheetViews>
  <sheetFormatPr defaultColWidth="9.140625" defaultRowHeight="15" x14ac:dyDescent="0.25"/>
  <cols>
    <col min="1" max="1" width="1.7109375" style="145" customWidth="1"/>
    <col min="2" max="2" width="1.85546875" style="145" customWidth="1"/>
    <col min="3" max="3" width="9" style="145" customWidth="1"/>
    <col min="4" max="4" width="32.42578125" style="145" customWidth="1"/>
    <col min="5" max="5" width="93.28515625" style="145" customWidth="1"/>
    <col min="6" max="6" width="28.85546875" style="145" customWidth="1"/>
    <col min="7" max="16384" width="9.140625" style="145"/>
  </cols>
  <sheetData>
    <row r="1" spans="1:6" ht="23.25" x14ac:dyDescent="0.25">
      <c r="A1" s="57" t="s">
        <v>1</v>
      </c>
    </row>
    <row r="2" spans="1:6" s="149" customFormat="1" x14ac:dyDescent="0.25"/>
    <row r="3" spans="1:6" s="149" customFormat="1" x14ac:dyDescent="0.25"/>
    <row r="4" spans="1:6" s="149" customFormat="1" x14ac:dyDescent="0.25">
      <c r="D4" s="145" t="s">
        <v>2</v>
      </c>
    </row>
    <row r="5" spans="1:6" s="149" customFormat="1" x14ac:dyDescent="0.25">
      <c r="E5" s="539" t="s">
        <v>3</v>
      </c>
    </row>
    <row r="6" spans="1:6" x14ac:dyDescent="0.25">
      <c r="D6" s="149"/>
      <c r="E6" s="149"/>
      <c r="F6" s="149"/>
    </row>
    <row r="7" spans="1:6" x14ac:dyDescent="0.25">
      <c r="D7" s="145" t="s">
        <v>4</v>
      </c>
    </row>
    <row r="8" spans="1:6" x14ac:dyDescent="0.25">
      <c r="E8" s="539" t="s">
        <v>5</v>
      </c>
    </row>
    <row r="10" spans="1:6" x14ac:dyDescent="0.25">
      <c r="C10" s="145" t="s">
        <v>6</v>
      </c>
    </row>
  </sheetData>
  <sheetProtection formatCells="0" formatColumns="0" formatRows="0"/>
  <hyperlinks>
    <hyperlink ref="E8" r:id="rId1" xr:uid="{C3702CCC-6CAB-4C0E-92EC-F49B05FF187D}"/>
    <hyperlink ref="E5" r:id="rId2" xr:uid="{EFE9712A-3E73-40E7-88B6-F747D813D773}"/>
  </hyperlinks>
  <pageMargins left="0.7" right="0.7" top="0.75" bottom="0.75" header="0.3" footer="0.3"/>
  <pageSetup paperSize="9" scale="74" orientation="landscape" r:id="rId3"/>
  <headerFooter differentFirst="1">
    <oddFooter>&amp;R&amp;P of &amp;N</oddFooter>
    <firstHeader>&amp;R&amp;G</firstHeader>
  </headerFooter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O32"/>
  <sheetViews>
    <sheetView showGridLines="0" topLeftCell="A5" zoomScale="120" zoomScaleNormal="120" workbookViewId="0">
      <selection activeCell="D17" sqref="D17"/>
    </sheetView>
  </sheetViews>
  <sheetFormatPr defaultColWidth="8.7109375" defaultRowHeight="12.75" x14ac:dyDescent="0.2"/>
  <cols>
    <col min="1" max="1" width="2" style="48" customWidth="1"/>
    <col min="2" max="2" width="8.140625" style="48" customWidth="1"/>
    <col min="3" max="3" width="19.85546875" style="48" customWidth="1"/>
    <col min="4" max="4" width="18" style="48" customWidth="1"/>
    <col min="5" max="5" width="15.5703125" style="48" customWidth="1"/>
    <col min="6" max="6" width="11.7109375" style="48" bestFit="1" customWidth="1"/>
    <col min="7" max="16384" width="8.7109375" style="48"/>
  </cols>
  <sheetData>
    <row r="1" spans="1:15" ht="28.5" customHeight="1" x14ac:dyDescent="0.2">
      <c r="A1" s="57" t="s">
        <v>7</v>
      </c>
      <c r="C1" s="57"/>
      <c r="D1" s="57"/>
      <c r="E1" s="57"/>
      <c r="F1" s="57"/>
      <c r="G1" s="46"/>
      <c r="H1" s="47"/>
      <c r="I1" s="47"/>
      <c r="J1" s="47"/>
      <c r="K1" s="47"/>
      <c r="L1" s="47"/>
      <c r="M1" s="47"/>
      <c r="N1" s="47"/>
      <c r="O1" s="189"/>
    </row>
    <row r="2" spans="1:15" ht="7.5" customHeight="1" x14ac:dyDescent="0.2">
      <c r="B2" s="540"/>
      <c r="C2" s="540"/>
      <c r="D2" s="540"/>
      <c r="E2" s="540"/>
      <c r="F2" s="540"/>
      <c r="G2" s="540"/>
      <c r="H2" s="540"/>
      <c r="I2" s="540"/>
      <c r="J2" s="49"/>
      <c r="K2" s="49"/>
      <c r="L2" s="49"/>
      <c r="M2" s="49"/>
      <c r="N2" s="49"/>
      <c r="O2" s="190"/>
    </row>
    <row r="3" spans="1:15" ht="6.75" hidden="1" customHeight="1" x14ac:dyDescent="0.2">
      <c r="B3" s="540"/>
      <c r="C3" s="540"/>
      <c r="D3" s="540"/>
      <c r="E3" s="540"/>
      <c r="F3" s="540"/>
      <c r="G3" s="540"/>
      <c r="H3" s="540"/>
      <c r="I3" s="540"/>
      <c r="O3" s="191"/>
    </row>
    <row r="4" spans="1:15" ht="8.25" hidden="1" customHeight="1" x14ac:dyDescent="0.2">
      <c r="B4" s="540"/>
      <c r="C4" s="540"/>
      <c r="D4" s="540"/>
      <c r="E4" s="540"/>
      <c r="F4" s="540"/>
      <c r="G4" s="540"/>
      <c r="H4" s="540"/>
      <c r="I4" s="540"/>
      <c r="O4" s="191"/>
    </row>
    <row r="5" spans="1:15" ht="18" customHeight="1" x14ac:dyDescent="0.2">
      <c r="B5" s="60" t="s">
        <v>8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192"/>
    </row>
    <row r="6" spans="1:15" x14ac:dyDescent="0.2">
      <c r="E6" s="70" t="s">
        <v>9</v>
      </c>
      <c r="O6" s="191"/>
    </row>
    <row r="7" spans="1:15" ht="15.75" customHeight="1" x14ac:dyDescent="0.25">
      <c r="B7" s="61" t="s">
        <v>10</v>
      </c>
      <c r="C7" s="62"/>
      <c r="D7" s="302" t="s">
        <v>11</v>
      </c>
      <c r="E7" s="71" t="str">
        <f>VLOOKUP(D7,list!B:C,2,FALSE)</f>
        <v>ANY</v>
      </c>
      <c r="G7" s="51"/>
      <c r="H7" s="51"/>
      <c r="I7" s="51"/>
      <c r="J7" s="51"/>
      <c r="K7" s="51"/>
      <c r="L7" s="51"/>
      <c r="M7" s="51"/>
      <c r="N7" s="51"/>
      <c r="O7" s="191"/>
    </row>
    <row r="8" spans="1:15" ht="15.75" customHeight="1" x14ac:dyDescent="0.25">
      <c r="E8" s="69"/>
      <c r="G8" s="51"/>
      <c r="H8" s="51"/>
      <c r="I8" s="51"/>
      <c r="J8" s="51"/>
      <c r="K8" s="51"/>
      <c r="L8" s="51"/>
      <c r="M8" s="51"/>
      <c r="N8" s="51"/>
      <c r="O8" s="191"/>
    </row>
    <row r="9" spans="1:15" ht="36.75" x14ac:dyDescent="0.25">
      <c r="B9" s="541" t="s">
        <v>12</v>
      </c>
      <c r="C9" s="541"/>
      <c r="D9" s="193" t="s">
        <v>9</v>
      </c>
      <c r="E9" s="306" t="s">
        <v>13</v>
      </c>
      <c r="F9" s="51"/>
      <c r="G9" s="51"/>
      <c r="H9" s="51"/>
      <c r="I9" s="51"/>
      <c r="J9" s="51"/>
      <c r="K9" s="51"/>
      <c r="L9" s="51"/>
      <c r="M9" s="51"/>
      <c r="N9" s="51"/>
      <c r="O9" s="191"/>
    </row>
    <row r="10" spans="1:15" ht="15" x14ac:dyDescent="0.25">
      <c r="B10" s="61" t="s">
        <v>14</v>
      </c>
      <c r="C10" s="62"/>
      <c r="D10" s="52">
        <f>VLOOKUP(E$7,population!B:G,4,FALSE)</f>
        <v>14862924</v>
      </c>
      <c r="E10" s="301">
        <v>89000000</v>
      </c>
      <c r="F10" s="51"/>
      <c r="G10" s="51"/>
      <c r="H10" s="51"/>
      <c r="I10" s="51"/>
      <c r="J10" s="51"/>
      <c r="K10" s="51"/>
      <c r="L10" s="51"/>
      <c r="M10" s="51"/>
      <c r="N10" s="51"/>
      <c r="O10" s="191"/>
    </row>
    <row r="11" spans="1:15" ht="15" x14ac:dyDescent="0.25">
      <c r="B11" s="63" t="s">
        <v>15</v>
      </c>
      <c r="C11" s="63"/>
      <c r="D11" s="52">
        <f>VLOOKUP(E$7,population!B:G,5,FALSE)</f>
        <v>10000024</v>
      </c>
      <c r="E11" s="301">
        <v>60000000</v>
      </c>
      <c r="F11" s="74"/>
      <c r="G11" s="51"/>
      <c r="H11" s="51"/>
      <c r="I11" s="51"/>
      <c r="J11" s="51"/>
      <c r="K11" s="51"/>
      <c r="L11" s="51"/>
      <c r="M11" s="51"/>
      <c r="N11" s="51"/>
      <c r="O11" s="191"/>
    </row>
    <row r="12" spans="1:15" ht="15" x14ac:dyDescent="0.25">
      <c r="B12" s="63" t="s">
        <v>16</v>
      </c>
      <c r="C12" s="63"/>
      <c r="D12" s="52">
        <f>VLOOKUP(E$7,population!B:G,6,FALSE)</f>
        <v>7814812</v>
      </c>
      <c r="E12" s="301">
        <v>40000000</v>
      </c>
      <c r="G12" s="51"/>
      <c r="H12" s="51"/>
      <c r="I12" s="51"/>
      <c r="J12" s="51"/>
      <c r="K12" s="51"/>
      <c r="L12" s="51"/>
      <c r="M12" s="51"/>
      <c r="N12" s="51"/>
      <c r="O12" s="191"/>
    </row>
    <row r="13" spans="1:15" ht="15" x14ac:dyDescent="0.25">
      <c r="D13" s="53"/>
      <c r="F13" s="51"/>
      <c r="G13" s="51"/>
      <c r="H13" s="51"/>
      <c r="I13" s="51"/>
      <c r="J13" s="51"/>
      <c r="K13" s="51"/>
      <c r="L13" s="51"/>
      <c r="M13" s="51"/>
      <c r="N13" s="51"/>
      <c r="O13" s="191"/>
    </row>
    <row r="14" spans="1:15" ht="18" customHeight="1" x14ac:dyDescent="0.25">
      <c r="B14" s="68" t="s">
        <v>17</v>
      </c>
      <c r="D14" s="59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191"/>
    </row>
    <row r="15" spans="1:15" ht="15" x14ac:dyDescent="0.25">
      <c r="B15" s="65" t="s">
        <v>18</v>
      </c>
      <c r="C15" s="66" t="s">
        <v>19</v>
      </c>
      <c r="D15" s="67" t="s">
        <v>20</v>
      </c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191"/>
    </row>
    <row r="16" spans="1:15" ht="15" hidden="1" x14ac:dyDescent="0.25">
      <c r="B16" s="54"/>
      <c r="C16" s="56" t="s">
        <v>21</v>
      </c>
      <c r="D16" s="55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191"/>
    </row>
    <row r="17" spans="1:15" ht="15" x14ac:dyDescent="0.25">
      <c r="B17" s="64">
        <v>1</v>
      </c>
      <c r="C17" s="299" t="s">
        <v>22</v>
      </c>
      <c r="D17" s="300" t="s">
        <v>23</v>
      </c>
      <c r="E17" s="51"/>
      <c r="G17" s="51"/>
      <c r="H17" s="51"/>
      <c r="I17" s="51"/>
      <c r="J17" s="51"/>
      <c r="K17" s="51"/>
      <c r="L17" s="51"/>
      <c r="M17" s="51"/>
      <c r="N17" s="51"/>
      <c r="O17" s="191"/>
    </row>
    <row r="18" spans="1:15" ht="15" x14ac:dyDescent="0.25">
      <c r="B18" s="64">
        <v>2</v>
      </c>
      <c r="C18" s="299" t="s">
        <v>24</v>
      </c>
      <c r="D18" s="300" t="s">
        <v>23</v>
      </c>
      <c r="E18" s="51"/>
      <c r="G18" s="51"/>
      <c r="H18" s="51"/>
      <c r="I18" s="51"/>
      <c r="J18" s="51"/>
      <c r="K18" s="51"/>
      <c r="L18" s="51"/>
      <c r="M18" s="51"/>
      <c r="N18" s="51"/>
      <c r="O18" s="191"/>
    </row>
    <row r="19" spans="1:15" ht="15" x14ac:dyDescent="0.25">
      <c r="B19" s="64">
        <v>3</v>
      </c>
      <c r="C19" s="299" t="s">
        <v>25</v>
      </c>
      <c r="D19" s="300" t="s">
        <v>26</v>
      </c>
      <c r="E19" s="51"/>
      <c r="G19" s="51"/>
      <c r="H19" s="51"/>
      <c r="I19" s="51"/>
      <c r="J19" s="51"/>
      <c r="K19" s="51"/>
      <c r="L19" s="51"/>
      <c r="M19" s="51"/>
      <c r="N19" s="51"/>
      <c r="O19" s="191"/>
    </row>
    <row r="20" spans="1:15" ht="15" x14ac:dyDescent="0.25">
      <c r="B20" s="64">
        <v>4</v>
      </c>
      <c r="C20" s="299" t="s">
        <v>27</v>
      </c>
      <c r="D20" s="300" t="s">
        <v>23</v>
      </c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191"/>
    </row>
    <row r="21" spans="1:15" ht="15" x14ac:dyDescent="0.25">
      <c r="B21" s="64">
        <v>5</v>
      </c>
      <c r="C21" s="299" t="s">
        <v>28</v>
      </c>
      <c r="D21" s="300" t="s">
        <v>26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191"/>
    </row>
    <row r="22" spans="1:15" ht="15" x14ac:dyDescent="0.25">
      <c r="B22" s="64">
        <v>6</v>
      </c>
      <c r="C22" s="299"/>
      <c r="D22" s="300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191"/>
    </row>
    <row r="23" spans="1:15" ht="15" x14ac:dyDescent="0.25">
      <c r="B23" s="64">
        <v>7</v>
      </c>
      <c r="C23" s="299"/>
      <c r="D23" s="300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191"/>
    </row>
    <row r="24" spans="1:15" ht="15" x14ac:dyDescent="0.25">
      <c r="B24" s="64">
        <v>8</v>
      </c>
      <c r="C24" s="299"/>
      <c r="D24" s="300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191"/>
    </row>
    <row r="25" spans="1:15" ht="15" x14ac:dyDescent="0.25">
      <c r="B25" s="64">
        <v>9</v>
      </c>
      <c r="C25" s="299"/>
      <c r="D25" s="300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191"/>
    </row>
    <row r="26" spans="1:15" ht="15" x14ac:dyDescent="0.25">
      <c r="B26" s="64">
        <v>10</v>
      </c>
      <c r="C26" s="299"/>
      <c r="D26" s="300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191"/>
    </row>
    <row r="27" spans="1:15" ht="15" x14ac:dyDescent="0.25">
      <c r="B27" s="64">
        <v>11</v>
      </c>
      <c r="C27" s="299"/>
      <c r="D27" s="300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91"/>
    </row>
    <row r="28" spans="1:15" ht="15" x14ac:dyDescent="0.25">
      <c r="B28" s="64">
        <v>12</v>
      </c>
      <c r="C28" s="299"/>
      <c r="D28" s="300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91"/>
    </row>
    <row r="29" spans="1:15" ht="15" x14ac:dyDescent="0.25">
      <c r="B29" s="64">
        <v>13</v>
      </c>
      <c r="C29" s="299"/>
      <c r="D29" s="300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91"/>
    </row>
    <row r="30" spans="1:15" ht="15" x14ac:dyDescent="0.25">
      <c r="B30" s="64">
        <v>14</v>
      </c>
      <c r="C30" s="299"/>
      <c r="D30" s="300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91"/>
    </row>
    <row r="31" spans="1:15" ht="15" x14ac:dyDescent="0.25">
      <c r="B31" s="64">
        <v>15</v>
      </c>
      <c r="C31" s="299"/>
      <c r="D31" s="300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191"/>
    </row>
    <row r="32" spans="1:15" ht="13.5" thickBot="1" x14ac:dyDescent="0.25">
      <c r="A32" s="194"/>
      <c r="B32" s="194"/>
      <c r="C32" s="194"/>
      <c r="D32" s="194"/>
      <c r="E32" s="195"/>
      <c r="F32" s="194"/>
      <c r="G32" s="194"/>
      <c r="H32" s="195"/>
      <c r="I32" s="194"/>
      <c r="J32" s="194"/>
      <c r="K32" s="195"/>
      <c r="L32" s="194"/>
      <c r="M32" s="194"/>
      <c r="N32" s="194"/>
      <c r="O32" s="196"/>
    </row>
  </sheetData>
  <sheetProtection algorithmName="SHA-512" hashValue="6Ov1Oy0EdkwCax2TRWhB5sDXpu8iyvLTsgIYCKmTLuHH5Qot3JrP5l+Q+8V7XiW+G+zwEKwGDV7jZg+W9zqg6A==" saltValue="hKCTGeEGbwghu7DWOKIESg==" spinCount="100000" sheet="1" selectLockedCells="1"/>
  <mergeCells count="2">
    <mergeCell ref="B2:I4"/>
    <mergeCell ref="B9:C9"/>
  </mergeCells>
  <dataValidations count="3">
    <dataValidation type="list" allowBlank="1" showInputMessage="1" showErrorMessage="1" sqref="D7" xr:uid="{00000000-0002-0000-0200-000000000000}">
      <formula1>counties</formula1>
    </dataValidation>
    <dataValidation type="list" allowBlank="1" showInputMessage="1" showErrorMessage="1" sqref="D17:D31" xr:uid="{00000000-0002-0000-0200-000001000000}">
      <formula1>"Yes, No"</formula1>
    </dataValidation>
    <dataValidation type="list" allowBlank="1" showInputMessage="1" showErrorMessage="1" sqref="C17:C31" xr:uid="{00000000-0002-0000-0200-000002000000}">
      <formula1>Shortname</formula1>
    </dataValidation>
  </dataValidations>
  <pageMargins left="0.7" right="0.7" top="0.75" bottom="0.75" header="0.3" footer="0.3"/>
  <pageSetup orientation="portrait" horizontalDpi="1200" verticalDpi="1200" r:id="rId1"/>
  <ignoredErrors>
    <ignoredError sqref="D10:D1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K1004"/>
  <sheetViews>
    <sheetView showGridLines="0" topLeftCell="L1" zoomScaleNormal="100" workbookViewId="0">
      <pane ySplit="4" topLeftCell="A5" activePane="bottomLeft" state="frozen"/>
      <selection pane="bottomLeft" activeCell="D42" sqref="D42"/>
    </sheetView>
  </sheetViews>
  <sheetFormatPr defaultColWidth="8.7109375" defaultRowHeight="15" x14ac:dyDescent="0.25"/>
  <cols>
    <col min="1" max="1" width="9.7109375" style="15" customWidth="1"/>
    <col min="2" max="2" width="7.5703125" style="15" hidden="1" customWidth="1"/>
    <col min="3" max="3" width="14.5703125" style="15" hidden="1" customWidth="1"/>
    <col min="4" max="4" width="58.7109375" style="15" bestFit="1" customWidth="1"/>
    <col min="5" max="5" width="46.28515625" style="15" hidden="1" customWidth="1"/>
    <col min="6" max="6" width="15.7109375" style="15" bestFit="1" customWidth="1"/>
    <col min="7" max="7" width="12" style="15" bestFit="1" customWidth="1"/>
    <col min="8" max="9" width="17" style="15" hidden="1" customWidth="1"/>
    <col min="10" max="10" width="13.5703125" style="16" bestFit="1" customWidth="1"/>
    <col min="11" max="11" width="13.28515625" style="15" bestFit="1" customWidth="1"/>
    <col min="12" max="12" width="13.140625" style="17" bestFit="1" customWidth="1"/>
    <col min="13" max="13" width="11.5703125" style="17" bestFit="1" customWidth="1"/>
    <col min="14" max="14" width="9.140625" style="16" bestFit="1" customWidth="1"/>
    <col min="15" max="15" width="9.28515625" style="15" bestFit="1" customWidth="1"/>
    <col min="16" max="16" width="14.140625" bestFit="1" customWidth="1"/>
    <col min="17" max="17" width="13.85546875" style="15" bestFit="1" customWidth="1"/>
    <col min="18" max="18" width="14.85546875" style="17" customWidth="1"/>
    <col min="19" max="19" width="12.42578125" style="17" bestFit="1" customWidth="1"/>
    <col min="20" max="20" width="19.42578125" style="17" customWidth="1"/>
    <col min="21" max="21" width="11.140625" style="15" bestFit="1" customWidth="1"/>
    <col min="22" max="22" width="17.5703125" style="15" bestFit="1" customWidth="1"/>
    <col min="23" max="23" width="15.7109375" style="15" customWidth="1"/>
    <col min="24" max="24" width="14.7109375" style="15" bestFit="1" customWidth="1"/>
    <col min="25" max="25" width="10.42578125" style="15" hidden="1" customWidth="1"/>
    <col min="26" max="26" width="17" style="15" customWidth="1"/>
    <col min="27" max="28" width="8.42578125" style="15" hidden="1" customWidth="1"/>
    <col min="29" max="29" width="12.42578125" style="15" hidden="1" customWidth="1"/>
    <col min="30" max="30" width="22.42578125" style="15" bestFit="1" customWidth="1"/>
    <col min="31" max="16384" width="8.7109375" style="15"/>
  </cols>
  <sheetData>
    <row r="1" spans="1:30" ht="27.75" customHeight="1" x14ac:dyDescent="0.25">
      <c r="A1" s="57" t="s">
        <v>29</v>
      </c>
    </row>
    <row r="2" spans="1:30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Q2" s="376"/>
      <c r="R2" s="376"/>
      <c r="S2" s="376"/>
    </row>
    <row r="3" spans="1:30" ht="6" customHeight="1" thickBot="1" x14ac:dyDescent="0.3">
      <c r="K3" s="17"/>
      <c r="M3" s="15"/>
    </row>
    <row r="4" spans="1:30" ht="51" customHeight="1" thickBot="1" x14ac:dyDescent="0.25">
      <c r="A4" s="291" t="s">
        <v>30</v>
      </c>
      <c r="B4" s="377" t="s">
        <v>31</v>
      </c>
      <c r="C4" s="378" t="s">
        <v>32</v>
      </c>
      <c r="D4" s="384" t="s">
        <v>33</v>
      </c>
      <c r="E4" s="378" t="s">
        <v>34</v>
      </c>
      <c r="F4" s="385" t="s">
        <v>35</v>
      </c>
      <c r="G4" s="385" t="s">
        <v>36</v>
      </c>
      <c r="H4" s="378" t="s">
        <v>37</v>
      </c>
      <c r="I4" s="378" t="s">
        <v>38</v>
      </c>
      <c r="J4" s="384" t="s">
        <v>39</v>
      </c>
      <c r="K4" s="384" t="s">
        <v>40</v>
      </c>
      <c r="L4" s="384" t="s">
        <v>41</v>
      </c>
      <c r="M4" s="291" t="s">
        <v>42</v>
      </c>
      <c r="N4" s="290" t="s">
        <v>43</v>
      </c>
      <c r="O4" s="290" t="s">
        <v>44</v>
      </c>
      <c r="P4" s="290" t="s">
        <v>45</v>
      </c>
      <c r="Q4" s="384" t="s">
        <v>46</v>
      </c>
      <c r="R4" s="290" t="s">
        <v>47</v>
      </c>
      <c r="S4" s="290" t="s">
        <v>48</v>
      </c>
      <c r="T4" s="290" t="s">
        <v>49</v>
      </c>
      <c r="U4" s="290" t="s">
        <v>50</v>
      </c>
      <c r="V4" s="291" t="s">
        <v>51</v>
      </c>
      <c r="W4" s="291" t="s">
        <v>52</v>
      </c>
      <c r="X4" s="291" t="s">
        <v>53</v>
      </c>
      <c r="Y4" s="379" t="s">
        <v>54</v>
      </c>
      <c r="Z4" s="291" t="s">
        <v>55</v>
      </c>
      <c r="AA4" s="380" t="s">
        <v>56</v>
      </c>
      <c r="AB4" s="380" t="s">
        <v>57</v>
      </c>
      <c r="AC4" s="380" t="s">
        <v>58</v>
      </c>
      <c r="AD4" s="291" t="s">
        <v>59</v>
      </c>
    </row>
    <row r="5" spans="1:30" x14ac:dyDescent="0.25">
      <c r="A5" s="303" t="str">
        <f>Start!$D$7</f>
        <v>Anyland</v>
      </c>
      <c r="B5" s="48" t="str">
        <f>_xlfn.IFNA(VLOOKUP(A5,list!B:C,2,FALSE),"")</f>
        <v>ANY</v>
      </c>
      <c r="C5" s="48"/>
      <c r="D5" s="127" t="s">
        <v>60</v>
      </c>
      <c r="E5" s="48" t="str">
        <f>_xlfn.IFNA(VLOOKUP(Table3[[#This Row],[Product]], ProductListTbl[], 3, 0), "")</f>
        <v>BIBP., Ltd, Sinopharm</v>
      </c>
      <c r="F5" s="303" t="str">
        <f>_xlfn.IFNA(VLOOKUP(D5,ProductListTbl[],5,0),"")</f>
        <v>Sinopharm</v>
      </c>
      <c r="G5" s="303">
        <f>_xlfn.IFNA(VLOOKUP(D5,ProductListTbl[],6,0),"")</f>
        <v>5</v>
      </c>
      <c r="H5" s="130">
        <f>_xlfn.IFNA(VLOOKUP(D5,ProductListTbl[],7,0),"")</f>
        <v>12.3</v>
      </c>
      <c r="I5" s="130">
        <f>_xlfn.IFNA(VLOOKUP(D5,ProductListTbl[],8,0),"")</f>
        <v>15.66</v>
      </c>
      <c r="J5" s="386">
        <v>101010078</v>
      </c>
      <c r="K5" s="390">
        <v>44955</v>
      </c>
      <c r="L5" s="391">
        <v>150000</v>
      </c>
      <c r="M5" s="305">
        <f>IFERROR(Table3[[#This Row],[Quantity (doses)]]/Table3[[#This Row],[Doses per vial or syringe]],"")</f>
        <v>30000</v>
      </c>
      <c r="N5" s="127" t="s">
        <v>61</v>
      </c>
      <c r="O5" s="127" t="s">
        <v>62</v>
      </c>
      <c r="P5" s="381"/>
      <c r="Q5" s="389">
        <v>44276</v>
      </c>
      <c r="R5" s="127" t="s">
        <v>63</v>
      </c>
      <c r="S5" s="127"/>
      <c r="T5" s="127"/>
      <c r="U5" s="127"/>
      <c r="V5" s="305" t="str">
        <f>_xlfn.IFNA(VLOOKUP(D5,ProductListTbl[],9,0),"")</f>
        <v>2° C to 8° C</v>
      </c>
      <c r="W5" s="305">
        <f>IFERROR(Table3[[#This Row],[Storage space per secondary packaging (cm3)]]*Table3[[#This Row],[Quantity  (vials or syringes)]]/1000,"")</f>
        <v>369</v>
      </c>
      <c r="X5" s="305">
        <f>IFERROR(Table3[[#This Row],[Storage space per tertiary packaging (cm3)]]*Table3[[#This Row],[Quantity (doses)]]/1000,"")</f>
        <v>2349</v>
      </c>
      <c r="Y5" s="293">
        <f>IF(Table3[[#This Row],[Status]]="Ordered",(DATE(YEAR(P5),MONTH(P5),1)),IF(Table3[[#This Row],[Status]]="Received",(DATE(YEAR(Q5),MONTH(Q5),1)),""))</f>
        <v>44256</v>
      </c>
      <c r="Z5" s="304">
        <f>IFERROR(IF(K5&gt;0,((K5-Q5)/(365.25/12)),""),"")</f>
        <v>22.308008213552363</v>
      </c>
      <c r="AA5" s="48">
        <f t="shared" ref="AA5:AA68" si="0">IFERROR(IF(K5="","",MONTH(EOMONTH(K5,(DAY(K5)&gt;15)+0))),"")</f>
        <v>2</v>
      </c>
      <c r="AB5" s="48">
        <f t="shared" ref="AB5:AB68" si="1">IFERROR(IF(K5="","",IF(AND(MONTH(K5)=12,AA5=1),YEAR(K5)+1,YEAR(K5))),"")</f>
        <v>2023</v>
      </c>
      <c r="AC5" s="292">
        <f t="shared" ref="AC5:AC68" si="2">IF(OR(AA5="",AB5=""),"",DATE(AB5,AA5,1))</f>
        <v>44958</v>
      </c>
      <c r="AD5" s="48" t="str">
        <f>IF(Table3[[#This Row],[Actual Arrival date]]&gt;0,IF(Table3[[#This Row],[Expected arrival date]]&gt;0,Table3[[#This Row],[Actual Arrival date]]-Table3[[#This Row],[Expected arrival date]],""),"")</f>
        <v/>
      </c>
    </row>
    <row r="6" spans="1:30" x14ac:dyDescent="0.25">
      <c r="A6" s="303" t="str">
        <f>Start!$D$7</f>
        <v>Anyland</v>
      </c>
      <c r="B6" s="48" t="str">
        <f>_xlfn.IFNA(VLOOKUP(A6,list!B:C,2,FALSE),"")</f>
        <v>ANY</v>
      </c>
      <c r="C6" s="48"/>
      <c r="D6" s="127" t="s">
        <v>60</v>
      </c>
      <c r="E6" s="48" t="str">
        <f>_xlfn.IFNA(VLOOKUP(Table3[[#This Row],[Product]], ProductListTbl[], 3, 0), "")</f>
        <v>BIBP., Ltd, Sinopharm</v>
      </c>
      <c r="F6" s="303" t="str">
        <f>_xlfn.IFNA(VLOOKUP(D6,ProductListTbl[],5,0),"")</f>
        <v>Sinopharm</v>
      </c>
      <c r="G6" s="303">
        <f>_xlfn.IFNA(VLOOKUP(D6,ProductListTbl[],6,0),"")</f>
        <v>5</v>
      </c>
      <c r="H6" s="130">
        <f>_xlfn.IFNA(VLOOKUP(D6,ProductListTbl[],7,0),"")</f>
        <v>12.3</v>
      </c>
      <c r="I6" s="130">
        <f>_xlfn.IFNA(VLOOKUP(D6,ProductListTbl[],8,0),"")</f>
        <v>15.66</v>
      </c>
      <c r="J6" s="386">
        <v>101010062</v>
      </c>
      <c r="K6" s="390">
        <v>44952</v>
      </c>
      <c r="L6" s="387">
        <v>50000</v>
      </c>
      <c r="M6" s="305">
        <f>IFERROR(Table3[[#This Row],[Quantity (doses)]]/Table3[[#This Row],[Doses per vial or syringe]],"")</f>
        <v>10000</v>
      </c>
      <c r="N6" s="127" t="s">
        <v>61</v>
      </c>
      <c r="O6" s="127" t="s">
        <v>62</v>
      </c>
      <c r="P6" s="381"/>
      <c r="Q6" s="389">
        <v>44276</v>
      </c>
      <c r="R6" s="127" t="s">
        <v>64</v>
      </c>
      <c r="S6" s="127"/>
      <c r="T6" s="127"/>
      <c r="U6" s="127"/>
      <c r="V6" s="305" t="str">
        <f>_xlfn.IFNA(VLOOKUP(D6,ProductListTbl[],9,0),"")</f>
        <v>2° C to 8° C</v>
      </c>
      <c r="W6" s="305">
        <f>IFERROR(Table3[[#This Row],[Storage space per secondary packaging (cm3)]]*Table3[[#This Row],[Quantity  (vials or syringes)]]/1000,"")</f>
        <v>123</v>
      </c>
      <c r="X6" s="305">
        <f>IFERROR(Table3[[#This Row],[Storage space per tertiary packaging (cm3)]]*Table3[[#This Row],[Quantity (doses)]]/1000,"")</f>
        <v>783</v>
      </c>
      <c r="Y6" s="293">
        <f>IF(Table3[[#This Row],[Status]]="Ordered",(DATE(YEAR(P6),MONTH(P6),1)),IF(Table3[[#This Row],[Status]]="Received",(DATE(YEAR(Q6),MONTH(Q6),1)),""))</f>
        <v>44256</v>
      </c>
      <c r="Z6" s="304">
        <f t="shared" ref="Z6:Z68" si="3">IFERROR(IF(K6&gt;0,((K6-Q6)/(365.25/12)),""),"")</f>
        <v>22.209445585215605</v>
      </c>
      <c r="AA6" s="48">
        <f t="shared" si="0"/>
        <v>2</v>
      </c>
      <c r="AB6" s="48">
        <f t="shared" si="1"/>
        <v>2023</v>
      </c>
      <c r="AC6" s="292">
        <f t="shared" si="2"/>
        <v>44958</v>
      </c>
      <c r="AD6" s="48" t="str">
        <f>IF(Table3[[#This Row],[Actual Arrival date]]&gt;0,IF(Table3[[#This Row],[Expected arrival date]]&gt;0,Table3[[#This Row],[Actual Arrival date]]-Table3[[#This Row],[Expected arrival date]],""),"")</f>
        <v/>
      </c>
    </row>
    <row r="7" spans="1:30" x14ac:dyDescent="0.25">
      <c r="A7" s="303" t="str">
        <f>Start!$D$7</f>
        <v>Anyland</v>
      </c>
      <c r="B7" s="48" t="str">
        <f>_xlfn.IFNA(VLOOKUP(A7,list!B:C,2,FALSE),"")</f>
        <v>ANY</v>
      </c>
      <c r="C7" s="48"/>
      <c r="D7" s="127" t="s">
        <v>60</v>
      </c>
      <c r="E7" s="48" t="str">
        <f>_xlfn.IFNA(VLOOKUP(Table3[[#This Row],[Product]], ProductListTbl[], 3, 0), "")</f>
        <v>BIBP., Ltd, Sinopharm</v>
      </c>
      <c r="F7" s="303" t="str">
        <f>_xlfn.IFNA(VLOOKUP(D7,ProductListTbl[],5,0),"")</f>
        <v>Sinopharm</v>
      </c>
      <c r="G7" s="303">
        <f>_xlfn.IFNA(VLOOKUP(D7,ProductListTbl[],6,0),"")</f>
        <v>5</v>
      </c>
      <c r="H7" s="130">
        <f>_xlfn.IFNA(VLOOKUP(D7,ProductListTbl[],7,0),"")</f>
        <v>12.3</v>
      </c>
      <c r="I7" s="130">
        <f>_xlfn.IFNA(VLOOKUP(D7,ProductListTbl[],8,0),"")</f>
        <v>15.66</v>
      </c>
      <c r="J7" s="386">
        <v>101010063</v>
      </c>
      <c r="K7" s="390">
        <v>44952</v>
      </c>
      <c r="L7" s="387">
        <v>161303</v>
      </c>
      <c r="M7" s="305">
        <f>IFERROR(Table3[[#This Row],[Quantity (doses)]]/Table3[[#This Row],[Doses per vial or syringe]],"")</f>
        <v>32260.6</v>
      </c>
      <c r="N7" s="127" t="s">
        <v>61</v>
      </c>
      <c r="O7" s="127" t="s">
        <v>62</v>
      </c>
      <c r="P7" s="381"/>
      <c r="Q7" s="389">
        <v>44276</v>
      </c>
      <c r="R7" s="127" t="s">
        <v>63</v>
      </c>
      <c r="S7" s="127"/>
      <c r="T7" s="127"/>
      <c r="U7" s="127"/>
      <c r="V7" s="305" t="str">
        <f>_xlfn.IFNA(VLOOKUP(D7,ProductListTbl[],9,0),"")</f>
        <v>2° C to 8° C</v>
      </c>
      <c r="W7" s="305">
        <f>IFERROR(Table3[[#This Row],[Storage space per secondary packaging (cm3)]]*Table3[[#This Row],[Quantity  (vials or syringes)]]/1000,"")</f>
        <v>396.80538000000001</v>
      </c>
      <c r="X7" s="305">
        <f>IFERROR(Table3[[#This Row],[Storage space per tertiary packaging (cm3)]]*Table3[[#This Row],[Quantity (doses)]]/1000,"")</f>
        <v>2526.0049800000002</v>
      </c>
      <c r="Y7" s="293">
        <f>IF(Table3[[#This Row],[Status]]="Ordered",(DATE(YEAR(P7),MONTH(P7),1)),IF(Table3[[#This Row],[Status]]="Received",(DATE(YEAR(Q7),MONTH(Q7),1)),""))</f>
        <v>44256</v>
      </c>
      <c r="Z7" s="304">
        <f t="shared" si="3"/>
        <v>22.209445585215605</v>
      </c>
      <c r="AA7" s="48">
        <f t="shared" si="0"/>
        <v>2</v>
      </c>
      <c r="AB7" s="48">
        <f t="shared" si="1"/>
        <v>2023</v>
      </c>
      <c r="AC7" s="292">
        <f t="shared" si="2"/>
        <v>44958</v>
      </c>
      <c r="AD7" s="48" t="str">
        <f>IF(Table3[[#This Row],[Actual Arrival date]]&gt;0,IF(Table3[[#This Row],[Expected arrival date]]&gt;0,Table3[[#This Row],[Actual Arrival date]]-Table3[[#This Row],[Expected arrival date]],""),"")</f>
        <v/>
      </c>
    </row>
    <row r="8" spans="1:30" x14ac:dyDescent="0.25">
      <c r="A8" s="303" t="str">
        <f>Start!$D$7</f>
        <v>Anyland</v>
      </c>
      <c r="B8" s="48" t="str">
        <f>_xlfn.IFNA(VLOOKUP(A8,list!B:C,2,FALSE),"")</f>
        <v>ANY</v>
      </c>
      <c r="C8" s="48"/>
      <c r="D8" s="127" t="s">
        <v>60</v>
      </c>
      <c r="E8" s="48" t="str">
        <f>_xlfn.IFNA(VLOOKUP(Table3[[#This Row],[Product]], ProductListTbl[], 3, 0), "")</f>
        <v>BIBP., Ltd, Sinopharm</v>
      </c>
      <c r="F8" s="303" t="str">
        <f>_xlfn.IFNA(VLOOKUP(D8,ProductListTbl[],5,0),"")</f>
        <v>Sinopharm</v>
      </c>
      <c r="G8" s="303">
        <f>_xlfn.IFNA(VLOOKUP(D8,ProductListTbl[],6,0),"")</f>
        <v>5</v>
      </c>
      <c r="H8" s="130">
        <f>_xlfn.IFNA(VLOOKUP(D8,ProductListTbl[],7,0),"")</f>
        <v>12.3</v>
      </c>
      <c r="I8" s="130">
        <f>_xlfn.IFNA(VLOOKUP(D8,ProductListTbl[],8,0),"")</f>
        <v>15.66</v>
      </c>
      <c r="J8" s="388">
        <v>201020100</v>
      </c>
      <c r="K8" s="390">
        <v>44987</v>
      </c>
      <c r="L8" s="393">
        <v>38798</v>
      </c>
      <c r="M8" s="305">
        <f>IFERROR(Table3[[#This Row],[Quantity (doses)]]/Table3[[#This Row],[Doses per vial or syringe]],"")</f>
        <v>7759.6</v>
      </c>
      <c r="N8" s="127" t="s">
        <v>61</v>
      </c>
      <c r="O8" s="127" t="s">
        <v>62</v>
      </c>
      <c r="P8" s="381"/>
      <c r="Q8" s="389">
        <v>44278</v>
      </c>
      <c r="R8" s="127" t="s">
        <v>64</v>
      </c>
      <c r="S8" s="127"/>
      <c r="T8" s="127"/>
      <c r="U8" s="127"/>
      <c r="V8" s="305" t="str">
        <f>_xlfn.IFNA(VLOOKUP(D8,ProductListTbl[],9,0),"")</f>
        <v>2° C to 8° C</v>
      </c>
      <c r="W8" s="305">
        <f>IFERROR(Table3[[#This Row],[Storage space per secondary packaging (cm3)]]*Table3[[#This Row],[Quantity  (vials or syringes)]]/1000,"")</f>
        <v>95.443080000000023</v>
      </c>
      <c r="X8" s="305">
        <f>IFERROR(Table3[[#This Row],[Storage space per tertiary packaging (cm3)]]*Table3[[#This Row],[Quantity (doses)]]/1000,"")</f>
        <v>607.57668000000001</v>
      </c>
      <c r="Y8" s="293">
        <f>IF(Table3[[#This Row],[Status]]="Ordered",(DATE(YEAR(P8),MONTH(P8),1)),IF(Table3[[#This Row],[Status]]="Received",(DATE(YEAR(Q8),MONTH(Q8),1)),""))</f>
        <v>44256</v>
      </c>
      <c r="Z8" s="304">
        <f t="shared" si="3"/>
        <v>23.293634496919918</v>
      </c>
      <c r="AA8" s="48">
        <f t="shared" si="0"/>
        <v>3</v>
      </c>
      <c r="AB8" s="48">
        <f t="shared" si="1"/>
        <v>2023</v>
      </c>
      <c r="AC8" s="292">
        <f t="shared" si="2"/>
        <v>44986</v>
      </c>
      <c r="AD8" s="48" t="str">
        <f>IF(Table3[[#This Row],[Actual Arrival date]]&gt;0,IF(Table3[[#This Row],[Expected arrival date]]&gt;0,Table3[[#This Row],[Actual Arrival date]]-Table3[[#This Row],[Expected arrival date]],""),"")</f>
        <v/>
      </c>
    </row>
    <row r="9" spans="1:30" x14ac:dyDescent="0.25">
      <c r="A9" s="303" t="str">
        <f>Start!$D$7</f>
        <v>Anyland</v>
      </c>
      <c r="B9" s="48" t="str">
        <f>_xlfn.IFNA(VLOOKUP(A9,list!B:C,2,FALSE),"")</f>
        <v>ANY</v>
      </c>
      <c r="C9" s="48"/>
      <c r="D9" s="127" t="s">
        <v>65</v>
      </c>
      <c r="E9" s="48" t="str">
        <f>_xlfn.IFNA(VLOOKUP(Table3[[#This Row],[Product]], ProductListTbl[], 3, 0), "")</f>
        <v>AstraZeneca AB + University of Oxford - SK Bioscience</v>
      </c>
      <c r="F9" s="303" t="str">
        <f>_xlfn.IFNA(VLOOKUP(D9,ProductListTbl[],5,0),"")</f>
        <v>AstraZeneca</v>
      </c>
      <c r="G9" s="303">
        <f>_xlfn.IFNA(VLOOKUP(D9,ProductListTbl[],6,0),"")</f>
        <v>10</v>
      </c>
      <c r="H9" s="130">
        <f>_xlfn.IFNA(VLOOKUP(D9,ProductListTbl[],7,0),"")</f>
        <v>3.76</v>
      </c>
      <c r="I9" s="130">
        <f>_xlfn.IFNA(VLOOKUP(D9,ProductListTbl[],8,0),"")</f>
        <v>5.3567999999999998</v>
      </c>
      <c r="J9" s="388" t="s">
        <v>66</v>
      </c>
      <c r="K9" s="390">
        <v>44393</v>
      </c>
      <c r="L9" s="393">
        <v>35000</v>
      </c>
      <c r="M9" s="305">
        <f>IFERROR(Table3[[#This Row],[Quantity (doses)]]/Table3[[#This Row],[Doses per vial or syringe]],"")</f>
        <v>3500</v>
      </c>
      <c r="N9" s="127" t="s">
        <v>61</v>
      </c>
      <c r="O9" s="127" t="s">
        <v>62</v>
      </c>
      <c r="P9" s="381"/>
      <c r="Q9" s="389">
        <v>44284</v>
      </c>
      <c r="R9" s="127" t="s">
        <v>63</v>
      </c>
      <c r="S9" s="127"/>
      <c r="T9" s="127"/>
      <c r="U9" s="127"/>
      <c r="V9" s="305" t="str">
        <f>_xlfn.IFNA(VLOOKUP(D9,ProductListTbl[],9,0),"")</f>
        <v>2° C to 8° C</v>
      </c>
      <c r="W9" s="305">
        <f>IFERROR(Table3[[#This Row],[Storage space per secondary packaging (cm3)]]*Table3[[#This Row],[Quantity  (vials or syringes)]]/1000,"")</f>
        <v>13.16</v>
      </c>
      <c r="X9" s="305">
        <f>IFERROR(Table3[[#This Row],[Storage space per tertiary packaging (cm3)]]*Table3[[#This Row],[Quantity (doses)]]/1000,"")</f>
        <v>187.488</v>
      </c>
      <c r="Y9" s="293">
        <f>IF(Table3[[#This Row],[Status]]="Ordered",(DATE(YEAR(P9),MONTH(P9),1)),IF(Table3[[#This Row],[Status]]="Received",(DATE(YEAR(Q9),MONTH(Q9),1)),""))</f>
        <v>44256</v>
      </c>
      <c r="Z9" s="304">
        <f t="shared" si="3"/>
        <v>3.5811088295687883</v>
      </c>
      <c r="AA9" s="48">
        <f t="shared" si="0"/>
        <v>8</v>
      </c>
      <c r="AB9" s="48">
        <f t="shared" si="1"/>
        <v>2021</v>
      </c>
      <c r="AC9" s="292">
        <f t="shared" si="2"/>
        <v>44409</v>
      </c>
      <c r="AD9" s="48" t="str">
        <f>IF(Table3[[#This Row],[Actual Arrival date]]&gt;0,IF(Table3[[#This Row],[Expected arrival date]]&gt;0,Table3[[#This Row],[Actual Arrival date]]-Table3[[#This Row],[Expected arrival date]],""),"")</f>
        <v/>
      </c>
    </row>
    <row r="10" spans="1:30" x14ac:dyDescent="0.25">
      <c r="A10" s="303" t="str">
        <f>Start!$D$7</f>
        <v>Anyland</v>
      </c>
      <c r="B10" s="48" t="str">
        <f>_xlfn.IFNA(VLOOKUP(A10,list!B:C,2,FALSE),"")</f>
        <v>ANY</v>
      </c>
      <c r="C10" s="48"/>
      <c r="D10" s="127" t="s">
        <v>65</v>
      </c>
      <c r="E10" s="48" t="str">
        <f>_xlfn.IFNA(VLOOKUP(Table3[[#This Row],[Product]], ProductListTbl[], 3, 0), "")</f>
        <v>AstraZeneca AB + University of Oxford - SK Bioscience</v>
      </c>
      <c r="F10" s="303" t="str">
        <f>_xlfn.IFNA(VLOOKUP(D10,ProductListTbl[],5,0),"")</f>
        <v>AstraZeneca</v>
      </c>
      <c r="G10" s="303">
        <f>_xlfn.IFNA(VLOOKUP(D10,ProductListTbl[],6,0),"")</f>
        <v>10</v>
      </c>
      <c r="H10" s="130">
        <f>_xlfn.IFNA(VLOOKUP(D10,ProductListTbl[],7,0),"")</f>
        <v>3.76</v>
      </c>
      <c r="I10" s="130">
        <f>_xlfn.IFNA(VLOOKUP(D10,ProductListTbl[],8,0),"")</f>
        <v>5.3567999999999998</v>
      </c>
      <c r="J10" s="388" t="s">
        <v>67</v>
      </c>
      <c r="K10" s="390">
        <v>44406</v>
      </c>
      <c r="L10" s="393">
        <v>355300</v>
      </c>
      <c r="M10" s="305">
        <f>IFERROR(Table3[[#This Row],[Quantity (doses)]]/Table3[[#This Row],[Doses per vial or syringe]],"")</f>
        <v>35530</v>
      </c>
      <c r="N10" s="127" t="s">
        <v>61</v>
      </c>
      <c r="O10" s="127" t="s">
        <v>62</v>
      </c>
      <c r="P10" s="381"/>
      <c r="Q10" s="389">
        <v>44300</v>
      </c>
      <c r="R10" s="127" t="s">
        <v>64</v>
      </c>
      <c r="S10" s="127"/>
      <c r="T10" s="127"/>
      <c r="U10" s="127"/>
      <c r="V10" s="305" t="str">
        <f>_xlfn.IFNA(VLOOKUP(D10,ProductListTbl[],9,0),"")</f>
        <v>2° C to 8° C</v>
      </c>
      <c r="W10" s="305">
        <f>IFERROR(Table3[[#This Row],[Storage space per secondary packaging (cm3)]]*Table3[[#This Row],[Quantity  (vials or syringes)]]/1000,"")</f>
        <v>133.59279999999998</v>
      </c>
      <c r="X10" s="305">
        <f>IFERROR(Table3[[#This Row],[Storage space per tertiary packaging (cm3)]]*Table3[[#This Row],[Quantity (doses)]]/1000,"")</f>
        <v>1903.2710400000001</v>
      </c>
      <c r="Y10" s="293">
        <f>IF(Table3[[#This Row],[Status]]="Ordered",(DATE(YEAR(P10),MONTH(P10),1)),IF(Table3[[#This Row],[Status]]="Received",(DATE(YEAR(Q10),MONTH(Q10),1)),""))</f>
        <v>44287</v>
      </c>
      <c r="Z10" s="304">
        <f t="shared" si="3"/>
        <v>3.482546201232033</v>
      </c>
      <c r="AA10" s="48">
        <f t="shared" si="0"/>
        <v>8</v>
      </c>
      <c r="AB10" s="48">
        <f t="shared" si="1"/>
        <v>2021</v>
      </c>
      <c r="AC10" s="292">
        <f t="shared" si="2"/>
        <v>44409</v>
      </c>
      <c r="AD10" s="48" t="str">
        <f>IF(Table3[[#This Row],[Actual Arrival date]]&gt;0,IF(Table3[[#This Row],[Expected arrival date]]&gt;0,Table3[[#This Row],[Actual Arrival date]]-Table3[[#This Row],[Expected arrival date]],""),"")</f>
        <v/>
      </c>
    </row>
    <row r="11" spans="1:30" x14ac:dyDescent="0.25">
      <c r="A11" s="303" t="str">
        <f>Start!$D$7</f>
        <v>Anyland</v>
      </c>
      <c r="B11" s="48" t="str">
        <f>_xlfn.IFNA(VLOOKUP(A11,list!B:C,2,FALSE),"")</f>
        <v>ANY</v>
      </c>
      <c r="C11" s="48"/>
      <c r="D11" s="127" t="s">
        <v>68</v>
      </c>
      <c r="E11" s="48" t="str">
        <f>_xlfn.IFNA(VLOOKUP(Table3[[#This Row],[Product]], ProductListTbl[], 3, 0), "")</f>
        <v>Janssen</v>
      </c>
      <c r="F11" s="303" t="str">
        <f>_xlfn.IFNA(VLOOKUP(D11,ProductListTbl[],5,0),"")</f>
        <v>Jansen</v>
      </c>
      <c r="G11" s="303">
        <f>_xlfn.IFNA(VLOOKUP(D11,ProductListTbl[],6,0),"")</f>
        <v>5</v>
      </c>
      <c r="H11" s="130">
        <f>_xlfn.IFNA(VLOOKUP(D11,ProductListTbl[],7,0),"")</f>
        <v>3.82</v>
      </c>
      <c r="I11" s="130">
        <f>_xlfn.IFNA(VLOOKUP(D11,ProductListTbl[],8,0),"")</f>
        <v>5.3199100000000001</v>
      </c>
      <c r="J11" s="388" t="s">
        <v>69</v>
      </c>
      <c r="K11" s="390">
        <v>44526</v>
      </c>
      <c r="L11" s="393">
        <v>151300</v>
      </c>
      <c r="M11" s="305">
        <f>IFERROR(Table3[[#This Row],[Quantity (doses)]]/Table3[[#This Row],[Doses per vial or syringe]],"")</f>
        <v>30260</v>
      </c>
      <c r="N11" s="127" t="s">
        <v>61</v>
      </c>
      <c r="O11" s="127" t="s">
        <v>62</v>
      </c>
      <c r="P11" s="381"/>
      <c r="Q11" s="389">
        <v>44398</v>
      </c>
      <c r="R11" s="127" t="s">
        <v>63</v>
      </c>
      <c r="S11" s="127"/>
      <c r="T11" s="127"/>
      <c r="U11" s="127"/>
      <c r="V11" s="305" t="str">
        <f>_xlfn.IFNA(VLOOKUP(D11,ProductListTbl[],9,0),"")</f>
        <v>2° C to 8° C</v>
      </c>
      <c r="W11" s="305">
        <f>IFERROR(Table3[[#This Row],[Storage space per secondary packaging (cm3)]]*Table3[[#This Row],[Quantity  (vials or syringes)]]/1000,"")</f>
        <v>115.5932</v>
      </c>
      <c r="X11" s="305">
        <f>IFERROR(Table3[[#This Row],[Storage space per tertiary packaging (cm3)]]*Table3[[#This Row],[Quantity (doses)]]/1000,"")</f>
        <v>804.90238299999999</v>
      </c>
      <c r="Y11" s="293">
        <f>IF(Table3[[#This Row],[Status]]="Ordered",(DATE(YEAR(P11),MONTH(P11),1)),IF(Table3[[#This Row],[Status]]="Received",(DATE(YEAR(Q11),MONTH(Q11),1)),""))</f>
        <v>44378</v>
      </c>
      <c r="Z11" s="304">
        <f t="shared" si="3"/>
        <v>4.2053388090349078</v>
      </c>
      <c r="AA11" s="48">
        <f t="shared" si="0"/>
        <v>12</v>
      </c>
      <c r="AB11" s="48">
        <f t="shared" si="1"/>
        <v>2021</v>
      </c>
      <c r="AC11" s="292">
        <f t="shared" si="2"/>
        <v>44531</v>
      </c>
      <c r="AD11" s="48" t="str">
        <f>IF(Table3[[#This Row],[Actual Arrival date]]&gt;0,IF(Table3[[#This Row],[Expected arrival date]]&gt;0,Table3[[#This Row],[Actual Arrival date]]-Table3[[#This Row],[Expected arrival date]],""),"")</f>
        <v/>
      </c>
    </row>
    <row r="12" spans="1:30" x14ac:dyDescent="0.25">
      <c r="A12" s="303" t="str">
        <f>Start!$D$7</f>
        <v>Anyland</v>
      </c>
      <c r="B12" s="48" t="str">
        <f>_xlfn.IFNA(VLOOKUP(A12,list!B:C,2,FALSE),"")</f>
        <v>ANY</v>
      </c>
      <c r="C12" s="48"/>
      <c r="D12" s="127" t="s">
        <v>68</v>
      </c>
      <c r="E12" s="48" t="str">
        <f>_xlfn.IFNA(VLOOKUP(Table3[[#This Row],[Product]], ProductListTbl[], 3, 0), "")</f>
        <v>Janssen</v>
      </c>
      <c r="F12" s="303" t="str">
        <f>_xlfn.IFNA(VLOOKUP(D12,ProductListTbl[],5,0),"")</f>
        <v>Jansen</v>
      </c>
      <c r="G12" s="303">
        <f>_xlfn.IFNA(VLOOKUP(D12,ProductListTbl[],6,0),"")</f>
        <v>5</v>
      </c>
      <c r="H12" s="130">
        <f>_xlfn.IFNA(VLOOKUP(D12,ProductListTbl[],7,0),"")</f>
        <v>3.82</v>
      </c>
      <c r="I12" s="130">
        <f>_xlfn.IFNA(VLOOKUP(D12,ProductListTbl[],8,0),"")</f>
        <v>5.3199100000000001</v>
      </c>
      <c r="J12" s="388">
        <v>1822893</v>
      </c>
      <c r="K12" s="390">
        <v>44534</v>
      </c>
      <c r="L12" s="393">
        <v>144000</v>
      </c>
      <c r="M12" s="305">
        <f>IFERROR(Table3[[#This Row],[Quantity (doses)]]/Table3[[#This Row],[Doses per vial or syringe]],"")</f>
        <v>28800</v>
      </c>
      <c r="N12" s="127" t="s">
        <v>61</v>
      </c>
      <c r="O12" s="127" t="s">
        <v>62</v>
      </c>
      <c r="P12" s="381"/>
      <c r="Q12" s="390">
        <v>44406</v>
      </c>
      <c r="R12" s="127" t="s">
        <v>64</v>
      </c>
      <c r="S12" s="127"/>
      <c r="T12" s="127"/>
      <c r="U12" s="127"/>
      <c r="V12" s="305" t="str">
        <f>_xlfn.IFNA(VLOOKUP(D12,ProductListTbl[],9,0),"")</f>
        <v>2° C to 8° C</v>
      </c>
      <c r="W12" s="305">
        <f>IFERROR(Table3[[#This Row],[Storage space per secondary packaging (cm3)]]*Table3[[#This Row],[Quantity  (vials or syringes)]]/1000,"")</f>
        <v>110.01600000000001</v>
      </c>
      <c r="X12" s="305">
        <f>IFERROR(Table3[[#This Row],[Storage space per tertiary packaging (cm3)]]*Table3[[#This Row],[Quantity (doses)]]/1000,"")</f>
        <v>766.06704000000002</v>
      </c>
      <c r="Y12" s="293">
        <f>IF(Table3[[#This Row],[Status]]="Ordered",(DATE(YEAR(P12),MONTH(P12),1)),IF(Table3[[#This Row],[Status]]="Received",(DATE(YEAR(Q12),MONTH(Q12),1)),""))</f>
        <v>44378</v>
      </c>
      <c r="Z12" s="304">
        <f t="shared" si="3"/>
        <v>4.2053388090349078</v>
      </c>
      <c r="AA12" s="48">
        <f t="shared" si="0"/>
        <v>12</v>
      </c>
      <c r="AB12" s="48">
        <f t="shared" si="1"/>
        <v>2021</v>
      </c>
      <c r="AC12" s="292">
        <f t="shared" si="2"/>
        <v>44531</v>
      </c>
      <c r="AD12" s="48" t="str">
        <f>IF(Table3[[#This Row],[Actual Arrival date]]&gt;0,IF(Table3[[#This Row],[Expected arrival date]]&gt;0,Table3[[#This Row],[Actual Arrival date]]-Table3[[#This Row],[Expected arrival date]],""),"")</f>
        <v/>
      </c>
    </row>
    <row r="13" spans="1:30" x14ac:dyDescent="0.25">
      <c r="A13" s="303" t="str">
        <f>Start!$D$7</f>
        <v>Anyland</v>
      </c>
      <c r="B13" s="48" t="str">
        <f>_xlfn.IFNA(VLOOKUP(A13,list!B:C,2,FALSE),"")</f>
        <v>ANY</v>
      </c>
      <c r="C13" s="48"/>
      <c r="D13" s="127" t="s">
        <v>68</v>
      </c>
      <c r="E13" s="48" t="str">
        <f>_xlfn.IFNA(VLOOKUP(Table3[[#This Row],[Product]], ProductListTbl[], 3, 0), "")</f>
        <v>Janssen</v>
      </c>
      <c r="F13" s="303" t="str">
        <f>_xlfn.IFNA(VLOOKUP(D13,ProductListTbl[],5,0),"")</f>
        <v>Jansen</v>
      </c>
      <c r="G13" s="303">
        <f>_xlfn.IFNA(VLOOKUP(D13,ProductListTbl[],6,0),"")</f>
        <v>5</v>
      </c>
      <c r="H13" s="130">
        <f>_xlfn.IFNA(VLOOKUP(D13,ProductListTbl[],7,0),"")</f>
        <v>3.82</v>
      </c>
      <c r="I13" s="130">
        <f>_xlfn.IFNA(VLOOKUP(D13,ProductListTbl[],8,0),"")</f>
        <v>5.3199100000000001</v>
      </c>
      <c r="J13" s="388">
        <v>1822894</v>
      </c>
      <c r="K13" s="390">
        <v>44532</v>
      </c>
      <c r="L13" s="393">
        <v>7300</v>
      </c>
      <c r="M13" s="305">
        <f>IFERROR(Table3[[#This Row],[Quantity (doses)]]/Table3[[#This Row],[Doses per vial or syringe]],"")</f>
        <v>1460</v>
      </c>
      <c r="N13" s="127" t="s">
        <v>61</v>
      </c>
      <c r="O13" s="127" t="s">
        <v>62</v>
      </c>
      <c r="P13" s="381"/>
      <c r="Q13" s="390">
        <v>44406</v>
      </c>
      <c r="R13" s="127" t="s">
        <v>63</v>
      </c>
      <c r="S13" s="127"/>
      <c r="T13" s="127"/>
      <c r="U13" s="127"/>
      <c r="V13" s="305" t="str">
        <f>_xlfn.IFNA(VLOOKUP(D13,ProductListTbl[],9,0),"")</f>
        <v>2° C to 8° C</v>
      </c>
      <c r="W13" s="305">
        <f>IFERROR(Table3[[#This Row],[Storage space per secondary packaging (cm3)]]*Table3[[#This Row],[Quantity  (vials or syringes)]]/1000,"")</f>
        <v>5.5771999999999995</v>
      </c>
      <c r="X13" s="305">
        <f>IFERROR(Table3[[#This Row],[Storage space per tertiary packaging (cm3)]]*Table3[[#This Row],[Quantity (doses)]]/1000,"")</f>
        <v>38.835343000000002</v>
      </c>
      <c r="Y13" s="293">
        <f>IF(Table3[[#This Row],[Status]]="Ordered",(DATE(YEAR(P13),MONTH(P13),1)),IF(Table3[[#This Row],[Status]]="Received",(DATE(YEAR(Q13),MONTH(Q13),1)),""))</f>
        <v>44378</v>
      </c>
      <c r="Z13" s="304">
        <f t="shared" si="3"/>
        <v>4.1396303901437372</v>
      </c>
      <c r="AA13" s="48">
        <f t="shared" si="0"/>
        <v>12</v>
      </c>
      <c r="AB13" s="48">
        <f t="shared" si="1"/>
        <v>2021</v>
      </c>
      <c r="AC13" s="292">
        <f t="shared" si="2"/>
        <v>44531</v>
      </c>
      <c r="AD13" s="48" t="str">
        <f>IF(Table3[[#This Row],[Actual Arrival date]]&gt;0,IF(Table3[[#This Row],[Expected arrival date]]&gt;0,Table3[[#This Row],[Actual Arrival date]]-Table3[[#This Row],[Expected arrival date]],""),"")</f>
        <v/>
      </c>
    </row>
    <row r="14" spans="1:30" x14ac:dyDescent="0.25">
      <c r="A14" s="303" t="str">
        <f>Start!$D$7</f>
        <v>Anyland</v>
      </c>
      <c r="B14" s="48" t="str">
        <f>_xlfn.IFNA(VLOOKUP(A14,list!B:C,2,FALSE),"")</f>
        <v>ANY</v>
      </c>
      <c r="C14" s="48"/>
      <c r="D14" s="127" t="s">
        <v>65</v>
      </c>
      <c r="E14" s="48" t="str">
        <f>_xlfn.IFNA(VLOOKUP(Table3[[#This Row],[Product]], ProductListTbl[], 3, 0), "")</f>
        <v>AstraZeneca AB + University of Oxford - SK Bioscience</v>
      </c>
      <c r="F14" s="303" t="str">
        <f>_xlfn.IFNA(VLOOKUP(D14,ProductListTbl[],5,0),"")</f>
        <v>AstraZeneca</v>
      </c>
      <c r="G14" s="303">
        <f>_xlfn.IFNA(VLOOKUP(D14,ProductListTbl[],6,0),"")</f>
        <v>10</v>
      </c>
      <c r="H14" s="130">
        <f>_xlfn.IFNA(VLOOKUP(D14,ProductListTbl[],7,0),"")</f>
        <v>3.76</v>
      </c>
      <c r="I14" s="130">
        <f>_xlfn.IFNA(VLOOKUP(D14,ProductListTbl[],8,0),"")</f>
        <v>5.3567999999999998</v>
      </c>
      <c r="J14" s="388" t="s">
        <v>70</v>
      </c>
      <c r="K14" s="390">
        <v>44500</v>
      </c>
      <c r="L14" s="393">
        <v>100800</v>
      </c>
      <c r="M14" s="305">
        <f>IFERROR(Table3[[#This Row],[Quantity (doses)]]/Table3[[#This Row],[Doses per vial or syringe]],"")</f>
        <v>10080</v>
      </c>
      <c r="N14" s="127" t="s">
        <v>61</v>
      </c>
      <c r="O14" s="127" t="s">
        <v>62</v>
      </c>
      <c r="P14" s="381"/>
      <c r="Q14" s="390">
        <v>44441</v>
      </c>
      <c r="R14" s="127" t="s">
        <v>64</v>
      </c>
      <c r="S14" s="127"/>
      <c r="T14" s="127"/>
      <c r="U14" s="127"/>
      <c r="V14" s="305" t="str">
        <f>_xlfn.IFNA(VLOOKUP(D14,ProductListTbl[],9,0),"")</f>
        <v>2° C to 8° C</v>
      </c>
      <c r="W14" s="305">
        <f>IFERROR(Table3[[#This Row],[Storage space per secondary packaging (cm3)]]*Table3[[#This Row],[Quantity  (vials or syringes)]]/1000,"")</f>
        <v>37.900799999999997</v>
      </c>
      <c r="X14" s="305">
        <f>IFERROR(Table3[[#This Row],[Storage space per tertiary packaging (cm3)]]*Table3[[#This Row],[Quantity (doses)]]/1000,"")</f>
        <v>539.96543999999994</v>
      </c>
      <c r="Y14" s="293">
        <f>IF(Table3[[#This Row],[Status]]="Ordered",(DATE(YEAR(P14),MONTH(P14),1)),IF(Table3[[#This Row],[Status]]="Received",(DATE(YEAR(Q14),MONTH(Q14),1)),""))</f>
        <v>44440</v>
      </c>
      <c r="Z14" s="304">
        <f t="shared" si="3"/>
        <v>1.9383983572895278</v>
      </c>
      <c r="AA14" s="48">
        <f t="shared" si="0"/>
        <v>11</v>
      </c>
      <c r="AB14" s="48">
        <f t="shared" si="1"/>
        <v>2021</v>
      </c>
      <c r="AC14" s="292">
        <f t="shared" si="2"/>
        <v>44501</v>
      </c>
      <c r="AD14" s="48" t="str">
        <f>IF(Table3[[#This Row],[Actual Arrival date]]&gt;0,IF(Table3[[#This Row],[Expected arrival date]]&gt;0,Table3[[#This Row],[Actual Arrival date]]-Table3[[#This Row],[Expected arrival date]],""),"")</f>
        <v/>
      </c>
    </row>
    <row r="15" spans="1:30" x14ac:dyDescent="0.25">
      <c r="A15" s="303" t="str">
        <f>Start!$D$7</f>
        <v>Anyland</v>
      </c>
      <c r="B15" s="48" t="str">
        <f>_xlfn.IFNA(VLOOKUP(A15,list!B:C,2,FALSE),"")</f>
        <v>ANY</v>
      </c>
      <c r="C15" s="48"/>
      <c r="D15" s="127" t="s">
        <v>65</v>
      </c>
      <c r="E15" s="48" t="str">
        <f>_xlfn.IFNA(VLOOKUP(Table3[[#This Row],[Product]], ProductListTbl[], 3, 0), "")</f>
        <v>AstraZeneca AB + University of Oxford - SK Bioscience</v>
      </c>
      <c r="F15" s="303" t="str">
        <f>_xlfn.IFNA(VLOOKUP(D15,ProductListTbl[],5,0),"")</f>
        <v>AstraZeneca</v>
      </c>
      <c r="G15" s="303">
        <f>_xlfn.IFNA(VLOOKUP(D15,ProductListTbl[],6,0),"")</f>
        <v>10</v>
      </c>
      <c r="H15" s="130">
        <f>_xlfn.IFNA(VLOOKUP(D15,ProductListTbl[],7,0),"")</f>
        <v>3.76</v>
      </c>
      <c r="I15" s="130">
        <f>_xlfn.IFNA(VLOOKUP(D15,ProductListTbl[],8,0),"")</f>
        <v>5.3567999999999998</v>
      </c>
      <c r="J15" s="388" t="s">
        <v>71</v>
      </c>
      <c r="K15" s="390">
        <v>44500</v>
      </c>
      <c r="L15" s="393">
        <v>105600</v>
      </c>
      <c r="M15" s="305">
        <f>IFERROR(Table3[[#This Row],[Quantity (doses)]]/Table3[[#This Row],[Doses per vial or syringe]],"")</f>
        <v>10560</v>
      </c>
      <c r="N15" s="127" t="s">
        <v>61</v>
      </c>
      <c r="O15" s="127" t="s">
        <v>62</v>
      </c>
      <c r="P15" s="381"/>
      <c r="Q15" s="390">
        <v>44445</v>
      </c>
      <c r="R15" s="127" t="s">
        <v>63</v>
      </c>
      <c r="S15" s="127"/>
      <c r="T15" s="127"/>
      <c r="U15" s="127"/>
      <c r="V15" s="305" t="str">
        <f>_xlfn.IFNA(VLOOKUP(D15,ProductListTbl[],9,0),"")</f>
        <v>2° C to 8° C</v>
      </c>
      <c r="W15" s="305">
        <f>IFERROR(Table3[[#This Row],[Storage space per secondary packaging (cm3)]]*Table3[[#This Row],[Quantity  (vials or syringes)]]/1000,"")</f>
        <v>39.705599999999997</v>
      </c>
      <c r="X15" s="305">
        <f>IFERROR(Table3[[#This Row],[Storage space per tertiary packaging (cm3)]]*Table3[[#This Row],[Quantity (doses)]]/1000,"")</f>
        <v>565.67807999999991</v>
      </c>
      <c r="Y15" s="293">
        <f>IF(Table3[[#This Row],[Status]]="Ordered",(DATE(YEAR(P15),MONTH(P15),1)),IF(Table3[[#This Row],[Status]]="Received",(DATE(YEAR(Q15),MONTH(Q15),1)),""))</f>
        <v>44440</v>
      </c>
      <c r="Z15" s="304">
        <f t="shared" si="3"/>
        <v>1.8069815195071868</v>
      </c>
      <c r="AA15" s="48">
        <f t="shared" si="0"/>
        <v>11</v>
      </c>
      <c r="AB15" s="48">
        <f t="shared" si="1"/>
        <v>2021</v>
      </c>
      <c r="AC15" s="292">
        <f t="shared" si="2"/>
        <v>44501</v>
      </c>
      <c r="AD15" s="48" t="str">
        <f>IF(Table3[[#This Row],[Actual Arrival date]]&gt;0,IF(Table3[[#This Row],[Expected arrival date]]&gt;0,Table3[[#This Row],[Actual Arrival date]]-Table3[[#This Row],[Expected arrival date]],""),"")</f>
        <v/>
      </c>
    </row>
    <row r="16" spans="1:30" x14ac:dyDescent="0.25">
      <c r="A16" s="303" t="str">
        <f>Start!$D$7</f>
        <v>Anyland</v>
      </c>
      <c r="B16" s="48" t="str">
        <f>_xlfn.IFNA(VLOOKUP(A16,list!B:C,2,FALSE),"")</f>
        <v>ANY</v>
      </c>
      <c r="C16" s="48"/>
      <c r="D16" s="127" t="s">
        <v>60</v>
      </c>
      <c r="E16" s="48" t="str">
        <f>_xlfn.IFNA(VLOOKUP(Table3[[#This Row],[Product]], ProductListTbl[], 3, 0), "")</f>
        <v>BIBP., Ltd, Sinopharm</v>
      </c>
      <c r="F16" s="303" t="str">
        <f>_xlfn.IFNA(VLOOKUP(D16,ProductListTbl[],5,0),"")</f>
        <v>Sinopharm</v>
      </c>
      <c r="G16" s="303">
        <f>_xlfn.IFNA(VLOOKUP(D16,ProductListTbl[],6,0),"")</f>
        <v>5</v>
      </c>
      <c r="H16" s="130">
        <f>_xlfn.IFNA(VLOOKUP(D16,ProductListTbl[],7,0),"")</f>
        <v>12.3</v>
      </c>
      <c r="I16" s="130">
        <f>_xlfn.IFNA(VLOOKUP(D16,ProductListTbl[],8,0),"")</f>
        <v>15.66</v>
      </c>
      <c r="J16" s="388">
        <v>2021071645</v>
      </c>
      <c r="K16" s="390">
        <v>45108</v>
      </c>
      <c r="L16" s="393">
        <v>158166</v>
      </c>
      <c r="M16" s="305">
        <f>IFERROR(Table3[[#This Row],[Quantity (doses)]]/Table3[[#This Row],[Doses per vial or syringe]],"")</f>
        <v>31633.200000000001</v>
      </c>
      <c r="N16" s="127" t="s">
        <v>61</v>
      </c>
      <c r="O16" s="127" t="s">
        <v>62</v>
      </c>
      <c r="P16" s="381"/>
      <c r="Q16" s="390">
        <v>44473</v>
      </c>
      <c r="R16" s="127" t="s">
        <v>64</v>
      </c>
      <c r="S16" s="127"/>
      <c r="T16" s="127"/>
      <c r="U16" s="127"/>
      <c r="V16" s="305" t="str">
        <f>_xlfn.IFNA(VLOOKUP(D16,ProductListTbl[],9,0),"")</f>
        <v>2° C to 8° C</v>
      </c>
      <c r="W16" s="305">
        <f>IFERROR(Table3[[#This Row],[Storage space per secondary packaging (cm3)]]*Table3[[#This Row],[Quantity  (vials or syringes)]]/1000,"")</f>
        <v>389.08836000000002</v>
      </c>
      <c r="X16" s="305">
        <f>IFERROR(Table3[[#This Row],[Storage space per tertiary packaging (cm3)]]*Table3[[#This Row],[Quantity (doses)]]/1000,"")</f>
        <v>2476.8795599999999</v>
      </c>
      <c r="Y16" s="293">
        <f>IF(Table3[[#This Row],[Status]]="Ordered",(DATE(YEAR(P16),MONTH(P16),1)),IF(Table3[[#This Row],[Status]]="Received",(DATE(YEAR(Q16),MONTH(Q16),1)),""))</f>
        <v>44470</v>
      </c>
      <c r="Z16" s="304">
        <f t="shared" si="3"/>
        <v>20.862422997946613</v>
      </c>
      <c r="AA16" s="48">
        <f t="shared" si="0"/>
        <v>7</v>
      </c>
      <c r="AB16" s="48">
        <f t="shared" si="1"/>
        <v>2023</v>
      </c>
      <c r="AC16" s="292">
        <f t="shared" si="2"/>
        <v>45108</v>
      </c>
      <c r="AD16" s="48" t="str">
        <f>IF(Table3[[#This Row],[Actual Arrival date]]&gt;0,IF(Table3[[#This Row],[Expected arrival date]]&gt;0,Table3[[#This Row],[Actual Arrival date]]-Table3[[#This Row],[Expected arrival date]],""),"")</f>
        <v/>
      </c>
    </row>
    <row r="17" spans="1:30" x14ac:dyDescent="0.25">
      <c r="A17" s="303" t="str">
        <f>Start!$D$7</f>
        <v>Anyland</v>
      </c>
      <c r="B17" s="48" t="str">
        <f>_xlfn.IFNA(VLOOKUP(A17,list!B:C,2,FALSE),"")</f>
        <v>ANY</v>
      </c>
      <c r="C17" s="48"/>
      <c r="D17" s="127" t="s">
        <v>60</v>
      </c>
      <c r="E17" s="48" t="str">
        <f>_xlfn.IFNA(VLOOKUP(Table3[[#This Row],[Product]], ProductListTbl[], 3, 0), "")</f>
        <v>BIBP., Ltd, Sinopharm</v>
      </c>
      <c r="F17" s="303" t="str">
        <f>_xlfn.IFNA(VLOOKUP(D17,ProductListTbl[],5,0),"")</f>
        <v>Sinopharm</v>
      </c>
      <c r="G17" s="303">
        <f>_xlfn.IFNA(VLOOKUP(D17,ProductListTbl[],6,0),"")</f>
        <v>5</v>
      </c>
      <c r="H17" s="130">
        <f>_xlfn.IFNA(VLOOKUP(D17,ProductListTbl[],7,0),"")</f>
        <v>12.3</v>
      </c>
      <c r="I17" s="130">
        <f>_xlfn.IFNA(VLOOKUP(D17,ProductListTbl[],8,0),"")</f>
        <v>15.66</v>
      </c>
      <c r="J17" s="388">
        <v>2021071646</v>
      </c>
      <c r="K17" s="390">
        <v>45108</v>
      </c>
      <c r="L17" s="393">
        <v>86400</v>
      </c>
      <c r="M17" s="305">
        <f>IFERROR(Table3[[#This Row],[Quantity (doses)]]/Table3[[#This Row],[Doses per vial or syringe]],"")</f>
        <v>17280</v>
      </c>
      <c r="N17" s="127" t="s">
        <v>61</v>
      </c>
      <c r="O17" s="127" t="s">
        <v>62</v>
      </c>
      <c r="P17" s="381"/>
      <c r="Q17" s="390">
        <v>44473</v>
      </c>
      <c r="R17" s="127" t="s">
        <v>63</v>
      </c>
      <c r="S17" s="127"/>
      <c r="T17" s="127"/>
      <c r="U17" s="127"/>
      <c r="V17" s="305" t="str">
        <f>_xlfn.IFNA(VLOOKUP(D17,ProductListTbl[],9,0),"")</f>
        <v>2° C to 8° C</v>
      </c>
      <c r="W17" s="305">
        <f>IFERROR(Table3[[#This Row],[Storage space per secondary packaging (cm3)]]*Table3[[#This Row],[Quantity  (vials or syringes)]]/1000,"")</f>
        <v>212.54400000000001</v>
      </c>
      <c r="X17" s="305">
        <f>IFERROR(Table3[[#This Row],[Storage space per tertiary packaging (cm3)]]*Table3[[#This Row],[Quantity (doses)]]/1000,"")</f>
        <v>1353.0239999999999</v>
      </c>
      <c r="Y17" s="293">
        <f>IF(Table3[[#This Row],[Status]]="Ordered",(DATE(YEAR(P17),MONTH(P17),1)),IF(Table3[[#This Row],[Status]]="Received",(DATE(YEAR(Q17),MONTH(Q17),1)),""))</f>
        <v>44470</v>
      </c>
      <c r="Z17" s="304">
        <f t="shared" si="3"/>
        <v>20.862422997946613</v>
      </c>
      <c r="AA17" s="48">
        <f t="shared" si="0"/>
        <v>7</v>
      </c>
      <c r="AB17" s="48">
        <f t="shared" si="1"/>
        <v>2023</v>
      </c>
      <c r="AC17" s="292">
        <f t="shared" si="2"/>
        <v>45108</v>
      </c>
      <c r="AD17" s="48" t="str">
        <f>IF(Table3[[#This Row],[Actual Arrival date]]&gt;0,IF(Table3[[#This Row],[Expected arrival date]]&gt;0,Table3[[#This Row],[Actual Arrival date]]-Table3[[#This Row],[Expected arrival date]],""),"")</f>
        <v/>
      </c>
    </row>
    <row r="18" spans="1:30" x14ac:dyDescent="0.25">
      <c r="A18" s="303" t="str">
        <f>Start!$D$7</f>
        <v>Anyland</v>
      </c>
      <c r="B18" s="48" t="str">
        <f>_xlfn.IFNA(VLOOKUP(A18,list!B:C,2,FALSE),"")</f>
        <v>ANY</v>
      </c>
      <c r="C18" s="48"/>
      <c r="D18" s="127" t="s">
        <v>60</v>
      </c>
      <c r="E18" s="48" t="str">
        <f>_xlfn.IFNA(VLOOKUP(Table3[[#This Row],[Product]], ProductListTbl[], 3, 0), "")</f>
        <v>BIBP., Ltd, Sinopharm</v>
      </c>
      <c r="F18" s="303" t="str">
        <f>_xlfn.IFNA(VLOOKUP(D18,ProductListTbl[],5,0),"")</f>
        <v>Sinopharm</v>
      </c>
      <c r="G18" s="303">
        <f>_xlfn.IFNA(VLOOKUP(D18,ProductListTbl[],6,0),"")</f>
        <v>5</v>
      </c>
      <c r="H18" s="130">
        <f>_xlfn.IFNA(VLOOKUP(D18,ProductListTbl[],7,0),"")</f>
        <v>12.3</v>
      </c>
      <c r="I18" s="130">
        <f>_xlfn.IFNA(VLOOKUP(D18,ProductListTbl[],8,0),"")</f>
        <v>15.66</v>
      </c>
      <c r="J18" s="388">
        <v>2021071647</v>
      </c>
      <c r="K18" s="390">
        <v>45108</v>
      </c>
      <c r="L18" s="393">
        <v>75438</v>
      </c>
      <c r="M18" s="305">
        <f>IFERROR(Table3[[#This Row],[Quantity (doses)]]/Table3[[#This Row],[Doses per vial or syringe]],"")</f>
        <v>15087.6</v>
      </c>
      <c r="N18" s="127" t="s">
        <v>61</v>
      </c>
      <c r="O18" s="127" t="s">
        <v>62</v>
      </c>
      <c r="P18" s="381"/>
      <c r="Q18" s="390">
        <v>44474</v>
      </c>
      <c r="R18" s="127" t="s">
        <v>64</v>
      </c>
      <c r="S18" s="127"/>
      <c r="T18" s="127"/>
      <c r="U18" s="127"/>
      <c r="V18" s="305" t="str">
        <f>_xlfn.IFNA(VLOOKUP(D18,ProductListTbl[],9,0),"")</f>
        <v>2° C to 8° C</v>
      </c>
      <c r="W18" s="305">
        <f>IFERROR(Table3[[#This Row],[Storage space per secondary packaging (cm3)]]*Table3[[#This Row],[Quantity  (vials or syringes)]]/1000,"")</f>
        <v>185.57748000000001</v>
      </c>
      <c r="X18" s="305">
        <f>IFERROR(Table3[[#This Row],[Storage space per tertiary packaging (cm3)]]*Table3[[#This Row],[Quantity (doses)]]/1000,"")</f>
        <v>1181.3590800000002</v>
      </c>
      <c r="Y18" s="293">
        <f>IF(Table3[[#This Row],[Status]]="Ordered",(DATE(YEAR(P18),MONTH(P18),1)),IF(Table3[[#This Row],[Status]]="Received",(DATE(YEAR(Q18),MONTH(Q18),1)),""))</f>
        <v>44470</v>
      </c>
      <c r="Z18" s="304">
        <f t="shared" si="3"/>
        <v>20.829568788501028</v>
      </c>
      <c r="AA18" s="48">
        <f t="shared" si="0"/>
        <v>7</v>
      </c>
      <c r="AB18" s="48">
        <f t="shared" si="1"/>
        <v>2023</v>
      </c>
      <c r="AC18" s="292">
        <f t="shared" si="2"/>
        <v>45108</v>
      </c>
      <c r="AD18" s="48" t="str">
        <f>IF(Table3[[#This Row],[Actual Arrival date]]&gt;0,IF(Table3[[#This Row],[Expected arrival date]]&gt;0,Table3[[#This Row],[Actual Arrival date]]-Table3[[#This Row],[Expected arrival date]],""),"")</f>
        <v/>
      </c>
    </row>
    <row r="19" spans="1:30" x14ac:dyDescent="0.25">
      <c r="A19" s="303" t="str">
        <f>Start!$D$7</f>
        <v>Anyland</v>
      </c>
      <c r="B19" s="48" t="str">
        <f>_xlfn.IFNA(VLOOKUP(A19,list!B:C,2,FALSE),"")</f>
        <v>ANY</v>
      </c>
      <c r="C19" s="48"/>
      <c r="D19" s="127" t="s">
        <v>60</v>
      </c>
      <c r="E19" s="48" t="str">
        <f>_xlfn.IFNA(VLOOKUP(Table3[[#This Row],[Product]], ProductListTbl[], 3, 0), "")</f>
        <v>BIBP., Ltd, Sinopharm</v>
      </c>
      <c r="F19" s="303" t="str">
        <f>_xlfn.IFNA(VLOOKUP(D19,ProductListTbl[],5,0),"")</f>
        <v>Sinopharm</v>
      </c>
      <c r="G19" s="303">
        <f>_xlfn.IFNA(VLOOKUP(D19,ProductListTbl[],6,0),"")</f>
        <v>5</v>
      </c>
      <c r="H19" s="130">
        <f>_xlfn.IFNA(VLOOKUP(D19,ProductListTbl[],7,0),"")</f>
        <v>12.3</v>
      </c>
      <c r="I19" s="130">
        <f>_xlfn.IFNA(VLOOKUP(D19,ProductListTbl[],8,0),"")</f>
        <v>15.66</v>
      </c>
      <c r="J19" s="388">
        <v>2021071648</v>
      </c>
      <c r="K19" s="390">
        <v>45108</v>
      </c>
      <c r="L19" s="393">
        <v>161938</v>
      </c>
      <c r="M19" s="305">
        <f>IFERROR(Table3[[#This Row],[Quantity (doses)]]/Table3[[#This Row],[Doses per vial or syringe]],"")</f>
        <v>32387.599999999999</v>
      </c>
      <c r="N19" s="127" t="s">
        <v>61</v>
      </c>
      <c r="O19" s="127" t="s">
        <v>62</v>
      </c>
      <c r="P19" s="381"/>
      <c r="Q19" s="390">
        <v>44474</v>
      </c>
      <c r="R19" s="127" t="s">
        <v>63</v>
      </c>
      <c r="S19" s="127"/>
      <c r="T19" s="127"/>
      <c r="U19" s="127"/>
      <c r="V19" s="305" t="str">
        <f>_xlfn.IFNA(VLOOKUP(D19,ProductListTbl[],9,0),"")</f>
        <v>2° C to 8° C</v>
      </c>
      <c r="W19" s="305">
        <f>IFERROR(Table3[[#This Row],[Storage space per secondary packaging (cm3)]]*Table3[[#This Row],[Quantity  (vials or syringes)]]/1000,"")</f>
        <v>398.36748</v>
      </c>
      <c r="X19" s="305">
        <f>IFERROR(Table3[[#This Row],[Storage space per tertiary packaging (cm3)]]*Table3[[#This Row],[Quantity (doses)]]/1000,"")</f>
        <v>2535.9490799999999</v>
      </c>
      <c r="Y19" s="293">
        <f>IF(Table3[[#This Row],[Status]]="Ordered",(DATE(YEAR(P19),MONTH(P19),1)),IF(Table3[[#This Row],[Status]]="Received",(DATE(YEAR(Q19),MONTH(Q19),1)),""))</f>
        <v>44470</v>
      </c>
      <c r="Z19" s="304">
        <f t="shared" si="3"/>
        <v>20.829568788501028</v>
      </c>
      <c r="AA19" s="48">
        <f t="shared" si="0"/>
        <v>7</v>
      </c>
      <c r="AB19" s="48">
        <f t="shared" si="1"/>
        <v>2023</v>
      </c>
      <c r="AC19" s="292">
        <f t="shared" si="2"/>
        <v>45108</v>
      </c>
      <c r="AD19" s="48" t="str">
        <f>IF(Table3[[#This Row],[Actual Arrival date]]&gt;0,IF(Table3[[#This Row],[Expected arrival date]]&gt;0,Table3[[#This Row],[Actual Arrival date]]-Table3[[#This Row],[Expected arrival date]],""),"")</f>
        <v/>
      </c>
    </row>
    <row r="20" spans="1:30" x14ac:dyDescent="0.25">
      <c r="A20" s="303" t="str">
        <f>Start!$D$7</f>
        <v>Anyland</v>
      </c>
      <c r="B20" s="48" t="str">
        <f>_xlfn.IFNA(VLOOKUP(A20,list!B:C,2,FALSE),"")</f>
        <v>ANY</v>
      </c>
      <c r="C20" s="48"/>
      <c r="D20" s="127" t="s">
        <v>60</v>
      </c>
      <c r="E20" s="48" t="str">
        <f>_xlfn.IFNA(VLOOKUP(Table3[[#This Row],[Product]], ProductListTbl[], 3, 0), "")</f>
        <v>BIBP., Ltd, Sinopharm</v>
      </c>
      <c r="F20" s="303" t="str">
        <f>_xlfn.IFNA(VLOOKUP(D20,ProductListTbl[],5,0),"")</f>
        <v>Sinopharm</v>
      </c>
      <c r="G20" s="303">
        <f>_xlfn.IFNA(VLOOKUP(D20,ProductListTbl[],6,0),"")</f>
        <v>5</v>
      </c>
      <c r="H20" s="130">
        <f>_xlfn.IFNA(VLOOKUP(D20,ProductListTbl[],7,0),"")</f>
        <v>12.3</v>
      </c>
      <c r="I20" s="130">
        <f>_xlfn.IFNA(VLOOKUP(D20,ProductListTbl[],8,0),"")</f>
        <v>15.66</v>
      </c>
      <c r="J20" s="388">
        <v>2021071649</v>
      </c>
      <c r="K20" s="390">
        <v>45108</v>
      </c>
      <c r="L20" s="393">
        <v>7300</v>
      </c>
      <c r="M20" s="305">
        <f>IFERROR(Table3[[#This Row],[Quantity (doses)]]/Table3[[#This Row],[Doses per vial or syringe]],"")</f>
        <v>1460</v>
      </c>
      <c r="N20" s="127" t="s">
        <v>61</v>
      </c>
      <c r="O20" s="127" t="s">
        <v>62</v>
      </c>
      <c r="P20" s="381"/>
      <c r="Q20" s="390">
        <v>44474</v>
      </c>
      <c r="R20" s="127" t="s">
        <v>64</v>
      </c>
      <c r="S20" s="127"/>
      <c r="T20" s="127"/>
      <c r="U20" s="127"/>
      <c r="V20" s="305" t="str">
        <f>_xlfn.IFNA(VLOOKUP(D20,ProductListTbl[],9,0),"")</f>
        <v>2° C to 8° C</v>
      </c>
      <c r="W20" s="305">
        <f>IFERROR(Table3[[#This Row],[Storage space per secondary packaging (cm3)]]*Table3[[#This Row],[Quantity  (vials or syringes)]]/1000,"")</f>
        <v>17.957999999999998</v>
      </c>
      <c r="X20" s="305">
        <f>IFERROR(Table3[[#This Row],[Storage space per tertiary packaging (cm3)]]*Table3[[#This Row],[Quantity (doses)]]/1000,"")</f>
        <v>114.318</v>
      </c>
      <c r="Y20" s="293">
        <f>IF(Table3[[#This Row],[Status]]="Ordered",(DATE(YEAR(P20),MONTH(P20),1)),IF(Table3[[#This Row],[Status]]="Received",(DATE(YEAR(Q20),MONTH(Q20),1)),""))</f>
        <v>44470</v>
      </c>
      <c r="Z20" s="304">
        <f t="shared" si="3"/>
        <v>20.829568788501028</v>
      </c>
      <c r="AA20" s="48">
        <f t="shared" si="0"/>
        <v>7</v>
      </c>
      <c r="AB20" s="48">
        <f t="shared" si="1"/>
        <v>2023</v>
      </c>
      <c r="AC20" s="292">
        <f t="shared" si="2"/>
        <v>45108</v>
      </c>
      <c r="AD20" s="48" t="str">
        <f>IF(Table3[[#This Row],[Actual Arrival date]]&gt;0,IF(Table3[[#This Row],[Expected arrival date]]&gt;0,Table3[[#This Row],[Actual Arrival date]]-Table3[[#This Row],[Expected arrival date]],""),"")</f>
        <v/>
      </c>
    </row>
    <row r="21" spans="1:30" x14ac:dyDescent="0.25">
      <c r="A21" s="303" t="str">
        <f>Start!$D$7</f>
        <v>Anyland</v>
      </c>
      <c r="B21" s="48" t="str">
        <f>_xlfn.IFNA(VLOOKUP(A21,list!B:C,2,FALSE),"")</f>
        <v>ANY</v>
      </c>
      <c r="C21" s="48"/>
      <c r="D21" s="127" t="s">
        <v>60</v>
      </c>
      <c r="E21" s="48" t="str">
        <f>_xlfn.IFNA(VLOOKUP(Table3[[#This Row],[Product]], ProductListTbl[], 3, 0), "")</f>
        <v>BIBP., Ltd, Sinopharm</v>
      </c>
      <c r="F21" s="303" t="str">
        <f>_xlfn.IFNA(VLOOKUP(D21,ProductListTbl[],5,0),"")</f>
        <v>Sinopharm</v>
      </c>
      <c r="G21" s="303">
        <f>_xlfn.IFNA(VLOOKUP(D21,ProductListTbl[],6,0),"")</f>
        <v>5</v>
      </c>
      <c r="H21" s="130">
        <f>_xlfn.IFNA(VLOOKUP(D21,ProductListTbl[],7,0),"")</f>
        <v>12.3</v>
      </c>
      <c r="I21" s="130">
        <f>_xlfn.IFNA(VLOOKUP(D21,ProductListTbl[],8,0),"")</f>
        <v>15.66</v>
      </c>
      <c r="J21" s="388">
        <v>2021071650</v>
      </c>
      <c r="K21" s="390">
        <v>45108</v>
      </c>
      <c r="L21" s="393">
        <v>154308</v>
      </c>
      <c r="M21" s="305">
        <f>IFERROR(Table3[[#This Row],[Quantity (doses)]]/Table3[[#This Row],[Doses per vial or syringe]],"")</f>
        <v>30861.599999999999</v>
      </c>
      <c r="N21" s="127" t="s">
        <v>61</v>
      </c>
      <c r="O21" s="127" t="s">
        <v>62</v>
      </c>
      <c r="P21" s="129"/>
      <c r="Q21" s="390">
        <v>44490</v>
      </c>
      <c r="R21" s="127" t="s">
        <v>63</v>
      </c>
      <c r="S21" s="127"/>
      <c r="T21" s="127"/>
      <c r="U21" s="127"/>
      <c r="V21" s="305" t="str">
        <f>_xlfn.IFNA(VLOOKUP(D21,ProductListTbl[],9,0),"")</f>
        <v>2° C to 8° C</v>
      </c>
      <c r="W21" s="305">
        <f>IFERROR(Table3[[#This Row],[Storage space per secondary packaging (cm3)]]*Table3[[#This Row],[Quantity  (vials or syringes)]]/1000,"")</f>
        <v>379.59767999999997</v>
      </c>
      <c r="X21" s="305">
        <f>IFERROR(Table3[[#This Row],[Storage space per tertiary packaging (cm3)]]*Table3[[#This Row],[Quantity (doses)]]/1000,"")</f>
        <v>2416.4632799999999</v>
      </c>
      <c r="Y21" s="293">
        <f>IF(Table3[[#This Row],[Status]]="Ordered",(DATE(YEAR(P21),MONTH(P21),1)),IF(Table3[[#This Row],[Status]]="Received",(DATE(YEAR(Q21),MONTH(Q21),1)),""))</f>
        <v>44470</v>
      </c>
      <c r="Z21" s="304">
        <f t="shared" si="3"/>
        <v>20.303901437371664</v>
      </c>
      <c r="AA21" s="48">
        <f t="shared" si="0"/>
        <v>7</v>
      </c>
      <c r="AB21" s="48">
        <f t="shared" si="1"/>
        <v>2023</v>
      </c>
      <c r="AC21" s="292">
        <f t="shared" si="2"/>
        <v>45108</v>
      </c>
      <c r="AD21" s="48" t="str">
        <f>IF(Table3[[#This Row],[Actual Arrival date]]&gt;0,IF(Table3[[#This Row],[Expected arrival date]]&gt;0,Table3[[#This Row],[Actual Arrival date]]-Table3[[#This Row],[Expected arrival date]],""),"")</f>
        <v/>
      </c>
    </row>
    <row r="22" spans="1:30" x14ac:dyDescent="0.25">
      <c r="A22" s="303" t="str">
        <f>Start!$D$7</f>
        <v>Anyland</v>
      </c>
      <c r="B22" s="48" t="str">
        <f>_xlfn.IFNA(VLOOKUP(A22,list!B:C,2,FALSE),"")</f>
        <v>ANY</v>
      </c>
      <c r="C22" s="48"/>
      <c r="D22" s="127" t="s">
        <v>60</v>
      </c>
      <c r="E22" s="48" t="str">
        <f>_xlfn.IFNA(VLOOKUP(Table3[[#This Row],[Product]], ProductListTbl[], 3, 0), "")</f>
        <v>BIBP., Ltd, Sinopharm</v>
      </c>
      <c r="F22" s="303" t="str">
        <f>_xlfn.IFNA(VLOOKUP(D22,ProductListTbl[],5,0),"")</f>
        <v>Sinopharm</v>
      </c>
      <c r="G22" s="303">
        <f>_xlfn.IFNA(VLOOKUP(D22,ProductListTbl[],6,0),"")</f>
        <v>5</v>
      </c>
      <c r="H22" s="130">
        <f>_xlfn.IFNA(VLOOKUP(D22,ProductListTbl[],7,0),"")</f>
        <v>12.3</v>
      </c>
      <c r="I22" s="130">
        <f>_xlfn.IFNA(VLOOKUP(D22,ProductListTbl[],8,0),"")</f>
        <v>15.66</v>
      </c>
      <c r="J22" s="388">
        <v>2021071651</v>
      </c>
      <c r="K22" s="390">
        <v>45108</v>
      </c>
      <c r="L22" s="392">
        <v>80160</v>
      </c>
      <c r="M22" s="305">
        <f>IFERROR(Table3[[#This Row],[Quantity (doses)]]/Table3[[#This Row],[Doses per vial or syringe]],"")</f>
        <v>16032</v>
      </c>
      <c r="N22" s="127" t="s">
        <v>61</v>
      </c>
      <c r="O22" s="127" t="s">
        <v>62</v>
      </c>
      <c r="P22" s="381"/>
      <c r="Q22" s="390">
        <v>44490</v>
      </c>
      <c r="R22" s="127" t="s">
        <v>64</v>
      </c>
      <c r="S22" s="127"/>
      <c r="T22" s="127"/>
      <c r="U22" s="127"/>
      <c r="V22" s="305" t="str">
        <f>_xlfn.IFNA(VLOOKUP(D22,ProductListTbl[],9,0),"")</f>
        <v>2° C to 8° C</v>
      </c>
      <c r="W22" s="305">
        <f>IFERROR(Table3[[#This Row],[Storage space per secondary packaging (cm3)]]*Table3[[#This Row],[Quantity  (vials or syringes)]]/1000,"")</f>
        <v>197.1936</v>
      </c>
      <c r="X22" s="305">
        <f>IFERROR(Table3[[#This Row],[Storage space per tertiary packaging (cm3)]]*Table3[[#This Row],[Quantity (doses)]]/1000,"")</f>
        <v>1255.3056000000001</v>
      </c>
      <c r="Y22" s="293">
        <f>IF(Table3[[#This Row],[Status]]="Ordered",(DATE(YEAR(P22),MONTH(P22),1)),IF(Table3[[#This Row],[Status]]="Received",(DATE(YEAR(Q22),MONTH(Q22),1)),""))</f>
        <v>44470</v>
      </c>
      <c r="Z22" s="304">
        <f t="shared" si="3"/>
        <v>20.303901437371664</v>
      </c>
      <c r="AA22" s="48">
        <f t="shared" si="0"/>
        <v>7</v>
      </c>
      <c r="AB22" s="48">
        <f t="shared" si="1"/>
        <v>2023</v>
      </c>
      <c r="AC22" s="292">
        <f t="shared" si="2"/>
        <v>45108</v>
      </c>
      <c r="AD22" s="48" t="str">
        <f>IF(Table3[[#This Row],[Actual Arrival date]]&gt;0,IF(Table3[[#This Row],[Expected arrival date]]&gt;0,Table3[[#This Row],[Actual Arrival date]]-Table3[[#This Row],[Expected arrival date]],""),"")</f>
        <v/>
      </c>
    </row>
    <row r="23" spans="1:30" x14ac:dyDescent="0.25">
      <c r="A23" s="303" t="str">
        <f>Start!$D$7</f>
        <v>Anyland</v>
      </c>
      <c r="B23" s="48" t="str">
        <f>_xlfn.IFNA(VLOOKUP(A23,list!B:C,2,FALSE),"")</f>
        <v>ANY</v>
      </c>
      <c r="C23" s="48"/>
      <c r="D23" s="127" t="s">
        <v>68</v>
      </c>
      <c r="E23" s="48" t="str">
        <f>_xlfn.IFNA(VLOOKUP(Table3[[#This Row],[Product]], ProductListTbl[], 3, 0), "")</f>
        <v>Janssen</v>
      </c>
      <c r="F23" s="303" t="str">
        <f>_xlfn.IFNA(VLOOKUP(D23,ProductListTbl[],5,0),"")</f>
        <v>Jansen</v>
      </c>
      <c r="G23" s="303">
        <f>_xlfn.IFNA(VLOOKUP(D23,ProductListTbl[],6,0),"")</f>
        <v>5</v>
      </c>
      <c r="H23" s="130">
        <f>_xlfn.IFNA(VLOOKUP(D23,ProductListTbl[],7,0),"")</f>
        <v>3.82</v>
      </c>
      <c r="I23" s="130">
        <f>_xlfn.IFNA(VLOOKUP(D23,ProductListTbl[],8,0),"")</f>
        <v>5.3199100000000001</v>
      </c>
      <c r="J23" s="388" t="s">
        <v>72</v>
      </c>
      <c r="K23" s="390">
        <v>44683</v>
      </c>
      <c r="L23" s="392">
        <v>336000</v>
      </c>
      <c r="M23" s="305">
        <f>IFERROR(Table3[[#This Row],[Quantity (doses)]]/Table3[[#This Row],[Doses per vial or syringe]],"")</f>
        <v>67200</v>
      </c>
      <c r="N23" s="127" t="s">
        <v>61</v>
      </c>
      <c r="O23" s="127" t="s">
        <v>62</v>
      </c>
      <c r="P23" s="381"/>
      <c r="Q23" s="390">
        <v>44510</v>
      </c>
      <c r="R23" s="127" t="s">
        <v>63</v>
      </c>
      <c r="S23" s="127"/>
      <c r="T23" s="127"/>
      <c r="U23" s="127"/>
      <c r="V23" s="305" t="str">
        <f>_xlfn.IFNA(VLOOKUP(D23,ProductListTbl[],9,0),"")</f>
        <v>2° C to 8° C</v>
      </c>
      <c r="W23" s="305">
        <f>IFERROR(Table3[[#This Row],[Storage space per secondary packaging (cm3)]]*Table3[[#This Row],[Quantity  (vials or syringes)]]/1000,"")</f>
        <v>256.70400000000001</v>
      </c>
      <c r="X23" s="305">
        <f>IFERROR(Table3[[#This Row],[Storage space per tertiary packaging (cm3)]]*Table3[[#This Row],[Quantity (doses)]]/1000,"")</f>
        <v>1787.4897599999999</v>
      </c>
      <c r="Y23" s="293">
        <f>IF(Table3[[#This Row],[Status]]="Ordered",(DATE(YEAR(P23),MONTH(P23),1)),IF(Table3[[#This Row],[Status]]="Received",(DATE(YEAR(Q23),MONTH(Q23),1)),""))</f>
        <v>44501</v>
      </c>
      <c r="Z23" s="304">
        <f t="shared" si="3"/>
        <v>5.6837782340862422</v>
      </c>
      <c r="AA23" s="48">
        <f t="shared" si="0"/>
        <v>5</v>
      </c>
      <c r="AB23" s="48">
        <f t="shared" si="1"/>
        <v>2022</v>
      </c>
      <c r="AC23" s="292">
        <f t="shared" si="2"/>
        <v>44682</v>
      </c>
      <c r="AD23" s="48" t="str">
        <f>IF(Table3[[#This Row],[Actual Arrival date]]&gt;0,IF(Table3[[#This Row],[Expected arrival date]]&gt;0,Table3[[#This Row],[Actual Arrival date]]-Table3[[#This Row],[Expected arrival date]],""),"")</f>
        <v/>
      </c>
    </row>
    <row r="24" spans="1:30" s="32" customFormat="1" x14ac:dyDescent="0.25">
      <c r="A24" s="303" t="str">
        <f>Start!$D$7</f>
        <v>Anyland</v>
      </c>
      <c r="B24" s="48" t="str">
        <f>_xlfn.IFNA(VLOOKUP(A24,list!B:C,2,FALSE),"")</f>
        <v>ANY</v>
      </c>
      <c r="C24" s="48"/>
      <c r="D24" s="127" t="s">
        <v>68</v>
      </c>
      <c r="E24" s="48" t="str">
        <f>_xlfn.IFNA(VLOOKUP(Table3[[#This Row],[Product]], ProductListTbl[], 3, 0), "")</f>
        <v>Janssen</v>
      </c>
      <c r="F24" s="303" t="str">
        <f>_xlfn.IFNA(VLOOKUP(D24,ProductListTbl[],5,0),"")</f>
        <v>Jansen</v>
      </c>
      <c r="G24" s="303">
        <f>_xlfn.IFNA(VLOOKUP(D24,ProductListTbl[],6,0),"")</f>
        <v>5</v>
      </c>
      <c r="H24" s="130">
        <f>_xlfn.IFNA(VLOOKUP(D24,ProductListTbl[],7,0),"")</f>
        <v>3.82</v>
      </c>
      <c r="I24" s="130">
        <f>_xlfn.IFNA(VLOOKUP(D24,ProductListTbl[],8,0),"")</f>
        <v>5.3199100000000001</v>
      </c>
      <c r="J24" s="388" t="s">
        <v>73</v>
      </c>
      <c r="K24" s="390">
        <v>45169</v>
      </c>
      <c r="L24" s="392">
        <v>496800</v>
      </c>
      <c r="M24" s="305">
        <f>IFERROR(Table3[[#This Row],[Quantity (doses)]]/Table3[[#This Row],[Doses per vial or syringe]],"")</f>
        <v>99360</v>
      </c>
      <c r="N24" s="127" t="s">
        <v>61</v>
      </c>
      <c r="O24" s="127" t="s">
        <v>62</v>
      </c>
      <c r="P24" s="129"/>
      <c r="Q24" s="390">
        <v>44522</v>
      </c>
      <c r="R24" s="127" t="s">
        <v>64</v>
      </c>
      <c r="S24" s="127"/>
      <c r="T24" s="127"/>
      <c r="U24" s="127"/>
      <c r="V24" s="305" t="str">
        <f>_xlfn.IFNA(VLOOKUP(D24,ProductListTbl[],9,0),"")</f>
        <v>2° C to 8° C</v>
      </c>
      <c r="W24" s="305">
        <f>IFERROR(Table3[[#This Row],[Storage space per secondary packaging (cm3)]]*Table3[[#This Row],[Quantity  (vials or syringes)]]/1000,"")</f>
        <v>379.55520000000001</v>
      </c>
      <c r="X24" s="305">
        <f>IFERROR(Table3[[#This Row],[Storage space per tertiary packaging (cm3)]]*Table3[[#This Row],[Quantity (doses)]]/1000,"")</f>
        <v>2642.9312880000002</v>
      </c>
      <c r="Y24" s="293">
        <f>IF(Table3[[#This Row],[Status]]="Ordered",(DATE(YEAR(P24),MONTH(P24),1)),IF(Table3[[#This Row],[Status]]="Received",(DATE(YEAR(Q24),MONTH(Q24),1)),""))</f>
        <v>44501</v>
      </c>
      <c r="Z24" s="304">
        <f t="shared" si="3"/>
        <v>21.256673511293634</v>
      </c>
      <c r="AA24" s="48">
        <f t="shared" si="0"/>
        <v>9</v>
      </c>
      <c r="AB24" s="48">
        <f t="shared" si="1"/>
        <v>2023</v>
      </c>
      <c r="AC24" s="292">
        <f t="shared" si="2"/>
        <v>45170</v>
      </c>
      <c r="AD24" s="75" t="str">
        <f>IF(Table3[[#This Row],[Actual Arrival date]]&gt;0,IF(Table3[[#This Row],[Expected arrival date]]&gt;0,Table3[[#This Row],[Actual Arrival date]]-Table3[[#This Row],[Expected arrival date]],""),"")</f>
        <v/>
      </c>
    </row>
    <row r="25" spans="1:30" x14ac:dyDescent="0.25">
      <c r="A25" s="303" t="str">
        <f>Start!$D$7</f>
        <v>Anyland</v>
      </c>
      <c r="B25" s="48" t="str">
        <f>_xlfn.IFNA(VLOOKUP(A25,list!B:C,2,FALSE),"")</f>
        <v>ANY</v>
      </c>
      <c r="C25" s="48"/>
      <c r="D25" s="127" t="s">
        <v>60</v>
      </c>
      <c r="E25" s="48" t="str">
        <f>_xlfn.IFNA(VLOOKUP(Table3[[#This Row],[Product]], ProductListTbl[], 3, 0), "")</f>
        <v>BIBP., Ltd, Sinopharm</v>
      </c>
      <c r="F25" s="303" t="str">
        <f>_xlfn.IFNA(VLOOKUP(D25,ProductListTbl[],5,0),"")</f>
        <v>Sinopharm</v>
      </c>
      <c r="G25" s="303">
        <f>_xlfn.IFNA(VLOOKUP(D25,ProductListTbl[],6,0),"")</f>
        <v>5</v>
      </c>
      <c r="H25" s="130">
        <f>_xlfn.IFNA(VLOOKUP(D25,ProductListTbl[],7,0),"")</f>
        <v>12.3</v>
      </c>
      <c r="I25" s="130">
        <f>_xlfn.IFNA(VLOOKUP(D25,ProductListTbl[],8,0),"")</f>
        <v>15.66</v>
      </c>
      <c r="J25" s="388">
        <v>2054382587</v>
      </c>
      <c r="K25" s="390">
        <v>45159</v>
      </c>
      <c r="L25" s="392">
        <v>79743</v>
      </c>
      <c r="M25" s="305">
        <f>IFERROR(Table3[[#This Row],[Quantity (doses)]]/Table3[[#This Row],[Doses per vial or syringe]],"")</f>
        <v>15948.6</v>
      </c>
      <c r="N25" s="127" t="s">
        <v>61</v>
      </c>
      <c r="O25" s="127" t="s">
        <v>62</v>
      </c>
      <c r="P25" s="129"/>
      <c r="Q25" s="390">
        <v>44508</v>
      </c>
      <c r="R25" s="127" t="s">
        <v>63</v>
      </c>
      <c r="S25" s="127"/>
      <c r="T25" s="127"/>
      <c r="U25" s="127"/>
      <c r="V25" s="305" t="str">
        <f>_xlfn.IFNA(VLOOKUP(D25,ProductListTbl[],9,0),"")</f>
        <v>2° C to 8° C</v>
      </c>
      <c r="W25" s="305">
        <f>IFERROR(Table3[[#This Row],[Storage space per secondary packaging (cm3)]]*Table3[[#This Row],[Quantity  (vials or syringes)]]/1000,"")</f>
        <v>196.16778000000002</v>
      </c>
      <c r="X25" s="305">
        <f>IFERROR(Table3[[#This Row],[Storage space per tertiary packaging (cm3)]]*Table3[[#This Row],[Quantity (doses)]]/1000,"")</f>
        <v>1248.77538</v>
      </c>
      <c r="Y25" s="293">
        <f>IF(Table3[[#This Row],[Status]]="Ordered",(DATE(YEAR(P25),MONTH(P25),1)),IF(Table3[[#This Row],[Status]]="Received",(DATE(YEAR(Q25),MONTH(Q25),1)),""))</f>
        <v>44501</v>
      </c>
      <c r="Z25" s="304">
        <f t="shared" si="3"/>
        <v>21.388090349075977</v>
      </c>
      <c r="AA25" s="48">
        <f t="shared" si="0"/>
        <v>9</v>
      </c>
      <c r="AB25" s="48">
        <f t="shared" si="1"/>
        <v>2023</v>
      </c>
      <c r="AC25" s="292">
        <f t="shared" si="2"/>
        <v>45170</v>
      </c>
      <c r="AD25" s="48" t="str">
        <f>IF(Table3[[#This Row],[Actual Arrival date]]&gt;0,IF(Table3[[#This Row],[Expected arrival date]]&gt;0,Table3[[#This Row],[Actual Arrival date]]-Table3[[#This Row],[Expected arrival date]],""),"")</f>
        <v/>
      </c>
    </row>
    <row r="26" spans="1:30" x14ac:dyDescent="0.25">
      <c r="A26" s="303" t="str">
        <f>Start!$D$7</f>
        <v>Anyland</v>
      </c>
      <c r="B26" s="48" t="str">
        <f>_xlfn.IFNA(VLOOKUP(A26,list!B:C,2,FALSE),"")</f>
        <v>ANY</v>
      </c>
      <c r="C26" s="48"/>
      <c r="D26" s="127" t="s">
        <v>60</v>
      </c>
      <c r="E26" s="48" t="str">
        <f>_xlfn.IFNA(VLOOKUP(Table3[[#This Row],[Product]], ProductListTbl[], 3, 0), "")</f>
        <v>BIBP., Ltd, Sinopharm</v>
      </c>
      <c r="F26" s="303" t="str">
        <f>_xlfn.IFNA(VLOOKUP(D26,ProductListTbl[],5,0),"")</f>
        <v>Sinopharm</v>
      </c>
      <c r="G26" s="303">
        <f>_xlfn.IFNA(VLOOKUP(D26,ProductListTbl[],6,0),"")</f>
        <v>5</v>
      </c>
      <c r="H26" s="130">
        <f>_xlfn.IFNA(VLOOKUP(D26,ProductListTbl[],7,0),"")</f>
        <v>12.3</v>
      </c>
      <c r="I26" s="130">
        <f>_xlfn.IFNA(VLOOKUP(D26,ProductListTbl[],8,0),"")</f>
        <v>15.66</v>
      </c>
      <c r="J26" s="388">
        <v>2021082588</v>
      </c>
      <c r="K26" s="390">
        <v>45159</v>
      </c>
      <c r="L26" s="392">
        <v>135457</v>
      </c>
      <c r="M26" s="305">
        <f>IFERROR(Table3[[#This Row],[Quantity (doses)]]/Table3[[#This Row],[Doses per vial or syringe]],"")</f>
        <v>27091.4</v>
      </c>
      <c r="N26" s="127" t="s">
        <v>61</v>
      </c>
      <c r="O26" s="127" t="s">
        <v>62</v>
      </c>
      <c r="P26" s="129"/>
      <c r="Q26" s="390">
        <v>44508</v>
      </c>
      <c r="R26" s="127" t="s">
        <v>64</v>
      </c>
      <c r="S26" s="127"/>
      <c r="T26" s="127"/>
      <c r="U26" s="127"/>
      <c r="V26" s="305" t="str">
        <f>_xlfn.IFNA(VLOOKUP(D26,ProductListTbl[],9,0),"")</f>
        <v>2° C to 8° C</v>
      </c>
      <c r="W26" s="305">
        <f>IFERROR(Table3[[#This Row],[Storage space per secondary packaging (cm3)]]*Table3[[#This Row],[Quantity  (vials or syringes)]]/1000,"")</f>
        <v>333.22422</v>
      </c>
      <c r="X26" s="305">
        <f>IFERROR(Table3[[#This Row],[Storage space per tertiary packaging (cm3)]]*Table3[[#This Row],[Quantity (doses)]]/1000,"")</f>
        <v>2121.2566200000001</v>
      </c>
      <c r="Y26" s="293">
        <f>IF(Table3[[#This Row],[Status]]="Ordered",(DATE(YEAR(P26),MONTH(P26),1)),IF(Table3[[#This Row],[Status]]="Received",(DATE(YEAR(Q26),MONTH(Q26),1)),""))</f>
        <v>44501</v>
      </c>
      <c r="Z26" s="304">
        <f t="shared" si="3"/>
        <v>21.388090349075977</v>
      </c>
      <c r="AA26" s="48">
        <f t="shared" si="0"/>
        <v>9</v>
      </c>
      <c r="AB26" s="48">
        <f t="shared" si="1"/>
        <v>2023</v>
      </c>
      <c r="AC26" s="292">
        <f t="shared" si="2"/>
        <v>45170</v>
      </c>
      <c r="AD26" s="48" t="str">
        <f>IF(Table3[[#This Row],[Actual Arrival date]]&gt;0,IF(Table3[[#This Row],[Expected arrival date]]&gt;0,Table3[[#This Row],[Actual Arrival date]]-Table3[[#This Row],[Expected arrival date]],""),"")</f>
        <v/>
      </c>
    </row>
    <row r="27" spans="1:30" x14ac:dyDescent="0.25">
      <c r="A27" s="303" t="str">
        <f>Start!$D$7</f>
        <v>Anyland</v>
      </c>
      <c r="B27" s="48" t="str">
        <f>_xlfn.IFNA(VLOOKUP(A27,list!B:C,2,FALSE),"")</f>
        <v>ANY</v>
      </c>
      <c r="C27" s="48"/>
      <c r="D27" s="127" t="s">
        <v>60</v>
      </c>
      <c r="E27" s="48" t="str">
        <f>_xlfn.IFNA(VLOOKUP(Table3[[#This Row],[Product]], ProductListTbl[], 3, 0), "")</f>
        <v>BIBP., Ltd, Sinopharm</v>
      </c>
      <c r="F27" s="303" t="str">
        <f>_xlfn.IFNA(VLOOKUP(D27,ProductListTbl[],5,0),"")</f>
        <v>Sinopharm</v>
      </c>
      <c r="G27" s="303">
        <f>_xlfn.IFNA(VLOOKUP(D27,ProductListTbl[],6,0),"")</f>
        <v>5</v>
      </c>
      <c r="H27" s="130">
        <f>_xlfn.IFNA(VLOOKUP(D27,ProductListTbl[],7,0),"")</f>
        <v>12.3</v>
      </c>
      <c r="I27" s="130">
        <f>_xlfn.IFNA(VLOOKUP(D27,ProductListTbl[],8,0),"")</f>
        <v>15.66</v>
      </c>
      <c r="J27" s="388" t="s">
        <v>74</v>
      </c>
      <c r="K27" s="390"/>
      <c r="L27" s="392">
        <v>3980</v>
      </c>
      <c r="M27" s="305">
        <f>IFERROR(Table3[[#This Row],[Quantity (doses)]]/Table3[[#This Row],[Doses per vial or syringe]],"")</f>
        <v>796</v>
      </c>
      <c r="N27" s="127" t="s">
        <v>61</v>
      </c>
      <c r="O27" s="127" t="s">
        <v>62</v>
      </c>
      <c r="P27" s="129"/>
      <c r="Q27" s="390">
        <v>44543</v>
      </c>
      <c r="R27" s="127" t="s">
        <v>63</v>
      </c>
      <c r="S27" s="127"/>
      <c r="T27" s="127"/>
      <c r="U27" s="127"/>
      <c r="V27" s="305" t="str">
        <f>_xlfn.IFNA(VLOOKUP(D27,ProductListTbl[],9,0),"")</f>
        <v>2° C to 8° C</v>
      </c>
      <c r="W27" s="305">
        <f>IFERROR(Table3[[#This Row],[Storage space per secondary packaging (cm3)]]*Table3[[#This Row],[Quantity  (vials or syringes)]]/1000,"")</f>
        <v>9.7908000000000008</v>
      </c>
      <c r="X27" s="305">
        <f>IFERROR(Table3[[#This Row],[Storage space per tertiary packaging (cm3)]]*Table3[[#This Row],[Quantity (doses)]]/1000,"")</f>
        <v>62.326800000000006</v>
      </c>
      <c r="Y27" s="293">
        <f>IF(Table3[[#This Row],[Status]]="Ordered",(DATE(YEAR(P27),MONTH(P27),1)),IF(Table3[[#This Row],[Status]]="Received",(DATE(YEAR(Q27),MONTH(Q27),1)),""))</f>
        <v>44531</v>
      </c>
      <c r="Z27" s="304" t="str">
        <f t="shared" si="3"/>
        <v/>
      </c>
      <c r="AA27" s="48" t="str">
        <f t="shared" si="0"/>
        <v/>
      </c>
      <c r="AB27" s="48" t="str">
        <f t="shared" si="1"/>
        <v/>
      </c>
      <c r="AC27" s="292" t="str">
        <f t="shared" si="2"/>
        <v/>
      </c>
      <c r="AD27" s="48" t="str">
        <f>IF(Table3[[#This Row],[Actual Arrival date]]&gt;0,IF(Table3[[#This Row],[Expected arrival date]]&gt;0,Table3[[#This Row],[Actual Arrival date]]-Table3[[#This Row],[Expected arrival date]],""),"")</f>
        <v/>
      </c>
    </row>
    <row r="28" spans="1:30" x14ac:dyDescent="0.25">
      <c r="A28" s="303" t="str">
        <f>Start!$D$7</f>
        <v>Anyland</v>
      </c>
      <c r="B28" s="48" t="str">
        <f>_xlfn.IFNA(VLOOKUP(A28,list!B:C,2,FALSE),"")</f>
        <v>ANY</v>
      </c>
      <c r="C28" s="48"/>
      <c r="D28" s="127" t="s">
        <v>68</v>
      </c>
      <c r="E28" s="48" t="str">
        <f>_xlfn.IFNA(VLOOKUP(Table3[[#This Row],[Product]], ProductListTbl[], 3, 0), "")</f>
        <v>Janssen</v>
      </c>
      <c r="F28" s="303" t="str">
        <f>_xlfn.IFNA(VLOOKUP(D28,ProductListTbl[],5,0),"")</f>
        <v>Jansen</v>
      </c>
      <c r="G28" s="303">
        <f>_xlfn.IFNA(VLOOKUP(D28,ProductListTbl[],6,0),"")</f>
        <v>5</v>
      </c>
      <c r="H28" s="130">
        <f>_xlfn.IFNA(VLOOKUP(D28,ProductListTbl[],7,0),"")</f>
        <v>3.82</v>
      </c>
      <c r="I28" s="130">
        <f>_xlfn.IFNA(VLOOKUP(D28,ProductListTbl[],8,0),"")</f>
        <v>5.3199100000000001</v>
      </c>
      <c r="J28" s="388" t="s">
        <v>75</v>
      </c>
      <c r="K28" s="390">
        <v>44683</v>
      </c>
      <c r="L28" s="392">
        <v>168000</v>
      </c>
      <c r="M28" s="305">
        <f>IFERROR(Table3[[#This Row],[Quantity (doses)]]/Table3[[#This Row],[Doses per vial or syringe]],"")</f>
        <v>33600</v>
      </c>
      <c r="N28" s="127" t="s">
        <v>61</v>
      </c>
      <c r="O28" s="127" t="s">
        <v>62</v>
      </c>
      <c r="P28" s="129"/>
      <c r="Q28" s="390">
        <v>44530</v>
      </c>
      <c r="R28" s="127" t="s">
        <v>64</v>
      </c>
      <c r="S28" s="127"/>
      <c r="T28" s="127"/>
      <c r="U28" s="127"/>
      <c r="V28" s="305" t="str">
        <f>_xlfn.IFNA(VLOOKUP(D28,ProductListTbl[],9,0),"")</f>
        <v>2° C to 8° C</v>
      </c>
      <c r="W28" s="305">
        <f>IFERROR(Table3[[#This Row],[Storage space per secondary packaging (cm3)]]*Table3[[#This Row],[Quantity  (vials or syringes)]]/1000,"")</f>
        <v>128.352</v>
      </c>
      <c r="X28" s="305">
        <f>IFERROR(Table3[[#This Row],[Storage space per tertiary packaging (cm3)]]*Table3[[#This Row],[Quantity (doses)]]/1000,"")</f>
        <v>893.74487999999997</v>
      </c>
      <c r="Y28" s="293">
        <f>IF(Table3[[#This Row],[Status]]="Ordered",(DATE(YEAR(P28),MONTH(P28),1)),IF(Table3[[#This Row],[Status]]="Received",(DATE(YEAR(Q28),MONTH(Q28),1)),""))</f>
        <v>44501</v>
      </c>
      <c r="Z28" s="304">
        <f t="shared" si="3"/>
        <v>5.0266940451745379</v>
      </c>
      <c r="AA28" s="48">
        <f t="shared" si="0"/>
        <v>5</v>
      </c>
      <c r="AB28" s="48">
        <f t="shared" si="1"/>
        <v>2022</v>
      </c>
      <c r="AC28" s="292">
        <f t="shared" si="2"/>
        <v>44682</v>
      </c>
      <c r="AD28" s="48" t="str">
        <f>IF(Table3[[#This Row],[Actual Arrival date]]&gt;0,IF(Table3[[#This Row],[Expected arrival date]]&gt;0,Table3[[#This Row],[Actual Arrival date]]-Table3[[#This Row],[Expected arrival date]],""),"")</f>
        <v/>
      </c>
    </row>
    <row r="29" spans="1:30" x14ac:dyDescent="0.25">
      <c r="A29" s="303" t="str">
        <f>Start!$D$7</f>
        <v>Anyland</v>
      </c>
      <c r="B29" s="48" t="str">
        <f>_xlfn.IFNA(VLOOKUP(A29,list!B:C,2,FALSE),"")</f>
        <v>ANY</v>
      </c>
      <c r="C29" s="48"/>
      <c r="D29" s="127" t="s">
        <v>65</v>
      </c>
      <c r="E29" s="48" t="str">
        <f>_xlfn.IFNA(VLOOKUP(Table3[[#This Row],[Product]], ProductListTbl[], 3, 0), "")</f>
        <v>AstraZeneca AB + University of Oxford - SK Bioscience</v>
      </c>
      <c r="F29" s="303" t="str">
        <f>_xlfn.IFNA(VLOOKUP(D29,ProductListTbl[],5,0),"")</f>
        <v>AstraZeneca</v>
      </c>
      <c r="G29" s="303">
        <f>_xlfn.IFNA(VLOOKUP(D29,ProductListTbl[],6,0),"")</f>
        <v>10</v>
      </c>
      <c r="H29" s="130">
        <f>_xlfn.IFNA(VLOOKUP(D29,ProductListTbl[],7,0),"")</f>
        <v>3.76</v>
      </c>
      <c r="I29" s="130">
        <f>_xlfn.IFNA(VLOOKUP(D29,ProductListTbl[],8,0),"")</f>
        <v>5.3567999999999998</v>
      </c>
      <c r="J29" s="388" t="s">
        <v>76</v>
      </c>
      <c r="K29" s="390">
        <v>44592</v>
      </c>
      <c r="L29" s="392">
        <v>354400</v>
      </c>
      <c r="M29" s="305">
        <f>IFERROR(Table3[[#This Row],[Quantity (doses)]]/Table3[[#This Row],[Doses per vial or syringe]],"")</f>
        <v>35440</v>
      </c>
      <c r="N29" s="127" t="s">
        <v>61</v>
      </c>
      <c r="O29" s="127" t="s">
        <v>62</v>
      </c>
      <c r="P29" s="381"/>
      <c r="Q29" s="390">
        <v>44524</v>
      </c>
      <c r="R29" s="127" t="s">
        <v>63</v>
      </c>
      <c r="S29" s="127"/>
      <c r="T29" s="127"/>
      <c r="U29" s="127"/>
      <c r="V29" s="305" t="str">
        <f>_xlfn.IFNA(VLOOKUP(D29,ProductListTbl[],9,0),"")</f>
        <v>2° C to 8° C</v>
      </c>
      <c r="W29" s="305">
        <f>IFERROR(Table3[[#This Row],[Storage space per secondary packaging (cm3)]]*Table3[[#This Row],[Quantity  (vials or syringes)]]/1000,"")</f>
        <v>133.2544</v>
      </c>
      <c r="X29" s="305">
        <f>IFERROR(Table3[[#This Row],[Storage space per tertiary packaging (cm3)]]*Table3[[#This Row],[Quantity (doses)]]/1000,"")</f>
        <v>1898.44992</v>
      </c>
      <c r="Y29" s="293">
        <f>IF(Table3[[#This Row],[Status]]="Ordered",(DATE(YEAR(P29),MONTH(P29),1)),IF(Table3[[#This Row],[Status]]="Received",(DATE(YEAR(Q29),MONTH(Q29),1)),""))</f>
        <v>44501</v>
      </c>
      <c r="Z29" s="304">
        <f t="shared" si="3"/>
        <v>2.2340862422997945</v>
      </c>
      <c r="AA29" s="48">
        <f t="shared" si="0"/>
        <v>2</v>
      </c>
      <c r="AB29" s="48">
        <f t="shared" si="1"/>
        <v>2022</v>
      </c>
      <c r="AC29" s="292">
        <f t="shared" si="2"/>
        <v>44593</v>
      </c>
      <c r="AD29" s="48" t="str">
        <f>IF(Table3[[#This Row],[Actual Arrival date]]&gt;0,IF(Table3[[#This Row],[Expected arrival date]]&gt;0,Table3[[#This Row],[Actual Arrival date]]-Table3[[#This Row],[Expected arrival date]],""),"")</f>
        <v/>
      </c>
    </row>
    <row r="30" spans="1:30" x14ac:dyDescent="0.25">
      <c r="A30" s="303" t="str">
        <f>Start!$D$7</f>
        <v>Anyland</v>
      </c>
      <c r="B30" s="48" t="str">
        <f>_xlfn.IFNA(VLOOKUP(A30,list!B:C,2,FALSE),"")</f>
        <v>ANY</v>
      </c>
      <c r="C30" s="48"/>
      <c r="D30" s="127" t="s">
        <v>60</v>
      </c>
      <c r="E30" s="48" t="str">
        <f>_xlfn.IFNA(VLOOKUP(Table3[[#This Row],[Product]], ProductListTbl[], 3, 0), "")</f>
        <v>BIBP., Ltd, Sinopharm</v>
      </c>
      <c r="F30" s="303" t="str">
        <f>_xlfn.IFNA(VLOOKUP(D30,ProductListTbl[],5,0),"")</f>
        <v>Sinopharm</v>
      </c>
      <c r="G30" s="303">
        <f>_xlfn.IFNA(VLOOKUP(D30,ProductListTbl[],6,0),"")</f>
        <v>5</v>
      </c>
      <c r="H30" s="130">
        <f>_xlfn.IFNA(VLOOKUP(D30,ProductListTbl[],7,0),"")</f>
        <v>12.3</v>
      </c>
      <c r="I30" s="130">
        <f>_xlfn.IFNA(VLOOKUP(D30,ProductListTbl[],8,0),"")</f>
        <v>15.66</v>
      </c>
      <c r="J30" s="388" t="s">
        <v>77</v>
      </c>
      <c r="K30" s="390">
        <v>45177</v>
      </c>
      <c r="L30" s="392">
        <v>395930</v>
      </c>
      <c r="M30" s="305">
        <f>IFERROR(Table3[[#This Row],[Quantity (doses)]]/Table3[[#This Row],[Doses per vial or syringe]],"")</f>
        <v>79186</v>
      </c>
      <c r="N30" s="127" t="s">
        <v>61</v>
      </c>
      <c r="O30" s="127" t="s">
        <v>62</v>
      </c>
      <c r="P30" s="381"/>
      <c r="Q30" s="390">
        <v>44543</v>
      </c>
      <c r="R30" s="127" t="s">
        <v>64</v>
      </c>
      <c r="S30" s="127"/>
      <c r="T30" s="127"/>
      <c r="U30" s="127"/>
      <c r="V30" s="305" t="str">
        <f>_xlfn.IFNA(VLOOKUP(D30,ProductListTbl[],9,0),"")</f>
        <v>2° C to 8° C</v>
      </c>
      <c r="W30" s="305">
        <f>IFERROR(Table3[[#This Row],[Storage space per secondary packaging (cm3)]]*Table3[[#This Row],[Quantity  (vials or syringes)]]/1000,"")</f>
        <v>973.98779999999999</v>
      </c>
      <c r="X30" s="305">
        <f>IFERROR(Table3[[#This Row],[Storage space per tertiary packaging (cm3)]]*Table3[[#This Row],[Quantity (doses)]]/1000,"")</f>
        <v>6200.2637999999997</v>
      </c>
      <c r="Y30" s="293">
        <f>IF(Table3[[#This Row],[Status]]="Ordered",(DATE(YEAR(P30),MONTH(P30),1)),IF(Table3[[#This Row],[Status]]="Received",(DATE(YEAR(Q30),MONTH(Q30),1)),""))</f>
        <v>44531</v>
      </c>
      <c r="Z30" s="304">
        <f t="shared" si="3"/>
        <v>20.829568788501028</v>
      </c>
      <c r="AA30" s="48">
        <f t="shared" si="0"/>
        <v>9</v>
      </c>
      <c r="AB30" s="48">
        <f t="shared" si="1"/>
        <v>2023</v>
      </c>
      <c r="AC30" s="292">
        <f t="shared" si="2"/>
        <v>45170</v>
      </c>
      <c r="AD30" s="48" t="str">
        <f>IF(Table3[[#This Row],[Actual Arrival date]]&gt;0,IF(Table3[[#This Row],[Expected arrival date]]&gt;0,Table3[[#This Row],[Actual Arrival date]]-Table3[[#This Row],[Expected arrival date]],""),"")</f>
        <v/>
      </c>
    </row>
    <row r="31" spans="1:30" x14ac:dyDescent="0.25">
      <c r="A31" s="303" t="str">
        <f>Start!$D$7</f>
        <v>Anyland</v>
      </c>
      <c r="B31" s="48" t="str">
        <f>_xlfn.IFNA(VLOOKUP(A31,list!B:C,2,FALSE),"")</f>
        <v>ANY</v>
      </c>
      <c r="C31" s="48"/>
      <c r="D31" s="127" t="s">
        <v>78</v>
      </c>
      <c r="E31" s="48" t="str">
        <f>_xlfn.IFNA(VLOOKUP(Table3[[#This Row],[Product]], ProductListTbl[], 3, 0), "")</f>
        <v>Pfizer-BioNTech</v>
      </c>
      <c r="F31" s="303" t="str">
        <f>_xlfn.IFNA(VLOOKUP(D31,ProductListTbl[],5,0),"")</f>
        <v>Pfizer</v>
      </c>
      <c r="G31" s="303">
        <f>_xlfn.IFNA(VLOOKUP(D31,ProductListTbl[],6,0),"")</f>
        <v>6</v>
      </c>
      <c r="H31" s="130">
        <f>_xlfn.IFNA(VLOOKUP(D31,ProductListTbl[],7,0),"")</f>
        <v>1.8</v>
      </c>
      <c r="I31" s="130">
        <f>_xlfn.IFNA(VLOOKUP(D31,ProductListTbl[],8,0),"")</f>
        <v>15.316239316239317</v>
      </c>
      <c r="J31" s="388" t="s">
        <v>79</v>
      </c>
      <c r="K31" s="390">
        <v>44742</v>
      </c>
      <c r="L31" s="392">
        <v>398970</v>
      </c>
      <c r="M31" s="305">
        <f>IFERROR(Table3[[#This Row],[Quantity (doses)]]/Table3[[#This Row],[Doses per vial or syringe]],"")</f>
        <v>66495</v>
      </c>
      <c r="N31" s="127" t="s">
        <v>61</v>
      </c>
      <c r="O31" s="127" t="s">
        <v>62</v>
      </c>
      <c r="P31" s="381"/>
      <c r="Q31" s="390">
        <v>44569</v>
      </c>
      <c r="R31" s="127" t="s">
        <v>63</v>
      </c>
      <c r="S31" s="127"/>
      <c r="T31" s="127"/>
      <c r="U31" s="127"/>
      <c r="V31" s="305" t="str">
        <f>_xlfn.IFNA(VLOOKUP(D31,ProductListTbl[],9,0),"")</f>
        <v>-90° C to -60° C</v>
      </c>
      <c r="W31" s="305">
        <f>IFERROR(Table3[[#This Row],[Storage space per secondary packaging (cm3)]]*Table3[[#This Row],[Quantity  (vials or syringes)]]/1000,"")</f>
        <v>119.691</v>
      </c>
      <c r="X31" s="305">
        <f>IFERROR(Table3[[#This Row],[Storage space per tertiary packaging (cm3)]]*Table3[[#This Row],[Quantity (doses)]]/1000,"")</f>
        <v>6110.72</v>
      </c>
      <c r="Y31" s="293">
        <f>IF(Table3[[#This Row],[Status]]="Ordered",(DATE(YEAR(P31),MONTH(P31),1)),IF(Table3[[#This Row],[Status]]="Received",(DATE(YEAR(Q31),MONTH(Q31),1)),""))</f>
        <v>44562</v>
      </c>
      <c r="Z31" s="304">
        <f t="shared" si="3"/>
        <v>5.6837782340862422</v>
      </c>
      <c r="AA31" s="48">
        <f t="shared" si="0"/>
        <v>7</v>
      </c>
      <c r="AB31" s="48">
        <f t="shared" si="1"/>
        <v>2022</v>
      </c>
      <c r="AC31" s="292">
        <f t="shared" si="2"/>
        <v>44743</v>
      </c>
      <c r="AD31" s="48" t="str">
        <f>IF(Table3[[#This Row],[Actual Arrival date]]&gt;0,IF(Table3[[#This Row],[Expected arrival date]]&gt;0,Table3[[#This Row],[Actual Arrival date]]-Table3[[#This Row],[Expected arrival date]],""),"")</f>
        <v/>
      </c>
    </row>
    <row r="32" spans="1:30" x14ac:dyDescent="0.25">
      <c r="A32" s="303" t="str">
        <f>Start!$D$7</f>
        <v>Anyland</v>
      </c>
      <c r="B32" s="48" t="str">
        <f>_xlfn.IFNA(VLOOKUP(A32,list!B:C,2,FALSE),"")</f>
        <v>ANY</v>
      </c>
      <c r="C32" s="48"/>
      <c r="D32" s="127" t="s">
        <v>68</v>
      </c>
      <c r="E32" s="48" t="str">
        <f>_xlfn.IFNA(VLOOKUP(Table3[[#This Row],[Product]], ProductListTbl[], 3, 0), "")</f>
        <v>Janssen</v>
      </c>
      <c r="F32" s="303" t="str">
        <f>_xlfn.IFNA(VLOOKUP(D32,ProductListTbl[],5,0),"")</f>
        <v>Jansen</v>
      </c>
      <c r="G32" s="303">
        <f>_xlfn.IFNA(VLOOKUP(D32,ProductListTbl[],6,0),"")</f>
        <v>5</v>
      </c>
      <c r="H32" s="130">
        <f>_xlfn.IFNA(VLOOKUP(D32,ProductListTbl[],7,0),"")</f>
        <v>3.82</v>
      </c>
      <c r="I32" s="130">
        <f>_xlfn.IFNA(VLOOKUP(D32,ProductListTbl[],8,0),"")</f>
        <v>5.3199100000000001</v>
      </c>
      <c r="J32" s="388"/>
      <c r="K32" s="390"/>
      <c r="L32" s="392">
        <v>1309600</v>
      </c>
      <c r="M32" s="305">
        <f>IFERROR(Table3[[#This Row],[Quantity (doses)]]/Table3[[#This Row],[Doses per vial or syringe]],"")</f>
        <v>261920</v>
      </c>
      <c r="N32" s="127" t="s">
        <v>61</v>
      </c>
      <c r="O32" s="127" t="s">
        <v>62</v>
      </c>
      <c r="P32" s="381"/>
      <c r="Q32" s="390">
        <v>44614</v>
      </c>
      <c r="R32" s="127" t="s">
        <v>64</v>
      </c>
      <c r="S32" s="127"/>
      <c r="T32" s="127"/>
      <c r="U32" s="127" t="s">
        <v>23</v>
      </c>
      <c r="V32" s="305" t="str">
        <f>_xlfn.IFNA(VLOOKUP(D32,ProductListTbl[],9,0),"")</f>
        <v>2° C to 8° C</v>
      </c>
      <c r="W32" s="305">
        <f>IFERROR(Table3[[#This Row],[Storage space per secondary packaging (cm3)]]*Table3[[#This Row],[Quantity  (vials or syringes)]]/1000,"")</f>
        <v>1000.5343999999999</v>
      </c>
      <c r="X32" s="305">
        <f>IFERROR(Table3[[#This Row],[Storage space per tertiary packaging (cm3)]]*Table3[[#This Row],[Quantity (doses)]]/1000,"")</f>
        <v>6966.9541360000003</v>
      </c>
      <c r="Y32" s="293">
        <f>IF(Table3[[#This Row],[Status]]="Ordered",(DATE(YEAR(P32),MONTH(P32),1)),IF(Table3[[#This Row],[Status]]="Received",(DATE(YEAR(Q32),MONTH(Q32),1)),""))</f>
        <v>44593</v>
      </c>
      <c r="Z32" s="304" t="str">
        <f t="shared" si="3"/>
        <v/>
      </c>
      <c r="AA32" s="48" t="str">
        <f t="shared" si="0"/>
        <v/>
      </c>
      <c r="AB32" s="48" t="str">
        <f t="shared" si="1"/>
        <v/>
      </c>
      <c r="AC32" s="292" t="str">
        <f t="shared" si="2"/>
        <v/>
      </c>
      <c r="AD32" s="48" t="str">
        <f>IF(Table3[[#This Row],[Actual Arrival date]]&gt;0,IF(Table3[[#This Row],[Expected arrival date]]&gt;0,Table3[[#This Row],[Actual Arrival date]]-Table3[[#This Row],[Expected arrival date]],""),"")</f>
        <v/>
      </c>
    </row>
    <row r="33" spans="1:30" x14ac:dyDescent="0.25">
      <c r="A33" s="303" t="str">
        <f>Start!$D$7</f>
        <v>Anyland</v>
      </c>
      <c r="B33" s="48" t="str">
        <f>_xlfn.IFNA(VLOOKUP(A33,list!B:C,2,FALSE),"")</f>
        <v>ANY</v>
      </c>
      <c r="C33" s="48"/>
      <c r="D33" s="127" t="s">
        <v>68</v>
      </c>
      <c r="E33" s="48" t="str">
        <f>_xlfn.IFNA(VLOOKUP(Table3[[#This Row],[Product]], ProductListTbl[], 3, 0), "")</f>
        <v>Janssen</v>
      </c>
      <c r="F33" s="303" t="str">
        <f>_xlfn.IFNA(VLOOKUP(D33,ProductListTbl[],5,0),"")</f>
        <v>Jansen</v>
      </c>
      <c r="G33" s="303">
        <f>_xlfn.IFNA(VLOOKUP(D33,ProductListTbl[],6,0),"")</f>
        <v>5</v>
      </c>
      <c r="H33" s="130">
        <f>_xlfn.IFNA(VLOOKUP(D33,ProductListTbl[],7,0),"")</f>
        <v>3.82</v>
      </c>
      <c r="I33" s="130">
        <f>_xlfn.IFNA(VLOOKUP(D33,ProductListTbl[],8,0),"")</f>
        <v>5.3199100000000001</v>
      </c>
      <c r="J33" s="388" t="s">
        <v>80</v>
      </c>
      <c r="K33" s="390">
        <v>45229</v>
      </c>
      <c r="L33" s="392">
        <v>396000</v>
      </c>
      <c r="M33" s="305">
        <f>IFERROR(Table3[[#This Row],[Quantity (doses)]]/Table3[[#This Row],[Doses per vial or syringe]],"")</f>
        <v>79200</v>
      </c>
      <c r="N33" s="127" t="s">
        <v>61</v>
      </c>
      <c r="O33" s="127" t="s">
        <v>62</v>
      </c>
      <c r="P33" s="381"/>
      <c r="Q33" s="390">
        <v>44583</v>
      </c>
      <c r="R33" s="127" t="s">
        <v>63</v>
      </c>
      <c r="S33" s="127"/>
      <c r="T33" s="127"/>
      <c r="U33" s="127" t="s">
        <v>26</v>
      </c>
      <c r="V33" s="305" t="str">
        <f>_xlfn.IFNA(VLOOKUP(D33,ProductListTbl[],9,0),"")</f>
        <v>2° C to 8° C</v>
      </c>
      <c r="W33" s="305">
        <f>IFERROR(Table3[[#This Row],[Storage space per secondary packaging (cm3)]]*Table3[[#This Row],[Quantity  (vials or syringes)]]/1000,"")</f>
        <v>302.54399999999998</v>
      </c>
      <c r="X33" s="305">
        <f>IFERROR(Table3[[#This Row],[Storage space per tertiary packaging (cm3)]]*Table3[[#This Row],[Quantity (doses)]]/1000,"")</f>
        <v>2106.6843599999997</v>
      </c>
      <c r="Y33" s="293">
        <f>IF(Table3[[#This Row],[Status]]="Ordered",(DATE(YEAR(P33),MONTH(P33),1)),IF(Table3[[#This Row],[Status]]="Received",(DATE(YEAR(Q33),MONTH(Q33),1)),""))</f>
        <v>44562</v>
      </c>
      <c r="Z33" s="304">
        <f t="shared" si="3"/>
        <v>21.223819301848049</v>
      </c>
      <c r="AA33" s="48">
        <f t="shared" si="0"/>
        <v>11</v>
      </c>
      <c r="AB33" s="48">
        <f t="shared" si="1"/>
        <v>2023</v>
      </c>
      <c r="AC33" s="292">
        <f t="shared" si="2"/>
        <v>45231</v>
      </c>
      <c r="AD33" s="48" t="str">
        <f>IF(Table3[[#This Row],[Actual Arrival date]]&gt;0,IF(Table3[[#This Row],[Expected arrival date]]&gt;0,Table3[[#This Row],[Actual Arrival date]]-Table3[[#This Row],[Expected arrival date]],""),"")</f>
        <v/>
      </c>
    </row>
    <row r="34" spans="1:30" x14ac:dyDescent="0.25">
      <c r="A34" s="303" t="str">
        <f>Start!$D$7</f>
        <v>Anyland</v>
      </c>
      <c r="B34" s="48" t="str">
        <f>_xlfn.IFNA(VLOOKUP(A34,list!B:C,2,FALSE),"")</f>
        <v>ANY</v>
      </c>
      <c r="C34" s="48"/>
      <c r="D34" s="127" t="s">
        <v>60</v>
      </c>
      <c r="E34" s="48" t="str">
        <f>_xlfn.IFNA(VLOOKUP(Table3[[#This Row],[Product]], ProductListTbl[], 3, 0), "")</f>
        <v>BIBP., Ltd, Sinopharm</v>
      </c>
      <c r="F34" s="303" t="str">
        <f>_xlfn.IFNA(VLOOKUP(D34,ProductListTbl[],5,0),"")</f>
        <v>Sinopharm</v>
      </c>
      <c r="G34" s="303">
        <f>_xlfn.IFNA(VLOOKUP(D34,ProductListTbl[],6,0),"")</f>
        <v>5</v>
      </c>
      <c r="H34" s="130">
        <f>_xlfn.IFNA(VLOOKUP(D34,ProductListTbl[],7,0),"")</f>
        <v>12.3</v>
      </c>
      <c r="I34" s="130">
        <f>_xlfn.IFNA(VLOOKUP(D34,ProductListTbl[],8,0),"")</f>
        <v>15.66</v>
      </c>
      <c r="J34" s="388" t="s">
        <v>81</v>
      </c>
      <c r="K34" s="390"/>
      <c r="L34" s="392">
        <v>100</v>
      </c>
      <c r="M34" s="305">
        <f>IFERROR(Table3[[#This Row],[Quantity (doses)]]/Table3[[#This Row],[Doses per vial or syringe]],"")</f>
        <v>20</v>
      </c>
      <c r="N34" s="127" t="s">
        <v>61</v>
      </c>
      <c r="O34" s="127" t="s">
        <v>62</v>
      </c>
      <c r="P34" s="381"/>
      <c r="Q34" s="390">
        <v>44543</v>
      </c>
      <c r="R34" s="127" t="s">
        <v>64</v>
      </c>
      <c r="S34" s="127"/>
      <c r="T34" s="127"/>
      <c r="U34" s="127"/>
      <c r="V34" s="305" t="str">
        <f>_xlfn.IFNA(VLOOKUP(D34,ProductListTbl[],9,0),"")</f>
        <v>2° C to 8° C</v>
      </c>
      <c r="W34" s="305">
        <f>IFERROR(Table3[[#This Row],[Storage space per secondary packaging (cm3)]]*Table3[[#This Row],[Quantity  (vials or syringes)]]/1000,"")</f>
        <v>0.246</v>
      </c>
      <c r="X34" s="305">
        <f>IFERROR(Table3[[#This Row],[Storage space per tertiary packaging (cm3)]]*Table3[[#This Row],[Quantity (doses)]]/1000,"")</f>
        <v>1.5660000000000001</v>
      </c>
      <c r="Y34" s="293">
        <f>IF(Table3[[#This Row],[Status]]="Ordered",(DATE(YEAR(P34),MONTH(P34),1)),IF(Table3[[#This Row],[Status]]="Received",(DATE(YEAR(Q34),MONTH(Q34),1)),""))</f>
        <v>44531</v>
      </c>
      <c r="Z34" s="304" t="str">
        <f t="shared" si="3"/>
        <v/>
      </c>
      <c r="AA34" s="48" t="str">
        <f t="shared" si="0"/>
        <v/>
      </c>
      <c r="AB34" s="48" t="str">
        <f t="shared" si="1"/>
        <v/>
      </c>
      <c r="AC34" s="292" t="str">
        <f t="shared" si="2"/>
        <v/>
      </c>
      <c r="AD34" s="48" t="str">
        <f>IF(Table3[[#This Row],[Actual Arrival date]]&gt;0,IF(Table3[[#This Row],[Expected arrival date]]&gt;0,Table3[[#This Row],[Actual Arrival date]]-Table3[[#This Row],[Expected arrival date]],""),"")</f>
        <v/>
      </c>
    </row>
    <row r="35" spans="1:30" x14ac:dyDescent="0.25">
      <c r="A35" s="303" t="str">
        <f>Start!$D$7</f>
        <v>Anyland</v>
      </c>
      <c r="B35" s="48" t="str">
        <f>_xlfn.IFNA(VLOOKUP(A35,list!B:C,2,FALSE),"")</f>
        <v>ANY</v>
      </c>
      <c r="C35" s="48"/>
      <c r="D35" s="127" t="s">
        <v>60</v>
      </c>
      <c r="E35" s="48" t="str">
        <f>_xlfn.IFNA(VLOOKUP(Table3[[#This Row],[Product]], ProductListTbl[], 3, 0), "")</f>
        <v>BIBP., Ltd, Sinopharm</v>
      </c>
      <c r="F35" s="303" t="str">
        <f>_xlfn.IFNA(VLOOKUP(D35,ProductListTbl[],5,0),"")</f>
        <v>Sinopharm</v>
      </c>
      <c r="G35" s="303">
        <f>_xlfn.IFNA(VLOOKUP(D35,ProductListTbl[],6,0),"")</f>
        <v>5</v>
      </c>
      <c r="H35" s="130">
        <f>_xlfn.IFNA(VLOOKUP(D35,ProductListTbl[],7,0),"")</f>
        <v>12.3</v>
      </c>
      <c r="I35" s="130">
        <f>_xlfn.IFNA(VLOOKUP(D35,ProductListTbl[],8,0),"")</f>
        <v>15.66</v>
      </c>
      <c r="J35" s="388"/>
      <c r="K35" s="390"/>
      <c r="L35" s="392">
        <v>300000</v>
      </c>
      <c r="M35" s="305">
        <f>IFERROR(Table3[[#This Row],[Quantity (doses)]]/Table3[[#This Row],[Doses per vial or syringe]],"")</f>
        <v>60000</v>
      </c>
      <c r="N35" s="127" t="s">
        <v>61</v>
      </c>
      <c r="O35" s="127" t="s">
        <v>62</v>
      </c>
      <c r="P35" s="381"/>
      <c r="Q35" s="390">
        <v>44634</v>
      </c>
      <c r="R35" s="127" t="s">
        <v>63</v>
      </c>
      <c r="S35" s="127"/>
      <c r="T35" s="127"/>
      <c r="U35" s="127"/>
      <c r="V35" s="305" t="str">
        <f>_xlfn.IFNA(VLOOKUP(D35,ProductListTbl[],9,0),"")</f>
        <v>2° C to 8° C</v>
      </c>
      <c r="W35" s="305">
        <f>IFERROR(Table3[[#This Row],[Storage space per secondary packaging (cm3)]]*Table3[[#This Row],[Quantity  (vials or syringes)]]/1000,"")</f>
        <v>738</v>
      </c>
      <c r="X35" s="305">
        <f>IFERROR(Table3[[#This Row],[Storage space per tertiary packaging (cm3)]]*Table3[[#This Row],[Quantity (doses)]]/1000,"")</f>
        <v>4698</v>
      </c>
      <c r="Y35" s="293">
        <f>IF(Table3[[#This Row],[Status]]="Ordered",(DATE(YEAR(P35),MONTH(P35),1)),IF(Table3[[#This Row],[Status]]="Received",(DATE(YEAR(Q35),MONTH(Q35),1)),""))</f>
        <v>44621</v>
      </c>
      <c r="Z35" s="304" t="str">
        <f t="shared" si="3"/>
        <v/>
      </c>
      <c r="AA35" s="48" t="str">
        <f t="shared" si="0"/>
        <v/>
      </c>
      <c r="AB35" s="48" t="str">
        <f t="shared" si="1"/>
        <v/>
      </c>
      <c r="AC35" s="292" t="str">
        <f t="shared" si="2"/>
        <v/>
      </c>
      <c r="AD35" s="48" t="str">
        <f>IF(Table3[[#This Row],[Actual Arrival date]]&gt;0,IF(Table3[[#This Row],[Expected arrival date]]&gt;0,Table3[[#This Row],[Actual Arrival date]]-Table3[[#This Row],[Expected arrival date]],""),"")</f>
        <v/>
      </c>
    </row>
    <row r="36" spans="1:30" x14ac:dyDescent="0.25">
      <c r="A36" s="303" t="str">
        <f>Start!$D$7</f>
        <v>Anyland</v>
      </c>
      <c r="B36" s="48" t="str">
        <f>_xlfn.IFNA(VLOOKUP(A36,list!B:C,2,FALSE),"")</f>
        <v>ANY</v>
      </c>
      <c r="C36" s="48"/>
      <c r="D36" s="127" t="s">
        <v>68</v>
      </c>
      <c r="E36" s="48" t="str">
        <f>_xlfn.IFNA(VLOOKUP(Table3[[#This Row],[Product]], ProductListTbl[], 3, 0), "")</f>
        <v>Janssen</v>
      </c>
      <c r="F36" s="303" t="str">
        <f>_xlfn.IFNA(VLOOKUP(D36,ProductListTbl[],5,0),"")</f>
        <v>Jansen</v>
      </c>
      <c r="G36" s="303">
        <f>_xlfn.IFNA(VLOOKUP(D36,ProductListTbl[],6,0),"")</f>
        <v>5</v>
      </c>
      <c r="H36" s="130">
        <f>_xlfn.IFNA(VLOOKUP(D36,ProductListTbl[],7,0),"")</f>
        <v>3.82</v>
      </c>
      <c r="I36" s="130">
        <f>_xlfn.IFNA(VLOOKUP(D36,ProductListTbl[],8,0),"")</f>
        <v>5.3199100000000001</v>
      </c>
      <c r="J36" s="388"/>
      <c r="K36" s="390"/>
      <c r="L36" s="392">
        <v>561600</v>
      </c>
      <c r="M36" s="305">
        <f>IFERROR(Table3[[#This Row],[Quantity (doses)]]/Table3[[#This Row],[Doses per vial or syringe]],"")</f>
        <v>112320</v>
      </c>
      <c r="N36" s="127" t="s">
        <v>61</v>
      </c>
      <c r="O36" s="127" t="s">
        <v>62</v>
      </c>
      <c r="P36" s="381"/>
      <c r="Q36" s="390">
        <v>44636</v>
      </c>
      <c r="R36" s="127" t="s">
        <v>64</v>
      </c>
      <c r="S36" s="127"/>
      <c r="T36" s="127"/>
      <c r="U36" s="127"/>
      <c r="V36" s="305" t="str">
        <f>_xlfn.IFNA(VLOOKUP(D36,ProductListTbl[],9,0),"")</f>
        <v>2° C to 8° C</v>
      </c>
      <c r="W36" s="305">
        <f>IFERROR(Table3[[#This Row],[Storage space per secondary packaging (cm3)]]*Table3[[#This Row],[Quantity  (vials or syringes)]]/1000,"")</f>
        <v>429.06239999999997</v>
      </c>
      <c r="X36" s="305">
        <f>IFERROR(Table3[[#This Row],[Storage space per tertiary packaging (cm3)]]*Table3[[#This Row],[Quantity (doses)]]/1000,"")</f>
        <v>2987.6614560000003</v>
      </c>
      <c r="Y36" s="293">
        <f>IF(Table3[[#This Row],[Status]]="Ordered",(DATE(YEAR(P36),MONTH(P36),1)),IF(Table3[[#This Row],[Status]]="Received",(DATE(YEAR(Q36),MONTH(Q36),1)),""))</f>
        <v>44621</v>
      </c>
      <c r="Z36" s="304" t="str">
        <f t="shared" si="3"/>
        <v/>
      </c>
      <c r="AA36" s="48" t="str">
        <f t="shared" si="0"/>
        <v/>
      </c>
      <c r="AB36" s="48" t="str">
        <f t="shared" si="1"/>
        <v/>
      </c>
      <c r="AC36" s="292" t="str">
        <f t="shared" si="2"/>
        <v/>
      </c>
      <c r="AD36" s="48" t="str">
        <f>IF(Table3[[#This Row],[Actual Arrival date]]&gt;0,IF(Table3[[#This Row],[Expected arrival date]]&gt;0,Table3[[#This Row],[Actual Arrival date]]-Table3[[#This Row],[Expected arrival date]],""),"")</f>
        <v/>
      </c>
    </row>
    <row r="37" spans="1:30" x14ac:dyDescent="0.25">
      <c r="A37" s="303" t="str">
        <f>Start!$D$7</f>
        <v>Anyland</v>
      </c>
      <c r="B37" s="48" t="str">
        <f>_xlfn.IFNA(VLOOKUP(A37,list!B:C,2,FALSE),"")</f>
        <v>ANY</v>
      </c>
      <c r="C37" s="48"/>
      <c r="D37" s="127" t="s">
        <v>78</v>
      </c>
      <c r="E37" s="48" t="str">
        <f>_xlfn.IFNA(VLOOKUP(Table3[[#This Row],[Product]], ProductListTbl[], 3, 0), "")</f>
        <v>Pfizer-BioNTech</v>
      </c>
      <c r="F37" s="303" t="str">
        <f>_xlfn.IFNA(VLOOKUP(D37,ProductListTbl[],5,0),"")</f>
        <v>Pfizer</v>
      </c>
      <c r="G37" s="303">
        <f>_xlfn.IFNA(VLOOKUP(D37,ProductListTbl[],6,0),"")</f>
        <v>6</v>
      </c>
      <c r="H37" s="130">
        <f>_xlfn.IFNA(VLOOKUP(D37,ProductListTbl[],7,0),"")</f>
        <v>1.8</v>
      </c>
      <c r="I37" s="130">
        <f>_xlfn.IFNA(VLOOKUP(D37,ProductListTbl[],8,0),"")</f>
        <v>15.316239316239317</v>
      </c>
      <c r="J37" s="388"/>
      <c r="K37" s="390"/>
      <c r="L37" s="392">
        <v>1000000</v>
      </c>
      <c r="M37" s="305">
        <f>IFERROR(Table3[[#This Row],[Quantity (doses)]]/Table3[[#This Row],[Doses per vial or syringe]],"")</f>
        <v>166666.66666666666</v>
      </c>
      <c r="N37" s="127" t="s">
        <v>61</v>
      </c>
      <c r="O37" s="127" t="s">
        <v>82</v>
      </c>
      <c r="P37" s="381">
        <v>44713</v>
      </c>
      <c r="Q37" s="390"/>
      <c r="R37" s="386" t="s">
        <v>63</v>
      </c>
      <c r="S37" s="127"/>
      <c r="T37" s="127"/>
      <c r="U37" s="127"/>
      <c r="V37" s="305" t="str">
        <f>_xlfn.IFNA(VLOOKUP(D37,ProductListTbl[],9,0),"")</f>
        <v>-90° C to -60° C</v>
      </c>
      <c r="W37" s="305">
        <f>IFERROR(Table3[[#This Row],[Storage space per secondary packaging (cm3)]]*Table3[[#This Row],[Quantity  (vials or syringes)]]/1000,"")</f>
        <v>300</v>
      </c>
      <c r="X37" s="305">
        <f>IFERROR(Table3[[#This Row],[Storage space per tertiary packaging (cm3)]]*Table3[[#This Row],[Quantity (doses)]]/1000,"")</f>
        <v>15316.239316239316</v>
      </c>
      <c r="Y37" s="293">
        <f>IF(Table3[[#This Row],[Status]]="Ordered",(DATE(YEAR(P37),MONTH(P37),1)),IF(Table3[[#This Row],[Status]]="Received",(DATE(YEAR(Q37),MONTH(Q37),1)),""))</f>
        <v>44713</v>
      </c>
      <c r="Z37" s="304" t="str">
        <f t="shared" si="3"/>
        <v/>
      </c>
      <c r="AA37" s="48" t="str">
        <f t="shared" si="0"/>
        <v/>
      </c>
      <c r="AB37" s="48" t="str">
        <f t="shared" si="1"/>
        <v/>
      </c>
      <c r="AC37" s="292" t="str">
        <f t="shared" si="2"/>
        <v/>
      </c>
      <c r="AD37" s="48" t="str">
        <f>IF(Table3[[#This Row],[Actual Arrival date]]&gt;0,IF(Table3[[#This Row],[Expected arrival date]]&gt;0,Table3[[#This Row],[Actual Arrival date]]-Table3[[#This Row],[Expected arrival date]],""),"")</f>
        <v/>
      </c>
    </row>
    <row r="38" spans="1:30" x14ac:dyDescent="0.25">
      <c r="A38" s="303" t="str">
        <f>Start!$D$7</f>
        <v>Anyland</v>
      </c>
      <c r="B38" s="48" t="str">
        <f>_xlfn.IFNA(VLOOKUP(A38,list!B:C,2,FALSE),"")</f>
        <v>ANY</v>
      </c>
      <c r="C38" s="48"/>
      <c r="D38" s="127" t="s">
        <v>78</v>
      </c>
      <c r="E38" s="48" t="str">
        <f>_xlfn.IFNA(VLOOKUP(Table3[[#This Row],[Product]], ProductListTbl[], 3, 0), "")</f>
        <v>Pfizer-BioNTech</v>
      </c>
      <c r="F38" s="303" t="str">
        <f>_xlfn.IFNA(VLOOKUP(D38,ProductListTbl[],5,0),"")</f>
        <v>Pfizer</v>
      </c>
      <c r="G38" s="303">
        <f>_xlfn.IFNA(VLOOKUP(D38,ProductListTbl[],6,0),"")</f>
        <v>6</v>
      </c>
      <c r="H38" s="130">
        <f>_xlfn.IFNA(VLOOKUP(D38,ProductListTbl[],7,0),"")</f>
        <v>1.8</v>
      </c>
      <c r="I38" s="130">
        <f>_xlfn.IFNA(VLOOKUP(D38,ProductListTbl[],8,0),"")</f>
        <v>15.316239316239317</v>
      </c>
      <c r="J38" s="388"/>
      <c r="K38" s="390"/>
      <c r="L38" s="392">
        <v>1000000</v>
      </c>
      <c r="M38" s="305">
        <f>IFERROR(Table3[[#This Row],[Quantity (doses)]]/Table3[[#This Row],[Doses per vial or syringe]],"")</f>
        <v>166666.66666666666</v>
      </c>
      <c r="N38" s="127" t="s">
        <v>61</v>
      </c>
      <c r="O38" s="127" t="s">
        <v>82</v>
      </c>
      <c r="P38" s="381">
        <v>44743</v>
      </c>
      <c r="Q38" s="390"/>
      <c r="R38" s="386" t="s">
        <v>63</v>
      </c>
      <c r="S38" s="127"/>
      <c r="T38" s="127"/>
      <c r="U38" s="127"/>
      <c r="V38" s="305" t="str">
        <f>_xlfn.IFNA(VLOOKUP(D38,ProductListTbl[],9,0),"")</f>
        <v>-90° C to -60° C</v>
      </c>
      <c r="W38" s="305">
        <f>IFERROR(Table3[[#This Row],[Storage space per secondary packaging (cm3)]]*Table3[[#This Row],[Quantity  (vials or syringes)]]/1000,"")</f>
        <v>300</v>
      </c>
      <c r="X38" s="305">
        <f>IFERROR(Table3[[#This Row],[Storage space per tertiary packaging (cm3)]]*Table3[[#This Row],[Quantity (doses)]]/1000,"")</f>
        <v>15316.239316239316</v>
      </c>
      <c r="Y38" s="293">
        <f>IF(Table3[[#This Row],[Status]]="Ordered",(DATE(YEAR(P38),MONTH(P38),1)),IF(Table3[[#This Row],[Status]]="Received",(DATE(YEAR(Q38),MONTH(Q38),1)),""))</f>
        <v>44743</v>
      </c>
      <c r="Z38" s="304" t="str">
        <f t="shared" si="3"/>
        <v/>
      </c>
      <c r="AA38" s="48" t="str">
        <f t="shared" si="0"/>
        <v/>
      </c>
      <c r="AB38" s="48" t="str">
        <f t="shared" si="1"/>
        <v/>
      </c>
      <c r="AC38" s="292" t="str">
        <f t="shared" si="2"/>
        <v/>
      </c>
      <c r="AD38" s="48" t="str">
        <f>IF(Table3[[#This Row],[Actual Arrival date]]&gt;0,IF(Table3[[#This Row],[Expected arrival date]]&gt;0,Table3[[#This Row],[Actual Arrival date]]-Table3[[#This Row],[Expected arrival date]],""),"")</f>
        <v/>
      </c>
    </row>
    <row r="39" spans="1:30" x14ac:dyDescent="0.25">
      <c r="A39" s="303" t="str">
        <f>Start!$D$7</f>
        <v>Anyland</v>
      </c>
      <c r="B39" s="48" t="str">
        <f>_xlfn.IFNA(VLOOKUP(A39,list!B:C,2,FALSE),"")</f>
        <v>ANY</v>
      </c>
      <c r="C39" s="48"/>
      <c r="D39" s="127" t="s">
        <v>78</v>
      </c>
      <c r="E39" s="48" t="str">
        <f>_xlfn.IFNA(VLOOKUP(Table3[[#This Row],[Product]], ProductListTbl[], 3, 0), "")</f>
        <v>Pfizer-BioNTech</v>
      </c>
      <c r="F39" s="303" t="str">
        <f>_xlfn.IFNA(VLOOKUP(D39,ProductListTbl[],5,0),"")</f>
        <v>Pfizer</v>
      </c>
      <c r="G39" s="303">
        <f>_xlfn.IFNA(VLOOKUP(D39,ProductListTbl[],6,0),"")</f>
        <v>6</v>
      </c>
      <c r="H39" s="130">
        <f>_xlfn.IFNA(VLOOKUP(D39,ProductListTbl[],7,0),"")</f>
        <v>1.8</v>
      </c>
      <c r="I39" s="130">
        <f>_xlfn.IFNA(VLOOKUP(D39,ProductListTbl[],8,0),"")</f>
        <v>15.316239316239317</v>
      </c>
      <c r="J39" s="127"/>
      <c r="K39" s="390"/>
      <c r="L39" s="392">
        <v>1000000</v>
      </c>
      <c r="M39" s="305">
        <f>IFERROR(Table3[[#This Row],[Quantity (doses)]]/Table3[[#This Row],[Doses per vial or syringe]],"")</f>
        <v>166666.66666666666</v>
      </c>
      <c r="N39" s="127" t="s">
        <v>61</v>
      </c>
      <c r="O39" s="127" t="s">
        <v>82</v>
      </c>
      <c r="P39" s="381">
        <v>44774</v>
      </c>
      <c r="Q39" s="129"/>
      <c r="R39" s="386" t="s">
        <v>63</v>
      </c>
      <c r="S39" s="127"/>
      <c r="T39" s="127"/>
      <c r="U39" s="127"/>
      <c r="V39" s="305" t="str">
        <f>_xlfn.IFNA(VLOOKUP(D39,ProductListTbl[],9,0),"")</f>
        <v>-90° C to -60° C</v>
      </c>
      <c r="W39" s="305">
        <f>IFERROR(Table3[[#This Row],[Storage space per secondary packaging (cm3)]]*Table3[[#This Row],[Quantity  (vials or syringes)]]/1000,"")</f>
        <v>300</v>
      </c>
      <c r="X39" s="305">
        <f>IFERROR(Table3[[#This Row],[Storage space per tertiary packaging (cm3)]]*Table3[[#This Row],[Quantity (doses)]]/1000,"")</f>
        <v>15316.239316239316</v>
      </c>
      <c r="Y39" s="293">
        <f>IF(Table3[[#This Row],[Status]]="Ordered",(DATE(YEAR(P39),MONTH(P39),1)),IF(Table3[[#This Row],[Status]]="Received",(DATE(YEAR(Q39),MONTH(Q39),1)),""))</f>
        <v>44774</v>
      </c>
      <c r="Z39" s="304" t="str">
        <f t="shared" si="3"/>
        <v/>
      </c>
      <c r="AA39" s="48" t="str">
        <f t="shared" si="0"/>
        <v/>
      </c>
      <c r="AB39" s="48" t="str">
        <f t="shared" si="1"/>
        <v/>
      </c>
      <c r="AC39" s="292" t="str">
        <f t="shared" si="2"/>
        <v/>
      </c>
      <c r="AD39" s="48" t="str">
        <f>IF(Table3[[#This Row],[Actual Arrival date]]&gt;0,IF(Table3[[#This Row],[Expected arrival date]]&gt;0,Table3[[#This Row],[Actual Arrival date]]-Table3[[#This Row],[Expected arrival date]],""),"")</f>
        <v/>
      </c>
    </row>
    <row r="40" spans="1:30" x14ac:dyDescent="0.25">
      <c r="A40" s="303" t="str">
        <f>Start!$D$7</f>
        <v>Anyland</v>
      </c>
      <c r="B40" s="48" t="str">
        <f>_xlfn.IFNA(VLOOKUP(A40,list!B:C,2,FALSE),"")</f>
        <v>ANY</v>
      </c>
      <c r="C40" s="48"/>
      <c r="D40" s="386" t="s">
        <v>83</v>
      </c>
      <c r="E40" s="48" t="str">
        <f>_xlfn.IFNA(VLOOKUP(Table3[[#This Row],[Product]], ProductListTbl[], 3, 0), "")</f>
        <v>Pfizer-BioNTech</v>
      </c>
      <c r="F40" s="303" t="str">
        <f>_xlfn.IFNA(VLOOKUP(D40,ProductListTbl[],5,0),"")</f>
        <v>Pfizer</v>
      </c>
      <c r="G40" s="303">
        <f>_xlfn.IFNA(VLOOKUP(D40,ProductListTbl[],6,0),"")</f>
        <v>6</v>
      </c>
      <c r="H40" s="130">
        <f>_xlfn.IFNA(VLOOKUP(D40,ProductListTbl[],7,0),"")</f>
        <v>1.8</v>
      </c>
      <c r="I40" s="130">
        <f>_xlfn.IFNA(VLOOKUP(D40,ProductListTbl[],8,0),"")</f>
        <v>15.316239316239317</v>
      </c>
      <c r="J40" s="127"/>
      <c r="K40" s="390"/>
      <c r="L40" s="128"/>
      <c r="M40" s="305">
        <f>IFERROR(Table3[[#This Row],[Quantity (doses)]]/Table3[[#This Row],[Doses per vial or syringe]],"")</f>
        <v>0</v>
      </c>
      <c r="N40" s="127"/>
      <c r="O40" s="127"/>
      <c r="P40" s="381"/>
      <c r="Q40" s="129"/>
      <c r="R40" s="127"/>
      <c r="S40" s="127"/>
      <c r="T40" s="127"/>
      <c r="U40" s="127"/>
      <c r="V40" s="305" t="str">
        <f>_xlfn.IFNA(VLOOKUP(D40,ProductListTbl[],9,0),"")</f>
        <v>-90° C to -60° C</v>
      </c>
      <c r="W40" s="305">
        <f>IFERROR(Table3[[#This Row],[Storage space per secondary packaging (cm3)]]*Table3[[#This Row],[Quantity  (vials or syringes)]]/1000,"")</f>
        <v>0</v>
      </c>
      <c r="X40" s="305">
        <f>IFERROR(Table3[[#This Row],[Storage space per tertiary packaging (cm3)]]*Table3[[#This Row],[Quantity (doses)]]/1000,"")</f>
        <v>0</v>
      </c>
      <c r="Y40" s="293" t="str">
        <f>IF(Table3[[#This Row],[Status]]="Ordered",(DATE(YEAR(P40),MONTH(P40),1)),IF(Table3[[#This Row],[Status]]="Received",(DATE(YEAR(Q40),MONTH(Q40),1)),""))</f>
        <v/>
      </c>
      <c r="Z40" s="304" t="str">
        <f t="shared" si="3"/>
        <v/>
      </c>
      <c r="AA40" s="48" t="str">
        <f t="shared" si="0"/>
        <v/>
      </c>
      <c r="AB40" s="48" t="str">
        <f t="shared" si="1"/>
        <v/>
      </c>
      <c r="AC40" s="292" t="str">
        <f t="shared" si="2"/>
        <v/>
      </c>
      <c r="AD40" s="48" t="str">
        <f>IF(Table3[[#This Row],[Actual Arrival date]]&gt;0,IF(Table3[[#This Row],[Expected arrival date]]&gt;0,Table3[[#This Row],[Actual Arrival date]]-Table3[[#This Row],[Expected arrival date]],""),"")</f>
        <v/>
      </c>
    </row>
    <row r="41" spans="1:30" x14ac:dyDescent="0.25">
      <c r="A41" s="303" t="str">
        <f>Start!$D$7</f>
        <v>Anyland</v>
      </c>
      <c r="B41" s="48" t="str">
        <f>_xlfn.IFNA(VLOOKUP(A41,list!B:C,2,FALSE),"")</f>
        <v>ANY</v>
      </c>
      <c r="C41" s="48"/>
      <c r="D41" s="386" t="s">
        <v>68</v>
      </c>
      <c r="E41" s="48" t="str">
        <f>_xlfn.IFNA(VLOOKUP(Table3[[#This Row],[Product]], ProductListTbl[], 3, 0), "")</f>
        <v>Janssen</v>
      </c>
      <c r="F41" s="303" t="str">
        <f>_xlfn.IFNA(VLOOKUP(D41,ProductListTbl[],5,0),"")</f>
        <v>Jansen</v>
      </c>
      <c r="G41" s="303">
        <f>_xlfn.IFNA(VLOOKUP(D41,ProductListTbl[],6,0),"")</f>
        <v>5</v>
      </c>
      <c r="H41" s="130">
        <f>_xlfn.IFNA(VLOOKUP(D41,ProductListTbl[],7,0),"")</f>
        <v>3.82</v>
      </c>
      <c r="I41" s="130">
        <f>_xlfn.IFNA(VLOOKUP(D41,ProductListTbl[],8,0),"")</f>
        <v>5.3199100000000001</v>
      </c>
      <c r="J41" s="127" t="s">
        <v>84</v>
      </c>
      <c r="K41" s="390">
        <v>45261</v>
      </c>
      <c r="L41" s="128">
        <v>200000</v>
      </c>
      <c r="M41" s="305">
        <f>IFERROR(Table3[[#This Row],[Quantity (doses)]]/Table3[[#This Row],[Doses per vial or syringe]],"")</f>
        <v>40000</v>
      </c>
      <c r="N41" s="127" t="s">
        <v>61</v>
      </c>
      <c r="O41" s="127" t="s">
        <v>62</v>
      </c>
      <c r="P41" s="381">
        <v>44866</v>
      </c>
      <c r="Q41" s="129">
        <v>44868</v>
      </c>
      <c r="R41" s="127" t="s">
        <v>85</v>
      </c>
      <c r="S41" s="127"/>
      <c r="T41" s="127"/>
      <c r="U41" s="127"/>
      <c r="V41" s="305" t="str">
        <f>_xlfn.IFNA(VLOOKUP(D41,ProductListTbl[],9,0),"")</f>
        <v>2° C to 8° C</v>
      </c>
      <c r="W41" s="305">
        <f>IFERROR(Table3[[#This Row],[Storage space per secondary packaging (cm3)]]*Table3[[#This Row],[Quantity  (vials or syringes)]]/1000,"")</f>
        <v>152.80000000000001</v>
      </c>
      <c r="X41" s="305">
        <f>IFERROR(Table3[[#This Row],[Storage space per tertiary packaging (cm3)]]*Table3[[#This Row],[Quantity (doses)]]/1000,"")</f>
        <v>1063.982</v>
      </c>
      <c r="Y41" s="293">
        <f>IF(Table3[[#This Row],[Status]]="Ordered",(DATE(YEAR(P41),MONTH(P41),1)),IF(Table3[[#This Row],[Status]]="Received",(DATE(YEAR(Q41),MONTH(Q41),1)),""))</f>
        <v>44866</v>
      </c>
      <c r="Z41" s="304">
        <f t="shared" si="3"/>
        <v>12.91170431211499</v>
      </c>
      <c r="AA41" s="48">
        <f t="shared" si="0"/>
        <v>12</v>
      </c>
      <c r="AB41" s="48">
        <f t="shared" si="1"/>
        <v>2023</v>
      </c>
      <c r="AC41" s="292">
        <f t="shared" si="2"/>
        <v>45261</v>
      </c>
      <c r="AD41" s="48">
        <f>IF(Table3[[#This Row],[Actual Arrival date]]&gt;0,IF(Table3[[#This Row],[Expected arrival date]]&gt;0,Table3[[#This Row],[Actual Arrival date]]-Table3[[#This Row],[Expected arrival date]],""),"")</f>
        <v>2</v>
      </c>
    </row>
    <row r="42" spans="1:30" x14ac:dyDescent="0.25">
      <c r="A42" s="303" t="str">
        <f>Start!$D$7</f>
        <v>Anyland</v>
      </c>
      <c r="B42" s="48" t="str">
        <f>_xlfn.IFNA(VLOOKUP(A42,list!B:C,2,FALSE),"")</f>
        <v>ANY</v>
      </c>
      <c r="C42" s="48"/>
      <c r="D42" s="127"/>
      <c r="E42" s="48" t="str">
        <f>_xlfn.IFNA(VLOOKUP(Table3[[#This Row],[Product]], ProductListTbl[], 3, 0), "")</f>
        <v/>
      </c>
      <c r="F42" s="303" t="str">
        <f>_xlfn.IFNA(VLOOKUP(D42,ProductListTbl[],5,0),"")</f>
        <v/>
      </c>
      <c r="G42" s="303" t="str">
        <f>_xlfn.IFNA(VLOOKUP(D42,ProductListTbl[],6,0),"")</f>
        <v/>
      </c>
      <c r="H42" s="130" t="str">
        <f>_xlfn.IFNA(VLOOKUP(D42,ProductListTbl[],7,0),"")</f>
        <v/>
      </c>
      <c r="I42" s="130" t="str">
        <f>_xlfn.IFNA(VLOOKUP(D42,ProductListTbl[],8,0),"")</f>
        <v/>
      </c>
      <c r="J42" s="127"/>
      <c r="K42" s="129"/>
      <c r="L42" s="128"/>
      <c r="M42" s="305" t="str">
        <f>IFERROR(Table3[[#This Row],[Quantity (doses)]]/Table3[[#This Row],[Doses per vial or syringe]],"")</f>
        <v/>
      </c>
      <c r="N42" s="127"/>
      <c r="O42" s="127" t="s">
        <v>82</v>
      </c>
      <c r="P42" s="381"/>
      <c r="Q42" s="129"/>
      <c r="R42" s="127"/>
      <c r="S42" s="127"/>
      <c r="T42" s="127"/>
      <c r="U42" s="127"/>
      <c r="V42" s="305" t="str">
        <f>_xlfn.IFNA(VLOOKUP(D42,ProductListTbl[],9,0),"")</f>
        <v/>
      </c>
      <c r="W42" s="305" t="str">
        <f>IFERROR(Table3[[#This Row],[Storage space per secondary packaging (cm3)]]*Table3[[#This Row],[Quantity  (vials or syringes)]]/1000,"")</f>
        <v/>
      </c>
      <c r="X42" s="305" t="str">
        <f>IFERROR(Table3[[#This Row],[Storage space per tertiary packaging (cm3)]]*Table3[[#This Row],[Quantity (doses)]]/1000,"")</f>
        <v/>
      </c>
      <c r="Y42" s="293">
        <f>IF(Table3[[#This Row],[Status]]="Ordered",(DATE(YEAR(P42),MONTH(P42),1)),IF(Table3[[#This Row],[Status]]="Received",(DATE(YEAR(Q42),MONTH(Q42),1)),""))</f>
        <v>1</v>
      </c>
      <c r="Z42" s="304" t="str">
        <f t="shared" si="3"/>
        <v/>
      </c>
      <c r="AA42" s="48" t="str">
        <f t="shared" si="0"/>
        <v/>
      </c>
      <c r="AB42" s="48" t="str">
        <f t="shared" si="1"/>
        <v/>
      </c>
      <c r="AC42" s="292" t="str">
        <f t="shared" si="2"/>
        <v/>
      </c>
      <c r="AD42" s="48" t="str">
        <f>IF(Table3[[#This Row],[Actual Arrival date]]&gt;0,IF(Table3[[#This Row],[Expected arrival date]]&gt;0,Table3[[#This Row],[Actual Arrival date]]-Table3[[#This Row],[Expected arrival date]],""),"")</f>
        <v/>
      </c>
    </row>
    <row r="43" spans="1:30" x14ac:dyDescent="0.25">
      <c r="A43" s="303" t="str">
        <f>Start!$D$7</f>
        <v>Anyland</v>
      </c>
      <c r="B43" s="48" t="str">
        <f>_xlfn.IFNA(VLOOKUP(A43,list!B:C,2,FALSE),"")</f>
        <v>ANY</v>
      </c>
      <c r="C43" s="48"/>
      <c r="D43" s="127"/>
      <c r="E43" s="48" t="str">
        <f>_xlfn.IFNA(VLOOKUP(Table3[[#This Row],[Product]], ProductListTbl[], 3, 0), "")</f>
        <v/>
      </c>
      <c r="F43" s="303" t="str">
        <f>_xlfn.IFNA(VLOOKUP(D43,ProductListTbl[],5,0),"")</f>
        <v/>
      </c>
      <c r="G43" s="303" t="str">
        <f>_xlfn.IFNA(VLOOKUP(D43,ProductListTbl[],6,0),"")</f>
        <v/>
      </c>
      <c r="H43" s="130" t="str">
        <f>_xlfn.IFNA(VLOOKUP(D43,ProductListTbl[],7,0),"")</f>
        <v/>
      </c>
      <c r="I43" s="130" t="str">
        <f>_xlfn.IFNA(VLOOKUP(D43,ProductListTbl[],8,0),"")</f>
        <v/>
      </c>
      <c r="J43" s="127"/>
      <c r="K43" s="129"/>
      <c r="L43" s="128"/>
      <c r="M43" s="305" t="str">
        <f>IFERROR(Table3[[#This Row],[Quantity (doses)]]/Table3[[#This Row],[Doses per vial or syringe]],"")</f>
        <v/>
      </c>
      <c r="N43" s="127"/>
      <c r="O43" s="127"/>
      <c r="P43" s="381"/>
      <c r="Q43" s="129"/>
      <c r="R43" s="127"/>
      <c r="S43" s="127"/>
      <c r="T43" s="127"/>
      <c r="U43" s="127"/>
      <c r="V43" s="305" t="str">
        <f>_xlfn.IFNA(VLOOKUP(D43,ProductListTbl[],9,0),"")</f>
        <v/>
      </c>
      <c r="W43" s="305" t="str">
        <f>IFERROR(Table3[[#This Row],[Storage space per secondary packaging (cm3)]]*Table3[[#This Row],[Quantity  (vials or syringes)]]/1000,"")</f>
        <v/>
      </c>
      <c r="X43" s="305" t="str">
        <f>IFERROR(Table3[[#This Row],[Storage space per tertiary packaging (cm3)]]*Table3[[#This Row],[Quantity (doses)]]/1000,"")</f>
        <v/>
      </c>
      <c r="Y43" s="293" t="str">
        <f>IF(Table3[[#This Row],[Status]]="Ordered",(DATE(YEAR(P43),MONTH(P43),1)),IF(Table3[[#This Row],[Status]]="Received",(DATE(YEAR(Q43),MONTH(Q43),1)),""))</f>
        <v/>
      </c>
      <c r="Z43" s="304" t="str">
        <f t="shared" si="3"/>
        <v/>
      </c>
      <c r="AA43" s="48" t="str">
        <f t="shared" si="0"/>
        <v/>
      </c>
      <c r="AB43" s="48" t="str">
        <f t="shared" si="1"/>
        <v/>
      </c>
      <c r="AC43" s="292" t="str">
        <f t="shared" si="2"/>
        <v/>
      </c>
      <c r="AD43" s="48" t="str">
        <f>IF(Table3[[#This Row],[Actual Arrival date]]&gt;0,IF(Table3[[#This Row],[Expected arrival date]]&gt;0,Table3[[#This Row],[Actual Arrival date]]-Table3[[#This Row],[Expected arrival date]],""),"")</f>
        <v/>
      </c>
    </row>
    <row r="44" spans="1:30" x14ac:dyDescent="0.25">
      <c r="A44" s="303" t="str">
        <f>Start!$D$7</f>
        <v>Anyland</v>
      </c>
      <c r="B44" s="48" t="str">
        <f>_xlfn.IFNA(VLOOKUP(A44,list!B:C,2,FALSE),"")</f>
        <v>ANY</v>
      </c>
      <c r="C44" s="48"/>
      <c r="D44" s="127"/>
      <c r="E44" s="48" t="str">
        <f>_xlfn.IFNA(VLOOKUP(Table3[[#This Row],[Product]], ProductListTbl[], 3, 0), "")</f>
        <v/>
      </c>
      <c r="F44" s="303" t="str">
        <f>_xlfn.IFNA(VLOOKUP(D44,ProductListTbl[],5,0),"")</f>
        <v/>
      </c>
      <c r="G44" s="303" t="str">
        <f>_xlfn.IFNA(VLOOKUP(D44,ProductListTbl[],6,0),"")</f>
        <v/>
      </c>
      <c r="H44" s="130" t="str">
        <f>_xlfn.IFNA(VLOOKUP(D44,ProductListTbl[],7,0),"")</f>
        <v/>
      </c>
      <c r="I44" s="130" t="str">
        <f>_xlfn.IFNA(VLOOKUP(D44,ProductListTbl[],8,0),"")</f>
        <v/>
      </c>
      <c r="J44" s="127"/>
      <c r="K44" s="129"/>
      <c r="L44" s="128"/>
      <c r="M44" s="305" t="str">
        <f>IFERROR(Table3[[#This Row],[Quantity (doses)]]/Table3[[#This Row],[Doses per vial or syringe]],"")</f>
        <v/>
      </c>
      <c r="N44" s="127"/>
      <c r="O44" s="127"/>
      <c r="P44" s="381"/>
      <c r="Q44" s="129"/>
      <c r="R44" s="127"/>
      <c r="S44" s="127"/>
      <c r="T44" s="127"/>
      <c r="U44" s="127"/>
      <c r="V44" s="305" t="str">
        <f>_xlfn.IFNA(VLOOKUP(D44,ProductListTbl[],9,0),"")</f>
        <v/>
      </c>
      <c r="W44" s="305" t="str">
        <f>IFERROR(Table3[[#This Row],[Storage space per secondary packaging (cm3)]]*Table3[[#This Row],[Quantity  (vials or syringes)]]/1000,"")</f>
        <v/>
      </c>
      <c r="X44" s="305" t="str">
        <f>IFERROR(Table3[[#This Row],[Storage space per tertiary packaging (cm3)]]*Table3[[#This Row],[Quantity (doses)]]/1000,"")</f>
        <v/>
      </c>
      <c r="Y44" s="293" t="str">
        <f>IF(Table3[[#This Row],[Status]]="Ordered",(DATE(YEAR(P44),MONTH(P44),1)),IF(Table3[[#This Row],[Status]]="Received",(DATE(YEAR(Q44),MONTH(Q44),1)),""))</f>
        <v/>
      </c>
      <c r="Z44" s="304" t="str">
        <f t="shared" si="3"/>
        <v/>
      </c>
      <c r="AA44" s="48" t="str">
        <f t="shared" si="0"/>
        <v/>
      </c>
      <c r="AB44" s="48" t="str">
        <f t="shared" si="1"/>
        <v/>
      </c>
      <c r="AC44" s="292" t="str">
        <f t="shared" si="2"/>
        <v/>
      </c>
      <c r="AD44" s="48" t="str">
        <f>IF(Table3[[#This Row],[Actual Arrival date]]&gt;0,IF(Table3[[#This Row],[Expected arrival date]]&gt;0,Table3[[#This Row],[Actual Arrival date]]-Table3[[#This Row],[Expected arrival date]],""),"")</f>
        <v/>
      </c>
    </row>
    <row r="45" spans="1:30" x14ac:dyDescent="0.25">
      <c r="A45" s="303" t="str">
        <f>Start!$D$7</f>
        <v>Anyland</v>
      </c>
      <c r="B45" s="48" t="str">
        <f>_xlfn.IFNA(VLOOKUP(A45,list!B:C,2,FALSE),"")</f>
        <v>ANY</v>
      </c>
      <c r="C45" s="48"/>
      <c r="D45" s="127"/>
      <c r="E45" s="48" t="str">
        <f>_xlfn.IFNA(VLOOKUP(Table3[[#This Row],[Product]], ProductListTbl[], 3, 0), "")</f>
        <v/>
      </c>
      <c r="F45" s="303" t="str">
        <f>_xlfn.IFNA(VLOOKUP(D45,ProductListTbl[],5,0),"")</f>
        <v/>
      </c>
      <c r="G45" s="303" t="str">
        <f>_xlfn.IFNA(VLOOKUP(D45,ProductListTbl[],6,0),"")</f>
        <v/>
      </c>
      <c r="H45" s="130" t="str">
        <f>_xlfn.IFNA(VLOOKUP(D45,ProductListTbl[],7,0),"")</f>
        <v/>
      </c>
      <c r="I45" s="130" t="str">
        <f>_xlfn.IFNA(VLOOKUP(D45,ProductListTbl[],8,0),"")</f>
        <v/>
      </c>
      <c r="J45" s="127"/>
      <c r="K45" s="129"/>
      <c r="L45" s="128"/>
      <c r="M45" s="305" t="str">
        <f>IFERROR(Table3[[#This Row],[Quantity (doses)]]/Table3[[#This Row],[Doses per vial or syringe]],"")</f>
        <v/>
      </c>
      <c r="N45" s="127"/>
      <c r="O45" s="127"/>
      <c r="P45" s="381"/>
      <c r="Q45" s="129"/>
      <c r="R45" s="127"/>
      <c r="S45" s="127"/>
      <c r="T45" s="127"/>
      <c r="U45" s="127"/>
      <c r="V45" s="305" t="str">
        <f>_xlfn.IFNA(VLOOKUP(D45,ProductListTbl[],9,0),"")</f>
        <v/>
      </c>
      <c r="W45" s="305" t="str">
        <f>IFERROR(Table3[[#This Row],[Storage space per secondary packaging (cm3)]]*Table3[[#This Row],[Quantity  (vials or syringes)]]/1000,"")</f>
        <v/>
      </c>
      <c r="X45" s="305" t="str">
        <f>IFERROR(Table3[[#This Row],[Storage space per tertiary packaging (cm3)]]*Table3[[#This Row],[Quantity (doses)]]/1000,"")</f>
        <v/>
      </c>
      <c r="Y45" s="293" t="str">
        <f>IF(Table3[[#This Row],[Status]]="Ordered",(DATE(YEAR(P45),MONTH(P45),1)),IF(Table3[[#This Row],[Status]]="Received",(DATE(YEAR(Q45),MONTH(Q45),1)),""))</f>
        <v/>
      </c>
      <c r="Z45" s="304" t="str">
        <f t="shared" si="3"/>
        <v/>
      </c>
      <c r="AA45" s="48" t="str">
        <f t="shared" si="0"/>
        <v/>
      </c>
      <c r="AB45" s="48" t="str">
        <f t="shared" si="1"/>
        <v/>
      </c>
      <c r="AC45" s="292" t="str">
        <f t="shared" si="2"/>
        <v/>
      </c>
      <c r="AD45" s="48" t="str">
        <f>IF(Table3[[#This Row],[Actual Arrival date]]&gt;0,IF(Table3[[#This Row],[Expected arrival date]]&gt;0,Table3[[#This Row],[Actual Arrival date]]-Table3[[#This Row],[Expected arrival date]],""),"")</f>
        <v/>
      </c>
    </row>
    <row r="46" spans="1:30" x14ac:dyDescent="0.25">
      <c r="A46" s="303" t="str">
        <f>Start!$D$7</f>
        <v>Anyland</v>
      </c>
      <c r="B46" s="48" t="str">
        <f>_xlfn.IFNA(VLOOKUP(A46,list!B:C,2,FALSE),"")</f>
        <v>ANY</v>
      </c>
      <c r="C46" s="48"/>
      <c r="D46" s="127"/>
      <c r="E46" s="48" t="str">
        <f>_xlfn.IFNA(VLOOKUP(Table3[[#This Row],[Product]], ProductListTbl[], 3, 0), "")</f>
        <v/>
      </c>
      <c r="F46" s="303" t="str">
        <f>_xlfn.IFNA(VLOOKUP(D46,ProductListTbl[],5,0),"")</f>
        <v/>
      </c>
      <c r="G46" s="303" t="str">
        <f>_xlfn.IFNA(VLOOKUP(D46,ProductListTbl[],6,0),"")</f>
        <v/>
      </c>
      <c r="H46" s="130" t="str">
        <f>_xlfn.IFNA(VLOOKUP(D46,ProductListTbl[],7,0),"")</f>
        <v/>
      </c>
      <c r="I46" s="130" t="str">
        <f>_xlfn.IFNA(VLOOKUP(D46,ProductListTbl[],8,0),"")</f>
        <v/>
      </c>
      <c r="J46" s="127"/>
      <c r="K46" s="129"/>
      <c r="L46" s="128"/>
      <c r="M46" s="305" t="str">
        <f>IFERROR(Table3[[#This Row],[Quantity (doses)]]/Table3[[#This Row],[Doses per vial or syringe]],"")</f>
        <v/>
      </c>
      <c r="N46" s="127"/>
      <c r="O46" s="127"/>
      <c r="P46" s="381"/>
      <c r="Q46" s="129"/>
      <c r="R46" s="127"/>
      <c r="S46" s="127"/>
      <c r="T46" s="127"/>
      <c r="U46" s="127"/>
      <c r="V46" s="305" t="str">
        <f>_xlfn.IFNA(VLOOKUP(D46,ProductListTbl[],9,0),"")</f>
        <v/>
      </c>
      <c r="W46" s="305" t="str">
        <f>IFERROR(Table3[[#This Row],[Storage space per secondary packaging (cm3)]]*Table3[[#This Row],[Quantity  (vials or syringes)]]/1000,"")</f>
        <v/>
      </c>
      <c r="X46" s="305" t="str">
        <f>IFERROR(Table3[[#This Row],[Storage space per tertiary packaging (cm3)]]*Table3[[#This Row],[Quantity (doses)]]/1000,"")</f>
        <v/>
      </c>
      <c r="Y46" s="293" t="str">
        <f>IF(Table3[[#This Row],[Status]]="Ordered",(DATE(YEAR(P46),MONTH(P46),1)),IF(Table3[[#This Row],[Status]]="Received",(DATE(YEAR(Q46),MONTH(Q46),1)),""))</f>
        <v/>
      </c>
      <c r="Z46" s="304" t="str">
        <f t="shared" si="3"/>
        <v/>
      </c>
      <c r="AA46" s="48" t="str">
        <f t="shared" si="0"/>
        <v/>
      </c>
      <c r="AB46" s="48" t="str">
        <f t="shared" si="1"/>
        <v/>
      </c>
      <c r="AC46" s="292" t="str">
        <f t="shared" si="2"/>
        <v/>
      </c>
      <c r="AD46" s="48" t="str">
        <f>IF(Table3[[#This Row],[Actual Arrival date]]&gt;0,IF(Table3[[#This Row],[Expected arrival date]]&gt;0,Table3[[#This Row],[Actual Arrival date]]-Table3[[#This Row],[Expected arrival date]],""),"")</f>
        <v/>
      </c>
    </row>
    <row r="47" spans="1:30" x14ac:dyDescent="0.25">
      <c r="A47" s="303" t="str">
        <f>Start!$D$7</f>
        <v>Anyland</v>
      </c>
      <c r="B47" s="48" t="str">
        <f>_xlfn.IFNA(VLOOKUP(A47,list!B:C,2,FALSE),"")</f>
        <v>ANY</v>
      </c>
      <c r="C47" s="48"/>
      <c r="D47" s="127"/>
      <c r="E47" s="48" t="str">
        <f>_xlfn.IFNA(VLOOKUP(Table3[[#This Row],[Product]], ProductListTbl[], 3, 0), "")</f>
        <v/>
      </c>
      <c r="F47" s="303" t="str">
        <f>_xlfn.IFNA(VLOOKUP(D47,ProductListTbl[],5,0),"")</f>
        <v/>
      </c>
      <c r="G47" s="303" t="str">
        <f>_xlfn.IFNA(VLOOKUP(D47,ProductListTbl[],6,0),"")</f>
        <v/>
      </c>
      <c r="H47" s="130" t="str">
        <f>_xlfn.IFNA(VLOOKUP(D47,ProductListTbl[],7,0),"")</f>
        <v/>
      </c>
      <c r="I47" s="130" t="str">
        <f>_xlfn.IFNA(VLOOKUP(D47,ProductListTbl[],8,0),"")</f>
        <v/>
      </c>
      <c r="J47" s="127"/>
      <c r="K47" s="129"/>
      <c r="L47" s="128"/>
      <c r="M47" s="305" t="str">
        <f>IFERROR(Table3[[#This Row],[Quantity (doses)]]/Table3[[#This Row],[Doses per vial or syringe]],"")</f>
        <v/>
      </c>
      <c r="N47" s="127"/>
      <c r="O47" s="127"/>
      <c r="P47" s="381"/>
      <c r="Q47" s="129"/>
      <c r="R47" s="127"/>
      <c r="S47" s="127"/>
      <c r="T47" s="127"/>
      <c r="U47" s="127"/>
      <c r="V47" s="305" t="str">
        <f>_xlfn.IFNA(VLOOKUP(D47,ProductListTbl[],9,0),"")</f>
        <v/>
      </c>
      <c r="W47" s="305" t="str">
        <f>IFERROR(Table3[[#This Row],[Storage space per secondary packaging (cm3)]]*Table3[[#This Row],[Quantity  (vials or syringes)]]/1000,"")</f>
        <v/>
      </c>
      <c r="X47" s="305" t="str">
        <f>IFERROR(Table3[[#This Row],[Storage space per tertiary packaging (cm3)]]*Table3[[#This Row],[Quantity (doses)]]/1000,"")</f>
        <v/>
      </c>
      <c r="Y47" s="293" t="str">
        <f>IF(Table3[[#This Row],[Status]]="Ordered",(DATE(YEAR(P47),MONTH(P47),1)),IF(Table3[[#This Row],[Status]]="Received",(DATE(YEAR(Q47),MONTH(Q47),1)),""))</f>
        <v/>
      </c>
      <c r="Z47" s="304" t="str">
        <f t="shared" si="3"/>
        <v/>
      </c>
      <c r="AA47" s="48" t="str">
        <f t="shared" si="0"/>
        <v/>
      </c>
      <c r="AB47" s="48" t="str">
        <f t="shared" si="1"/>
        <v/>
      </c>
      <c r="AC47" s="292" t="str">
        <f t="shared" si="2"/>
        <v/>
      </c>
      <c r="AD47" s="48" t="str">
        <f>IF(Table3[[#This Row],[Actual Arrival date]]&gt;0,IF(Table3[[#This Row],[Expected arrival date]]&gt;0,Table3[[#This Row],[Actual Arrival date]]-Table3[[#This Row],[Expected arrival date]],""),"")</f>
        <v/>
      </c>
    </row>
    <row r="48" spans="1:30" x14ac:dyDescent="0.25">
      <c r="A48" s="303" t="str">
        <f>Start!$D$7</f>
        <v>Anyland</v>
      </c>
      <c r="B48" s="48" t="str">
        <f>_xlfn.IFNA(VLOOKUP(A48,list!B:C,2,FALSE),"")</f>
        <v>ANY</v>
      </c>
      <c r="C48" s="48"/>
      <c r="D48" s="127"/>
      <c r="E48" s="48" t="str">
        <f>_xlfn.IFNA(VLOOKUP(Table3[[#This Row],[Product]], ProductListTbl[], 3, 0), "")</f>
        <v/>
      </c>
      <c r="F48" s="303" t="str">
        <f>_xlfn.IFNA(VLOOKUP(D48,ProductListTbl[],5,0),"")</f>
        <v/>
      </c>
      <c r="G48" s="303" t="str">
        <f>_xlfn.IFNA(VLOOKUP(D48,ProductListTbl[],6,0),"")</f>
        <v/>
      </c>
      <c r="H48" s="130" t="str">
        <f>_xlfn.IFNA(VLOOKUP(D48,ProductListTbl[],7,0),"")</f>
        <v/>
      </c>
      <c r="I48" s="130" t="str">
        <f>_xlfn.IFNA(VLOOKUP(D48,ProductListTbl[],8,0),"")</f>
        <v/>
      </c>
      <c r="J48" s="127"/>
      <c r="K48" s="129"/>
      <c r="L48" s="128"/>
      <c r="M48" s="305" t="str">
        <f>IFERROR(Table3[[#This Row],[Quantity (doses)]]/Table3[[#This Row],[Doses per vial or syringe]],"")</f>
        <v/>
      </c>
      <c r="N48" s="127"/>
      <c r="O48" s="127"/>
      <c r="P48" s="381"/>
      <c r="Q48" s="129"/>
      <c r="R48" s="127"/>
      <c r="S48" s="127"/>
      <c r="T48" s="127"/>
      <c r="U48" s="127"/>
      <c r="V48" s="305" t="str">
        <f>_xlfn.IFNA(VLOOKUP(D48,ProductListTbl[],9,0),"")</f>
        <v/>
      </c>
      <c r="W48" s="305" t="str">
        <f>IFERROR(Table3[[#This Row],[Storage space per secondary packaging (cm3)]]*Table3[[#This Row],[Quantity  (vials or syringes)]]/1000,"")</f>
        <v/>
      </c>
      <c r="X48" s="305" t="str">
        <f>IFERROR(Table3[[#This Row],[Storage space per tertiary packaging (cm3)]]*Table3[[#This Row],[Quantity (doses)]]/1000,"")</f>
        <v/>
      </c>
      <c r="Y48" s="293" t="str">
        <f>IF(Table3[[#This Row],[Status]]="Ordered",(DATE(YEAR(P48),MONTH(P48),1)),IF(Table3[[#This Row],[Status]]="Received",(DATE(YEAR(Q48),MONTH(Q48),1)),""))</f>
        <v/>
      </c>
      <c r="Z48" s="304" t="str">
        <f t="shared" si="3"/>
        <v/>
      </c>
      <c r="AA48" s="48" t="str">
        <f t="shared" si="0"/>
        <v/>
      </c>
      <c r="AB48" s="48" t="str">
        <f t="shared" si="1"/>
        <v/>
      </c>
      <c r="AC48" s="292" t="str">
        <f t="shared" si="2"/>
        <v/>
      </c>
      <c r="AD48" s="48" t="str">
        <f>IF(Table3[[#This Row],[Actual Arrival date]]&gt;0,IF(Table3[[#This Row],[Expected arrival date]]&gt;0,Table3[[#This Row],[Actual Arrival date]]-Table3[[#This Row],[Expected arrival date]],""),"")</f>
        <v/>
      </c>
    </row>
    <row r="49" spans="1:37" x14ac:dyDescent="0.25">
      <c r="A49" s="303" t="str">
        <f>Start!$D$7</f>
        <v>Anyland</v>
      </c>
      <c r="B49" s="48" t="str">
        <f>_xlfn.IFNA(VLOOKUP(A49,list!B:C,2,FALSE),"")</f>
        <v>ANY</v>
      </c>
      <c r="C49" s="48"/>
      <c r="D49" s="127"/>
      <c r="E49" s="48" t="str">
        <f>_xlfn.IFNA(VLOOKUP(Table3[[#This Row],[Product]], ProductListTbl[], 3, 0), "")</f>
        <v/>
      </c>
      <c r="F49" s="303" t="str">
        <f>_xlfn.IFNA(VLOOKUP(D49,ProductListTbl[],5,0),"")</f>
        <v/>
      </c>
      <c r="G49" s="303" t="str">
        <f>_xlfn.IFNA(VLOOKUP(D49,ProductListTbl[],6,0),"")</f>
        <v/>
      </c>
      <c r="H49" s="130" t="str">
        <f>_xlfn.IFNA(VLOOKUP(D49,ProductListTbl[],7,0),"")</f>
        <v/>
      </c>
      <c r="I49" s="130" t="str">
        <f>_xlfn.IFNA(VLOOKUP(D49,ProductListTbl[],8,0),"")</f>
        <v/>
      </c>
      <c r="J49" s="127"/>
      <c r="K49" s="129"/>
      <c r="L49" s="128"/>
      <c r="M49" s="305" t="str">
        <f>IFERROR(Table3[[#This Row],[Quantity (doses)]]/Table3[[#This Row],[Doses per vial or syringe]],"")</f>
        <v/>
      </c>
      <c r="N49" s="127"/>
      <c r="O49" s="127"/>
      <c r="P49" s="381"/>
      <c r="Q49" s="129"/>
      <c r="R49" s="127"/>
      <c r="S49" s="127"/>
      <c r="T49" s="127"/>
      <c r="U49" s="127"/>
      <c r="V49" s="305" t="str">
        <f>_xlfn.IFNA(VLOOKUP(D49,ProductListTbl[],9,0),"")</f>
        <v/>
      </c>
      <c r="W49" s="305" t="str">
        <f>IFERROR(Table3[[#This Row],[Storage space per secondary packaging (cm3)]]*Table3[[#This Row],[Quantity  (vials or syringes)]]/1000,"")</f>
        <v/>
      </c>
      <c r="X49" s="305" t="str">
        <f>IFERROR(Table3[[#This Row],[Storage space per tertiary packaging (cm3)]]*Table3[[#This Row],[Quantity (doses)]]/1000,"")</f>
        <v/>
      </c>
      <c r="Y49" s="293" t="str">
        <f>IF(Table3[[#This Row],[Status]]="Ordered",(DATE(YEAR(P49),MONTH(P49),1)),IF(Table3[[#This Row],[Status]]="Received",(DATE(YEAR(Q49),MONTH(Q49),1)),""))</f>
        <v/>
      </c>
      <c r="Z49" s="304" t="str">
        <f t="shared" si="3"/>
        <v/>
      </c>
      <c r="AA49" s="48" t="str">
        <f t="shared" si="0"/>
        <v/>
      </c>
      <c r="AB49" s="48" t="str">
        <f t="shared" si="1"/>
        <v/>
      </c>
      <c r="AC49" s="292" t="str">
        <f t="shared" si="2"/>
        <v/>
      </c>
      <c r="AD49" s="48" t="str">
        <f>IF(Table3[[#This Row],[Actual Arrival date]]&gt;0,IF(Table3[[#This Row],[Expected arrival date]]&gt;0,Table3[[#This Row],[Actual Arrival date]]-Table3[[#This Row],[Expected arrival date]],""),"")</f>
        <v/>
      </c>
    </row>
    <row r="50" spans="1:37" x14ac:dyDescent="0.25">
      <c r="A50" s="303" t="str">
        <f>Start!$D$7</f>
        <v>Anyland</v>
      </c>
      <c r="B50" s="48" t="str">
        <f>_xlfn.IFNA(VLOOKUP(A50,list!B:C,2,FALSE),"")</f>
        <v>ANY</v>
      </c>
      <c r="C50" s="48"/>
      <c r="D50" s="127"/>
      <c r="E50" s="48" t="str">
        <f>_xlfn.IFNA(VLOOKUP(Table3[[#This Row],[Product]], ProductListTbl[], 3, 0), "")</f>
        <v/>
      </c>
      <c r="F50" s="303" t="str">
        <f>_xlfn.IFNA(VLOOKUP(D50,ProductListTbl[],5,0),"")</f>
        <v/>
      </c>
      <c r="G50" s="303" t="str">
        <f>_xlfn.IFNA(VLOOKUP(D50,ProductListTbl[],6,0),"")</f>
        <v/>
      </c>
      <c r="H50" s="130" t="str">
        <f>_xlfn.IFNA(VLOOKUP(D50,ProductListTbl[],7,0),"")</f>
        <v/>
      </c>
      <c r="I50" s="130" t="str">
        <f>_xlfn.IFNA(VLOOKUP(D50,ProductListTbl[],8,0),"")</f>
        <v/>
      </c>
      <c r="J50" s="127"/>
      <c r="K50" s="129"/>
      <c r="L50" s="128"/>
      <c r="M50" s="305" t="str">
        <f>IFERROR(Table3[[#This Row],[Quantity (doses)]]/Table3[[#This Row],[Doses per vial or syringe]],"")</f>
        <v/>
      </c>
      <c r="N50" s="127"/>
      <c r="O50" s="127"/>
      <c r="P50" s="381"/>
      <c r="Q50" s="129"/>
      <c r="R50" s="127"/>
      <c r="S50" s="127"/>
      <c r="T50" s="127"/>
      <c r="U50" s="127"/>
      <c r="V50" s="305" t="str">
        <f>_xlfn.IFNA(VLOOKUP(D50,ProductListTbl[],9,0),"")</f>
        <v/>
      </c>
      <c r="W50" s="305" t="str">
        <f>IFERROR(Table3[[#This Row],[Storage space per secondary packaging (cm3)]]*Table3[[#This Row],[Quantity  (vials or syringes)]]/1000,"")</f>
        <v/>
      </c>
      <c r="X50" s="305" t="str">
        <f>IFERROR(Table3[[#This Row],[Storage space per tertiary packaging (cm3)]]*Table3[[#This Row],[Quantity (doses)]]/1000,"")</f>
        <v/>
      </c>
      <c r="Y50" s="293" t="str">
        <f>IF(Table3[[#This Row],[Status]]="Ordered",(DATE(YEAR(P50),MONTH(P50),1)),IF(Table3[[#This Row],[Status]]="Received",(DATE(YEAR(Q50),MONTH(Q50),1)),""))</f>
        <v/>
      </c>
      <c r="Z50" s="304" t="str">
        <f t="shared" si="3"/>
        <v/>
      </c>
      <c r="AA50" s="48" t="str">
        <f t="shared" si="0"/>
        <v/>
      </c>
      <c r="AB50" s="48" t="str">
        <f t="shared" si="1"/>
        <v/>
      </c>
      <c r="AC50" s="292" t="str">
        <f t="shared" si="2"/>
        <v/>
      </c>
      <c r="AD50" s="48" t="str">
        <f>IF(Table3[[#This Row],[Actual Arrival date]]&gt;0,IF(Table3[[#This Row],[Expected arrival date]]&gt;0,Table3[[#This Row],[Actual Arrival date]]-Table3[[#This Row],[Expected arrival date]],""),"")</f>
        <v/>
      </c>
    </row>
    <row r="51" spans="1:37" x14ac:dyDescent="0.25">
      <c r="A51" s="303" t="str">
        <f>Start!$D$7</f>
        <v>Anyland</v>
      </c>
      <c r="B51" s="48" t="str">
        <f>_xlfn.IFNA(VLOOKUP(A51,list!B:C,2,FALSE),"")</f>
        <v>ANY</v>
      </c>
      <c r="C51" s="48"/>
      <c r="D51" s="127"/>
      <c r="E51" s="48" t="str">
        <f>_xlfn.IFNA(VLOOKUP(Table3[[#This Row],[Product]], ProductListTbl[], 3, 0), "")</f>
        <v/>
      </c>
      <c r="F51" s="303" t="str">
        <f>_xlfn.IFNA(VLOOKUP(D51,ProductListTbl[],5,0),"")</f>
        <v/>
      </c>
      <c r="G51" s="303" t="str">
        <f>_xlfn.IFNA(VLOOKUP(D51,ProductListTbl[],6,0),"")</f>
        <v/>
      </c>
      <c r="H51" s="130" t="str">
        <f>_xlfn.IFNA(VLOOKUP(D51,ProductListTbl[],7,0),"")</f>
        <v/>
      </c>
      <c r="I51" s="130" t="str">
        <f>_xlfn.IFNA(VLOOKUP(D51,ProductListTbl[],8,0),"")</f>
        <v/>
      </c>
      <c r="J51" s="127"/>
      <c r="K51" s="129"/>
      <c r="L51" s="128"/>
      <c r="M51" s="305" t="str">
        <f>IFERROR(Table3[[#This Row],[Quantity (doses)]]/Table3[[#This Row],[Doses per vial or syringe]],"")</f>
        <v/>
      </c>
      <c r="N51" s="127"/>
      <c r="O51" s="127"/>
      <c r="P51" s="381"/>
      <c r="Q51" s="129"/>
      <c r="R51" s="127"/>
      <c r="S51" s="127"/>
      <c r="T51" s="127"/>
      <c r="U51" s="127"/>
      <c r="V51" s="305" t="str">
        <f>_xlfn.IFNA(VLOOKUP(D51,ProductListTbl[],9,0),"")</f>
        <v/>
      </c>
      <c r="W51" s="305" t="str">
        <f>IFERROR(Table3[[#This Row],[Storage space per secondary packaging (cm3)]]*Table3[[#This Row],[Quantity  (vials or syringes)]]/1000,"")</f>
        <v/>
      </c>
      <c r="X51" s="305" t="str">
        <f>IFERROR(Table3[[#This Row],[Storage space per tertiary packaging (cm3)]]*Table3[[#This Row],[Quantity (doses)]]/1000,"")</f>
        <v/>
      </c>
      <c r="Y51" s="293" t="str">
        <f>IF(Table3[[#This Row],[Status]]="Ordered",(DATE(YEAR(P51),MONTH(P51),1)),IF(Table3[[#This Row],[Status]]="Received",(DATE(YEAR(Q51),MONTH(Q51),1)),""))</f>
        <v/>
      </c>
      <c r="Z51" s="304" t="str">
        <f t="shared" si="3"/>
        <v/>
      </c>
      <c r="AA51" s="48" t="str">
        <f t="shared" si="0"/>
        <v/>
      </c>
      <c r="AB51" s="48" t="str">
        <f t="shared" si="1"/>
        <v/>
      </c>
      <c r="AC51" s="292" t="str">
        <f t="shared" si="2"/>
        <v/>
      </c>
      <c r="AD51" s="48" t="str">
        <f>IF(Table3[[#This Row],[Actual Arrival date]]&gt;0,IF(Table3[[#This Row],[Expected arrival date]]&gt;0,Table3[[#This Row],[Actual Arrival date]]-Table3[[#This Row],[Expected arrival date]],""),"")</f>
        <v/>
      </c>
      <c r="AK51" s="15" t="s">
        <v>86</v>
      </c>
    </row>
    <row r="52" spans="1:37" x14ac:dyDescent="0.25">
      <c r="A52" s="303" t="str">
        <f>Start!$D$7</f>
        <v>Anyland</v>
      </c>
      <c r="B52" s="48" t="str">
        <f>_xlfn.IFNA(VLOOKUP(A52,list!B:C,2,FALSE),"")</f>
        <v>ANY</v>
      </c>
      <c r="C52" s="48"/>
      <c r="D52" s="127"/>
      <c r="E52" s="48" t="str">
        <f>_xlfn.IFNA(VLOOKUP(Table3[[#This Row],[Product]], ProductListTbl[], 3, 0), "")</f>
        <v/>
      </c>
      <c r="F52" s="303" t="str">
        <f>_xlfn.IFNA(VLOOKUP(D52,ProductListTbl[],5,0),"")</f>
        <v/>
      </c>
      <c r="G52" s="303" t="str">
        <f>_xlfn.IFNA(VLOOKUP(D52,ProductListTbl[],6,0),"")</f>
        <v/>
      </c>
      <c r="H52" s="130" t="str">
        <f>_xlfn.IFNA(VLOOKUP(D52,ProductListTbl[],7,0),"")</f>
        <v/>
      </c>
      <c r="I52" s="130" t="str">
        <f>_xlfn.IFNA(VLOOKUP(D52,ProductListTbl[],8,0),"")</f>
        <v/>
      </c>
      <c r="J52" s="127"/>
      <c r="K52" s="129"/>
      <c r="L52" s="128"/>
      <c r="M52" s="305" t="str">
        <f>IFERROR(Table3[[#This Row],[Quantity (doses)]]/Table3[[#This Row],[Doses per vial or syringe]],"")</f>
        <v/>
      </c>
      <c r="N52" s="127"/>
      <c r="O52" s="127"/>
      <c r="P52" s="381"/>
      <c r="Q52" s="129"/>
      <c r="R52" s="127"/>
      <c r="S52" s="127"/>
      <c r="T52" s="127"/>
      <c r="U52" s="127"/>
      <c r="V52" s="305" t="str">
        <f>_xlfn.IFNA(VLOOKUP(D52,ProductListTbl[],9,0),"")</f>
        <v/>
      </c>
      <c r="W52" s="305" t="str">
        <f>IFERROR(Table3[[#This Row],[Storage space per secondary packaging (cm3)]]*Table3[[#This Row],[Quantity  (vials or syringes)]]/1000,"")</f>
        <v/>
      </c>
      <c r="X52" s="305" t="str">
        <f>IFERROR(Table3[[#This Row],[Storage space per tertiary packaging (cm3)]]*Table3[[#This Row],[Quantity (doses)]]/1000,"")</f>
        <v/>
      </c>
      <c r="Y52" s="293" t="str">
        <f>IF(Table3[[#This Row],[Status]]="Ordered",(DATE(YEAR(P52),MONTH(P52),1)),IF(Table3[[#This Row],[Status]]="Received",(DATE(YEAR(Q52),MONTH(Q52),1)),""))</f>
        <v/>
      </c>
      <c r="Z52" s="304" t="str">
        <f t="shared" si="3"/>
        <v/>
      </c>
      <c r="AA52" s="48" t="str">
        <f t="shared" si="0"/>
        <v/>
      </c>
      <c r="AB52" s="48" t="str">
        <f t="shared" si="1"/>
        <v/>
      </c>
      <c r="AC52" s="292" t="str">
        <f t="shared" si="2"/>
        <v/>
      </c>
      <c r="AD52" s="48" t="str">
        <f>IF(Table3[[#This Row],[Actual Arrival date]]&gt;0,IF(Table3[[#This Row],[Expected arrival date]]&gt;0,Table3[[#This Row],[Actual Arrival date]]-Table3[[#This Row],[Expected arrival date]],""),"")</f>
        <v/>
      </c>
    </row>
    <row r="53" spans="1:37" x14ac:dyDescent="0.25">
      <c r="A53" s="303" t="str">
        <f>Start!$D$7</f>
        <v>Anyland</v>
      </c>
      <c r="B53" s="48" t="str">
        <f>_xlfn.IFNA(VLOOKUP(A53,list!B:C,2,FALSE),"")</f>
        <v>ANY</v>
      </c>
      <c r="C53" s="48"/>
      <c r="D53" s="127"/>
      <c r="E53" s="48" t="str">
        <f>_xlfn.IFNA(VLOOKUP(Table3[[#This Row],[Product]], ProductListTbl[], 3, 0), "")</f>
        <v/>
      </c>
      <c r="F53" s="303" t="str">
        <f>_xlfn.IFNA(VLOOKUP(D53,ProductListTbl[],5,0),"")</f>
        <v/>
      </c>
      <c r="G53" s="303" t="str">
        <f>_xlfn.IFNA(VLOOKUP(D53,ProductListTbl[],6,0),"")</f>
        <v/>
      </c>
      <c r="H53" s="130" t="str">
        <f>_xlfn.IFNA(VLOOKUP(D53,ProductListTbl[],7,0),"")</f>
        <v/>
      </c>
      <c r="I53" s="130" t="str">
        <f>_xlfn.IFNA(VLOOKUP(D53,ProductListTbl[],8,0),"")</f>
        <v/>
      </c>
      <c r="J53" s="127"/>
      <c r="K53" s="129"/>
      <c r="L53" s="128"/>
      <c r="M53" s="305" t="str">
        <f>IFERROR(Table3[[#This Row],[Quantity (doses)]]/Table3[[#This Row],[Doses per vial or syringe]],"")</f>
        <v/>
      </c>
      <c r="N53" s="127"/>
      <c r="O53" s="127"/>
      <c r="P53" s="381"/>
      <c r="Q53" s="129"/>
      <c r="R53" s="127"/>
      <c r="S53" s="127"/>
      <c r="T53" s="127"/>
      <c r="U53" s="127"/>
      <c r="V53" s="305" t="str">
        <f>_xlfn.IFNA(VLOOKUP(D53,ProductListTbl[],9,0),"")</f>
        <v/>
      </c>
      <c r="W53" s="305" t="str">
        <f>IFERROR(Table3[[#This Row],[Storage space per secondary packaging (cm3)]]*Table3[[#This Row],[Quantity  (vials or syringes)]]/1000,"")</f>
        <v/>
      </c>
      <c r="X53" s="305" t="str">
        <f>IFERROR(Table3[[#This Row],[Storage space per tertiary packaging (cm3)]]*Table3[[#This Row],[Quantity (doses)]]/1000,"")</f>
        <v/>
      </c>
      <c r="Y53" s="293" t="str">
        <f>IF(Table3[[#This Row],[Status]]="Ordered",(DATE(YEAR(P53),MONTH(P53),1)),IF(Table3[[#This Row],[Status]]="Received",(DATE(YEAR(Q53),MONTH(Q53),1)),""))</f>
        <v/>
      </c>
      <c r="Z53" s="304" t="str">
        <f t="shared" si="3"/>
        <v/>
      </c>
      <c r="AA53" s="48" t="str">
        <f t="shared" si="0"/>
        <v/>
      </c>
      <c r="AB53" s="48" t="str">
        <f t="shared" si="1"/>
        <v/>
      </c>
      <c r="AC53" s="292" t="str">
        <f t="shared" si="2"/>
        <v/>
      </c>
      <c r="AD53" s="48" t="str">
        <f>IF(Table3[[#This Row],[Actual Arrival date]]&gt;0,IF(Table3[[#This Row],[Expected arrival date]]&gt;0,Table3[[#This Row],[Actual Arrival date]]-Table3[[#This Row],[Expected arrival date]],""),"")</f>
        <v/>
      </c>
    </row>
    <row r="54" spans="1:37" x14ac:dyDescent="0.25">
      <c r="A54" s="303" t="str">
        <f>Start!$D$7</f>
        <v>Anyland</v>
      </c>
      <c r="B54" s="48" t="str">
        <f>_xlfn.IFNA(VLOOKUP(A54,list!B:C,2,FALSE),"")</f>
        <v>ANY</v>
      </c>
      <c r="C54" s="48"/>
      <c r="D54" s="127"/>
      <c r="E54" s="48" t="str">
        <f>_xlfn.IFNA(VLOOKUP(Table3[[#This Row],[Product]], ProductListTbl[], 3, 0), "")</f>
        <v/>
      </c>
      <c r="F54" s="303" t="str">
        <f>_xlfn.IFNA(VLOOKUP(D54,ProductListTbl[],5,0),"")</f>
        <v/>
      </c>
      <c r="G54" s="303" t="str">
        <f>_xlfn.IFNA(VLOOKUP(D54,ProductListTbl[],6,0),"")</f>
        <v/>
      </c>
      <c r="H54" s="130" t="str">
        <f>_xlfn.IFNA(VLOOKUP(D54,ProductListTbl[],7,0),"")</f>
        <v/>
      </c>
      <c r="I54" s="130" t="str">
        <f>_xlfn.IFNA(VLOOKUP(D54,ProductListTbl[],8,0),"")</f>
        <v/>
      </c>
      <c r="J54" s="127"/>
      <c r="K54" s="129"/>
      <c r="L54" s="128"/>
      <c r="M54" s="305" t="str">
        <f>IFERROR(Table3[[#This Row],[Quantity (doses)]]/Table3[[#This Row],[Doses per vial or syringe]],"")</f>
        <v/>
      </c>
      <c r="N54" s="127"/>
      <c r="O54" s="127"/>
      <c r="P54" s="381"/>
      <c r="Q54" s="129"/>
      <c r="R54" s="127"/>
      <c r="S54" s="127"/>
      <c r="T54" s="127"/>
      <c r="U54" s="127"/>
      <c r="V54" s="305" t="str">
        <f>_xlfn.IFNA(VLOOKUP(D54,ProductListTbl[],9,0),"")</f>
        <v/>
      </c>
      <c r="W54" s="305" t="str">
        <f>IFERROR(Table3[[#This Row],[Storage space per secondary packaging (cm3)]]*Table3[[#This Row],[Quantity  (vials or syringes)]]/1000,"")</f>
        <v/>
      </c>
      <c r="X54" s="305" t="str">
        <f>IFERROR(Table3[[#This Row],[Storage space per tertiary packaging (cm3)]]*Table3[[#This Row],[Quantity (doses)]]/1000,"")</f>
        <v/>
      </c>
      <c r="Y54" s="293" t="str">
        <f>IF(Table3[[#This Row],[Status]]="Ordered",(DATE(YEAR(P54),MONTH(P54),1)),IF(Table3[[#This Row],[Status]]="Received",(DATE(YEAR(Q54),MONTH(Q54),1)),""))</f>
        <v/>
      </c>
      <c r="Z54" s="304" t="str">
        <f t="shared" si="3"/>
        <v/>
      </c>
      <c r="AA54" s="48" t="str">
        <f t="shared" si="0"/>
        <v/>
      </c>
      <c r="AB54" s="48" t="str">
        <f t="shared" si="1"/>
        <v/>
      </c>
      <c r="AC54" s="292" t="str">
        <f t="shared" si="2"/>
        <v/>
      </c>
      <c r="AD54" s="48" t="str">
        <f>IF(Table3[[#This Row],[Actual Arrival date]]&gt;0,IF(Table3[[#This Row],[Expected arrival date]]&gt;0,Table3[[#This Row],[Actual Arrival date]]-Table3[[#This Row],[Expected arrival date]],""),"")</f>
        <v/>
      </c>
    </row>
    <row r="55" spans="1:37" x14ac:dyDescent="0.25">
      <c r="A55" s="303" t="str">
        <f>Start!$D$7</f>
        <v>Anyland</v>
      </c>
      <c r="B55" s="48" t="str">
        <f>_xlfn.IFNA(VLOOKUP(A55,list!B:C,2,FALSE),"")</f>
        <v>ANY</v>
      </c>
      <c r="C55" s="48"/>
      <c r="D55" s="127"/>
      <c r="E55" s="48" t="str">
        <f>_xlfn.IFNA(VLOOKUP(Table3[[#This Row],[Product]], ProductListTbl[], 3, 0), "")</f>
        <v/>
      </c>
      <c r="F55" s="303" t="str">
        <f>_xlfn.IFNA(VLOOKUP(D55,ProductListTbl[],5,0),"")</f>
        <v/>
      </c>
      <c r="G55" s="303" t="str">
        <f>_xlfn.IFNA(VLOOKUP(D55,ProductListTbl[],6,0),"")</f>
        <v/>
      </c>
      <c r="H55" s="130" t="str">
        <f>_xlfn.IFNA(VLOOKUP(D55,ProductListTbl[],7,0),"")</f>
        <v/>
      </c>
      <c r="I55" s="130" t="str">
        <f>_xlfn.IFNA(VLOOKUP(D55,ProductListTbl[],8,0),"")</f>
        <v/>
      </c>
      <c r="J55" s="127"/>
      <c r="K55" s="129"/>
      <c r="L55" s="128"/>
      <c r="M55" s="305" t="str">
        <f>IFERROR(Table3[[#This Row],[Quantity (doses)]]/Table3[[#This Row],[Doses per vial or syringe]],"")</f>
        <v/>
      </c>
      <c r="N55" s="127"/>
      <c r="O55" s="127"/>
      <c r="P55" s="381"/>
      <c r="Q55" s="129"/>
      <c r="R55" s="127"/>
      <c r="S55" s="127"/>
      <c r="T55" s="127"/>
      <c r="U55" s="127"/>
      <c r="V55" s="305" t="str">
        <f>_xlfn.IFNA(VLOOKUP(D55,ProductListTbl[],9,0),"")</f>
        <v/>
      </c>
      <c r="W55" s="305" t="str">
        <f>IFERROR(Table3[[#This Row],[Storage space per secondary packaging (cm3)]]*Table3[[#This Row],[Quantity  (vials or syringes)]]/1000,"")</f>
        <v/>
      </c>
      <c r="X55" s="305" t="str">
        <f>IFERROR(Table3[[#This Row],[Storage space per tertiary packaging (cm3)]]*Table3[[#This Row],[Quantity (doses)]]/1000,"")</f>
        <v/>
      </c>
      <c r="Y55" s="293" t="str">
        <f>IF(Table3[[#This Row],[Status]]="Ordered",(DATE(YEAR(P55),MONTH(P55),1)),IF(Table3[[#This Row],[Status]]="Received",(DATE(YEAR(Q55),MONTH(Q55),1)),""))</f>
        <v/>
      </c>
      <c r="Z55" s="304" t="str">
        <f t="shared" si="3"/>
        <v/>
      </c>
      <c r="AA55" s="48" t="str">
        <f t="shared" si="0"/>
        <v/>
      </c>
      <c r="AB55" s="48" t="str">
        <f t="shared" si="1"/>
        <v/>
      </c>
      <c r="AC55" s="292" t="str">
        <f t="shared" si="2"/>
        <v/>
      </c>
      <c r="AD55" s="48" t="str">
        <f>IF(Table3[[#This Row],[Actual Arrival date]]&gt;0,IF(Table3[[#This Row],[Expected arrival date]]&gt;0,Table3[[#This Row],[Actual Arrival date]]-Table3[[#This Row],[Expected arrival date]],""),"")</f>
        <v/>
      </c>
    </row>
    <row r="56" spans="1:37" x14ac:dyDescent="0.25">
      <c r="A56" s="303" t="str">
        <f>Start!$D$7</f>
        <v>Anyland</v>
      </c>
      <c r="B56" s="48" t="str">
        <f>_xlfn.IFNA(VLOOKUP(A56,list!B:C,2,FALSE),"")</f>
        <v>ANY</v>
      </c>
      <c r="C56" s="48"/>
      <c r="D56" s="127"/>
      <c r="E56" s="48" t="str">
        <f>_xlfn.IFNA(VLOOKUP(Table3[[#This Row],[Product]], ProductListTbl[], 3, 0), "")</f>
        <v/>
      </c>
      <c r="F56" s="303" t="str">
        <f>_xlfn.IFNA(VLOOKUP(D56,ProductListTbl[],5,0),"")</f>
        <v/>
      </c>
      <c r="G56" s="303" t="str">
        <f>_xlfn.IFNA(VLOOKUP(D56,ProductListTbl[],6,0),"")</f>
        <v/>
      </c>
      <c r="H56" s="130" t="str">
        <f>_xlfn.IFNA(VLOOKUP(D56,ProductListTbl[],7,0),"")</f>
        <v/>
      </c>
      <c r="I56" s="130" t="str">
        <f>_xlfn.IFNA(VLOOKUP(D56,ProductListTbl[],8,0),"")</f>
        <v/>
      </c>
      <c r="J56" s="127"/>
      <c r="K56" s="129"/>
      <c r="L56" s="128"/>
      <c r="M56" s="305" t="str">
        <f>IFERROR(Table3[[#This Row],[Quantity (doses)]]/Table3[[#This Row],[Doses per vial or syringe]],"")</f>
        <v/>
      </c>
      <c r="N56" s="127"/>
      <c r="O56" s="127"/>
      <c r="P56" s="381"/>
      <c r="Q56" s="129"/>
      <c r="R56" s="127"/>
      <c r="S56" s="127"/>
      <c r="T56" s="127"/>
      <c r="U56" s="127"/>
      <c r="V56" s="305" t="str">
        <f>_xlfn.IFNA(VLOOKUP(D56,ProductListTbl[],9,0),"")</f>
        <v/>
      </c>
      <c r="W56" s="305" t="str">
        <f>IFERROR(Table3[[#This Row],[Storage space per secondary packaging (cm3)]]*Table3[[#This Row],[Quantity  (vials or syringes)]]/1000,"")</f>
        <v/>
      </c>
      <c r="X56" s="305" t="str">
        <f>IFERROR(Table3[[#This Row],[Storage space per tertiary packaging (cm3)]]*Table3[[#This Row],[Quantity (doses)]]/1000,"")</f>
        <v/>
      </c>
      <c r="Y56" s="293" t="str">
        <f>IF(Table3[[#This Row],[Status]]="Ordered",(DATE(YEAR(P56),MONTH(P56),1)),IF(Table3[[#This Row],[Status]]="Received",(DATE(YEAR(Q56),MONTH(Q56),1)),""))</f>
        <v/>
      </c>
      <c r="Z56" s="304" t="str">
        <f t="shared" si="3"/>
        <v/>
      </c>
      <c r="AA56" s="48" t="str">
        <f t="shared" si="0"/>
        <v/>
      </c>
      <c r="AB56" s="48" t="str">
        <f t="shared" si="1"/>
        <v/>
      </c>
      <c r="AC56" s="292" t="str">
        <f t="shared" si="2"/>
        <v/>
      </c>
      <c r="AD56" s="48" t="str">
        <f>IF(Table3[[#This Row],[Actual Arrival date]]&gt;0,IF(Table3[[#This Row],[Expected arrival date]]&gt;0,Table3[[#This Row],[Actual Arrival date]]-Table3[[#This Row],[Expected arrival date]],""),"")</f>
        <v/>
      </c>
    </row>
    <row r="57" spans="1:37" x14ac:dyDescent="0.25">
      <c r="A57" s="303" t="str">
        <f>Start!$D$7</f>
        <v>Anyland</v>
      </c>
      <c r="B57" s="48" t="str">
        <f>_xlfn.IFNA(VLOOKUP(A57,list!B:C,2,FALSE),"")</f>
        <v>ANY</v>
      </c>
      <c r="C57" s="48"/>
      <c r="D57" s="127"/>
      <c r="E57" s="48" t="str">
        <f>_xlfn.IFNA(VLOOKUP(Table3[[#This Row],[Product]], ProductListTbl[], 3, 0), "")</f>
        <v/>
      </c>
      <c r="F57" s="303" t="str">
        <f>_xlfn.IFNA(VLOOKUP(D57,ProductListTbl[],5,0),"")</f>
        <v/>
      </c>
      <c r="G57" s="303" t="str">
        <f>_xlfn.IFNA(VLOOKUP(D57,ProductListTbl[],6,0),"")</f>
        <v/>
      </c>
      <c r="H57" s="130" t="str">
        <f>_xlfn.IFNA(VLOOKUP(D57,ProductListTbl[],7,0),"")</f>
        <v/>
      </c>
      <c r="I57" s="130" t="str">
        <f>_xlfn.IFNA(VLOOKUP(D57,ProductListTbl[],8,0),"")</f>
        <v/>
      </c>
      <c r="J57" s="127"/>
      <c r="K57" s="129"/>
      <c r="L57" s="128"/>
      <c r="M57" s="305" t="str">
        <f>IFERROR(Table3[[#This Row],[Quantity (doses)]]/Table3[[#This Row],[Doses per vial or syringe]],"")</f>
        <v/>
      </c>
      <c r="N57" s="127"/>
      <c r="O57" s="127"/>
      <c r="P57" s="381"/>
      <c r="Q57" s="129"/>
      <c r="R57" s="127"/>
      <c r="S57" s="127"/>
      <c r="T57" s="127"/>
      <c r="U57" s="127"/>
      <c r="V57" s="305" t="str">
        <f>_xlfn.IFNA(VLOOKUP(D57,ProductListTbl[],9,0),"")</f>
        <v/>
      </c>
      <c r="W57" s="305" t="str">
        <f>IFERROR(Table3[[#This Row],[Storage space per secondary packaging (cm3)]]*Table3[[#This Row],[Quantity  (vials or syringes)]]/1000,"")</f>
        <v/>
      </c>
      <c r="X57" s="305" t="str">
        <f>IFERROR(Table3[[#This Row],[Storage space per tertiary packaging (cm3)]]*Table3[[#This Row],[Quantity (doses)]]/1000,"")</f>
        <v/>
      </c>
      <c r="Y57" s="293" t="str">
        <f>IF(Table3[[#This Row],[Status]]="Ordered",(DATE(YEAR(P57),MONTH(P57),1)),IF(Table3[[#This Row],[Status]]="Received",(DATE(YEAR(Q57),MONTH(Q57),1)),""))</f>
        <v/>
      </c>
      <c r="Z57" s="304" t="str">
        <f t="shared" si="3"/>
        <v/>
      </c>
      <c r="AA57" s="48" t="str">
        <f t="shared" si="0"/>
        <v/>
      </c>
      <c r="AB57" s="48" t="str">
        <f t="shared" si="1"/>
        <v/>
      </c>
      <c r="AC57" s="292" t="str">
        <f t="shared" si="2"/>
        <v/>
      </c>
      <c r="AD57" s="48" t="str">
        <f>IF(Table3[[#This Row],[Actual Arrival date]]&gt;0,IF(Table3[[#This Row],[Expected arrival date]]&gt;0,Table3[[#This Row],[Actual Arrival date]]-Table3[[#This Row],[Expected arrival date]],""),"")</f>
        <v/>
      </c>
    </row>
    <row r="58" spans="1:37" x14ac:dyDescent="0.25">
      <c r="A58" s="303" t="str">
        <f>Start!$D$7</f>
        <v>Anyland</v>
      </c>
      <c r="B58" s="48" t="str">
        <f>_xlfn.IFNA(VLOOKUP(A58,list!B:C,2,FALSE),"")</f>
        <v>ANY</v>
      </c>
      <c r="C58" s="48"/>
      <c r="D58" s="127"/>
      <c r="E58" s="48" t="str">
        <f>_xlfn.IFNA(VLOOKUP(Table3[[#This Row],[Product]], ProductListTbl[], 3, 0), "")</f>
        <v/>
      </c>
      <c r="F58" s="303" t="str">
        <f>_xlfn.IFNA(VLOOKUP(D58,ProductListTbl[],5,0),"")</f>
        <v/>
      </c>
      <c r="G58" s="303" t="str">
        <f>_xlfn.IFNA(VLOOKUP(D58,ProductListTbl[],6,0),"")</f>
        <v/>
      </c>
      <c r="H58" s="130" t="str">
        <f>_xlfn.IFNA(VLOOKUP(D58,ProductListTbl[],7,0),"")</f>
        <v/>
      </c>
      <c r="I58" s="130" t="str">
        <f>_xlfn.IFNA(VLOOKUP(D58,ProductListTbl[],8,0),"")</f>
        <v/>
      </c>
      <c r="J58" s="127"/>
      <c r="K58" s="129"/>
      <c r="L58" s="128"/>
      <c r="M58" s="305" t="str">
        <f>IFERROR(Table3[[#This Row],[Quantity (doses)]]/Table3[[#This Row],[Doses per vial or syringe]],"")</f>
        <v/>
      </c>
      <c r="N58" s="127"/>
      <c r="O58" s="127"/>
      <c r="P58" s="381"/>
      <c r="Q58" s="129"/>
      <c r="R58" s="127"/>
      <c r="S58" s="127"/>
      <c r="T58" s="127"/>
      <c r="U58" s="127"/>
      <c r="V58" s="305" t="str">
        <f>_xlfn.IFNA(VLOOKUP(D58,ProductListTbl[],9,0),"")</f>
        <v/>
      </c>
      <c r="W58" s="305" t="str">
        <f>IFERROR(Table3[[#This Row],[Storage space per secondary packaging (cm3)]]*Table3[[#This Row],[Quantity  (vials or syringes)]]/1000,"")</f>
        <v/>
      </c>
      <c r="X58" s="305" t="str">
        <f>IFERROR(Table3[[#This Row],[Storage space per tertiary packaging (cm3)]]*Table3[[#This Row],[Quantity (doses)]]/1000,"")</f>
        <v/>
      </c>
      <c r="Y58" s="293" t="str">
        <f>IF(Table3[[#This Row],[Status]]="Ordered",(DATE(YEAR(P58),MONTH(P58),1)),IF(Table3[[#This Row],[Status]]="Received",(DATE(YEAR(Q58),MONTH(Q58),1)),""))</f>
        <v/>
      </c>
      <c r="Z58" s="304" t="str">
        <f t="shared" si="3"/>
        <v/>
      </c>
      <c r="AA58" s="48" t="str">
        <f t="shared" si="0"/>
        <v/>
      </c>
      <c r="AB58" s="48" t="str">
        <f t="shared" si="1"/>
        <v/>
      </c>
      <c r="AC58" s="292" t="str">
        <f t="shared" si="2"/>
        <v/>
      </c>
      <c r="AD58" s="48" t="str">
        <f>IF(Table3[[#This Row],[Actual Arrival date]]&gt;0,IF(Table3[[#This Row],[Expected arrival date]]&gt;0,Table3[[#This Row],[Actual Arrival date]]-Table3[[#This Row],[Expected arrival date]],""),"")</f>
        <v/>
      </c>
    </row>
    <row r="59" spans="1:37" x14ac:dyDescent="0.25">
      <c r="A59" s="303" t="str">
        <f>Start!$D$7</f>
        <v>Anyland</v>
      </c>
      <c r="B59" s="48" t="str">
        <f>_xlfn.IFNA(VLOOKUP(A59,list!B:C,2,FALSE),"")</f>
        <v>ANY</v>
      </c>
      <c r="C59" s="48"/>
      <c r="D59" s="127"/>
      <c r="E59" s="48" t="str">
        <f>_xlfn.IFNA(VLOOKUP(Table3[[#This Row],[Product]], ProductListTbl[], 3, 0), "")</f>
        <v/>
      </c>
      <c r="F59" s="303" t="str">
        <f>_xlfn.IFNA(VLOOKUP(D59,ProductListTbl[],5,0),"")</f>
        <v/>
      </c>
      <c r="G59" s="303" t="str">
        <f>_xlfn.IFNA(VLOOKUP(D59,ProductListTbl[],6,0),"")</f>
        <v/>
      </c>
      <c r="H59" s="130" t="str">
        <f>_xlfn.IFNA(VLOOKUP(D59,ProductListTbl[],7,0),"")</f>
        <v/>
      </c>
      <c r="I59" s="130" t="str">
        <f>_xlfn.IFNA(VLOOKUP(D59,ProductListTbl[],8,0),"")</f>
        <v/>
      </c>
      <c r="J59" s="127"/>
      <c r="K59" s="129"/>
      <c r="L59" s="128"/>
      <c r="M59" s="305" t="str">
        <f>IFERROR(Table3[[#This Row],[Quantity (doses)]]/Table3[[#This Row],[Doses per vial or syringe]],"")</f>
        <v/>
      </c>
      <c r="N59" s="127"/>
      <c r="O59" s="127"/>
      <c r="P59" s="381"/>
      <c r="Q59" s="129"/>
      <c r="R59" s="127"/>
      <c r="S59" s="127"/>
      <c r="T59" s="127"/>
      <c r="U59" s="127"/>
      <c r="V59" s="305" t="str">
        <f>_xlfn.IFNA(VLOOKUP(D59,ProductListTbl[],9,0),"")</f>
        <v/>
      </c>
      <c r="W59" s="305" t="str">
        <f>IFERROR(Table3[[#This Row],[Storage space per secondary packaging (cm3)]]*Table3[[#This Row],[Quantity  (vials or syringes)]]/1000,"")</f>
        <v/>
      </c>
      <c r="X59" s="305" t="str">
        <f>IFERROR(Table3[[#This Row],[Storage space per tertiary packaging (cm3)]]*Table3[[#This Row],[Quantity (doses)]]/1000,"")</f>
        <v/>
      </c>
      <c r="Y59" s="293" t="str">
        <f>IF(Table3[[#This Row],[Status]]="Ordered",(DATE(YEAR(P59),MONTH(P59),1)),IF(Table3[[#This Row],[Status]]="Received",(DATE(YEAR(Q59),MONTH(Q59),1)),""))</f>
        <v/>
      </c>
      <c r="Z59" s="304" t="str">
        <f t="shared" si="3"/>
        <v/>
      </c>
      <c r="AA59" s="48" t="str">
        <f t="shared" si="0"/>
        <v/>
      </c>
      <c r="AB59" s="48" t="str">
        <f t="shared" si="1"/>
        <v/>
      </c>
      <c r="AC59" s="292" t="str">
        <f t="shared" si="2"/>
        <v/>
      </c>
      <c r="AD59" s="48" t="str">
        <f>IF(Table3[[#This Row],[Actual Arrival date]]&gt;0,IF(Table3[[#This Row],[Expected arrival date]]&gt;0,Table3[[#This Row],[Actual Arrival date]]-Table3[[#This Row],[Expected arrival date]],""),"")</f>
        <v/>
      </c>
    </row>
    <row r="60" spans="1:37" x14ac:dyDescent="0.25">
      <c r="A60" s="303" t="str">
        <f>Start!$D$7</f>
        <v>Anyland</v>
      </c>
      <c r="B60" s="48" t="str">
        <f>_xlfn.IFNA(VLOOKUP(A60,list!B:C,2,FALSE),"")</f>
        <v>ANY</v>
      </c>
      <c r="C60" s="48"/>
      <c r="D60" s="127"/>
      <c r="E60" s="48" t="str">
        <f>_xlfn.IFNA(VLOOKUP(Table3[[#This Row],[Product]], ProductListTbl[], 3, 0), "")</f>
        <v/>
      </c>
      <c r="F60" s="303" t="str">
        <f>_xlfn.IFNA(VLOOKUP(D60,ProductListTbl[],5,0),"")</f>
        <v/>
      </c>
      <c r="G60" s="303" t="str">
        <f>_xlfn.IFNA(VLOOKUP(D60,ProductListTbl[],6,0),"")</f>
        <v/>
      </c>
      <c r="H60" s="130" t="str">
        <f>_xlfn.IFNA(VLOOKUP(D60,ProductListTbl[],7,0),"")</f>
        <v/>
      </c>
      <c r="I60" s="130" t="str">
        <f>_xlfn.IFNA(VLOOKUP(D60,ProductListTbl[],8,0),"")</f>
        <v/>
      </c>
      <c r="J60" s="127"/>
      <c r="K60" s="129"/>
      <c r="L60" s="128"/>
      <c r="M60" s="305" t="str">
        <f>IFERROR(Table3[[#This Row],[Quantity (doses)]]/Table3[[#This Row],[Doses per vial or syringe]],"")</f>
        <v/>
      </c>
      <c r="N60" s="127"/>
      <c r="O60" s="127"/>
      <c r="P60" s="381"/>
      <c r="Q60" s="129"/>
      <c r="R60" s="127"/>
      <c r="S60" s="127"/>
      <c r="T60" s="127"/>
      <c r="U60" s="127"/>
      <c r="V60" s="305" t="str">
        <f>_xlfn.IFNA(VLOOKUP(D60,ProductListTbl[],9,0),"")</f>
        <v/>
      </c>
      <c r="W60" s="305" t="str">
        <f>IFERROR(Table3[[#This Row],[Storage space per secondary packaging (cm3)]]*Table3[[#This Row],[Quantity  (vials or syringes)]]/1000,"")</f>
        <v/>
      </c>
      <c r="X60" s="305" t="str">
        <f>IFERROR(Table3[[#This Row],[Storage space per tertiary packaging (cm3)]]*Table3[[#This Row],[Quantity (doses)]]/1000,"")</f>
        <v/>
      </c>
      <c r="Y60" s="293" t="str">
        <f>IF(Table3[[#This Row],[Status]]="Ordered",(DATE(YEAR(P60),MONTH(P60),1)),IF(Table3[[#This Row],[Status]]="Received",(DATE(YEAR(Q60),MONTH(Q60),1)),""))</f>
        <v/>
      </c>
      <c r="Z60" s="304" t="str">
        <f t="shared" si="3"/>
        <v/>
      </c>
      <c r="AA60" s="48" t="str">
        <f t="shared" si="0"/>
        <v/>
      </c>
      <c r="AB60" s="48" t="str">
        <f t="shared" si="1"/>
        <v/>
      </c>
      <c r="AC60" s="292" t="str">
        <f t="shared" si="2"/>
        <v/>
      </c>
      <c r="AD60" s="48" t="str">
        <f>IF(Table3[[#This Row],[Actual Arrival date]]&gt;0,IF(Table3[[#This Row],[Expected arrival date]]&gt;0,Table3[[#This Row],[Actual Arrival date]]-Table3[[#This Row],[Expected arrival date]],""),"")</f>
        <v/>
      </c>
    </row>
    <row r="61" spans="1:37" x14ac:dyDescent="0.25">
      <c r="A61" s="303" t="str">
        <f>Start!$D$7</f>
        <v>Anyland</v>
      </c>
      <c r="B61" s="48" t="str">
        <f>_xlfn.IFNA(VLOOKUP(A61,list!B:C,2,FALSE),"")</f>
        <v>ANY</v>
      </c>
      <c r="C61" s="48"/>
      <c r="D61" s="127"/>
      <c r="E61" s="48" t="str">
        <f>_xlfn.IFNA(VLOOKUP(Table3[[#This Row],[Product]], ProductListTbl[], 3, 0), "")</f>
        <v/>
      </c>
      <c r="F61" s="303" t="str">
        <f>_xlfn.IFNA(VLOOKUP(D61,ProductListTbl[],5,0),"")</f>
        <v/>
      </c>
      <c r="G61" s="303" t="str">
        <f>_xlfn.IFNA(VLOOKUP(D61,ProductListTbl[],6,0),"")</f>
        <v/>
      </c>
      <c r="H61" s="130" t="str">
        <f>_xlfn.IFNA(VLOOKUP(D61,ProductListTbl[],7,0),"")</f>
        <v/>
      </c>
      <c r="I61" s="130" t="str">
        <f>_xlfn.IFNA(VLOOKUP(D61,ProductListTbl[],8,0),"")</f>
        <v/>
      </c>
      <c r="J61" s="127"/>
      <c r="K61" s="129"/>
      <c r="L61" s="128"/>
      <c r="M61" s="305" t="str">
        <f>IFERROR(Table3[[#This Row],[Quantity (doses)]]/Table3[[#This Row],[Doses per vial or syringe]],"")</f>
        <v/>
      </c>
      <c r="N61" s="127"/>
      <c r="O61" s="127"/>
      <c r="P61" s="381"/>
      <c r="Q61" s="129"/>
      <c r="R61" s="127"/>
      <c r="S61" s="127"/>
      <c r="T61" s="127"/>
      <c r="U61" s="127"/>
      <c r="V61" s="305" t="str">
        <f>_xlfn.IFNA(VLOOKUP(D61,ProductListTbl[],9,0),"")</f>
        <v/>
      </c>
      <c r="W61" s="305" t="str">
        <f>IFERROR(Table3[[#This Row],[Storage space per secondary packaging (cm3)]]*Table3[[#This Row],[Quantity  (vials or syringes)]]/1000,"")</f>
        <v/>
      </c>
      <c r="X61" s="305" t="str">
        <f>IFERROR(Table3[[#This Row],[Storage space per tertiary packaging (cm3)]]*Table3[[#This Row],[Quantity (doses)]]/1000,"")</f>
        <v/>
      </c>
      <c r="Y61" s="293" t="str">
        <f>IF(Table3[[#This Row],[Status]]="Ordered",(DATE(YEAR(P61),MONTH(P61),1)),IF(Table3[[#This Row],[Status]]="Received",(DATE(YEAR(Q61),MONTH(Q61),1)),""))</f>
        <v/>
      </c>
      <c r="Z61" s="304" t="str">
        <f t="shared" si="3"/>
        <v/>
      </c>
      <c r="AA61" s="48" t="str">
        <f t="shared" si="0"/>
        <v/>
      </c>
      <c r="AB61" s="48" t="str">
        <f t="shared" si="1"/>
        <v/>
      </c>
      <c r="AC61" s="292" t="str">
        <f t="shared" si="2"/>
        <v/>
      </c>
      <c r="AD61" s="48" t="str">
        <f>IF(Table3[[#This Row],[Actual Arrival date]]&gt;0,IF(Table3[[#This Row],[Expected arrival date]]&gt;0,Table3[[#This Row],[Actual Arrival date]]-Table3[[#This Row],[Expected arrival date]],""),"")</f>
        <v/>
      </c>
    </row>
    <row r="62" spans="1:37" x14ac:dyDescent="0.25">
      <c r="A62" s="303" t="str">
        <f>Start!$D$7</f>
        <v>Anyland</v>
      </c>
      <c r="B62" s="48" t="str">
        <f>_xlfn.IFNA(VLOOKUP(A62,list!B:C,2,FALSE),"")</f>
        <v>ANY</v>
      </c>
      <c r="C62" s="48"/>
      <c r="D62" s="127"/>
      <c r="E62" s="48" t="str">
        <f>_xlfn.IFNA(VLOOKUP(Table3[[#This Row],[Product]], ProductListTbl[], 3, 0), "")</f>
        <v/>
      </c>
      <c r="F62" s="303" t="str">
        <f>_xlfn.IFNA(VLOOKUP(D62,ProductListTbl[],5,0),"")</f>
        <v/>
      </c>
      <c r="G62" s="303" t="str">
        <f>_xlfn.IFNA(VLOOKUP(D62,ProductListTbl[],6,0),"")</f>
        <v/>
      </c>
      <c r="H62" s="130" t="str">
        <f>_xlfn.IFNA(VLOOKUP(D62,ProductListTbl[],7,0),"")</f>
        <v/>
      </c>
      <c r="I62" s="130" t="str">
        <f>_xlfn.IFNA(VLOOKUP(D62,ProductListTbl[],8,0),"")</f>
        <v/>
      </c>
      <c r="J62" s="127"/>
      <c r="K62" s="129"/>
      <c r="L62" s="128"/>
      <c r="M62" s="305" t="str">
        <f>IFERROR(Table3[[#This Row],[Quantity (doses)]]/Table3[[#This Row],[Doses per vial or syringe]],"")</f>
        <v/>
      </c>
      <c r="N62" s="127"/>
      <c r="O62" s="127"/>
      <c r="P62" s="381"/>
      <c r="Q62" s="129"/>
      <c r="R62" s="127"/>
      <c r="S62" s="127"/>
      <c r="T62" s="127"/>
      <c r="U62" s="127"/>
      <c r="V62" s="305" t="str">
        <f>_xlfn.IFNA(VLOOKUP(D62,ProductListTbl[],9,0),"")</f>
        <v/>
      </c>
      <c r="W62" s="305" t="str">
        <f>IFERROR(Table3[[#This Row],[Storage space per secondary packaging (cm3)]]*Table3[[#This Row],[Quantity  (vials or syringes)]]/1000,"")</f>
        <v/>
      </c>
      <c r="X62" s="305" t="str">
        <f>IFERROR(Table3[[#This Row],[Storage space per tertiary packaging (cm3)]]*Table3[[#This Row],[Quantity (doses)]]/1000,"")</f>
        <v/>
      </c>
      <c r="Y62" s="293" t="str">
        <f>IF(Table3[[#This Row],[Status]]="Ordered",(DATE(YEAR(P62),MONTH(P62),1)),IF(Table3[[#This Row],[Status]]="Received",(DATE(YEAR(Q62),MONTH(Q62),1)),""))</f>
        <v/>
      </c>
      <c r="Z62" s="304" t="str">
        <f t="shared" si="3"/>
        <v/>
      </c>
      <c r="AA62" s="48" t="str">
        <f t="shared" si="0"/>
        <v/>
      </c>
      <c r="AB62" s="48" t="str">
        <f t="shared" si="1"/>
        <v/>
      </c>
      <c r="AC62" s="292" t="str">
        <f t="shared" si="2"/>
        <v/>
      </c>
      <c r="AD62" s="48" t="str">
        <f>IF(Table3[[#This Row],[Actual Arrival date]]&gt;0,IF(Table3[[#This Row],[Expected arrival date]]&gt;0,Table3[[#This Row],[Actual Arrival date]]-Table3[[#This Row],[Expected arrival date]],""),"")</f>
        <v/>
      </c>
    </row>
    <row r="63" spans="1:37" x14ac:dyDescent="0.25">
      <c r="A63" s="303" t="str">
        <f>Start!$D$7</f>
        <v>Anyland</v>
      </c>
      <c r="B63" s="48" t="str">
        <f>_xlfn.IFNA(VLOOKUP(A63,list!B:C,2,FALSE),"")</f>
        <v>ANY</v>
      </c>
      <c r="C63" s="48"/>
      <c r="D63" s="127"/>
      <c r="E63" s="48" t="str">
        <f>_xlfn.IFNA(VLOOKUP(Table3[[#This Row],[Product]], ProductListTbl[], 3, 0), "")</f>
        <v/>
      </c>
      <c r="F63" s="303" t="str">
        <f>_xlfn.IFNA(VLOOKUP(D63,ProductListTbl[],5,0),"")</f>
        <v/>
      </c>
      <c r="G63" s="303" t="str">
        <f>_xlfn.IFNA(VLOOKUP(D63,ProductListTbl[],6,0),"")</f>
        <v/>
      </c>
      <c r="H63" s="130" t="str">
        <f>_xlfn.IFNA(VLOOKUP(D63,ProductListTbl[],7,0),"")</f>
        <v/>
      </c>
      <c r="I63" s="130" t="str">
        <f>_xlfn.IFNA(VLOOKUP(D63,ProductListTbl[],8,0),"")</f>
        <v/>
      </c>
      <c r="J63" s="127"/>
      <c r="K63" s="129"/>
      <c r="L63" s="128"/>
      <c r="M63" s="305" t="str">
        <f>IFERROR(Table3[[#This Row],[Quantity (doses)]]/Table3[[#This Row],[Doses per vial or syringe]],"")</f>
        <v/>
      </c>
      <c r="N63" s="127"/>
      <c r="O63" s="127"/>
      <c r="P63" s="381"/>
      <c r="Q63" s="129"/>
      <c r="R63" s="127"/>
      <c r="S63" s="127"/>
      <c r="T63" s="127"/>
      <c r="U63" s="127"/>
      <c r="V63" s="305" t="str">
        <f>_xlfn.IFNA(VLOOKUP(D63,ProductListTbl[],9,0),"")</f>
        <v/>
      </c>
      <c r="W63" s="305" t="str">
        <f>IFERROR(Table3[[#This Row],[Storage space per secondary packaging (cm3)]]*Table3[[#This Row],[Quantity  (vials or syringes)]]/1000,"")</f>
        <v/>
      </c>
      <c r="X63" s="305" t="str">
        <f>IFERROR(Table3[[#This Row],[Storage space per tertiary packaging (cm3)]]*Table3[[#This Row],[Quantity (doses)]]/1000,"")</f>
        <v/>
      </c>
      <c r="Y63" s="293" t="str">
        <f>IF(Table3[[#This Row],[Status]]="Ordered",(DATE(YEAR(P63),MONTH(P63),1)),IF(Table3[[#This Row],[Status]]="Received",(DATE(YEAR(Q63),MONTH(Q63),1)),""))</f>
        <v/>
      </c>
      <c r="Z63" s="304" t="str">
        <f t="shared" si="3"/>
        <v/>
      </c>
      <c r="AA63" s="48" t="str">
        <f t="shared" si="0"/>
        <v/>
      </c>
      <c r="AB63" s="48" t="str">
        <f t="shared" si="1"/>
        <v/>
      </c>
      <c r="AC63" s="292" t="str">
        <f t="shared" si="2"/>
        <v/>
      </c>
      <c r="AD63" s="48" t="str">
        <f>IF(Table3[[#This Row],[Actual Arrival date]]&gt;0,IF(Table3[[#This Row],[Expected arrival date]]&gt;0,Table3[[#This Row],[Actual Arrival date]]-Table3[[#This Row],[Expected arrival date]],""),"")</f>
        <v/>
      </c>
    </row>
    <row r="64" spans="1:37" x14ac:dyDescent="0.25">
      <c r="A64" s="303" t="str">
        <f>Start!$D$7</f>
        <v>Anyland</v>
      </c>
      <c r="B64" s="48" t="str">
        <f>_xlfn.IFNA(VLOOKUP(A64,list!B:C,2,FALSE),"")</f>
        <v>ANY</v>
      </c>
      <c r="C64" s="48"/>
      <c r="D64" s="127"/>
      <c r="E64" s="48" t="str">
        <f>_xlfn.IFNA(VLOOKUP(Table3[[#This Row],[Product]], ProductListTbl[], 3, 0), "")</f>
        <v/>
      </c>
      <c r="F64" s="303" t="str">
        <f>_xlfn.IFNA(VLOOKUP(D64,ProductListTbl[],5,0),"")</f>
        <v/>
      </c>
      <c r="G64" s="303" t="str">
        <f>_xlfn.IFNA(VLOOKUP(D64,ProductListTbl[],6,0),"")</f>
        <v/>
      </c>
      <c r="H64" s="130" t="str">
        <f>_xlfn.IFNA(VLOOKUP(D64,ProductListTbl[],7,0),"")</f>
        <v/>
      </c>
      <c r="I64" s="130" t="str">
        <f>_xlfn.IFNA(VLOOKUP(D64,ProductListTbl[],8,0),"")</f>
        <v/>
      </c>
      <c r="J64" s="127"/>
      <c r="K64" s="129"/>
      <c r="L64" s="128"/>
      <c r="M64" s="305" t="str">
        <f>IFERROR(Table3[[#This Row],[Quantity (doses)]]/Table3[[#This Row],[Doses per vial or syringe]],"")</f>
        <v/>
      </c>
      <c r="N64" s="127"/>
      <c r="O64" s="127"/>
      <c r="P64" s="381"/>
      <c r="Q64" s="129"/>
      <c r="R64" s="127"/>
      <c r="S64" s="127"/>
      <c r="T64" s="127"/>
      <c r="U64" s="127"/>
      <c r="V64" s="305" t="str">
        <f>_xlfn.IFNA(VLOOKUP(D64,ProductListTbl[],9,0),"")</f>
        <v/>
      </c>
      <c r="W64" s="305" t="str">
        <f>IFERROR(Table3[[#This Row],[Storage space per secondary packaging (cm3)]]*Table3[[#This Row],[Quantity  (vials or syringes)]]/1000,"")</f>
        <v/>
      </c>
      <c r="X64" s="305" t="str">
        <f>IFERROR(Table3[[#This Row],[Storage space per tertiary packaging (cm3)]]*Table3[[#This Row],[Quantity (doses)]]/1000,"")</f>
        <v/>
      </c>
      <c r="Y64" s="293" t="str">
        <f>IF(Table3[[#This Row],[Status]]="Ordered",(DATE(YEAR(P64),MONTH(P64),1)),IF(Table3[[#This Row],[Status]]="Received",(DATE(YEAR(Q64),MONTH(Q64),1)),""))</f>
        <v/>
      </c>
      <c r="Z64" s="304" t="str">
        <f t="shared" si="3"/>
        <v/>
      </c>
      <c r="AA64" s="48" t="str">
        <f t="shared" si="0"/>
        <v/>
      </c>
      <c r="AB64" s="48" t="str">
        <f t="shared" si="1"/>
        <v/>
      </c>
      <c r="AC64" s="292" t="str">
        <f t="shared" si="2"/>
        <v/>
      </c>
      <c r="AD64" s="48" t="str">
        <f>IF(Table3[[#This Row],[Actual Arrival date]]&gt;0,IF(Table3[[#This Row],[Expected arrival date]]&gt;0,Table3[[#This Row],[Actual Arrival date]]-Table3[[#This Row],[Expected arrival date]],""),"")</f>
        <v/>
      </c>
    </row>
    <row r="65" spans="1:30" x14ac:dyDescent="0.25">
      <c r="A65" s="303" t="str">
        <f>Start!$D$7</f>
        <v>Anyland</v>
      </c>
      <c r="B65" s="48" t="str">
        <f>_xlfn.IFNA(VLOOKUP(A65,list!B:C,2,FALSE),"")</f>
        <v>ANY</v>
      </c>
      <c r="C65" s="48"/>
      <c r="D65" s="127"/>
      <c r="E65" s="48" t="str">
        <f>_xlfn.IFNA(VLOOKUP(Table3[[#This Row],[Product]], ProductListTbl[], 3, 0), "")</f>
        <v/>
      </c>
      <c r="F65" s="303" t="str">
        <f>_xlfn.IFNA(VLOOKUP(D65,ProductListTbl[],5,0),"")</f>
        <v/>
      </c>
      <c r="G65" s="303" t="str">
        <f>_xlfn.IFNA(VLOOKUP(D65,ProductListTbl[],6,0),"")</f>
        <v/>
      </c>
      <c r="H65" s="130" t="str">
        <f>_xlfn.IFNA(VLOOKUP(D65,ProductListTbl[],7,0),"")</f>
        <v/>
      </c>
      <c r="I65" s="130" t="str">
        <f>_xlfn.IFNA(VLOOKUP(D65,ProductListTbl[],8,0),"")</f>
        <v/>
      </c>
      <c r="J65" s="127"/>
      <c r="K65" s="129"/>
      <c r="L65" s="128"/>
      <c r="M65" s="305" t="str">
        <f>IFERROR(Table3[[#This Row],[Quantity (doses)]]/Table3[[#This Row],[Doses per vial or syringe]],"")</f>
        <v/>
      </c>
      <c r="N65" s="127"/>
      <c r="O65" s="127"/>
      <c r="P65" s="381"/>
      <c r="Q65" s="129"/>
      <c r="R65" s="127"/>
      <c r="S65" s="127"/>
      <c r="T65" s="127"/>
      <c r="U65" s="127"/>
      <c r="V65" s="305" t="str">
        <f>_xlfn.IFNA(VLOOKUP(D65,ProductListTbl[],9,0),"")</f>
        <v/>
      </c>
      <c r="W65" s="305" t="str">
        <f>IFERROR(Table3[[#This Row],[Storage space per secondary packaging (cm3)]]*Table3[[#This Row],[Quantity  (vials or syringes)]]/1000,"")</f>
        <v/>
      </c>
      <c r="X65" s="305" t="str">
        <f>IFERROR(Table3[[#This Row],[Storage space per tertiary packaging (cm3)]]*Table3[[#This Row],[Quantity (doses)]]/1000,"")</f>
        <v/>
      </c>
      <c r="Y65" s="293" t="str">
        <f>IF(Table3[[#This Row],[Status]]="Ordered",(DATE(YEAR(P65),MONTH(P65),1)),IF(Table3[[#This Row],[Status]]="Received",(DATE(YEAR(Q65),MONTH(Q65),1)),""))</f>
        <v/>
      </c>
      <c r="Z65" s="304" t="str">
        <f t="shared" si="3"/>
        <v/>
      </c>
      <c r="AA65" s="48" t="str">
        <f t="shared" si="0"/>
        <v/>
      </c>
      <c r="AB65" s="48" t="str">
        <f t="shared" si="1"/>
        <v/>
      </c>
      <c r="AC65" s="292" t="str">
        <f t="shared" si="2"/>
        <v/>
      </c>
      <c r="AD65" s="48" t="str">
        <f>IF(Table3[[#This Row],[Actual Arrival date]]&gt;0,IF(Table3[[#This Row],[Expected arrival date]]&gt;0,Table3[[#This Row],[Actual Arrival date]]-Table3[[#This Row],[Expected arrival date]],""),"")</f>
        <v/>
      </c>
    </row>
    <row r="66" spans="1:30" x14ac:dyDescent="0.25">
      <c r="A66" s="303" t="str">
        <f>Start!$D$7</f>
        <v>Anyland</v>
      </c>
      <c r="B66" s="48" t="str">
        <f>_xlfn.IFNA(VLOOKUP(A66,list!B:C,2,FALSE),"")</f>
        <v>ANY</v>
      </c>
      <c r="C66" s="48"/>
      <c r="D66" s="127"/>
      <c r="E66" s="48" t="str">
        <f>_xlfn.IFNA(VLOOKUP(Table3[[#This Row],[Product]], ProductListTbl[], 3, 0), "")</f>
        <v/>
      </c>
      <c r="F66" s="303" t="str">
        <f>_xlfn.IFNA(VLOOKUP(D66,ProductListTbl[],5,0),"")</f>
        <v/>
      </c>
      <c r="G66" s="303" t="str">
        <f>_xlfn.IFNA(VLOOKUP(D66,ProductListTbl[],6,0),"")</f>
        <v/>
      </c>
      <c r="H66" s="130" t="str">
        <f>_xlfn.IFNA(VLOOKUP(D66,ProductListTbl[],7,0),"")</f>
        <v/>
      </c>
      <c r="I66" s="130" t="str">
        <f>_xlfn.IFNA(VLOOKUP(D66,ProductListTbl[],8,0),"")</f>
        <v/>
      </c>
      <c r="J66" s="127"/>
      <c r="K66" s="129"/>
      <c r="L66" s="128"/>
      <c r="M66" s="305" t="str">
        <f>IFERROR(Table3[[#This Row],[Quantity (doses)]]/Table3[[#This Row],[Doses per vial or syringe]],"")</f>
        <v/>
      </c>
      <c r="N66" s="127"/>
      <c r="O66" s="127"/>
      <c r="P66" s="381"/>
      <c r="Q66" s="129"/>
      <c r="R66" s="127"/>
      <c r="S66" s="127"/>
      <c r="T66" s="127"/>
      <c r="U66" s="127"/>
      <c r="V66" s="305" t="str">
        <f>_xlfn.IFNA(VLOOKUP(D66,ProductListTbl[],9,0),"")</f>
        <v/>
      </c>
      <c r="W66" s="305" t="str">
        <f>IFERROR(Table3[[#This Row],[Storage space per secondary packaging (cm3)]]*Table3[[#This Row],[Quantity  (vials or syringes)]]/1000,"")</f>
        <v/>
      </c>
      <c r="X66" s="305" t="str">
        <f>IFERROR(Table3[[#This Row],[Storage space per tertiary packaging (cm3)]]*Table3[[#This Row],[Quantity (doses)]]/1000,"")</f>
        <v/>
      </c>
      <c r="Y66" s="293" t="str">
        <f>IF(Table3[[#This Row],[Status]]="Ordered",(DATE(YEAR(P66),MONTH(P66),1)),IF(Table3[[#This Row],[Status]]="Received",(DATE(YEAR(Q66),MONTH(Q66),1)),""))</f>
        <v/>
      </c>
      <c r="Z66" s="304" t="str">
        <f t="shared" si="3"/>
        <v/>
      </c>
      <c r="AA66" s="48" t="str">
        <f t="shared" si="0"/>
        <v/>
      </c>
      <c r="AB66" s="48" t="str">
        <f t="shared" si="1"/>
        <v/>
      </c>
      <c r="AC66" s="292" t="str">
        <f t="shared" si="2"/>
        <v/>
      </c>
      <c r="AD66" s="48" t="str">
        <f>IF(Table3[[#This Row],[Actual Arrival date]]&gt;0,IF(Table3[[#This Row],[Expected arrival date]]&gt;0,Table3[[#This Row],[Actual Arrival date]]-Table3[[#This Row],[Expected arrival date]],""),"")</f>
        <v/>
      </c>
    </row>
    <row r="67" spans="1:30" x14ac:dyDescent="0.25">
      <c r="A67" s="303" t="str">
        <f>Start!$D$7</f>
        <v>Anyland</v>
      </c>
      <c r="B67" s="48" t="str">
        <f>_xlfn.IFNA(VLOOKUP(A67,list!B:C,2,FALSE),"")</f>
        <v>ANY</v>
      </c>
      <c r="C67" s="48"/>
      <c r="D67" s="127"/>
      <c r="E67" s="48" t="str">
        <f>_xlfn.IFNA(VLOOKUP(Table3[[#This Row],[Product]], ProductListTbl[], 3, 0), "")</f>
        <v/>
      </c>
      <c r="F67" s="303" t="str">
        <f>_xlfn.IFNA(VLOOKUP(D67,ProductListTbl[],5,0),"")</f>
        <v/>
      </c>
      <c r="G67" s="303" t="str">
        <f>_xlfn.IFNA(VLOOKUP(D67,ProductListTbl[],6,0),"")</f>
        <v/>
      </c>
      <c r="H67" s="130" t="str">
        <f>_xlfn.IFNA(VLOOKUP(D67,ProductListTbl[],7,0),"")</f>
        <v/>
      </c>
      <c r="I67" s="130" t="str">
        <f>_xlfn.IFNA(VLOOKUP(D67,ProductListTbl[],8,0),"")</f>
        <v/>
      </c>
      <c r="J67" s="127"/>
      <c r="K67" s="129"/>
      <c r="L67" s="128"/>
      <c r="M67" s="305" t="str">
        <f>IFERROR(Table3[[#This Row],[Quantity (doses)]]/Table3[[#This Row],[Doses per vial or syringe]],"")</f>
        <v/>
      </c>
      <c r="N67" s="127"/>
      <c r="O67" s="127"/>
      <c r="P67" s="381"/>
      <c r="Q67" s="129"/>
      <c r="R67" s="127"/>
      <c r="S67" s="127"/>
      <c r="T67" s="127"/>
      <c r="U67" s="127"/>
      <c r="V67" s="305" t="str">
        <f>_xlfn.IFNA(VLOOKUP(D67,ProductListTbl[],9,0),"")</f>
        <v/>
      </c>
      <c r="W67" s="305" t="str">
        <f>IFERROR(Table3[[#This Row],[Storage space per secondary packaging (cm3)]]*Table3[[#This Row],[Quantity  (vials or syringes)]]/1000,"")</f>
        <v/>
      </c>
      <c r="X67" s="305" t="str">
        <f>IFERROR(Table3[[#This Row],[Storage space per tertiary packaging (cm3)]]*Table3[[#This Row],[Quantity (doses)]]/1000,"")</f>
        <v/>
      </c>
      <c r="Y67" s="293" t="str">
        <f>IF(Table3[[#This Row],[Status]]="Ordered",(DATE(YEAR(P67),MONTH(P67),1)),IF(Table3[[#This Row],[Status]]="Received",(DATE(YEAR(Q67),MONTH(Q67),1)),""))</f>
        <v/>
      </c>
      <c r="Z67" s="304" t="str">
        <f t="shared" si="3"/>
        <v/>
      </c>
      <c r="AA67" s="48" t="str">
        <f t="shared" si="0"/>
        <v/>
      </c>
      <c r="AB67" s="48" t="str">
        <f t="shared" si="1"/>
        <v/>
      </c>
      <c r="AC67" s="292" t="str">
        <f t="shared" si="2"/>
        <v/>
      </c>
      <c r="AD67" s="48" t="str">
        <f>IF(Table3[[#This Row],[Actual Arrival date]]&gt;0,IF(Table3[[#This Row],[Expected arrival date]]&gt;0,Table3[[#This Row],[Actual Arrival date]]-Table3[[#This Row],[Expected arrival date]],""),"")</f>
        <v/>
      </c>
    </row>
    <row r="68" spans="1:30" x14ac:dyDescent="0.25">
      <c r="A68" s="303" t="str">
        <f>Start!$D$7</f>
        <v>Anyland</v>
      </c>
      <c r="B68" s="48" t="str">
        <f>_xlfn.IFNA(VLOOKUP(A68,list!B:C,2,FALSE),"")</f>
        <v>ANY</v>
      </c>
      <c r="C68" s="48"/>
      <c r="D68" s="127"/>
      <c r="E68" s="48" t="str">
        <f>_xlfn.IFNA(VLOOKUP(Table3[[#This Row],[Product]], ProductListTbl[], 3, 0), "")</f>
        <v/>
      </c>
      <c r="F68" s="303" t="str">
        <f>_xlfn.IFNA(VLOOKUP(D68,ProductListTbl[],5,0),"")</f>
        <v/>
      </c>
      <c r="G68" s="303" t="str">
        <f>_xlfn.IFNA(VLOOKUP(D68,ProductListTbl[],6,0),"")</f>
        <v/>
      </c>
      <c r="H68" s="130" t="str">
        <f>_xlfn.IFNA(VLOOKUP(D68,ProductListTbl[],7,0),"")</f>
        <v/>
      </c>
      <c r="I68" s="130" t="str">
        <f>_xlfn.IFNA(VLOOKUP(D68,ProductListTbl[],8,0),"")</f>
        <v/>
      </c>
      <c r="J68" s="127"/>
      <c r="K68" s="129"/>
      <c r="L68" s="128"/>
      <c r="M68" s="305" t="str">
        <f>IFERROR(Table3[[#This Row],[Quantity (doses)]]/Table3[[#This Row],[Doses per vial or syringe]],"")</f>
        <v/>
      </c>
      <c r="N68" s="127"/>
      <c r="O68" s="127"/>
      <c r="P68" s="381"/>
      <c r="Q68" s="129"/>
      <c r="R68" s="127"/>
      <c r="S68" s="127"/>
      <c r="T68" s="127"/>
      <c r="U68" s="127"/>
      <c r="V68" s="305" t="str">
        <f>_xlfn.IFNA(VLOOKUP(D68,ProductListTbl[],9,0),"")</f>
        <v/>
      </c>
      <c r="W68" s="305" t="str">
        <f>IFERROR(Table3[[#This Row],[Storage space per secondary packaging (cm3)]]*Table3[[#This Row],[Quantity  (vials or syringes)]]/1000,"")</f>
        <v/>
      </c>
      <c r="X68" s="305" t="str">
        <f>IFERROR(Table3[[#This Row],[Storage space per tertiary packaging (cm3)]]*Table3[[#This Row],[Quantity (doses)]]/1000,"")</f>
        <v/>
      </c>
      <c r="Y68" s="293" t="str">
        <f>IF(Table3[[#This Row],[Status]]="Ordered",(DATE(YEAR(P68),MONTH(P68),1)),IF(Table3[[#This Row],[Status]]="Received",(DATE(YEAR(Q68),MONTH(Q68),1)),""))</f>
        <v/>
      </c>
      <c r="Z68" s="304" t="str">
        <f t="shared" si="3"/>
        <v/>
      </c>
      <c r="AA68" s="48" t="str">
        <f t="shared" si="0"/>
        <v/>
      </c>
      <c r="AB68" s="48" t="str">
        <f t="shared" si="1"/>
        <v/>
      </c>
      <c r="AC68" s="292" t="str">
        <f t="shared" si="2"/>
        <v/>
      </c>
      <c r="AD68" s="48" t="str">
        <f>IF(Table3[[#This Row],[Actual Arrival date]]&gt;0,IF(Table3[[#This Row],[Expected arrival date]]&gt;0,Table3[[#This Row],[Actual Arrival date]]-Table3[[#This Row],[Expected arrival date]],""),"")</f>
        <v/>
      </c>
    </row>
    <row r="69" spans="1:30" x14ac:dyDescent="0.25">
      <c r="A69" s="303" t="str">
        <f>Start!$D$7</f>
        <v>Anyland</v>
      </c>
      <c r="B69" s="48" t="str">
        <f>_xlfn.IFNA(VLOOKUP(A69,list!B:C,2,FALSE),"")</f>
        <v>ANY</v>
      </c>
      <c r="C69" s="48"/>
      <c r="D69" s="127"/>
      <c r="E69" s="48" t="str">
        <f>_xlfn.IFNA(VLOOKUP(Table3[[#This Row],[Product]], ProductListTbl[], 3, 0), "")</f>
        <v/>
      </c>
      <c r="F69" s="303" t="str">
        <f>_xlfn.IFNA(VLOOKUP(D69,ProductListTbl[],5,0),"")</f>
        <v/>
      </c>
      <c r="G69" s="303" t="str">
        <f>_xlfn.IFNA(VLOOKUP(D69,ProductListTbl[],6,0),"")</f>
        <v/>
      </c>
      <c r="H69" s="130" t="str">
        <f>_xlfn.IFNA(VLOOKUP(D69,ProductListTbl[],7,0),"")</f>
        <v/>
      </c>
      <c r="I69" s="130" t="str">
        <f>_xlfn.IFNA(VLOOKUP(D69,ProductListTbl[],8,0),"")</f>
        <v/>
      </c>
      <c r="J69" s="127"/>
      <c r="K69" s="129"/>
      <c r="L69" s="128"/>
      <c r="M69" s="305" t="str">
        <f>IFERROR(Table3[[#This Row],[Quantity (doses)]]/Table3[[#This Row],[Doses per vial or syringe]],"")</f>
        <v/>
      </c>
      <c r="N69" s="127"/>
      <c r="O69" s="127"/>
      <c r="P69" s="381"/>
      <c r="Q69" s="129"/>
      <c r="R69" s="127"/>
      <c r="S69" s="127"/>
      <c r="T69" s="127"/>
      <c r="U69" s="127"/>
      <c r="V69" s="305" t="str">
        <f>_xlfn.IFNA(VLOOKUP(D69,ProductListTbl[],9,0),"")</f>
        <v/>
      </c>
      <c r="W69" s="305" t="str">
        <f>IFERROR(Table3[[#This Row],[Storage space per secondary packaging (cm3)]]*Table3[[#This Row],[Quantity  (vials or syringes)]]/1000,"")</f>
        <v/>
      </c>
      <c r="X69" s="305" t="str">
        <f>IFERROR(Table3[[#This Row],[Storage space per tertiary packaging (cm3)]]*Table3[[#This Row],[Quantity (doses)]]/1000,"")</f>
        <v/>
      </c>
      <c r="Y69" s="293" t="str">
        <f>IF(Table3[[#This Row],[Status]]="Ordered",(DATE(YEAR(P69),MONTH(P69),1)),IF(Table3[[#This Row],[Status]]="Received",(DATE(YEAR(Q69),MONTH(Q69),1)),""))</f>
        <v/>
      </c>
      <c r="Z69" s="304" t="str">
        <f t="shared" ref="Z69:Z132" si="4">IFERROR(IF(K69&gt;0,((K69-Q69)/(365.25/12)),""),"")</f>
        <v/>
      </c>
      <c r="AA69" s="48" t="str">
        <f t="shared" ref="AA69:AA132" si="5">IFERROR(IF(K69="","",MONTH(EOMONTH(K69,(DAY(K69)&gt;15)+0))),"")</f>
        <v/>
      </c>
      <c r="AB69" s="48" t="str">
        <f t="shared" ref="AB69:AB132" si="6">IFERROR(IF(K69="","",IF(AND(MONTH(K69)=12,AA69=1),YEAR(K69)+1,YEAR(K69))),"")</f>
        <v/>
      </c>
      <c r="AC69" s="292" t="str">
        <f t="shared" ref="AC69:AC132" si="7">IF(OR(AA69="",AB69=""),"",DATE(AB69,AA69,1))</f>
        <v/>
      </c>
      <c r="AD69" s="48" t="str">
        <f>IF(Table3[[#This Row],[Actual Arrival date]]&gt;0,IF(Table3[[#This Row],[Expected arrival date]]&gt;0,Table3[[#This Row],[Actual Arrival date]]-Table3[[#This Row],[Expected arrival date]],""),"")</f>
        <v/>
      </c>
    </row>
    <row r="70" spans="1:30" x14ac:dyDescent="0.25">
      <c r="A70" s="303" t="str">
        <f>Start!$D$7</f>
        <v>Anyland</v>
      </c>
      <c r="B70" s="48" t="str">
        <f>_xlfn.IFNA(VLOOKUP(A70,list!B:C,2,FALSE),"")</f>
        <v>ANY</v>
      </c>
      <c r="C70" s="48"/>
      <c r="D70" s="127"/>
      <c r="E70" s="48" t="str">
        <f>_xlfn.IFNA(VLOOKUP(Table3[[#This Row],[Product]], ProductListTbl[], 3, 0), "")</f>
        <v/>
      </c>
      <c r="F70" s="303" t="str">
        <f>_xlfn.IFNA(VLOOKUP(D70,ProductListTbl[],5,0),"")</f>
        <v/>
      </c>
      <c r="G70" s="303" t="str">
        <f>_xlfn.IFNA(VLOOKUP(D70,ProductListTbl[],6,0),"")</f>
        <v/>
      </c>
      <c r="H70" s="130" t="str">
        <f>_xlfn.IFNA(VLOOKUP(D70,ProductListTbl[],7,0),"")</f>
        <v/>
      </c>
      <c r="I70" s="130" t="str">
        <f>_xlfn.IFNA(VLOOKUP(D70,ProductListTbl[],8,0),"")</f>
        <v/>
      </c>
      <c r="J70" s="127"/>
      <c r="K70" s="129"/>
      <c r="L70" s="128"/>
      <c r="M70" s="305" t="str">
        <f>IFERROR(Table3[[#This Row],[Quantity (doses)]]/Table3[[#This Row],[Doses per vial or syringe]],"")</f>
        <v/>
      </c>
      <c r="N70" s="127"/>
      <c r="O70" s="127"/>
      <c r="P70" s="381"/>
      <c r="Q70" s="129"/>
      <c r="R70" s="127"/>
      <c r="S70" s="127"/>
      <c r="T70" s="127"/>
      <c r="U70" s="127"/>
      <c r="V70" s="305" t="str">
        <f>_xlfn.IFNA(VLOOKUP(D70,ProductListTbl[],9,0),"")</f>
        <v/>
      </c>
      <c r="W70" s="305" t="str">
        <f>IFERROR(Table3[[#This Row],[Storage space per secondary packaging (cm3)]]*Table3[[#This Row],[Quantity  (vials or syringes)]]/1000,"")</f>
        <v/>
      </c>
      <c r="X70" s="305" t="str">
        <f>IFERROR(Table3[[#This Row],[Storage space per tertiary packaging (cm3)]]*Table3[[#This Row],[Quantity (doses)]]/1000,"")</f>
        <v/>
      </c>
      <c r="Y70" s="293" t="str">
        <f>IF(Table3[[#This Row],[Status]]="Ordered",(DATE(YEAR(P70),MONTH(P70),1)),IF(Table3[[#This Row],[Status]]="Received",(DATE(YEAR(Q70),MONTH(Q70),1)),""))</f>
        <v/>
      </c>
      <c r="Z70" s="304" t="str">
        <f t="shared" si="4"/>
        <v/>
      </c>
      <c r="AA70" s="48" t="str">
        <f t="shared" si="5"/>
        <v/>
      </c>
      <c r="AB70" s="48" t="str">
        <f t="shared" si="6"/>
        <v/>
      </c>
      <c r="AC70" s="292" t="str">
        <f t="shared" si="7"/>
        <v/>
      </c>
      <c r="AD70" s="48" t="str">
        <f>IF(Table3[[#This Row],[Actual Arrival date]]&gt;0,IF(Table3[[#This Row],[Expected arrival date]]&gt;0,Table3[[#This Row],[Actual Arrival date]]-Table3[[#This Row],[Expected arrival date]],""),"")</f>
        <v/>
      </c>
    </row>
    <row r="71" spans="1:30" x14ac:dyDescent="0.25">
      <c r="A71" s="303" t="str">
        <f>Start!$D$7</f>
        <v>Anyland</v>
      </c>
      <c r="B71" s="48" t="str">
        <f>_xlfn.IFNA(VLOOKUP(A71,list!B:C,2,FALSE),"")</f>
        <v>ANY</v>
      </c>
      <c r="C71" s="48"/>
      <c r="D71" s="127"/>
      <c r="E71" s="48" t="str">
        <f>_xlfn.IFNA(VLOOKUP(Table3[[#This Row],[Product]], ProductListTbl[], 3, 0), "")</f>
        <v/>
      </c>
      <c r="F71" s="303" t="str">
        <f>_xlfn.IFNA(VLOOKUP(D71,ProductListTbl[],5,0),"")</f>
        <v/>
      </c>
      <c r="G71" s="303" t="str">
        <f>_xlfn.IFNA(VLOOKUP(D71,ProductListTbl[],6,0),"")</f>
        <v/>
      </c>
      <c r="H71" s="130" t="str">
        <f>_xlfn.IFNA(VLOOKUP(D71,ProductListTbl[],7,0),"")</f>
        <v/>
      </c>
      <c r="I71" s="130" t="str">
        <f>_xlfn.IFNA(VLOOKUP(D71,ProductListTbl[],8,0),"")</f>
        <v/>
      </c>
      <c r="J71" s="127"/>
      <c r="K71" s="129"/>
      <c r="L71" s="128"/>
      <c r="M71" s="305" t="str">
        <f>IFERROR(Table3[[#This Row],[Quantity (doses)]]/Table3[[#This Row],[Doses per vial or syringe]],"")</f>
        <v/>
      </c>
      <c r="N71" s="127"/>
      <c r="O71" s="127"/>
      <c r="P71" s="381"/>
      <c r="Q71" s="129"/>
      <c r="R71" s="127"/>
      <c r="S71" s="127"/>
      <c r="T71" s="127"/>
      <c r="U71" s="127"/>
      <c r="V71" s="305" t="str">
        <f>_xlfn.IFNA(VLOOKUP(D71,ProductListTbl[],9,0),"")</f>
        <v/>
      </c>
      <c r="W71" s="305" t="str">
        <f>IFERROR(Table3[[#This Row],[Storage space per secondary packaging (cm3)]]*Table3[[#This Row],[Quantity  (vials or syringes)]]/1000,"")</f>
        <v/>
      </c>
      <c r="X71" s="305" t="str">
        <f>IFERROR(Table3[[#This Row],[Storage space per tertiary packaging (cm3)]]*Table3[[#This Row],[Quantity (doses)]]/1000,"")</f>
        <v/>
      </c>
      <c r="Y71" s="293" t="str">
        <f>IF(Table3[[#This Row],[Status]]="Ordered",(DATE(YEAR(P71),MONTH(P71),1)),IF(Table3[[#This Row],[Status]]="Received",(DATE(YEAR(Q71),MONTH(Q71),1)),""))</f>
        <v/>
      </c>
      <c r="Z71" s="304" t="str">
        <f t="shared" si="4"/>
        <v/>
      </c>
      <c r="AA71" s="48" t="str">
        <f t="shared" si="5"/>
        <v/>
      </c>
      <c r="AB71" s="48" t="str">
        <f t="shared" si="6"/>
        <v/>
      </c>
      <c r="AC71" s="292" t="str">
        <f t="shared" si="7"/>
        <v/>
      </c>
      <c r="AD71" s="48" t="str">
        <f>IF(Table3[[#This Row],[Actual Arrival date]]&gt;0,IF(Table3[[#This Row],[Expected arrival date]]&gt;0,Table3[[#This Row],[Actual Arrival date]]-Table3[[#This Row],[Expected arrival date]],""),"")</f>
        <v/>
      </c>
    </row>
    <row r="72" spans="1:30" x14ac:dyDescent="0.25">
      <c r="A72" s="303" t="str">
        <f>Start!$D$7</f>
        <v>Anyland</v>
      </c>
      <c r="B72" s="48" t="str">
        <f>_xlfn.IFNA(VLOOKUP(A72,list!B:C,2,FALSE),"")</f>
        <v>ANY</v>
      </c>
      <c r="C72" s="48"/>
      <c r="D72" s="127"/>
      <c r="E72" s="48" t="str">
        <f>_xlfn.IFNA(VLOOKUP(Table3[[#This Row],[Product]], ProductListTbl[], 3, 0), "")</f>
        <v/>
      </c>
      <c r="F72" s="303" t="str">
        <f>_xlfn.IFNA(VLOOKUP(D72,ProductListTbl[],5,0),"")</f>
        <v/>
      </c>
      <c r="G72" s="303" t="str">
        <f>_xlfn.IFNA(VLOOKUP(D72,ProductListTbl[],6,0),"")</f>
        <v/>
      </c>
      <c r="H72" s="130" t="str">
        <f>_xlfn.IFNA(VLOOKUP(D72,ProductListTbl[],7,0),"")</f>
        <v/>
      </c>
      <c r="I72" s="130" t="str">
        <f>_xlfn.IFNA(VLOOKUP(D72,ProductListTbl[],8,0),"")</f>
        <v/>
      </c>
      <c r="J72" s="127"/>
      <c r="K72" s="129"/>
      <c r="L72" s="128"/>
      <c r="M72" s="305" t="str">
        <f>IFERROR(Table3[[#This Row],[Quantity (doses)]]/Table3[[#This Row],[Doses per vial or syringe]],"")</f>
        <v/>
      </c>
      <c r="N72" s="127"/>
      <c r="O72" s="127"/>
      <c r="P72" s="381"/>
      <c r="Q72" s="129"/>
      <c r="R72" s="127"/>
      <c r="S72" s="127"/>
      <c r="T72" s="127"/>
      <c r="U72" s="127"/>
      <c r="V72" s="305" t="str">
        <f>_xlfn.IFNA(VLOOKUP(D72,ProductListTbl[],9,0),"")</f>
        <v/>
      </c>
      <c r="W72" s="305" t="str">
        <f>IFERROR(Table3[[#This Row],[Storage space per secondary packaging (cm3)]]*Table3[[#This Row],[Quantity  (vials or syringes)]]/1000,"")</f>
        <v/>
      </c>
      <c r="X72" s="305" t="str">
        <f>IFERROR(Table3[[#This Row],[Storage space per tertiary packaging (cm3)]]*Table3[[#This Row],[Quantity (doses)]]/1000,"")</f>
        <v/>
      </c>
      <c r="Y72" s="293" t="str">
        <f>IF(Table3[[#This Row],[Status]]="Ordered",(DATE(YEAR(P72),MONTH(P72),1)),IF(Table3[[#This Row],[Status]]="Received",(DATE(YEAR(Q72),MONTH(Q72),1)),""))</f>
        <v/>
      </c>
      <c r="Z72" s="304" t="str">
        <f t="shared" si="4"/>
        <v/>
      </c>
      <c r="AA72" s="48" t="str">
        <f t="shared" si="5"/>
        <v/>
      </c>
      <c r="AB72" s="48" t="str">
        <f t="shared" si="6"/>
        <v/>
      </c>
      <c r="AC72" s="292" t="str">
        <f t="shared" si="7"/>
        <v/>
      </c>
      <c r="AD72" s="48" t="str">
        <f>IF(Table3[[#This Row],[Actual Arrival date]]&gt;0,IF(Table3[[#This Row],[Expected arrival date]]&gt;0,Table3[[#This Row],[Actual Arrival date]]-Table3[[#This Row],[Expected arrival date]],""),"")</f>
        <v/>
      </c>
    </row>
    <row r="73" spans="1:30" x14ac:dyDescent="0.25">
      <c r="A73" s="303" t="str">
        <f>Start!$D$7</f>
        <v>Anyland</v>
      </c>
      <c r="B73" s="48" t="str">
        <f>_xlfn.IFNA(VLOOKUP(A73,list!B:C,2,FALSE),"")</f>
        <v>ANY</v>
      </c>
      <c r="C73" s="48"/>
      <c r="D73" s="127"/>
      <c r="E73" s="48" t="str">
        <f>_xlfn.IFNA(VLOOKUP(Table3[[#This Row],[Product]], ProductListTbl[], 3, 0), "")</f>
        <v/>
      </c>
      <c r="F73" s="303" t="str">
        <f>_xlfn.IFNA(VLOOKUP(D73,ProductListTbl[],5,0),"")</f>
        <v/>
      </c>
      <c r="G73" s="303" t="str">
        <f>_xlfn.IFNA(VLOOKUP(D73,ProductListTbl[],6,0),"")</f>
        <v/>
      </c>
      <c r="H73" s="130" t="str">
        <f>_xlfn.IFNA(VLOOKUP(D73,ProductListTbl[],7,0),"")</f>
        <v/>
      </c>
      <c r="I73" s="130" t="str">
        <f>_xlfn.IFNA(VLOOKUP(D73,ProductListTbl[],8,0),"")</f>
        <v/>
      </c>
      <c r="J73" s="127"/>
      <c r="K73" s="129"/>
      <c r="L73" s="128"/>
      <c r="M73" s="305" t="str">
        <f>IFERROR(Table3[[#This Row],[Quantity (doses)]]/Table3[[#This Row],[Doses per vial or syringe]],"")</f>
        <v/>
      </c>
      <c r="N73" s="127"/>
      <c r="O73" s="127"/>
      <c r="P73" s="381"/>
      <c r="Q73" s="129"/>
      <c r="R73" s="127"/>
      <c r="S73" s="127"/>
      <c r="T73" s="127"/>
      <c r="U73" s="127"/>
      <c r="V73" s="305" t="str">
        <f>_xlfn.IFNA(VLOOKUP(D73,ProductListTbl[],9,0),"")</f>
        <v/>
      </c>
      <c r="W73" s="305" t="str">
        <f>IFERROR(Table3[[#This Row],[Storage space per secondary packaging (cm3)]]*Table3[[#This Row],[Quantity  (vials or syringes)]]/1000,"")</f>
        <v/>
      </c>
      <c r="X73" s="305" t="str">
        <f>IFERROR(Table3[[#This Row],[Storage space per tertiary packaging (cm3)]]*Table3[[#This Row],[Quantity (doses)]]/1000,"")</f>
        <v/>
      </c>
      <c r="Y73" s="293" t="str">
        <f>IF(Table3[[#This Row],[Status]]="Ordered",(DATE(YEAR(P73),MONTH(P73),1)),IF(Table3[[#This Row],[Status]]="Received",(DATE(YEAR(Q73),MONTH(Q73),1)),""))</f>
        <v/>
      </c>
      <c r="Z73" s="304" t="str">
        <f t="shared" si="4"/>
        <v/>
      </c>
      <c r="AA73" s="48" t="str">
        <f t="shared" si="5"/>
        <v/>
      </c>
      <c r="AB73" s="48" t="str">
        <f t="shared" si="6"/>
        <v/>
      </c>
      <c r="AC73" s="292" t="str">
        <f t="shared" si="7"/>
        <v/>
      </c>
      <c r="AD73" s="48" t="str">
        <f>IF(Table3[[#This Row],[Actual Arrival date]]&gt;0,IF(Table3[[#This Row],[Expected arrival date]]&gt;0,Table3[[#This Row],[Actual Arrival date]]-Table3[[#This Row],[Expected arrival date]],""),"")</f>
        <v/>
      </c>
    </row>
    <row r="74" spans="1:30" x14ac:dyDescent="0.25">
      <c r="A74" s="303" t="str">
        <f>Start!$D$7</f>
        <v>Anyland</v>
      </c>
      <c r="B74" s="48" t="str">
        <f>_xlfn.IFNA(VLOOKUP(A74,list!B:C,2,FALSE),"")</f>
        <v>ANY</v>
      </c>
      <c r="C74" s="48"/>
      <c r="D74" s="127"/>
      <c r="E74" s="48" t="str">
        <f>_xlfn.IFNA(VLOOKUP(Table3[[#This Row],[Product]], ProductListTbl[], 3, 0), "")</f>
        <v/>
      </c>
      <c r="F74" s="303" t="str">
        <f>_xlfn.IFNA(VLOOKUP(D74,ProductListTbl[],5,0),"")</f>
        <v/>
      </c>
      <c r="G74" s="303" t="str">
        <f>_xlfn.IFNA(VLOOKUP(D74,ProductListTbl[],6,0),"")</f>
        <v/>
      </c>
      <c r="H74" s="130" t="str">
        <f>_xlfn.IFNA(VLOOKUP(D74,ProductListTbl[],7,0),"")</f>
        <v/>
      </c>
      <c r="I74" s="130" t="str">
        <f>_xlfn.IFNA(VLOOKUP(D74,ProductListTbl[],8,0),"")</f>
        <v/>
      </c>
      <c r="J74" s="127"/>
      <c r="K74" s="129"/>
      <c r="L74" s="128"/>
      <c r="M74" s="305" t="str">
        <f>IFERROR(Table3[[#This Row],[Quantity (doses)]]/Table3[[#This Row],[Doses per vial or syringe]],"")</f>
        <v/>
      </c>
      <c r="N74" s="127"/>
      <c r="O74" s="127"/>
      <c r="P74" s="381"/>
      <c r="Q74" s="129"/>
      <c r="R74" s="127"/>
      <c r="S74" s="127"/>
      <c r="T74" s="127"/>
      <c r="U74" s="127"/>
      <c r="V74" s="305" t="str">
        <f>_xlfn.IFNA(VLOOKUP(D74,ProductListTbl[],9,0),"")</f>
        <v/>
      </c>
      <c r="W74" s="305" t="str">
        <f>IFERROR(Table3[[#This Row],[Storage space per secondary packaging (cm3)]]*Table3[[#This Row],[Quantity  (vials or syringes)]]/1000,"")</f>
        <v/>
      </c>
      <c r="X74" s="305" t="str">
        <f>IFERROR(Table3[[#This Row],[Storage space per tertiary packaging (cm3)]]*Table3[[#This Row],[Quantity (doses)]]/1000,"")</f>
        <v/>
      </c>
      <c r="Y74" s="293" t="str">
        <f>IF(Table3[[#This Row],[Status]]="Ordered",(DATE(YEAR(P74),MONTH(P74),1)),IF(Table3[[#This Row],[Status]]="Received",(DATE(YEAR(Q74),MONTH(Q74),1)),""))</f>
        <v/>
      </c>
      <c r="Z74" s="304" t="str">
        <f t="shared" si="4"/>
        <v/>
      </c>
      <c r="AA74" s="48" t="str">
        <f t="shared" si="5"/>
        <v/>
      </c>
      <c r="AB74" s="48" t="str">
        <f t="shared" si="6"/>
        <v/>
      </c>
      <c r="AC74" s="292" t="str">
        <f t="shared" si="7"/>
        <v/>
      </c>
      <c r="AD74" s="48" t="str">
        <f>IF(Table3[[#This Row],[Actual Arrival date]]&gt;0,IF(Table3[[#This Row],[Expected arrival date]]&gt;0,Table3[[#This Row],[Actual Arrival date]]-Table3[[#This Row],[Expected arrival date]],""),"")</f>
        <v/>
      </c>
    </row>
    <row r="75" spans="1:30" x14ac:dyDescent="0.25">
      <c r="A75" s="303" t="str">
        <f>Start!$D$7</f>
        <v>Anyland</v>
      </c>
      <c r="B75" s="48" t="str">
        <f>_xlfn.IFNA(VLOOKUP(A75,list!B:C,2,FALSE),"")</f>
        <v>ANY</v>
      </c>
      <c r="C75" s="48"/>
      <c r="D75" s="127"/>
      <c r="E75" s="48" t="str">
        <f>_xlfn.IFNA(VLOOKUP(Table3[[#This Row],[Product]], ProductListTbl[], 3, 0), "")</f>
        <v/>
      </c>
      <c r="F75" s="303" t="str">
        <f>_xlfn.IFNA(VLOOKUP(D75,ProductListTbl[],5,0),"")</f>
        <v/>
      </c>
      <c r="G75" s="303" t="str">
        <f>_xlfn.IFNA(VLOOKUP(D75,ProductListTbl[],6,0),"")</f>
        <v/>
      </c>
      <c r="H75" s="130" t="str">
        <f>_xlfn.IFNA(VLOOKUP(D75,ProductListTbl[],7,0),"")</f>
        <v/>
      </c>
      <c r="I75" s="130" t="str">
        <f>_xlfn.IFNA(VLOOKUP(D75,ProductListTbl[],8,0),"")</f>
        <v/>
      </c>
      <c r="J75" s="127"/>
      <c r="K75" s="129"/>
      <c r="L75" s="128"/>
      <c r="M75" s="305" t="str">
        <f>IFERROR(Table3[[#This Row],[Quantity (doses)]]/Table3[[#This Row],[Doses per vial or syringe]],"")</f>
        <v/>
      </c>
      <c r="N75" s="127"/>
      <c r="O75" s="127"/>
      <c r="P75" s="381"/>
      <c r="Q75" s="129"/>
      <c r="R75" s="127"/>
      <c r="S75" s="127"/>
      <c r="T75" s="127"/>
      <c r="U75" s="127"/>
      <c r="V75" s="305" t="str">
        <f>_xlfn.IFNA(VLOOKUP(D75,ProductListTbl[],9,0),"")</f>
        <v/>
      </c>
      <c r="W75" s="305" t="str">
        <f>IFERROR(Table3[[#This Row],[Storage space per secondary packaging (cm3)]]*Table3[[#This Row],[Quantity  (vials or syringes)]]/1000,"")</f>
        <v/>
      </c>
      <c r="X75" s="305" t="str">
        <f>IFERROR(Table3[[#This Row],[Storage space per tertiary packaging (cm3)]]*Table3[[#This Row],[Quantity (doses)]]/1000,"")</f>
        <v/>
      </c>
      <c r="Y75" s="293" t="str">
        <f>IF(Table3[[#This Row],[Status]]="Ordered",(DATE(YEAR(P75),MONTH(P75),1)),IF(Table3[[#This Row],[Status]]="Received",(DATE(YEAR(Q75),MONTH(Q75),1)),""))</f>
        <v/>
      </c>
      <c r="Z75" s="304" t="str">
        <f t="shared" si="4"/>
        <v/>
      </c>
      <c r="AA75" s="48" t="str">
        <f t="shared" si="5"/>
        <v/>
      </c>
      <c r="AB75" s="48" t="str">
        <f t="shared" si="6"/>
        <v/>
      </c>
      <c r="AC75" s="292" t="str">
        <f t="shared" si="7"/>
        <v/>
      </c>
      <c r="AD75" s="48" t="str">
        <f>IF(Table3[[#This Row],[Actual Arrival date]]&gt;0,IF(Table3[[#This Row],[Expected arrival date]]&gt;0,Table3[[#This Row],[Actual Arrival date]]-Table3[[#This Row],[Expected arrival date]],""),"")</f>
        <v/>
      </c>
    </row>
    <row r="76" spans="1:30" x14ac:dyDescent="0.25">
      <c r="A76" s="303" t="str">
        <f>Start!$D$7</f>
        <v>Anyland</v>
      </c>
      <c r="B76" s="48" t="str">
        <f>_xlfn.IFNA(VLOOKUP(A76,list!B:C,2,FALSE),"")</f>
        <v>ANY</v>
      </c>
      <c r="C76" s="48"/>
      <c r="D76" s="127"/>
      <c r="E76" s="48" t="str">
        <f>_xlfn.IFNA(VLOOKUP(Table3[[#This Row],[Product]], ProductListTbl[], 3, 0), "")</f>
        <v/>
      </c>
      <c r="F76" s="303" t="str">
        <f>_xlfn.IFNA(VLOOKUP(D76,ProductListTbl[],5,0),"")</f>
        <v/>
      </c>
      <c r="G76" s="303" t="str">
        <f>_xlfn.IFNA(VLOOKUP(D76,ProductListTbl[],6,0),"")</f>
        <v/>
      </c>
      <c r="H76" s="130" t="str">
        <f>_xlfn.IFNA(VLOOKUP(D76,ProductListTbl[],7,0),"")</f>
        <v/>
      </c>
      <c r="I76" s="130" t="str">
        <f>_xlfn.IFNA(VLOOKUP(D76,ProductListTbl[],8,0),"")</f>
        <v/>
      </c>
      <c r="J76" s="127"/>
      <c r="K76" s="129"/>
      <c r="L76" s="128"/>
      <c r="M76" s="305" t="str">
        <f>IFERROR(Table3[[#This Row],[Quantity (doses)]]/Table3[[#This Row],[Doses per vial or syringe]],"")</f>
        <v/>
      </c>
      <c r="N76" s="127"/>
      <c r="O76" s="127"/>
      <c r="P76" s="381"/>
      <c r="Q76" s="129"/>
      <c r="R76" s="127"/>
      <c r="S76" s="127"/>
      <c r="T76" s="127"/>
      <c r="U76" s="127"/>
      <c r="V76" s="305" t="str">
        <f>_xlfn.IFNA(VLOOKUP(D76,ProductListTbl[],9,0),"")</f>
        <v/>
      </c>
      <c r="W76" s="305" t="str">
        <f>IFERROR(Table3[[#This Row],[Storage space per secondary packaging (cm3)]]*Table3[[#This Row],[Quantity  (vials or syringes)]]/1000,"")</f>
        <v/>
      </c>
      <c r="X76" s="305" t="str">
        <f>IFERROR(Table3[[#This Row],[Storage space per tertiary packaging (cm3)]]*Table3[[#This Row],[Quantity (doses)]]/1000,"")</f>
        <v/>
      </c>
      <c r="Y76" s="293" t="str">
        <f>IF(Table3[[#This Row],[Status]]="Ordered",(DATE(YEAR(P76),MONTH(P76),1)),IF(Table3[[#This Row],[Status]]="Received",(DATE(YEAR(Q76),MONTH(Q76),1)),""))</f>
        <v/>
      </c>
      <c r="Z76" s="304" t="str">
        <f t="shared" si="4"/>
        <v/>
      </c>
      <c r="AA76" s="48" t="str">
        <f t="shared" si="5"/>
        <v/>
      </c>
      <c r="AB76" s="48" t="str">
        <f t="shared" si="6"/>
        <v/>
      </c>
      <c r="AC76" s="292" t="str">
        <f t="shared" si="7"/>
        <v/>
      </c>
      <c r="AD76" s="48" t="str">
        <f>IF(Table3[[#This Row],[Actual Arrival date]]&gt;0,IF(Table3[[#This Row],[Expected arrival date]]&gt;0,Table3[[#This Row],[Actual Arrival date]]-Table3[[#This Row],[Expected arrival date]],""),"")</f>
        <v/>
      </c>
    </row>
    <row r="77" spans="1:30" x14ac:dyDescent="0.25">
      <c r="A77" s="303" t="str">
        <f>Start!$D$7</f>
        <v>Anyland</v>
      </c>
      <c r="B77" s="48" t="str">
        <f>_xlfn.IFNA(VLOOKUP(A77,list!B:C,2,FALSE),"")</f>
        <v>ANY</v>
      </c>
      <c r="C77" s="48"/>
      <c r="D77" s="127"/>
      <c r="E77" s="48" t="str">
        <f>_xlfn.IFNA(VLOOKUP(Table3[[#This Row],[Product]], ProductListTbl[], 3, 0), "")</f>
        <v/>
      </c>
      <c r="F77" s="303" t="str">
        <f>_xlfn.IFNA(VLOOKUP(D77,ProductListTbl[],5,0),"")</f>
        <v/>
      </c>
      <c r="G77" s="303" t="str">
        <f>_xlfn.IFNA(VLOOKUP(D77,ProductListTbl[],6,0),"")</f>
        <v/>
      </c>
      <c r="H77" s="130" t="str">
        <f>_xlfn.IFNA(VLOOKUP(D77,ProductListTbl[],7,0),"")</f>
        <v/>
      </c>
      <c r="I77" s="130" t="str">
        <f>_xlfn.IFNA(VLOOKUP(D77,ProductListTbl[],8,0),"")</f>
        <v/>
      </c>
      <c r="J77" s="127"/>
      <c r="K77" s="129"/>
      <c r="L77" s="128"/>
      <c r="M77" s="305" t="str">
        <f>IFERROR(Table3[[#This Row],[Quantity (doses)]]/Table3[[#This Row],[Doses per vial or syringe]],"")</f>
        <v/>
      </c>
      <c r="N77" s="127"/>
      <c r="O77" s="127"/>
      <c r="P77" s="381"/>
      <c r="Q77" s="129"/>
      <c r="R77" s="127"/>
      <c r="S77" s="127"/>
      <c r="T77" s="127"/>
      <c r="U77" s="127"/>
      <c r="V77" s="305" t="str">
        <f>_xlfn.IFNA(VLOOKUP(D77,ProductListTbl[],9,0),"")</f>
        <v/>
      </c>
      <c r="W77" s="305" t="str">
        <f>IFERROR(Table3[[#This Row],[Storage space per secondary packaging (cm3)]]*Table3[[#This Row],[Quantity  (vials or syringes)]]/1000,"")</f>
        <v/>
      </c>
      <c r="X77" s="305" t="str">
        <f>IFERROR(Table3[[#This Row],[Storage space per tertiary packaging (cm3)]]*Table3[[#This Row],[Quantity (doses)]]/1000,"")</f>
        <v/>
      </c>
      <c r="Y77" s="293" t="str">
        <f>IF(Table3[[#This Row],[Status]]="Ordered",(DATE(YEAR(P77),MONTH(P77),1)),IF(Table3[[#This Row],[Status]]="Received",(DATE(YEAR(Q77),MONTH(Q77),1)),""))</f>
        <v/>
      </c>
      <c r="Z77" s="304" t="str">
        <f t="shared" si="4"/>
        <v/>
      </c>
      <c r="AA77" s="48" t="str">
        <f t="shared" si="5"/>
        <v/>
      </c>
      <c r="AB77" s="48" t="str">
        <f t="shared" si="6"/>
        <v/>
      </c>
      <c r="AC77" s="292" t="str">
        <f t="shared" si="7"/>
        <v/>
      </c>
      <c r="AD77" s="48" t="str">
        <f>IF(Table3[[#This Row],[Actual Arrival date]]&gt;0,IF(Table3[[#This Row],[Expected arrival date]]&gt;0,Table3[[#This Row],[Actual Arrival date]]-Table3[[#This Row],[Expected arrival date]],""),"")</f>
        <v/>
      </c>
    </row>
    <row r="78" spans="1:30" x14ac:dyDescent="0.25">
      <c r="A78" s="303" t="str">
        <f>Start!$D$7</f>
        <v>Anyland</v>
      </c>
      <c r="B78" s="48" t="str">
        <f>_xlfn.IFNA(VLOOKUP(A78,list!B:C,2,FALSE),"")</f>
        <v>ANY</v>
      </c>
      <c r="C78" s="48"/>
      <c r="D78" s="127"/>
      <c r="E78" s="48" t="str">
        <f>_xlfn.IFNA(VLOOKUP(Table3[[#This Row],[Product]], ProductListTbl[], 3, 0), "")</f>
        <v/>
      </c>
      <c r="F78" s="303" t="str">
        <f>_xlfn.IFNA(VLOOKUP(D78,ProductListTbl[],5,0),"")</f>
        <v/>
      </c>
      <c r="G78" s="303" t="str">
        <f>_xlfn.IFNA(VLOOKUP(D78,ProductListTbl[],6,0),"")</f>
        <v/>
      </c>
      <c r="H78" s="130" t="str">
        <f>_xlfn.IFNA(VLOOKUP(D78,ProductListTbl[],7,0),"")</f>
        <v/>
      </c>
      <c r="I78" s="130" t="str">
        <f>_xlfn.IFNA(VLOOKUP(D78,ProductListTbl[],8,0),"")</f>
        <v/>
      </c>
      <c r="J78" s="127"/>
      <c r="K78" s="129"/>
      <c r="L78" s="128"/>
      <c r="M78" s="305" t="str">
        <f>IFERROR(Table3[[#This Row],[Quantity (doses)]]/Table3[[#This Row],[Doses per vial or syringe]],"")</f>
        <v/>
      </c>
      <c r="N78" s="127"/>
      <c r="O78" s="127"/>
      <c r="P78" s="381"/>
      <c r="Q78" s="129"/>
      <c r="R78" s="127"/>
      <c r="S78" s="127"/>
      <c r="T78" s="127"/>
      <c r="U78" s="127"/>
      <c r="V78" s="305" t="str">
        <f>_xlfn.IFNA(VLOOKUP(D78,ProductListTbl[],9,0),"")</f>
        <v/>
      </c>
      <c r="W78" s="305" t="str">
        <f>IFERROR(Table3[[#This Row],[Storage space per secondary packaging (cm3)]]*Table3[[#This Row],[Quantity  (vials or syringes)]]/1000,"")</f>
        <v/>
      </c>
      <c r="X78" s="305" t="str">
        <f>IFERROR(Table3[[#This Row],[Storage space per tertiary packaging (cm3)]]*Table3[[#This Row],[Quantity (doses)]]/1000,"")</f>
        <v/>
      </c>
      <c r="Y78" s="293" t="str">
        <f>IF(Table3[[#This Row],[Status]]="Ordered",(DATE(YEAR(P78),MONTH(P78),1)),IF(Table3[[#This Row],[Status]]="Received",(DATE(YEAR(Q78),MONTH(Q78),1)),""))</f>
        <v/>
      </c>
      <c r="Z78" s="304" t="str">
        <f t="shared" si="4"/>
        <v/>
      </c>
      <c r="AA78" s="48" t="str">
        <f t="shared" si="5"/>
        <v/>
      </c>
      <c r="AB78" s="48" t="str">
        <f t="shared" si="6"/>
        <v/>
      </c>
      <c r="AC78" s="292" t="str">
        <f t="shared" si="7"/>
        <v/>
      </c>
      <c r="AD78" s="48" t="str">
        <f>IF(Table3[[#This Row],[Actual Arrival date]]&gt;0,IF(Table3[[#This Row],[Expected arrival date]]&gt;0,Table3[[#This Row],[Actual Arrival date]]-Table3[[#This Row],[Expected arrival date]],""),"")</f>
        <v/>
      </c>
    </row>
    <row r="79" spans="1:30" x14ac:dyDescent="0.25">
      <c r="A79" s="303" t="str">
        <f>Start!$D$7</f>
        <v>Anyland</v>
      </c>
      <c r="B79" s="48" t="str">
        <f>_xlfn.IFNA(VLOOKUP(A79,list!B:C,2,FALSE),"")</f>
        <v>ANY</v>
      </c>
      <c r="C79" s="48"/>
      <c r="D79" s="127"/>
      <c r="E79" s="48" t="str">
        <f>_xlfn.IFNA(VLOOKUP(Table3[[#This Row],[Product]], ProductListTbl[], 3, 0), "")</f>
        <v/>
      </c>
      <c r="F79" s="303" t="str">
        <f>_xlfn.IFNA(VLOOKUP(D79,ProductListTbl[],5,0),"")</f>
        <v/>
      </c>
      <c r="G79" s="303" t="str">
        <f>_xlfn.IFNA(VLOOKUP(D79,ProductListTbl[],6,0),"")</f>
        <v/>
      </c>
      <c r="H79" s="130" t="str">
        <f>_xlfn.IFNA(VLOOKUP(D79,ProductListTbl[],7,0),"")</f>
        <v/>
      </c>
      <c r="I79" s="130" t="str">
        <f>_xlfn.IFNA(VLOOKUP(D79,ProductListTbl[],8,0),"")</f>
        <v/>
      </c>
      <c r="J79" s="127"/>
      <c r="K79" s="129"/>
      <c r="L79" s="128"/>
      <c r="M79" s="305" t="str">
        <f>IFERROR(Table3[[#This Row],[Quantity (doses)]]/Table3[[#This Row],[Doses per vial or syringe]],"")</f>
        <v/>
      </c>
      <c r="N79" s="127"/>
      <c r="O79" s="127"/>
      <c r="P79" s="381"/>
      <c r="Q79" s="129"/>
      <c r="R79" s="127"/>
      <c r="S79" s="127"/>
      <c r="T79" s="127"/>
      <c r="U79" s="127"/>
      <c r="V79" s="305" t="str">
        <f>_xlfn.IFNA(VLOOKUP(D79,ProductListTbl[],9,0),"")</f>
        <v/>
      </c>
      <c r="W79" s="305" t="str">
        <f>IFERROR(Table3[[#This Row],[Storage space per secondary packaging (cm3)]]*Table3[[#This Row],[Quantity  (vials or syringes)]]/1000,"")</f>
        <v/>
      </c>
      <c r="X79" s="305" t="str">
        <f>IFERROR(Table3[[#This Row],[Storage space per tertiary packaging (cm3)]]*Table3[[#This Row],[Quantity (doses)]]/1000,"")</f>
        <v/>
      </c>
      <c r="Y79" s="293" t="str">
        <f>IF(Table3[[#This Row],[Status]]="Ordered",(DATE(YEAR(P79),MONTH(P79),1)),IF(Table3[[#This Row],[Status]]="Received",(DATE(YEAR(Q79),MONTH(Q79),1)),""))</f>
        <v/>
      </c>
      <c r="Z79" s="304" t="str">
        <f t="shared" si="4"/>
        <v/>
      </c>
      <c r="AA79" s="48" t="str">
        <f t="shared" si="5"/>
        <v/>
      </c>
      <c r="AB79" s="48" t="str">
        <f t="shared" si="6"/>
        <v/>
      </c>
      <c r="AC79" s="292" t="str">
        <f t="shared" si="7"/>
        <v/>
      </c>
      <c r="AD79" s="48" t="str">
        <f>IF(Table3[[#This Row],[Actual Arrival date]]&gt;0,IF(Table3[[#This Row],[Expected arrival date]]&gt;0,Table3[[#This Row],[Actual Arrival date]]-Table3[[#This Row],[Expected arrival date]],""),"")</f>
        <v/>
      </c>
    </row>
    <row r="80" spans="1:30" x14ac:dyDescent="0.25">
      <c r="A80" s="303" t="str">
        <f>Start!$D$7</f>
        <v>Anyland</v>
      </c>
      <c r="B80" s="48" t="str">
        <f>_xlfn.IFNA(VLOOKUP(A80,list!B:C,2,FALSE),"")</f>
        <v>ANY</v>
      </c>
      <c r="C80" s="48"/>
      <c r="D80" s="127"/>
      <c r="E80" s="48" t="str">
        <f>_xlfn.IFNA(VLOOKUP(Table3[[#This Row],[Product]], ProductListTbl[], 3, 0), "")</f>
        <v/>
      </c>
      <c r="F80" s="303" t="str">
        <f>_xlfn.IFNA(VLOOKUP(D80,ProductListTbl[],5,0),"")</f>
        <v/>
      </c>
      <c r="G80" s="303" t="str">
        <f>_xlfn.IFNA(VLOOKUP(D80,ProductListTbl[],6,0),"")</f>
        <v/>
      </c>
      <c r="H80" s="130" t="str">
        <f>_xlfn.IFNA(VLOOKUP(D80,ProductListTbl[],7,0),"")</f>
        <v/>
      </c>
      <c r="I80" s="130" t="str">
        <f>_xlfn.IFNA(VLOOKUP(D80,ProductListTbl[],8,0),"")</f>
        <v/>
      </c>
      <c r="J80" s="127"/>
      <c r="K80" s="129"/>
      <c r="L80" s="128"/>
      <c r="M80" s="305" t="str">
        <f>IFERROR(Table3[[#This Row],[Quantity (doses)]]/Table3[[#This Row],[Doses per vial or syringe]],"")</f>
        <v/>
      </c>
      <c r="N80" s="127"/>
      <c r="O80" s="127"/>
      <c r="P80" s="381"/>
      <c r="Q80" s="129"/>
      <c r="R80" s="127"/>
      <c r="S80" s="127"/>
      <c r="T80" s="127"/>
      <c r="U80" s="127"/>
      <c r="V80" s="305" t="str">
        <f>_xlfn.IFNA(VLOOKUP(D80,ProductListTbl[],9,0),"")</f>
        <v/>
      </c>
      <c r="W80" s="305" t="str">
        <f>IFERROR(Table3[[#This Row],[Storage space per secondary packaging (cm3)]]*Table3[[#This Row],[Quantity  (vials or syringes)]]/1000,"")</f>
        <v/>
      </c>
      <c r="X80" s="305" t="str">
        <f>IFERROR(Table3[[#This Row],[Storage space per tertiary packaging (cm3)]]*Table3[[#This Row],[Quantity (doses)]]/1000,"")</f>
        <v/>
      </c>
      <c r="Y80" s="293" t="str">
        <f>IF(Table3[[#This Row],[Status]]="Ordered",(DATE(YEAR(P80),MONTH(P80),1)),IF(Table3[[#This Row],[Status]]="Received",(DATE(YEAR(Q80),MONTH(Q80),1)),""))</f>
        <v/>
      </c>
      <c r="Z80" s="304" t="str">
        <f t="shared" si="4"/>
        <v/>
      </c>
      <c r="AA80" s="48" t="str">
        <f t="shared" si="5"/>
        <v/>
      </c>
      <c r="AB80" s="48" t="str">
        <f t="shared" si="6"/>
        <v/>
      </c>
      <c r="AC80" s="292" t="str">
        <f t="shared" si="7"/>
        <v/>
      </c>
      <c r="AD80" s="48" t="str">
        <f>IF(Table3[[#This Row],[Actual Arrival date]]&gt;0,IF(Table3[[#This Row],[Expected arrival date]]&gt;0,Table3[[#This Row],[Actual Arrival date]]-Table3[[#This Row],[Expected arrival date]],""),"")</f>
        <v/>
      </c>
    </row>
    <row r="81" spans="1:30" x14ac:dyDescent="0.25">
      <c r="A81" s="303" t="str">
        <f>Start!$D$7</f>
        <v>Anyland</v>
      </c>
      <c r="B81" s="48" t="str">
        <f>_xlfn.IFNA(VLOOKUP(A81,list!B:C,2,FALSE),"")</f>
        <v>ANY</v>
      </c>
      <c r="C81" s="48"/>
      <c r="D81" s="127"/>
      <c r="E81" s="48" t="str">
        <f>_xlfn.IFNA(VLOOKUP(Table3[[#This Row],[Product]], ProductListTbl[], 3, 0), "")</f>
        <v/>
      </c>
      <c r="F81" s="303" t="str">
        <f>_xlfn.IFNA(VLOOKUP(D81,ProductListTbl[],5,0),"")</f>
        <v/>
      </c>
      <c r="G81" s="303" t="str">
        <f>_xlfn.IFNA(VLOOKUP(D81,ProductListTbl[],6,0),"")</f>
        <v/>
      </c>
      <c r="H81" s="130" t="str">
        <f>_xlfn.IFNA(VLOOKUP(D81,ProductListTbl[],7,0),"")</f>
        <v/>
      </c>
      <c r="I81" s="130" t="str">
        <f>_xlfn.IFNA(VLOOKUP(D81,ProductListTbl[],8,0),"")</f>
        <v/>
      </c>
      <c r="J81" s="127"/>
      <c r="K81" s="129"/>
      <c r="L81" s="128"/>
      <c r="M81" s="305" t="str">
        <f>IFERROR(Table3[[#This Row],[Quantity (doses)]]/Table3[[#This Row],[Doses per vial or syringe]],"")</f>
        <v/>
      </c>
      <c r="N81" s="127"/>
      <c r="O81" s="127"/>
      <c r="P81" s="381"/>
      <c r="Q81" s="129"/>
      <c r="R81" s="127"/>
      <c r="S81" s="127"/>
      <c r="T81" s="127"/>
      <c r="U81" s="127"/>
      <c r="V81" s="305" t="str">
        <f>_xlfn.IFNA(VLOOKUP(D81,ProductListTbl[],9,0),"")</f>
        <v/>
      </c>
      <c r="W81" s="305" t="str">
        <f>IFERROR(Table3[[#This Row],[Storage space per secondary packaging (cm3)]]*Table3[[#This Row],[Quantity  (vials or syringes)]]/1000,"")</f>
        <v/>
      </c>
      <c r="X81" s="305" t="str">
        <f>IFERROR(Table3[[#This Row],[Storage space per tertiary packaging (cm3)]]*Table3[[#This Row],[Quantity (doses)]]/1000,"")</f>
        <v/>
      </c>
      <c r="Y81" s="293" t="str">
        <f>IF(Table3[[#This Row],[Status]]="Ordered",(DATE(YEAR(P81),MONTH(P81),1)),IF(Table3[[#This Row],[Status]]="Received",(DATE(YEAR(Q81),MONTH(Q81),1)),""))</f>
        <v/>
      </c>
      <c r="Z81" s="304" t="str">
        <f t="shared" si="4"/>
        <v/>
      </c>
      <c r="AA81" s="48" t="str">
        <f t="shared" si="5"/>
        <v/>
      </c>
      <c r="AB81" s="48" t="str">
        <f t="shared" si="6"/>
        <v/>
      </c>
      <c r="AC81" s="292" t="str">
        <f t="shared" si="7"/>
        <v/>
      </c>
      <c r="AD81" s="48" t="str">
        <f>IF(Table3[[#This Row],[Actual Arrival date]]&gt;0,IF(Table3[[#This Row],[Expected arrival date]]&gt;0,Table3[[#This Row],[Actual Arrival date]]-Table3[[#This Row],[Expected arrival date]],""),"")</f>
        <v/>
      </c>
    </row>
    <row r="82" spans="1:30" x14ac:dyDescent="0.25">
      <c r="A82" s="303" t="str">
        <f>Start!$D$7</f>
        <v>Anyland</v>
      </c>
      <c r="B82" s="48" t="str">
        <f>_xlfn.IFNA(VLOOKUP(A82,list!B:C,2,FALSE),"")</f>
        <v>ANY</v>
      </c>
      <c r="C82" s="48"/>
      <c r="D82" s="127"/>
      <c r="E82" s="48" t="str">
        <f>_xlfn.IFNA(VLOOKUP(Table3[[#This Row],[Product]], ProductListTbl[], 3, 0), "")</f>
        <v/>
      </c>
      <c r="F82" s="303" t="str">
        <f>_xlfn.IFNA(VLOOKUP(D82,ProductListTbl[],5,0),"")</f>
        <v/>
      </c>
      <c r="G82" s="303" t="str">
        <f>_xlfn.IFNA(VLOOKUP(D82,ProductListTbl[],6,0),"")</f>
        <v/>
      </c>
      <c r="H82" s="130" t="str">
        <f>_xlfn.IFNA(VLOOKUP(D82,ProductListTbl[],7,0),"")</f>
        <v/>
      </c>
      <c r="I82" s="130" t="str">
        <f>_xlfn.IFNA(VLOOKUP(D82,ProductListTbl[],8,0),"")</f>
        <v/>
      </c>
      <c r="J82" s="127"/>
      <c r="K82" s="129"/>
      <c r="L82" s="128"/>
      <c r="M82" s="305" t="str">
        <f>IFERROR(Table3[[#This Row],[Quantity (doses)]]/Table3[[#This Row],[Doses per vial or syringe]],"")</f>
        <v/>
      </c>
      <c r="N82" s="127"/>
      <c r="O82" s="127"/>
      <c r="P82" s="381"/>
      <c r="Q82" s="129"/>
      <c r="R82" s="127"/>
      <c r="S82" s="127"/>
      <c r="T82" s="127"/>
      <c r="U82" s="127"/>
      <c r="V82" s="305" t="str">
        <f>_xlfn.IFNA(VLOOKUP(D82,ProductListTbl[],9,0),"")</f>
        <v/>
      </c>
      <c r="W82" s="305" t="str">
        <f>IFERROR(Table3[[#This Row],[Storage space per secondary packaging (cm3)]]*Table3[[#This Row],[Quantity  (vials or syringes)]]/1000,"")</f>
        <v/>
      </c>
      <c r="X82" s="305" t="str">
        <f>IFERROR(Table3[[#This Row],[Storage space per tertiary packaging (cm3)]]*Table3[[#This Row],[Quantity (doses)]]/1000,"")</f>
        <v/>
      </c>
      <c r="Y82" s="293" t="str">
        <f>IF(Table3[[#This Row],[Status]]="Ordered",(DATE(YEAR(P82),MONTH(P82),1)),IF(Table3[[#This Row],[Status]]="Received",(DATE(YEAR(Q82),MONTH(Q82),1)),""))</f>
        <v/>
      </c>
      <c r="Z82" s="304" t="str">
        <f t="shared" si="4"/>
        <v/>
      </c>
      <c r="AA82" s="48" t="str">
        <f t="shared" si="5"/>
        <v/>
      </c>
      <c r="AB82" s="48" t="str">
        <f t="shared" si="6"/>
        <v/>
      </c>
      <c r="AC82" s="292" t="str">
        <f t="shared" si="7"/>
        <v/>
      </c>
      <c r="AD82" s="48" t="str">
        <f>IF(Table3[[#This Row],[Actual Arrival date]]&gt;0,IF(Table3[[#This Row],[Expected arrival date]]&gt;0,Table3[[#This Row],[Actual Arrival date]]-Table3[[#This Row],[Expected arrival date]],""),"")</f>
        <v/>
      </c>
    </row>
    <row r="83" spans="1:30" x14ac:dyDescent="0.25">
      <c r="A83" s="303" t="str">
        <f>Start!$D$7</f>
        <v>Anyland</v>
      </c>
      <c r="B83" s="48" t="str">
        <f>_xlfn.IFNA(VLOOKUP(A83,list!B:C,2,FALSE),"")</f>
        <v>ANY</v>
      </c>
      <c r="C83" s="48"/>
      <c r="D83" s="127"/>
      <c r="E83" s="48" t="str">
        <f>_xlfn.IFNA(VLOOKUP(Table3[[#This Row],[Product]], ProductListTbl[], 3, 0), "")</f>
        <v/>
      </c>
      <c r="F83" s="303" t="str">
        <f>_xlfn.IFNA(VLOOKUP(D83,ProductListTbl[],5,0),"")</f>
        <v/>
      </c>
      <c r="G83" s="303" t="str">
        <f>_xlfn.IFNA(VLOOKUP(D83,ProductListTbl[],6,0),"")</f>
        <v/>
      </c>
      <c r="H83" s="130" t="str">
        <f>_xlfn.IFNA(VLOOKUP(D83,ProductListTbl[],7,0),"")</f>
        <v/>
      </c>
      <c r="I83" s="130" t="str">
        <f>_xlfn.IFNA(VLOOKUP(D83,ProductListTbl[],8,0),"")</f>
        <v/>
      </c>
      <c r="J83" s="127"/>
      <c r="K83" s="129"/>
      <c r="L83" s="128"/>
      <c r="M83" s="305" t="str">
        <f>IFERROR(Table3[[#This Row],[Quantity (doses)]]/Table3[[#This Row],[Doses per vial or syringe]],"")</f>
        <v/>
      </c>
      <c r="N83" s="127"/>
      <c r="O83" s="127"/>
      <c r="P83" s="381"/>
      <c r="Q83" s="129"/>
      <c r="R83" s="127"/>
      <c r="S83" s="127"/>
      <c r="T83" s="127"/>
      <c r="U83" s="127"/>
      <c r="V83" s="305" t="str">
        <f>_xlfn.IFNA(VLOOKUP(D83,ProductListTbl[],9,0),"")</f>
        <v/>
      </c>
      <c r="W83" s="305" t="str">
        <f>IFERROR(Table3[[#This Row],[Storage space per secondary packaging (cm3)]]*Table3[[#This Row],[Quantity  (vials or syringes)]]/1000,"")</f>
        <v/>
      </c>
      <c r="X83" s="305" t="str">
        <f>IFERROR(Table3[[#This Row],[Storage space per tertiary packaging (cm3)]]*Table3[[#This Row],[Quantity (doses)]]/1000,"")</f>
        <v/>
      </c>
      <c r="Y83" s="293" t="str">
        <f>IF(Table3[[#This Row],[Status]]="Ordered",(DATE(YEAR(P83),MONTH(P83),1)),IF(Table3[[#This Row],[Status]]="Received",(DATE(YEAR(Q83),MONTH(Q83),1)),""))</f>
        <v/>
      </c>
      <c r="Z83" s="304" t="str">
        <f t="shared" si="4"/>
        <v/>
      </c>
      <c r="AA83" s="48" t="str">
        <f t="shared" si="5"/>
        <v/>
      </c>
      <c r="AB83" s="48" t="str">
        <f t="shared" si="6"/>
        <v/>
      </c>
      <c r="AC83" s="292" t="str">
        <f t="shared" si="7"/>
        <v/>
      </c>
      <c r="AD83" s="48" t="str">
        <f>IF(Table3[[#This Row],[Actual Arrival date]]&gt;0,IF(Table3[[#This Row],[Expected arrival date]]&gt;0,Table3[[#This Row],[Actual Arrival date]]-Table3[[#This Row],[Expected arrival date]],""),"")</f>
        <v/>
      </c>
    </row>
    <row r="84" spans="1:30" x14ac:dyDescent="0.25">
      <c r="A84" s="303" t="str">
        <f>Start!$D$7</f>
        <v>Anyland</v>
      </c>
      <c r="B84" s="48" t="str">
        <f>_xlfn.IFNA(VLOOKUP(A84,list!B:C,2,FALSE),"")</f>
        <v>ANY</v>
      </c>
      <c r="C84" s="48"/>
      <c r="D84" s="127"/>
      <c r="E84" s="48" t="str">
        <f>_xlfn.IFNA(VLOOKUP(Table3[[#This Row],[Product]], ProductListTbl[], 3, 0), "")</f>
        <v/>
      </c>
      <c r="F84" s="303" t="str">
        <f>_xlfn.IFNA(VLOOKUP(D84,ProductListTbl[],5,0),"")</f>
        <v/>
      </c>
      <c r="G84" s="303" t="str">
        <f>_xlfn.IFNA(VLOOKUP(D84,ProductListTbl[],6,0),"")</f>
        <v/>
      </c>
      <c r="H84" s="130" t="str">
        <f>_xlfn.IFNA(VLOOKUP(D84,ProductListTbl[],7,0),"")</f>
        <v/>
      </c>
      <c r="I84" s="130" t="str">
        <f>_xlfn.IFNA(VLOOKUP(D84,ProductListTbl[],8,0),"")</f>
        <v/>
      </c>
      <c r="J84" s="127"/>
      <c r="K84" s="129"/>
      <c r="L84" s="128"/>
      <c r="M84" s="305" t="str">
        <f>IFERROR(Table3[[#This Row],[Quantity (doses)]]/Table3[[#This Row],[Doses per vial or syringe]],"")</f>
        <v/>
      </c>
      <c r="N84" s="127"/>
      <c r="O84" s="127"/>
      <c r="P84" s="381"/>
      <c r="Q84" s="129"/>
      <c r="R84" s="127"/>
      <c r="S84" s="127"/>
      <c r="T84" s="127"/>
      <c r="U84" s="127"/>
      <c r="V84" s="305" t="str">
        <f>_xlfn.IFNA(VLOOKUP(D84,ProductListTbl[],9,0),"")</f>
        <v/>
      </c>
      <c r="W84" s="305" t="str">
        <f>IFERROR(Table3[[#This Row],[Storage space per secondary packaging (cm3)]]*Table3[[#This Row],[Quantity  (vials or syringes)]]/1000,"")</f>
        <v/>
      </c>
      <c r="X84" s="305" t="str">
        <f>IFERROR(Table3[[#This Row],[Storage space per tertiary packaging (cm3)]]*Table3[[#This Row],[Quantity (doses)]]/1000,"")</f>
        <v/>
      </c>
      <c r="Y84" s="293" t="str">
        <f>IF(Table3[[#This Row],[Status]]="Ordered",(DATE(YEAR(P84),MONTH(P84),1)),IF(Table3[[#This Row],[Status]]="Received",(DATE(YEAR(Q84),MONTH(Q84),1)),""))</f>
        <v/>
      </c>
      <c r="Z84" s="304" t="str">
        <f t="shared" si="4"/>
        <v/>
      </c>
      <c r="AA84" s="48" t="str">
        <f t="shared" si="5"/>
        <v/>
      </c>
      <c r="AB84" s="48" t="str">
        <f t="shared" si="6"/>
        <v/>
      </c>
      <c r="AC84" s="292" t="str">
        <f t="shared" si="7"/>
        <v/>
      </c>
      <c r="AD84" s="48" t="str">
        <f>IF(Table3[[#This Row],[Actual Arrival date]]&gt;0,IF(Table3[[#This Row],[Expected arrival date]]&gt;0,Table3[[#This Row],[Actual Arrival date]]-Table3[[#This Row],[Expected arrival date]],""),"")</f>
        <v/>
      </c>
    </row>
    <row r="85" spans="1:30" x14ac:dyDescent="0.25">
      <c r="A85" s="303" t="str">
        <f>Start!$D$7</f>
        <v>Anyland</v>
      </c>
      <c r="B85" s="48" t="str">
        <f>_xlfn.IFNA(VLOOKUP(A85,list!B:C,2,FALSE),"")</f>
        <v>ANY</v>
      </c>
      <c r="C85" s="48"/>
      <c r="D85" s="127"/>
      <c r="E85" s="48" t="str">
        <f>_xlfn.IFNA(VLOOKUP(Table3[[#This Row],[Product]], ProductListTbl[], 3, 0), "")</f>
        <v/>
      </c>
      <c r="F85" s="303" t="str">
        <f>_xlfn.IFNA(VLOOKUP(D85,ProductListTbl[],5,0),"")</f>
        <v/>
      </c>
      <c r="G85" s="303" t="str">
        <f>_xlfn.IFNA(VLOOKUP(D85,ProductListTbl[],6,0),"")</f>
        <v/>
      </c>
      <c r="H85" s="130" t="str">
        <f>_xlfn.IFNA(VLOOKUP(D85,ProductListTbl[],7,0),"")</f>
        <v/>
      </c>
      <c r="I85" s="130" t="str">
        <f>_xlfn.IFNA(VLOOKUP(D85,ProductListTbl[],8,0),"")</f>
        <v/>
      </c>
      <c r="J85" s="127"/>
      <c r="K85" s="129"/>
      <c r="L85" s="128"/>
      <c r="M85" s="305" t="str">
        <f>IFERROR(Table3[[#This Row],[Quantity (doses)]]/Table3[[#This Row],[Doses per vial or syringe]],"")</f>
        <v/>
      </c>
      <c r="N85" s="127"/>
      <c r="O85" s="127"/>
      <c r="P85" s="381"/>
      <c r="Q85" s="129"/>
      <c r="R85" s="127"/>
      <c r="S85" s="127"/>
      <c r="T85" s="127"/>
      <c r="U85" s="127"/>
      <c r="V85" s="305" t="str">
        <f>_xlfn.IFNA(VLOOKUP(D85,ProductListTbl[],9,0),"")</f>
        <v/>
      </c>
      <c r="W85" s="305" t="str">
        <f>IFERROR(Table3[[#This Row],[Storage space per secondary packaging (cm3)]]*Table3[[#This Row],[Quantity  (vials or syringes)]]/1000,"")</f>
        <v/>
      </c>
      <c r="X85" s="305" t="str">
        <f>IFERROR(Table3[[#This Row],[Storage space per tertiary packaging (cm3)]]*Table3[[#This Row],[Quantity (doses)]]/1000,"")</f>
        <v/>
      </c>
      <c r="Y85" s="293" t="str">
        <f>IF(Table3[[#This Row],[Status]]="Ordered",(DATE(YEAR(P85),MONTH(P85),1)),IF(Table3[[#This Row],[Status]]="Received",(DATE(YEAR(Q85),MONTH(Q85),1)),""))</f>
        <v/>
      </c>
      <c r="Z85" s="304" t="str">
        <f t="shared" si="4"/>
        <v/>
      </c>
      <c r="AA85" s="48" t="str">
        <f t="shared" si="5"/>
        <v/>
      </c>
      <c r="AB85" s="48" t="str">
        <f t="shared" si="6"/>
        <v/>
      </c>
      <c r="AC85" s="292" t="str">
        <f t="shared" si="7"/>
        <v/>
      </c>
      <c r="AD85" s="48" t="str">
        <f>IF(Table3[[#This Row],[Actual Arrival date]]&gt;0,IF(Table3[[#This Row],[Expected arrival date]]&gt;0,Table3[[#This Row],[Actual Arrival date]]-Table3[[#This Row],[Expected arrival date]],""),"")</f>
        <v/>
      </c>
    </row>
    <row r="86" spans="1:30" x14ac:dyDescent="0.25">
      <c r="A86" s="303" t="str">
        <f>Start!$D$7</f>
        <v>Anyland</v>
      </c>
      <c r="B86" s="48" t="str">
        <f>_xlfn.IFNA(VLOOKUP(A86,list!B:C,2,FALSE),"")</f>
        <v>ANY</v>
      </c>
      <c r="C86" s="48"/>
      <c r="D86" s="127"/>
      <c r="E86" s="48" t="str">
        <f>_xlfn.IFNA(VLOOKUP(Table3[[#This Row],[Product]], ProductListTbl[], 3, 0), "")</f>
        <v/>
      </c>
      <c r="F86" s="303" t="str">
        <f>_xlfn.IFNA(VLOOKUP(D86,ProductListTbl[],5,0),"")</f>
        <v/>
      </c>
      <c r="G86" s="303" t="str">
        <f>_xlfn.IFNA(VLOOKUP(D86,ProductListTbl[],6,0),"")</f>
        <v/>
      </c>
      <c r="H86" s="130" t="str">
        <f>_xlfn.IFNA(VLOOKUP(D86,ProductListTbl[],7,0),"")</f>
        <v/>
      </c>
      <c r="I86" s="130" t="str">
        <f>_xlfn.IFNA(VLOOKUP(D86,ProductListTbl[],8,0),"")</f>
        <v/>
      </c>
      <c r="J86" s="127"/>
      <c r="K86" s="129"/>
      <c r="L86" s="128"/>
      <c r="M86" s="305" t="str">
        <f>IFERROR(Table3[[#This Row],[Quantity (doses)]]/Table3[[#This Row],[Doses per vial or syringe]],"")</f>
        <v/>
      </c>
      <c r="N86" s="127"/>
      <c r="O86" s="127"/>
      <c r="P86" s="381"/>
      <c r="Q86" s="129"/>
      <c r="R86" s="127"/>
      <c r="S86" s="127"/>
      <c r="T86" s="127"/>
      <c r="U86" s="127"/>
      <c r="V86" s="305" t="str">
        <f>_xlfn.IFNA(VLOOKUP(D86,ProductListTbl[],9,0),"")</f>
        <v/>
      </c>
      <c r="W86" s="305" t="str">
        <f>IFERROR(Table3[[#This Row],[Storage space per secondary packaging (cm3)]]*Table3[[#This Row],[Quantity  (vials or syringes)]]/1000,"")</f>
        <v/>
      </c>
      <c r="X86" s="305" t="str">
        <f>IFERROR(Table3[[#This Row],[Storage space per tertiary packaging (cm3)]]*Table3[[#This Row],[Quantity (doses)]]/1000,"")</f>
        <v/>
      </c>
      <c r="Y86" s="293" t="str">
        <f>IF(Table3[[#This Row],[Status]]="Ordered",(DATE(YEAR(P86),MONTH(P86),1)),IF(Table3[[#This Row],[Status]]="Received",(DATE(YEAR(Q86),MONTH(Q86),1)),""))</f>
        <v/>
      </c>
      <c r="Z86" s="304" t="str">
        <f t="shared" si="4"/>
        <v/>
      </c>
      <c r="AA86" s="48" t="str">
        <f t="shared" si="5"/>
        <v/>
      </c>
      <c r="AB86" s="48" t="str">
        <f t="shared" si="6"/>
        <v/>
      </c>
      <c r="AC86" s="292" t="str">
        <f t="shared" si="7"/>
        <v/>
      </c>
      <c r="AD86" s="48" t="str">
        <f>IF(Table3[[#This Row],[Actual Arrival date]]&gt;0,IF(Table3[[#This Row],[Expected arrival date]]&gt;0,Table3[[#This Row],[Actual Arrival date]]-Table3[[#This Row],[Expected arrival date]],""),"")</f>
        <v/>
      </c>
    </row>
    <row r="87" spans="1:30" x14ac:dyDescent="0.25">
      <c r="A87" s="303" t="str">
        <f>Start!$D$7</f>
        <v>Anyland</v>
      </c>
      <c r="B87" s="48" t="str">
        <f>_xlfn.IFNA(VLOOKUP(A87,list!B:C,2,FALSE),"")</f>
        <v>ANY</v>
      </c>
      <c r="C87" s="48"/>
      <c r="D87" s="127"/>
      <c r="E87" s="48" t="str">
        <f>_xlfn.IFNA(VLOOKUP(Table3[[#This Row],[Product]], ProductListTbl[], 3, 0), "")</f>
        <v/>
      </c>
      <c r="F87" s="303" t="str">
        <f>_xlfn.IFNA(VLOOKUP(D87,ProductListTbl[],5,0),"")</f>
        <v/>
      </c>
      <c r="G87" s="303" t="str">
        <f>_xlfn.IFNA(VLOOKUP(D87,ProductListTbl[],6,0),"")</f>
        <v/>
      </c>
      <c r="H87" s="130" t="str">
        <f>_xlfn.IFNA(VLOOKUP(D87,ProductListTbl[],7,0),"")</f>
        <v/>
      </c>
      <c r="I87" s="130" t="str">
        <f>_xlfn.IFNA(VLOOKUP(D87,ProductListTbl[],8,0),"")</f>
        <v/>
      </c>
      <c r="J87" s="127"/>
      <c r="K87" s="129"/>
      <c r="L87" s="128"/>
      <c r="M87" s="305" t="str">
        <f>IFERROR(Table3[[#This Row],[Quantity (doses)]]/Table3[[#This Row],[Doses per vial or syringe]],"")</f>
        <v/>
      </c>
      <c r="N87" s="127"/>
      <c r="O87" s="127"/>
      <c r="P87" s="381"/>
      <c r="Q87" s="129"/>
      <c r="R87" s="127"/>
      <c r="S87" s="127"/>
      <c r="T87" s="127"/>
      <c r="U87" s="127"/>
      <c r="V87" s="305" t="str">
        <f>_xlfn.IFNA(VLOOKUP(D87,ProductListTbl[],9,0),"")</f>
        <v/>
      </c>
      <c r="W87" s="305" t="str">
        <f>IFERROR(Table3[[#This Row],[Storage space per secondary packaging (cm3)]]*Table3[[#This Row],[Quantity  (vials or syringes)]]/1000,"")</f>
        <v/>
      </c>
      <c r="X87" s="305" t="str">
        <f>IFERROR(Table3[[#This Row],[Storage space per tertiary packaging (cm3)]]*Table3[[#This Row],[Quantity (doses)]]/1000,"")</f>
        <v/>
      </c>
      <c r="Y87" s="293" t="str">
        <f>IF(Table3[[#This Row],[Status]]="Ordered",(DATE(YEAR(P87),MONTH(P87),1)),IF(Table3[[#This Row],[Status]]="Received",(DATE(YEAR(Q87),MONTH(Q87),1)),""))</f>
        <v/>
      </c>
      <c r="Z87" s="304" t="str">
        <f t="shared" si="4"/>
        <v/>
      </c>
      <c r="AA87" s="48" t="str">
        <f t="shared" si="5"/>
        <v/>
      </c>
      <c r="AB87" s="48" t="str">
        <f t="shared" si="6"/>
        <v/>
      </c>
      <c r="AC87" s="292" t="str">
        <f t="shared" si="7"/>
        <v/>
      </c>
      <c r="AD87" s="48" t="str">
        <f>IF(Table3[[#This Row],[Actual Arrival date]]&gt;0,IF(Table3[[#This Row],[Expected arrival date]]&gt;0,Table3[[#This Row],[Actual Arrival date]]-Table3[[#This Row],[Expected arrival date]],""),"")</f>
        <v/>
      </c>
    </row>
    <row r="88" spans="1:30" x14ac:dyDescent="0.25">
      <c r="A88" s="303" t="str">
        <f>Start!$D$7</f>
        <v>Anyland</v>
      </c>
      <c r="B88" s="48" t="str">
        <f>_xlfn.IFNA(VLOOKUP(A88,list!B:C,2,FALSE),"")</f>
        <v>ANY</v>
      </c>
      <c r="C88" s="48"/>
      <c r="D88" s="127"/>
      <c r="E88" s="48" t="str">
        <f>_xlfn.IFNA(VLOOKUP(Table3[[#This Row],[Product]], ProductListTbl[], 3, 0), "")</f>
        <v/>
      </c>
      <c r="F88" s="303" t="str">
        <f>_xlfn.IFNA(VLOOKUP(D88,ProductListTbl[],5,0),"")</f>
        <v/>
      </c>
      <c r="G88" s="303" t="str">
        <f>_xlfn.IFNA(VLOOKUP(D88,ProductListTbl[],6,0),"")</f>
        <v/>
      </c>
      <c r="H88" s="130" t="str">
        <f>_xlfn.IFNA(VLOOKUP(D88,ProductListTbl[],7,0),"")</f>
        <v/>
      </c>
      <c r="I88" s="130" t="str">
        <f>_xlfn.IFNA(VLOOKUP(D88,ProductListTbl[],8,0),"")</f>
        <v/>
      </c>
      <c r="J88" s="127"/>
      <c r="K88" s="129"/>
      <c r="L88" s="128"/>
      <c r="M88" s="305" t="str">
        <f>IFERROR(Table3[[#This Row],[Quantity (doses)]]/Table3[[#This Row],[Doses per vial or syringe]],"")</f>
        <v/>
      </c>
      <c r="N88" s="127"/>
      <c r="O88" s="127"/>
      <c r="P88" s="381"/>
      <c r="Q88" s="129"/>
      <c r="R88" s="127"/>
      <c r="S88" s="127"/>
      <c r="T88" s="127"/>
      <c r="U88" s="127"/>
      <c r="V88" s="305" t="str">
        <f>_xlfn.IFNA(VLOOKUP(D88,ProductListTbl[],9,0),"")</f>
        <v/>
      </c>
      <c r="W88" s="305" t="str">
        <f>IFERROR(Table3[[#This Row],[Storage space per secondary packaging (cm3)]]*Table3[[#This Row],[Quantity  (vials or syringes)]]/1000,"")</f>
        <v/>
      </c>
      <c r="X88" s="305" t="str">
        <f>IFERROR(Table3[[#This Row],[Storage space per tertiary packaging (cm3)]]*Table3[[#This Row],[Quantity (doses)]]/1000,"")</f>
        <v/>
      </c>
      <c r="Y88" s="293" t="str">
        <f>IF(Table3[[#This Row],[Status]]="Ordered",(DATE(YEAR(P88),MONTH(P88),1)),IF(Table3[[#This Row],[Status]]="Received",(DATE(YEAR(Q88),MONTH(Q88),1)),""))</f>
        <v/>
      </c>
      <c r="Z88" s="304" t="str">
        <f t="shared" si="4"/>
        <v/>
      </c>
      <c r="AA88" s="48" t="str">
        <f t="shared" si="5"/>
        <v/>
      </c>
      <c r="AB88" s="48" t="str">
        <f t="shared" si="6"/>
        <v/>
      </c>
      <c r="AC88" s="292" t="str">
        <f t="shared" si="7"/>
        <v/>
      </c>
      <c r="AD88" s="48" t="str">
        <f>IF(Table3[[#This Row],[Actual Arrival date]]&gt;0,IF(Table3[[#This Row],[Expected arrival date]]&gt;0,Table3[[#This Row],[Actual Arrival date]]-Table3[[#This Row],[Expected arrival date]],""),"")</f>
        <v/>
      </c>
    </row>
    <row r="89" spans="1:30" x14ac:dyDescent="0.25">
      <c r="A89" s="303" t="str">
        <f>Start!$D$7</f>
        <v>Anyland</v>
      </c>
      <c r="B89" s="48" t="str">
        <f>_xlfn.IFNA(VLOOKUP(A89,list!B:C,2,FALSE),"")</f>
        <v>ANY</v>
      </c>
      <c r="C89" s="48"/>
      <c r="D89" s="127"/>
      <c r="E89" s="48" t="str">
        <f>_xlfn.IFNA(VLOOKUP(Table3[[#This Row],[Product]], ProductListTbl[], 3, 0), "")</f>
        <v/>
      </c>
      <c r="F89" s="303" t="str">
        <f>_xlfn.IFNA(VLOOKUP(D89,ProductListTbl[],5,0),"")</f>
        <v/>
      </c>
      <c r="G89" s="303" t="str">
        <f>_xlfn.IFNA(VLOOKUP(D89,ProductListTbl[],6,0),"")</f>
        <v/>
      </c>
      <c r="H89" s="130" t="str">
        <f>_xlfn.IFNA(VLOOKUP(D89,ProductListTbl[],7,0),"")</f>
        <v/>
      </c>
      <c r="I89" s="130" t="str">
        <f>_xlfn.IFNA(VLOOKUP(D89,ProductListTbl[],8,0),"")</f>
        <v/>
      </c>
      <c r="J89" s="127"/>
      <c r="K89" s="129"/>
      <c r="L89" s="128"/>
      <c r="M89" s="305" t="str">
        <f>IFERROR(Table3[[#This Row],[Quantity (doses)]]/Table3[[#This Row],[Doses per vial or syringe]],"")</f>
        <v/>
      </c>
      <c r="N89" s="127"/>
      <c r="O89" s="127"/>
      <c r="P89" s="381"/>
      <c r="Q89" s="129"/>
      <c r="R89" s="127"/>
      <c r="S89" s="127"/>
      <c r="T89" s="127"/>
      <c r="U89" s="127"/>
      <c r="V89" s="305" t="str">
        <f>_xlfn.IFNA(VLOOKUP(D89,ProductListTbl[],9,0),"")</f>
        <v/>
      </c>
      <c r="W89" s="305" t="str">
        <f>IFERROR(Table3[[#This Row],[Storage space per secondary packaging (cm3)]]*Table3[[#This Row],[Quantity  (vials or syringes)]]/1000,"")</f>
        <v/>
      </c>
      <c r="X89" s="305" t="str">
        <f>IFERROR(Table3[[#This Row],[Storage space per tertiary packaging (cm3)]]*Table3[[#This Row],[Quantity (doses)]]/1000,"")</f>
        <v/>
      </c>
      <c r="Y89" s="293" t="str">
        <f>IF(Table3[[#This Row],[Status]]="Ordered",(DATE(YEAR(P89),MONTH(P89),1)),IF(Table3[[#This Row],[Status]]="Received",(DATE(YEAR(Q89),MONTH(Q89),1)),""))</f>
        <v/>
      </c>
      <c r="Z89" s="304" t="str">
        <f t="shared" si="4"/>
        <v/>
      </c>
      <c r="AA89" s="48" t="str">
        <f t="shared" si="5"/>
        <v/>
      </c>
      <c r="AB89" s="48" t="str">
        <f t="shared" si="6"/>
        <v/>
      </c>
      <c r="AC89" s="292" t="str">
        <f t="shared" si="7"/>
        <v/>
      </c>
      <c r="AD89" s="48" t="str">
        <f>IF(Table3[[#This Row],[Actual Arrival date]]&gt;0,IF(Table3[[#This Row],[Expected arrival date]]&gt;0,Table3[[#This Row],[Actual Arrival date]]-Table3[[#This Row],[Expected arrival date]],""),"")</f>
        <v/>
      </c>
    </row>
    <row r="90" spans="1:30" x14ac:dyDescent="0.25">
      <c r="A90" s="303" t="str">
        <f>Start!$D$7</f>
        <v>Anyland</v>
      </c>
      <c r="B90" s="48" t="str">
        <f>_xlfn.IFNA(VLOOKUP(A90,list!B:C,2,FALSE),"")</f>
        <v>ANY</v>
      </c>
      <c r="C90" s="48"/>
      <c r="D90" s="127"/>
      <c r="E90" s="48" t="str">
        <f>_xlfn.IFNA(VLOOKUP(Table3[[#This Row],[Product]], ProductListTbl[], 3, 0), "")</f>
        <v/>
      </c>
      <c r="F90" s="303" t="str">
        <f>_xlfn.IFNA(VLOOKUP(D90,ProductListTbl[],5,0),"")</f>
        <v/>
      </c>
      <c r="G90" s="303" t="str">
        <f>_xlfn.IFNA(VLOOKUP(D90,ProductListTbl[],6,0),"")</f>
        <v/>
      </c>
      <c r="H90" s="130" t="str">
        <f>_xlfn.IFNA(VLOOKUP(D90,ProductListTbl[],7,0),"")</f>
        <v/>
      </c>
      <c r="I90" s="130" t="str">
        <f>_xlfn.IFNA(VLOOKUP(D90,ProductListTbl[],8,0),"")</f>
        <v/>
      </c>
      <c r="J90" s="127"/>
      <c r="K90" s="129"/>
      <c r="L90" s="128"/>
      <c r="M90" s="305" t="str">
        <f>IFERROR(Table3[[#This Row],[Quantity (doses)]]/Table3[[#This Row],[Doses per vial or syringe]],"")</f>
        <v/>
      </c>
      <c r="N90" s="127"/>
      <c r="O90" s="127"/>
      <c r="P90" s="381"/>
      <c r="Q90" s="129"/>
      <c r="R90" s="127"/>
      <c r="S90" s="127"/>
      <c r="T90" s="127"/>
      <c r="U90" s="127"/>
      <c r="V90" s="305" t="str">
        <f>_xlfn.IFNA(VLOOKUP(D90,ProductListTbl[],9,0),"")</f>
        <v/>
      </c>
      <c r="W90" s="305" t="str">
        <f>IFERROR(Table3[[#This Row],[Storage space per secondary packaging (cm3)]]*Table3[[#This Row],[Quantity  (vials or syringes)]]/1000,"")</f>
        <v/>
      </c>
      <c r="X90" s="305" t="str">
        <f>IFERROR(Table3[[#This Row],[Storage space per tertiary packaging (cm3)]]*Table3[[#This Row],[Quantity (doses)]]/1000,"")</f>
        <v/>
      </c>
      <c r="Y90" s="293" t="str">
        <f>IF(Table3[[#This Row],[Status]]="Ordered",(DATE(YEAR(P90),MONTH(P90),1)),IF(Table3[[#This Row],[Status]]="Received",(DATE(YEAR(Q90),MONTH(Q90),1)),""))</f>
        <v/>
      </c>
      <c r="Z90" s="304" t="str">
        <f t="shared" si="4"/>
        <v/>
      </c>
      <c r="AA90" s="48" t="str">
        <f t="shared" si="5"/>
        <v/>
      </c>
      <c r="AB90" s="48" t="str">
        <f t="shared" si="6"/>
        <v/>
      </c>
      <c r="AC90" s="292" t="str">
        <f t="shared" si="7"/>
        <v/>
      </c>
      <c r="AD90" s="48" t="str">
        <f>IF(Table3[[#This Row],[Actual Arrival date]]&gt;0,IF(Table3[[#This Row],[Expected arrival date]]&gt;0,Table3[[#This Row],[Actual Arrival date]]-Table3[[#This Row],[Expected arrival date]],""),"")</f>
        <v/>
      </c>
    </row>
    <row r="91" spans="1:30" x14ac:dyDescent="0.25">
      <c r="A91" s="303" t="str">
        <f>Start!$D$7</f>
        <v>Anyland</v>
      </c>
      <c r="B91" s="48" t="str">
        <f>_xlfn.IFNA(VLOOKUP(A91,list!B:C,2,FALSE),"")</f>
        <v>ANY</v>
      </c>
      <c r="C91" s="48"/>
      <c r="D91" s="127"/>
      <c r="E91" s="48" t="str">
        <f>_xlfn.IFNA(VLOOKUP(Table3[[#This Row],[Product]], ProductListTbl[], 3, 0), "")</f>
        <v/>
      </c>
      <c r="F91" s="303" t="str">
        <f>_xlfn.IFNA(VLOOKUP(D91,ProductListTbl[],5,0),"")</f>
        <v/>
      </c>
      <c r="G91" s="303" t="str">
        <f>_xlfn.IFNA(VLOOKUP(D91,ProductListTbl[],6,0),"")</f>
        <v/>
      </c>
      <c r="H91" s="130" t="str">
        <f>_xlfn.IFNA(VLOOKUP(D91,ProductListTbl[],7,0),"")</f>
        <v/>
      </c>
      <c r="I91" s="130" t="str">
        <f>_xlfn.IFNA(VLOOKUP(D91,ProductListTbl[],8,0),"")</f>
        <v/>
      </c>
      <c r="J91" s="127"/>
      <c r="K91" s="129"/>
      <c r="L91" s="128"/>
      <c r="M91" s="305" t="str">
        <f>IFERROR(Table3[[#This Row],[Quantity (doses)]]/Table3[[#This Row],[Doses per vial or syringe]],"")</f>
        <v/>
      </c>
      <c r="N91" s="127"/>
      <c r="O91" s="127"/>
      <c r="P91" s="381"/>
      <c r="Q91" s="129"/>
      <c r="R91" s="127"/>
      <c r="S91" s="127"/>
      <c r="T91" s="127"/>
      <c r="U91" s="127"/>
      <c r="V91" s="305" t="str">
        <f>_xlfn.IFNA(VLOOKUP(D91,ProductListTbl[],9,0),"")</f>
        <v/>
      </c>
      <c r="W91" s="305" t="str">
        <f>IFERROR(Table3[[#This Row],[Storage space per secondary packaging (cm3)]]*Table3[[#This Row],[Quantity  (vials or syringes)]]/1000,"")</f>
        <v/>
      </c>
      <c r="X91" s="305" t="str">
        <f>IFERROR(Table3[[#This Row],[Storage space per tertiary packaging (cm3)]]*Table3[[#This Row],[Quantity (doses)]]/1000,"")</f>
        <v/>
      </c>
      <c r="Y91" s="293" t="str">
        <f>IF(Table3[[#This Row],[Status]]="Ordered",(DATE(YEAR(P91),MONTH(P91),1)),IF(Table3[[#This Row],[Status]]="Received",(DATE(YEAR(Q91),MONTH(Q91),1)),""))</f>
        <v/>
      </c>
      <c r="Z91" s="304" t="str">
        <f t="shared" si="4"/>
        <v/>
      </c>
      <c r="AA91" s="48" t="str">
        <f t="shared" si="5"/>
        <v/>
      </c>
      <c r="AB91" s="48" t="str">
        <f t="shared" si="6"/>
        <v/>
      </c>
      <c r="AC91" s="292" t="str">
        <f t="shared" si="7"/>
        <v/>
      </c>
      <c r="AD91" s="48" t="str">
        <f>IF(Table3[[#This Row],[Actual Arrival date]]&gt;0,IF(Table3[[#This Row],[Expected arrival date]]&gt;0,Table3[[#This Row],[Actual Arrival date]]-Table3[[#This Row],[Expected arrival date]],""),"")</f>
        <v/>
      </c>
    </row>
    <row r="92" spans="1:30" x14ac:dyDescent="0.25">
      <c r="A92" s="303" t="str">
        <f>Start!$D$7</f>
        <v>Anyland</v>
      </c>
      <c r="B92" s="48" t="str">
        <f>_xlfn.IFNA(VLOOKUP(A92,list!B:C,2,FALSE),"")</f>
        <v>ANY</v>
      </c>
      <c r="C92" s="48"/>
      <c r="D92" s="127"/>
      <c r="E92" s="48" t="str">
        <f>_xlfn.IFNA(VLOOKUP(Table3[[#This Row],[Product]], ProductListTbl[], 3, 0), "")</f>
        <v/>
      </c>
      <c r="F92" s="303" t="str">
        <f>_xlfn.IFNA(VLOOKUP(D92,ProductListTbl[],5,0),"")</f>
        <v/>
      </c>
      <c r="G92" s="303" t="str">
        <f>_xlfn.IFNA(VLOOKUP(D92,ProductListTbl[],6,0),"")</f>
        <v/>
      </c>
      <c r="H92" s="130" t="str">
        <f>_xlfn.IFNA(VLOOKUP(D92,ProductListTbl[],7,0),"")</f>
        <v/>
      </c>
      <c r="I92" s="130" t="str">
        <f>_xlfn.IFNA(VLOOKUP(D92,ProductListTbl[],8,0),"")</f>
        <v/>
      </c>
      <c r="J92" s="127"/>
      <c r="K92" s="129"/>
      <c r="L92" s="128"/>
      <c r="M92" s="305" t="str">
        <f>IFERROR(Table3[[#This Row],[Quantity (doses)]]/Table3[[#This Row],[Doses per vial or syringe]],"")</f>
        <v/>
      </c>
      <c r="N92" s="127"/>
      <c r="O92" s="127"/>
      <c r="P92" s="381"/>
      <c r="Q92" s="129"/>
      <c r="R92" s="127"/>
      <c r="S92" s="127"/>
      <c r="T92" s="127"/>
      <c r="U92" s="127"/>
      <c r="V92" s="305" t="str">
        <f>_xlfn.IFNA(VLOOKUP(D92,ProductListTbl[],9,0),"")</f>
        <v/>
      </c>
      <c r="W92" s="305" t="str">
        <f>IFERROR(Table3[[#This Row],[Storage space per secondary packaging (cm3)]]*Table3[[#This Row],[Quantity  (vials or syringes)]]/1000,"")</f>
        <v/>
      </c>
      <c r="X92" s="305" t="str">
        <f>IFERROR(Table3[[#This Row],[Storage space per tertiary packaging (cm3)]]*Table3[[#This Row],[Quantity (doses)]]/1000,"")</f>
        <v/>
      </c>
      <c r="Y92" s="293" t="str">
        <f>IF(Table3[[#This Row],[Status]]="Ordered",(DATE(YEAR(P92),MONTH(P92),1)),IF(Table3[[#This Row],[Status]]="Received",(DATE(YEAR(Q92),MONTH(Q92),1)),""))</f>
        <v/>
      </c>
      <c r="Z92" s="304" t="str">
        <f t="shared" si="4"/>
        <v/>
      </c>
      <c r="AA92" s="48" t="str">
        <f t="shared" si="5"/>
        <v/>
      </c>
      <c r="AB92" s="48" t="str">
        <f t="shared" si="6"/>
        <v/>
      </c>
      <c r="AC92" s="292" t="str">
        <f t="shared" si="7"/>
        <v/>
      </c>
      <c r="AD92" s="48" t="str">
        <f>IF(Table3[[#This Row],[Actual Arrival date]]&gt;0,IF(Table3[[#This Row],[Expected arrival date]]&gt;0,Table3[[#This Row],[Actual Arrival date]]-Table3[[#This Row],[Expected arrival date]],""),"")</f>
        <v/>
      </c>
    </row>
    <row r="93" spans="1:30" x14ac:dyDescent="0.25">
      <c r="A93" s="303" t="str">
        <f>Start!$D$7</f>
        <v>Anyland</v>
      </c>
      <c r="B93" s="48" t="str">
        <f>_xlfn.IFNA(VLOOKUP(A93,list!B:C,2,FALSE),"")</f>
        <v>ANY</v>
      </c>
      <c r="C93" s="48"/>
      <c r="D93" s="127"/>
      <c r="E93" s="48" t="str">
        <f>_xlfn.IFNA(VLOOKUP(Table3[[#This Row],[Product]], ProductListTbl[], 3, 0), "")</f>
        <v/>
      </c>
      <c r="F93" s="303" t="str">
        <f>_xlfn.IFNA(VLOOKUP(D93,ProductListTbl[],5,0),"")</f>
        <v/>
      </c>
      <c r="G93" s="303" t="str">
        <f>_xlfn.IFNA(VLOOKUP(D93,ProductListTbl[],6,0),"")</f>
        <v/>
      </c>
      <c r="H93" s="130" t="str">
        <f>_xlfn.IFNA(VLOOKUP(D93,ProductListTbl[],7,0),"")</f>
        <v/>
      </c>
      <c r="I93" s="130" t="str">
        <f>_xlfn.IFNA(VLOOKUP(D93,ProductListTbl[],8,0),"")</f>
        <v/>
      </c>
      <c r="J93" s="127"/>
      <c r="K93" s="129"/>
      <c r="L93" s="128"/>
      <c r="M93" s="305" t="str">
        <f>IFERROR(Table3[[#This Row],[Quantity (doses)]]/Table3[[#This Row],[Doses per vial or syringe]],"")</f>
        <v/>
      </c>
      <c r="N93" s="127"/>
      <c r="O93" s="127"/>
      <c r="P93" s="381"/>
      <c r="Q93" s="129"/>
      <c r="R93" s="127"/>
      <c r="S93" s="127"/>
      <c r="T93" s="127"/>
      <c r="U93" s="127"/>
      <c r="V93" s="305" t="str">
        <f>_xlfn.IFNA(VLOOKUP(D93,ProductListTbl[],9,0),"")</f>
        <v/>
      </c>
      <c r="W93" s="305" t="str">
        <f>IFERROR(Table3[[#This Row],[Storage space per secondary packaging (cm3)]]*Table3[[#This Row],[Quantity  (vials or syringes)]]/1000,"")</f>
        <v/>
      </c>
      <c r="X93" s="305" t="str">
        <f>IFERROR(Table3[[#This Row],[Storage space per tertiary packaging (cm3)]]*Table3[[#This Row],[Quantity (doses)]]/1000,"")</f>
        <v/>
      </c>
      <c r="Y93" s="293" t="str">
        <f>IF(Table3[[#This Row],[Status]]="Ordered",(DATE(YEAR(P93),MONTH(P93),1)),IF(Table3[[#This Row],[Status]]="Received",(DATE(YEAR(Q93),MONTH(Q93),1)),""))</f>
        <v/>
      </c>
      <c r="Z93" s="304" t="str">
        <f t="shared" si="4"/>
        <v/>
      </c>
      <c r="AA93" s="48" t="str">
        <f t="shared" si="5"/>
        <v/>
      </c>
      <c r="AB93" s="48" t="str">
        <f t="shared" si="6"/>
        <v/>
      </c>
      <c r="AC93" s="292" t="str">
        <f t="shared" si="7"/>
        <v/>
      </c>
      <c r="AD93" s="48" t="str">
        <f>IF(Table3[[#This Row],[Actual Arrival date]]&gt;0,IF(Table3[[#This Row],[Expected arrival date]]&gt;0,Table3[[#This Row],[Actual Arrival date]]-Table3[[#This Row],[Expected arrival date]],""),"")</f>
        <v/>
      </c>
    </row>
    <row r="94" spans="1:30" x14ac:dyDescent="0.25">
      <c r="A94" s="303" t="str">
        <f>Start!$D$7</f>
        <v>Anyland</v>
      </c>
      <c r="B94" s="48" t="str">
        <f>_xlfn.IFNA(VLOOKUP(A94,list!B:C,2,FALSE),"")</f>
        <v>ANY</v>
      </c>
      <c r="C94" s="48"/>
      <c r="D94" s="127"/>
      <c r="E94" s="48" t="str">
        <f>_xlfn.IFNA(VLOOKUP(Table3[[#This Row],[Product]], ProductListTbl[], 3, 0), "")</f>
        <v/>
      </c>
      <c r="F94" s="303" t="str">
        <f>_xlfn.IFNA(VLOOKUP(D94,ProductListTbl[],5,0),"")</f>
        <v/>
      </c>
      <c r="G94" s="303" t="str">
        <f>_xlfn.IFNA(VLOOKUP(D94,ProductListTbl[],6,0),"")</f>
        <v/>
      </c>
      <c r="H94" s="130" t="str">
        <f>_xlfn.IFNA(VLOOKUP(D94,ProductListTbl[],7,0),"")</f>
        <v/>
      </c>
      <c r="I94" s="130" t="str">
        <f>_xlfn.IFNA(VLOOKUP(D94,ProductListTbl[],8,0),"")</f>
        <v/>
      </c>
      <c r="J94" s="127"/>
      <c r="K94" s="129"/>
      <c r="L94" s="128"/>
      <c r="M94" s="305" t="str">
        <f>IFERROR(Table3[[#This Row],[Quantity (doses)]]/Table3[[#This Row],[Doses per vial or syringe]],"")</f>
        <v/>
      </c>
      <c r="N94" s="127"/>
      <c r="O94" s="127"/>
      <c r="P94" s="381"/>
      <c r="Q94" s="129"/>
      <c r="R94" s="127"/>
      <c r="S94" s="127"/>
      <c r="T94" s="127"/>
      <c r="U94" s="127"/>
      <c r="V94" s="305" t="str">
        <f>_xlfn.IFNA(VLOOKUP(D94,ProductListTbl[],9,0),"")</f>
        <v/>
      </c>
      <c r="W94" s="305" t="str">
        <f>IFERROR(Table3[[#This Row],[Storage space per secondary packaging (cm3)]]*Table3[[#This Row],[Quantity  (vials or syringes)]]/1000,"")</f>
        <v/>
      </c>
      <c r="X94" s="305" t="str">
        <f>IFERROR(Table3[[#This Row],[Storage space per tertiary packaging (cm3)]]*Table3[[#This Row],[Quantity (doses)]]/1000,"")</f>
        <v/>
      </c>
      <c r="Y94" s="293" t="str">
        <f>IF(Table3[[#This Row],[Status]]="Ordered",(DATE(YEAR(P94),MONTH(P94),1)),IF(Table3[[#This Row],[Status]]="Received",(DATE(YEAR(Q94),MONTH(Q94),1)),""))</f>
        <v/>
      </c>
      <c r="Z94" s="304" t="str">
        <f t="shared" si="4"/>
        <v/>
      </c>
      <c r="AA94" s="48" t="str">
        <f t="shared" si="5"/>
        <v/>
      </c>
      <c r="AB94" s="48" t="str">
        <f t="shared" si="6"/>
        <v/>
      </c>
      <c r="AC94" s="292" t="str">
        <f t="shared" si="7"/>
        <v/>
      </c>
      <c r="AD94" s="48" t="str">
        <f>IF(Table3[[#This Row],[Actual Arrival date]]&gt;0,IF(Table3[[#This Row],[Expected arrival date]]&gt;0,Table3[[#This Row],[Actual Arrival date]]-Table3[[#This Row],[Expected arrival date]],""),"")</f>
        <v/>
      </c>
    </row>
    <row r="95" spans="1:30" x14ac:dyDescent="0.25">
      <c r="A95" s="303" t="str">
        <f>Start!$D$7</f>
        <v>Anyland</v>
      </c>
      <c r="B95" s="48" t="str">
        <f>_xlfn.IFNA(VLOOKUP(A95,list!B:C,2,FALSE),"")</f>
        <v>ANY</v>
      </c>
      <c r="C95" s="48"/>
      <c r="D95" s="127"/>
      <c r="E95" s="48" t="str">
        <f>_xlfn.IFNA(VLOOKUP(Table3[[#This Row],[Product]], ProductListTbl[], 3, 0), "")</f>
        <v/>
      </c>
      <c r="F95" s="303" t="str">
        <f>_xlfn.IFNA(VLOOKUP(D95,ProductListTbl[],5,0),"")</f>
        <v/>
      </c>
      <c r="G95" s="303" t="str">
        <f>_xlfn.IFNA(VLOOKUP(D95,ProductListTbl[],6,0),"")</f>
        <v/>
      </c>
      <c r="H95" s="130" t="str">
        <f>_xlfn.IFNA(VLOOKUP(D95,ProductListTbl[],7,0),"")</f>
        <v/>
      </c>
      <c r="I95" s="130" t="str">
        <f>_xlfn.IFNA(VLOOKUP(D95,ProductListTbl[],8,0),"")</f>
        <v/>
      </c>
      <c r="J95" s="127"/>
      <c r="K95" s="129"/>
      <c r="L95" s="128"/>
      <c r="M95" s="305" t="str">
        <f>IFERROR(Table3[[#This Row],[Quantity (doses)]]/Table3[[#This Row],[Doses per vial or syringe]],"")</f>
        <v/>
      </c>
      <c r="N95" s="127"/>
      <c r="O95" s="127"/>
      <c r="P95" s="381"/>
      <c r="Q95" s="129"/>
      <c r="R95" s="127"/>
      <c r="S95" s="127"/>
      <c r="T95" s="127"/>
      <c r="U95" s="127"/>
      <c r="V95" s="305" t="str">
        <f>_xlfn.IFNA(VLOOKUP(D95,ProductListTbl[],9,0),"")</f>
        <v/>
      </c>
      <c r="W95" s="305" t="str">
        <f>IFERROR(Table3[[#This Row],[Storage space per secondary packaging (cm3)]]*Table3[[#This Row],[Quantity  (vials or syringes)]]/1000,"")</f>
        <v/>
      </c>
      <c r="X95" s="305" t="str">
        <f>IFERROR(Table3[[#This Row],[Storage space per tertiary packaging (cm3)]]*Table3[[#This Row],[Quantity (doses)]]/1000,"")</f>
        <v/>
      </c>
      <c r="Y95" s="293" t="str">
        <f>IF(Table3[[#This Row],[Status]]="Ordered",(DATE(YEAR(P95),MONTH(P95),1)),IF(Table3[[#This Row],[Status]]="Received",(DATE(YEAR(Q95),MONTH(Q95),1)),""))</f>
        <v/>
      </c>
      <c r="Z95" s="304" t="str">
        <f t="shared" si="4"/>
        <v/>
      </c>
      <c r="AA95" s="48" t="str">
        <f t="shared" si="5"/>
        <v/>
      </c>
      <c r="AB95" s="48" t="str">
        <f t="shared" si="6"/>
        <v/>
      </c>
      <c r="AC95" s="292" t="str">
        <f t="shared" si="7"/>
        <v/>
      </c>
      <c r="AD95" s="48" t="str">
        <f>IF(Table3[[#This Row],[Actual Arrival date]]&gt;0,IF(Table3[[#This Row],[Expected arrival date]]&gt;0,Table3[[#This Row],[Actual Arrival date]]-Table3[[#This Row],[Expected arrival date]],""),"")</f>
        <v/>
      </c>
    </row>
    <row r="96" spans="1:30" x14ac:dyDescent="0.25">
      <c r="A96" s="303" t="str">
        <f>Start!$D$7</f>
        <v>Anyland</v>
      </c>
      <c r="B96" s="48" t="str">
        <f>_xlfn.IFNA(VLOOKUP(A96,list!B:C,2,FALSE),"")</f>
        <v>ANY</v>
      </c>
      <c r="C96" s="48"/>
      <c r="D96" s="127"/>
      <c r="E96" s="48" t="str">
        <f>_xlfn.IFNA(VLOOKUP(Table3[[#This Row],[Product]], ProductListTbl[], 3, 0), "")</f>
        <v/>
      </c>
      <c r="F96" s="303" t="str">
        <f>_xlfn.IFNA(VLOOKUP(D96,ProductListTbl[],5,0),"")</f>
        <v/>
      </c>
      <c r="G96" s="303" t="str">
        <f>_xlfn.IFNA(VLOOKUP(D96,ProductListTbl[],6,0),"")</f>
        <v/>
      </c>
      <c r="H96" s="130" t="str">
        <f>_xlfn.IFNA(VLOOKUP(D96,ProductListTbl[],7,0),"")</f>
        <v/>
      </c>
      <c r="I96" s="130" t="str">
        <f>_xlfn.IFNA(VLOOKUP(D96,ProductListTbl[],8,0),"")</f>
        <v/>
      </c>
      <c r="J96" s="127"/>
      <c r="K96" s="129"/>
      <c r="L96" s="128"/>
      <c r="M96" s="305" t="str">
        <f>IFERROR(Table3[[#This Row],[Quantity (doses)]]/Table3[[#This Row],[Doses per vial or syringe]],"")</f>
        <v/>
      </c>
      <c r="N96" s="127"/>
      <c r="O96" s="127"/>
      <c r="P96" s="381"/>
      <c r="Q96" s="129"/>
      <c r="R96" s="127"/>
      <c r="S96" s="127"/>
      <c r="T96" s="127"/>
      <c r="U96" s="127"/>
      <c r="V96" s="305" t="str">
        <f>_xlfn.IFNA(VLOOKUP(D96,ProductListTbl[],9,0),"")</f>
        <v/>
      </c>
      <c r="W96" s="305" t="str">
        <f>IFERROR(Table3[[#This Row],[Storage space per secondary packaging (cm3)]]*Table3[[#This Row],[Quantity  (vials or syringes)]]/1000,"")</f>
        <v/>
      </c>
      <c r="X96" s="305" t="str">
        <f>IFERROR(Table3[[#This Row],[Storage space per tertiary packaging (cm3)]]*Table3[[#This Row],[Quantity (doses)]]/1000,"")</f>
        <v/>
      </c>
      <c r="Y96" s="293" t="str">
        <f>IF(Table3[[#This Row],[Status]]="Ordered",(DATE(YEAR(P96),MONTH(P96),1)),IF(Table3[[#This Row],[Status]]="Received",(DATE(YEAR(Q96),MONTH(Q96),1)),""))</f>
        <v/>
      </c>
      <c r="Z96" s="304" t="str">
        <f t="shared" si="4"/>
        <v/>
      </c>
      <c r="AA96" s="48" t="str">
        <f t="shared" si="5"/>
        <v/>
      </c>
      <c r="AB96" s="48" t="str">
        <f t="shared" si="6"/>
        <v/>
      </c>
      <c r="AC96" s="292" t="str">
        <f t="shared" si="7"/>
        <v/>
      </c>
      <c r="AD96" s="48" t="str">
        <f>IF(Table3[[#This Row],[Actual Arrival date]]&gt;0,IF(Table3[[#This Row],[Expected arrival date]]&gt;0,Table3[[#This Row],[Actual Arrival date]]-Table3[[#This Row],[Expected arrival date]],""),"")</f>
        <v/>
      </c>
    </row>
    <row r="97" spans="1:30" x14ac:dyDescent="0.25">
      <c r="A97" s="303" t="str">
        <f>Start!$D$7</f>
        <v>Anyland</v>
      </c>
      <c r="B97" s="48" t="str">
        <f>_xlfn.IFNA(VLOOKUP(A97,list!B:C,2,FALSE),"")</f>
        <v>ANY</v>
      </c>
      <c r="C97" s="48"/>
      <c r="D97" s="127"/>
      <c r="E97" s="48" t="str">
        <f>_xlfn.IFNA(VLOOKUP(Table3[[#This Row],[Product]], ProductListTbl[], 3, 0), "")</f>
        <v/>
      </c>
      <c r="F97" s="303" t="str">
        <f>_xlfn.IFNA(VLOOKUP(D97,ProductListTbl[],5,0),"")</f>
        <v/>
      </c>
      <c r="G97" s="303" t="str">
        <f>_xlfn.IFNA(VLOOKUP(D97,ProductListTbl[],6,0),"")</f>
        <v/>
      </c>
      <c r="H97" s="130" t="str">
        <f>_xlfn.IFNA(VLOOKUP(D97,ProductListTbl[],7,0),"")</f>
        <v/>
      </c>
      <c r="I97" s="130" t="str">
        <f>_xlfn.IFNA(VLOOKUP(D97,ProductListTbl[],8,0),"")</f>
        <v/>
      </c>
      <c r="J97" s="127"/>
      <c r="K97" s="129"/>
      <c r="L97" s="128"/>
      <c r="M97" s="305" t="str">
        <f>IFERROR(Table3[[#This Row],[Quantity (doses)]]/Table3[[#This Row],[Doses per vial or syringe]],"")</f>
        <v/>
      </c>
      <c r="N97" s="127"/>
      <c r="O97" s="127"/>
      <c r="P97" s="381"/>
      <c r="Q97" s="129"/>
      <c r="R97" s="127"/>
      <c r="S97" s="127"/>
      <c r="T97" s="127"/>
      <c r="U97" s="127"/>
      <c r="V97" s="305" t="str">
        <f>_xlfn.IFNA(VLOOKUP(D97,ProductListTbl[],9,0),"")</f>
        <v/>
      </c>
      <c r="W97" s="305" t="str">
        <f>IFERROR(Table3[[#This Row],[Storage space per secondary packaging (cm3)]]*Table3[[#This Row],[Quantity  (vials or syringes)]]/1000,"")</f>
        <v/>
      </c>
      <c r="X97" s="305" t="str">
        <f>IFERROR(Table3[[#This Row],[Storage space per tertiary packaging (cm3)]]*Table3[[#This Row],[Quantity (doses)]]/1000,"")</f>
        <v/>
      </c>
      <c r="Y97" s="293" t="str">
        <f>IF(Table3[[#This Row],[Status]]="Ordered",(DATE(YEAR(P97),MONTH(P97),1)),IF(Table3[[#This Row],[Status]]="Received",(DATE(YEAR(Q97),MONTH(Q97),1)),""))</f>
        <v/>
      </c>
      <c r="Z97" s="304" t="str">
        <f t="shared" si="4"/>
        <v/>
      </c>
      <c r="AA97" s="48" t="str">
        <f t="shared" si="5"/>
        <v/>
      </c>
      <c r="AB97" s="48" t="str">
        <f t="shared" si="6"/>
        <v/>
      </c>
      <c r="AC97" s="292" t="str">
        <f t="shared" si="7"/>
        <v/>
      </c>
      <c r="AD97" s="48" t="str">
        <f>IF(Table3[[#This Row],[Actual Arrival date]]&gt;0,IF(Table3[[#This Row],[Expected arrival date]]&gt;0,Table3[[#This Row],[Actual Arrival date]]-Table3[[#This Row],[Expected arrival date]],""),"")</f>
        <v/>
      </c>
    </row>
    <row r="98" spans="1:30" x14ac:dyDescent="0.25">
      <c r="A98" s="303" t="str">
        <f>Start!$D$7</f>
        <v>Anyland</v>
      </c>
      <c r="B98" s="48" t="str">
        <f>_xlfn.IFNA(VLOOKUP(A98,list!B:C,2,FALSE),"")</f>
        <v>ANY</v>
      </c>
      <c r="C98" s="48"/>
      <c r="D98" s="127"/>
      <c r="E98" s="48" t="str">
        <f>_xlfn.IFNA(VLOOKUP(Table3[[#This Row],[Product]], ProductListTbl[], 3, 0), "")</f>
        <v/>
      </c>
      <c r="F98" s="303" t="str">
        <f>_xlfn.IFNA(VLOOKUP(D98,ProductListTbl[],5,0),"")</f>
        <v/>
      </c>
      <c r="G98" s="303" t="str">
        <f>_xlfn.IFNA(VLOOKUP(D98,ProductListTbl[],6,0),"")</f>
        <v/>
      </c>
      <c r="H98" s="130" t="str">
        <f>_xlfn.IFNA(VLOOKUP(D98,ProductListTbl[],7,0),"")</f>
        <v/>
      </c>
      <c r="I98" s="130" t="str">
        <f>_xlfn.IFNA(VLOOKUP(D98,ProductListTbl[],8,0),"")</f>
        <v/>
      </c>
      <c r="J98" s="127"/>
      <c r="K98" s="129"/>
      <c r="L98" s="128"/>
      <c r="M98" s="305" t="str">
        <f>IFERROR(Table3[[#This Row],[Quantity (doses)]]/Table3[[#This Row],[Doses per vial or syringe]],"")</f>
        <v/>
      </c>
      <c r="N98" s="127"/>
      <c r="O98" s="127"/>
      <c r="P98" s="381"/>
      <c r="Q98" s="129"/>
      <c r="R98" s="127"/>
      <c r="S98" s="127"/>
      <c r="T98" s="127"/>
      <c r="U98" s="127"/>
      <c r="V98" s="305" t="str">
        <f>_xlfn.IFNA(VLOOKUP(D98,ProductListTbl[],9,0),"")</f>
        <v/>
      </c>
      <c r="W98" s="305" t="str">
        <f>IFERROR(Table3[[#This Row],[Storage space per secondary packaging (cm3)]]*Table3[[#This Row],[Quantity  (vials or syringes)]]/1000,"")</f>
        <v/>
      </c>
      <c r="X98" s="305" t="str">
        <f>IFERROR(Table3[[#This Row],[Storage space per tertiary packaging (cm3)]]*Table3[[#This Row],[Quantity (doses)]]/1000,"")</f>
        <v/>
      </c>
      <c r="Y98" s="293" t="str">
        <f>IF(Table3[[#This Row],[Status]]="Ordered",(DATE(YEAR(P98),MONTH(P98),1)),IF(Table3[[#This Row],[Status]]="Received",(DATE(YEAR(Q98),MONTH(Q98),1)),""))</f>
        <v/>
      </c>
      <c r="Z98" s="304" t="str">
        <f t="shared" si="4"/>
        <v/>
      </c>
      <c r="AA98" s="48" t="str">
        <f t="shared" si="5"/>
        <v/>
      </c>
      <c r="AB98" s="48" t="str">
        <f t="shared" si="6"/>
        <v/>
      </c>
      <c r="AC98" s="292" t="str">
        <f t="shared" si="7"/>
        <v/>
      </c>
      <c r="AD98" s="48" t="str">
        <f>IF(Table3[[#This Row],[Actual Arrival date]]&gt;0,IF(Table3[[#This Row],[Expected arrival date]]&gt;0,Table3[[#This Row],[Actual Arrival date]]-Table3[[#This Row],[Expected arrival date]],""),"")</f>
        <v/>
      </c>
    </row>
    <row r="99" spans="1:30" x14ac:dyDescent="0.25">
      <c r="A99" s="303" t="str">
        <f>Start!$D$7</f>
        <v>Anyland</v>
      </c>
      <c r="B99" s="48" t="str">
        <f>_xlfn.IFNA(VLOOKUP(A99,list!B:C,2,FALSE),"")</f>
        <v>ANY</v>
      </c>
      <c r="C99" s="48"/>
      <c r="D99" s="127"/>
      <c r="E99" s="48" t="str">
        <f>_xlfn.IFNA(VLOOKUP(Table3[[#This Row],[Product]], ProductListTbl[], 3, 0), "")</f>
        <v/>
      </c>
      <c r="F99" s="303" t="str">
        <f>_xlfn.IFNA(VLOOKUP(D99,ProductListTbl[],5,0),"")</f>
        <v/>
      </c>
      <c r="G99" s="303" t="str">
        <f>_xlfn.IFNA(VLOOKUP(D99,ProductListTbl[],6,0),"")</f>
        <v/>
      </c>
      <c r="H99" s="130" t="str">
        <f>_xlfn.IFNA(VLOOKUP(D99,ProductListTbl[],7,0),"")</f>
        <v/>
      </c>
      <c r="I99" s="130" t="str">
        <f>_xlfn.IFNA(VLOOKUP(D99,ProductListTbl[],8,0),"")</f>
        <v/>
      </c>
      <c r="J99" s="127"/>
      <c r="K99" s="129"/>
      <c r="L99" s="128"/>
      <c r="M99" s="305" t="str">
        <f>IFERROR(Table3[[#This Row],[Quantity (doses)]]/Table3[[#This Row],[Doses per vial or syringe]],"")</f>
        <v/>
      </c>
      <c r="N99" s="127"/>
      <c r="O99" s="127"/>
      <c r="P99" s="381"/>
      <c r="Q99" s="129"/>
      <c r="R99" s="127"/>
      <c r="S99" s="127"/>
      <c r="T99" s="127"/>
      <c r="U99" s="127"/>
      <c r="V99" s="305" t="str">
        <f>_xlfn.IFNA(VLOOKUP(D99,ProductListTbl[],9,0),"")</f>
        <v/>
      </c>
      <c r="W99" s="305" t="str">
        <f>IFERROR(Table3[[#This Row],[Storage space per secondary packaging (cm3)]]*Table3[[#This Row],[Quantity  (vials or syringes)]]/1000,"")</f>
        <v/>
      </c>
      <c r="X99" s="305" t="str">
        <f>IFERROR(Table3[[#This Row],[Storage space per tertiary packaging (cm3)]]*Table3[[#This Row],[Quantity (doses)]]/1000,"")</f>
        <v/>
      </c>
      <c r="Y99" s="293" t="str">
        <f>IF(Table3[[#This Row],[Status]]="Ordered",(DATE(YEAR(P99),MONTH(P99),1)),IF(Table3[[#This Row],[Status]]="Received",(DATE(YEAR(Q99),MONTH(Q99),1)),""))</f>
        <v/>
      </c>
      <c r="Z99" s="304" t="str">
        <f t="shared" si="4"/>
        <v/>
      </c>
      <c r="AA99" s="48" t="str">
        <f t="shared" si="5"/>
        <v/>
      </c>
      <c r="AB99" s="48" t="str">
        <f t="shared" si="6"/>
        <v/>
      </c>
      <c r="AC99" s="292" t="str">
        <f t="shared" si="7"/>
        <v/>
      </c>
      <c r="AD99" s="48" t="str">
        <f>IF(Table3[[#This Row],[Actual Arrival date]]&gt;0,IF(Table3[[#This Row],[Expected arrival date]]&gt;0,Table3[[#This Row],[Actual Arrival date]]-Table3[[#This Row],[Expected arrival date]],""),"")</f>
        <v/>
      </c>
    </row>
    <row r="100" spans="1:30" x14ac:dyDescent="0.25">
      <c r="A100" s="303" t="str">
        <f>Start!$D$7</f>
        <v>Anyland</v>
      </c>
      <c r="B100" s="48" t="str">
        <f>_xlfn.IFNA(VLOOKUP(A100,list!B:C,2,FALSE),"")</f>
        <v>ANY</v>
      </c>
      <c r="C100" s="48"/>
      <c r="D100" s="127"/>
      <c r="E100" s="48" t="str">
        <f>_xlfn.IFNA(VLOOKUP(Table3[[#This Row],[Product]], ProductListTbl[], 3, 0), "")</f>
        <v/>
      </c>
      <c r="F100" s="303" t="str">
        <f>_xlfn.IFNA(VLOOKUP(D100,ProductListTbl[],5,0),"")</f>
        <v/>
      </c>
      <c r="G100" s="303" t="str">
        <f>_xlfn.IFNA(VLOOKUP(D100,ProductListTbl[],6,0),"")</f>
        <v/>
      </c>
      <c r="H100" s="130" t="str">
        <f>_xlfn.IFNA(VLOOKUP(D100,ProductListTbl[],7,0),"")</f>
        <v/>
      </c>
      <c r="I100" s="130" t="str">
        <f>_xlfn.IFNA(VLOOKUP(D100,ProductListTbl[],8,0),"")</f>
        <v/>
      </c>
      <c r="J100" s="127"/>
      <c r="K100" s="129"/>
      <c r="L100" s="128"/>
      <c r="M100" s="305" t="str">
        <f>IFERROR(Table3[[#This Row],[Quantity (doses)]]/Table3[[#This Row],[Doses per vial or syringe]],"")</f>
        <v/>
      </c>
      <c r="N100" s="127"/>
      <c r="O100" s="127"/>
      <c r="P100" s="381"/>
      <c r="Q100" s="129"/>
      <c r="R100" s="127"/>
      <c r="S100" s="127"/>
      <c r="T100" s="127"/>
      <c r="U100" s="127"/>
      <c r="V100" s="305" t="str">
        <f>_xlfn.IFNA(VLOOKUP(D100,ProductListTbl[],9,0),"")</f>
        <v/>
      </c>
      <c r="W100" s="305" t="str">
        <f>IFERROR(Table3[[#This Row],[Storage space per secondary packaging (cm3)]]*Table3[[#This Row],[Quantity  (vials or syringes)]]/1000,"")</f>
        <v/>
      </c>
      <c r="X100" s="305" t="str">
        <f>IFERROR(Table3[[#This Row],[Storage space per tertiary packaging (cm3)]]*Table3[[#This Row],[Quantity (doses)]]/1000,"")</f>
        <v/>
      </c>
      <c r="Y100" s="293" t="str">
        <f>IF(Table3[[#This Row],[Status]]="Ordered",(DATE(YEAR(P100),MONTH(P100),1)),IF(Table3[[#This Row],[Status]]="Received",(DATE(YEAR(Q100),MONTH(Q100),1)),""))</f>
        <v/>
      </c>
      <c r="Z100" s="304" t="str">
        <f t="shared" si="4"/>
        <v/>
      </c>
      <c r="AA100" s="48" t="str">
        <f t="shared" si="5"/>
        <v/>
      </c>
      <c r="AB100" s="48" t="str">
        <f t="shared" si="6"/>
        <v/>
      </c>
      <c r="AC100" s="292" t="str">
        <f t="shared" si="7"/>
        <v/>
      </c>
      <c r="AD100" s="48" t="str">
        <f>IF(Table3[[#This Row],[Actual Arrival date]]&gt;0,IF(Table3[[#This Row],[Expected arrival date]]&gt;0,Table3[[#This Row],[Actual Arrival date]]-Table3[[#This Row],[Expected arrival date]],""),"")</f>
        <v/>
      </c>
    </row>
    <row r="101" spans="1:30" x14ac:dyDescent="0.25">
      <c r="A101" s="303" t="str">
        <f>Start!$D$7</f>
        <v>Anyland</v>
      </c>
      <c r="B101" s="48" t="str">
        <f>_xlfn.IFNA(VLOOKUP(A101,list!B:C,2,FALSE),"")</f>
        <v>ANY</v>
      </c>
      <c r="C101" s="48"/>
      <c r="D101" s="127"/>
      <c r="E101" s="48" t="str">
        <f>_xlfn.IFNA(VLOOKUP(Table3[[#This Row],[Product]], ProductListTbl[], 3, 0), "")</f>
        <v/>
      </c>
      <c r="F101" s="303" t="str">
        <f>_xlfn.IFNA(VLOOKUP(D101,ProductListTbl[],5,0),"")</f>
        <v/>
      </c>
      <c r="G101" s="303" t="str">
        <f>_xlfn.IFNA(VLOOKUP(D101,ProductListTbl[],6,0),"")</f>
        <v/>
      </c>
      <c r="H101" s="130" t="str">
        <f>_xlfn.IFNA(VLOOKUP(D101,ProductListTbl[],7,0),"")</f>
        <v/>
      </c>
      <c r="I101" s="130" t="str">
        <f>_xlfn.IFNA(VLOOKUP(D101,ProductListTbl[],8,0),"")</f>
        <v/>
      </c>
      <c r="J101" s="127"/>
      <c r="K101" s="129"/>
      <c r="L101" s="128"/>
      <c r="M101" s="305" t="str">
        <f>IFERROR(Table3[[#This Row],[Quantity (doses)]]/Table3[[#This Row],[Doses per vial or syringe]],"")</f>
        <v/>
      </c>
      <c r="N101" s="127"/>
      <c r="O101" s="127"/>
      <c r="P101" s="381"/>
      <c r="Q101" s="129"/>
      <c r="R101" s="127"/>
      <c r="S101" s="127"/>
      <c r="T101" s="127"/>
      <c r="U101" s="127"/>
      <c r="V101" s="305" t="str">
        <f>_xlfn.IFNA(VLOOKUP(D101,ProductListTbl[],9,0),"")</f>
        <v/>
      </c>
      <c r="W101" s="305" t="str">
        <f>IFERROR(Table3[[#This Row],[Storage space per secondary packaging (cm3)]]*Table3[[#This Row],[Quantity  (vials or syringes)]]/1000,"")</f>
        <v/>
      </c>
      <c r="X101" s="305" t="str">
        <f>IFERROR(Table3[[#This Row],[Storage space per tertiary packaging (cm3)]]*Table3[[#This Row],[Quantity (doses)]]/1000,"")</f>
        <v/>
      </c>
      <c r="Y101" s="293" t="str">
        <f>IF(Table3[[#This Row],[Status]]="Ordered",(DATE(YEAR(P101),MONTH(P101),1)),IF(Table3[[#This Row],[Status]]="Received",(DATE(YEAR(Q101),MONTH(Q101),1)),""))</f>
        <v/>
      </c>
      <c r="Z101" s="304" t="str">
        <f t="shared" si="4"/>
        <v/>
      </c>
      <c r="AA101" s="48" t="str">
        <f t="shared" si="5"/>
        <v/>
      </c>
      <c r="AB101" s="48" t="str">
        <f t="shared" si="6"/>
        <v/>
      </c>
      <c r="AC101" s="292" t="str">
        <f t="shared" si="7"/>
        <v/>
      </c>
      <c r="AD101" s="48" t="str">
        <f>IF(Table3[[#This Row],[Actual Arrival date]]&gt;0,IF(Table3[[#This Row],[Expected arrival date]]&gt;0,Table3[[#This Row],[Actual Arrival date]]-Table3[[#This Row],[Expected arrival date]],""),"")</f>
        <v/>
      </c>
    </row>
    <row r="102" spans="1:30" x14ac:dyDescent="0.25">
      <c r="A102" s="303" t="str">
        <f>Start!$D$7</f>
        <v>Anyland</v>
      </c>
      <c r="B102" s="48" t="str">
        <f>_xlfn.IFNA(VLOOKUP(A102,list!B:C,2,FALSE),"")</f>
        <v>ANY</v>
      </c>
      <c r="C102" s="48"/>
      <c r="D102" s="127"/>
      <c r="E102" s="48" t="str">
        <f>_xlfn.IFNA(VLOOKUP(Table3[[#This Row],[Product]], ProductListTbl[], 3, 0), "")</f>
        <v/>
      </c>
      <c r="F102" s="303" t="str">
        <f>_xlfn.IFNA(VLOOKUP(D102,ProductListTbl[],5,0),"")</f>
        <v/>
      </c>
      <c r="G102" s="303" t="str">
        <f>_xlfn.IFNA(VLOOKUP(D102,ProductListTbl[],6,0),"")</f>
        <v/>
      </c>
      <c r="H102" s="130" t="str">
        <f>_xlfn.IFNA(VLOOKUP(D102,ProductListTbl[],7,0),"")</f>
        <v/>
      </c>
      <c r="I102" s="130" t="str">
        <f>_xlfn.IFNA(VLOOKUP(D102,ProductListTbl[],8,0),"")</f>
        <v/>
      </c>
      <c r="J102" s="127"/>
      <c r="K102" s="129"/>
      <c r="L102" s="128"/>
      <c r="M102" s="305" t="str">
        <f>IFERROR(Table3[[#This Row],[Quantity (doses)]]/Table3[[#This Row],[Doses per vial or syringe]],"")</f>
        <v/>
      </c>
      <c r="N102" s="127"/>
      <c r="O102" s="127"/>
      <c r="P102" s="381"/>
      <c r="Q102" s="129"/>
      <c r="R102" s="127"/>
      <c r="S102" s="127"/>
      <c r="T102" s="127"/>
      <c r="U102" s="127"/>
      <c r="V102" s="305" t="str">
        <f>_xlfn.IFNA(VLOOKUP(D102,ProductListTbl[],9,0),"")</f>
        <v/>
      </c>
      <c r="W102" s="305" t="str">
        <f>IFERROR(Table3[[#This Row],[Storage space per secondary packaging (cm3)]]*Table3[[#This Row],[Quantity  (vials or syringes)]]/1000,"")</f>
        <v/>
      </c>
      <c r="X102" s="305" t="str">
        <f>IFERROR(Table3[[#This Row],[Storage space per tertiary packaging (cm3)]]*Table3[[#This Row],[Quantity (doses)]]/1000,"")</f>
        <v/>
      </c>
      <c r="Y102" s="293" t="str">
        <f>IF(Table3[[#This Row],[Status]]="Ordered",(DATE(YEAR(P102),MONTH(P102),1)),IF(Table3[[#This Row],[Status]]="Received",(DATE(YEAR(Q102),MONTH(Q102),1)),""))</f>
        <v/>
      </c>
      <c r="Z102" s="304" t="str">
        <f t="shared" si="4"/>
        <v/>
      </c>
      <c r="AA102" s="48" t="str">
        <f t="shared" si="5"/>
        <v/>
      </c>
      <c r="AB102" s="48" t="str">
        <f t="shared" si="6"/>
        <v/>
      </c>
      <c r="AC102" s="292" t="str">
        <f t="shared" si="7"/>
        <v/>
      </c>
      <c r="AD102" s="48" t="str">
        <f>IF(Table3[[#This Row],[Actual Arrival date]]&gt;0,IF(Table3[[#This Row],[Expected arrival date]]&gt;0,Table3[[#This Row],[Actual Arrival date]]-Table3[[#This Row],[Expected arrival date]],""),"")</f>
        <v/>
      </c>
    </row>
    <row r="103" spans="1:30" x14ac:dyDescent="0.25">
      <c r="A103" s="303" t="str">
        <f>Start!$D$7</f>
        <v>Anyland</v>
      </c>
      <c r="B103" s="48" t="str">
        <f>_xlfn.IFNA(VLOOKUP(A103,list!B:C,2,FALSE),"")</f>
        <v>ANY</v>
      </c>
      <c r="C103" s="48"/>
      <c r="D103" s="127"/>
      <c r="E103" s="48" t="str">
        <f>_xlfn.IFNA(VLOOKUP(Table3[[#This Row],[Product]], ProductListTbl[], 3, 0), "")</f>
        <v/>
      </c>
      <c r="F103" s="303" t="str">
        <f>_xlfn.IFNA(VLOOKUP(D103,ProductListTbl[],5,0),"")</f>
        <v/>
      </c>
      <c r="G103" s="303" t="str">
        <f>_xlfn.IFNA(VLOOKUP(D103,ProductListTbl[],6,0),"")</f>
        <v/>
      </c>
      <c r="H103" s="130" t="str">
        <f>_xlfn.IFNA(VLOOKUP(D103,ProductListTbl[],7,0),"")</f>
        <v/>
      </c>
      <c r="I103" s="130" t="str">
        <f>_xlfn.IFNA(VLOOKUP(D103,ProductListTbl[],8,0),"")</f>
        <v/>
      </c>
      <c r="J103" s="127"/>
      <c r="K103" s="129"/>
      <c r="L103" s="128"/>
      <c r="M103" s="305" t="str">
        <f>IFERROR(Table3[[#This Row],[Quantity (doses)]]/Table3[[#This Row],[Doses per vial or syringe]],"")</f>
        <v/>
      </c>
      <c r="N103" s="127"/>
      <c r="O103" s="127"/>
      <c r="P103" s="381"/>
      <c r="Q103" s="129"/>
      <c r="R103" s="127"/>
      <c r="S103" s="127"/>
      <c r="T103" s="127"/>
      <c r="U103" s="127"/>
      <c r="V103" s="305" t="str">
        <f>_xlfn.IFNA(VLOOKUP(D103,ProductListTbl[],9,0),"")</f>
        <v/>
      </c>
      <c r="W103" s="305" t="str">
        <f>IFERROR(Table3[[#This Row],[Storage space per secondary packaging (cm3)]]*Table3[[#This Row],[Quantity  (vials or syringes)]]/1000,"")</f>
        <v/>
      </c>
      <c r="X103" s="305" t="str">
        <f>IFERROR(Table3[[#This Row],[Storage space per tertiary packaging (cm3)]]*Table3[[#This Row],[Quantity (doses)]]/1000,"")</f>
        <v/>
      </c>
      <c r="Y103" s="293" t="str">
        <f>IF(Table3[[#This Row],[Status]]="Ordered",(DATE(YEAR(P103),MONTH(P103),1)),IF(Table3[[#This Row],[Status]]="Received",(DATE(YEAR(Q103),MONTH(Q103),1)),""))</f>
        <v/>
      </c>
      <c r="Z103" s="304" t="str">
        <f t="shared" si="4"/>
        <v/>
      </c>
      <c r="AA103" s="48" t="str">
        <f t="shared" si="5"/>
        <v/>
      </c>
      <c r="AB103" s="48" t="str">
        <f t="shared" si="6"/>
        <v/>
      </c>
      <c r="AC103" s="292" t="str">
        <f t="shared" si="7"/>
        <v/>
      </c>
      <c r="AD103" s="48" t="str">
        <f>IF(Table3[[#This Row],[Actual Arrival date]]&gt;0,IF(Table3[[#This Row],[Expected arrival date]]&gt;0,Table3[[#This Row],[Actual Arrival date]]-Table3[[#This Row],[Expected arrival date]],""),"")</f>
        <v/>
      </c>
    </row>
    <row r="104" spans="1:30" x14ac:dyDescent="0.25">
      <c r="A104" s="303" t="str">
        <f>Start!$D$7</f>
        <v>Anyland</v>
      </c>
      <c r="B104" s="48" t="str">
        <f>_xlfn.IFNA(VLOOKUP(A104,list!B:C,2,FALSE),"")</f>
        <v>ANY</v>
      </c>
      <c r="C104" s="48"/>
      <c r="D104" s="127"/>
      <c r="E104" s="48" t="str">
        <f>_xlfn.IFNA(VLOOKUP(Table3[[#This Row],[Product]], ProductListTbl[], 3, 0), "")</f>
        <v/>
      </c>
      <c r="F104" s="303" t="str">
        <f>_xlfn.IFNA(VLOOKUP(D104,ProductListTbl[],5,0),"")</f>
        <v/>
      </c>
      <c r="G104" s="303" t="str">
        <f>_xlfn.IFNA(VLOOKUP(D104,ProductListTbl[],6,0),"")</f>
        <v/>
      </c>
      <c r="H104" s="130" t="str">
        <f>_xlfn.IFNA(VLOOKUP(D104,ProductListTbl[],7,0),"")</f>
        <v/>
      </c>
      <c r="I104" s="130" t="str">
        <f>_xlfn.IFNA(VLOOKUP(D104,ProductListTbl[],8,0),"")</f>
        <v/>
      </c>
      <c r="J104" s="127"/>
      <c r="K104" s="129"/>
      <c r="L104" s="128"/>
      <c r="M104" s="305" t="str">
        <f>IFERROR(Table3[[#This Row],[Quantity (doses)]]/Table3[[#This Row],[Doses per vial or syringe]],"")</f>
        <v/>
      </c>
      <c r="N104" s="127"/>
      <c r="O104" s="127"/>
      <c r="P104" s="381"/>
      <c r="Q104" s="129"/>
      <c r="R104" s="127"/>
      <c r="S104" s="127"/>
      <c r="T104" s="127"/>
      <c r="U104" s="127"/>
      <c r="V104" s="305" t="str">
        <f>_xlfn.IFNA(VLOOKUP(D104,ProductListTbl[],9,0),"")</f>
        <v/>
      </c>
      <c r="W104" s="305" t="str">
        <f>IFERROR(Table3[[#This Row],[Storage space per secondary packaging (cm3)]]*Table3[[#This Row],[Quantity  (vials or syringes)]]/1000,"")</f>
        <v/>
      </c>
      <c r="X104" s="305" t="str">
        <f>IFERROR(Table3[[#This Row],[Storage space per tertiary packaging (cm3)]]*Table3[[#This Row],[Quantity (doses)]]/1000,"")</f>
        <v/>
      </c>
      <c r="Y104" s="293" t="str">
        <f>IF(Table3[[#This Row],[Status]]="Ordered",(DATE(YEAR(P104),MONTH(P104),1)),IF(Table3[[#This Row],[Status]]="Received",(DATE(YEAR(Q104),MONTH(Q104),1)),""))</f>
        <v/>
      </c>
      <c r="Z104" s="304" t="str">
        <f t="shared" si="4"/>
        <v/>
      </c>
      <c r="AA104" s="48" t="str">
        <f t="shared" si="5"/>
        <v/>
      </c>
      <c r="AB104" s="48" t="str">
        <f t="shared" si="6"/>
        <v/>
      </c>
      <c r="AC104" s="292" t="str">
        <f t="shared" si="7"/>
        <v/>
      </c>
      <c r="AD104" s="48" t="str">
        <f>IF(Table3[[#This Row],[Actual Arrival date]]&gt;0,IF(Table3[[#This Row],[Expected arrival date]]&gt;0,Table3[[#This Row],[Actual Arrival date]]-Table3[[#This Row],[Expected arrival date]],""),"")</f>
        <v/>
      </c>
    </row>
    <row r="105" spans="1:30" x14ac:dyDescent="0.25">
      <c r="A105" s="303" t="str">
        <f>Start!$D$7</f>
        <v>Anyland</v>
      </c>
      <c r="B105" s="48" t="str">
        <f>_xlfn.IFNA(VLOOKUP(A105,list!B:C,2,FALSE),"")</f>
        <v>ANY</v>
      </c>
      <c r="C105" s="48"/>
      <c r="D105" s="127"/>
      <c r="E105" s="48" t="str">
        <f>_xlfn.IFNA(VLOOKUP(Table3[[#This Row],[Product]], ProductListTbl[], 3, 0), "")</f>
        <v/>
      </c>
      <c r="F105" s="303" t="str">
        <f>_xlfn.IFNA(VLOOKUP(D105,ProductListTbl[],5,0),"")</f>
        <v/>
      </c>
      <c r="G105" s="303" t="str">
        <f>_xlfn.IFNA(VLOOKUP(D105,ProductListTbl[],6,0),"")</f>
        <v/>
      </c>
      <c r="H105" s="130" t="str">
        <f>_xlfn.IFNA(VLOOKUP(D105,ProductListTbl[],7,0),"")</f>
        <v/>
      </c>
      <c r="I105" s="130" t="str">
        <f>_xlfn.IFNA(VLOOKUP(D105,ProductListTbl[],8,0),"")</f>
        <v/>
      </c>
      <c r="J105" s="127"/>
      <c r="K105" s="129"/>
      <c r="L105" s="128"/>
      <c r="M105" s="305" t="str">
        <f>IFERROR(Table3[[#This Row],[Quantity (doses)]]/Table3[[#This Row],[Doses per vial or syringe]],"")</f>
        <v/>
      </c>
      <c r="N105" s="127"/>
      <c r="O105" s="127"/>
      <c r="P105" s="381"/>
      <c r="Q105" s="129"/>
      <c r="R105" s="127"/>
      <c r="S105" s="127"/>
      <c r="T105" s="127"/>
      <c r="U105" s="127"/>
      <c r="V105" s="305" t="str">
        <f>_xlfn.IFNA(VLOOKUP(D105,ProductListTbl[],9,0),"")</f>
        <v/>
      </c>
      <c r="W105" s="305" t="str">
        <f>IFERROR(Table3[[#This Row],[Storage space per secondary packaging (cm3)]]*Table3[[#This Row],[Quantity  (vials or syringes)]]/1000,"")</f>
        <v/>
      </c>
      <c r="X105" s="305" t="str">
        <f>IFERROR(Table3[[#This Row],[Storage space per tertiary packaging (cm3)]]*Table3[[#This Row],[Quantity (doses)]]/1000,"")</f>
        <v/>
      </c>
      <c r="Y105" s="293" t="str">
        <f>IF(Table3[[#This Row],[Status]]="Ordered",(DATE(YEAR(P105),MONTH(P105),1)),IF(Table3[[#This Row],[Status]]="Received",(DATE(YEAR(Q105),MONTH(Q105),1)),""))</f>
        <v/>
      </c>
      <c r="Z105" s="304" t="str">
        <f t="shared" si="4"/>
        <v/>
      </c>
      <c r="AA105" s="48" t="str">
        <f t="shared" si="5"/>
        <v/>
      </c>
      <c r="AB105" s="48" t="str">
        <f t="shared" si="6"/>
        <v/>
      </c>
      <c r="AC105" s="292" t="str">
        <f t="shared" si="7"/>
        <v/>
      </c>
      <c r="AD105" s="48" t="str">
        <f>IF(Table3[[#This Row],[Actual Arrival date]]&gt;0,IF(Table3[[#This Row],[Expected arrival date]]&gt;0,Table3[[#This Row],[Actual Arrival date]]-Table3[[#This Row],[Expected arrival date]],""),"")</f>
        <v/>
      </c>
    </row>
    <row r="106" spans="1:30" x14ac:dyDescent="0.25">
      <c r="A106" s="303" t="str">
        <f>Start!$D$7</f>
        <v>Anyland</v>
      </c>
      <c r="B106" s="48" t="str">
        <f>_xlfn.IFNA(VLOOKUP(A106,list!B:C,2,FALSE),"")</f>
        <v>ANY</v>
      </c>
      <c r="C106" s="48"/>
      <c r="D106" s="127"/>
      <c r="E106" s="48" t="str">
        <f>_xlfn.IFNA(VLOOKUP(Table3[[#This Row],[Product]], ProductListTbl[], 3, 0), "")</f>
        <v/>
      </c>
      <c r="F106" s="303" t="str">
        <f>_xlfn.IFNA(VLOOKUP(D106,ProductListTbl[],5,0),"")</f>
        <v/>
      </c>
      <c r="G106" s="303" t="str">
        <f>_xlfn.IFNA(VLOOKUP(D106,ProductListTbl[],6,0),"")</f>
        <v/>
      </c>
      <c r="H106" s="130" t="str">
        <f>_xlfn.IFNA(VLOOKUP(D106,ProductListTbl[],7,0),"")</f>
        <v/>
      </c>
      <c r="I106" s="130" t="str">
        <f>_xlfn.IFNA(VLOOKUP(D106,ProductListTbl[],8,0),"")</f>
        <v/>
      </c>
      <c r="J106" s="127"/>
      <c r="K106" s="129"/>
      <c r="L106" s="128"/>
      <c r="M106" s="305" t="str">
        <f>IFERROR(Table3[[#This Row],[Quantity (doses)]]/Table3[[#This Row],[Doses per vial or syringe]],"")</f>
        <v/>
      </c>
      <c r="N106" s="127"/>
      <c r="O106" s="127"/>
      <c r="P106" s="381"/>
      <c r="Q106" s="129"/>
      <c r="R106" s="127"/>
      <c r="S106" s="127"/>
      <c r="T106" s="127"/>
      <c r="U106" s="127"/>
      <c r="V106" s="305" t="str">
        <f>_xlfn.IFNA(VLOOKUP(D106,ProductListTbl[],9,0),"")</f>
        <v/>
      </c>
      <c r="W106" s="305" t="str">
        <f>IFERROR(Table3[[#This Row],[Storage space per secondary packaging (cm3)]]*Table3[[#This Row],[Quantity  (vials or syringes)]]/1000,"")</f>
        <v/>
      </c>
      <c r="X106" s="305" t="str">
        <f>IFERROR(Table3[[#This Row],[Storage space per tertiary packaging (cm3)]]*Table3[[#This Row],[Quantity (doses)]]/1000,"")</f>
        <v/>
      </c>
      <c r="Y106" s="293" t="str">
        <f>IF(Table3[[#This Row],[Status]]="Ordered",(DATE(YEAR(P106),MONTH(P106),1)),IF(Table3[[#This Row],[Status]]="Received",(DATE(YEAR(Q106),MONTH(Q106),1)),""))</f>
        <v/>
      </c>
      <c r="Z106" s="304" t="str">
        <f t="shared" si="4"/>
        <v/>
      </c>
      <c r="AA106" s="48" t="str">
        <f t="shared" si="5"/>
        <v/>
      </c>
      <c r="AB106" s="48" t="str">
        <f t="shared" si="6"/>
        <v/>
      </c>
      <c r="AC106" s="292" t="str">
        <f t="shared" si="7"/>
        <v/>
      </c>
      <c r="AD106" s="48" t="str">
        <f>IF(Table3[[#This Row],[Actual Arrival date]]&gt;0,IF(Table3[[#This Row],[Expected arrival date]]&gt;0,Table3[[#This Row],[Actual Arrival date]]-Table3[[#This Row],[Expected arrival date]],""),"")</f>
        <v/>
      </c>
    </row>
    <row r="107" spans="1:30" x14ac:dyDescent="0.25">
      <c r="A107" s="303" t="str">
        <f>Start!$D$7</f>
        <v>Anyland</v>
      </c>
      <c r="B107" s="48" t="str">
        <f>_xlfn.IFNA(VLOOKUP(A107,list!B:C,2,FALSE),"")</f>
        <v>ANY</v>
      </c>
      <c r="C107" s="48"/>
      <c r="D107" s="127"/>
      <c r="E107" s="48" t="str">
        <f>_xlfn.IFNA(VLOOKUP(Table3[[#This Row],[Product]], ProductListTbl[], 3, 0), "")</f>
        <v/>
      </c>
      <c r="F107" s="303" t="str">
        <f>_xlfn.IFNA(VLOOKUP(D107,ProductListTbl[],5,0),"")</f>
        <v/>
      </c>
      <c r="G107" s="303" t="str">
        <f>_xlfn.IFNA(VLOOKUP(D107,ProductListTbl[],6,0),"")</f>
        <v/>
      </c>
      <c r="H107" s="130" t="str">
        <f>_xlfn.IFNA(VLOOKUP(D107,ProductListTbl[],7,0),"")</f>
        <v/>
      </c>
      <c r="I107" s="130" t="str">
        <f>_xlfn.IFNA(VLOOKUP(D107,ProductListTbl[],8,0),"")</f>
        <v/>
      </c>
      <c r="J107" s="127"/>
      <c r="K107" s="129"/>
      <c r="L107" s="128"/>
      <c r="M107" s="305" t="str">
        <f>IFERROR(Table3[[#This Row],[Quantity (doses)]]/Table3[[#This Row],[Doses per vial or syringe]],"")</f>
        <v/>
      </c>
      <c r="N107" s="127"/>
      <c r="O107" s="127"/>
      <c r="P107" s="381"/>
      <c r="Q107" s="129"/>
      <c r="R107" s="127"/>
      <c r="S107" s="127"/>
      <c r="T107" s="127"/>
      <c r="U107" s="127"/>
      <c r="V107" s="305" t="str">
        <f>_xlfn.IFNA(VLOOKUP(D107,ProductListTbl[],9,0),"")</f>
        <v/>
      </c>
      <c r="W107" s="305" t="str">
        <f>IFERROR(Table3[[#This Row],[Storage space per secondary packaging (cm3)]]*Table3[[#This Row],[Quantity  (vials or syringes)]]/1000,"")</f>
        <v/>
      </c>
      <c r="X107" s="305" t="str">
        <f>IFERROR(Table3[[#This Row],[Storage space per tertiary packaging (cm3)]]*Table3[[#This Row],[Quantity (doses)]]/1000,"")</f>
        <v/>
      </c>
      <c r="Y107" s="293" t="str">
        <f>IF(Table3[[#This Row],[Status]]="Ordered",(DATE(YEAR(P107),MONTH(P107),1)),IF(Table3[[#This Row],[Status]]="Received",(DATE(YEAR(Q107),MONTH(Q107),1)),""))</f>
        <v/>
      </c>
      <c r="Z107" s="304" t="str">
        <f t="shared" si="4"/>
        <v/>
      </c>
      <c r="AA107" s="48" t="str">
        <f t="shared" si="5"/>
        <v/>
      </c>
      <c r="AB107" s="48" t="str">
        <f t="shared" si="6"/>
        <v/>
      </c>
      <c r="AC107" s="292" t="str">
        <f t="shared" si="7"/>
        <v/>
      </c>
      <c r="AD107" s="48" t="str">
        <f>IF(Table3[[#This Row],[Actual Arrival date]]&gt;0,IF(Table3[[#This Row],[Expected arrival date]]&gt;0,Table3[[#This Row],[Actual Arrival date]]-Table3[[#This Row],[Expected arrival date]],""),"")</f>
        <v/>
      </c>
    </row>
    <row r="108" spans="1:30" x14ac:dyDescent="0.25">
      <c r="A108" s="303" t="str">
        <f>Start!$D$7</f>
        <v>Anyland</v>
      </c>
      <c r="B108" s="48" t="str">
        <f>_xlfn.IFNA(VLOOKUP(A108,list!B:C,2,FALSE),"")</f>
        <v>ANY</v>
      </c>
      <c r="C108" s="48"/>
      <c r="D108" s="127"/>
      <c r="E108" s="48" t="str">
        <f>_xlfn.IFNA(VLOOKUP(Table3[[#This Row],[Product]], ProductListTbl[], 3, 0), "")</f>
        <v/>
      </c>
      <c r="F108" s="303" t="str">
        <f>_xlfn.IFNA(VLOOKUP(D108,ProductListTbl[],5,0),"")</f>
        <v/>
      </c>
      <c r="G108" s="303" t="str">
        <f>_xlfn.IFNA(VLOOKUP(D108,ProductListTbl[],6,0),"")</f>
        <v/>
      </c>
      <c r="H108" s="130" t="str">
        <f>_xlfn.IFNA(VLOOKUP(D108,ProductListTbl[],7,0),"")</f>
        <v/>
      </c>
      <c r="I108" s="130" t="str">
        <f>_xlfn.IFNA(VLOOKUP(D108,ProductListTbl[],8,0),"")</f>
        <v/>
      </c>
      <c r="J108" s="127"/>
      <c r="K108" s="129"/>
      <c r="L108" s="128"/>
      <c r="M108" s="305" t="str">
        <f>IFERROR(Table3[[#This Row],[Quantity (doses)]]/Table3[[#This Row],[Doses per vial or syringe]],"")</f>
        <v/>
      </c>
      <c r="N108" s="127"/>
      <c r="O108" s="127"/>
      <c r="P108" s="381"/>
      <c r="Q108" s="129"/>
      <c r="R108" s="127"/>
      <c r="S108" s="127"/>
      <c r="T108" s="127"/>
      <c r="U108" s="127"/>
      <c r="V108" s="305" t="str">
        <f>_xlfn.IFNA(VLOOKUP(D108,ProductListTbl[],9,0),"")</f>
        <v/>
      </c>
      <c r="W108" s="305" t="str">
        <f>IFERROR(Table3[[#This Row],[Storage space per secondary packaging (cm3)]]*Table3[[#This Row],[Quantity  (vials or syringes)]]/1000,"")</f>
        <v/>
      </c>
      <c r="X108" s="305" t="str">
        <f>IFERROR(Table3[[#This Row],[Storage space per tertiary packaging (cm3)]]*Table3[[#This Row],[Quantity (doses)]]/1000,"")</f>
        <v/>
      </c>
      <c r="Y108" s="293" t="str">
        <f>IF(Table3[[#This Row],[Status]]="Ordered",(DATE(YEAR(P108),MONTH(P108),1)),IF(Table3[[#This Row],[Status]]="Received",(DATE(YEAR(Q108),MONTH(Q108),1)),""))</f>
        <v/>
      </c>
      <c r="Z108" s="304" t="str">
        <f t="shared" si="4"/>
        <v/>
      </c>
      <c r="AA108" s="48" t="str">
        <f t="shared" si="5"/>
        <v/>
      </c>
      <c r="AB108" s="48" t="str">
        <f t="shared" si="6"/>
        <v/>
      </c>
      <c r="AC108" s="292" t="str">
        <f t="shared" si="7"/>
        <v/>
      </c>
      <c r="AD108" s="48" t="str">
        <f>IF(Table3[[#This Row],[Actual Arrival date]]&gt;0,IF(Table3[[#This Row],[Expected arrival date]]&gt;0,Table3[[#This Row],[Actual Arrival date]]-Table3[[#This Row],[Expected arrival date]],""),"")</f>
        <v/>
      </c>
    </row>
    <row r="109" spans="1:30" x14ac:dyDescent="0.25">
      <c r="A109" s="303" t="str">
        <f>Start!$D$7</f>
        <v>Anyland</v>
      </c>
      <c r="B109" s="48" t="str">
        <f>_xlfn.IFNA(VLOOKUP(A109,list!B:C,2,FALSE),"")</f>
        <v>ANY</v>
      </c>
      <c r="C109" s="48"/>
      <c r="D109" s="127"/>
      <c r="E109" s="48" t="str">
        <f>_xlfn.IFNA(VLOOKUP(Table3[[#This Row],[Product]], ProductListTbl[], 3, 0), "")</f>
        <v/>
      </c>
      <c r="F109" s="303" t="str">
        <f>_xlfn.IFNA(VLOOKUP(D109,ProductListTbl[],5,0),"")</f>
        <v/>
      </c>
      <c r="G109" s="303" t="str">
        <f>_xlfn.IFNA(VLOOKUP(D109,ProductListTbl[],6,0),"")</f>
        <v/>
      </c>
      <c r="H109" s="130" t="str">
        <f>_xlfn.IFNA(VLOOKUP(D109,ProductListTbl[],7,0),"")</f>
        <v/>
      </c>
      <c r="I109" s="130" t="str">
        <f>_xlfn.IFNA(VLOOKUP(D109,ProductListTbl[],8,0),"")</f>
        <v/>
      </c>
      <c r="J109" s="127"/>
      <c r="K109" s="129"/>
      <c r="L109" s="128"/>
      <c r="M109" s="305" t="str">
        <f>IFERROR(Table3[[#This Row],[Quantity (doses)]]/Table3[[#This Row],[Doses per vial or syringe]],"")</f>
        <v/>
      </c>
      <c r="N109" s="127"/>
      <c r="O109" s="127"/>
      <c r="P109" s="381"/>
      <c r="Q109" s="129"/>
      <c r="R109" s="127"/>
      <c r="S109" s="127"/>
      <c r="T109" s="127"/>
      <c r="U109" s="127"/>
      <c r="V109" s="305" t="str">
        <f>_xlfn.IFNA(VLOOKUP(D109,ProductListTbl[],9,0),"")</f>
        <v/>
      </c>
      <c r="W109" s="305" t="str">
        <f>IFERROR(Table3[[#This Row],[Storage space per secondary packaging (cm3)]]*Table3[[#This Row],[Quantity  (vials or syringes)]]/1000,"")</f>
        <v/>
      </c>
      <c r="X109" s="305" t="str">
        <f>IFERROR(Table3[[#This Row],[Storage space per tertiary packaging (cm3)]]*Table3[[#This Row],[Quantity (doses)]]/1000,"")</f>
        <v/>
      </c>
      <c r="Y109" s="293" t="str">
        <f>IF(Table3[[#This Row],[Status]]="Ordered",(DATE(YEAR(P109),MONTH(P109),1)),IF(Table3[[#This Row],[Status]]="Received",(DATE(YEAR(Q109),MONTH(Q109),1)),""))</f>
        <v/>
      </c>
      <c r="Z109" s="304" t="str">
        <f t="shared" si="4"/>
        <v/>
      </c>
      <c r="AA109" s="48" t="str">
        <f t="shared" si="5"/>
        <v/>
      </c>
      <c r="AB109" s="48" t="str">
        <f t="shared" si="6"/>
        <v/>
      </c>
      <c r="AC109" s="292" t="str">
        <f t="shared" si="7"/>
        <v/>
      </c>
      <c r="AD109" s="48" t="str">
        <f>IF(Table3[[#This Row],[Actual Arrival date]]&gt;0,IF(Table3[[#This Row],[Expected arrival date]]&gt;0,Table3[[#This Row],[Actual Arrival date]]-Table3[[#This Row],[Expected arrival date]],""),"")</f>
        <v/>
      </c>
    </row>
    <row r="110" spans="1:30" x14ac:dyDescent="0.25">
      <c r="A110" s="303" t="str">
        <f>Start!$D$7</f>
        <v>Anyland</v>
      </c>
      <c r="B110" s="48" t="str">
        <f>_xlfn.IFNA(VLOOKUP(A110,list!B:C,2,FALSE),"")</f>
        <v>ANY</v>
      </c>
      <c r="C110" s="48"/>
      <c r="D110" s="127"/>
      <c r="E110" s="48" t="str">
        <f>_xlfn.IFNA(VLOOKUP(Table3[[#This Row],[Product]], ProductListTbl[], 3, 0), "")</f>
        <v/>
      </c>
      <c r="F110" s="303" t="str">
        <f>_xlfn.IFNA(VLOOKUP(D110,ProductListTbl[],5,0),"")</f>
        <v/>
      </c>
      <c r="G110" s="303" t="str">
        <f>_xlfn.IFNA(VLOOKUP(D110,ProductListTbl[],6,0),"")</f>
        <v/>
      </c>
      <c r="H110" s="130" t="str">
        <f>_xlfn.IFNA(VLOOKUP(D110,ProductListTbl[],7,0),"")</f>
        <v/>
      </c>
      <c r="I110" s="130" t="str">
        <f>_xlfn.IFNA(VLOOKUP(D110,ProductListTbl[],8,0),"")</f>
        <v/>
      </c>
      <c r="J110" s="127"/>
      <c r="K110" s="129"/>
      <c r="L110" s="128"/>
      <c r="M110" s="305" t="str">
        <f>IFERROR(Table3[[#This Row],[Quantity (doses)]]/Table3[[#This Row],[Doses per vial or syringe]],"")</f>
        <v/>
      </c>
      <c r="N110" s="127"/>
      <c r="O110" s="127"/>
      <c r="P110" s="381"/>
      <c r="Q110" s="129"/>
      <c r="R110" s="127"/>
      <c r="S110" s="127"/>
      <c r="T110" s="127"/>
      <c r="U110" s="127"/>
      <c r="V110" s="305" t="str">
        <f>_xlfn.IFNA(VLOOKUP(D110,ProductListTbl[],9,0),"")</f>
        <v/>
      </c>
      <c r="W110" s="305" t="str">
        <f>IFERROR(Table3[[#This Row],[Storage space per secondary packaging (cm3)]]*Table3[[#This Row],[Quantity  (vials or syringes)]]/1000,"")</f>
        <v/>
      </c>
      <c r="X110" s="305" t="str">
        <f>IFERROR(Table3[[#This Row],[Storage space per tertiary packaging (cm3)]]*Table3[[#This Row],[Quantity (doses)]]/1000,"")</f>
        <v/>
      </c>
      <c r="Y110" s="293" t="str">
        <f>IF(Table3[[#This Row],[Status]]="Ordered",(DATE(YEAR(P110),MONTH(P110),1)),IF(Table3[[#This Row],[Status]]="Received",(DATE(YEAR(Q110),MONTH(Q110),1)),""))</f>
        <v/>
      </c>
      <c r="Z110" s="304" t="str">
        <f t="shared" si="4"/>
        <v/>
      </c>
      <c r="AA110" s="48" t="str">
        <f t="shared" si="5"/>
        <v/>
      </c>
      <c r="AB110" s="48" t="str">
        <f t="shared" si="6"/>
        <v/>
      </c>
      <c r="AC110" s="292" t="str">
        <f t="shared" si="7"/>
        <v/>
      </c>
      <c r="AD110" s="48" t="str">
        <f>IF(Table3[[#This Row],[Actual Arrival date]]&gt;0,IF(Table3[[#This Row],[Expected arrival date]]&gt;0,Table3[[#This Row],[Actual Arrival date]]-Table3[[#This Row],[Expected arrival date]],""),"")</f>
        <v/>
      </c>
    </row>
    <row r="111" spans="1:30" x14ac:dyDescent="0.25">
      <c r="A111" s="303" t="str">
        <f>Start!$D$7</f>
        <v>Anyland</v>
      </c>
      <c r="B111" s="48" t="str">
        <f>_xlfn.IFNA(VLOOKUP(A111,list!B:C,2,FALSE),"")</f>
        <v>ANY</v>
      </c>
      <c r="C111" s="48"/>
      <c r="D111" s="127"/>
      <c r="E111" s="48" t="str">
        <f>_xlfn.IFNA(VLOOKUP(Table3[[#This Row],[Product]], ProductListTbl[], 3, 0), "")</f>
        <v/>
      </c>
      <c r="F111" s="303" t="str">
        <f>_xlfn.IFNA(VLOOKUP(D111,ProductListTbl[],5,0),"")</f>
        <v/>
      </c>
      <c r="G111" s="303" t="str">
        <f>_xlfn.IFNA(VLOOKUP(D111,ProductListTbl[],6,0),"")</f>
        <v/>
      </c>
      <c r="H111" s="130" t="str">
        <f>_xlfn.IFNA(VLOOKUP(D111,ProductListTbl[],7,0),"")</f>
        <v/>
      </c>
      <c r="I111" s="130" t="str">
        <f>_xlfn.IFNA(VLOOKUP(D111,ProductListTbl[],8,0),"")</f>
        <v/>
      </c>
      <c r="J111" s="127"/>
      <c r="K111" s="129"/>
      <c r="L111" s="128"/>
      <c r="M111" s="305" t="str">
        <f>IFERROR(Table3[[#This Row],[Quantity (doses)]]/Table3[[#This Row],[Doses per vial or syringe]],"")</f>
        <v/>
      </c>
      <c r="N111" s="127"/>
      <c r="O111" s="127"/>
      <c r="P111" s="381"/>
      <c r="Q111" s="129"/>
      <c r="R111" s="127"/>
      <c r="S111" s="127"/>
      <c r="T111" s="127"/>
      <c r="U111" s="127"/>
      <c r="V111" s="305" t="str">
        <f>_xlfn.IFNA(VLOOKUP(D111,ProductListTbl[],9,0),"")</f>
        <v/>
      </c>
      <c r="W111" s="305" t="str">
        <f>IFERROR(Table3[[#This Row],[Storage space per secondary packaging (cm3)]]*Table3[[#This Row],[Quantity  (vials or syringes)]]/1000,"")</f>
        <v/>
      </c>
      <c r="X111" s="305" t="str">
        <f>IFERROR(Table3[[#This Row],[Storage space per tertiary packaging (cm3)]]*Table3[[#This Row],[Quantity (doses)]]/1000,"")</f>
        <v/>
      </c>
      <c r="Y111" s="293" t="str">
        <f>IF(Table3[[#This Row],[Status]]="Ordered",(DATE(YEAR(P111),MONTH(P111),1)),IF(Table3[[#This Row],[Status]]="Received",(DATE(YEAR(Q111),MONTH(Q111),1)),""))</f>
        <v/>
      </c>
      <c r="Z111" s="304" t="str">
        <f t="shared" si="4"/>
        <v/>
      </c>
      <c r="AA111" s="48" t="str">
        <f t="shared" si="5"/>
        <v/>
      </c>
      <c r="AB111" s="48" t="str">
        <f t="shared" si="6"/>
        <v/>
      </c>
      <c r="AC111" s="292" t="str">
        <f t="shared" si="7"/>
        <v/>
      </c>
      <c r="AD111" s="48" t="str">
        <f>IF(Table3[[#This Row],[Actual Arrival date]]&gt;0,IF(Table3[[#This Row],[Expected arrival date]]&gt;0,Table3[[#This Row],[Actual Arrival date]]-Table3[[#This Row],[Expected arrival date]],""),"")</f>
        <v/>
      </c>
    </row>
    <row r="112" spans="1:30" x14ac:dyDescent="0.25">
      <c r="A112" s="303" t="str">
        <f>Start!$D$7</f>
        <v>Anyland</v>
      </c>
      <c r="B112" s="48" t="str">
        <f>_xlfn.IFNA(VLOOKUP(A112,list!B:C,2,FALSE),"")</f>
        <v>ANY</v>
      </c>
      <c r="C112" s="48"/>
      <c r="D112" s="127"/>
      <c r="E112" s="48" t="str">
        <f>_xlfn.IFNA(VLOOKUP(Table3[[#This Row],[Product]], ProductListTbl[], 3, 0), "")</f>
        <v/>
      </c>
      <c r="F112" s="303" t="str">
        <f>_xlfn.IFNA(VLOOKUP(D112,ProductListTbl[],5,0),"")</f>
        <v/>
      </c>
      <c r="G112" s="303" t="str">
        <f>_xlfn.IFNA(VLOOKUP(D112,ProductListTbl[],6,0),"")</f>
        <v/>
      </c>
      <c r="H112" s="130" t="str">
        <f>_xlfn.IFNA(VLOOKUP(D112,ProductListTbl[],7,0),"")</f>
        <v/>
      </c>
      <c r="I112" s="130" t="str">
        <f>_xlfn.IFNA(VLOOKUP(D112,ProductListTbl[],8,0),"")</f>
        <v/>
      </c>
      <c r="J112" s="127"/>
      <c r="K112" s="129"/>
      <c r="L112" s="128"/>
      <c r="M112" s="305" t="str">
        <f>IFERROR(Table3[[#This Row],[Quantity (doses)]]/Table3[[#This Row],[Doses per vial or syringe]],"")</f>
        <v/>
      </c>
      <c r="N112" s="127"/>
      <c r="O112" s="127"/>
      <c r="P112" s="381"/>
      <c r="Q112" s="129"/>
      <c r="R112" s="127"/>
      <c r="S112" s="127"/>
      <c r="T112" s="127"/>
      <c r="U112" s="127"/>
      <c r="V112" s="305" t="str">
        <f>_xlfn.IFNA(VLOOKUP(D112,ProductListTbl[],9,0),"")</f>
        <v/>
      </c>
      <c r="W112" s="305" t="str">
        <f>IFERROR(Table3[[#This Row],[Storage space per secondary packaging (cm3)]]*Table3[[#This Row],[Quantity  (vials or syringes)]]/1000,"")</f>
        <v/>
      </c>
      <c r="X112" s="305" t="str">
        <f>IFERROR(Table3[[#This Row],[Storage space per tertiary packaging (cm3)]]*Table3[[#This Row],[Quantity (doses)]]/1000,"")</f>
        <v/>
      </c>
      <c r="Y112" s="293" t="str">
        <f>IF(Table3[[#This Row],[Status]]="Ordered",(DATE(YEAR(P112),MONTH(P112),1)),IF(Table3[[#This Row],[Status]]="Received",(DATE(YEAR(Q112),MONTH(Q112),1)),""))</f>
        <v/>
      </c>
      <c r="Z112" s="304" t="str">
        <f t="shared" si="4"/>
        <v/>
      </c>
      <c r="AA112" s="48" t="str">
        <f t="shared" si="5"/>
        <v/>
      </c>
      <c r="AB112" s="48" t="str">
        <f t="shared" si="6"/>
        <v/>
      </c>
      <c r="AC112" s="292" t="str">
        <f t="shared" si="7"/>
        <v/>
      </c>
      <c r="AD112" s="48" t="str">
        <f>IF(Table3[[#This Row],[Actual Arrival date]]&gt;0,IF(Table3[[#This Row],[Expected arrival date]]&gt;0,Table3[[#This Row],[Actual Arrival date]]-Table3[[#This Row],[Expected arrival date]],""),"")</f>
        <v/>
      </c>
    </row>
    <row r="113" spans="1:30" x14ac:dyDescent="0.25">
      <c r="A113" s="303" t="str">
        <f>Start!$D$7</f>
        <v>Anyland</v>
      </c>
      <c r="B113" s="48" t="str">
        <f>_xlfn.IFNA(VLOOKUP(A113,list!B:C,2,FALSE),"")</f>
        <v>ANY</v>
      </c>
      <c r="C113" s="48"/>
      <c r="D113" s="127"/>
      <c r="E113" s="48" t="str">
        <f>_xlfn.IFNA(VLOOKUP(Table3[[#This Row],[Product]], ProductListTbl[], 3, 0), "")</f>
        <v/>
      </c>
      <c r="F113" s="303" t="str">
        <f>_xlfn.IFNA(VLOOKUP(D113,ProductListTbl[],5,0),"")</f>
        <v/>
      </c>
      <c r="G113" s="303" t="str">
        <f>_xlfn.IFNA(VLOOKUP(D113,ProductListTbl[],6,0),"")</f>
        <v/>
      </c>
      <c r="H113" s="130" t="str">
        <f>_xlfn.IFNA(VLOOKUP(D113,ProductListTbl[],7,0),"")</f>
        <v/>
      </c>
      <c r="I113" s="130" t="str">
        <f>_xlfn.IFNA(VLOOKUP(D113,ProductListTbl[],8,0),"")</f>
        <v/>
      </c>
      <c r="J113" s="127"/>
      <c r="K113" s="129"/>
      <c r="L113" s="128"/>
      <c r="M113" s="305" t="str">
        <f>IFERROR(Table3[[#This Row],[Quantity (doses)]]/Table3[[#This Row],[Doses per vial or syringe]],"")</f>
        <v/>
      </c>
      <c r="N113" s="127"/>
      <c r="O113" s="127"/>
      <c r="P113" s="381"/>
      <c r="Q113" s="129"/>
      <c r="R113" s="127"/>
      <c r="S113" s="127"/>
      <c r="T113" s="127"/>
      <c r="U113" s="127"/>
      <c r="V113" s="305" t="str">
        <f>_xlfn.IFNA(VLOOKUP(D113,ProductListTbl[],9,0),"")</f>
        <v/>
      </c>
      <c r="W113" s="305" t="str">
        <f>IFERROR(Table3[[#This Row],[Storage space per secondary packaging (cm3)]]*Table3[[#This Row],[Quantity  (vials or syringes)]]/1000,"")</f>
        <v/>
      </c>
      <c r="X113" s="305" t="str">
        <f>IFERROR(Table3[[#This Row],[Storage space per tertiary packaging (cm3)]]*Table3[[#This Row],[Quantity (doses)]]/1000,"")</f>
        <v/>
      </c>
      <c r="Y113" s="293" t="str">
        <f>IF(Table3[[#This Row],[Status]]="Ordered",(DATE(YEAR(P113),MONTH(P113),1)),IF(Table3[[#This Row],[Status]]="Received",(DATE(YEAR(Q113),MONTH(Q113),1)),""))</f>
        <v/>
      </c>
      <c r="Z113" s="304" t="str">
        <f t="shared" si="4"/>
        <v/>
      </c>
      <c r="AA113" s="48" t="str">
        <f t="shared" si="5"/>
        <v/>
      </c>
      <c r="AB113" s="48" t="str">
        <f t="shared" si="6"/>
        <v/>
      </c>
      <c r="AC113" s="292" t="str">
        <f t="shared" si="7"/>
        <v/>
      </c>
      <c r="AD113" s="48" t="str">
        <f>IF(Table3[[#This Row],[Actual Arrival date]]&gt;0,IF(Table3[[#This Row],[Expected arrival date]]&gt;0,Table3[[#This Row],[Actual Arrival date]]-Table3[[#This Row],[Expected arrival date]],""),"")</f>
        <v/>
      </c>
    </row>
    <row r="114" spans="1:30" x14ac:dyDescent="0.25">
      <c r="A114" s="303" t="str">
        <f>Start!$D$7</f>
        <v>Anyland</v>
      </c>
      <c r="B114" s="48" t="str">
        <f>_xlfn.IFNA(VLOOKUP(A114,list!B:C,2,FALSE),"")</f>
        <v>ANY</v>
      </c>
      <c r="C114" s="48"/>
      <c r="D114" s="127"/>
      <c r="E114" s="48" t="str">
        <f>_xlfn.IFNA(VLOOKUP(Table3[[#This Row],[Product]], ProductListTbl[], 3, 0), "")</f>
        <v/>
      </c>
      <c r="F114" s="303" t="str">
        <f>_xlfn.IFNA(VLOOKUP(D114,ProductListTbl[],5,0),"")</f>
        <v/>
      </c>
      <c r="G114" s="303" t="str">
        <f>_xlfn.IFNA(VLOOKUP(D114,ProductListTbl[],6,0),"")</f>
        <v/>
      </c>
      <c r="H114" s="130" t="str">
        <f>_xlfn.IFNA(VLOOKUP(D114,ProductListTbl[],7,0),"")</f>
        <v/>
      </c>
      <c r="I114" s="130" t="str">
        <f>_xlfn.IFNA(VLOOKUP(D114,ProductListTbl[],8,0),"")</f>
        <v/>
      </c>
      <c r="J114" s="127"/>
      <c r="K114" s="129"/>
      <c r="L114" s="128"/>
      <c r="M114" s="305" t="str">
        <f>IFERROR(Table3[[#This Row],[Quantity (doses)]]/Table3[[#This Row],[Doses per vial or syringe]],"")</f>
        <v/>
      </c>
      <c r="N114" s="127"/>
      <c r="O114" s="127"/>
      <c r="P114" s="381"/>
      <c r="Q114" s="129"/>
      <c r="R114" s="127"/>
      <c r="S114" s="127"/>
      <c r="T114" s="127"/>
      <c r="U114" s="127"/>
      <c r="V114" s="305" t="str">
        <f>_xlfn.IFNA(VLOOKUP(D114,ProductListTbl[],9,0),"")</f>
        <v/>
      </c>
      <c r="W114" s="305" t="str">
        <f>IFERROR(Table3[[#This Row],[Storage space per secondary packaging (cm3)]]*Table3[[#This Row],[Quantity  (vials or syringes)]]/1000,"")</f>
        <v/>
      </c>
      <c r="X114" s="305" t="str">
        <f>IFERROR(Table3[[#This Row],[Storage space per tertiary packaging (cm3)]]*Table3[[#This Row],[Quantity (doses)]]/1000,"")</f>
        <v/>
      </c>
      <c r="Y114" s="293" t="str">
        <f>IF(Table3[[#This Row],[Status]]="Ordered",(DATE(YEAR(P114),MONTH(P114),1)),IF(Table3[[#This Row],[Status]]="Received",(DATE(YEAR(Q114),MONTH(Q114),1)),""))</f>
        <v/>
      </c>
      <c r="Z114" s="304" t="str">
        <f t="shared" si="4"/>
        <v/>
      </c>
      <c r="AA114" s="48" t="str">
        <f t="shared" si="5"/>
        <v/>
      </c>
      <c r="AB114" s="48" t="str">
        <f t="shared" si="6"/>
        <v/>
      </c>
      <c r="AC114" s="292" t="str">
        <f t="shared" si="7"/>
        <v/>
      </c>
      <c r="AD114" s="48" t="str">
        <f>IF(Table3[[#This Row],[Actual Arrival date]]&gt;0,IF(Table3[[#This Row],[Expected arrival date]]&gt;0,Table3[[#This Row],[Actual Arrival date]]-Table3[[#This Row],[Expected arrival date]],""),"")</f>
        <v/>
      </c>
    </row>
    <row r="115" spans="1:30" x14ac:dyDescent="0.25">
      <c r="A115" s="303" t="str">
        <f>Start!$D$7</f>
        <v>Anyland</v>
      </c>
      <c r="B115" s="48" t="str">
        <f>_xlfn.IFNA(VLOOKUP(A115,list!B:C,2,FALSE),"")</f>
        <v>ANY</v>
      </c>
      <c r="C115" s="48"/>
      <c r="D115" s="127"/>
      <c r="E115" s="48" t="str">
        <f>_xlfn.IFNA(VLOOKUP(Table3[[#This Row],[Product]], ProductListTbl[], 3, 0), "")</f>
        <v/>
      </c>
      <c r="F115" s="303" t="str">
        <f>_xlfn.IFNA(VLOOKUP(D115,ProductListTbl[],5,0),"")</f>
        <v/>
      </c>
      <c r="G115" s="303" t="str">
        <f>_xlfn.IFNA(VLOOKUP(D115,ProductListTbl[],6,0),"")</f>
        <v/>
      </c>
      <c r="H115" s="130" t="str">
        <f>_xlfn.IFNA(VLOOKUP(D115,ProductListTbl[],7,0),"")</f>
        <v/>
      </c>
      <c r="I115" s="130" t="str">
        <f>_xlfn.IFNA(VLOOKUP(D115,ProductListTbl[],8,0),"")</f>
        <v/>
      </c>
      <c r="J115" s="127"/>
      <c r="K115" s="129"/>
      <c r="L115" s="128"/>
      <c r="M115" s="305" t="str">
        <f>IFERROR(Table3[[#This Row],[Quantity (doses)]]/Table3[[#This Row],[Doses per vial or syringe]],"")</f>
        <v/>
      </c>
      <c r="N115" s="127"/>
      <c r="O115" s="127"/>
      <c r="P115" s="381"/>
      <c r="Q115" s="129"/>
      <c r="R115" s="127"/>
      <c r="S115" s="127"/>
      <c r="T115" s="127"/>
      <c r="U115" s="127"/>
      <c r="V115" s="305" t="str">
        <f>_xlfn.IFNA(VLOOKUP(D115,ProductListTbl[],9,0),"")</f>
        <v/>
      </c>
      <c r="W115" s="305" t="str">
        <f>IFERROR(Table3[[#This Row],[Storage space per secondary packaging (cm3)]]*Table3[[#This Row],[Quantity  (vials or syringes)]]/1000,"")</f>
        <v/>
      </c>
      <c r="X115" s="305" t="str">
        <f>IFERROR(Table3[[#This Row],[Storage space per tertiary packaging (cm3)]]*Table3[[#This Row],[Quantity (doses)]]/1000,"")</f>
        <v/>
      </c>
      <c r="Y115" s="293" t="str">
        <f>IF(Table3[[#This Row],[Status]]="Ordered",(DATE(YEAR(P115),MONTH(P115),1)),IF(Table3[[#This Row],[Status]]="Received",(DATE(YEAR(Q115),MONTH(Q115),1)),""))</f>
        <v/>
      </c>
      <c r="Z115" s="304" t="str">
        <f t="shared" si="4"/>
        <v/>
      </c>
      <c r="AA115" s="48" t="str">
        <f t="shared" si="5"/>
        <v/>
      </c>
      <c r="AB115" s="48" t="str">
        <f t="shared" si="6"/>
        <v/>
      </c>
      <c r="AC115" s="292" t="str">
        <f t="shared" si="7"/>
        <v/>
      </c>
      <c r="AD115" s="48" t="str">
        <f>IF(Table3[[#This Row],[Actual Arrival date]]&gt;0,IF(Table3[[#This Row],[Expected arrival date]]&gt;0,Table3[[#This Row],[Actual Arrival date]]-Table3[[#This Row],[Expected arrival date]],""),"")</f>
        <v/>
      </c>
    </row>
    <row r="116" spans="1:30" x14ac:dyDescent="0.25">
      <c r="A116" s="303" t="str">
        <f>Start!$D$7</f>
        <v>Anyland</v>
      </c>
      <c r="B116" s="48" t="str">
        <f>_xlfn.IFNA(VLOOKUP(A116,list!B:C,2,FALSE),"")</f>
        <v>ANY</v>
      </c>
      <c r="C116" s="48"/>
      <c r="D116" s="127"/>
      <c r="E116" s="48" t="str">
        <f>_xlfn.IFNA(VLOOKUP(Table3[[#This Row],[Product]], ProductListTbl[], 3, 0), "")</f>
        <v/>
      </c>
      <c r="F116" s="303" t="str">
        <f>_xlfn.IFNA(VLOOKUP(D116,ProductListTbl[],5,0),"")</f>
        <v/>
      </c>
      <c r="G116" s="303" t="str">
        <f>_xlfn.IFNA(VLOOKUP(D116,ProductListTbl[],6,0),"")</f>
        <v/>
      </c>
      <c r="H116" s="130" t="str">
        <f>_xlfn.IFNA(VLOOKUP(D116,ProductListTbl[],7,0),"")</f>
        <v/>
      </c>
      <c r="I116" s="130" t="str">
        <f>_xlfn.IFNA(VLOOKUP(D116,ProductListTbl[],8,0),"")</f>
        <v/>
      </c>
      <c r="J116" s="127"/>
      <c r="K116" s="129"/>
      <c r="L116" s="128"/>
      <c r="M116" s="305" t="str">
        <f>IFERROR(Table3[[#This Row],[Quantity (doses)]]/Table3[[#This Row],[Doses per vial or syringe]],"")</f>
        <v/>
      </c>
      <c r="N116" s="127"/>
      <c r="O116" s="127"/>
      <c r="P116" s="381"/>
      <c r="Q116" s="129"/>
      <c r="R116" s="127"/>
      <c r="S116" s="127"/>
      <c r="T116" s="127"/>
      <c r="U116" s="127"/>
      <c r="V116" s="305" t="str">
        <f>_xlfn.IFNA(VLOOKUP(D116,ProductListTbl[],9,0),"")</f>
        <v/>
      </c>
      <c r="W116" s="305" t="str">
        <f>IFERROR(Table3[[#This Row],[Storage space per secondary packaging (cm3)]]*Table3[[#This Row],[Quantity  (vials or syringes)]]/1000,"")</f>
        <v/>
      </c>
      <c r="X116" s="305" t="str">
        <f>IFERROR(Table3[[#This Row],[Storage space per tertiary packaging (cm3)]]*Table3[[#This Row],[Quantity (doses)]]/1000,"")</f>
        <v/>
      </c>
      <c r="Y116" s="293" t="str">
        <f>IF(Table3[[#This Row],[Status]]="Ordered",(DATE(YEAR(P116),MONTH(P116),1)),IF(Table3[[#This Row],[Status]]="Received",(DATE(YEAR(Q116),MONTH(Q116),1)),""))</f>
        <v/>
      </c>
      <c r="Z116" s="304" t="str">
        <f t="shared" si="4"/>
        <v/>
      </c>
      <c r="AA116" s="48" t="str">
        <f t="shared" si="5"/>
        <v/>
      </c>
      <c r="AB116" s="48" t="str">
        <f t="shared" si="6"/>
        <v/>
      </c>
      <c r="AC116" s="292" t="str">
        <f t="shared" si="7"/>
        <v/>
      </c>
      <c r="AD116" s="48" t="str">
        <f>IF(Table3[[#This Row],[Actual Arrival date]]&gt;0,IF(Table3[[#This Row],[Expected arrival date]]&gt;0,Table3[[#This Row],[Actual Arrival date]]-Table3[[#This Row],[Expected arrival date]],""),"")</f>
        <v/>
      </c>
    </row>
    <row r="117" spans="1:30" x14ac:dyDescent="0.25">
      <c r="A117" s="303" t="str">
        <f>Start!$D$7</f>
        <v>Anyland</v>
      </c>
      <c r="B117" s="48" t="str">
        <f>_xlfn.IFNA(VLOOKUP(A117,list!B:C,2,FALSE),"")</f>
        <v>ANY</v>
      </c>
      <c r="C117" s="48"/>
      <c r="D117" s="127"/>
      <c r="E117" s="48" t="str">
        <f>_xlfn.IFNA(VLOOKUP(Table3[[#This Row],[Product]], ProductListTbl[], 3, 0), "")</f>
        <v/>
      </c>
      <c r="F117" s="303" t="str">
        <f>_xlfn.IFNA(VLOOKUP(D117,ProductListTbl[],5,0),"")</f>
        <v/>
      </c>
      <c r="G117" s="303" t="str">
        <f>_xlfn.IFNA(VLOOKUP(D117,ProductListTbl[],6,0),"")</f>
        <v/>
      </c>
      <c r="H117" s="130" t="str">
        <f>_xlfn.IFNA(VLOOKUP(D117,ProductListTbl[],7,0),"")</f>
        <v/>
      </c>
      <c r="I117" s="130" t="str">
        <f>_xlfn.IFNA(VLOOKUP(D117,ProductListTbl[],8,0),"")</f>
        <v/>
      </c>
      <c r="J117" s="127"/>
      <c r="K117" s="129"/>
      <c r="L117" s="128"/>
      <c r="M117" s="305" t="str">
        <f>IFERROR(Table3[[#This Row],[Quantity (doses)]]/Table3[[#This Row],[Doses per vial or syringe]],"")</f>
        <v/>
      </c>
      <c r="N117" s="127"/>
      <c r="O117" s="127"/>
      <c r="P117" s="381"/>
      <c r="Q117" s="129"/>
      <c r="R117" s="127"/>
      <c r="S117" s="127"/>
      <c r="T117" s="127"/>
      <c r="U117" s="127"/>
      <c r="V117" s="305" t="str">
        <f>_xlfn.IFNA(VLOOKUP(D117,ProductListTbl[],9,0),"")</f>
        <v/>
      </c>
      <c r="W117" s="305" t="str">
        <f>IFERROR(Table3[[#This Row],[Storage space per secondary packaging (cm3)]]*Table3[[#This Row],[Quantity  (vials or syringes)]]/1000,"")</f>
        <v/>
      </c>
      <c r="X117" s="305" t="str">
        <f>IFERROR(Table3[[#This Row],[Storage space per tertiary packaging (cm3)]]*Table3[[#This Row],[Quantity (doses)]]/1000,"")</f>
        <v/>
      </c>
      <c r="Y117" s="293" t="str">
        <f>IF(Table3[[#This Row],[Status]]="Ordered",(DATE(YEAR(P117),MONTH(P117),1)),IF(Table3[[#This Row],[Status]]="Received",(DATE(YEAR(Q117),MONTH(Q117),1)),""))</f>
        <v/>
      </c>
      <c r="Z117" s="304" t="str">
        <f t="shared" si="4"/>
        <v/>
      </c>
      <c r="AA117" s="48" t="str">
        <f t="shared" si="5"/>
        <v/>
      </c>
      <c r="AB117" s="48" t="str">
        <f t="shared" si="6"/>
        <v/>
      </c>
      <c r="AC117" s="292" t="str">
        <f t="shared" si="7"/>
        <v/>
      </c>
      <c r="AD117" s="48" t="str">
        <f>IF(Table3[[#This Row],[Actual Arrival date]]&gt;0,IF(Table3[[#This Row],[Expected arrival date]]&gt;0,Table3[[#This Row],[Actual Arrival date]]-Table3[[#This Row],[Expected arrival date]],""),"")</f>
        <v/>
      </c>
    </row>
    <row r="118" spans="1:30" x14ac:dyDescent="0.25">
      <c r="A118" s="303" t="str">
        <f>Start!$D$7</f>
        <v>Anyland</v>
      </c>
      <c r="B118" s="48" t="str">
        <f>_xlfn.IFNA(VLOOKUP(A118,list!B:C,2,FALSE),"")</f>
        <v>ANY</v>
      </c>
      <c r="C118" s="48"/>
      <c r="D118" s="127"/>
      <c r="E118" s="48" t="str">
        <f>_xlfn.IFNA(VLOOKUP(Table3[[#This Row],[Product]], ProductListTbl[], 3, 0), "")</f>
        <v/>
      </c>
      <c r="F118" s="303" t="str">
        <f>_xlfn.IFNA(VLOOKUP(D118,ProductListTbl[],5,0),"")</f>
        <v/>
      </c>
      <c r="G118" s="303" t="str">
        <f>_xlfn.IFNA(VLOOKUP(D118,ProductListTbl[],6,0),"")</f>
        <v/>
      </c>
      <c r="H118" s="130" t="str">
        <f>_xlfn.IFNA(VLOOKUP(D118,ProductListTbl[],7,0),"")</f>
        <v/>
      </c>
      <c r="I118" s="130" t="str">
        <f>_xlfn.IFNA(VLOOKUP(D118,ProductListTbl[],8,0),"")</f>
        <v/>
      </c>
      <c r="J118" s="127"/>
      <c r="K118" s="129"/>
      <c r="L118" s="128"/>
      <c r="M118" s="305" t="str">
        <f>IFERROR(Table3[[#This Row],[Quantity (doses)]]/Table3[[#This Row],[Doses per vial or syringe]],"")</f>
        <v/>
      </c>
      <c r="N118" s="127"/>
      <c r="O118" s="127"/>
      <c r="P118" s="381"/>
      <c r="Q118" s="129"/>
      <c r="R118" s="127"/>
      <c r="S118" s="127"/>
      <c r="T118" s="127"/>
      <c r="U118" s="127"/>
      <c r="V118" s="305" t="str">
        <f>_xlfn.IFNA(VLOOKUP(D118,ProductListTbl[],9,0),"")</f>
        <v/>
      </c>
      <c r="W118" s="305" t="str">
        <f>IFERROR(Table3[[#This Row],[Storage space per secondary packaging (cm3)]]*Table3[[#This Row],[Quantity  (vials or syringes)]]/1000,"")</f>
        <v/>
      </c>
      <c r="X118" s="305" t="str">
        <f>IFERROR(Table3[[#This Row],[Storage space per tertiary packaging (cm3)]]*Table3[[#This Row],[Quantity (doses)]]/1000,"")</f>
        <v/>
      </c>
      <c r="Y118" s="293" t="str">
        <f>IF(Table3[[#This Row],[Status]]="Ordered",(DATE(YEAR(P118),MONTH(P118),1)),IF(Table3[[#This Row],[Status]]="Received",(DATE(YEAR(Q118),MONTH(Q118),1)),""))</f>
        <v/>
      </c>
      <c r="Z118" s="304" t="str">
        <f t="shared" si="4"/>
        <v/>
      </c>
      <c r="AA118" s="48" t="str">
        <f t="shared" si="5"/>
        <v/>
      </c>
      <c r="AB118" s="48" t="str">
        <f t="shared" si="6"/>
        <v/>
      </c>
      <c r="AC118" s="292" t="str">
        <f t="shared" si="7"/>
        <v/>
      </c>
      <c r="AD118" s="48" t="str">
        <f>IF(Table3[[#This Row],[Actual Arrival date]]&gt;0,IF(Table3[[#This Row],[Expected arrival date]]&gt;0,Table3[[#This Row],[Actual Arrival date]]-Table3[[#This Row],[Expected arrival date]],""),"")</f>
        <v/>
      </c>
    </row>
    <row r="119" spans="1:30" x14ac:dyDescent="0.25">
      <c r="A119" s="303" t="str">
        <f>Start!$D$7</f>
        <v>Anyland</v>
      </c>
      <c r="B119" s="48" t="str">
        <f>_xlfn.IFNA(VLOOKUP(A119,list!B:C,2,FALSE),"")</f>
        <v>ANY</v>
      </c>
      <c r="C119" s="48"/>
      <c r="D119" s="127"/>
      <c r="E119" s="48" t="str">
        <f>_xlfn.IFNA(VLOOKUP(Table3[[#This Row],[Product]], ProductListTbl[], 3, 0), "")</f>
        <v/>
      </c>
      <c r="F119" s="303" t="str">
        <f>_xlfn.IFNA(VLOOKUP(D119,ProductListTbl[],5,0),"")</f>
        <v/>
      </c>
      <c r="G119" s="303" t="str">
        <f>_xlfn.IFNA(VLOOKUP(D119,ProductListTbl[],6,0),"")</f>
        <v/>
      </c>
      <c r="H119" s="130" t="str">
        <f>_xlfn.IFNA(VLOOKUP(D119,ProductListTbl[],7,0),"")</f>
        <v/>
      </c>
      <c r="I119" s="130" t="str">
        <f>_xlfn.IFNA(VLOOKUP(D119,ProductListTbl[],8,0),"")</f>
        <v/>
      </c>
      <c r="J119" s="127"/>
      <c r="K119" s="129"/>
      <c r="L119" s="128"/>
      <c r="M119" s="305" t="str">
        <f>IFERROR(Table3[[#This Row],[Quantity (doses)]]/Table3[[#This Row],[Doses per vial or syringe]],"")</f>
        <v/>
      </c>
      <c r="N119" s="127"/>
      <c r="O119" s="127"/>
      <c r="P119" s="381"/>
      <c r="Q119" s="129"/>
      <c r="R119" s="127"/>
      <c r="S119" s="127"/>
      <c r="T119" s="127"/>
      <c r="U119" s="127"/>
      <c r="V119" s="305" t="str">
        <f>_xlfn.IFNA(VLOOKUP(D119,ProductListTbl[],9,0),"")</f>
        <v/>
      </c>
      <c r="W119" s="305" t="str">
        <f>IFERROR(Table3[[#This Row],[Storage space per secondary packaging (cm3)]]*Table3[[#This Row],[Quantity  (vials or syringes)]]/1000,"")</f>
        <v/>
      </c>
      <c r="X119" s="305" t="str">
        <f>IFERROR(Table3[[#This Row],[Storage space per tertiary packaging (cm3)]]*Table3[[#This Row],[Quantity (doses)]]/1000,"")</f>
        <v/>
      </c>
      <c r="Y119" s="293" t="str">
        <f>IF(Table3[[#This Row],[Status]]="Ordered",(DATE(YEAR(P119),MONTH(P119),1)),IF(Table3[[#This Row],[Status]]="Received",(DATE(YEAR(Q119),MONTH(Q119),1)),""))</f>
        <v/>
      </c>
      <c r="Z119" s="304" t="str">
        <f t="shared" si="4"/>
        <v/>
      </c>
      <c r="AA119" s="48" t="str">
        <f t="shared" si="5"/>
        <v/>
      </c>
      <c r="AB119" s="48" t="str">
        <f t="shared" si="6"/>
        <v/>
      </c>
      <c r="AC119" s="292" t="str">
        <f t="shared" si="7"/>
        <v/>
      </c>
      <c r="AD119" s="48" t="str">
        <f>IF(Table3[[#This Row],[Actual Arrival date]]&gt;0,IF(Table3[[#This Row],[Expected arrival date]]&gt;0,Table3[[#This Row],[Actual Arrival date]]-Table3[[#This Row],[Expected arrival date]],""),"")</f>
        <v/>
      </c>
    </row>
    <row r="120" spans="1:30" x14ac:dyDescent="0.25">
      <c r="A120" s="303" t="str">
        <f>Start!$D$7</f>
        <v>Anyland</v>
      </c>
      <c r="B120" s="48" t="str">
        <f>_xlfn.IFNA(VLOOKUP(A120,list!B:C,2,FALSE),"")</f>
        <v>ANY</v>
      </c>
      <c r="C120" s="48"/>
      <c r="D120" s="127"/>
      <c r="E120" s="48" t="str">
        <f>_xlfn.IFNA(VLOOKUP(Table3[[#This Row],[Product]], ProductListTbl[], 3, 0), "")</f>
        <v/>
      </c>
      <c r="F120" s="303" t="str">
        <f>_xlfn.IFNA(VLOOKUP(D120,ProductListTbl[],5,0),"")</f>
        <v/>
      </c>
      <c r="G120" s="303" t="str">
        <f>_xlfn.IFNA(VLOOKUP(D120,ProductListTbl[],6,0),"")</f>
        <v/>
      </c>
      <c r="H120" s="130" t="str">
        <f>_xlfn.IFNA(VLOOKUP(D120,ProductListTbl[],7,0),"")</f>
        <v/>
      </c>
      <c r="I120" s="130" t="str">
        <f>_xlfn.IFNA(VLOOKUP(D120,ProductListTbl[],8,0),"")</f>
        <v/>
      </c>
      <c r="J120" s="127"/>
      <c r="K120" s="129"/>
      <c r="L120" s="128"/>
      <c r="M120" s="305" t="str">
        <f>IFERROR(Table3[[#This Row],[Quantity (doses)]]/Table3[[#This Row],[Doses per vial or syringe]],"")</f>
        <v/>
      </c>
      <c r="N120" s="127"/>
      <c r="O120" s="127"/>
      <c r="P120" s="381"/>
      <c r="Q120" s="129"/>
      <c r="R120" s="127"/>
      <c r="S120" s="127"/>
      <c r="T120" s="127"/>
      <c r="U120" s="127"/>
      <c r="V120" s="305" t="str">
        <f>_xlfn.IFNA(VLOOKUP(D120,ProductListTbl[],9,0),"")</f>
        <v/>
      </c>
      <c r="W120" s="305" t="str">
        <f>IFERROR(Table3[[#This Row],[Storage space per secondary packaging (cm3)]]*Table3[[#This Row],[Quantity  (vials or syringes)]]/1000,"")</f>
        <v/>
      </c>
      <c r="X120" s="305" t="str">
        <f>IFERROR(Table3[[#This Row],[Storage space per tertiary packaging (cm3)]]*Table3[[#This Row],[Quantity (doses)]]/1000,"")</f>
        <v/>
      </c>
      <c r="Y120" s="293" t="str">
        <f>IF(Table3[[#This Row],[Status]]="Ordered",(DATE(YEAR(P120),MONTH(P120),1)),IF(Table3[[#This Row],[Status]]="Received",(DATE(YEAR(Q120),MONTH(Q120),1)),""))</f>
        <v/>
      </c>
      <c r="Z120" s="304" t="str">
        <f t="shared" si="4"/>
        <v/>
      </c>
      <c r="AA120" s="48" t="str">
        <f t="shared" si="5"/>
        <v/>
      </c>
      <c r="AB120" s="48" t="str">
        <f t="shared" si="6"/>
        <v/>
      </c>
      <c r="AC120" s="292" t="str">
        <f t="shared" si="7"/>
        <v/>
      </c>
      <c r="AD120" s="48" t="str">
        <f>IF(Table3[[#This Row],[Actual Arrival date]]&gt;0,IF(Table3[[#This Row],[Expected arrival date]]&gt;0,Table3[[#This Row],[Actual Arrival date]]-Table3[[#This Row],[Expected arrival date]],""),"")</f>
        <v/>
      </c>
    </row>
    <row r="121" spans="1:30" x14ac:dyDescent="0.25">
      <c r="A121" s="303" t="str">
        <f>Start!$D$7</f>
        <v>Anyland</v>
      </c>
      <c r="B121" s="48" t="str">
        <f>_xlfn.IFNA(VLOOKUP(A121,list!B:C,2,FALSE),"")</f>
        <v>ANY</v>
      </c>
      <c r="C121" s="48"/>
      <c r="D121" s="127"/>
      <c r="E121" s="48" t="str">
        <f>_xlfn.IFNA(VLOOKUP(Table3[[#This Row],[Product]], ProductListTbl[], 3, 0), "")</f>
        <v/>
      </c>
      <c r="F121" s="303" t="str">
        <f>_xlfn.IFNA(VLOOKUP(D121,ProductListTbl[],5,0),"")</f>
        <v/>
      </c>
      <c r="G121" s="303" t="str">
        <f>_xlfn.IFNA(VLOOKUP(D121,ProductListTbl[],6,0),"")</f>
        <v/>
      </c>
      <c r="H121" s="130" t="str">
        <f>_xlfn.IFNA(VLOOKUP(D121,ProductListTbl[],7,0),"")</f>
        <v/>
      </c>
      <c r="I121" s="130" t="str">
        <f>_xlfn.IFNA(VLOOKUP(D121,ProductListTbl[],8,0),"")</f>
        <v/>
      </c>
      <c r="J121" s="127"/>
      <c r="K121" s="129"/>
      <c r="L121" s="128"/>
      <c r="M121" s="305" t="str">
        <f>IFERROR(Table3[[#This Row],[Quantity (doses)]]/Table3[[#This Row],[Doses per vial or syringe]],"")</f>
        <v/>
      </c>
      <c r="N121" s="127"/>
      <c r="O121" s="127"/>
      <c r="P121" s="381"/>
      <c r="Q121" s="129"/>
      <c r="R121" s="127"/>
      <c r="S121" s="127"/>
      <c r="T121" s="127"/>
      <c r="U121" s="127"/>
      <c r="V121" s="305" t="str">
        <f>_xlfn.IFNA(VLOOKUP(D121,ProductListTbl[],9,0),"")</f>
        <v/>
      </c>
      <c r="W121" s="305" t="str">
        <f>IFERROR(Table3[[#This Row],[Storage space per secondary packaging (cm3)]]*Table3[[#This Row],[Quantity  (vials or syringes)]]/1000,"")</f>
        <v/>
      </c>
      <c r="X121" s="305" t="str">
        <f>IFERROR(Table3[[#This Row],[Storage space per tertiary packaging (cm3)]]*Table3[[#This Row],[Quantity (doses)]]/1000,"")</f>
        <v/>
      </c>
      <c r="Y121" s="293" t="str">
        <f>IF(Table3[[#This Row],[Status]]="Ordered",(DATE(YEAR(P121),MONTH(P121),1)),IF(Table3[[#This Row],[Status]]="Received",(DATE(YEAR(Q121),MONTH(Q121),1)),""))</f>
        <v/>
      </c>
      <c r="Z121" s="304" t="str">
        <f t="shared" si="4"/>
        <v/>
      </c>
      <c r="AA121" s="48" t="str">
        <f t="shared" si="5"/>
        <v/>
      </c>
      <c r="AB121" s="48" t="str">
        <f t="shared" si="6"/>
        <v/>
      </c>
      <c r="AC121" s="292" t="str">
        <f t="shared" si="7"/>
        <v/>
      </c>
      <c r="AD121" s="48" t="str">
        <f>IF(Table3[[#This Row],[Actual Arrival date]]&gt;0,IF(Table3[[#This Row],[Expected arrival date]]&gt;0,Table3[[#This Row],[Actual Arrival date]]-Table3[[#This Row],[Expected arrival date]],""),"")</f>
        <v/>
      </c>
    </row>
    <row r="122" spans="1:30" x14ac:dyDescent="0.25">
      <c r="A122" s="303" t="str">
        <f>Start!$D$7</f>
        <v>Anyland</v>
      </c>
      <c r="B122" s="48" t="str">
        <f>_xlfn.IFNA(VLOOKUP(A122,list!B:C,2,FALSE),"")</f>
        <v>ANY</v>
      </c>
      <c r="C122" s="48"/>
      <c r="D122" s="127"/>
      <c r="E122" s="48" t="str">
        <f>_xlfn.IFNA(VLOOKUP(Table3[[#This Row],[Product]], ProductListTbl[], 3, 0), "")</f>
        <v/>
      </c>
      <c r="F122" s="303" t="str">
        <f>_xlfn.IFNA(VLOOKUP(D122,ProductListTbl[],5,0),"")</f>
        <v/>
      </c>
      <c r="G122" s="303" t="str">
        <f>_xlfn.IFNA(VLOOKUP(D122,ProductListTbl[],6,0),"")</f>
        <v/>
      </c>
      <c r="H122" s="130" t="str">
        <f>_xlfn.IFNA(VLOOKUP(D122,ProductListTbl[],7,0),"")</f>
        <v/>
      </c>
      <c r="I122" s="130" t="str">
        <f>_xlfn.IFNA(VLOOKUP(D122,ProductListTbl[],8,0),"")</f>
        <v/>
      </c>
      <c r="J122" s="127"/>
      <c r="K122" s="129"/>
      <c r="L122" s="128"/>
      <c r="M122" s="305" t="str">
        <f>IFERROR(Table3[[#This Row],[Quantity (doses)]]/Table3[[#This Row],[Doses per vial or syringe]],"")</f>
        <v/>
      </c>
      <c r="N122" s="127"/>
      <c r="O122" s="127"/>
      <c r="P122" s="381"/>
      <c r="Q122" s="129"/>
      <c r="R122" s="127"/>
      <c r="S122" s="127"/>
      <c r="T122" s="127"/>
      <c r="U122" s="127"/>
      <c r="V122" s="305" t="str">
        <f>_xlfn.IFNA(VLOOKUP(D122,ProductListTbl[],9,0),"")</f>
        <v/>
      </c>
      <c r="W122" s="305" t="str">
        <f>IFERROR(Table3[[#This Row],[Storage space per secondary packaging (cm3)]]*Table3[[#This Row],[Quantity  (vials or syringes)]]/1000,"")</f>
        <v/>
      </c>
      <c r="X122" s="305" t="str">
        <f>IFERROR(Table3[[#This Row],[Storage space per tertiary packaging (cm3)]]*Table3[[#This Row],[Quantity (doses)]]/1000,"")</f>
        <v/>
      </c>
      <c r="Y122" s="293" t="str">
        <f>IF(Table3[[#This Row],[Status]]="Ordered",(DATE(YEAR(P122),MONTH(P122),1)),IF(Table3[[#This Row],[Status]]="Received",(DATE(YEAR(Q122),MONTH(Q122),1)),""))</f>
        <v/>
      </c>
      <c r="Z122" s="304" t="str">
        <f t="shared" si="4"/>
        <v/>
      </c>
      <c r="AA122" s="48" t="str">
        <f t="shared" si="5"/>
        <v/>
      </c>
      <c r="AB122" s="48" t="str">
        <f t="shared" si="6"/>
        <v/>
      </c>
      <c r="AC122" s="292" t="str">
        <f t="shared" si="7"/>
        <v/>
      </c>
      <c r="AD122" s="48" t="str">
        <f>IF(Table3[[#This Row],[Actual Arrival date]]&gt;0,IF(Table3[[#This Row],[Expected arrival date]]&gt;0,Table3[[#This Row],[Actual Arrival date]]-Table3[[#This Row],[Expected arrival date]],""),"")</f>
        <v/>
      </c>
    </row>
    <row r="123" spans="1:30" x14ac:dyDescent="0.25">
      <c r="A123" s="303" t="str">
        <f>Start!$D$7</f>
        <v>Anyland</v>
      </c>
      <c r="B123" s="48" t="str">
        <f>_xlfn.IFNA(VLOOKUP(A123,list!B:C,2,FALSE),"")</f>
        <v>ANY</v>
      </c>
      <c r="C123" s="48"/>
      <c r="D123" s="127"/>
      <c r="E123" s="48" t="str">
        <f>_xlfn.IFNA(VLOOKUP(Table3[[#This Row],[Product]], ProductListTbl[], 3, 0), "")</f>
        <v/>
      </c>
      <c r="F123" s="303" t="str">
        <f>_xlfn.IFNA(VLOOKUP(D123,ProductListTbl[],5,0),"")</f>
        <v/>
      </c>
      <c r="G123" s="303" t="str">
        <f>_xlfn.IFNA(VLOOKUP(D123,ProductListTbl[],6,0),"")</f>
        <v/>
      </c>
      <c r="H123" s="130" t="str">
        <f>_xlfn.IFNA(VLOOKUP(D123,ProductListTbl[],7,0),"")</f>
        <v/>
      </c>
      <c r="I123" s="130" t="str">
        <f>_xlfn.IFNA(VLOOKUP(D123,ProductListTbl[],8,0),"")</f>
        <v/>
      </c>
      <c r="J123" s="127"/>
      <c r="K123" s="129"/>
      <c r="L123" s="128"/>
      <c r="M123" s="305" t="str">
        <f>IFERROR(Table3[[#This Row],[Quantity (doses)]]/Table3[[#This Row],[Doses per vial or syringe]],"")</f>
        <v/>
      </c>
      <c r="N123" s="127"/>
      <c r="O123" s="127"/>
      <c r="P123" s="381"/>
      <c r="Q123" s="129"/>
      <c r="R123" s="127"/>
      <c r="S123" s="127"/>
      <c r="T123" s="127"/>
      <c r="U123" s="127"/>
      <c r="V123" s="305" t="str">
        <f>_xlfn.IFNA(VLOOKUP(D123,ProductListTbl[],9,0),"")</f>
        <v/>
      </c>
      <c r="W123" s="305" t="str">
        <f>IFERROR(Table3[[#This Row],[Storage space per secondary packaging (cm3)]]*Table3[[#This Row],[Quantity  (vials or syringes)]]/1000,"")</f>
        <v/>
      </c>
      <c r="X123" s="305" t="str">
        <f>IFERROR(Table3[[#This Row],[Storage space per tertiary packaging (cm3)]]*Table3[[#This Row],[Quantity (doses)]]/1000,"")</f>
        <v/>
      </c>
      <c r="Y123" s="293" t="str">
        <f>IF(Table3[[#This Row],[Status]]="Ordered",(DATE(YEAR(P123),MONTH(P123),1)),IF(Table3[[#This Row],[Status]]="Received",(DATE(YEAR(Q123),MONTH(Q123),1)),""))</f>
        <v/>
      </c>
      <c r="Z123" s="304" t="str">
        <f t="shared" si="4"/>
        <v/>
      </c>
      <c r="AA123" s="48" t="str">
        <f t="shared" si="5"/>
        <v/>
      </c>
      <c r="AB123" s="48" t="str">
        <f t="shared" si="6"/>
        <v/>
      </c>
      <c r="AC123" s="292" t="str">
        <f t="shared" si="7"/>
        <v/>
      </c>
      <c r="AD123" s="48" t="str">
        <f>IF(Table3[[#This Row],[Actual Arrival date]]&gt;0,IF(Table3[[#This Row],[Expected arrival date]]&gt;0,Table3[[#This Row],[Actual Arrival date]]-Table3[[#This Row],[Expected arrival date]],""),"")</f>
        <v/>
      </c>
    </row>
    <row r="124" spans="1:30" x14ac:dyDescent="0.25">
      <c r="A124" s="303" t="str">
        <f>Start!$D$7</f>
        <v>Anyland</v>
      </c>
      <c r="B124" s="48" t="str">
        <f>_xlfn.IFNA(VLOOKUP(A124,list!B:C,2,FALSE),"")</f>
        <v>ANY</v>
      </c>
      <c r="C124" s="48"/>
      <c r="D124" s="127"/>
      <c r="E124" s="48" t="str">
        <f>_xlfn.IFNA(VLOOKUP(Table3[[#This Row],[Product]], ProductListTbl[], 3, 0), "")</f>
        <v/>
      </c>
      <c r="F124" s="303" t="str">
        <f>_xlfn.IFNA(VLOOKUP(D124,ProductListTbl[],5,0),"")</f>
        <v/>
      </c>
      <c r="G124" s="303" t="str">
        <f>_xlfn.IFNA(VLOOKUP(D124,ProductListTbl[],6,0),"")</f>
        <v/>
      </c>
      <c r="H124" s="130" t="str">
        <f>_xlfn.IFNA(VLOOKUP(D124,ProductListTbl[],7,0),"")</f>
        <v/>
      </c>
      <c r="I124" s="130" t="str">
        <f>_xlfn.IFNA(VLOOKUP(D124,ProductListTbl[],8,0),"")</f>
        <v/>
      </c>
      <c r="J124" s="127"/>
      <c r="K124" s="129"/>
      <c r="L124" s="128"/>
      <c r="M124" s="305" t="str">
        <f>IFERROR(Table3[[#This Row],[Quantity (doses)]]/Table3[[#This Row],[Doses per vial or syringe]],"")</f>
        <v/>
      </c>
      <c r="N124" s="127"/>
      <c r="O124" s="127"/>
      <c r="P124" s="381"/>
      <c r="Q124" s="129"/>
      <c r="R124" s="127"/>
      <c r="S124" s="127"/>
      <c r="T124" s="127"/>
      <c r="U124" s="127"/>
      <c r="V124" s="305" t="str">
        <f>_xlfn.IFNA(VLOOKUP(D124,ProductListTbl[],9,0),"")</f>
        <v/>
      </c>
      <c r="W124" s="305" t="str">
        <f>IFERROR(Table3[[#This Row],[Storage space per secondary packaging (cm3)]]*Table3[[#This Row],[Quantity  (vials or syringes)]]/1000,"")</f>
        <v/>
      </c>
      <c r="X124" s="305" t="str">
        <f>IFERROR(Table3[[#This Row],[Storage space per tertiary packaging (cm3)]]*Table3[[#This Row],[Quantity (doses)]]/1000,"")</f>
        <v/>
      </c>
      <c r="Y124" s="293" t="str">
        <f>IF(Table3[[#This Row],[Status]]="Ordered",(DATE(YEAR(P124),MONTH(P124),1)),IF(Table3[[#This Row],[Status]]="Received",(DATE(YEAR(Q124),MONTH(Q124),1)),""))</f>
        <v/>
      </c>
      <c r="Z124" s="304" t="str">
        <f t="shared" si="4"/>
        <v/>
      </c>
      <c r="AA124" s="48" t="str">
        <f t="shared" si="5"/>
        <v/>
      </c>
      <c r="AB124" s="48" t="str">
        <f t="shared" si="6"/>
        <v/>
      </c>
      <c r="AC124" s="292" t="str">
        <f t="shared" si="7"/>
        <v/>
      </c>
      <c r="AD124" s="48" t="str">
        <f>IF(Table3[[#This Row],[Actual Arrival date]]&gt;0,IF(Table3[[#This Row],[Expected arrival date]]&gt;0,Table3[[#This Row],[Actual Arrival date]]-Table3[[#This Row],[Expected arrival date]],""),"")</f>
        <v/>
      </c>
    </row>
    <row r="125" spans="1:30" x14ac:dyDescent="0.25">
      <c r="A125" s="303" t="str">
        <f>Start!$D$7</f>
        <v>Anyland</v>
      </c>
      <c r="B125" s="48" t="str">
        <f>_xlfn.IFNA(VLOOKUP(A125,list!B:C,2,FALSE),"")</f>
        <v>ANY</v>
      </c>
      <c r="C125" s="48"/>
      <c r="D125" s="127"/>
      <c r="E125" s="48" t="str">
        <f>_xlfn.IFNA(VLOOKUP(Table3[[#This Row],[Product]], ProductListTbl[], 3, 0), "")</f>
        <v/>
      </c>
      <c r="F125" s="303" t="str">
        <f>_xlfn.IFNA(VLOOKUP(D125,ProductListTbl[],5,0),"")</f>
        <v/>
      </c>
      <c r="G125" s="303" t="str">
        <f>_xlfn.IFNA(VLOOKUP(D125,ProductListTbl[],6,0),"")</f>
        <v/>
      </c>
      <c r="H125" s="130" t="str">
        <f>_xlfn.IFNA(VLOOKUP(D125,ProductListTbl[],7,0),"")</f>
        <v/>
      </c>
      <c r="I125" s="130" t="str">
        <f>_xlfn.IFNA(VLOOKUP(D125,ProductListTbl[],8,0),"")</f>
        <v/>
      </c>
      <c r="J125" s="127"/>
      <c r="K125" s="129"/>
      <c r="L125" s="128"/>
      <c r="M125" s="305" t="str">
        <f>IFERROR(Table3[[#This Row],[Quantity (doses)]]/Table3[[#This Row],[Doses per vial or syringe]],"")</f>
        <v/>
      </c>
      <c r="N125" s="127"/>
      <c r="O125" s="127"/>
      <c r="P125" s="381"/>
      <c r="Q125" s="129"/>
      <c r="R125" s="127"/>
      <c r="S125" s="127"/>
      <c r="T125" s="127"/>
      <c r="U125" s="127"/>
      <c r="V125" s="305" t="str">
        <f>_xlfn.IFNA(VLOOKUP(D125,ProductListTbl[],9,0),"")</f>
        <v/>
      </c>
      <c r="W125" s="305" t="str">
        <f>IFERROR(Table3[[#This Row],[Storage space per secondary packaging (cm3)]]*Table3[[#This Row],[Quantity  (vials or syringes)]]/1000,"")</f>
        <v/>
      </c>
      <c r="X125" s="305" t="str">
        <f>IFERROR(Table3[[#This Row],[Storage space per tertiary packaging (cm3)]]*Table3[[#This Row],[Quantity (doses)]]/1000,"")</f>
        <v/>
      </c>
      <c r="Y125" s="293" t="str">
        <f>IF(Table3[[#This Row],[Status]]="Ordered",(DATE(YEAR(P125),MONTH(P125),1)),IF(Table3[[#This Row],[Status]]="Received",(DATE(YEAR(Q125),MONTH(Q125),1)),""))</f>
        <v/>
      </c>
      <c r="Z125" s="304" t="str">
        <f t="shared" si="4"/>
        <v/>
      </c>
      <c r="AA125" s="48" t="str">
        <f t="shared" si="5"/>
        <v/>
      </c>
      <c r="AB125" s="48" t="str">
        <f t="shared" si="6"/>
        <v/>
      </c>
      <c r="AC125" s="292" t="str">
        <f t="shared" si="7"/>
        <v/>
      </c>
      <c r="AD125" s="48" t="str">
        <f>IF(Table3[[#This Row],[Actual Arrival date]]&gt;0,IF(Table3[[#This Row],[Expected arrival date]]&gt;0,Table3[[#This Row],[Actual Arrival date]]-Table3[[#This Row],[Expected arrival date]],""),"")</f>
        <v/>
      </c>
    </row>
    <row r="126" spans="1:30" x14ac:dyDescent="0.25">
      <c r="A126" s="303" t="str">
        <f>Start!$D$7</f>
        <v>Anyland</v>
      </c>
      <c r="B126" s="48" t="str">
        <f>_xlfn.IFNA(VLOOKUP(A126,list!B:C,2,FALSE),"")</f>
        <v>ANY</v>
      </c>
      <c r="C126" s="48"/>
      <c r="D126" s="127"/>
      <c r="E126" s="48" t="str">
        <f>_xlfn.IFNA(VLOOKUP(Table3[[#This Row],[Product]], ProductListTbl[], 3, 0), "")</f>
        <v/>
      </c>
      <c r="F126" s="303" t="str">
        <f>_xlfn.IFNA(VLOOKUP(D126,ProductListTbl[],5,0),"")</f>
        <v/>
      </c>
      <c r="G126" s="303" t="str">
        <f>_xlfn.IFNA(VLOOKUP(D126,ProductListTbl[],6,0),"")</f>
        <v/>
      </c>
      <c r="H126" s="130" t="str">
        <f>_xlfn.IFNA(VLOOKUP(D126,ProductListTbl[],7,0),"")</f>
        <v/>
      </c>
      <c r="I126" s="130" t="str">
        <f>_xlfn.IFNA(VLOOKUP(D126,ProductListTbl[],8,0),"")</f>
        <v/>
      </c>
      <c r="J126" s="127"/>
      <c r="K126" s="129"/>
      <c r="L126" s="128"/>
      <c r="M126" s="305" t="str">
        <f>IFERROR(Table3[[#This Row],[Quantity (doses)]]/Table3[[#This Row],[Doses per vial or syringe]],"")</f>
        <v/>
      </c>
      <c r="N126" s="127"/>
      <c r="O126" s="127"/>
      <c r="P126" s="381"/>
      <c r="Q126" s="129"/>
      <c r="R126" s="127"/>
      <c r="S126" s="127"/>
      <c r="T126" s="127"/>
      <c r="U126" s="127"/>
      <c r="V126" s="305" t="str">
        <f>_xlfn.IFNA(VLOOKUP(D126,ProductListTbl[],9,0),"")</f>
        <v/>
      </c>
      <c r="W126" s="305" t="str">
        <f>IFERROR(Table3[[#This Row],[Storage space per secondary packaging (cm3)]]*Table3[[#This Row],[Quantity  (vials or syringes)]]/1000,"")</f>
        <v/>
      </c>
      <c r="X126" s="305" t="str">
        <f>IFERROR(Table3[[#This Row],[Storage space per tertiary packaging (cm3)]]*Table3[[#This Row],[Quantity (doses)]]/1000,"")</f>
        <v/>
      </c>
      <c r="Y126" s="293" t="str">
        <f>IF(Table3[[#This Row],[Status]]="Ordered",(DATE(YEAR(P126),MONTH(P126),1)),IF(Table3[[#This Row],[Status]]="Received",(DATE(YEAR(Q126),MONTH(Q126),1)),""))</f>
        <v/>
      </c>
      <c r="Z126" s="304" t="str">
        <f t="shared" si="4"/>
        <v/>
      </c>
      <c r="AA126" s="48" t="str">
        <f t="shared" si="5"/>
        <v/>
      </c>
      <c r="AB126" s="48" t="str">
        <f t="shared" si="6"/>
        <v/>
      </c>
      <c r="AC126" s="292" t="str">
        <f t="shared" si="7"/>
        <v/>
      </c>
      <c r="AD126" s="48" t="str">
        <f>IF(Table3[[#This Row],[Actual Arrival date]]&gt;0,IF(Table3[[#This Row],[Expected arrival date]]&gt;0,Table3[[#This Row],[Actual Arrival date]]-Table3[[#This Row],[Expected arrival date]],""),"")</f>
        <v/>
      </c>
    </row>
    <row r="127" spans="1:30" x14ac:dyDescent="0.25">
      <c r="A127" s="303" t="str">
        <f>Start!$D$7</f>
        <v>Anyland</v>
      </c>
      <c r="B127" s="48" t="str">
        <f>_xlfn.IFNA(VLOOKUP(A127,list!B:C,2,FALSE),"")</f>
        <v>ANY</v>
      </c>
      <c r="C127" s="48"/>
      <c r="D127" s="127"/>
      <c r="E127" s="48" t="str">
        <f>_xlfn.IFNA(VLOOKUP(Table3[[#This Row],[Product]], ProductListTbl[], 3, 0), "")</f>
        <v/>
      </c>
      <c r="F127" s="303" t="str">
        <f>_xlfn.IFNA(VLOOKUP(D127,ProductListTbl[],5,0),"")</f>
        <v/>
      </c>
      <c r="G127" s="303" t="str">
        <f>_xlfn.IFNA(VLOOKUP(D127,ProductListTbl[],6,0),"")</f>
        <v/>
      </c>
      <c r="H127" s="130" t="str">
        <f>_xlfn.IFNA(VLOOKUP(D127,ProductListTbl[],7,0),"")</f>
        <v/>
      </c>
      <c r="I127" s="130" t="str">
        <f>_xlfn.IFNA(VLOOKUP(D127,ProductListTbl[],8,0),"")</f>
        <v/>
      </c>
      <c r="J127" s="127"/>
      <c r="K127" s="129"/>
      <c r="L127" s="128"/>
      <c r="M127" s="305" t="str">
        <f>IFERROR(Table3[[#This Row],[Quantity (doses)]]/Table3[[#This Row],[Doses per vial or syringe]],"")</f>
        <v/>
      </c>
      <c r="N127" s="127"/>
      <c r="O127" s="127"/>
      <c r="P127" s="381"/>
      <c r="Q127" s="129"/>
      <c r="R127" s="127"/>
      <c r="S127" s="127"/>
      <c r="T127" s="127"/>
      <c r="U127" s="127"/>
      <c r="V127" s="305" t="str">
        <f>_xlfn.IFNA(VLOOKUP(D127,ProductListTbl[],9,0),"")</f>
        <v/>
      </c>
      <c r="W127" s="305" t="str">
        <f>IFERROR(Table3[[#This Row],[Storage space per secondary packaging (cm3)]]*Table3[[#This Row],[Quantity  (vials or syringes)]]/1000,"")</f>
        <v/>
      </c>
      <c r="X127" s="305" t="str">
        <f>IFERROR(Table3[[#This Row],[Storage space per tertiary packaging (cm3)]]*Table3[[#This Row],[Quantity (doses)]]/1000,"")</f>
        <v/>
      </c>
      <c r="Y127" s="293" t="str">
        <f>IF(Table3[[#This Row],[Status]]="Ordered",(DATE(YEAR(P127),MONTH(P127),1)),IF(Table3[[#This Row],[Status]]="Received",(DATE(YEAR(Q127),MONTH(Q127),1)),""))</f>
        <v/>
      </c>
      <c r="Z127" s="304" t="str">
        <f t="shared" si="4"/>
        <v/>
      </c>
      <c r="AA127" s="48" t="str">
        <f t="shared" si="5"/>
        <v/>
      </c>
      <c r="AB127" s="48" t="str">
        <f t="shared" si="6"/>
        <v/>
      </c>
      <c r="AC127" s="292" t="str">
        <f t="shared" si="7"/>
        <v/>
      </c>
      <c r="AD127" s="48" t="str">
        <f>IF(Table3[[#This Row],[Actual Arrival date]]&gt;0,IF(Table3[[#This Row],[Expected arrival date]]&gt;0,Table3[[#This Row],[Actual Arrival date]]-Table3[[#This Row],[Expected arrival date]],""),"")</f>
        <v/>
      </c>
    </row>
    <row r="128" spans="1:30" x14ac:dyDescent="0.25">
      <c r="A128" s="303" t="str">
        <f>Start!$D$7</f>
        <v>Anyland</v>
      </c>
      <c r="B128" s="48" t="str">
        <f>_xlfn.IFNA(VLOOKUP(A128,list!B:C,2,FALSE),"")</f>
        <v>ANY</v>
      </c>
      <c r="C128" s="48"/>
      <c r="D128" s="127"/>
      <c r="E128" s="48" t="str">
        <f>_xlfn.IFNA(VLOOKUP(Table3[[#This Row],[Product]], ProductListTbl[], 3, 0), "")</f>
        <v/>
      </c>
      <c r="F128" s="303" t="str">
        <f>_xlfn.IFNA(VLOOKUP(D128,ProductListTbl[],5,0),"")</f>
        <v/>
      </c>
      <c r="G128" s="303" t="str">
        <f>_xlfn.IFNA(VLOOKUP(D128,ProductListTbl[],6,0),"")</f>
        <v/>
      </c>
      <c r="H128" s="130" t="str">
        <f>_xlfn.IFNA(VLOOKUP(D128,ProductListTbl[],7,0),"")</f>
        <v/>
      </c>
      <c r="I128" s="130" t="str">
        <f>_xlfn.IFNA(VLOOKUP(D128,ProductListTbl[],8,0),"")</f>
        <v/>
      </c>
      <c r="J128" s="127"/>
      <c r="K128" s="129"/>
      <c r="L128" s="128"/>
      <c r="M128" s="305" t="str">
        <f>IFERROR(Table3[[#This Row],[Quantity (doses)]]/Table3[[#This Row],[Doses per vial or syringe]],"")</f>
        <v/>
      </c>
      <c r="N128" s="127"/>
      <c r="O128" s="127"/>
      <c r="P128" s="381"/>
      <c r="Q128" s="129"/>
      <c r="R128" s="127"/>
      <c r="S128" s="127"/>
      <c r="T128" s="127"/>
      <c r="U128" s="127"/>
      <c r="V128" s="305" t="str">
        <f>_xlfn.IFNA(VLOOKUP(D128,ProductListTbl[],9,0),"")</f>
        <v/>
      </c>
      <c r="W128" s="305" t="str">
        <f>IFERROR(Table3[[#This Row],[Storage space per secondary packaging (cm3)]]*Table3[[#This Row],[Quantity  (vials or syringes)]]/1000,"")</f>
        <v/>
      </c>
      <c r="X128" s="305" t="str">
        <f>IFERROR(Table3[[#This Row],[Storage space per tertiary packaging (cm3)]]*Table3[[#This Row],[Quantity (doses)]]/1000,"")</f>
        <v/>
      </c>
      <c r="Y128" s="293" t="str">
        <f>IF(Table3[[#This Row],[Status]]="Ordered",(DATE(YEAR(P128),MONTH(P128),1)),IF(Table3[[#This Row],[Status]]="Received",(DATE(YEAR(Q128),MONTH(Q128),1)),""))</f>
        <v/>
      </c>
      <c r="Z128" s="304" t="str">
        <f t="shared" si="4"/>
        <v/>
      </c>
      <c r="AA128" s="48" t="str">
        <f t="shared" si="5"/>
        <v/>
      </c>
      <c r="AB128" s="48" t="str">
        <f t="shared" si="6"/>
        <v/>
      </c>
      <c r="AC128" s="292" t="str">
        <f t="shared" si="7"/>
        <v/>
      </c>
      <c r="AD128" s="48" t="str">
        <f>IF(Table3[[#This Row],[Actual Arrival date]]&gt;0,IF(Table3[[#This Row],[Expected arrival date]]&gt;0,Table3[[#This Row],[Actual Arrival date]]-Table3[[#This Row],[Expected arrival date]],""),"")</f>
        <v/>
      </c>
    </row>
    <row r="129" spans="1:30" x14ac:dyDescent="0.25">
      <c r="A129" s="303" t="str">
        <f>Start!$D$7</f>
        <v>Anyland</v>
      </c>
      <c r="B129" s="48" t="str">
        <f>_xlfn.IFNA(VLOOKUP(A129,list!B:C,2,FALSE),"")</f>
        <v>ANY</v>
      </c>
      <c r="C129" s="48"/>
      <c r="D129" s="127"/>
      <c r="E129" s="48" t="str">
        <f>_xlfn.IFNA(VLOOKUP(Table3[[#This Row],[Product]], ProductListTbl[], 3, 0), "")</f>
        <v/>
      </c>
      <c r="F129" s="303" t="str">
        <f>_xlfn.IFNA(VLOOKUP(D129,ProductListTbl[],5,0),"")</f>
        <v/>
      </c>
      <c r="G129" s="303" t="str">
        <f>_xlfn.IFNA(VLOOKUP(D129,ProductListTbl[],6,0),"")</f>
        <v/>
      </c>
      <c r="H129" s="130" t="str">
        <f>_xlfn.IFNA(VLOOKUP(D129,ProductListTbl[],7,0),"")</f>
        <v/>
      </c>
      <c r="I129" s="130" t="str">
        <f>_xlfn.IFNA(VLOOKUP(D129,ProductListTbl[],8,0),"")</f>
        <v/>
      </c>
      <c r="J129" s="127"/>
      <c r="K129" s="129"/>
      <c r="L129" s="128"/>
      <c r="M129" s="305" t="str">
        <f>IFERROR(Table3[[#This Row],[Quantity (doses)]]/Table3[[#This Row],[Doses per vial or syringe]],"")</f>
        <v/>
      </c>
      <c r="N129" s="127"/>
      <c r="O129" s="127"/>
      <c r="P129" s="381"/>
      <c r="Q129" s="129"/>
      <c r="R129" s="127"/>
      <c r="S129" s="127"/>
      <c r="T129" s="127"/>
      <c r="U129" s="127"/>
      <c r="V129" s="305" t="str">
        <f>_xlfn.IFNA(VLOOKUP(D129,ProductListTbl[],9,0),"")</f>
        <v/>
      </c>
      <c r="W129" s="305" t="str">
        <f>IFERROR(Table3[[#This Row],[Storage space per secondary packaging (cm3)]]*Table3[[#This Row],[Quantity  (vials or syringes)]]/1000,"")</f>
        <v/>
      </c>
      <c r="X129" s="305" t="str">
        <f>IFERROR(Table3[[#This Row],[Storage space per tertiary packaging (cm3)]]*Table3[[#This Row],[Quantity (doses)]]/1000,"")</f>
        <v/>
      </c>
      <c r="Y129" s="293" t="str">
        <f>IF(Table3[[#This Row],[Status]]="Ordered",(DATE(YEAR(P129),MONTH(P129),1)),IF(Table3[[#This Row],[Status]]="Received",(DATE(YEAR(Q129),MONTH(Q129),1)),""))</f>
        <v/>
      </c>
      <c r="Z129" s="304" t="str">
        <f t="shared" si="4"/>
        <v/>
      </c>
      <c r="AA129" s="48" t="str">
        <f t="shared" si="5"/>
        <v/>
      </c>
      <c r="AB129" s="48" t="str">
        <f t="shared" si="6"/>
        <v/>
      </c>
      <c r="AC129" s="292" t="str">
        <f t="shared" si="7"/>
        <v/>
      </c>
      <c r="AD129" s="48" t="str">
        <f>IF(Table3[[#This Row],[Actual Arrival date]]&gt;0,IF(Table3[[#This Row],[Expected arrival date]]&gt;0,Table3[[#This Row],[Actual Arrival date]]-Table3[[#This Row],[Expected arrival date]],""),"")</f>
        <v/>
      </c>
    </row>
    <row r="130" spans="1:30" x14ac:dyDescent="0.25">
      <c r="A130" s="303" t="str">
        <f>Start!$D$7</f>
        <v>Anyland</v>
      </c>
      <c r="B130" s="48" t="str">
        <f>_xlfn.IFNA(VLOOKUP(A130,list!B:C,2,FALSE),"")</f>
        <v>ANY</v>
      </c>
      <c r="C130" s="48"/>
      <c r="D130" s="127"/>
      <c r="E130" s="48" t="str">
        <f>_xlfn.IFNA(VLOOKUP(Table3[[#This Row],[Product]], ProductListTbl[], 3, 0), "")</f>
        <v/>
      </c>
      <c r="F130" s="303" t="str">
        <f>_xlfn.IFNA(VLOOKUP(D130,ProductListTbl[],5,0),"")</f>
        <v/>
      </c>
      <c r="G130" s="303" t="str">
        <f>_xlfn.IFNA(VLOOKUP(D130,ProductListTbl[],6,0),"")</f>
        <v/>
      </c>
      <c r="H130" s="130" t="str">
        <f>_xlfn.IFNA(VLOOKUP(D130,ProductListTbl[],7,0),"")</f>
        <v/>
      </c>
      <c r="I130" s="130" t="str">
        <f>_xlfn.IFNA(VLOOKUP(D130,ProductListTbl[],8,0),"")</f>
        <v/>
      </c>
      <c r="J130" s="127"/>
      <c r="K130" s="129"/>
      <c r="L130" s="128"/>
      <c r="M130" s="305" t="str">
        <f>IFERROR(Table3[[#This Row],[Quantity (doses)]]/Table3[[#This Row],[Doses per vial or syringe]],"")</f>
        <v/>
      </c>
      <c r="N130" s="127"/>
      <c r="O130" s="127"/>
      <c r="P130" s="381"/>
      <c r="Q130" s="129"/>
      <c r="R130" s="127"/>
      <c r="S130" s="127"/>
      <c r="T130" s="127"/>
      <c r="U130" s="127"/>
      <c r="V130" s="305" t="str">
        <f>_xlfn.IFNA(VLOOKUP(D130,ProductListTbl[],9,0),"")</f>
        <v/>
      </c>
      <c r="W130" s="305" t="str">
        <f>IFERROR(Table3[[#This Row],[Storage space per secondary packaging (cm3)]]*Table3[[#This Row],[Quantity  (vials or syringes)]]/1000,"")</f>
        <v/>
      </c>
      <c r="X130" s="305" t="str">
        <f>IFERROR(Table3[[#This Row],[Storage space per tertiary packaging (cm3)]]*Table3[[#This Row],[Quantity (doses)]]/1000,"")</f>
        <v/>
      </c>
      <c r="Y130" s="293" t="str">
        <f>IF(Table3[[#This Row],[Status]]="Ordered",(DATE(YEAR(P130),MONTH(P130),1)),IF(Table3[[#This Row],[Status]]="Received",(DATE(YEAR(Q130),MONTH(Q130),1)),""))</f>
        <v/>
      </c>
      <c r="Z130" s="304" t="str">
        <f t="shared" si="4"/>
        <v/>
      </c>
      <c r="AA130" s="48" t="str">
        <f t="shared" si="5"/>
        <v/>
      </c>
      <c r="AB130" s="48" t="str">
        <f t="shared" si="6"/>
        <v/>
      </c>
      <c r="AC130" s="292" t="str">
        <f t="shared" si="7"/>
        <v/>
      </c>
      <c r="AD130" s="48" t="str">
        <f>IF(Table3[[#This Row],[Actual Arrival date]]&gt;0,IF(Table3[[#This Row],[Expected arrival date]]&gt;0,Table3[[#This Row],[Actual Arrival date]]-Table3[[#This Row],[Expected arrival date]],""),"")</f>
        <v/>
      </c>
    </row>
    <row r="131" spans="1:30" x14ac:dyDescent="0.25">
      <c r="A131" s="303" t="str">
        <f>Start!$D$7</f>
        <v>Anyland</v>
      </c>
      <c r="B131" s="48" t="str">
        <f>_xlfn.IFNA(VLOOKUP(A131,list!B:C,2,FALSE),"")</f>
        <v>ANY</v>
      </c>
      <c r="C131" s="48"/>
      <c r="D131" s="127"/>
      <c r="E131" s="48" t="str">
        <f>_xlfn.IFNA(VLOOKUP(Table3[[#This Row],[Product]], ProductListTbl[], 3, 0), "")</f>
        <v/>
      </c>
      <c r="F131" s="303" t="str">
        <f>_xlfn.IFNA(VLOOKUP(D131,ProductListTbl[],5,0),"")</f>
        <v/>
      </c>
      <c r="G131" s="303" t="str">
        <f>_xlfn.IFNA(VLOOKUP(D131,ProductListTbl[],6,0),"")</f>
        <v/>
      </c>
      <c r="H131" s="130" t="str">
        <f>_xlfn.IFNA(VLOOKUP(D131,ProductListTbl[],7,0),"")</f>
        <v/>
      </c>
      <c r="I131" s="130" t="str">
        <f>_xlfn.IFNA(VLOOKUP(D131,ProductListTbl[],8,0),"")</f>
        <v/>
      </c>
      <c r="J131" s="127"/>
      <c r="K131" s="129"/>
      <c r="L131" s="128"/>
      <c r="M131" s="305" t="str">
        <f>IFERROR(Table3[[#This Row],[Quantity (doses)]]/Table3[[#This Row],[Doses per vial or syringe]],"")</f>
        <v/>
      </c>
      <c r="N131" s="127"/>
      <c r="O131" s="127"/>
      <c r="P131" s="381"/>
      <c r="Q131" s="129"/>
      <c r="R131" s="127"/>
      <c r="S131" s="127"/>
      <c r="T131" s="127"/>
      <c r="U131" s="127"/>
      <c r="V131" s="305" t="str">
        <f>_xlfn.IFNA(VLOOKUP(D131,ProductListTbl[],9,0),"")</f>
        <v/>
      </c>
      <c r="W131" s="305" t="str">
        <f>IFERROR(Table3[[#This Row],[Storage space per secondary packaging (cm3)]]*Table3[[#This Row],[Quantity  (vials or syringes)]]/1000,"")</f>
        <v/>
      </c>
      <c r="X131" s="305" t="str">
        <f>IFERROR(Table3[[#This Row],[Storage space per tertiary packaging (cm3)]]*Table3[[#This Row],[Quantity (doses)]]/1000,"")</f>
        <v/>
      </c>
      <c r="Y131" s="293" t="str">
        <f>IF(Table3[[#This Row],[Status]]="Ordered",(DATE(YEAR(P131),MONTH(P131),1)),IF(Table3[[#This Row],[Status]]="Received",(DATE(YEAR(Q131),MONTH(Q131),1)),""))</f>
        <v/>
      </c>
      <c r="Z131" s="304" t="str">
        <f t="shared" si="4"/>
        <v/>
      </c>
      <c r="AA131" s="48" t="str">
        <f t="shared" si="5"/>
        <v/>
      </c>
      <c r="AB131" s="48" t="str">
        <f t="shared" si="6"/>
        <v/>
      </c>
      <c r="AC131" s="292" t="str">
        <f t="shared" si="7"/>
        <v/>
      </c>
      <c r="AD131" s="48" t="str">
        <f>IF(Table3[[#This Row],[Actual Arrival date]]&gt;0,IF(Table3[[#This Row],[Expected arrival date]]&gt;0,Table3[[#This Row],[Actual Arrival date]]-Table3[[#This Row],[Expected arrival date]],""),"")</f>
        <v/>
      </c>
    </row>
    <row r="132" spans="1:30" x14ac:dyDescent="0.25">
      <c r="A132" s="303" t="str">
        <f>Start!$D$7</f>
        <v>Anyland</v>
      </c>
      <c r="B132" s="48" t="str">
        <f>_xlfn.IFNA(VLOOKUP(A132,list!B:C,2,FALSE),"")</f>
        <v>ANY</v>
      </c>
      <c r="C132" s="48"/>
      <c r="D132" s="127"/>
      <c r="E132" s="48" t="str">
        <f>_xlfn.IFNA(VLOOKUP(Table3[[#This Row],[Product]], ProductListTbl[], 3, 0), "")</f>
        <v/>
      </c>
      <c r="F132" s="303" t="str">
        <f>_xlfn.IFNA(VLOOKUP(D132,ProductListTbl[],5,0),"")</f>
        <v/>
      </c>
      <c r="G132" s="303" t="str">
        <f>_xlfn.IFNA(VLOOKUP(D132,ProductListTbl[],6,0),"")</f>
        <v/>
      </c>
      <c r="H132" s="130" t="str">
        <f>_xlfn.IFNA(VLOOKUP(D132,ProductListTbl[],7,0),"")</f>
        <v/>
      </c>
      <c r="I132" s="130" t="str">
        <f>_xlfn.IFNA(VLOOKUP(D132,ProductListTbl[],8,0),"")</f>
        <v/>
      </c>
      <c r="J132" s="127"/>
      <c r="K132" s="129"/>
      <c r="L132" s="128"/>
      <c r="M132" s="305" t="str">
        <f>IFERROR(Table3[[#This Row],[Quantity (doses)]]/Table3[[#This Row],[Doses per vial or syringe]],"")</f>
        <v/>
      </c>
      <c r="N132" s="127"/>
      <c r="O132" s="127"/>
      <c r="P132" s="381"/>
      <c r="Q132" s="129"/>
      <c r="R132" s="127"/>
      <c r="S132" s="127"/>
      <c r="T132" s="127"/>
      <c r="U132" s="127"/>
      <c r="V132" s="305" t="str">
        <f>_xlfn.IFNA(VLOOKUP(D132,ProductListTbl[],9,0),"")</f>
        <v/>
      </c>
      <c r="W132" s="305" t="str">
        <f>IFERROR(Table3[[#This Row],[Storage space per secondary packaging (cm3)]]*Table3[[#This Row],[Quantity  (vials or syringes)]]/1000,"")</f>
        <v/>
      </c>
      <c r="X132" s="305" t="str">
        <f>IFERROR(Table3[[#This Row],[Storage space per tertiary packaging (cm3)]]*Table3[[#This Row],[Quantity (doses)]]/1000,"")</f>
        <v/>
      </c>
      <c r="Y132" s="293" t="str">
        <f>IF(Table3[[#This Row],[Status]]="Ordered",(DATE(YEAR(P132),MONTH(P132),1)),IF(Table3[[#This Row],[Status]]="Received",(DATE(YEAR(Q132),MONTH(Q132),1)),""))</f>
        <v/>
      </c>
      <c r="Z132" s="304" t="str">
        <f t="shared" si="4"/>
        <v/>
      </c>
      <c r="AA132" s="48" t="str">
        <f t="shared" si="5"/>
        <v/>
      </c>
      <c r="AB132" s="48" t="str">
        <f t="shared" si="6"/>
        <v/>
      </c>
      <c r="AC132" s="292" t="str">
        <f t="shared" si="7"/>
        <v/>
      </c>
      <c r="AD132" s="48" t="str">
        <f>IF(Table3[[#This Row],[Actual Arrival date]]&gt;0,IF(Table3[[#This Row],[Expected arrival date]]&gt;0,Table3[[#This Row],[Actual Arrival date]]-Table3[[#This Row],[Expected arrival date]],""),"")</f>
        <v/>
      </c>
    </row>
    <row r="133" spans="1:30" x14ac:dyDescent="0.25">
      <c r="A133" s="303" t="str">
        <f>Start!$D$7</f>
        <v>Anyland</v>
      </c>
      <c r="B133" s="48" t="str">
        <f>_xlfn.IFNA(VLOOKUP(A133,list!B:C,2,FALSE),"")</f>
        <v>ANY</v>
      </c>
      <c r="C133" s="48"/>
      <c r="D133" s="127"/>
      <c r="E133" s="48" t="str">
        <f>_xlfn.IFNA(VLOOKUP(Table3[[#This Row],[Product]], ProductListTbl[], 3, 0), "")</f>
        <v/>
      </c>
      <c r="F133" s="303" t="str">
        <f>_xlfn.IFNA(VLOOKUP(D133,ProductListTbl[],5,0),"")</f>
        <v/>
      </c>
      <c r="G133" s="303" t="str">
        <f>_xlfn.IFNA(VLOOKUP(D133,ProductListTbl[],6,0),"")</f>
        <v/>
      </c>
      <c r="H133" s="130" t="str">
        <f>_xlfn.IFNA(VLOOKUP(D133,ProductListTbl[],7,0),"")</f>
        <v/>
      </c>
      <c r="I133" s="130" t="str">
        <f>_xlfn.IFNA(VLOOKUP(D133,ProductListTbl[],8,0),"")</f>
        <v/>
      </c>
      <c r="J133" s="127"/>
      <c r="K133" s="129"/>
      <c r="L133" s="128"/>
      <c r="M133" s="305" t="str">
        <f>IFERROR(Table3[[#This Row],[Quantity (doses)]]/Table3[[#This Row],[Doses per vial or syringe]],"")</f>
        <v/>
      </c>
      <c r="N133" s="127"/>
      <c r="O133" s="127"/>
      <c r="P133" s="381"/>
      <c r="Q133" s="129"/>
      <c r="R133" s="127"/>
      <c r="S133" s="127"/>
      <c r="T133" s="127"/>
      <c r="U133" s="127"/>
      <c r="V133" s="305" t="str">
        <f>_xlfn.IFNA(VLOOKUP(D133,ProductListTbl[],9,0),"")</f>
        <v/>
      </c>
      <c r="W133" s="305" t="str">
        <f>IFERROR(Table3[[#This Row],[Storage space per secondary packaging (cm3)]]*Table3[[#This Row],[Quantity  (vials or syringes)]]/1000,"")</f>
        <v/>
      </c>
      <c r="X133" s="305" t="str">
        <f>IFERROR(Table3[[#This Row],[Storage space per tertiary packaging (cm3)]]*Table3[[#This Row],[Quantity (doses)]]/1000,"")</f>
        <v/>
      </c>
      <c r="Y133" s="293" t="str">
        <f>IF(Table3[[#This Row],[Status]]="Ordered",(DATE(YEAR(P133),MONTH(P133),1)),IF(Table3[[#This Row],[Status]]="Received",(DATE(YEAR(Q133),MONTH(Q133),1)),""))</f>
        <v/>
      </c>
      <c r="Z133" s="304" t="str">
        <f t="shared" ref="Z133:Z196" si="8">IFERROR(IF(K133&gt;0,((K133-Q133)/(365.25/12)),""),"")</f>
        <v/>
      </c>
      <c r="AA133" s="48" t="str">
        <f t="shared" ref="AA133:AA196" si="9">IFERROR(IF(K133="","",MONTH(EOMONTH(K133,(DAY(K133)&gt;15)+0))),"")</f>
        <v/>
      </c>
      <c r="AB133" s="48" t="str">
        <f t="shared" ref="AB133:AB196" si="10">IFERROR(IF(K133="","",IF(AND(MONTH(K133)=12,AA133=1),YEAR(K133)+1,YEAR(K133))),"")</f>
        <v/>
      </c>
      <c r="AC133" s="292" t="str">
        <f t="shared" ref="AC133:AC196" si="11">IF(OR(AA133="",AB133=""),"",DATE(AB133,AA133,1))</f>
        <v/>
      </c>
      <c r="AD133" s="48" t="str">
        <f>IF(Table3[[#This Row],[Actual Arrival date]]&gt;0,IF(Table3[[#This Row],[Expected arrival date]]&gt;0,Table3[[#This Row],[Actual Arrival date]]-Table3[[#This Row],[Expected arrival date]],""),"")</f>
        <v/>
      </c>
    </row>
    <row r="134" spans="1:30" x14ac:dyDescent="0.25">
      <c r="A134" s="303" t="str">
        <f>Start!$D$7</f>
        <v>Anyland</v>
      </c>
      <c r="B134" s="48" t="str">
        <f>_xlfn.IFNA(VLOOKUP(A134,list!B:C,2,FALSE),"")</f>
        <v>ANY</v>
      </c>
      <c r="C134" s="48"/>
      <c r="D134" s="127"/>
      <c r="E134" s="48" t="str">
        <f>_xlfn.IFNA(VLOOKUP(Table3[[#This Row],[Product]], ProductListTbl[], 3, 0), "")</f>
        <v/>
      </c>
      <c r="F134" s="303" t="str">
        <f>_xlfn.IFNA(VLOOKUP(D134,ProductListTbl[],5,0),"")</f>
        <v/>
      </c>
      <c r="G134" s="303" t="str">
        <f>_xlfn.IFNA(VLOOKUP(D134,ProductListTbl[],6,0),"")</f>
        <v/>
      </c>
      <c r="H134" s="130" t="str">
        <f>_xlfn.IFNA(VLOOKUP(D134,ProductListTbl[],7,0),"")</f>
        <v/>
      </c>
      <c r="I134" s="130" t="str">
        <f>_xlfn.IFNA(VLOOKUP(D134,ProductListTbl[],8,0),"")</f>
        <v/>
      </c>
      <c r="J134" s="127"/>
      <c r="K134" s="129"/>
      <c r="L134" s="128"/>
      <c r="M134" s="305" t="str">
        <f>IFERROR(Table3[[#This Row],[Quantity (doses)]]/Table3[[#This Row],[Doses per vial or syringe]],"")</f>
        <v/>
      </c>
      <c r="N134" s="127"/>
      <c r="O134" s="127"/>
      <c r="P134" s="381"/>
      <c r="Q134" s="129"/>
      <c r="R134" s="127"/>
      <c r="S134" s="127"/>
      <c r="T134" s="127"/>
      <c r="U134" s="127"/>
      <c r="V134" s="305" t="str">
        <f>_xlfn.IFNA(VLOOKUP(D134,ProductListTbl[],9,0),"")</f>
        <v/>
      </c>
      <c r="W134" s="305" t="str">
        <f>IFERROR(Table3[[#This Row],[Storage space per secondary packaging (cm3)]]*Table3[[#This Row],[Quantity  (vials or syringes)]]/1000,"")</f>
        <v/>
      </c>
      <c r="X134" s="305" t="str">
        <f>IFERROR(Table3[[#This Row],[Storage space per tertiary packaging (cm3)]]*Table3[[#This Row],[Quantity (doses)]]/1000,"")</f>
        <v/>
      </c>
      <c r="Y134" s="293" t="str">
        <f>IF(Table3[[#This Row],[Status]]="Ordered",(DATE(YEAR(P134),MONTH(P134),1)),IF(Table3[[#This Row],[Status]]="Received",(DATE(YEAR(Q134),MONTH(Q134),1)),""))</f>
        <v/>
      </c>
      <c r="Z134" s="304" t="str">
        <f t="shared" si="8"/>
        <v/>
      </c>
      <c r="AA134" s="48" t="str">
        <f t="shared" si="9"/>
        <v/>
      </c>
      <c r="AB134" s="48" t="str">
        <f t="shared" si="10"/>
        <v/>
      </c>
      <c r="AC134" s="292" t="str">
        <f t="shared" si="11"/>
        <v/>
      </c>
      <c r="AD134" s="48" t="str">
        <f>IF(Table3[[#This Row],[Actual Arrival date]]&gt;0,IF(Table3[[#This Row],[Expected arrival date]]&gt;0,Table3[[#This Row],[Actual Arrival date]]-Table3[[#This Row],[Expected arrival date]],""),"")</f>
        <v/>
      </c>
    </row>
    <row r="135" spans="1:30" x14ac:dyDescent="0.25">
      <c r="A135" s="303" t="str">
        <f>Start!$D$7</f>
        <v>Anyland</v>
      </c>
      <c r="B135" s="48" t="str">
        <f>_xlfn.IFNA(VLOOKUP(A135,list!B:C,2,FALSE),"")</f>
        <v>ANY</v>
      </c>
      <c r="C135" s="48"/>
      <c r="D135" s="127"/>
      <c r="E135" s="48" t="str">
        <f>_xlfn.IFNA(VLOOKUP(Table3[[#This Row],[Product]], ProductListTbl[], 3, 0), "")</f>
        <v/>
      </c>
      <c r="F135" s="303" t="str">
        <f>_xlfn.IFNA(VLOOKUP(D135,ProductListTbl[],5,0),"")</f>
        <v/>
      </c>
      <c r="G135" s="303" t="str">
        <f>_xlfn.IFNA(VLOOKUP(D135,ProductListTbl[],6,0),"")</f>
        <v/>
      </c>
      <c r="H135" s="130" t="str">
        <f>_xlfn.IFNA(VLOOKUP(D135,ProductListTbl[],7,0),"")</f>
        <v/>
      </c>
      <c r="I135" s="130" t="str">
        <f>_xlfn.IFNA(VLOOKUP(D135,ProductListTbl[],8,0),"")</f>
        <v/>
      </c>
      <c r="J135" s="127"/>
      <c r="K135" s="129"/>
      <c r="L135" s="128"/>
      <c r="M135" s="305" t="str">
        <f>IFERROR(Table3[[#This Row],[Quantity (doses)]]/Table3[[#This Row],[Doses per vial or syringe]],"")</f>
        <v/>
      </c>
      <c r="N135" s="127"/>
      <c r="O135" s="127"/>
      <c r="P135" s="381"/>
      <c r="Q135" s="129"/>
      <c r="R135" s="127"/>
      <c r="S135" s="127"/>
      <c r="T135" s="127"/>
      <c r="U135" s="127"/>
      <c r="V135" s="305" t="str">
        <f>_xlfn.IFNA(VLOOKUP(D135,ProductListTbl[],9,0),"")</f>
        <v/>
      </c>
      <c r="W135" s="305" t="str">
        <f>IFERROR(Table3[[#This Row],[Storage space per secondary packaging (cm3)]]*Table3[[#This Row],[Quantity  (vials or syringes)]]/1000,"")</f>
        <v/>
      </c>
      <c r="X135" s="305" t="str">
        <f>IFERROR(Table3[[#This Row],[Storage space per tertiary packaging (cm3)]]*Table3[[#This Row],[Quantity (doses)]]/1000,"")</f>
        <v/>
      </c>
      <c r="Y135" s="293" t="str">
        <f>IF(Table3[[#This Row],[Status]]="Ordered",(DATE(YEAR(P135),MONTH(P135),1)),IF(Table3[[#This Row],[Status]]="Received",(DATE(YEAR(Q135),MONTH(Q135),1)),""))</f>
        <v/>
      </c>
      <c r="Z135" s="304" t="str">
        <f t="shared" si="8"/>
        <v/>
      </c>
      <c r="AA135" s="48" t="str">
        <f t="shared" si="9"/>
        <v/>
      </c>
      <c r="AB135" s="48" t="str">
        <f t="shared" si="10"/>
        <v/>
      </c>
      <c r="AC135" s="292" t="str">
        <f t="shared" si="11"/>
        <v/>
      </c>
      <c r="AD135" s="48" t="str">
        <f>IF(Table3[[#This Row],[Actual Arrival date]]&gt;0,IF(Table3[[#This Row],[Expected arrival date]]&gt;0,Table3[[#This Row],[Actual Arrival date]]-Table3[[#This Row],[Expected arrival date]],""),"")</f>
        <v/>
      </c>
    </row>
    <row r="136" spans="1:30" x14ac:dyDescent="0.25">
      <c r="A136" s="303" t="str">
        <f>Start!$D$7</f>
        <v>Anyland</v>
      </c>
      <c r="B136" s="48" t="str">
        <f>_xlfn.IFNA(VLOOKUP(A136,list!B:C,2,FALSE),"")</f>
        <v>ANY</v>
      </c>
      <c r="C136" s="48"/>
      <c r="D136" s="127"/>
      <c r="E136" s="48" t="str">
        <f>_xlfn.IFNA(VLOOKUP(Table3[[#This Row],[Product]], ProductListTbl[], 3, 0), "")</f>
        <v/>
      </c>
      <c r="F136" s="303" t="str">
        <f>_xlfn.IFNA(VLOOKUP(D136,ProductListTbl[],5,0),"")</f>
        <v/>
      </c>
      <c r="G136" s="303" t="str">
        <f>_xlfn.IFNA(VLOOKUP(D136,ProductListTbl[],6,0),"")</f>
        <v/>
      </c>
      <c r="H136" s="130" t="str">
        <f>_xlfn.IFNA(VLOOKUP(D136,ProductListTbl[],7,0),"")</f>
        <v/>
      </c>
      <c r="I136" s="130" t="str">
        <f>_xlfn.IFNA(VLOOKUP(D136,ProductListTbl[],8,0),"")</f>
        <v/>
      </c>
      <c r="J136" s="127"/>
      <c r="K136" s="129"/>
      <c r="L136" s="128"/>
      <c r="M136" s="305" t="str">
        <f>IFERROR(Table3[[#This Row],[Quantity (doses)]]/Table3[[#This Row],[Doses per vial or syringe]],"")</f>
        <v/>
      </c>
      <c r="N136" s="127"/>
      <c r="O136" s="127"/>
      <c r="P136" s="381"/>
      <c r="Q136" s="129"/>
      <c r="R136" s="127"/>
      <c r="S136" s="127"/>
      <c r="T136" s="127"/>
      <c r="U136" s="127"/>
      <c r="V136" s="305" t="str">
        <f>_xlfn.IFNA(VLOOKUP(D136,ProductListTbl[],9,0),"")</f>
        <v/>
      </c>
      <c r="W136" s="305" t="str">
        <f>IFERROR(Table3[[#This Row],[Storage space per secondary packaging (cm3)]]*Table3[[#This Row],[Quantity  (vials or syringes)]]/1000,"")</f>
        <v/>
      </c>
      <c r="X136" s="305" t="str">
        <f>IFERROR(Table3[[#This Row],[Storage space per tertiary packaging (cm3)]]*Table3[[#This Row],[Quantity (doses)]]/1000,"")</f>
        <v/>
      </c>
      <c r="Y136" s="293" t="str">
        <f>IF(Table3[[#This Row],[Status]]="Ordered",(DATE(YEAR(P136),MONTH(P136),1)),IF(Table3[[#This Row],[Status]]="Received",(DATE(YEAR(Q136),MONTH(Q136),1)),""))</f>
        <v/>
      </c>
      <c r="Z136" s="304" t="str">
        <f t="shared" si="8"/>
        <v/>
      </c>
      <c r="AA136" s="48" t="str">
        <f t="shared" si="9"/>
        <v/>
      </c>
      <c r="AB136" s="48" t="str">
        <f t="shared" si="10"/>
        <v/>
      </c>
      <c r="AC136" s="292" t="str">
        <f t="shared" si="11"/>
        <v/>
      </c>
      <c r="AD136" s="48" t="str">
        <f>IF(Table3[[#This Row],[Actual Arrival date]]&gt;0,IF(Table3[[#This Row],[Expected arrival date]]&gt;0,Table3[[#This Row],[Actual Arrival date]]-Table3[[#This Row],[Expected arrival date]],""),"")</f>
        <v/>
      </c>
    </row>
    <row r="137" spans="1:30" x14ac:dyDescent="0.25">
      <c r="A137" s="303" t="str">
        <f>Start!$D$7</f>
        <v>Anyland</v>
      </c>
      <c r="B137" s="48" t="str">
        <f>_xlfn.IFNA(VLOOKUP(A137,list!B:C,2,FALSE),"")</f>
        <v>ANY</v>
      </c>
      <c r="C137" s="48"/>
      <c r="D137" s="127"/>
      <c r="E137" s="48" t="str">
        <f>_xlfn.IFNA(VLOOKUP(Table3[[#This Row],[Product]], ProductListTbl[], 3, 0), "")</f>
        <v/>
      </c>
      <c r="F137" s="303" t="str">
        <f>_xlfn.IFNA(VLOOKUP(D137,ProductListTbl[],5,0),"")</f>
        <v/>
      </c>
      <c r="G137" s="303" t="str">
        <f>_xlfn.IFNA(VLOOKUP(D137,ProductListTbl[],6,0),"")</f>
        <v/>
      </c>
      <c r="H137" s="130" t="str">
        <f>_xlfn.IFNA(VLOOKUP(D137,ProductListTbl[],7,0),"")</f>
        <v/>
      </c>
      <c r="I137" s="130" t="str">
        <f>_xlfn.IFNA(VLOOKUP(D137,ProductListTbl[],8,0),"")</f>
        <v/>
      </c>
      <c r="J137" s="127"/>
      <c r="K137" s="129"/>
      <c r="L137" s="128"/>
      <c r="M137" s="305" t="str">
        <f>IFERROR(Table3[[#This Row],[Quantity (doses)]]/Table3[[#This Row],[Doses per vial or syringe]],"")</f>
        <v/>
      </c>
      <c r="N137" s="127"/>
      <c r="O137" s="127"/>
      <c r="P137" s="381"/>
      <c r="Q137" s="129"/>
      <c r="R137" s="127"/>
      <c r="S137" s="127"/>
      <c r="T137" s="127"/>
      <c r="U137" s="127"/>
      <c r="V137" s="305" t="str">
        <f>_xlfn.IFNA(VLOOKUP(D137,ProductListTbl[],9,0),"")</f>
        <v/>
      </c>
      <c r="W137" s="305" t="str">
        <f>IFERROR(Table3[[#This Row],[Storage space per secondary packaging (cm3)]]*Table3[[#This Row],[Quantity  (vials or syringes)]]/1000,"")</f>
        <v/>
      </c>
      <c r="X137" s="305" t="str">
        <f>IFERROR(Table3[[#This Row],[Storage space per tertiary packaging (cm3)]]*Table3[[#This Row],[Quantity (doses)]]/1000,"")</f>
        <v/>
      </c>
      <c r="Y137" s="293" t="str">
        <f>IF(Table3[[#This Row],[Status]]="Ordered",(DATE(YEAR(P137),MONTH(P137),1)),IF(Table3[[#This Row],[Status]]="Received",(DATE(YEAR(Q137),MONTH(Q137),1)),""))</f>
        <v/>
      </c>
      <c r="Z137" s="304" t="str">
        <f t="shared" si="8"/>
        <v/>
      </c>
      <c r="AA137" s="48" t="str">
        <f t="shared" si="9"/>
        <v/>
      </c>
      <c r="AB137" s="48" t="str">
        <f t="shared" si="10"/>
        <v/>
      </c>
      <c r="AC137" s="292" t="str">
        <f t="shared" si="11"/>
        <v/>
      </c>
      <c r="AD137" s="48" t="str">
        <f>IF(Table3[[#This Row],[Actual Arrival date]]&gt;0,IF(Table3[[#This Row],[Expected arrival date]]&gt;0,Table3[[#This Row],[Actual Arrival date]]-Table3[[#This Row],[Expected arrival date]],""),"")</f>
        <v/>
      </c>
    </row>
    <row r="138" spans="1:30" x14ac:dyDescent="0.25">
      <c r="A138" s="303" t="str">
        <f>Start!$D$7</f>
        <v>Anyland</v>
      </c>
      <c r="B138" s="48" t="str">
        <f>_xlfn.IFNA(VLOOKUP(A138,list!B:C,2,FALSE),"")</f>
        <v>ANY</v>
      </c>
      <c r="C138" s="48"/>
      <c r="D138" s="127"/>
      <c r="E138" s="48" t="str">
        <f>_xlfn.IFNA(VLOOKUP(Table3[[#This Row],[Product]], ProductListTbl[], 3, 0), "")</f>
        <v/>
      </c>
      <c r="F138" s="303" t="str">
        <f>_xlfn.IFNA(VLOOKUP(D138,ProductListTbl[],5,0),"")</f>
        <v/>
      </c>
      <c r="G138" s="303" t="str">
        <f>_xlfn.IFNA(VLOOKUP(D138,ProductListTbl[],6,0),"")</f>
        <v/>
      </c>
      <c r="H138" s="130" t="str">
        <f>_xlfn.IFNA(VLOOKUP(D138,ProductListTbl[],7,0),"")</f>
        <v/>
      </c>
      <c r="I138" s="130" t="str">
        <f>_xlfn.IFNA(VLOOKUP(D138,ProductListTbl[],8,0),"")</f>
        <v/>
      </c>
      <c r="J138" s="127"/>
      <c r="K138" s="129"/>
      <c r="L138" s="128"/>
      <c r="M138" s="305" t="str">
        <f>IFERROR(Table3[[#This Row],[Quantity (doses)]]/Table3[[#This Row],[Doses per vial or syringe]],"")</f>
        <v/>
      </c>
      <c r="N138" s="127"/>
      <c r="O138" s="127"/>
      <c r="P138" s="381"/>
      <c r="Q138" s="129"/>
      <c r="R138" s="127"/>
      <c r="S138" s="127"/>
      <c r="T138" s="127"/>
      <c r="U138" s="127"/>
      <c r="V138" s="305" t="str">
        <f>_xlfn.IFNA(VLOOKUP(D138,ProductListTbl[],9,0),"")</f>
        <v/>
      </c>
      <c r="W138" s="305" t="str">
        <f>IFERROR(Table3[[#This Row],[Storage space per secondary packaging (cm3)]]*Table3[[#This Row],[Quantity  (vials or syringes)]]/1000,"")</f>
        <v/>
      </c>
      <c r="X138" s="305" t="str">
        <f>IFERROR(Table3[[#This Row],[Storage space per tertiary packaging (cm3)]]*Table3[[#This Row],[Quantity (doses)]]/1000,"")</f>
        <v/>
      </c>
      <c r="Y138" s="293" t="str">
        <f>IF(Table3[[#This Row],[Status]]="Ordered",(DATE(YEAR(P138),MONTH(P138),1)),IF(Table3[[#This Row],[Status]]="Received",(DATE(YEAR(Q138),MONTH(Q138),1)),""))</f>
        <v/>
      </c>
      <c r="Z138" s="304" t="str">
        <f t="shared" si="8"/>
        <v/>
      </c>
      <c r="AA138" s="48" t="str">
        <f t="shared" si="9"/>
        <v/>
      </c>
      <c r="AB138" s="48" t="str">
        <f t="shared" si="10"/>
        <v/>
      </c>
      <c r="AC138" s="292" t="str">
        <f t="shared" si="11"/>
        <v/>
      </c>
      <c r="AD138" s="48" t="str">
        <f>IF(Table3[[#This Row],[Actual Arrival date]]&gt;0,IF(Table3[[#This Row],[Expected arrival date]]&gt;0,Table3[[#This Row],[Actual Arrival date]]-Table3[[#This Row],[Expected arrival date]],""),"")</f>
        <v/>
      </c>
    </row>
    <row r="139" spans="1:30" x14ac:dyDescent="0.25">
      <c r="A139" s="303" t="str">
        <f>Start!$D$7</f>
        <v>Anyland</v>
      </c>
      <c r="B139" s="48" t="str">
        <f>_xlfn.IFNA(VLOOKUP(A139,list!B:C,2,FALSE),"")</f>
        <v>ANY</v>
      </c>
      <c r="C139" s="48"/>
      <c r="D139" s="127"/>
      <c r="E139" s="48" t="str">
        <f>_xlfn.IFNA(VLOOKUP(Table3[[#This Row],[Product]], ProductListTbl[], 3, 0), "")</f>
        <v/>
      </c>
      <c r="F139" s="303" t="str">
        <f>_xlfn.IFNA(VLOOKUP(D139,ProductListTbl[],5,0),"")</f>
        <v/>
      </c>
      <c r="G139" s="303" t="str">
        <f>_xlfn.IFNA(VLOOKUP(D139,ProductListTbl[],6,0),"")</f>
        <v/>
      </c>
      <c r="H139" s="130" t="str">
        <f>_xlfn.IFNA(VLOOKUP(D139,ProductListTbl[],7,0),"")</f>
        <v/>
      </c>
      <c r="I139" s="130" t="str">
        <f>_xlfn.IFNA(VLOOKUP(D139,ProductListTbl[],8,0),"")</f>
        <v/>
      </c>
      <c r="J139" s="127"/>
      <c r="K139" s="129"/>
      <c r="L139" s="128"/>
      <c r="M139" s="305" t="str">
        <f>IFERROR(Table3[[#This Row],[Quantity (doses)]]/Table3[[#This Row],[Doses per vial or syringe]],"")</f>
        <v/>
      </c>
      <c r="N139" s="127"/>
      <c r="O139" s="127"/>
      <c r="P139" s="381"/>
      <c r="Q139" s="129"/>
      <c r="R139" s="127"/>
      <c r="S139" s="127"/>
      <c r="T139" s="127"/>
      <c r="U139" s="127"/>
      <c r="V139" s="305" t="str">
        <f>_xlfn.IFNA(VLOOKUP(D139,ProductListTbl[],9,0),"")</f>
        <v/>
      </c>
      <c r="W139" s="305" t="str">
        <f>IFERROR(Table3[[#This Row],[Storage space per secondary packaging (cm3)]]*Table3[[#This Row],[Quantity  (vials or syringes)]]/1000,"")</f>
        <v/>
      </c>
      <c r="X139" s="305" t="str">
        <f>IFERROR(Table3[[#This Row],[Storage space per tertiary packaging (cm3)]]*Table3[[#This Row],[Quantity (doses)]]/1000,"")</f>
        <v/>
      </c>
      <c r="Y139" s="293" t="str">
        <f>IF(Table3[[#This Row],[Status]]="Ordered",(DATE(YEAR(P139),MONTH(P139),1)),IF(Table3[[#This Row],[Status]]="Received",(DATE(YEAR(Q139),MONTH(Q139),1)),""))</f>
        <v/>
      </c>
      <c r="Z139" s="304" t="str">
        <f t="shared" si="8"/>
        <v/>
      </c>
      <c r="AA139" s="48" t="str">
        <f t="shared" si="9"/>
        <v/>
      </c>
      <c r="AB139" s="48" t="str">
        <f t="shared" si="10"/>
        <v/>
      </c>
      <c r="AC139" s="292" t="str">
        <f t="shared" si="11"/>
        <v/>
      </c>
      <c r="AD139" s="48" t="str">
        <f>IF(Table3[[#This Row],[Actual Arrival date]]&gt;0,IF(Table3[[#This Row],[Expected arrival date]]&gt;0,Table3[[#This Row],[Actual Arrival date]]-Table3[[#This Row],[Expected arrival date]],""),"")</f>
        <v/>
      </c>
    </row>
    <row r="140" spans="1:30" x14ac:dyDescent="0.25">
      <c r="A140" s="303" t="str">
        <f>Start!$D$7</f>
        <v>Anyland</v>
      </c>
      <c r="B140" s="48" t="str">
        <f>_xlfn.IFNA(VLOOKUP(A140,list!B:C,2,FALSE),"")</f>
        <v>ANY</v>
      </c>
      <c r="C140" s="48"/>
      <c r="D140" s="127"/>
      <c r="E140" s="48" t="str">
        <f>_xlfn.IFNA(VLOOKUP(Table3[[#This Row],[Product]], ProductListTbl[], 3, 0), "")</f>
        <v/>
      </c>
      <c r="F140" s="303" t="str">
        <f>_xlfn.IFNA(VLOOKUP(D140,ProductListTbl[],5,0),"")</f>
        <v/>
      </c>
      <c r="G140" s="303" t="str">
        <f>_xlfn.IFNA(VLOOKUP(D140,ProductListTbl[],6,0),"")</f>
        <v/>
      </c>
      <c r="H140" s="130" t="str">
        <f>_xlfn.IFNA(VLOOKUP(D140,ProductListTbl[],7,0),"")</f>
        <v/>
      </c>
      <c r="I140" s="130" t="str">
        <f>_xlfn.IFNA(VLOOKUP(D140,ProductListTbl[],8,0),"")</f>
        <v/>
      </c>
      <c r="J140" s="127"/>
      <c r="K140" s="129"/>
      <c r="L140" s="128"/>
      <c r="M140" s="305" t="str">
        <f>IFERROR(Table3[[#This Row],[Quantity (doses)]]/Table3[[#This Row],[Doses per vial or syringe]],"")</f>
        <v/>
      </c>
      <c r="N140" s="127"/>
      <c r="O140" s="127"/>
      <c r="P140" s="381"/>
      <c r="Q140" s="129"/>
      <c r="R140" s="127"/>
      <c r="S140" s="127"/>
      <c r="T140" s="127"/>
      <c r="U140" s="127"/>
      <c r="V140" s="305" t="str">
        <f>_xlfn.IFNA(VLOOKUP(D140,ProductListTbl[],9,0),"")</f>
        <v/>
      </c>
      <c r="W140" s="305" t="str">
        <f>IFERROR(Table3[[#This Row],[Storage space per secondary packaging (cm3)]]*Table3[[#This Row],[Quantity  (vials or syringes)]]/1000,"")</f>
        <v/>
      </c>
      <c r="X140" s="305" t="str">
        <f>IFERROR(Table3[[#This Row],[Storage space per tertiary packaging (cm3)]]*Table3[[#This Row],[Quantity (doses)]]/1000,"")</f>
        <v/>
      </c>
      <c r="Y140" s="293" t="str">
        <f>IF(Table3[[#This Row],[Status]]="Ordered",(DATE(YEAR(P140),MONTH(P140),1)),IF(Table3[[#This Row],[Status]]="Received",(DATE(YEAR(Q140),MONTH(Q140),1)),""))</f>
        <v/>
      </c>
      <c r="Z140" s="304" t="str">
        <f t="shared" si="8"/>
        <v/>
      </c>
      <c r="AA140" s="48" t="str">
        <f t="shared" si="9"/>
        <v/>
      </c>
      <c r="AB140" s="48" t="str">
        <f t="shared" si="10"/>
        <v/>
      </c>
      <c r="AC140" s="292" t="str">
        <f t="shared" si="11"/>
        <v/>
      </c>
      <c r="AD140" s="48" t="str">
        <f>IF(Table3[[#This Row],[Actual Arrival date]]&gt;0,IF(Table3[[#This Row],[Expected arrival date]]&gt;0,Table3[[#This Row],[Actual Arrival date]]-Table3[[#This Row],[Expected arrival date]],""),"")</f>
        <v/>
      </c>
    </row>
    <row r="141" spans="1:30" x14ac:dyDescent="0.25">
      <c r="A141" s="303" t="str">
        <f>Start!$D$7</f>
        <v>Anyland</v>
      </c>
      <c r="B141" s="48" t="str">
        <f>_xlfn.IFNA(VLOOKUP(A141,list!B:C,2,FALSE),"")</f>
        <v>ANY</v>
      </c>
      <c r="C141" s="48"/>
      <c r="D141" s="127"/>
      <c r="E141" s="48" t="str">
        <f>_xlfn.IFNA(VLOOKUP(Table3[[#This Row],[Product]], ProductListTbl[], 3, 0), "")</f>
        <v/>
      </c>
      <c r="F141" s="303" t="str">
        <f>_xlfn.IFNA(VLOOKUP(D141,ProductListTbl[],5,0),"")</f>
        <v/>
      </c>
      <c r="G141" s="303" t="str">
        <f>_xlfn.IFNA(VLOOKUP(D141,ProductListTbl[],6,0),"")</f>
        <v/>
      </c>
      <c r="H141" s="130" t="str">
        <f>_xlfn.IFNA(VLOOKUP(D141,ProductListTbl[],7,0),"")</f>
        <v/>
      </c>
      <c r="I141" s="130" t="str">
        <f>_xlfn.IFNA(VLOOKUP(D141,ProductListTbl[],8,0),"")</f>
        <v/>
      </c>
      <c r="J141" s="127"/>
      <c r="K141" s="129"/>
      <c r="L141" s="128"/>
      <c r="M141" s="305" t="str">
        <f>IFERROR(Table3[[#This Row],[Quantity (doses)]]/Table3[[#This Row],[Doses per vial or syringe]],"")</f>
        <v/>
      </c>
      <c r="N141" s="127"/>
      <c r="O141" s="127"/>
      <c r="P141" s="381"/>
      <c r="Q141" s="129"/>
      <c r="R141" s="127"/>
      <c r="S141" s="127"/>
      <c r="T141" s="127"/>
      <c r="U141" s="127"/>
      <c r="V141" s="305" t="str">
        <f>_xlfn.IFNA(VLOOKUP(D141,ProductListTbl[],9,0),"")</f>
        <v/>
      </c>
      <c r="W141" s="305" t="str">
        <f>IFERROR(Table3[[#This Row],[Storage space per secondary packaging (cm3)]]*Table3[[#This Row],[Quantity  (vials or syringes)]]/1000,"")</f>
        <v/>
      </c>
      <c r="X141" s="305" t="str">
        <f>IFERROR(Table3[[#This Row],[Storage space per tertiary packaging (cm3)]]*Table3[[#This Row],[Quantity (doses)]]/1000,"")</f>
        <v/>
      </c>
      <c r="Y141" s="293" t="str">
        <f>IF(Table3[[#This Row],[Status]]="Ordered",(DATE(YEAR(P141),MONTH(P141),1)),IF(Table3[[#This Row],[Status]]="Received",(DATE(YEAR(Q141),MONTH(Q141),1)),""))</f>
        <v/>
      </c>
      <c r="Z141" s="304" t="str">
        <f t="shared" si="8"/>
        <v/>
      </c>
      <c r="AA141" s="48" t="str">
        <f t="shared" si="9"/>
        <v/>
      </c>
      <c r="AB141" s="48" t="str">
        <f t="shared" si="10"/>
        <v/>
      </c>
      <c r="AC141" s="292" t="str">
        <f t="shared" si="11"/>
        <v/>
      </c>
      <c r="AD141" s="48" t="str">
        <f>IF(Table3[[#This Row],[Actual Arrival date]]&gt;0,IF(Table3[[#This Row],[Expected arrival date]]&gt;0,Table3[[#This Row],[Actual Arrival date]]-Table3[[#This Row],[Expected arrival date]],""),"")</f>
        <v/>
      </c>
    </row>
    <row r="142" spans="1:30" x14ac:dyDescent="0.25">
      <c r="A142" s="303" t="str">
        <f>Start!$D$7</f>
        <v>Anyland</v>
      </c>
      <c r="B142" s="48" t="str">
        <f>_xlfn.IFNA(VLOOKUP(A142,list!B:C,2,FALSE),"")</f>
        <v>ANY</v>
      </c>
      <c r="C142" s="48"/>
      <c r="D142" s="127"/>
      <c r="E142" s="48" t="str">
        <f>_xlfn.IFNA(VLOOKUP(Table3[[#This Row],[Product]], ProductListTbl[], 3, 0), "")</f>
        <v/>
      </c>
      <c r="F142" s="303" t="str">
        <f>_xlfn.IFNA(VLOOKUP(D142,ProductListTbl[],5,0),"")</f>
        <v/>
      </c>
      <c r="G142" s="303" t="str">
        <f>_xlfn.IFNA(VLOOKUP(D142,ProductListTbl[],6,0),"")</f>
        <v/>
      </c>
      <c r="H142" s="130" t="str">
        <f>_xlfn.IFNA(VLOOKUP(D142,ProductListTbl[],7,0),"")</f>
        <v/>
      </c>
      <c r="I142" s="130" t="str">
        <f>_xlfn.IFNA(VLOOKUP(D142,ProductListTbl[],8,0),"")</f>
        <v/>
      </c>
      <c r="J142" s="127"/>
      <c r="K142" s="129"/>
      <c r="L142" s="128"/>
      <c r="M142" s="305" t="str">
        <f>IFERROR(Table3[[#This Row],[Quantity (doses)]]/Table3[[#This Row],[Doses per vial or syringe]],"")</f>
        <v/>
      </c>
      <c r="N142" s="127"/>
      <c r="O142" s="127"/>
      <c r="P142" s="381"/>
      <c r="Q142" s="129"/>
      <c r="R142" s="127"/>
      <c r="S142" s="127"/>
      <c r="T142" s="127"/>
      <c r="U142" s="127"/>
      <c r="V142" s="305" t="str">
        <f>_xlfn.IFNA(VLOOKUP(D142,ProductListTbl[],9,0),"")</f>
        <v/>
      </c>
      <c r="W142" s="305" t="str">
        <f>IFERROR(Table3[[#This Row],[Storage space per secondary packaging (cm3)]]*Table3[[#This Row],[Quantity  (vials or syringes)]]/1000,"")</f>
        <v/>
      </c>
      <c r="X142" s="305" t="str">
        <f>IFERROR(Table3[[#This Row],[Storage space per tertiary packaging (cm3)]]*Table3[[#This Row],[Quantity (doses)]]/1000,"")</f>
        <v/>
      </c>
      <c r="Y142" s="293" t="str">
        <f>IF(Table3[[#This Row],[Status]]="Ordered",(DATE(YEAR(P142),MONTH(P142),1)),IF(Table3[[#This Row],[Status]]="Received",(DATE(YEAR(Q142),MONTH(Q142),1)),""))</f>
        <v/>
      </c>
      <c r="Z142" s="304" t="str">
        <f t="shared" si="8"/>
        <v/>
      </c>
      <c r="AA142" s="48" t="str">
        <f t="shared" si="9"/>
        <v/>
      </c>
      <c r="AB142" s="48" t="str">
        <f t="shared" si="10"/>
        <v/>
      </c>
      <c r="AC142" s="292" t="str">
        <f t="shared" si="11"/>
        <v/>
      </c>
      <c r="AD142" s="48" t="str">
        <f>IF(Table3[[#This Row],[Actual Arrival date]]&gt;0,IF(Table3[[#This Row],[Expected arrival date]]&gt;0,Table3[[#This Row],[Actual Arrival date]]-Table3[[#This Row],[Expected arrival date]],""),"")</f>
        <v/>
      </c>
    </row>
    <row r="143" spans="1:30" x14ac:dyDescent="0.25">
      <c r="A143" s="303" t="str">
        <f>Start!$D$7</f>
        <v>Anyland</v>
      </c>
      <c r="B143" s="48" t="str">
        <f>_xlfn.IFNA(VLOOKUP(A143,list!B:C,2,FALSE),"")</f>
        <v>ANY</v>
      </c>
      <c r="C143" s="48"/>
      <c r="D143" s="127"/>
      <c r="E143" s="48" t="str">
        <f>_xlfn.IFNA(VLOOKUP(Table3[[#This Row],[Product]], ProductListTbl[], 3, 0), "")</f>
        <v/>
      </c>
      <c r="F143" s="303" t="str">
        <f>_xlfn.IFNA(VLOOKUP(D143,ProductListTbl[],5,0),"")</f>
        <v/>
      </c>
      <c r="G143" s="303" t="str">
        <f>_xlfn.IFNA(VLOOKUP(D143,ProductListTbl[],6,0),"")</f>
        <v/>
      </c>
      <c r="H143" s="130" t="str">
        <f>_xlfn.IFNA(VLOOKUP(D143,ProductListTbl[],7,0),"")</f>
        <v/>
      </c>
      <c r="I143" s="130" t="str">
        <f>_xlfn.IFNA(VLOOKUP(D143,ProductListTbl[],8,0),"")</f>
        <v/>
      </c>
      <c r="J143" s="127"/>
      <c r="K143" s="129"/>
      <c r="L143" s="128"/>
      <c r="M143" s="305" t="str">
        <f>IFERROR(Table3[[#This Row],[Quantity (doses)]]/Table3[[#This Row],[Doses per vial or syringe]],"")</f>
        <v/>
      </c>
      <c r="N143" s="127"/>
      <c r="O143" s="127"/>
      <c r="P143" s="381"/>
      <c r="Q143" s="129"/>
      <c r="R143" s="127"/>
      <c r="S143" s="127"/>
      <c r="T143" s="127"/>
      <c r="U143" s="127"/>
      <c r="V143" s="305" t="str">
        <f>_xlfn.IFNA(VLOOKUP(D143,ProductListTbl[],9,0),"")</f>
        <v/>
      </c>
      <c r="W143" s="305" t="str">
        <f>IFERROR(Table3[[#This Row],[Storage space per secondary packaging (cm3)]]*Table3[[#This Row],[Quantity  (vials or syringes)]]/1000,"")</f>
        <v/>
      </c>
      <c r="X143" s="305" t="str">
        <f>IFERROR(Table3[[#This Row],[Storage space per tertiary packaging (cm3)]]*Table3[[#This Row],[Quantity (doses)]]/1000,"")</f>
        <v/>
      </c>
      <c r="Y143" s="293" t="str">
        <f>IF(Table3[[#This Row],[Status]]="Ordered",(DATE(YEAR(P143),MONTH(P143),1)),IF(Table3[[#This Row],[Status]]="Received",(DATE(YEAR(Q143),MONTH(Q143),1)),""))</f>
        <v/>
      </c>
      <c r="Z143" s="304" t="str">
        <f t="shared" si="8"/>
        <v/>
      </c>
      <c r="AA143" s="48" t="str">
        <f t="shared" si="9"/>
        <v/>
      </c>
      <c r="AB143" s="48" t="str">
        <f t="shared" si="10"/>
        <v/>
      </c>
      <c r="AC143" s="292" t="str">
        <f t="shared" si="11"/>
        <v/>
      </c>
      <c r="AD143" s="48" t="str">
        <f>IF(Table3[[#This Row],[Actual Arrival date]]&gt;0,IF(Table3[[#This Row],[Expected arrival date]]&gt;0,Table3[[#This Row],[Actual Arrival date]]-Table3[[#This Row],[Expected arrival date]],""),"")</f>
        <v/>
      </c>
    </row>
    <row r="144" spans="1:30" x14ac:dyDescent="0.25">
      <c r="A144" s="303" t="str">
        <f>Start!$D$7</f>
        <v>Anyland</v>
      </c>
      <c r="B144" s="48" t="str">
        <f>_xlfn.IFNA(VLOOKUP(A144,list!B:C,2,FALSE),"")</f>
        <v>ANY</v>
      </c>
      <c r="C144" s="48"/>
      <c r="D144" s="127"/>
      <c r="E144" s="48" t="str">
        <f>_xlfn.IFNA(VLOOKUP(Table3[[#This Row],[Product]], ProductListTbl[], 3, 0), "")</f>
        <v/>
      </c>
      <c r="F144" s="303" t="str">
        <f>_xlfn.IFNA(VLOOKUP(D144,ProductListTbl[],5,0),"")</f>
        <v/>
      </c>
      <c r="G144" s="303" t="str">
        <f>_xlfn.IFNA(VLOOKUP(D144,ProductListTbl[],6,0),"")</f>
        <v/>
      </c>
      <c r="H144" s="130" t="str">
        <f>_xlfn.IFNA(VLOOKUP(D144,ProductListTbl[],7,0),"")</f>
        <v/>
      </c>
      <c r="I144" s="130" t="str">
        <f>_xlfn.IFNA(VLOOKUP(D144,ProductListTbl[],8,0),"")</f>
        <v/>
      </c>
      <c r="J144" s="127"/>
      <c r="K144" s="129"/>
      <c r="L144" s="128"/>
      <c r="M144" s="305" t="str">
        <f>IFERROR(Table3[[#This Row],[Quantity (doses)]]/Table3[[#This Row],[Doses per vial or syringe]],"")</f>
        <v/>
      </c>
      <c r="N144" s="127"/>
      <c r="O144" s="127"/>
      <c r="P144" s="381"/>
      <c r="Q144" s="129"/>
      <c r="R144" s="127"/>
      <c r="S144" s="127"/>
      <c r="T144" s="127"/>
      <c r="U144" s="127"/>
      <c r="V144" s="305" t="str">
        <f>_xlfn.IFNA(VLOOKUP(D144,ProductListTbl[],9,0),"")</f>
        <v/>
      </c>
      <c r="W144" s="305" t="str">
        <f>IFERROR(Table3[[#This Row],[Storage space per secondary packaging (cm3)]]*Table3[[#This Row],[Quantity  (vials or syringes)]]/1000,"")</f>
        <v/>
      </c>
      <c r="X144" s="305" t="str">
        <f>IFERROR(Table3[[#This Row],[Storage space per tertiary packaging (cm3)]]*Table3[[#This Row],[Quantity (doses)]]/1000,"")</f>
        <v/>
      </c>
      <c r="Y144" s="293" t="str">
        <f>IF(Table3[[#This Row],[Status]]="Ordered",(DATE(YEAR(P144),MONTH(P144),1)),IF(Table3[[#This Row],[Status]]="Received",(DATE(YEAR(Q144),MONTH(Q144),1)),""))</f>
        <v/>
      </c>
      <c r="Z144" s="304" t="str">
        <f t="shared" si="8"/>
        <v/>
      </c>
      <c r="AA144" s="48" t="str">
        <f t="shared" si="9"/>
        <v/>
      </c>
      <c r="AB144" s="48" t="str">
        <f t="shared" si="10"/>
        <v/>
      </c>
      <c r="AC144" s="292" t="str">
        <f t="shared" si="11"/>
        <v/>
      </c>
      <c r="AD144" s="48" t="str">
        <f>IF(Table3[[#This Row],[Actual Arrival date]]&gt;0,IF(Table3[[#This Row],[Expected arrival date]]&gt;0,Table3[[#This Row],[Actual Arrival date]]-Table3[[#This Row],[Expected arrival date]],""),"")</f>
        <v/>
      </c>
    </row>
    <row r="145" spans="1:30" x14ac:dyDescent="0.25">
      <c r="A145" s="303" t="str">
        <f>Start!$D$7</f>
        <v>Anyland</v>
      </c>
      <c r="B145" s="48" t="str">
        <f>_xlfn.IFNA(VLOOKUP(A145,list!B:C,2,FALSE),"")</f>
        <v>ANY</v>
      </c>
      <c r="C145" s="48"/>
      <c r="D145" s="127"/>
      <c r="E145" s="48" t="str">
        <f>_xlfn.IFNA(VLOOKUP(Table3[[#This Row],[Product]], ProductListTbl[], 3, 0), "")</f>
        <v/>
      </c>
      <c r="F145" s="303" t="str">
        <f>_xlfn.IFNA(VLOOKUP(D145,ProductListTbl[],5,0),"")</f>
        <v/>
      </c>
      <c r="G145" s="303" t="str">
        <f>_xlfn.IFNA(VLOOKUP(D145,ProductListTbl[],6,0),"")</f>
        <v/>
      </c>
      <c r="H145" s="130" t="str">
        <f>_xlfn.IFNA(VLOOKUP(D145,ProductListTbl[],7,0),"")</f>
        <v/>
      </c>
      <c r="I145" s="130" t="str">
        <f>_xlfn.IFNA(VLOOKUP(D145,ProductListTbl[],8,0),"")</f>
        <v/>
      </c>
      <c r="J145" s="127"/>
      <c r="K145" s="129"/>
      <c r="L145" s="128"/>
      <c r="M145" s="305" t="str">
        <f>IFERROR(Table3[[#This Row],[Quantity (doses)]]/Table3[[#This Row],[Doses per vial or syringe]],"")</f>
        <v/>
      </c>
      <c r="N145" s="127"/>
      <c r="O145" s="127"/>
      <c r="P145" s="381"/>
      <c r="Q145" s="129"/>
      <c r="R145" s="127"/>
      <c r="S145" s="127"/>
      <c r="T145" s="127"/>
      <c r="U145" s="127"/>
      <c r="V145" s="305" t="str">
        <f>_xlfn.IFNA(VLOOKUP(D145,ProductListTbl[],9,0),"")</f>
        <v/>
      </c>
      <c r="W145" s="305" t="str">
        <f>IFERROR(Table3[[#This Row],[Storage space per secondary packaging (cm3)]]*Table3[[#This Row],[Quantity  (vials or syringes)]]/1000,"")</f>
        <v/>
      </c>
      <c r="X145" s="305" t="str">
        <f>IFERROR(Table3[[#This Row],[Storage space per tertiary packaging (cm3)]]*Table3[[#This Row],[Quantity (doses)]]/1000,"")</f>
        <v/>
      </c>
      <c r="Y145" s="293" t="str">
        <f>IF(Table3[[#This Row],[Status]]="Ordered",(DATE(YEAR(P145),MONTH(P145),1)),IF(Table3[[#This Row],[Status]]="Received",(DATE(YEAR(Q145),MONTH(Q145),1)),""))</f>
        <v/>
      </c>
      <c r="Z145" s="304" t="str">
        <f t="shared" si="8"/>
        <v/>
      </c>
      <c r="AA145" s="48" t="str">
        <f t="shared" si="9"/>
        <v/>
      </c>
      <c r="AB145" s="48" t="str">
        <f t="shared" si="10"/>
        <v/>
      </c>
      <c r="AC145" s="292" t="str">
        <f t="shared" si="11"/>
        <v/>
      </c>
      <c r="AD145" s="48" t="str">
        <f>IF(Table3[[#This Row],[Actual Arrival date]]&gt;0,IF(Table3[[#This Row],[Expected arrival date]]&gt;0,Table3[[#This Row],[Actual Arrival date]]-Table3[[#This Row],[Expected arrival date]],""),"")</f>
        <v/>
      </c>
    </row>
    <row r="146" spans="1:30" x14ac:dyDescent="0.25">
      <c r="A146" s="303" t="str">
        <f>Start!$D$7</f>
        <v>Anyland</v>
      </c>
      <c r="B146" s="48" t="str">
        <f>_xlfn.IFNA(VLOOKUP(A146,list!B:C,2,FALSE),"")</f>
        <v>ANY</v>
      </c>
      <c r="C146" s="48"/>
      <c r="D146" s="127"/>
      <c r="E146" s="48" t="str">
        <f>_xlfn.IFNA(VLOOKUP(Table3[[#This Row],[Product]], ProductListTbl[], 3, 0), "")</f>
        <v/>
      </c>
      <c r="F146" s="303" t="str">
        <f>_xlfn.IFNA(VLOOKUP(D146,ProductListTbl[],5,0),"")</f>
        <v/>
      </c>
      <c r="G146" s="303" t="str">
        <f>_xlfn.IFNA(VLOOKUP(D146,ProductListTbl[],6,0),"")</f>
        <v/>
      </c>
      <c r="H146" s="130" t="str">
        <f>_xlfn.IFNA(VLOOKUP(D146,ProductListTbl[],7,0),"")</f>
        <v/>
      </c>
      <c r="I146" s="130" t="str">
        <f>_xlfn.IFNA(VLOOKUP(D146,ProductListTbl[],8,0),"")</f>
        <v/>
      </c>
      <c r="J146" s="127"/>
      <c r="K146" s="129"/>
      <c r="L146" s="128"/>
      <c r="M146" s="305" t="str">
        <f>IFERROR(Table3[[#This Row],[Quantity (doses)]]/Table3[[#This Row],[Doses per vial or syringe]],"")</f>
        <v/>
      </c>
      <c r="N146" s="127"/>
      <c r="O146" s="127"/>
      <c r="P146" s="381"/>
      <c r="Q146" s="129"/>
      <c r="R146" s="127"/>
      <c r="S146" s="127"/>
      <c r="T146" s="127"/>
      <c r="U146" s="127"/>
      <c r="V146" s="305" t="str">
        <f>_xlfn.IFNA(VLOOKUP(D146,ProductListTbl[],9,0),"")</f>
        <v/>
      </c>
      <c r="W146" s="305" t="str">
        <f>IFERROR(Table3[[#This Row],[Storage space per secondary packaging (cm3)]]*Table3[[#This Row],[Quantity  (vials or syringes)]]/1000,"")</f>
        <v/>
      </c>
      <c r="X146" s="305" t="str">
        <f>IFERROR(Table3[[#This Row],[Storage space per tertiary packaging (cm3)]]*Table3[[#This Row],[Quantity (doses)]]/1000,"")</f>
        <v/>
      </c>
      <c r="Y146" s="293" t="str">
        <f>IF(Table3[[#This Row],[Status]]="Ordered",(DATE(YEAR(P146),MONTH(P146),1)),IF(Table3[[#This Row],[Status]]="Received",(DATE(YEAR(Q146),MONTH(Q146),1)),""))</f>
        <v/>
      </c>
      <c r="Z146" s="304" t="str">
        <f t="shared" si="8"/>
        <v/>
      </c>
      <c r="AA146" s="48" t="str">
        <f t="shared" si="9"/>
        <v/>
      </c>
      <c r="AB146" s="48" t="str">
        <f t="shared" si="10"/>
        <v/>
      </c>
      <c r="AC146" s="292" t="str">
        <f t="shared" si="11"/>
        <v/>
      </c>
      <c r="AD146" s="48" t="str">
        <f>IF(Table3[[#This Row],[Actual Arrival date]]&gt;0,IF(Table3[[#This Row],[Expected arrival date]]&gt;0,Table3[[#This Row],[Actual Arrival date]]-Table3[[#This Row],[Expected arrival date]],""),"")</f>
        <v/>
      </c>
    </row>
    <row r="147" spans="1:30" x14ac:dyDescent="0.25">
      <c r="A147" s="303" t="str">
        <f>Start!$D$7</f>
        <v>Anyland</v>
      </c>
      <c r="B147" s="48" t="str">
        <f>_xlfn.IFNA(VLOOKUP(A147,list!B:C,2,FALSE),"")</f>
        <v>ANY</v>
      </c>
      <c r="C147" s="48"/>
      <c r="D147" s="127"/>
      <c r="E147" s="48" t="str">
        <f>_xlfn.IFNA(VLOOKUP(Table3[[#This Row],[Product]], ProductListTbl[], 3, 0), "")</f>
        <v/>
      </c>
      <c r="F147" s="303" t="str">
        <f>_xlfn.IFNA(VLOOKUP(D147,ProductListTbl[],5,0),"")</f>
        <v/>
      </c>
      <c r="G147" s="303" t="str">
        <f>_xlfn.IFNA(VLOOKUP(D147,ProductListTbl[],6,0),"")</f>
        <v/>
      </c>
      <c r="H147" s="130" t="str">
        <f>_xlfn.IFNA(VLOOKUP(D147,ProductListTbl[],7,0),"")</f>
        <v/>
      </c>
      <c r="I147" s="130" t="str">
        <f>_xlfn.IFNA(VLOOKUP(D147,ProductListTbl[],8,0),"")</f>
        <v/>
      </c>
      <c r="J147" s="127"/>
      <c r="K147" s="129"/>
      <c r="L147" s="128"/>
      <c r="M147" s="305" t="str">
        <f>IFERROR(Table3[[#This Row],[Quantity (doses)]]/Table3[[#This Row],[Doses per vial or syringe]],"")</f>
        <v/>
      </c>
      <c r="N147" s="127"/>
      <c r="O147" s="127"/>
      <c r="P147" s="381"/>
      <c r="Q147" s="129"/>
      <c r="R147" s="127"/>
      <c r="S147" s="127"/>
      <c r="T147" s="127"/>
      <c r="U147" s="127"/>
      <c r="V147" s="305" t="str">
        <f>_xlfn.IFNA(VLOOKUP(D147,ProductListTbl[],9,0),"")</f>
        <v/>
      </c>
      <c r="W147" s="305" t="str">
        <f>IFERROR(Table3[[#This Row],[Storage space per secondary packaging (cm3)]]*Table3[[#This Row],[Quantity  (vials or syringes)]]/1000,"")</f>
        <v/>
      </c>
      <c r="X147" s="305" t="str">
        <f>IFERROR(Table3[[#This Row],[Storage space per tertiary packaging (cm3)]]*Table3[[#This Row],[Quantity (doses)]]/1000,"")</f>
        <v/>
      </c>
      <c r="Y147" s="293" t="str">
        <f>IF(Table3[[#This Row],[Status]]="Ordered",(DATE(YEAR(P147),MONTH(P147),1)),IF(Table3[[#This Row],[Status]]="Received",(DATE(YEAR(Q147),MONTH(Q147),1)),""))</f>
        <v/>
      </c>
      <c r="Z147" s="304" t="str">
        <f t="shared" si="8"/>
        <v/>
      </c>
      <c r="AA147" s="48" t="str">
        <f t="shared" si="9"/>
        <v/>
      </c>
      <c r="AB147" s="48" t="str">
        <f t="shared" si="10"/>
        <v/>
      </c>
      <c r="AC147" s="292" t="str">
        <f t="shared" si="11"/>
        <v/>
      </c>
      <c r="AD147" s="48" t="str">
        <f>IF(Table3[[#This Row],[Actual Arrival date]]&gt;0,IF(Table3[[#This Row],[Expected arrival date]]&gt;0,Table3[[#This Row],[Actual Arrival date]]-Table3[[#This Row],[Expected arrival date]],""),"")</f>
        <v/>
      </c>
    </row>
    <row r="148" spans="1:30" x14ac:dyDescent="0.25">
      <c r="A148" s="303" t="str">
        <f>Start!$D$7</f>
        <v>Anyland</v>
      </c>
      <c r="B148" s="48" t="str">
        <f>_xlfn.IFNA(VLOOKUP(A148,list!B:C,2,FALSE),"")</f>
        <v>ANY</v>
      </c>
      <c r="C148" s="48"/>
      <c r="D148" s="127"/>
      <c r="E148" s="48" t="str">
        <f>_xlfn.IFNA(VLOOKUP(Table3[[#This Row],[Product]], ProductListTbl[], 3, 0), "")</f>
        <v/>
      </c>
      <c r="F148" s="303" t="str">
        <f>_xlfn.IFNA(VLOOKUP(D148,ProductListTbl[],5,0),"")</f>
        <v/>
      </c>
      <c r="G148" s="303" t="str">
        <f>_xlfn.IFNA(VLOOKUP(D148,ProductListTbl[],6,0),"")</f>
        <v/>
      </c>
      <c r="H148" s="130" t="str">
        <f>_xlfn.IFNA(VLOOKUP(D148,ProductListTbl[],7,0),"")</f>
        <v/>
      </c>
      <c r="I148" s="130" t="str">
        <f>_xlfn.IFNA(VLOOKUP(D148,ProductListTbl[],8,0),"")</f>
        <v/>
      </c>
      <c r="J148" s="127"/>
      <c r="K148" s="129"/>
      <c r="L148" s="128"/>
      <c r="M148" s="305" t="str">
        <f>IFERROR(Table3[[#This Row],[Quantity (doses)]]/Table3[[#This Row],[Doses per vial or syringe]],"")</f>
        <v/>
      </c>
      <c r="N148" s="127"/>
      <c r="O148" s="127"/>
      <c r="P148" s="381"/>
      <c r="Q148" s="129"/>
      <c r="R148" s="127"/>
      <c r="S148" s="127"/>
      <c r="T148" s="127"/>
      <c r="U148" s="127"/>
      <c r="V148" s="305" t="str">
        <f>_xlfn.IFNA(VLOOKUP(D148,ProductListTbl[],9,0),"")</f>
        <v/>
      </c>
      <c r="W148" s="305" t="str">
        <f>IFERROR(Table3[[#This Row],[Storage space per secondary packaging (cm3)]]*Table3[[#This Row],[Quantity  (vials or syringes)]]/1000,"")</f>
        <v/>
      </c>
      <c r="X148" s="305" t="str">
        <f>IFERROR(Table3[[#This Row],[Storage space per tertiary packaging (cm3)]]*Table3[[#This Row],[Quantity (doses)]]/1000,"")</f>
        <v/>
      </c>
      <c r="Y148" s="293" t="str">
        <f>IF(Table3[[#This Row],[Status]]="Ordered",(DATE(YEAR(P148),MONTH(P148),1)),IF(Table3[[#This Row],[Status]]="Received",(DATE(YEAR(Q148),MONTH(Q148),1)),""))</f>
        <v/>
      </c>
      <c r="Z148" s="304" t="str">
        <f t="shared" si="8"/>
        <v/>
      </c>
      <c r="AA148" s="48" t="str">
        <f t="shared" si="9"/>
        <v/>
      </c>
      <c r="AB148" s="48" t="str">
        <f t="shared" si="10"/>
        <v/>
      </c>
      <c r="AC148" s="292" t="str">
        <f t="shared" si="11"/>
        <v/>
      </c>
      <c r="AD148" s="48" t="str">
        <f>IF(Table3[[#This Row],[Actual Arrival date]]&gt;0,IF(Table3[[#This Row],[Expected arrival date]]&gt;0,Table3[[#This Row],[Actual Arrival date]]-Table3[[#This Row],[Expected arrival date]],""),"")</f>
        <v/>
      </c>
    </row>
    <row r="149" spans="1:30" x14ac:dyDescent="0.25">
      <c r="A149" s="303" t="str">
        <f>Start!$D$7</f>
        <v>Anyland</v>
      </c>
      <c r="B149" s="48" t="str">
        <f>_xlfn.IFNA(VLOOKUP(A149,list!B:C,2,FALSE),"")</f>
        <v>ANY</v>
      </c>
      <c r="C149" s="48"/>
      <c r="D149" s="127"/>
      <c r="E149" s="48" t="str">
        <f>_xlfn.IFNA(VLOOKUP(Table3[[#This Row],[Product]], ProductListTbl[], 3, 0), "")</f>
        <v/>
      </c>
      <c r="F149" s="303" t="str">
        <f>_xlfn.IFNA(VLOOKUP(D149,ProductListTbl[],5,0),"")</f>
        <v/>
      </c>
      <c r="G149" s="303" t="str">
        <f>_xlfn.IFNA(VLOOKUP(D149,ProductListTbl[],6,0),"")</f>
        <v/>
      </c>
      <c r="H149" s="130" t="str">
        <f>_xlfn.IFNA(VLOOKUP(D149,ProductListTbl[],7,0),"")</f>
        <v/>
      </c>
      <c r="I149" s="130" t="str">
        <f>_xlfn.IFNA(VLOOKUP(D149,ProductListTbl[],8,0),"")</f>
        <v/>
      </c>
      <c r="J149" s="127"/>
      <c r="K149" s="129"/>
      <c r="L149" s="128"/>
      <c r="M149" s="305" t="str">
        <f>IFERROR(Table3[[#This Row],[Quantity (doses)]]/Table3[[#This Row],[Doses per vial or syringe]],"")</f>
        <v/>
      </c>
      <c r="N149" s="127"/>
      <c r="O149" s="127"/>
      <c r="P149" s="381"/>
      <c r="Q149" s="129"/>
      <c r="R149" s="127"/>
      <c r="S149" s="127"/>
      <c r="T149" s="127"/>
      <c r="U149" s="127"/>
      <c r="V149" s="305" t="str">
        <f>_xlfn.IFNA(VLOOKUP(D149,ProductListTbl[],9,0),"")</f>
        <v/>
      </c>
      <c r="W149" s="305" t="str">
        <f>IFERROR(Table3[[#This Row],[Storage space per secondary packaging (cm3)]]*Table3[[#This Row],[Quantity  (vials or syringes)]]/1000,"")</f>
        <v/>
      </c>
      <c r="X149" s="305" t="str">
        <f>IFERROR(Table3[[#This Row],[Storage space per tertiary packaging (cm3)]]*Table3[[#This Row],[Quantity (doses)]]/1000,"")</f>
        <v/>
      </c>
      <c r="Y149" s="293" t="str">
        <f>IF(Table3[[#This Row],[Status]]="Ordered",(DATE(YEAR(P149),MONTH(P149),1)),IF(Table3[[#This Row],[Status]]="Received",(DATE(YEAR(Q149),MONTH(Q149),1)),""))</f>
        <v/>
      </c>
      <c r="Z149" s="304" t="str">
        <f t="shared" si="8"/>
        <v/>
      </c>
      <c r="AA149" s="48" t="str">
        <f t="shared" si="9"/>
        <v/>
      </c>
      <c r="AB149" s="48" t="str">
        <f t="shared" si="10"/>
        <v/>
      </c>
      <c r="AC149" s="292" t="str">
        <f t="shared" si="11"/>
        <v/>
      </c>
      <c r="AD149" s="48" t="str">
        <f>IF(Table3[[#This Row],[Actual Arrival date]]&gt;0,IF(Table3[[#This Row],[Expected arrival date]]&gt;0,Table3[[#This Row],[Actual Arrival date]]-Table3[[#This Row],[Expected arrival date]],""),"")</f>
        <v/>
      </c>
    </row>
    <row r="150" spans="1:30" x14ac:dyDescent="0.25">
      <c r="A150" s="303" t="str">
        <f>Start!$D$7</f>
        <v>Anyland</v>
      </c>
      <c r="B150" s="48" t="str">
        <f>_xlfn.IFNA(VLOOKUP(A150,list!B:C,2,FALSE),"")</f>
        <v>ANY</v>
      </c>
      <c r="C150" s="48"/>
      <c r="D150" s="127"/>
      <c r="E150" s="48" t="str">
        <f>_xlfn.IFNA(VLOOKUP(Table3[[#This Row],[Product]], ProductListTbl[], 3, 0), "")</f>
        <v/>
      </c>
      <c r="F150" s="303" t="str">
        <f>_xlfn.IFNA(VLOOKUP(D150,ProductListTbl[],5,0),"")</f>
        <v/>
      </c>
      <c r="G150" s="303" t="str">
        <f>_xlfn.IFNA(VLOOKUP(D150,ProductListTbl[],6,0),"")</f>
        <v/>
      </c>
      <c r="H150" s="130" t="str">
        <f>_xlfn.IFNA(VLOOKUP(D150,ProductListTbl[],7,0),"")</f>
        <v/>
      </c>
      <c r="I150" s="130" t="str">
        <f>_xlfn.IFNA(VLOOKUP(D150,ProductListTbl[],8,0),"")</f>
        <v/>
      </c>
      <c r="J150" s="127"/>
      <c r="K150" s="129"/>
      <c r="L150" s="128"/>
      <c r="M150" s="305" t="str">
        <f>IFERROR(Table3[[#This Row],[Quantity (doses)]]/Table3[[#This Row],[Doses per vial or syringe]],"")</f>
        <v/>
      </c>
      <c r="N150" s="127"/>
      <c r="O150" s="127"/>
      <c r="P150" s="381"/>
      <c r="Q150" s="129"/>
      <c r="R150" s="127"/>
      <c r="S150" s="127"/>
      <c r="T150" s="127"/>
      <c r="U150" s="127"/>
      <c r="V150" s="305" t="str">
        <f>_xlfn.IFNA(VLOOKUP(D150,ProductListTbl[],9,0),"")</f>
        <v/>
      </c>
      <c r="W150" s="305" t="str">
        <f>IFERROR(Table3[[#This Row],[Storage space per secondary packaging (cm3)]]*Table3[[#This Row],[Quantity  (vials or syringes)]]/1000,"")</f>
        <v/>
      </c>
      <c r="X150" s="305" t="str">
        <f>IFERROR(Table3[[#This Row],[Storage space per tertiary packaging (cm3)]]*Table3[[#This Row],[Quantity (doses)]]/1000,"")</f>
        <v/>
      </c>
      <c r="Y150" s="293" t="str">
        <f>IF(Table3[[#This Row],[Status]]="Ordered",(DATE(YEAR(P150),MONTH(P150),1)),IF(Table3[[#This Row],[Status]]="Received",(DATE(YEAR(Q150),MONTH(Q150),1)),""))</f>
        <v/>
      </c>
      <c r="Z150" s="304" t="str">
        <f t="shared" si="8"/>
        <v/>
      </c>
      <c r="AA150" s="48" t="str">
        <f t="shared" si="9"/>
        <v/>
      </c>
      <c r="AB150" s="48" t="str">
        <f t="shared" si="10"/>
        <v/>
      </c>
      <c r="AC150" s="292" t="str">
        <f t="shared" si="11"/>
        <v/>
      </c>
      <c r="AD150" s="48" t="str">
        <f>IF(Table3[[#This Row],[Actual Arrival date]]&gt;0,IF(Table3[[#This Row],[Expected arrival date]]&gt;0,Table3[[#This Row],[Actual Arrival date]]-Table3[[#This Row],[Expected arrival date]],""),"")</f>
        <v/>
      </c>
    </row>
    <row r="151" spans="1:30" x14ac:dyDescent="0.25">
      <c r="A151" s="303" t="str">
        <f>Start!$D$7</f>
        <v>Anyland</v>
      </c>
      <c r="B151" s="48" t="str">
        <f>_xlfn.IFNA(VLOOKUP(A151,list!B:C,2,FALSE),"")</f>
        <v>ANY</v>
      </c>
      <c r="C151" s="48"/>
      <c r="D151" s="127"/>
      <c r="E151" s="48" t="str">
        <f>_xlfn.IFNA(VLOOKUP(Table3[[#This Row],[Product]], ProductListTbl[], 3, 0), "")</f>
        <v/>
      </c>
      <c r="F151" s="303" t="str">
        <f>_xlfn.IFNA(VLOOKUP(D151,ProductListTbl[],5,0),"")</f>
        <v/>
      </c>
      <c r="G151" s="303" t="str">
        <f>_xlfn.IFNA(VLOOKUP(D151,ProductListTbl[],6,0),"")</f>
        <v/>
      </c>
      <c r="H151" s="130" t="str">
        <f>_xlfn.IFNA(VLOOKUP(D151,ProductListTbl[],7,0),"")</f>
        <v/>
      </c>
      <c r="I151" s="130" t="str">
        <f>_xlfn.IFNA(VLOOKUP(D151,ProductListTbl[],8,0),"")</f>
        <v/>
      </c>
      <c r="J151" s="127"/>
      <c r="K151" s="129"/>
      <c r="L151" s="128"/>
      <c r="M151" s="305" t="str">
        <f>IFERROR(Table3[[#This Row],[Quantity (doses)]]/Table3[[#This Row],[Doses per vial or syringe]],"")</f>
        <v/>
      </c>
      <c r="N151" s="127"/>
      <c r="O151" s="127"/>
      <c r="P151" s="381"/>
      <c r="Q151" s="129"/>
      <c r="R151" s="127"/>
      <c r="S151" s="127"/>
      <c r="T151" s="127"/>
      <c r="U151" s="127"/>
      <c r="V151" s="305" t="str">
        <f>_xlfn.IFNA(VLOOKUP(D151,ProductListTbl[],9,0),"")</f>
        <v/>
      </c>
      <c r="W151" s="305" t="str">
        <f>IFERROR(Table3[[#This Row],[Storage space per secondary packaging (cm3)]]*Table3[[#This Row],[Quantity  (vials or syringes)]]/1000,"")</f>
        <v/>
      </c>
      <c r="X151" s="305" t="str">
        <f>IFERROR(Table3[[#This Row],[Storage space per tertiary packaging (cm3)]]*Table3[[#This Row],[Quantity (doses)]]/1000,"")</f>
        <v/>
      </c>
      <c r="Y151" s="293" t="str">
        <f>IF(Table3[[#This Row],[Status]]="Ordered",(DATE(YEAR(P151),MONTH(P151),1)),IF(Table3[[#This Row],[Status]]="Received",(DATE(YEAR(Q151),MONTH(Q151),1)),""))</f>
        <v/>
      </c>
      <c r="Z151" s="304" t="str">
        <f t="shared" si="8"/>
        <v/>
      </c>
      <c r="AA151" s="48" t="str">
        <f t="shared" si="9"/>
        <v/>
      </c>
      <c r="AB151" s="48" t="str">
        <f t="shared" si="10"/>
        <v/>
      </c>
      <c r="AC151" s="292" t="str">
        <f t="shared" si="11"/>
        <v/>
      </c>
      <c r="AD151" s="48" t="str">
        <f>IF(Table3[[#This Row],[Actual Arrival date]]&gt;0,IF(Table3[[#This Row],[Expected arrival date]]&gt;0,Table3[[#This Row],[Actual Arrival date]]-Table3[[#This Row],[Expected arrival date]],""),"")</f>
        <v/>
      </c>
    </row>
    <row r="152" spans="1:30" x14ac:dyDescent="0.25">
      <c r="A152" s="303" t="str">
        <f>Start!$D$7</f>
        <v>Anyland</v>
      </c>
      <c r="B152" s="48" t="str">
        <f>_xlfn.IFNA(VLOOKUP(A152,list!B:C,2,FALSE),"")</f>
        <v>ANY</v>
      </c>
      <c r="C152" s="48"/>
      <c r="D152" s="127"/>
      <c r="E152" s="48" t="str">
        <f>_xlfn.IFNA(VLOOKUP(Table3[[#This Row],[Product]], ProductListTbl[], 3, 0), "")</f>
        <v/>
      </c>
      <c r="F152" s="303" t="str">
        <f>_xlfn.IFNA(VLOOKUP(D152,ProductListTbl[],5,0),"")</f>
        <v/>
      </c>
      <c r="G152" s="303" t="str">
        <f>_xlfn.IFNA(VLOOKUP(D152,ProductListTbl[],6,0),"")</f>
        <v/>
      </c>
      <c r="H152" s="130" t="str">
        <f>_xlfn.IFNA(VLOOKUP(D152,ProductListTbl[],7,0),"")</f>
        <v/>
      </c>
      <c r="I152" s="130" t="str">
        <f>_xlfn.IFNA(VLOOKUP(D152,ProductListTbl[],8,0),"")</f>
        <v/>
      </c>
      <c r="J152" s="127"/>
      <c r="K152" s="129"/>
      <c r="L152" s="128"/>
      <c r="M152" s="305" t="str">
        <f>IFERROR(Table3[[#This Row],[Quantity (doses)]]/Table3[[#This Row],[Doses per vial or syringe]],"")</f>
        <v/>
      </c>
      <c r="N152" s="127"/>
      <c r="O152" s="127"/>
      <c r="P152" s="381"/>
      <c r="Q152" s="129"/>
      <c r="R152" s="127"/>
      <c r="S152" s="127"/>
      <c r="T152" s="127"/>
      <c r="U152" s="127"/>
      <c r="V152" s="305" t="str">
        <f>_xlfn.IFNA(VLOOKUP(D152,ProductListTbl[],9,0),"")</f>
        <v/>
      </c>
      <c r="W152" s="305" t="str">
        <f>IFERROR(Table3[[#This Row],[Storage space per secondary packaging (cm3)]]*Table3[[#This Row],[Quantity  (vials or syringes)]]/1000,"")</f>
        <v/>
      </c>
      <c r="X152" s="305" t="str">
        <f>IFERROR(Table3[[#This Row],[Storage space per tertiary packaging (cm3)]]*Table3[[#This Row],[Quantity (doses)]]/1000,"")</f>
        <v/>
      </c>
      <c r="Y152" s="293" t="str">
        <f>IF(Table3[[#This Row],[Status]]="Ordered",(DATE(YEAR(P152),MONTH(P152),1)),IF(Table3[[#This Row],[Status]]="Received",(DATE(YEAR(Q152),MONTH(Q152),1)),""))</f>
        <v/>
      </c>
      <c r="Z152" s="304" t="str">
        <f t="shared" si="8"/>
        <v/>
      </c>
      <c r="AA152" s="48" t="str">
        <f t="shared" si="9"/>
        <v/>
      </c>
      <c r="AB152" s="48" t="str">
        <f t="shared" si="10"/>
        <v/>
      </c>
      <c r="AC152" s="292" t="str">
        <f t="shared" si="11"/>
        <v/>
      </c>
      <c r="AD152" s="48" t="str">
        <f>IF(Table3[[#This Row],[Actual Arrival date]]&gt;0,IF(Table3[[#This Row],[Expected arrival date]]&gt;0,Table3[[#This Row],[Actual Arrival date]]-Table3[[#This Row],[Expected arrival date]],""),"")</f>
        <v/>
      </c>
    </row>
    <row r="153" spans="1:30" x14ac:dyDescent="0.25">
      <c r="A153" s="303" t="str">
        <f>Start!$D$7</f>
        <v>Anyland</v>
      </c>
      <c r="B153" s="48" t="str">
        <f>_xlfn.IFNA(VLOOKUP(A153,list!B:C,2,FALSE),"")</f>
        <v>ANY</v>
      </c>
      <c r="C153" s="48"/>
      <c r="D153" s="127"/>
      <c r="E153" s="48" t="str">
        <f>_xlfn.IFNA(VLOOKUP(Table3[[#This Row],[Product]], ProductListTbl[], 3, 0), "")</f>
        <v/>
      </c>
      <c r="F153" s="303" t="str">
        <f>_xlfn.IFNA(VLOOKUP(D153,ProductListTbl[],5,0),"")</f>
        <v/>
      </c>
      <c r="G153" s="303" t="str">
        <f>_xlfn.IFNA(VLOOKUP(D153,ProductListTbl[],6,0),"")</f>
        <v/>
      </c>
      <c r="H153" s="130" t="str">
        <f>_xlfn.IFNA(VLOOKUP(D153,ProductListTbl[],7,0),"")</f>
        <v/>
      </c>
      <c r="I153" s="130" t="str">
        <f>_xlfn.IFNA(VLOOKUP(D153,ProductListTbl[],8,0),"")</f>
        <v/>
      </c>
      <c r="J153" s="127"/>
      <c r="K153" s="129"/>
      <c r="L153" s="128"/>
      <c r="M153" s="305" t="str">
        <f>IFERROR(Table3[[#This Row],[Quantity (doses)]]/Table3[[#This Row],[Doses per vial or syringe]],"")</f>
        <v/>
      </c>
      <c r="N153" s="127"/>
      <c r="O153" s="127"/>
      <c r="P153" s="381"/>
      <c r="Q153" s="129"/>
      <c r="R153" s="127"/>
      <c r="S153" s="127"/>
      <c r="T153" s="127"/>
      <c r="U153" s="127"/>
      <c r="V153" s="305" t="str">
        <f>_xlfn.IFNA(VLOOKUP(D153,ProductListTbl[],9,0),"")</f>
        <v/>
      </c>
      <c r="W153" s="305" t="str">
        <f>IFERROR(Table3[[#This Row],[Storage space per secondary packaging (cm3)]]*Table3[[#This Row],[Quantity  (vials or syringes)]]/1000,"")</f>
        <v/>
      </c>
      <c r="X153" s="305" t="str">
        <f>IFERROR(Table3[[#This Row],[Storage space per tertiary packaging (cm3)]]*Table3[[#This Row],[Quantity (doses)]]/1000,"")</f>
        <v/>
      </c>
      <c r="Y153" s="293" t="str">
        <f>IF(Table3[[#This Row],[Status]]="Ordered",(DATE(YEAR(P153),MONTH(P153),1)),IF(Table3[[#This Row],[Status]]="Received",(DATE(YEAR(Q153),MONTH(Q153),1)),""))</f>
        <v/>
      </c>
      <c r="Z153" s="304" t="str">
        <f t="shared" si="8"/>
        <v/>
      </c>
      <c r="AA153" s="48" t="str">
        <f t="shared" si="9"/>
        <v/>
      </c>
      <c r="AB153" s="48" t="str">
        <f t="shared" si="10"/>
        <v/>
      </c>
      <c r="AC153" s="292" t="str">
        <f t="shared" si="11"/>
        <v/>
      </c>
      <c r="AD153" s="48" t="str">
        <f>IF(Table3[[#This Row],[Actual Arrival date]]&gt;0,IF(Table3[[#This Row],[Expected arrival date]]&gt;0,Table3[[#This Row],[Actual Arrival date]]-Table3[[#This Row],[Expected arrival date]],""),"")</f>
        <v/>
      </c>
    </row>
    <row r="154" spans="1:30" x14ac:dyDescent="0.25">
      <c r="A154" s="303" t="str">
        <f>Start!$D$7</f>
        <v>Anyland</v>
      </c>
      <c r="B154" s="48" t="str">
        <f>_xlfn.IFNA(VLOOKUP(A154,list!B:C,2,FALSE),"")</f>
        <v>ANY</v>
      </c>
      <c r="C154" s="48"/>
      <c r="D154" s="127"/>
      <c r="E154" s="48" t="str">
        <f>_xlfn.IFNA(VLOOKUP(Table3[[#This Row],[Product]], ProductListTbl[], 3, 0), "")</f>
        <v/>
      </c>
      <c r="F154" s="303" t="str">
        <f>_xlfn.IFNA(VLOOKUP(D154,ProductListTbl[],5,0),"")</f>
        <v/>
      </c>
      <c r="G154" s="303" t="str">
        <f>_xlfn.IFNA(VLOOKUP(D154,ProductListTbl[],6,0),"")</f>
        <v/>
      </c>
      <c r="H154" s="130" t="str">
        <f>_xlfn.IFNA(VLOOKUP(D154,ProductListTbl[],7,0),"")</f>
        <v/>
      </c>
      <c r="I154" s="130" t="str">
        <f>_xlfn.IFNA(VLOOKUP(D154,ProductListTbl[],8,0),"")</f>
        <v/>
      </c>
      <c r="J154" s="127"/>
      <c r="K154" s="129"/>
      <c r="L154" s="128"/>
      <c r="M154" s="305" t="str">
        <f>IFERROR(Table3[[#This Row],[Quantity (doses)]]/Table3[[#This Row],[Doses per vial or syringe]],"")</f>
        <v/>
      </c>
      <c r="N154" s="127"/>
      <c r="O154" s="127"/>
      <c r="P154" s="381"/>
      <c r="Q154" s="129"/>
      <c r="R154" s="127"/>
      <c r="S154" s="127"/>
      <c r="T154" s="127"/>
      <c r="U154" s="127"/>
      <c r="V154" s="305" t="str">
        <f>_xlfn.IFNA(VLOOKUP(D154,ProductListTbl[],9,0),"")</f>
        <v/>
      </c>
      <c r="W154" s="305" t="str">
        <f>IFERROR(Table3[[#This Row],[Storage space per secondary packaging (cm3)]]*Table3[[#This Row],[Quantity  (vials or syringes)]]/1000,"")</f>
        <v/>
      </c>
      <c r="X154" s="305" t="str">
        <f>IFERROR(Table3[[#This Row],[Storage space per tertiary packaging (cm3)]]*Table3[[#This Row],[Quantity (doses)]]/1000,"")</f>
        <v/>
      </c>
      <c r="Y154" s="293" t="str">
        <f>IF(Table3[[#This Row],[Status]]="Ordered",(DATE(YEAR(P154),MONTH(P154),1)),IF(Table3[[#This Row],[Status]]="Received",(DATE(YEAR(Q154),MONTH(Q154),1)),""))</f>
        <v/>
      </c>
      <c r="Z154" s="304" t="str">
        <f t="shared" si="8"/>
        <v/>
      </c>
      <c r="AA154" s="48" t="str">
        <f t="shared" si="9"/>
        <v/>
      </c>
      <c r="AB154" s="48" t="str">
        <f t="shared" si="10"/>
        <v/>
      </c>
      <c r="AC154" s="292" t="str">
        <f t="shared" si="11"/>
        <v/>
      </c>
      <c r="AD154" s="48" t="str">
        <f>IF(Table3[[#This Row],[Actual Arrival date]]&gt;0,IF(Table3[[#This Row],[Expected arrival date]]&gt;0,Table3[[#This Row],[Actual Arrival date]]-Table3[[#This Row],[Expected arrival date]],""),"")</f>
        <v/>
      </c>
    </row>
    <row r="155" spans="1:30" x14ac:dyDescent="0.25">
      <c r="A155" s="303" t="str">
        <f>Start!$D$7</f>
        <v>Anyland</v>
      </c>
      <c r="B155" s="48" t="str">
        <f>_xlfn.IFNA(VLOOKUP(A155,list!B:C,2,FALSE),"")</f>
        <v>ANY</v>
      </c>
      <c r="C155" s="48"/>
      <c r="D155" s="127"/>
      <c r="E155" s="48" t="str">
        <f>_xlfn.IFNA(VLOOKUP(Table3[[#This Row],[Product]], ProductListTbl[], 3, 0), "")</f>
        <v/>
      </c>
      <c r="F155" s="303" t="str">
        <f>_xlfn.IFNA(VLOOKUP(D155,ProductListTbl[],5,0),"")</f>
        <v/>
      </c>
      <c r="G155" s="303" t="str">
        <f>_xlfn.IFNA(VLOOKUP(D155,ProductListTbl[],6,0),"")</f>
        <v/>
      </c>
      <c r="H155" s="130" t="str">
        <f>_xlfn.IFNA(VLOOKUP(D155,ProductListTbl[],7,0),"")</f>
        <v/>
      </c>
      <c r="I155" s="130" t="str">
        <f>_xlfn.IFNA(VLOOKUP(D155,ProductListTbl[],8,0),"")</f>
        <v/>
      </c>
      <c r="J155" s="127"/>
      <c r="K155" s="129"/>
      <c r="L155" s="128"/>
      <c r="M155" s="305" t="str">
        <f>IFERROR(Table3[[#This Row],[Quantity (doses)]]/Table3[[#This Row],[Doses per vial or syringe]],"")</f>
        <v/>
      </c>
      <c r="N155" s="127"/>
      <c r="O155" s="127"/>
      <c r="P155" s="381"/>
      <c r="Q155" s="129"/>
      <c r="R155" s="127"/>
      <c r="S155" s="127"/>
      <c r="T155" s="127"/>
      <c r="U155" s="127"/>
      <c r="V155" s="305" t="str">
        <f>_xlfn.IFNA(VLOOKUP(D155,ProductListTbl[],9,0),"")</f>
        <v/>
      </c>
      <c r="W155" s="305" t="str">
        <f>IFERROR(Table3[[#This Row],[Storage space per secondary packaging (cm3)]]*Table3[[#This Row],[Quantity  (vials or syringes)]]/1000,"")</f>
        <v/>
      </c>
      <c r="X155" s="305" t="str">
        <f>IFERROR(Table3[[#This Row],[Storage space per tertiary packaging (cm3)]]*Table3[[#This Row],[Quantity (doses)]]/1000,"")</f>
        <v/>
      </c>
      <c r="Y155" s="293" t="str">
        <f>IF(Table3[[#This Row],[Status]]="Ordered",(DATE(YEAR(P155),MONTH(P155),1)),IF(Table3[[#This Row],[Status]]="Received",(DATE(YEAR(Q155),MONTH(Q155),1)),""))</f>
        <v/>
      </c>
      <c r="Z155" s="304" t="str">
        <f t="shared" si="8"/>
        <v/>
      </c>
      <c r="AA155" s="48" t="str">
        <f t="shared" si="9"/>
        <v/>
      </c>
      <c r="AB155" s="48" t="str">
        <f t="shared" si="10"/>
        <v/>
      </c>
      <c r="AC155" s="292" t="str">
        <f t="shared" si="11"/>
        <v/>
      </c>
      <c r="AD155" s="48" t="str">
        <f>IF(Table3[[#This Row],[Actual Arrival date]]&gt;0,IF(Table3[[#This Row],[Expected arrival date]]&gt;0,Table3[[#This Row],[Actual Arrival date]]-Table3[[#This Row],[Expected arrival date]],""),"")</f>
        <v/>
      </c>
    </row>
    <row r="156" spans="1:30" x14ac:dyDescent="0.25">
      <c r="A156" s="303" t="str">
        <f>Start!$D$7</f>
        <v>Anyland</v>
      </c>
      <c r="B156" s="48" t="str">
        <f>_xlfn.IFNA(VLOOKUP(A156,list!B:C,2,FALSE),"")</f>
        <v>ANY</v>
      </c>
      <c r="C156" s="48"/>
      <c r="D156" s="127"/>
      <c r="E156" s="48" t="str">
        <f>_xlfn.IFNA(VLOOKUP(Table3[[#This Row],[Product]], ProductListTbl[], 3, 0), "")</f>
        <v/>
      </c>
      <c r="F156" s="303" t="str">
        <f>_xlfn.IFNA(VLOOKUP(D156,ProductListTbl[],5,0),"")</f>
        <v/>
      </c>
      <c r="G156" s="303" t="str">
        <f>_xlfn.IFNA(VLOOKUP(D156,ProductListTbl[],6,0),"")</f>
        <v/>
      </c>
      <c r="H156" s="130" t="str">
        <f>_xlfn.IFNA(VLOOKUP(D156,ProductListTbl[],7,0),"")</f>
        <v/>
      </c>
      <c r="I156" s="130" t="str">
        <f>_xlfn.IFNA(VLOOKUP(D156,ProductListTbl[],8,0),"")</f>
        <v/>
      </c>
      <c r="J156" s="127"/>
      <c r="K156" s="129"/>
      <c r="L156" s="128"/>
      <c r="M156" s="305" t="str">
        <f>IFERROR(Table3[[#This Row],[Quantity (doses)]]/Table3[[#This Row],[Doses per vial or syringe]],"")</f>
        <v/>
      </c>
      <c r="N156" s="127"/>
      <c r="O156" s="127"/>
      <c r="P156" s="381"/>
      <c r="Q156" s="129"/>
      <c r="R156" s="127"/>
      <c r="S156" s="127"/>
      <c r="T156" s="127"/>
      <c r="U156" s="127"/>
      <c r="V156" s="305" t="str">
        <f>_xlfn.IFNA(VLOOKUP(D156,ProductListTbl[],9,0),"")</f>
        <v/>
      </c>
      <c r="W156" s="305" t="str">
        <f>IFERROR(Table3[[#This Row],[Storage space per secondary packaging (cm3)]]*Table3[[#This Row],[Quantity  (vials or syringes)]]/1000,"")</f>
        <v/>
      </c>
      <c r="X156" s="305" t="str">
        <f>IFERROR(Table3[[#This Row],[Storage space per tertiary packaging (cm3)]]*Table3[[#This Row],[Quantity (doses)]]/1000,"")</f>
        <v/>
      </c>
      <c r="Y156" s="293" t="str">
        <f>IF(Table3[[#This Row],[Status]]="Ordered",(DATE(YEAR(P156),MONTH(P156),1)),IF(Table3[[#This Row],[Status]]="Received",(DATE(YEAR(Q156),MONTH(Q156),1)),""))</f>
        <v/>
      </c>
      <c r="Z156" s="304" t="str">
        <f t="shared" si="8"/>
        <v/>
      </c>
      <c r="AA156" s="48" t="str">
        <f t="shared" si="9"/>
        <v/>
      </c>
      <c r="AB156" s="48" t="str">
        <f t="shared" si="10"/>
        <v/>
      </c>
      <c r="AC156" s="292" t="str">
        <f t="shared" si="11"/>
        <v/>
      </c>
      <c r="AD156" s="48" t="str">
        <f>IF(Table3[[#This Row],[Actual Arrival date]]&gt;0,IF(Table3[[#This Row],[Expected arrival date]]&gt;0,Table3[[#This Row],[Actual Arrival date]]-Table3[[#This Row],[Expected arrival date]],""),"")</f>
        <v/>
      </c>
    </row>
    <row r="157" spans="1:30" x14ac:dyDescent="0.25">
      <c r="A157" s="303" t="str">
        <f>Start!$D$7</f>
        <v>Anyland</v>
      </c>
      <c r="B157" s="48" t="str">
        <f>_xlfn.IFNA(VLOOKUP(A157,list!B:C,2,FALSE),"")</f>
        <v>ANY</v>
      </c>
      <c r="C157" s="48"/>
      <c r="D157" s="127"/>
      <c r="E157" s="48" t="str">
        <f>_xlfn.IFNA(VLOOKUP(Table3[[#This Row],[Product]], ProductListTbl[], 3, 0), "")</f>
        <v/>
      </c>
      <c r="F157" s="303" t="str">
        <f>_xlfn.IFNA(VLOOKUP(D157,ProductListTbl[],5,0),"")</f>
        <v/>
      </c>
      <c r="G157" s="303" t="str">
        <f>_xlfn.IFNA(VLOOKUP(D157,ProductListTbl[],6,0),"")</f>
        <v/>
      </c>
      <c r="H157" s="130" t="str">
        <f>_xlfn.IFNA(VLOOKUP(D157,ProductListTbl[],7,0),"")</f>
        <v/>
      </c>
      <c r="I157" s="130" t="str">
        <f>_xlfn.IFNA(VLOOKUP(D157,ProductListTbl[],8,0),"")</f>
        <v/>
      </c>
      <c r="J157" s="127"/>
      <c r="K157" s="129"/>
      <c r="L157" s="128"/>
      <c r="M157" s="305" t="str">
        <f>IFERROR(Table3[[#This Row],[Quantity (doses)]]/Table3[[#This Row],[Doses per vial or syringe]],"")</f>
        <v/>
      </c>
      <c r="N157" s="127"/>
      <c r="O157" s="127"/>
      <c r="P157" s="381"/>
      <c r="Q157" s="129"/>
      <c r="R157" s="127"/>
      <c r="S157" s="127"/>
      <c r="T157" s="127"/>
      <c r="U157" s="127"/>
      <c r="V157" s="305" t="str">
        <f>_xlfn.IFNA(VLOOKUP(D157,ProductListTbl[],9,0),"")</f>
        <v/>
      </c>
      <c r="W157" s="305" t="str">
        <f>IFERROR(Table3[[#This Row],[Storage space per secondary packaging (cm3)]]*Table3[[#This Row],[Quantity  (vials or syringes)]]/1000,"")</f>
        <v/>
      </c>
      <c r="X157" s="305" t="str">
        <f>IFERROR(Table3[[#This Row],[Storage space per tertiary packaging (cm3)]]*Table3[[#This Row],[Quantity (doses)]]/1000,"")</f>
        <v/>
      </c>
      <c r="Y157" s="293" t="str">
        <f>IF(Table3[[#This Row],[Status]]="Ordered",(DATE(YEAR(P157),MONTH(P157),1)),IF(Table3[[#This Row],[Status]]="Received",(DATE(YEAR(Q157),MONTH(Q157),1)),""))</f>
        <v/>
      </c>
      <c r="Z157" s="304" t="str">
        <f t="shared" si="8"/>
        <v/>
      </c>
      <c r="AA157" s="48" t="str">
        <f t="shared" si="9"/>
        <v/>
      </c>
      <c r="AB157" s="48" t="str">
        <f t="shared" si="10"/>
        <v/>
      </c>
      <c r="AC157" s="292" t="str">
        <f t="shared" si="11"/>
        <v/>
      </c>
      <c r="AD157" s="48" t="str">
        <f>IF(Table3[[#This Row],[Actual Arrival date]]&gt;0,IF(Table3[[#This Row],[Expected arrival date]]&gt;0,Table3[[#This Row],[Actual Arrival date]]-Table3[[#This Row],[Expected arrival date]],""),"")</f>
        <v/>
      </c>
    </row>
    <row r="158" spans="1:30" x14ac:dyDescent="0.25">
      <c r="A158" s="303" t="str">
        <f>Start!$D$7</f>
        <v>Anyland</v>
      </c>
      <c r="B158" s="48" t="str">
        <f>_xlfn.IFNA(VLOOKUP(A158,list!B:C,2,FALSE),"")</f>
        <v>ANY</v>
      </c>
      <c r="C158" s="48"/>
      <c r="D158" s="127"/>
      <c r="E158" s="48" t="str">
        <f>_xlfn.IFNA(VLOOKUP(Table3[[#This Row],[Product]], ProductListTbl[], 3, 0), "")</f>
        <v/>
      </c>
      <c r="F158" s="303" t="str">
        <f>_xlfn.IFNA(VLOOKUP(D158,ProductListTbl[],5,0),"")</f>
        <v/>
      </c>
      <c r="G158" s="303" t="str">
        <f>_xlfn.IFNA(VLOOKUP(D158,ProductListTbl[],6,0),"")</f>
        <v/>
      </c>
      <c r="H158" s="130" t="str">
        <f>_xlfn.IFNA(VLOOKUP(D158,ProductListTbl[],7,0),"")</f>
        <v/>
      </c>
      <c r="I158" s="130" t="str">
        <f>_xlfn.IFNA(VLOOKUP(D158,ProductListTbl[],8,0),"")</f>
        <v/>
      </c>
      <c r="J158" s="127"/>
      <c r="K158" s="129"/>
      <c r="L158" s="128"/>
      <c r="M158" s="305" t="str">
        <f>IFERROR(Table3[[#This Row],[Quantity (doses)]]/Table3[[#This Row],[Doses per vial or syringe]],"")</f>
        <v/>
      </c>
      <c r="N158" s="127"/>
      <c r="O158" s="127"/>
      <c r="P158" s="381"/>
      <c r="Q158" s="129"/>
      <c r="R158" s="127"/>
      <c r="S158" s="127"/>
      <c r="T158" s="127"/>
      <c r="U158" s="127"/>
      <c r="V158" s="305" t="str">
        <f>_xlfn.IFNA(VLOOKUP(D158,ProductListTbl[],9,0),"")</f>
        <v/>
      </c>
      <c r="W158" s="305" t="str">
        <f>IFERROR(Table3[[#This Row],[Storage space per secondary packaging (cm3)]]*Table3[[#This Row],[Quantity  (vials or syringes)]]/1000,"")</f>
        <v/>
      </c>
      <c r="X158" s="305" t="str">
        <f>IFERROR(Table3[[#This Row],[Storage space per tertiary packaging (cm3)]]*Table3[[#This Row],[Quantity (doses)]]/1000,"")</f>
        <v/>
      </c>
      <c r="Y158" s="293" t="str">
        <f>IF(Table3[[#This Row],[Status]]="Ordered",(DATE(YEAR(P158),MONTH(P158),1)),IF(Table3[[#This Row],[Status]]="Received",(DATE(YEAR(Q158),MONTH(Q158),1)),""))</f>
        <v/>
      </c>
      <c r="Z158" s="304" t="str">
        <f t="shared" si="8"/>
        <v/>
      </c>
      <c r="AA158" s="48" t="str">
        <f t="shared" si="9"/>
        <v/>
      </c>
      <c r="AB158" s="48" t="str">
        <f t="shared" si="10"/>
        <v/>
      </c>
      <c r="AC158" s="292" t="str">
        <f t="shared" si="11"/>
        <v/>
      </c>
      <c r="AD158" s="48" t="str">
        <f>IF(Table3[[#This Row],[Actual Arrival date]]&gt;0,IF(Table3[[#This Row],[Expected arrival date]]&gt;0,Table3[[#This Row],[Actual Arrival date]]-Table3[[#This Row],[Expected arrival date]],""),"")</f>
        <v/>
      </c>
    </row>
    <row r="159" spans="1:30" x14ac:dyDescent="0.25">
      <c r="A159" s="303" t="str">
        <f>Start!$D$7</f>
        <v>Anyland</v>
      </c>
      <c r="B159" s="48" t="str">
        <f>_xlfn.IFNA(VLOOKUP(A159,list!B:C,2,FALSE),"")</f>
        <v>ANY</v>
      </c>
      <c r="C159" s="48"/>
      <c r="D159" s="127"/>
      <c r="E159" s="48" t="str">
        <f>_xlfn.IFNA(VLOOKUP(Table3[[#This Row],[Product]], ProductListTbl[], 3, 0), "")</f>
        <v/>
      </c>
      <c r="F159" s="303" t="str">
        <f>_xlfn.IFNA(VLOOKUP(D159,ProductListTbl[],5,0),"")</f>
        <v/>
      </c>
      <c r="G159" s="303" t="str">
        <f>_xlfn.IFNA(VLOOKUP(D159,ProductListTbl[],6,0),"")</f>
        <v/>
      </c>
      <c r="H159" s="130" t="str">
        <f>_xlfn.IFNA(VLOOKUP(D159,ProductListTbl[],7,0),"")</f>
        <v/>
      </c>
      <c r="I159" s="130" t="str">
        <f>_xlfn.IFNA(VLOOKUP(D159,ProductListTbl[],8,0),"")</f>
        <v/>
      </c>
      <c r="J159" s="127"/>
      <c r="K159" s="129"/>
      <c r="L159" s="128"/>
      <c r="M159" s="305" t="str">
        <f>IFERROR(Table3[[#This Row],[Quantity (doses)]]/Table3[[#This Row],[Doses per vial or syringe]],"")</f>
        <v/>
      </c>
      <c r="N159" s="127"/>
      <c r="O159" s="127"/>
      <c r="P159" s="381"/>
      <c r="Q159" s="129"/>
      <c r="R159" s="127"/>
      <c r="S159" s="127"/>
      <c r="T159" s="127"/>
      <c r="U159" s="127"/>
      <c r="V159" s="305" t="str">
        <f>_xlfn.IFNA(VLOOKUP(D159,ProductListTbl[],9,0),"")</f>
        <v/>
      </c>
      <c r="W159" s="305" t="str">
        <f>IFERROR(Table3[[#This Row],[Storage space per secondary packaging (cm3)]]*Table3[[#This Row],[Quantity  (vials or syringes)]]/1000,"")</f>
        <v/>
      </c>
      <c r="X159" s="305" t="str">
        <f>IFERROR(Table3[[#This Row],[Storage space per tertiary packaging (cm3)]]*Table3[[#This Row],[Quantity (doses)]]/1000,"")</f>
        <v/>
      </c>
      <c r="Y159" s="293" t="str">
        <f>IF(Table3[[#This Row],[Status]]="Ordered",(DATE(YEAR(P159),MONTH(P159),1)),IF(Table3[[#This Row],[Status]]="Received",(DATE(YEAR(Q159),MONTH(Q159),1)),""))</f>
        <v/>
      </c>
      <c r="Z159" s="304" t="str">
        <f t="shared" si="8"/>
        <v/>
      </c>
      <c r="AA159" s="48" t="str">
        <f t="shared" si="9"/>
        <v/>
      </c>
      <c r="AB159" s="48" t="str">
        <f t="shared" si="10"/>
        <v/>
      </c>
      <c r="AC159" s="292" t="str">
        <f t="shared" si="11"/>
        <v/>
      </c>
      <c r="AD159" s="48" t="str">
        <f>IF(Table3[[#This Row],[Actual Arrival date]]&gt;0,IF(Table3[[#This Row],[Expected arrival date]]&gt;0,Table3[[#This Row],[Actual Arrival date]]-Table3[[#This Row],[Expected arrival date]],""),"")</f>
        <v/>
      </c>
    </row>
    <row r="160" spans="1:30" x14ac:dyDescent="0.25">
      <c r="A160" s="303" t="str">
        <f>Start!$D$7</f>
        <v>Anyland</v>
      </c>
      <c r="B160" s="48" t="str">
        <f>_xlfn.IFNA(VLOOKUP(A160,list!B:C,2,FALSE),"")</f>
        <v>ANY</v>
      </c>
      <c r="C160" s="48"/>
      <c r="D160" s="127"/>
      <c r="E160" s="48" t="str">
        <f>_xlfn.IFNA(VLOOKUP(Table3[[#This Row],[Product]], ProductListTbl[], 3, 0), "")</f>
        <v/>
      </c>
      <c r="F160" s="303" t="str">
        <f>_xlfn.IFNA(VLOOKUP(D160,ProductListTbl[],5,0),"")</f>
        <v/>
      </c>
      <c r="G160" s="303" t="str">
        <f>_xlfn.IFNA(VLOOKUP(D160,ProductListTbl[],6,0),"")</f>
        <v/>
      </c>
      <c r="H160" s="130" t="str">
        <f>_xlfn.IFNA(VLOOKUP(D160,ProductListTbl[],7,0),"")</f>
        <v/>
      </c>
      <c r="I160" s="130" t="str">
        <f>_xlfn.IFNA(VLOOKUP(D160,ProductListTbl[],8,0),"")</f>
        <v/>
      </c>
      <c r="J160" s="127"/>
      <c r="K160" s="129"/>
      <c r="L160" s="128"/>
      <c r="M160" s="305" t="str">
        <f>IFERROR(Table3[[#This Row],[Quantity (doses)]]/Table3[[#This Row],[Doses per vial or syringe]],"")</f>
        <v/>
      </c>
      <c r="N160" s="127"/>
      <c r="O160" s="127"/>
      <c r="P160" s="381"/>
      <c r="Q160" s="129"/>
      <c r="R160" s="127"/>
      <c r="S160" s="127"/>
      <c r="T160" s="127"/>
      <c r="U160" s="127"/>
      <c r="V160" s="305" t="str">
        <f>_xlfn.IFNA(VLOOKUP(D160,ProductListTbl[],9,0),"")</f>
        <v/>
      </c>
      <c r="W160" s="305" t="str">
        <f>IFERROR(Table3[[#This Row],[Storage space per secondary packaging (cm3)]]*Table3[[#This Row],[Quantity  (vials or syringes)]]/1000,"")</f>
        <v/>
      </c>
      <c r="X160" s="305" t="str">
        <f>IFERROR(Table3[[#This Row],[Storage space per tertiary packaging (cm3)]]*Table3[[#This Row],[Quantity (doses)]]/1000,"")</f>
        <v/>
      </c>
      <c r="Y160" s="293" t="str">
        <f>IF(Table3[[#This Row],[Status]]="Ordered",(DATE(YEAR(P160),MONTH(P160),1)),IF(Table3[[#This Row],[Status]]="Received",(DATE(YEAR(Q160),MONTH(Q160),1)),""))</f>
        <v/>
      </c>
      <c r="Z160" s="304" t="str">
        <f t="shared" si="8"/>
        <v/>
      </c>
      <c r="AA160" s="48" t="str">
        <f t="shared" si="9"/>
        <v/>
      </c>
      <c r="AB160" s="48" t="str">
        <f t="shared" si="10"/>
        <v/>
      </c>
      <c r="AC160" s="292" t="str">
        <f t="shared" si="11"/>
        <v/>
      </c>
      <c r="AD160" s="48" t="str">
        <f>IF(Table3[[#This Row],[Actual Arrival date]]&gt;0,IF(Table3[[#This Row],[Expected arrival date]]&gt;0,Table3[[#This Row],[Actual Arrival date]]-Table3[[#This Row],[Expected arrival date]],""),"")</f>
        <v/>
      </c>
    </row>
    <row r="161" spans="1:30" x14ac:dyDescent="0.25">
      <c r="A161" s="303" t="str">
        <f>Start!$D$7</f>
        <v>Anyland</v>
      </c>
      <c r="B161" s="48" t="str">
        <f>_xlfn.IFNA(VLOOKUP(A161,list!B:C,2,FALSE),"")</f>
        <v>ANY</v>
      </c>
      <c r="C161" s="48"/>
      <c r="D161" s="127"/>
      <c r="E161" s="48" t="str">
        <f>_xlfn.IFNA(VLOOKUP(Table3[[#This Row],[Product]], ProductListTbl[], 3, 0), "")</f>
        <v/>
      </c>
      <c r="F161" s="303" t="str">
        <f>_xlfn.IFNA(VLOOKUP(D161,ProductListTbl[],5,0),"")</f>
        <v/>
      </c>
      <c r="G161" s="303" t="str">
        <f>_xlfn.IFNA(VLOOKUP(D161,ProductListTbl[],6,0),"")</f>
        <v/>
      </c>
      <c r="H161" s="130" t="str">
        <f>_xlfn.IFNA(VLOOKUP(D161,ProductListTbl[],7,0),"")</f>
        <v/>
      </c>
      <c r="I161" s="130" t="str">
        <f>_xlfn.IFNA(VLOOKUP(D161,ProductListTbl[],8,0),"")</f>
        <v/>
      </c>
      <c r="J161" s="127"/>
      <c r="K161" s="129"/>
      <c r="L161" s="128"/>
      <c r="M161" s="305" t="str">
        <f>IFERROR(Table3[[#This Row],[Quantity (doses)]]/Table3[[#This Row],[Doses per vial or syringe]],"")</f>
        <v/>
      </c>
      <c r="N161" s="127"/>
      <c r="O161" s="127"/>
      <c r="P161" s="381"/>
      <c r="Q161" s="129"/>
      <c r="R161" s="127"/>
      <c r="S161" s="127"/>
      <c r="T161" s="127"/>
      <c r="U161" s="127"/>
      <c r="V161" s="305" t="str">
        <f>_xlfn.IFNA(VLOOKUP(D161,ProductListTbl[],9,0),"")</f>
        <v/>
      </c>
      <c r="W161" s="305" t="str">
        <f>IFERROR(Table3[[#This Row],[Storage space per secondary packaging (cm3)]]*Table3[[#This Row],[Quantity  (vials or syringes)]]/1000,"")</f>
        <v/>
      </c>
      <c r="X161" s="305" t="str">
        <f>IFERROR(Table3[[#This Row],[Storage space per tertiary packaging (cm3)]]*Table3[[#This Row],[Quantity (doses)]]/1000,"")</f>
        <v/>
      </c>
      <c r="Y161" s="293" t="str">
        <f>IF(Table3[[#This Row],[Status]]="Ordered",(DATE(YEAR(P161),MONTH(P161),1)),IF(Table3[[#This Row],[Status]]="Received",(DATE(YEAR(Q161),MONTH(Q161),1)),""))</f>
        <v/>
      </c>
      <c r="Z161" s="304" t="str">
        <f t="shared" si="8"/>
        <v/>
      </c>
      <c r="AA161" s="48" t="str">
        <f t="shared" si="9"/>
        <v/>
      </c>
      <c r="AB161" s="48" t="str">
        <f t="shared" si="10"/>
        <v/>
      </c>
      <c r="AC161" s="292" t="str">
        <f t="shared" si="11"/>
        <v/>
      </c>
      <c r="AD161" s="48" t="str">
        <f>IF(Table3[[#This Row],[Actual Arrival date]]&gt;0,IF(Table3[[#This Row],[Expected arrival date]]&gt;0,Table3[[#This Row],[Actual Arrival date]]-Table3[[#This Row],[Expected arrival date]],""),"")</f>
        <v/>
      </c>
    </row>
    <row r="162" spans="1:30" x14ac:dyDescent="0.25">
      <c r="A162" s="303" t="str">
        <f>Start!$D$7</f>
        <v>Anyland</v>
      </c>
      <c r="B162" s="48" t="str">
        <f>_xlfn.IFNA(VLOOKUP(A162,list!B:C,2,FALSE),"")</f>
        <v>ANY</v>
      </c>
      <c r="C162" s="48"/>
      <c r="D162" s="127"/>
      <c r="E162" s="48" t="str">
        <f>_xlfn.IFNA(VLOOKUP(Table3[[#This Row],[Product]], ProductListTbl[], 3, 0), "")</f>
        <v/>
      </c>
      <c r="F162" s="303" t="str">
        <f>_xlfn.IFNA(VLOOKUP(D162,ProductListTbl[],5,0),"")</f>
        <v/>
      </c>
      <c r="G162" s="303" t="str">
        <f>_xlfn.IFNA(VLOOKUP(D162,ProductListTbl[],6,0),"")</f>
        <v/>
      </c>
      <c r="H162" s="130" t="str">
        <f>_xlfn.IFNA(VLOOKUP(D162,ProductListTbl[],7,0),"")</f>
        <v/>
      </c>
      <c r="I162" s="130" t="str">
        <f>_xlfn.IFNA(VLOOKUP(D162,ProductListTbl[],8,0),"")</f>
        <v/>
      </c>
      <c r="J162" s="127"/>
      <c r="K162" s="129"/>
      <c r="L162" s="128"/>
      <c r="M162" s="305" t="str">
        <f>IFERROR(Table3[[#This Row],[Quantity (doses)]]/Table3[[#This Row],[Doses per vial or syringe]],"")</f>
        <v/>
      </c>
      <c r="N162" s="127"/>
      <c r="O162" s="127"/>
      <c r="P162" s="381"/>
      <c r="Q162" s="129"/>
      <c r="R162" s="127"/>
      <c r="S162" s="127"/>
      <c r="T162" s="127"/>
      <c r="U162" s="127"/>
      <c r="V162" s="305" t="str">
        <f>_xlfn.IFNA(VLOOKUP(D162,ProductListTbl[],9,0),"")</f>
        <v/>
      </c>
      <c r="W162" s="305" t="str">
        <f>IFERROR(Table3[[#This Row],[Storage space per secondary packaging (cm3)]]*Table3[[#This Row],[Quantity  (vials or syringes)]]/1000,"")</f>
        <v/>
      </c>
      <c r="X162" s="305" t="str">
        <f>IFERROR(Table3[[#This Row],[Storage space per tertiary packaging (cm3)]]*Table3[[#This Row],[Quantity (doses)]]/1000,"")</f>
        <v/>
      </c>
      <c r="Y162" s="293" t="str">
        <f>IF(Table3[[#This Row],[Status]]="Ordered",(DATE(YEAR(P162),MONTH(P162),1)),IF(Table3[[#This Row],[Status]]="Received",(DATE(YEAR(Q162),MONTH(Q162),1)),""))</f>
        <v/>
      </c>
      <c r="Z162" s="304" t="str">
        <f t="shared" si="8"/>
        <v/>
      </c>
      <c r="AA162" s="48" t="str">
        <f t="shared" si="9"/>
        <v/>
      </c>
      <c r="AB162" s="48" t="str">
        <f t="shared" si="10"/>
        <v/>
      </c>
      <c r="AC162" s="292" t="str">
        <f t="shared" si="11"/>
        <v/>
      </c>
      <c r="AD162" s="48" t="str">
        <f>IF(Table3[[#This Row],[Actual Arrival date]]&gt;0,IF(Table3[[#This Row],[Expected arrival date]]&gt;0,Table3[[#This Row],[Actual Arrival date]]-Table3[[#This Row],[Expected arrival date]],""),"")</f>
        <v/>
      </c>
    </row>
    <row r="163" spans="1:30" x14ac:dyDescent="0.25">
      <c r="A163" s="303" t="str">
        <f>Start!$D$7</f>
        <v>Anyland</v>
      </c>
      <c r="B163" s="48" t="str">
        <f>_xlfn.IFNA(VLOOKUP(A163,list!B:C,2,FALSE),"")</f>
        <v>ANY</v>
      </c>
      <c r="C163" s="48"/>
      <c r="D163" s="127"/>
      <c r="E163" s="48" t="str">
        <f>_xlfn.IFNA(VLOOKUP(Table3[[#This Row],[Product]], ProductListTbl[], 3, 0), "")</f>
        <v/>
      </c>
      <c r="F163" s="303" t="str">
        <f>_xlfn.IFNA(VLOOKUP(D163,ProductListTbl[],5,0),"")</f>
        <v/>
      </c>
      <c r="G163" s="303" t="str">
        <f>_xlfn.IFNA(VLOOKUP(D163,ProductListTbl[],6,0),"")</f>
        <v/>
      </c>
      <c r="H163" s="130" t="str">
        <f>_xlfn.IFNA(VLOOKUP(D163,ProductListTbl[],7,0),"")</f>
        <v/>
      </c>
      <c r="I163" s="130" t="str">
        <f>_xlfn.IFNA(VLOOKUP(D163,ProductListTbl[],8,0),"")</f>
        <v/>
      </c>
      <c r="J163" s="127"/>
      <c r="K163" s="129"/>
      <c r="L163" s="128"/>
      <c r="M163" s="305" t="str">
        <f>IFERROR(Table3[[#This Row],[Quantity (doses)]]/Table3[[#This Row],[Doses per vial or syringe]],"")</f>
        <v/>
      </c>
      <c r="N163" s="127"/>
      <c r="O163" s="127"/>
      <c r="P163" s="381"/>
      <c r="Q163" s="129"/>
      <c r="R163" s="127"/>
      <c r="S163" s="127"/>
      <c r="T163" s="127"/>
      <c r="U163" s="127"/>
      <c r="V163" s="305" t="str">
        <f>_xlfn.IFNA(VLOOKUP(D163,ProductListTbl[],9,0),"")</f>
        <v/>
      </c>
      <c r="W163" s="305" t="str">
        <f>IFERROR(Table3[[#This Row],[Storage space per secondary packaging (cm3)]]*Table3[[#This Row],[Quantity  (vials or syringes)]]/1000,"")</f>
        <v/>
      </c>
      <c r="X163" s="305" t="str">
        <f>IFERROR(Table3[[#This Row],[Storage space per tertiary packaging (cm3)]]*Table3[[#This Row],[Quantity (doses)]]/1000,"")</f>
        <v/>
      </c>
      <c r="Y163" s="293" t="str">
        <f>IF(Table3[[#This Row],[Status]]="Ordered",(DATE(YEAR(P163),MONTH(P163),1)),IF(Table3[[#This Row],[Status]]="Received",(DATE(YEAR(Q163),MONTH(Q163),1)),""))</f>
        <v/>
      </c>
      <c r="Z163" s="304" t="str">
        <f t="shared" si="8"/>
        <v/>
      </c>
      <c r="AA163" s="48" t="str">
        <f t="shared" si="9"/>
        <v/>
      </c>
      <c r="AB163" s="48" t="str">
        <f t="shared" si="10"/>
        <v/>
      </c>
      <c r="AC163" s="292" t="str">
        <f t="shared" si="11"/>
        <v/>
      </c>
      <c r="AD163" s="48" t="str">
        <f>IF(Table3[[#This Row],[Actual Arrival date]]&gt;0,IF(Table3[[#This Row],[Expected arrival date]]&gt;0,Table3[[#This Row],[Actual Arrival date]]-Table3[[#This Row],[Expected arrival date]],""),"")</f>
        <v/>
      </c>
    </row>
    <row r="164" spans="1:30" x14ac:dyDescent="0.25">
      <c r="A164" s="303" t="str">
        <f>Start!$D$7</f>
        <v>Anyland</v>
      </c>
      <c r="B164" s="48" t="str">
        <f>_xlfn.IFNA(VLOOKUP(A164,list!B:C,2,FALSE),"")</f>
        <v>ANY</v>
      </c>
      <c r="C164" s="48"/>
      <c r="D164" s="127"/>
      <c r="E164" s="48" t="str">
        <f>_xlfn.IFNA(VLOOKUP(Table3[[#This Row],[Product]], ProductListTbl[], 3, 0), "")</f>
        <v/>
      </c>
      <c r="F164" s="303" t="str">
        <f>_xlfn.IFNA(VLOOKUP(D164,ProductListTbl[],5,0),"")</f>
        <v/>
      </c>
      <c r="G164" s="303" t="str">
        <f>_xlfn.IFNA(VLOOKUP(D164,ProductListTbl[],6,0),"")</f>
        <v/>
      </c>
      <c r="H164" s="130" t="str">
        <f>_xlfn.IFNA(VLOOKUP(D164,ProductListTbl[],7,0),"")</f>
        <v/>
      </c>
      <c r="I164" s="130" t="str">
        <f>_xlfn.IFNA(VLOOKUP(D164,ProductListTbl[],8,0),"")</f>
        <v/>
      </c>
      <c r="J164" s="127"/>
      <c r="K164" s="129"/>
      <c r="L164" s="128"/>
      <c r="M164" s="305" t="str">
        <f>IFERROR(Table3[[#This Row],[Quantity (doses)]]/Table3[[#This Row],[Doses per vial or syringe]],"")</f>
        <v/>
      </c>
      <c r="N164" s="127"/>
      <c r="O164" s="127"/>
      <c r="P164" s="381"/>
      <c r="Q164" s="129"/>
      <c r="R164" s="127"/>
      <c r="S164" s="127"/>
      <c r="T164" s="127"/>
      <c r="U164" s="127"/>
      <c r="V164" s="305" t="str">
        <f>_xlfn.IFNA(VLOOKUP(D164,ProductListTbl[],9,0),"")</f>
        <v/>
      </c>
      <c r="W164" s="305" t="str">
        <f>IFERROR(Table3[[#This Row],[Storage space per secondary packaging (cm3)]]*Table3[[#This Row],[Quantity  (vials or syringes)]]/1000,"")</f>
        <v/>
      </c>
      <c r="X164" s="305" t="str">
        <f>IFERROR(Table3[[#This Row],[Storage space per tertiary packaging (cm3)]]*Table3[[#This Row],[Quantity (doses)]]/1000,"")</f>
        <v/>
      </c>
      <c r="Y164" s="293" t="str">
        <f>IF(Table3[[#This Row],[Status]]="Ordered",(DATE(YEAR(P164),MONTH(P164),1)),IF(Table3[[#This Row],[Status]]="Received",(DATE(YEAR(Q164),MONTH(Q164),1)),""))</f>
        <v/>
      </c>
      <c r="Z164" s="304" t="str">
        <f t="shared" si="8"/>
        <v/>
      </c>
      <c r="AA164" s="48" t="str">
        <f t="shared" si="9"/>
        <v/>
      </c>
      <c r="AB164" s="48" t="str">
        <f t="shared" si="10"/>
        <v/>
      </c>
      <c r="AC164" s="292" t="str">
        <f t="shared" si="11"/>
        <v/>
      </c>
      <c r="AD164" s="48" t="str">
        <f>IF(Table3[[#This Row],[Actual Arrival date]]&gt;0,IF(Table3[[#This Row],[Expected arrival date]]&gt;0,Table3[[#This Row],[Actual Arrival date]]-Table3[[#This Row],[Expected arrival date]],""),"")</f>
        <v/>
      </c>
    </row>
    <row r="165" spans="1:30" x14ac:dyDescent="0.25">
      <c r="A165" s="303" t="str">
        <f>Start!$D$7</f>
        <v>Anyland</v>
      </c>
      <c r="B165" s="48" t="str">
        <f>_xlfn.IFNA(VLOOKUP(A165,list!B:C,2,FALSE),"")</f>
        <v>ANY</v>
      </c>
      <c r="C165" s="48"/>
      <c r="D165" s="127"/>
      <c r="E165" s="48" t="str">
        <f>_xlfn.IFNA(VLOOKUP(Table3[[#This Row],[Product]], ProductListTbl[], 3, 0), "")</f>
        <v/>
      </c>
      <c r="F165" s="303" t="str">
        <f>_xlfn.IFNA(VLOOKUP(D165,ProductListTbl[],5,0),"")</f>
        <v/>
      </c>
      <c r="G165" s="303" t="str">
        <f>_xlfn.IFNA(VLOOKUP(D165,ProductListTbl[],6,0),"")</f>
        <v/>
      </c>
      <c r="H165" s="130" t="str">
        <f>_xlfn.IFNA(VLOOKUP(D165,ProductListTbl[],7,0),"")</f>
        <v/>
      </c>
      <c r="I165" s="130" t="str">
        <f>_xlfn.IFNA(VLOOKUP(D165,ProductListTbl[],8,0),"")</f>
        <v/>
      </c>
      <c r="J165" s="127"/>
      <c r="K165" s="129"/>
      <c r="L165" s="128"/>
      <c r="M165" s="305" t="str">
        <f>IFERROR(Table3[[#This Row],[Quantity (doses)]]/Table3[[#This Row],[Doses per vial or syringe]],"")</f>
        <v/>
      </c>
      <c r="N165" s="127"/>
      <c r="O165" s="127"/>
      <c r="P165" s="381"/>
      <c r="Q165" s="129"/>
      <c r="R165" s="127"/>
      <c r="S165" s="127"/>
      <c r="T165" s="127"/>
      <c r="U165" s="127"/>
      <c r="V165" s="305" t="str">
        <f>_xlfn.IFNA(VLOOKUP(D165,ProductListTbl[],9,0),"")</f>
        <v/>
      </c>
      <c r="W165" s="305" t="str">
        <f>IFERROR(Table3[[#This Row],[Storage space per secondary packaging (cm3)]]*Table3[[#This Row],[Quantity  (vials or syringes)]]/1000,"")</f>
        <v/>
      </c>
      <c r="X165" s="305" t="str">
        <f>IFERROR(Table3[[#This Row],[Storage space per tertiary packaging (cm3)]]*Table3[[#This Row],[Quantity (doses)]]/1000,"")</f>
        <v/>
      </c>
      <c r="Y165" s="293" t="str">
        <f>IF(Table3[[#This Row],[Status]]="Ordered",(DATE(YEAR(P165),MONTH(P165),1)),IF(Table3[[#This Row],[Status]]="Received",(DATE(YEAR(Q165),MONTH(Q165),1)),""))</f>
        <v/>
      </c>
      <c r="Z165" s="304" t="str">
        <f t="shared" si="8"/>
        <v/>
      </c>
      <c r="AA165" s="48" t="str">
        <f t="shared" si="9"/>
        <v/>
      </c>
      <c r="AB165" s="48" t="str">
        <f t="shared" si="10"/>
        <v/>
      </c>
      <c r="AC165" s="292" t="str">
        <f t="shared" si="11"/>
        <v/>
      </c>
      <c r="AD165" s="48" t="str">
        <f>IF(Table3[[#This Row],[Actual Arrival date]]&gt;0,IF(Table3[[#This Row],[Expected arrival date]]&gt;0,Table3[[#This Row],[Actual Arrival date]]-Table3[[#This Row],[Expected arrival date]],""),"")</f>
        <v/>
      </c>
    </row>
    <row r="166" spans="1:30" x14ac:dyDescent="0.25">
      <c r="A166" s="303" t="str">
        <f>Start!$D$7</f>
        <v>Anyland</v>
      </c>
      <c r="B166" s="48" t="str">
        <f>_xlfn.IFNA(VLOOKUP(A166,list!B:C,2,FALSE),"")</f>
        <v>ANY</v>
      </c>
      <c r="C166" s="48"/>
      <c r="D166" s="127"/>
      <c r="E166" s="48" t="str">
        <f>_xlfn.IFNA(VLOOKUP(Table3[[#This Row],[Product]], ProductListTbl[], 3, 0), "")</f>
        <v/>
      </c>
      <c r="F166" s="303" t="str">
        <f>_xlfn.IFNA(VLOOKUP(D166,ProductListTbl[],5,0),"")</f>
        <v/>
      </c>
      <c r="G166" s="303" t="str">
        <f>_xlfn.IFNA(VLOOKUP(D166,ProductListTbl[],6,0),"")</f>
        <v/>
      </c>
      <c r="H166" s="130" t="str">
        <f>_xlfn.IFNA(VLOOKUP(D166,ProductListTbl[],7,0),"")</f>
        <v/>
      </c>
      <c r="I166" s="130" t="str">
        <f>_xlfn.IFNA(VLOOKUP(D166,ProductListTbl[],8,0),"")</f>
        <v/>
      </c>
      <c r="J166" s="127"/>
      <c r="K166" s="129"/>
      <c r="L166" s="128"/>
      <c r="M166" s="305" t="str">
        <f>IFERROR(Table3[[#This Row],[Quantity (doses)]]/Table3[[#This Row],[Doses per vial or syringe]],"")</f>
        <v/>
      </c>
      <c r="N166" s="127"/>
      <c r="O166" s="127"/>
      <c r="P166" s="381"/>
      <c r="Q166" s="129"/>
      <c r="R166" s="127"/>
      <c r="S166" s="127"/>
      <c r="T166" s="127"/>
      <c r="U166" s="127"/>
      <c r="V166" s="305" t="str">
        <f>_xlfn.IFNA(VLOOKUP(D166,ProductListTbl[],9,0),"")</f>
        <v/>
      </c>
      <c r="W166" s="305" t="str">
        <f>IFERROR(Table3[[#This Row],[Storage space per secondary packaging (cm3)]]*Table3[[#This Row],[Quantity  (vials or syringes)]]/1000,"")</f>
        <v/>
      </c>
      <c r="X166" s="305" t="str">
        <f>IFERROR(Table3[[#This Row],[Storage space per tertiary packaging (cm3)]]*Table3[[#This Row],[Quantity (doses)]]/1000,"")</f>
        <v/>
      </c>
      <c r="Y166" s="293" t="str">
        <f>IF(Table3[[#This Row],[Status]]="Ordered",(DATE(YEAR(P166),MONTH(P166),1)),IF(Table3[[#This Row],[Status]]="Received",(DATE(YEAR(Q166),MONTH(Q166),1)),""))</f>
        <v/>
      </c>
      <c r="Z166" s="304" t="str">
        <f t="shared" si="8"/>
        <v/>
      </c>
      <c r="AA166" s="48" t="str">
        <f t="shared" si="9"/>
        <v/>
      </c>
      <c r="AB166" s="48" t="str">
        <f t="shared" si="10"/>
        <v/>
      </c>
      <c r="AC166" s="292" t="str">
        <f t="shared" si="11"/>
        <v/>
      </c>
      <c r="AD166" s="48" t="str">
        <f>IF(Table3[[#This Row],[Actual Arrival date]]&gt;0,IF(Table3[[#This Row],[Expected arrival date]]&gt;0,Table3[[#This Row],[Actual Arrival date]]-Table3[[#This Row],[Expected arrival date]],""),"")</f>
        <v/>
      </c>
    </row>
    <row r="167" spans="1:30" x14ac:dyDescent="0.25">
      <c r="A167" s="303" t="str">
        <f>Start!$D$7</f>
        <v>Anyland</v>
      </c>
      <c r="B167" s="48" t="str">
        <f>_xlfn.IFNA(VLOOKUP(A167,list!B:C,2,FALSE),"")</f>
        <v>ANY</v>
      </c>
      <c r="C167" s="48"/>
      <c r="D167" s="127"/>
      <c r="E167" s="48" t="str">
        <f>_xlfn.IFNA(VLOOKUP(Table3[[#This Row],[Product]], ProductListTbl[], 3, 0), "")</f>
        <v/>
      </c>
      <c r="F167" s="303" t="str">
        <f>_xlfn.IFNA(VLOOKUP(D167,ProductListTbl[],5,0),"")</f>
        <v/>
      </c>
      <c r="G167" s="303" t="str">
        <f>_xlfn.IFNA(VLOOKUP(D167,ProductListTbl[],6,0),"")</f>
        <v/>
      </c>
      <c r="H167" s="130" t="str">
        <f>_xlfn.IFNA(VLOOKUP(D167,ProductListTbl[],7,0),"")</f>
        <v/>
      </c>
      <c r="I167" s="130" t="str">
        <f>_xlfn.IFNA(VLOOKUP(D167,ProductListTbl[],8,0),"")</f>
        <v/>
      </c>
      <c r="J167" s="127"/>
      <c r="K167" s="129"/>
      <c r="L167" s="128"/>
      <c r="M167" s="305" t="str">
        <f>IFERROR(Table3[[#This Row],[Quantity (doses)]]/Table3[[#This Row],[Doses per vial or syringe]],"")</f>
        <v/>
      </c>
      <c r="N167" s="127"/>
      <c r="O167" s="127"/>
      <c r="P167" s="381"/>
      <c r="Q167" s="129"/>
      <c r="R167" s="127"/>
      <c r="S167" s="127"/>
      <c r="T167" s="127"/>
      <c r="U167" s="127"/>
      <c r="V167" s="305" t="str">
        <f>_xlfn.IFNA(VLOOKUP(D167,ProductListTbl[],9,0),"")</f>
        <v/>
      </c>
      <c r="W167" s="305" t="str">
        <f>IFERROR(Table3[[#This Row],[Storage space per secondary packaging (cm3)]]*Table3[[#This Row],[Quantity  (vials or syringes)]]/1000,"")</f>
        <v/>
      </c>
      <c r="X167" s="305" t="str">
        <f>IFERROR(Table3[[#This Row],[Storage space per tertiary packaging (cm3)]]*Table3[[#This Row],[Quantity (doses)]]/1000,"")</f>
        <v/>
      </c>
      <c r="Y167" s="293" t="str">
        <f>IF(Table3[[#This Row],[Status]]="Ordered",(DATE(YEAR(P167),MONTH(P167),1)),IF(Table3[[#This Row],[Status]]="Received",(DATE(YEAR(Q167),MONTH(Q167),1)),""))</f>
        <v/>
      </c>
      <c r="Z167" s="304" t="str">
        <f t="shared" si="8"/>
        <v/>
      </c>
      <c r="AA167" s="48" t="str">
        <f t="shared" si="9"/>
        <v/>
      </c>
      <c r="AB167" s="48" t="str">
        <f t="shared" si="10"/>
        <v/>
      </c>
      <c r="AC167" s="292" t="str">
        <f t="shared" si="11"/>
        <v/>
      </c>
      <c r="AD167" s="48" t="str">
        <f>IF(Table3[[#This Row],[Actual Arrival date]]&gt;0,IF(Table3[[#This Row],[Expected arrival date]]&gt;0,Table3[[#This Row],[Actual Arrival date]]-Table3[[#This Row],[Expected arrival date]],""),"")</f>
        <v/>
      </c>
    </row>
    <row r="168" spans="1:30" x14ac:dyDescent="0.25">
      <c r="A168" s="303" t="str">
        <f>Start!$D$7</f>
        <v>Anyland</v>
      </c>
      <c r="B168" s="48" t="str">
        <f>_xlfn.IFNA(VLOOKUP(A168,list!B:C,2,FALSE),"")</f>
        <v>ANY</v>
      </c>
      <c r="C168" s="48"/>
      <c r="D168" s="127"/>
      <c r="E168" s="48" t="str">
        <f>_xlfn.IFNA(VLOOKUP(Table3[[#This Row],[Product]], ProductListTbl[], 3, 0), "")</f>
        <v/>
      </c>
      <c r="F168" s="303" t="str">
        <f>_xlfn.IFNA(VLOOKUP(D168,ProductListTbl[],5,0),"")</f>
        <v/>
      </c>
      <c r="G168" s="303" t="str">
        <f>_xlfn.IFNA(VLOOKUP(D168,ProductListTbl[],6,0),"")</f>
        <v/>
      </c>
      <c r="H168" s="130" t="str">
        <f>_xlfn.IFNA(VLOOKUP(D168,ProductListTbl[],7,0),"")</f>
        <v/>
      </c>
      <c r="I168" s="130" t="str">
        <f>_xlfn.IFNA(VLOOKUP(D168,ProductListTbl[],8,0),"")</f>
        <v/>
      </c>
      <c r="J168" s="127"/>
      <c r="K168" s="129"/>
      <c r="L168" s="128"/>
      <c r="M168" s="305" t="str">
        <f>IFERROR(Table3[[#This Row],[Quantity (doses)]]/Table3[[#This Row],[Doses per vial or syringe]],"")</f>
        <v/>
      </c>
      <c r="N168" s="127"/>
      <c r="O168" s="127"/>
      <c r="P168" s="381"/>
      <c r="Q168" s="129"/>
      <c r="R168" s="127"/>
      <c r="S168" s="127"/>
      <c r="T168" s="127"/>
      <c r="U168" s="127"/>
      <c r="V168" s="305" t="str">
        <f>_xlfn.IFNA(VLOOKUP(D168,ProductListTbl[],9,0),"")</f>
        <v/>
      </c>
      <c r="W168" s="305" t="str">
        <f>IFERROR(Table3[[#This Row],[Storage space per secondary packaging (cm3)]]*Table3[[#This Row],[Quantity  (vials or syringes)]]/1000,"")</f>
        <v/>
      </c>
      <c r="X168" s="305" t="str">
        <f>IFERROR(Table3[[#This Row],[Storage space per tertiary packaging (cm3)]]*Table3[[#This Row],[Quantity (doses)]]/1000,"")</f>
        <v/>
      </c>
      <c r="Y168" s="293" t="str">
        <f>IF(Table3[[#This Row],[Status]]="Ordered",(DATE(YEAR(P168),MONTH(P168),1)),IF(Table3[[#This Row],[Status]]="Received",(DATE(YEAR(Q168),MONTH(Q168),1)),""))</f>
        <v/>
      </c>
      <c r="Z168" s="304" t="str">
        <f t="shared" si="8"/>
        <v/>
      </c>
      <c r="AA168" s="48" t="str">
        <f t="shared" si="9"/>
        <v/>
      </c>
      <c r="AB168" s="48" t="str">
        <f t="shared" si="10"/>
        <v/>
      </c>
      <c r="AC168" s="292" t="str">
        <f t="shared" si="11"/>
        <v/>
      </c>
      <c r="AD168" s="48" t="str">
        <f>IF(Table3[[#This Row],[Actual Arrival date]]&gt;0,IF(Table3[[#This Row],[Expected arrival date]]&gt;0,Table3[[#This Row],[Actual Arrival date]]-Table3[[#This Row],[Expected arrival date]],""),"")</f>
        <v/>
      </c>
    </row>
    <row r="169" spans="1:30" x14ac:dyDescent="0.25">
      <c r="A169" s="303" t="str">
        <f>Start!$D$7</f>
        <v>Anyland</v>
      </c>
      <c r="B169" s="48" t="str">
        <f>_xlfn.IFNA(VLOOKUP(A169,list!B:C,2,FALSE),"")</f>
        <v>ANY</v>
      </c>
      <c r="C169" s="48"/>
      <c r="D169" s="127"/>
      <c r="E169" s="48" t="str">
        <f>_xlfn.IFNA(VLOOKUP(Table3[[#This Row],[Product]], ProductListTbl[], 3, 0), "")</f>
        <v/>
      </c>
      <c r="F169" s="303" t="str">
        <f>_xlfn.IFNA(VLOOKUP(D169,ProductListTbl[],5,0),"")</f>
        <v/>
      </c>
      <c r="G169" s="303" t="str">
        <f>_xlfn.IFNA(VLOOKUP(D169,ProductListTbl[],6,0),"")</f>
        <v/>
      </c>
      <c r="H169" s="130" t="str">
        <f>_xlfn.IFNA(VLOOKUP(D169,ProductListTbl[],7,0),"")</f>
        <v/>
      </c>
      <c r="I169" s="130" t="str">
        <f>_xlfn.IFNA(VLOOKUP(D169,ProductListTbl[],8,0),"")</f>
        <v/>
      </c>
      <c r="J169" s="127"/>
      <c r="K169" s="129"/>
      <c r="L169" s="128"/>
      <c r="M169" s="305" t="str">
        <f>IFERROR(Table3[[#This Row],[Quantity (doses)]]/Table3[[#This Row],[Doses per vial or syringe]],"")</f>
        <v/>
      </c>
      <c r="N169" s="127"/>
      <c r="O169" s="127"/>
      <c r="P169" s="381"/>
      <c r="Q169" s="129"/>
      <c r="R169" s="127"/>
      <c r="S169" s="127"/>
      <c r="T169" s="127"/>
      <c r="U169" s="127"/>
      <c r="V169" s="305" t="str">
        <f>_xlfn.IFNA(VLOOKUP(D169,ProductListTbl[],9,0),"")</f>
        <v/>
      </c>
      <c r="W169" s="305" t="str">
        <f>IFERROR(Table3[[#This Row],[Storage space per secondary packaging (cm3)]]*Table3[[#This Row],[Quantity  (vials or syringes)]]/1000,"")</f>
        <v/>
      </c>
      <c r="X169" s="305" t="str">
        <f>IFERROR(Table3[[#This Row],[Storage space per tertiary packaging (cm3)]]*Table3[[#This Row],[Quantity (doses)]]/1000,"")</f>
        <v/>
      </c>
      <c r="Y169" s="293" t="str">
        <f>IF(Table3[[#This Row],[Status]]="Ordered",(DATE(YEAR(P169),MONTH(P169),1)),IF(Table3[[#This Row],[Status]]="Received",(DATE(YEAR(Q169),MONTH(Q169),1)),""))</f>
        <v/>
      </c>
      <c r="Z169" s="304" t="str">
        <f t="shared" si="8"/>
        <v/>
      </c>
      <c r="AA169" s="48" t="str">
        <f t="shared" si="9"/>
        <v/>
      </c>
      <c r="AB169" s="48" t="str">
        <f t="shared" si="10"/>
        <v/>
      </c>
      <c r="AC169" s="292" t="str">
        <f t="shared" si="11"/>
        <v/>
      </c>
      <c r="AD169" s="48" t="str">
        <f>IF(Table3[[#This Row],[Actual Arrival date]]&gt;0,IF(Table3[[#This Row],[Expected arrival date]]&gt;0,Table3[[#This Row],[Actual Arrival date]]-Table3[[#This Row],[Expected arrival date]],""),"")</f>
        <v/>
      </c>
    </row>
    <row r="170" spans="1:30" x14ac:dyDescent="0.25">
      <c r="A170" s="303" t="str">
        <f>Start!$D$7</f>
        <v>Anyland</v>
      </c>
      <c r="B170" s="48" t="str">
        <f>_xlfn.IFNA(VLOOKUP(A170,list!B:C,2,FALSE),"")</f>
        <v>ANY</v>
      </c>
      <c r="C170" s="48"/>
      <c r="D170" s="127"/>
      <c r="E170" s="48" t="str">
        <f>_xlfn.IFNA(VLOOKUP(Table3[[#This Row],[Product]], ProductListTbl[], 3, 0), "")</f>
        <v/>
      </c>
      <c r="F170" s="303" t="str">
        <f>_xlfn.IFNA(VLOOKUP(D170,ProductListTbl[],5,0),"")</f>
        <v/>
      </c>
      <c r="G170" s="303" t="str">
        <f>_xlfn.IFNA(VLOOKUP(D170,ProductListTbl[],6,0),"")</f>
        <v/>
      </c>
      <c r="H170" s="130" t="str">
        <f>_xlfn.IFNA(VLOOKUP(D170,ProductListTbl[],7,0),"")</f>
        <v/>
      </c>
      <c r="I170" s="130" t="str">
        <f>_xlfn.IFNA(VLOOKUP(D170,ProductListTbl[],8,0),"")</f>
        <v/>
      </c>
      <c r="J170" s="127"/>
      <c r="K170" s="129"/>
      <c r="L170" s="128"/>
      <c r="M170" s="305" t="str">
        <f>IFERROR(Table3[[#This Row],[Quantity (doses)]]/Table3[[#This Row],[Doses per vial or syringe]],"")</f>
        <v/>
      </c>
      <c r="N170" s="127"/>
      <c r="O170" s="127"/>
      <c r="P170" s="381"/>
      <c r="Q170" s="129"/>
      <c r="R170" s="127"/>
      <c r="S170" s="127"/>
      <c r="T170" s="127"/>
      <c r="U170" s="127"/>
      <c r="V170" s="305" t="str">
        <f>_xlfn.IFNA(VLOOKUP(D170,ProductListTbl[],9,0),"")</f>
        <v/>
      </c>
      <c r="W170" s="305" t="str">
        <f>IFERROR(Table3[[#This Row],[Storage space per secondary packaging (cm3)]]*Table3[[#This Row],[Quantity  (vials or syringes)]]/1000,"")</f>
        <v/>
      </c>
      <c r="X170" s="305" t="str">
        <f>IFERROR(Table3[[#This Row],[Storage space per tertiary packaging (cm3)]]*Table3[[#This Row],[Quantity (doses)]]/1000,"")</f>
        <v/>
      </c>
      <c r="Y170" s="293" t="str">
        <f>IF(Table3[[#This Row],[Status]]="Ordered",(DATE(YEAR(P170),MONTH(P170),1)),IF(Table3[[#This Row],[Status]]="Received",(DATE(YEAR(Q170),MONTH(Q170),1)),""))</f>
        <v/>
      </c>
      <c r="Z170" s="304" t="str">
        <f t="shared" si="8"/>
        <v/>
      </c>
      <c r="AA170" s="48" t="str">
        <f t="shared" si="9"/>
        <v/>
      </c>
      <c r="AB170" s="48" t="str">
        <f t="shared" si="10"/>
        <v/>
      </c>
      <c r="AC170" s="292" t="str">
        <f t="shared" si="11"/>
        <v/>
      </c>
      <c r="AD170" s="48" t="str">
        <f>IF(Table3[[#This Row],[Actual Arrival date]]&gt;0,IF(Table3[[#This Row],[Expected arrival date]]&gt;0,Table3[[#This Row],[Actual Arrival date]]-Table3[[#This Row],[Expected arrival date]],""),"")</f>
        <v/>
      </c>
    </row>
    <row r="171" spans="1:30" x14ac:dyDescent="0.25">
      <c r="A171" s="303" t="str">
        <f>Start!$D$7</f>
        <v>Anyland</v>
      </c>
      <c r="B171" s="48" t="str">
        <f>_xlfn.IFNA(VLOOKUP(A171,list!B:C,2,FALSE),"")</f>
        <v>ANY</v>
      </c>
      <c r="C171" s="48"/>
      <c r="D171" s="127"/>
      <c r="E171" s="48" t="str">
        <f>_xlfn.IFNA(VLOOKUP(Table3[[#This Row],[Product]], ProductListTbl[], 3, 0), "")</f>
        <v/>
      </c>
      <c r="F171" s="303" t="str">
        <f>_xlfn.IFNA(VLOOKUP(D171,ProductListTbl[],5,0),"")</f>
        <v/>
      </c>
      <c r="G171" s="303" t="str">
        <f>_xlfn.IFNA(VLOOKUP(D171,ProductListTbl[],6,0),"")</f>
        <v/>
      </c>
      <c r="H171" s="130" t="str">
        <f>_xlfn.IFNA(VLOOKUP(D171,ProductListTbl[],7,0),"")</f>
        <v/>
      </c>
      <c r="I171" s="130" t="str">
        <f>_xlfn.IFNA(VLOOKUP(D171,ProductListTbl[],8,0),"")</f>
        <v/>
      </c>
      <c r="J171" s="127"/>
      <c r="K171" s="129"/>
      <c r="L171" s="128"/>
      <c r="M171" s="305" t="str">
        <f>IFERROR(Table3[[#This Row],[Quantity (doses)]]/Table3[[#This Row],[Doses per vial or syringe]],"")</f>
        <v/>
      </c>
      <c r="N171" s="127"/>
      <c r="O171" s="127"/>
      <c r="P171" s="381"/>
      <c r="Q171" s="129"/>
      <c r="R171" s="127"/>
      <c r="S171" s="127"/>
      <c r="T171" s="127"/>
      <c r="U171" s="127"/>
      <c r="V171" s="305" t="str">
        <f>_xlfn.IFNA(VLOOKUP(D171,ProductListTbl[],9,0),"")</f>
        <v/>
      </c>
      <c r="W171" s="305" t="str">
        <f>IFERROR(Table3[[#This Row],[Storage space per secondary packaging (cm3)]]*Table3[[#This Row],[Quantity  (vials or syringes)]]/1000,"")</f>
        <v/>
      </c>
      <c r="X171" s="305" t="str">
        <f>IFERROR(Table3[[#This Row],[Storage space per tertiary packaging (cm3)]]*Table3[[#This Row],[Quantity (doses)]]/1000,"")</f>
        <v/>
      </c>
      <c r="Y171" s="293" t="str">
        <f>IF(Table3[[#This Row],[Status]]="Ordered",(DATE(YEAR(P171),MONTH(P171),1)),IF(Table3[[#This Row],[Status]]="Received",(DATE(YEAR(Q171),MONTH(Q171),1)),""))</f>
        <v/>
      </c>
      <c r="Z171" s="304" t="str">
        <f t="shared" si="8"/>
        <v/>
      </c>
      <c r="AA171" s="48" t="str">
        <f t="shared" si="9"/>
        <v/>
      </c>
      <c r="AB171" s="48" t="str">
        <f t="shared" si="10"/>
        <v/>
      </c>
      <c r="AC171" s="292" t="str">
        <f t="shared" si="11"/>
        <v/>
      </c>
      <c r="AD171" s="48" t="str">
        <f>IF(Table3[[#This Row],[Actual Arrival date]]&gt;0,IF(Table3[[#This Row],[Expected arrival date]]&gt;0,Table3[[#This Row],[Actual Arrival date]]-Table3[[#This Row],[Expected arrival date]],""),"")</f>
        <v/>
      </c>
    </row>
    <row r="172" spans="1:30" x14ac:dyDescent="0.25">
      <c r="A172" s="303" t="str">
        <f>Start!$D$7</f>
        <v>Anyland</v>
      </c>
      <c r="B172" s="48" t="str">
        <f>_xlfn.IFNA(VLOOKUP(A172,list!B:C,2,FALSE),"")</f>
        <v>ANY</v>
      </c>
      <c r="C172" s="48"/>
      <c r="D172" s="127"/>
      <c r="E172" s="48" t="str">
        <f>_xlfn.IFNA(VLOOKUP(Table3[[#This Row],[Product]], ProductListTbl[], 3, 0), "")</f>
        <v/>
      </c>
      <c r="F172" s="303" t="str">
        <f>_xlfn.IFNA(VLOOKUP(D172,ProductListTbl[],5,0),"")</f>
        <v/>
      </c>
      <c r="G172" s="303" t="str">
        <f>_xlfn.IFNA(VLOOKUP(D172,ProductListTbl[],6,0),"")</f>
        <v/>
      </c>
      <c r="H172" s="130" t="str">
        <f>_xlfn.IFNA(VLOOKUP(D172,ProductListTbl[],7,0),"")</f>
        <v/>
      </c>
      <c r="I172" s="130" t="str">
        <f>_xlfn.IFNA(VLOOKUP(D172,ProductListTbl[],8,0),"")</f>
        <v/>
      </c>
      <c r="J172" s="127"/>
      <c r="K172" s="129"/>
      <c r="L172" s="128"/>
      <c r="M172" s="305" t="str">
        <f>IFERROR(Table3[[#This Row],[Quantity (doses)]]/Table3[[#This Row],[Doses per vial or syringe]],"")</f>
        <v/>
      </c>
      <c r="N172" s="127"/>
      <c r="O172" s="127"/>
      <c r="P172" s="381"/>
      <c r="Q172" s="129"/>
      <c r="R172" s="127"/>
      <c r="S172" s="127"/>
      <c r="T172" s="127"/>
      <c r="U172" s="127"/>
      <c r="V172" s="305" t="str">
        <f>_xlfn.IFNA(VLOOKUP(D172,ProductListTbl[],9,0),"")</f>
        <v/>
      </c>
      <c r="W172" s="305" t="str">
        <f>IFERROR(Table3[[#This Row],[Storage space per secondary packaging (cm3)]]*Table3[[#This Row],[Quantity  (vials or syringes)]]/1000,"")</f>
        <v/>
      </c>
      <c r="X172" s="305" t="str">
        <f>IFERROR(Table3[[#This Row],[Storage space per tertiary packaging (cm3)]]*Table3[[#This Row],[Quantity (doses)]]/1000,"")</f>
        <v/>
      </c>
      <c r="Y172" s="293" t="str">
        <f>IF(Table3[[#This Row],[Status]]="Ordered",(DATE(YEAR(P172),MONTH(P172),1)),IF(Table3[[#This Row],[Status]]="Received",(DATE(YEAR(Q172),MONTH(Q172),1)),""))</f>
        <v/>
      </c>
      <c r="Z172" s="304" t="str">
        <f t="shared" si="8"/>
        <v/>
      </c>
      <c r="AA172" s="48" t="str">
        <f t="shared" si="9"/>
        <v/>
      </c>
      <c r="AB172" s="48" t="str">
        <f t="shared" si="10"/>
        <v/>
      </c>
      <c r="AC172" s="292" t="str">
        <f t="shared" si="11"/>
        <v/>
      </c>
      <c r="AD172" s="48" t="str">
        <f>IF(Table3[[#This Row],[Actual Arrival date]]&gt;0,IF(Table3[[#This Row],[Expected arrival date]]&gt;0,Table3[[#This Row],[Actual Arrival date]]-Table3[[#This Row],[Expected arrival date]],""),"")</f>
        <v/>
      </c>
    </row>
    <row r="173" spans="1:30" x14ac:dyDescent="0.25">
      <c r="A173" s="303" t="str">
        <f>Start!$D$7</f>
        <v>Anyland</v>
      </c>
      <c r="B173" s="48" t="str">
        <f>_xlfn.IFNA(VLOOKUP(A173,list!B:C,2,FALSE),"")</f>
        <v>ANY</v>
      </c>
      <c r="C173" s="48"/>
      <c r="D173" s="127"/>
      <c r="E173" s="48" t="str">
        <f>_xlfn.IFNA(VLOOKUP(Table3[[#This Row],[Product]], ProductListTbl[], 3, 0), "")</f>
        <v/>
      </c>
      <c r="F173" s="303" t="str">
        <f>_xlfn.IFNA(VLOOKUP(D173,ProductListTbl[],5,0),"")</f>
        <v/>
      </c>
      <c r="G173" s="303" t="str">
        <f>_xlfn.IFNA(VLOOKUP(D173,ProductListTbl[],6,0),"")</f>
        <v/>
      </c>
      <c r="H173" s="130" t="str">
        <f>_xlfn.IFNA(VLOOKUP(D173,ProductListTbl[],7,0),"")</f>
        <v/>
      </c>
      <c r="I173" s="130" t="str">
        <f>_xlfn.IFNA(VLOOKUP(D173,ProductListTbl[],8,0),"")</f>
        <v/>
      </c>
      <c r="J173" s="127"/>
      <c r="K173" s="129"/>
      <c r="L173" s="128"/>
      <c r="M173" s="305" t="str">
        <f>IFERROR(Table3[[#This Row],[Quantity (doses)]]/Table3[[#This Row],[Doses per vial or syringe]],"")</f>
        <v/>
      </c>
      <c r="N173" s="127"/>
      <c r="O173" s="127"/>
      <c r="P173" s="381"/>
      <c r="Q173" s="129"/>
      <c r="R173" s="127"/>
      <c r="S173" s="127"/>
      <c r="T173" s="127"/>
      <c r="U173" s="127"/>
      <c r="V173" s="305" t="str">
        <f>_xlfn.IFNA(VLOOKUP(D173,ProductListTbl[],9,0),"")</f>
        <v/>
      </c>
      <c r="W173" s="305" t="str">
        <f>IFERROR(Table3[[#This Row],[Storage space per secondary packaging (cm3)]]*Table3[[#This Row],[Quantity  (vials or syringes)]]/1000,"")</f>
        <v/>
      </c>
      <c r="X173" s="305" t="str">
        <f>IFERROR(Table3[[#This Row],[Storage space per tertiary packaging (cm3)]]*Table3[[#This Row],[Quantity (doses)]]/1000,"")</f>
        <v/>
      </c>
      <c r="Y173" s="293" t="str">
        <f>IF(Table3[[#This Row],[Status]]="Ordered",(DATE(YEAR(P173),MONTH(P173),1)),IF(Table3[[#This Row],[Status]]="Received",(DATE(YEAR(Q173),MONTH(Q173),1)),""))</f>
        <v/>
      </c>
      <c r="Z173" s="304" t="str">
        <f t="shared" si="8"/>
        <v/>
      </c>
      <c r="AA173" s="48" t="str">
        <f t="shared" si="9"/>
        <v/>
      </c>
      <c r="AB173" s="48" t="str">
        <f t="shared" si="10"/>
        <v/>
      </c>
      <c r="AC173" s="292" t="str">
        <f t="shared" si="11"/>
        <v/>
      </c>
      <c r="AD173" s="48" t="str">
        <f>IF(Table3[[#This Row],[Actual Arrival date]]&gt;0,IF(Table3[[#This Row],[Expected arrival date]]&gt;0,Table3[[#This Row],[Actual Arrival date]]-Table3[[#This Row],[Expected arrival date]],""),"")</f>
        <v/>
      </c>
    </row>
    <row r="174" spans="1:30" x14ac:dyDescent="0.25">
      <c r="A174" s="303" t="str">
        <f>Start!$D$7</f>
        <v>Anyland</v>
      </c>
      <c r="B174" s="48" t="str">
        <f>_xlfn.IFNA(VLOOKUP(A174,list!B:C,2,FALSE),"")</f>
        <v>ANY</v>
      </c>
      <c r="C174" s="48"/>
      <c r="D174" s="127"/>
      <c r="E174" s="48" t="str">
        <f>_xlfn.IFNA(VLOOKUP(Table3[[#This Row],[Product]], ProductListTbl[], 3, 0), "")</f>
        <v/>
      </c>
      <c r="F174" s="303" t="str">
        <f>_xlfn.IFNA(VLOOKUP(D174,ProductListTbl[],5,0),"")</f>
        <v/>
      </c>
      <c r="G174" s="303" t="str">
        <f>_xlfn.IFNA(VLOOKUP(D174,ProductListTbl[],6,0),"")</f>
        <v/>
      </c>
      <c r="H174" s="130" t="str">
        <f>_xlfn.IFNA(VLOOKUP(D174,ProductListTbl[],7,0),"")</f>
        <v/>
      </c>
      <c r="I174" s="130" t="str">
        <f>_xlfn.IFNA(VLOOKUP(D174,ProductListTbl[],8,0),"")</f>
        <v/>
      </c>
      <c r="J174" s="127"/>
      <c r="K174" s="129"/>
      <c r="L174" s="128"/>
      <c r="M174" s="305" t="str">
        <f>IFERROR(Table3[[#This Row],[Quantity (doses)]]/Table3[[#This Row],[Doses per vial or syringe]],"")</f>
        <v/>
      </c>
      <c r="N174" s="127"/>
      <c r="O174" s="127"/>
      <c r="P174" s="381"/>
      <c r="Q174" s="129"/>
      <c r="R174" s="127"/>
      <c r="S174" s="127"/>
      <c r="T174" s="127"/>
      <c r="U174" s="127"/>
      <c r="V174" s="305" t="str">
        <f>_xlfn.IFNA(VLOOKUP(D174,ProductListTbl[],9,0),"")</f>
        <v/>
      </c>
      <c r="W174" s="305" t="str">
        <f>IFERROR(Table3[[#This Row],[Storage space per secondary packaging (cm3)]]*Table3[[#This Row],[Quantity  (vials or syringes)]]/1000,"")</f>
        <v/>
      </c>
      <c r="X174" s="305" t="str">
        <f>IFERROR(Table3[[#This Row],[Storage space per tertiary packaging (cm3)]]*Table3[[#This Row],[Quantity (doses)]]/1000,"")</f>
        <v/>
      </c>
      <c r="Y174" s="293" t="str">
        <f>IF(Table3[[#This Row],[Status]]="Ordered",(DATE(YEAR(P174),MONTH(P174),1)),IF(Table3[[#This Row],[Status]]="Received",(DATE(YEAR(Q174),MONTH(Q174),1)),""))</f>
        <v/>
      </c>
      <c r="Z174" s="304" t="str">
        <f t="shared" si="8"/>
        <v/>
      </c>
      <c r="AA174" s="48" t="str">
        <f t="shared" si="9"/>
        <v/>
      </c>
      <c r="AB174" s="48" t="str">
        <f t="shared" si="10"/>
        <v/>
      </c>
      <c r="AC174" s="292" t="str">
        <f t="shared" si="11"/>
        <v/>
      </c>
      <c r="AD174" s="48" t="str">
        <f>IF(Table3[[#This Row],[Actual Arrival date]]&gt;0,IF(Table3[[#This Row],[Expected arrival date]]&gt;0,Table3[[#This Row],[Actual Arrival date]]-Table3[[#This Row],[Expected arrival date]],""),"")</f>
        <v/>
      </c>
    </row>
    <row r="175" spans="1:30" x14ac:dyDescent="0.25">
      <c r="A175" s="303" t="str">
        <f>Start!$D$7</f>
        <v>Anyland</v>
      </c>
      <c r="B175" s="48" t="str">
        <f>_xlfn.IFNA(VLOOKUP(A175,list!B:C,2,FALSE),"")</f>
        <v>ANY</v>
      </c>
      <c r="C175" s="48"/>
      <c r="D175" s="127"/>
      <c r="E175" s="48" t="str">
        <f>_xlfn.IFNA(VLOOKUP(Table3[[#This Row],[Product]], ProductListTbl[], 3, 0), "")</f>
        <v/>
      </c>
      <c r="F175" s="303" t="str">
        <f>_xlfn.IFNA(VLOOKUP(D175,ProductListTbl[],5,0),"")</f>
        <v/>
      </c>
      <c r="G175" s="303" t="str">
        <f>_xlfn.IFNA(VLOOKUP(D175,ProductListTbl[],6,0),"")</f>
        <v/>
      </c>
      <c r="H175" s="130" t="str">
        <f>_xlfn.IFNA(VLOOKUP(D175,ProductListTbl[],7,0),"")</f>
        <v/>
      </c>
      <c r="I175" s="130" t="str">
        <f>_xlfn.IFNA(VLOOKUP(D175,ProductListTbl[],8,0),"")</f>
        <v/>
      </c>
      <c r="J175" s="127"/>
      <c r="K175" s="129"/>
      <c r="L175" s="128"/>
      <c r="M175" s="305" t="str">
        <f>IFERROR(Table3[[#This Row],[Quantity (doses)]]/Table3[[#This Row],[Doses per vial or syringe]],"")</f>
        <v/>
      </c>
      <c r="N175" s="127"/>
      <c r="O175" s="127"/>
      <c r="P175" s="381"/>
      <c r="Q175" s="129"/>
      <c r="R175" s="127"/>
      <c r="S175" s="127"/>
      <c r="T175" s="127"/>
      <c r="U175" s="127"/>
      <c r="V175" s="305" t="str">
        <f>_xlfn.IFNA(VLOOKUP(D175,ProductListTbl[],9,0),"")</f>
        <v/>
      </c>
      <c r="W175" s="305" t="str">
        <f>IFERROR(Table3[[#This Row],[Storage space per secondary packaging (cm3)]]*Table3[[#This Row],[Quantity  (vials or syringes)]]/1000,"")</f>
        <v/>
      </c>
      <c r="X175" s="305" t="str">
        <f>IFERROR(Table3[[#This Row],[Storage space per tertiary packaging (cm3)]]*Table3[[#This Row],[Quantity (doses)]]/1000,"")</f>
        <v/>
      </c>
      <c r="Y175" s="293" t="str">
        <f>IF(Table3[[#This Row],[Status]]="Ordered",(DATE(YEAR(P175),MONTH(P175),1)),IF(Table3[[#This Row],[Status]]="Received",(DATE(YEAR(Q175),MONTH(Q175),1)),""))</f>
        <v/>
      </c>
      <c r="Z175" s="304" t="str">
        <f t="shared" si="8"/>
        <v/>
      </c>
      <c r="AA175" s="48" t="str">
        <f t="shared" si="9"/>
        <v/>
      </c>
      <c r="AB175" s="48" t="str">
        <f t="shared" si="10"/>
        <v/>
      </c>
      <c r="AC175" s="292" t="str">
        <f t="shared" si="11"/>
        <v/>
      </c>
      <c r="AD175" s="48" t="str">
        <f>IF(Table3[[#This Row],[Actual Arrival date]]&gt;0,IF(Table3[[#This Row],[Expected arrival date]]&gt;0,Table3[[#This Row],[Actual Arrival date]]-Table3[[#This Row],[Expected arrival date]],""),"")</f>
        <v/>
      </c>
    </row>
    <row r="176" spans="1:30" x14ac:dyDescent="0.25">
      <c r="A176" s="303" t="str">
        <f>Start!$D$7</f>
        <v>Anyland</v>
      </c>
      <c r="B176" s="48" t="str">
        <f>_xlfn.IFNA(VLOOKUP(A176,list!B:C,2,FALSE),"")</f>
        <v>ANY</v>
      </c>
      <c r="C176" s="48"/>
      <c r="D176" s="127"/>
      <c r="E176" s="48" t="str">
        <f>_xlfn.IFNA(VLOOKUP(Table3[[#This Row],[Product]], ProductListTbl[], 3, 0), "")</f>
        <v/>
      </c>
      <c r="F176" s="303" t="str">
        <f>_xlfn.IFNA(VLOOKUP(D176,ProductListTbl[],5,0),"")</f>
        <v/>
      </c>
      <c r="G176" s="303" t="str">
        <f>_xlfn.IFNA(VLOOKUP(D176,ProductListTbl[],6,0),"")</f>
        <v/>
      </c>
      <c r="H176" s="130" t="str">
        <f>_xlfn.IFNA(VLOOKUP(D176,ProductListTbl[],7,0),"")</f>
        <v/>
      </c>
      <c r="I176" s="130" t="str">
        <f>_xlfn.IFNA(VLOOKUP(D176,ProductListTbl[],8,0),"")</f>
        <v/>
      </c>
      <c r="J176" s="127"/>
      <c r="K176" s="129"/>
      <c r="L176" s="128"/>
      <c r="M176" s="305" t="str">
        <f>IFERROR(Table3[[#This Row],[Quantity (doses)]]/Table3[[#This Row],[Doses per vial or syringe]],"")</f>
        <v/>
      </c>
      <c r="N176" s="127"/>
      <c r="O176" s="127"/>
      <c r="P176" s="381"/>
      <c r="Q176" s="129"/>
      <c r="R176" s="127"/>
      <c r="S176" s="127"/>
      <c r="T176" s="127"/>
      <c r="U176" s="127"/>
      <c r="V176" s="305" t="str">
        <f>_xlfn.IFNA(VLOOKUP(D176,ProductListTbl[],9,0),"")</f>
        <v/>
      </c>
      <c r="W176" s="305" t="str">
        <f>IFERROR(Table3[[#This Row],[Storage space per secondary packaging (cm3)]]*Table3[[#This Row],[Quantity  (vials or syringes)]]/1000,"")</f>
        <v/>
      </c>
      <c r="X176" s="305" t="str">
        <f>IFERROR(Table3[[#This Row],[Storage space per tertiary packaging (cm3)]]*Table3[[#This Row],[Quantity (doses)]]/1000,"")</f>
        <v/>
      </c>
      <c r="Y176" s="293" t="str">
        <f>IF(Table3[[#This Row],[Status]]="Ordered",(DATE(YEAR(P176),MONTH(P176),1)),IF(Table3[[#This Row],[Status]]="Received",(DATE(YEAR(Q176),MONTH(Q176),1)),""))</f>
        <v/>
      </c>
      <c r="Z176" s="304" t="str">
        <f t="shared" si="8"/>
        <v/>
      </c>
      <c r="AA176" s="48" t="str">
        <f t="shared" si="9"/>
        <v/>
      </c>
      <c r="AB176" s="48" t="str">
        <f t="shared" si="10"/>
        <v/>
      </c>
      <c r="AC176" s="292" t="str">
        <f t="shared" si="11"/>
        <v/>
      </c>
      <c r="AD176" s="48" t="str">
        <f>IF(Table3[[#This Row],[Actual Arrival date]]&gt;0,IF(Table3[[#This Row],[Expected arrival date]]&gt;0,Table3[[#This Row],[Actual Arrival date]]-Table3[[#This Row],[Expected arrival date]],""),"")</f>
        <v/>
      </c>
    </row>
    <row r="177" spans="1:30" x14ac:dyDescent="0.25">
      <c r="A177" s="303" t="str">
        <f>Start!$D$7</f>
        <v>Anyland</v>
      </c>
      <c r="B177" s="48" t="str">
        <f>_xlfn.IFNA(VLOOKUP(A177,list!B:C,2,FALSE),"")</f>
        <v>ANY</v>
      </c>
      <c r="C177" s="48"/>
      <c r="D177" s="127"/>
      <c r="E177" s="48" t="str">
        <f>_xlfn.IFNA(VLOOKUP(Table3[[#This Row],[Product]], ProductListTbl[], 3, 0), "")</f>
        <v/>
      </c>
      <c r="F177" s="303" t="str">
        <f>_xlfn.IFNA(VLOOKUP(D177,ProductListTbl[],5,0),"")</f>
        <v/>
      </c>
      <c r="G177" s="303" t="str">
        <f>_xlfn.IFNA(VLOOKUP(D177,ProductListTbl[],6,0),"")</f>
        <v/>
      </c>
      <c r="H177" s="130" t="str">
        <f>_xlfn.IFNA(VLOOKUP(D177,ProductListTbl[],7,0),"")</f>
        <v/>
      </c>
      <c r="I177" s="130" t="str">
        <f>_xlfn.IFNA(VLOOKUP(D177,ProductListTbl[],8,0),"")</f>
        <v/>
      </c>
      <c r="J177" s="127"/>
      <c r="K177" s="129"/>
      <c r="L177" s="128"/>
      <c r="M177" s="305" t="str">
        <f>IFERROR(Table3[[#This Row],[Quantity (doses)]]/Table3[[#This Row],[Doses per vial or syringe]],"")</f>
        <v/>
      </c>
      <c r="N177" s="127"/>
      <c r="O177" s="127"/>
      <c r="P177" s="381"/>
      <c r="Q177" s="129"/>
      <c r="R177" s="127"/>
      <c r="S177" s="127"/>
      <c r="T177" s="127"/>
      <c r="U177" s="127"/>
      <c r="V177" s="305" t="str">
        <f>_xlfn.IFNA(VLOOKUP(D177,ProductListTbl[],9,0),"")</f>
        <v/>
      </c>
      <c r="W177" s="305" t="str">
        <f>IFERROR(Table3[[#This Row],[Storage space per secondary packaging (cm3)]]*Table3[[#This Row],[Quantity  (vials or syringes)]]/1000,"")</f>
        <v/>
      </c>
      <c r="X177" s="305" t="str">
        <f>IFERROR(Table3[[#This Row],[Storage space per tertiary packaging (cm3)]]*Table3[[#This Row],[Quantity (doses)]]/1000,"")</f>
        <v/>
      </c>
      <c r="Y177" s="293" t="str">
        <f>IF(Table3[[#This Row],[Status]]="Ordered",(DATE(YEAR(P177),MONTH(P177),1)),IF(Table3[[#This Row],[Status]]="Received",(DATE(YEAR(Q177),MONTH(Q177),1)),""))</f>
        <v/>
      </c>
      <c r="Z177" s="304" t="str">
        <f t="shared" si="8"/>
        <v/>
      </c>
      <c r="AA177" s="48" t="str">
        <f t="shared" si="9"/>
        <v/>
      </c>
      <c r="AB177" s="48" t="str">
        <f t="shared" si="10"/>
        <v/>
      </c>
      <c r="AC177" s="292" t="str">
        <f t="shared" si="11"/>
        <v/>
      </c>
      <c r="AD177" s="48" t="str">
        <f>IF(Table3[[#This Row],[Actual Arrival date]]&gt;0,IF(Table3[[#This Row],[Expected arrival date]]&gt;0,Table3[[#This Row],[Actual Arrival date]]-Table3[[#This Row],[Expected arrival date]],""),"")</f>
        <v/>
      </c>
    </row>
    <row r="178" spans="1:30" x14ac:dyDescent="0.25">
      <c r="A178" s="303" t="str">
        <f>Start!$D$7</f>
        <v>Anyland</v>
      </c>
      <c r="B178" s="48" t="str">
        <f>_xlfn.IFNA(VLOOKUP(A178,list!B:C,2,FALSE),"")</f>
        <v>ANY</v>
      </c>
      <c r="C178" s="48"/>
      <c r="D178" s="127"/>
      <c r="E178" s="48" t="str">
        <f>_xlfn.IFNA(VLOOKUP(Table3[[#This Row],[Product]], ProductListTbl[], 3, 0), "")</f>
        <v/>
      </c>
      <c r="F178" s="303" t="str">
        <f>_xlfn.IFNA(VLOOKUP(D178,ProductListTbl[],5,0),"")</f>
        <v/>
      </c>
      <c r="G178" s="303" t="str">
        <f>_xlfn.IFNA(VLOOKUP(D178,ProductListTbl[],6,0),"")</f>
        <v/>
      </c>
      <c r="H178" s="130" t="str">
        <f>_xlfn.IFNA(VLOOKUP(D178,ProductListTbl[],7,0),"")</f>
        <v/>
      </c>
      <c r="I178" s="130" t="str">
        <f>_xlfn.IFNA(VLOOKUP(D178,ProductListTbl[],8,0),"")</f>
        <v/>
      </c>
      <c r="J178" s="127"/>
      <c r="K178" s="129"/>
      <c r="L178" s="128"/>
      <c r="M178" s="305" t="str">
        <f>IFERROR(Table3[[#This Row],[Quantity (doses)]]/Table3[[#This Row],[Doses per vial or syringe]],"")</f>
        <v/>
      </c>
      <c r="N178" s="127"/>
      <c r="O178" s="127"/>
      <c r="P178" s="381"/>
      <c r="Q178" s="129"/>
      <c r="R178" s="127"/>
      <c r="S178" s="127"/>
      <c r="T178" s="127"/>
      <c r="U178" s="127"/>
      <c r="V178" s="305" t="str">
        <f>_xlfn.IFNA(VLOOKUP(D178,ProductListTbl[],9,0),"")</f>
        <v/>
      </c>
      <c r="W178" s="305" t="str">
        <f>IFERROR(Table3[[#This Row],[Storage space per secondary packaging (cm3)]]*Table3[[#This Row],[Quantity  (vials or syringes)]]/1000,"")</f>
        <v/>
      </c>
      <c r="X178" s="305" t="str">
        <f>IFERROR(Table3[[#This Row],[Storage space per tertiary packaging (cm3)]]*Table3[[#This Row],[Quantity (doses)]]/1000,"")</f>
        <v/>
      </c>
      <c r="Y178" s="293" t="str">
        <f>IF(Table3[[#This Row],[Status]]="Ordered",(DATE(YEAR(P178),MONTH(P178),1)),IF(Table3[[#This Row],[Status]]="Received",(DATE(YEAR(Q178),MONTH(Q178),1)),""))</f>
        <v/>
      </c>
      <c r="Z178" s="304" t="str">
        <f t="shared" si="8"/>
        <v/>
      </c>
      <c r="AA178" s="48" t="str">
        <f t="shared" si="9"/>
        <v/>
      </c>
      <c r="AB178" s="48" t="str">
        <f t="shared" si="10"/>
        <v/>
      </c>
      <c r="AC178" s="292" t="str">
        <f t="shared" si="11"/>
        <v/>
      </c>
      <c r="AD178" s="48" t="str">
        <f>IF(Table3[[#This Row],[Actual Arrival date]]&gt;0,IF(Table3[[#This Row],[Expected arrival date]]&gt;0,Table3[[#This Row],[Actual Arrival date]]-Table3[[#This Row],[Expected arrival date]],""),"")</f>
        <v/>
      </c>
    </row>
    <row r="179" spans="1:30" x14ac:dyDescent="0.25">
      <c r="A179" s="303" t="str">
        <f>Start!$D$7</f>
        <v>Anyland</v>
      </c>
      <c r="B179" s="48" t="str">
        <f>_xlfn.IFNA(VLOOKUP(A179,list!B:C,2,FALSE),"")</f>
        <v>ANY</v>
      </c>
      <c r="C179" s="48"/>
      <c r="D179" s="127"/>
      <c r="E179" s="48" t="str">
        <f>_xlfn.IFNA(VLOOKUP(Table3[[#This Row],[Product]], ProductListTbl[], 3, 0), "")</f>
        <v/>
      </c>
      <c r="F179" s="303" t="str">
        <f>_xlfn.IFNA(VLOOKUP(D179,ProductListTbl[],5,0),"")</f>
        <v/>
      </c>
      <c r="G179" s="303" t="str">
        <f>_xlfn.IFNA(VLOOKUP(D179,ProductListTbl[],6,0),"")</f>
        <v/>
      </c>
      <c r="H179" s="130" t="str">
        <f>_xlfn.IFNA(VLOOKUP(D179,ProductListTbl[],7,0),"")</f>
        <v/>
      </c>
      <c r="I179" s="130" t="str">
        <f>_xlfn.IFNA(VLOOKUP(D179,ProductListTbl[],8,0),"")</f>
        <v/>
      </c>
      <c r="J179" s="127"/>
      <c r="K179" s="129"/>
      <c r="L179" s="128"/>
      <c r="M179" s="305" t="str">
        <f>IFERROR(Table3[[#This Row],[Quantity (doses)]]/Table3[[#This Row],[Doses per vial or syringe]],"")</f>
        <v/>
      </c>
      <c r="N179" s="127"/>
      <c r="O179" s="127"/>
      <c r="P179" s="381"/>
      <c r="Q179" s="129"/>
      <c r="R179" s="127"/>
      <c r="S179" s="127"/>
      <c r="T179" s="127"/>
      <c r="U179" s="127"/>
      <c r="V179" s="305" t="str">
        <f>_xlfn.IFNA(VLOOKUP(D179,ProductListTbl[],9,0),"")</f>
        <v/>
      </c>
      <c r="W179" s="305" t="str">
        <f>IFERROR(Table3[[#This Row],[Storage space per secondary packaging (cm3)]]*Table3[[#This Row],[Quantity  (vials or syringes)]]/1000,"")</f>
        <v/>
      </c>
      <c r="X179" s="305" t="str">
        <f>IFERROR(Table3[[#This Row],[Storage space per tertiary packaging (cm3)]]*Table3[[#This Row],[Quantity (doses)]]/1000,"")</f>
        <v/>
      </c>
      <c r="Y179" s="293" t="str">
        <f>IF(Table3[[#This Row],[Status]]="Ordered",(DATE(YEAR(P179),MONTH(P179),1)),IF(Table3[[#This Row],[Status]]="Received",(DATE(YEAR(Q179),MONTH(Q179),1)),""))</f>
        <v/>
      </c>
      <c r="Z179" s="304" t="str">
        <f t="shared" si="8"/>
        <v/>
      </c>
      <c r="AA179" s="48" t="str">
        <f t="shared" si="9"/>
        <v/>
      </c>
      <c r="AB179" s="48" t="str">
        <f t="shared" si="10"/>
        <v/>
      </c>
      <c r="AC179" s="292" t="str">
        <f t="shared" si="11"/>
        <v/>
      </c>
      <c r="AD179" s="48" t="str">
        <f>IF(Table3[[#This Row],[Actual Arrival date]]&gt;0,IF(Table3[[#This Row],[Expected arrival date]]&gt;0,Table3[[#This Row],[Actual Arrival date]]-Table3[[#This Row],[Expected arrival date]],""),"")</f>
        <v/>
      </c>
    </row>
    <row r="180" spans="1:30" x14ac:dyDescent="0.25">
      <c r="A180" s="303" t="str">
        <f>Start!$D$7</f>
        <v>Anyland</v>
      </c>
      <c r="B180" s="48" t="str">
        <f>_xlfn.IFNA(VLOOKUP(A180,list!B:C,2,FALSE),"")</f>
        <v>ANY</v>
      </c>
      <c r="C180" s="48"/>
      <c r="D180" s="127"/>
      <c r="E180" s="48" t="str">
        <f>_xlfn.IFNA(VLOOKUP(Table3[[#This Row],[Product]], ProductListTbl[], 3, 0), "")</f>
        <v/>
      </c>
      <c r="F180" s="303" t="str">
        <f>_xlfn.IFNA(VLOOKUP(D180,ProductListTbl[],5,0),"")</f>
        <v/>
      </c>
      <c r="G180" s="303" t="str">
        <f>_xlfn.IFNA(VLOOKUP(D180,ProductListTbl[],6,0),"")</f>
        <v/>
      </c>
      <c r="H180" s="130" t="str">
        <f>_xlfn.IFNA(VLOOKUP(D180,ProductListTbl[],7,0),"")</f>
        <v/>
      </c>
      <c r="I180" s="130" t="str">
        <f>_xlfn.IFNA(VLOOKUP(D180,ProductListTbl[],8,0),"")</f>
        <v/>
      </c>
      <c r="J180" s="127"/>
      <c r="K180" s="129"/>
      <c r="L180" s="128"/>
      <c r="M180" s="305" t="str">
        <f>IFERROR(Table3[[#This Row],[Quantity (doses)]]/Table3[[#This Row],[Doses per vial or syringe]],"")</f>
        <v/>
      </c>
      <c r="N180" s="127"/>
      <c r="O180" s="127"/>
      <c r="P180" s="381"/>
      <c r="Q180" s="129"/>
      <c r="R180" s="127"/>
      <c r="S180" s="127"/>
      <c r="T180" s="127"/>
      <c r="U180" s="127"/>
      <c r="V180" s="305" t="str">
        <f>_xlfn.IFNA(VLOOKUP(D180,ProductListTbl[],9,0),"")</f>
        <v/>
      </c>
      <c r="W180" s="305" t="str">
        <f>IFERROR(Table3[[#This Row],[Storage space per secondary packaging (cm3)]]*Table3[[#This Row],[Quantity  (vials or syringes)]]/1000,"")</f>
        <v/>
      </c>
      <c r="X180" s="305" t="str">
        <f>IFERROR(Table3[[#This Row],[Storage space per tertiary packaging (cm3)]]*Table3[[#This Row],[Quantity (doses)]]/1000,"")</f>
        <v/>
      </c>
      <c r="Y180" s="293" t="str">
        <f>IF(Table3[[#This Row],[Status]]="Ordered",(DATE(YEAR(P180),MONTH(P180),1)),IF(Table3[[#This Row],[Status]]="Received",(DATE(YEAR(Q180),MONTH(Q180),1)),""))</f>
        <v/>
      </c>
      <c r="Z180" s="304" t="str">
        <f t="shared" si="8"/>
        <v/>
      </c>
      <c r="AA180" s="48" t="str">
        <f t="shared" si="9"/>
        <v/>
      </c>
      <c r="AB180" s="48" t="str">
        <f t="shared" si="10"/>
        <v/>
      </c>
      <c r="AC180" s="292" t="str">
        <f t="shared" si="11"/>
        <v/>
      </c>
      <c r="AD180" s="48" t="str">
        <f>IF(Table3[[#This Row],[Actual Arrival date]]&gt;0,IF(Table3[[#This Row],[Expected arrival date]]&gt;0,Table3[[#This Row],[Actual Arrival date]]-Table3[[#This Row],[Expected arrival date]],""),"")</f>
        <v/>
      </c>
    </row>
    <row r="181" spans="1:30" x14ac:dyDescent="0.25">
      <c r="A181" s="303" t="str">
        <f>Start!$D$7</f>
        <v>Anyland</v>
      </c>
      <c r="B181" s="48" t="str">
        <f>_xlfn.IFNA(VLOOKUP(A181,list!B:C,2,FALSE),"")</f>
        <v>ANY</v>
      </c>
      <c r="C181" s="48"/>
      <c r="D181" s="127"/>
      <c r="E181" s="48" t="str">
        <f>_xlfn.IFNA(VLOOKUP(Table3[[#This Row],[Product]], ProductListTbl[], 3, 0), "")</f>
        <v/>
      </c>
      <c r="F181" s="303" t="str">
        <f>_xlfn.IFNA(VLOOKUP(D181,ProductListTbl[],5,0),"")</f>
        <v/>
      </c>
      <c r="G181" s="303" t="str">
        <f>_xlfn.IFNA(VLOOKUP(D181,ProductListTbl[],6,0),"")</f>
        <v/>
      </c>
      <c r="H181" s="130" t="str">
        <f>_xlfn.IFNA(VLOOKUP(D181,ProductListTbl[],7,0),"")</f>
        <v/>
      </c>
      <c r="I181" s="130" t="str">
        <f>_xlfn.IFNA(VLOOKUP(D181,ProductListTbl[],8,0),"")</f>
        <v/>
      </c>
      <c r="J181" s="127"/>
      <c r="K181" s="129"/>
      <c r="L181" s="128"/>
      <c r="M181" s="305" t="str">
        <f>IFERROR(Table3[[#This Row],[Quantity (doses)]]/Table3[[#This Row],[Doses per vial or syringe]],"")</f>
        <v/>
      </c>
      <c r="N181" s="127"/>
      <c r="O181" s="127"/>
      <c r="P181" s="381"/>
      <c r="Q181" s="129"/>
      <c r="R181" s="127"/>
      <c r="S181" s="127"/>
      <c r="T181" s="127"/>
      <c r="U181" s="127"/>
      <c r="V181" s="305" t="str">
        <f>_xlfn.IFNA(VLOOKUP(D181,ProductListTbl[],9,0),"")</f>
        <v/>
      </c>
      <c r="W181" s="305" t="str">
        <f>IFERROR(Table3[[#This Row],[Storage space per secondary packaging (cm3)]]*Table3[[#This Row],[Quantity  (vials or syringes)]]/1000,"")</f>
        <v/>
      </c>
      <c r="X181" s="305" t="str">
        <f>IFERROR(Table3[[#This Row],[Storage space per tertiary packaging (cm3)]]*Table3[[#This Row],[Quantity (doses)]]/1000,"")</f>
        <v/>
      </c>
      <c r="Y181" s="293" t="str">
        <f>IF(Table3[[#This Row],[Status]]="Ordered",(DATE(YEAR(P181),MONTH(P181),1)),IF(Table3[[#This Row],[Status]]="Received",(DATE(YEAR(Q181),MONTH(Q181),1)),""))</f>
        <v/>
      </c>
      <c r="Z181" s="304" t="str">
        <f t="shared" si="8"/>
        <v/>
      </c>
      <c r="AA181" s="48" t="str">
        <f t="shared" si="9"/>
        <v/>
      </c>
      <c r="AB181" s="48" t="str">
        <f t="shared" si="10"/>
        <v/>
      </c>
      <c r="AC181" s="292" t="str">
        <f t="shared" si="11"/>
        <v/>
      </c>
      <c r="AD181" s="48" t="str">
        <f>IF(Table3[[#This Row],[Actual Arrival date]]&gt;0,IF(Table3[[#This Row],[Expected arrival date]]&gt;0,Table3[[#This Row],[Actual Arrival date]]-Table3[[#This Row],[Expected arrival date]],""),"")</f>
        <v/>
      </c>
    </row>
    <row r="182" spans="1:30" x14ac:dyDescent="0.25">
      <c r="A182" s="303" t="str">
        <f>Start!$D$7</f>
        <v>Anyland</v>
      </c>
      <c r="B182" s="48" t="str">
        <f>_xlfn.IFNA(VLOOKUP(A182,list!B:C,2,FALSE),"")</f>
        <v>ANY</v>
      </c>
      <c r="C182" s="48"/>
      <c r="D182" s="127"/>
      <c r="E182" s="48" t="str">
        <f>_xlfn.IFNA(VLOOKUP(Table3[[#This Row],[Product]], ProductListTbl[], 3, 0), "")</f>
        <v/>
      </c>
      <c r="F182" s="303" t="str">
        <f>_xlfn.IFNA(VLOOKUP(D182,ProductListTbl[],5,0),"")</f>
        <v/>
      </c>
      <c r="G182" s="303" t="str">
        <f>_xlfn.IFNA(VLOOKUP(D182,ProductListTbl[],6,0),"")</f>
        <v/>
      </c>
      <c r="H182" s="130" t="str">
        <f>_xlfn.IFNA(VLOOKUP(D182,ProductListTbl[],7,0),"")</f>
        <v/>
      </c>
      <c r="I182" s="130" t="str">
        <f>_xlfn.IFNA(VLOOKUP(D182,ProductListTbl[],8,0),"")</f>
        <v/>
      </c>
      <c r="J182" s="127"/>
      <c r="K182" s="129"/>
      <c r="L182" s="128"/>
      <c r="M182" s="305" t="str">
        <f>IFERROR(Table3[[#This Row],[Quantity (doses)]]/Table3[[#This Row],[Doses per vial or syringe]],"")</f>
        <v/>
      </c>
      <c r="N182" s="127"/>
      <c r="O182" s="127"/>
      <c r="P182" s="381"/>
      <c r="Q182" s="129"/>
      <c r="R182" s="127"/>
      <c r="S182" s="127"/>
      <c r="T182" s="127"/>
      <c r="U182" s="127"/>
      <c r="V182" s="305" t="str">
        <f>_xlfn.IFNA(VLOOKUP(D182,ProductListTbl[],9,0),"")</f>
        <v/>
      </c>
      <c r="W182" s="305" t="str">
        <f>IFERROR(Table3[[#This Row],[Storage space per secondary packaging (cm3)]]*Table3[[#This Row],[Quantity  (vials or syringes)]]/1000,"")</f>
        <v/>
      </c>
      <c r="X182" s="305" t="str">
        <f>IFERROR(Table3[[#This Row],[Storage space per tertiary packaging (cm3)]]*Table3[[#This Row],[Quantity (doses)]]/1000,"")</f>
        <v/>
      </c>
      <c r="Y182" s="293" t="str">
        <f>IF(Table3[[#This Row],[Status]]="Ordered",(DATE(YEAR(P182),MONTH(P182),1)),IF(Table3[[#This Row],[Status]]="Received",(DATE(YEAR(Q182),MONTH(Q182),1)),""))</f>
        <v/>
      </c>
      <c r="Z182" s="304" t="str">
        <f t="shared" si="8"/>
        <v/>
      </c>
      <c r="AA182" s="48" t="str">
        <f t="shared" si="9"/>
        <v/>
      </c>
      <c r="AB182" s="48" t="str">
        <f t="shared" si="10"/>
        <v/>
      </c>
      <c r="AC182" s="292" t="str">
        <f t="shared" si="11"/>
        <v/>
      </c>
      <c r="AD182" s="48" t="str">
        <f>IF(Table3[[#This Row],[Actual Arrival date]]&gt;0,IF(Table3[[#This Row],[Expected arrival date]]&gt;0,Table3[[#This Row],[Actual Arrival date]]-Table3[[#This Row],[Expected arrival date]],""),"")</f>
        <v/>
      </c>
    </row>
    <row r="183" spans="1:30" x14ac:dyDescent="0.25">
      <c r="A183" s="303" t="str">
        <f>Start!$D$7</f>
        <v>Anyland</v>
      </c>
      <c r="B183" s="48" t="str">
        <f>_xlfn.IFNA(VLOOKUP(A183,list!B:C,2,FALSE),"")</f>
        <v>ANY</v>
      </c>
      <c r="C183" s="48"/>
      <c r="D183" s="127"/>
      <c r="E183" s="48" t="str">
        <f>_xlfn.IFNA(VLOOKUP(Table3[[#This Row],[Product]], ProductListTbl[], 3, 0), "")</f>
        <v/>
      </c>
      <c r="F183" s="303" t="str">
        <f>_xlfn.IFNA(VLOOKUP(D183,ProductListTbl[],5,0),"")</f>
        <v/>
      </c>
      <c r="G183" s="303" t="str">
        <f>_xlfn.IFNA(VLOOKUP(D183,ProductListTbl[],6,0),"")</f>
        <v/>
      </c>
      <c r="H183" s="130" t="str">
        <f>_xlfn.IFNA(VLOOKUP(D183,ProductListTbl[],7,0),"")</f>
        <v/>
      </c>
      <c r="I183" s="130" t="str">
        <f>_xlfn.IFNA(VLOOKUP(D183,ProductListTbl[],8,0),"")</f>
        <v/>
      </c>
      <c r="J183" s="127"/>
      <c r="K183" s="129"/>
      <c r="L183" s="128"/>
      <c r="M183" s="305" t="str">
        <f>IFERROR(Table3[[#This Row],[Quantity (doses)]]/Table3[[#This Row],[Doses per vial or syringe]],"")</f>
        <v/>
      </c>
      <c r="N183" s="127"/>
      <c r="O183" s="127"/>
      <c r="P183" s="381"/>
      <c r="Q183" s="129"/>
      <c r="R183" s="127"/>
      <c r="S183" s="127"/>
      <c r="T183" s="127"/>
      <c r="U183" s="127"/>
      <c r="V183" s="305" t="str">
        <f>_xlfn.IFNA(VLOOKUP(D183,ProductListTbl[],9,0),"")</f>
        <v/>
      </c>
      <c r="W183" s="305" t="str">
        <f>IFERROR(Table3[[#This Row],[Storage space per secondary packaging (cm3)]]*Table3[[#This Row],[Quantity  (vials or syringes)]]/1000,"")</f>
        <v/>
      </c>
      <c r="X183" s="305" t="str">
        <f>IFERROR(Table3[[#This Row],[Storage space per tertiary packaging (cm3)]]*Table3[[#This Row],[Quantity (doses)]]/1000,"")</f>
        <v/>
      </c>
      <c r="Y183" s="293" t="str">
        <f>IF(Table3[[#This Row],[Status]]="Ordered",(DATE(YEAR(P183),MONTH(P183),1)),IF(Table3[[#This Row],[Status]]="Received",(DATE(YEAR(Q183),MONTH(Q183),1)),""))</f>
        <v/>
      </c>
      <c r="Z183" s="304" t="str">
        <f t="shared" si="8"/>
        <v/>
      </c>
      <c r="AA183" s="48" t="str">
        <f t="shared" si="9"/>
        <v/>
      </c>
      <c r="AB183" s="48" t="str">
        <f t="shared" si="10"/>
        <v/>
      </c>
      <c r="AC183" s="292" t="str">
        <f t="shared" si="11"/>
        <v/>
      </c>
      <c r="AD183" s="48" t="str">
        <f>IF(Table3[[#This Row],[Actual Arrival date]]&gt;0,IF(Table3[[#This Row],[Expected arrival date]]&gt;0,Table3[[#This Row],[Actual Arrival date]]-Table3[[#This Row],[Expected arrival date]],""),"")</f>
        <v/>
      </c>
    </row>
    <row r="184" spans="1:30" x14ac:dyDescent="0.25">
      <c r="A184" s="303" t="str">
        <f>Start!$D$7</f>
        <v>Anyland</v>
      </c>
      <c r="B184" s="48" t="str">
        <f>_xlfn.IFNA(VLOOKUP(A184,list!B:C,2,FALSE),"")</f>
        <v>ANY</v>
      </c>
      <c r="C184" s="48"/>
      <c r="D184" s="127"/>
      <c r="E184" s="48" t="str">
        <f>_xlfn.IFNA(VLOOKUP(Table3[[#This Row],[Product]], ProductListTbl[], 3, 0), "")</f>
        <v/>
      </c>
      <c r="F184" s="303" t="str">
        <f>_xlfn.IFNA(VLOOKUP(D184,ProductListTbl[],5,0),"")</f>
        <v/>
      </c>
      <c r="G184" s="303" t="str">
        <f>_xlfn.IFNA(VLOOKUP(D184,ProductListTbl[],6,0),"")</f>
        <v/>
      </c>
      <c r="H184" s="130" t="str">
        <f>_xlfn.IFNA(VLOOKUP(D184,ProductListTbl[],7,0),"")</f>
        <v/>
      </c>
      <c r="I184" s="130" t="str">
        <f>_xlfn.IFNA(VLOOKUP(D184,ProductListTbl[],8,0),"")</f>
        <v/>
      </c>
      <c r="J184" s="127"/>
      <c r="K184" s="129"/>
      <c r="L184" s="128"/>
      <c r="M184" s="305" t="str">
        <f>IFERROR(Table3[[#This Row],[Quantity (doses)]]/Table3[[#This Row],[Doses per vial or syringe]],"")</f>
        <v/>
      </c>
      <c r="N184" s="127"/>
      <c r="O184" s="127"/>
      <c r="P184" s="381"/>
      <c r="Q184" s="129"/>
      <c r="R184" s="127"/>
      <c r="S184" s="127"/>
      <c r="T184" s="127"/>
      <c r="U184" s="127"/>
      <c r="V184" s="305" t="str">
        <f>_xlfn.IFNA(VLOOKUP(D184,ProductListTbl[],9,0),"")</f>
        <v/>
      </c>
      <c r="W184" s="305" t="str">
        <f>IFERROR(Table3[[#This Row],[Storage space per secondary packaging (cm3)]]*Table3[[#This Row],[Quantity  (vials or syringes)]]/1000,"")</f>
        <v/>
      </c>
      <c r="X184" s="305" t="str">
        <f>IFERROR(Table3[[#This Row],[Storage space per tertiary packaging (cm3)]]*Table3[[#This Row],[Quantity (doses)]]/1000,"")</f>
        <v/>
      </c>
      <c r="Y184" s="293" t="str">
        <f>IF(Table3[[#This Row],[Status]]="Ordered",(DATE(YEAR(P184),MONTH(P184),1)),IF(Table3[[#This Row],[Status]]="Received",(DATE(YEAR(Q184),MONTH(Q184),1)),""))</f>
        <v/>
      </c>
      <c r="Z184" s="304" t="str">
        <f t="shared" si="8"/>
        <v/>
      </c>
      <c r="AA184" s="48" t="str">
        <f t="shared" si="9"/>
        <v/>
      </c>
      <c r="AB184" s="48" t="str">
        <f t="shared" si="10"/>
        <v/>
      </c>
      <c r="AC184" s="292" t="str">
        <f t="shared" si="11"/>
        <v/>
      </c>
      <c r="AD184" s="48" t="str">
        <f>IF(Table3[[#This Row],[Actual Arrival date]]&gt;0,IF(Table3[[#This Row],[Expected arrival date]]&gt;0,Table3[[#This Row],[Actual Arrival date]]-Table3[[#This Row],[Expected arrival date]],""),"")</f>
        <v/>
      </c>
    </row>
    <row r="185" spans="1:30" x14ac:dyDescent="0.25">
      <c r="A185" s="303" t="str">
        <f>Start!$D$7</f>
        <v>Anyland</v>
      </c>
      <c r="B185" s="48" t="str">
        <f>_xlfn.IFNA(VLOOKUP(A185,list!B:C,2,FALSE),"")</f>
        <v>ANY</v>
      </c>
      <c r="C185" s="48"/>
      <c r="D185" s="127"/>
      <c r="E185" s="48" t="str">
        <f>_xlfn.IFNA(VLOOKUP(Table3[[#This Row],[Product]], ProductListTbl[], 3, 0), "")</f>
        <v/>
      </c>
      <c r="F185" s="303" t="str">
        <f>_xlfn.IFNA(VLOOKUP(D185,ProductListTbl[],5,0),"")</f>
        <v/>
      </c>
      <c r="G185" s="303" t="str">
        <f>_xlfn.IFNA(VLOOKUP(D185,ProductListTbl[],6,0),"")</f>
        <v/>
      </c>
      <c r="H185" s="130" t="str">
        <f>_xlfn.IFNA(VLOOKUP(D185,ProductListTbl[],7,0),"")</f>
        <v/>
      </c>
      <c r="I185" s="130" t="str">
        <f>_xlfn.IFNA(VLOOKUP(D185,ProductListTbl[],8,0),"")</f>
        <v/>
      </c>
      <c r="J185" s="127"/>
      <c r="K185" s="129"/>
      <c r="L185" s="128"/>
      <c r="M185" s="305" t="str">
        <f>IFERROR(Table3[[#This Row],[Quantity (doses)]]/Table3[[#This Row],[Doses per vial or syringe]],"")</f>
        <v/>
      </c>
      <c r="N185" s="127"/>
      <c r="O185" s="127"/>
      <c r="P185" s="381"/>
      <c r="Q185" s="129"/>
      <c r="R185" s="127"/>
      <c r="S185" s="127"/>
      <c r="T185" s="127"/>
      <c r="U185" s="127"/>
      <c r="V185" s="305" t="str">
        <f>_xlfn.IFNA(VLOOKUP(D185,ProductListTbl[],9,0),"")</f>
        <v/>
      </c>
      <c r="W185" s="305" t="str">
        <f>IFERROR(Table3[[#This Row],[Storage space per secondary packaging (cm3)]]*Table3[[#This Row],[Quantity  (vials or syringes)]]/1000,"")</f>
        <v/>
      </c>
      <c r="X185" s="305" t="str">
        <f>IFERROR(Table3[[#This Row],[Storage space per tertiary packaging (cm3)]]*Table3[[#This Row],[Quantity (doses)]]/1000,"")</f>
        <v/>
      </c>
      <c r="Y185" s="293" t="str">
        <f>IF(Table3[[#This Row],[Status]]="Ordered",(DATE(YEAR(P185),MONTH(P185),1)),IF(Table3[[#This Row],[Status]]="Received",(DATE(YEAR(Q185),MONTH(Q185),1)),""))</f>
        <v/>
      </c>
      <c r="Z185" s="304" t="str">
        <f t="shared" si="8"/>
        <v/>
      </c>
      <c r="AA185" s="48" t="str">
        <f t="shared" si="9"/>
        <v/>
      </c>
      <c r="AB185" s="48" t="str">
        <f t="shared" si="10"/>
        <v/>
      </c>
      <c r="AC185" s="292" t="str">
        <f t="shared" si="11"/>
        <v/>
      </c>
      <c r="AD185" s="48" t="str">
        <f>IF(Table3[[#This Row],[Actual Arrival date]]&gt;0,IF(Table3[[#This Row],[Expected arrival date]]&gt;0,Table3[[#This Row],[Actual Arrival date]]-Table3[[#This Row],[Expected arrival date]],""),"")</f>
        <v/>
      </c>
    </row>
    <row r="186" spans="1:30" x14ac:dyDescent="0.25">
      <c r="A186" s="303" t="str">
        <f>Start!$D$7</f>
        <v>Anyland</v>
      </c>
      <c r="B186" s="48" t="str">
        <f>_xlfn.IFNA(VLOOKUP(A186,list!B:C,2,FALSE),"")</f>
        <v>ANY</v>
      </c>
      <c r="C186" s="48"/>
      <c r="D186" s="127"/>
      <c r="E186" s="48" t="str">
        <f>_xlfn.IFNA(VLOOKUP(Table3[[#This Row],[Product]], ProductListTbl[], 3, 0), "")</f>
        <v/>
      </c>
      <c r="F186" s="303" t="str">
        <f>_xlfn.IFNA(VLOOKUP(D186,ProductListTbl[],5,0),"")</f>
        <v/>
      </c>
      <c r="G186" s="303" t="str">
        <f>_xlfn.IFNA(VLOOKUP(D186,ProductListTbl[],6,0),"")</f>
        <v/>
      </c>
      <c r="H186" s="130" t="str">
        <f>_xlfn.IFNA(VLOOKUP(D186,ProductListTbl[],7,0),"")</f>
        <v/>
      </c>
      <c r="I186" s="130" t="str">
        <f>_xlfn.IFNA(VLOOKUP(D186,ProductListTbl[],8,0),"")</f>
        <v/>
      </c>
      <c r="J186" s="127"/>
      <c r="K186" s="129"/>
      <c r="L186" s="128"/>
      <c r="M186" s="305" t="str">
        <f>IFERROR(Table3[[#This Row],[Quantity (doses)]]/Table3[[#This Row],[Doses per vial or syringe]],"")</f>
        <v/>
      </c>
      <c r="N186" s="127"/>
      <c r="O186" s="127"/>
      <c r="P186" s="381"/>
      <c r="Q186" s="129"/>
      <c r="R186" s="127"/>
      <c r="S186" s="127"/>
      <c r="T186" s="127"/>
      <c r="U186" s="127"/>
      <c r="V186" s="305" t="str">
        <f>_xlfn.IFNA(VLOOKUP(D186,ProductListTbl[],9,0),"")</f>
        <v/>
      </c>
      <c r="W186" s="305" t="str">
        <f>IFERROR(Table3[[#This Row],[Storage space per secondary packaging (cm3)]]*Table3[[#This Row],[Quantity  (vials or syringes)]]/1000,"")</f>
        <v/>
      </c>
      <c r="X186" s="305" t="str">
        <f>IFERROR(Table3[[#This Row],[Storage space per tertiary packaging (cm3)]]*Table3[[#This Row],[Quantity (doses)]]/1000,"")</f>
        <v/>
      </c>
      <c r="Y186" s="293" t="str">
        <f>IF(Table3[[#This Row],[Status]]="Ordered",(DATE(YEAR(P186),MONTH(P186),1)),IF(Table3[[#This Row],[Status]]="Received",(DATE(YEAR(Q186),MONTH(Q186),1)),""))</f>
        <v/>
      </c>
      <c r="Z186" s="304" t="str">
        <f t="shared" si="8"/>
        <v/>
      </c>
      <c r="AA186" s="48" t="str">
        <f t="shared" si="9"/>
        <v/>
      </c>
      <c r="AB186" s="48" t="str">
        <f t="shared" si="10"/>
        <v/>
      </c>
      <c r="AC186" s="292" t="str">
        <f t="shared" si="11"/>
        <v/>
      </c>
      <c r="AD186" s="48" t="str">
        <f>IF(Table3[[#This Row],[Actual Arrival date]]&gt;0,IF(Table3[[#This Row],[Expected arrival date]]&gt;0,Table3[[#This Row],[Actual Arrival date]]-Table3[[#This Row],[Expected arrival date]],""),"")</f>
        <v/>
      </c>
    </row>
    <row r="187" spans="1:30" x14ac:dyDescent="0.25">
      <c r="A187" s="303" t="str">
        <f>Start!$D$7</f>
        <v>Anyland</v>
      </c>
      <c r="B187" s="48" t="str">
        <f>_xlfn.IFNA(VLOOKUP(A187,list!B:C,2,FALSE),"")</f>
        <v>ANY</v>
      </c>
      <c r="C187" s="48"/>
      <c r="D187" s="127"/>
      <c r="E187" s="48" t="str">
        <f>_xlfn.IFNA(VLOOKUP(Table3[[#This Row],[Product]], ProductListTbl[], 3, 0), "")</f>
        <v/>
      </c>
      <c r="F187" s="303" t="str">
        <f>_xlfn.IFNA(VLOOKUP(D187,ProductListTbl[],5,0),"")</f>
        <v/>
      </c>
      <c r="G187" s="303" t="str">
        <f>_xlfn.IFNA(VLOOKUP(D187,ProductListTbl[],6,0),"")</f>
        <v/>
      </c>
      <c r="H187" s="130" t="str">
        <f>_xlfn.IFNA(VLOOKUP(D187,ProductListTbl[],7,0),"")</f>
        <v/>
      </c>
      <c r="I187" s="130" t="str">
        <f>_xlfn.IFNA(VLOOKUP(D187,ProductListTbl[],8,0),"")</f>
        <v/>
      </c>
      <c r="J187" s="127"/>
      <c r="K187" s="129"/>
      <c r="L187" s="128"/>
      <c r="M187" s="305" t="str">
        <f>IFERROR(Table3[[#This Row],[Quantity (doses)]]/Table3[[#This Row],[Doses per vial or syringe]],"")</f>
        <v/>
      </c>
      <c r="N187" s="127"/>
      <c r="O187" s="127"/>
      <c r="P187" s="381"/>
      <c r="Q187" s="129"/>
      <c r="R187" s="127"/>
      <c r="S187" s="127"/>
      <c r="T187" s="127"/>
      <c r="U187" s="127"/>
      <c r="V187" s="305" t="str">
        <f>_xlfn.IFNA(VLOOKUP(D187,ProductListTbl[],9,0),"")</f>
        <v/>
      </c>
      <c r="W187" s="305" t="str">
        <f>IFERROR(Table3[[#This Row],[Storage space per secondary packaging (cm3)]]*Table3[[#This Row],[Quantity  (vials or syringes)]]/1000,"")</f>
        <v/>
      </c>
      <c r="X187" s="305" t="str">
        <f>IFERROR(Table3[[#This Row],[Storage space per tertiary packaging (cm3)]]*Table3[[#This Row],[Quantity (doses)]]/1000,"")</f>
        <v/>
      </c>
      <c r="Y187" s="293" t="str">
        <f>IF(Table3[[#This Row],[Status]]="Ordered",(DATE(YEAR(P187),MONTH(P187),1)),IF(Table3[[#This Row],[Status]]="Received",(DATE(YEAR(Q187),MONTH(Q187),1)),""))</f>
        <v/>
      </c>
      <c r="Z187" s="304" t="str">
        <f t="shared" si="8"/>
        <v/>
      </c>
      <c r="AA187" s="48" t="str">
        <f t="shared" si="9"/>
        <v/>
      </c>
      <c r="AB187" s="48" t="str">
        <f t="shared" si="10"/>
        <v/>
      </c>
      <c r="AC187" s="292" t="str">
        <f t="shared" si="11"/>
        <v/>
      </c>
      <c r="AD187" s="48" t="str">
        <f>IF(Table3[[#This Row],[Actual Arrival date]]&gt;0,IF(Table3[[#This Row],[Expected arrival date]]&gt;0,Table3[[#This Row],[Actual Arrival date]]-Table3[[#This Row],[Expected arrival date]],""),"")</f>
        <v/>
      </c>
    </row>
    <row r="188" spans="1:30" x14ac:dyDescent="0.25">
      <c r="A188" s="303" t="str">
        <f>Start!$D$7</f>
        <v>Anyland</v>
      </c>
      <c r="B188" s="48" t="str">
        <f>_xlfn.IFNA(VLOOKUP(A188,list!B:C,2,FALSE),"")</f>
        <v>ANY</v>
      </c>
      <c r="C188" s="48"/>
      <c r="D188" s="127"/>
      <c r="E188" s="48" t="str">
        <f>_xlfn.IFNA(VLOOKUP(Table3[[#This Row],[Product]], ProductListTbl[], 3, 0), "")</f>
        <v/>
      </c>
      <c r="F188" s="303" t="str">
        <f>_xlfn.IFNA(VLOOKUP(D188,ProductListTbl[],5,0),"")</f>
        <v/>
      </c>
      <c r="G188" s="303" t="str">
        <f>_xlfn.IFNA(VLOOKUP(D188,ProductListTbl[],6,0),"")</f>
        <v/>
      </c>
      <c r="H188" s="130" t="str">
        <f>_xlfn.IFNA(VLOOKUP(D188,ProductListTbl[],7,0),"")</f>
        <v/>
      </c>
      <c r="I188" s="130" t="str">
        <f>_xlfn.IFNA(VLOOKUP(D188,ProductListTbl[],8,0),"")</f>
        <v/>
      </c>
      <c r="J188" s="127"/>
      <c r="K188" s="129"/>
      <c r="L188" s="128"/>
      <c r="M188" s="305" t="str">
        <f>IFERROR(Table3[[#This Row],[Quantity (doses)]]/Table3[[#This Row],[Doses per vial or syringe]],"")</f>
        <v/>
      </c>
      <c r="N188" s="127"/>
      <c r="O188" s="127"/>
      <c r="P188" s="381"/>
      <c r="Q188" s="129"/>
      <c r="R188" s="127"/>
      <c r="S188" s="127"/>
      <c r="T188" s="127"/>
      <c r="U188" s="127"/>
      <c r="V188" s="305" t="str">
        <f>_xlfn.IFNA(VLOOKUP(D188,ProductListTbl[],9,0),"")</f>
        <v/>
      </c>
      <c r="W188" s="305" t="str">
        <f>IFERROR(Table3[[#This Row],[Storage space per secondary packaging (cm3)]]*Table3[[#This Row],[Quantity  (vials or syringes)]]/1000,"")</f>
        <v/>
      </c>
      <c r="X188" s="305" t="str">
        <f>IFERROR(Table3[[#This Row],[Storage space per tertiary packaging (cm3)]]*Table3[[#This Row],[Quantity (doses)]]/1000,"")</f>
        <v/>
      </c>
      <c r="Y188" s="293" t="str">
        <f>IF(Table3[[#This Row],[Status]]="Ordered",(DATE(YEAR(P188),MONTH(P188),1)),IF(Table3[[#This Row],[Status]]="Received",(DATE(YEAR(Q188),MONTH(Q188),1)),""))</f>
        <v/>
      </c>
      <c r="Z188" s="304" t="str">
        <f t="shared" si="8"/>
        <v/>
      </c>
      <c r="AA188" s="48" t="str">
        <f t="shared" si="9"/>
        <v/>
      </c>
      <c r="AB188" s="48" t="str">
        <f t="shared" si="10"/>
        <v/>
      </c>
      <c r="AC188" s="292" t="str">
        <f t="shared" si="11"/>
        <v/>
      </c>
      <c r="AD188" s="48" t="str">
        <f>IF(Table3[[#This Row],[Actual Arrival date]]&gt;0,IF(Table3[[#This Row],[Expected arrival date]]&gt;0,Table3[[#This Row],[Actual Arrival date]]-Table3[[#This Row],[Expected arrival date]],""),"")</f>
        <v/>
      </c>
    </row>
    <row r="189" spans="1:30" x14ac:dyDescent="0.25">
      <c r="A189" s="303" t="str">
        <f>Start!$D$7</f>
        <v>Anyland</v>
      </c>
      <c r="B189" s="48" t="str">
        <f>_xlfn.IFNA(VLOOKUP(A189,list!B:C,2,FALSE),"")</f>
        <v>ANY</v>
      </c>
      <c r="C189" s="48"/>
      <c r="D189" s="127"/>
      <c r="E189" s="48" t="str">
        <f>_xlfn.IFNA(VLOOKUP(Table3[[#This Row],[Product]], ProductListTbl[], 3, 0), "")</f>
        <v/>
      </c>
      <c r="F189" s="303" t="str">
        <f>_xlfn.IFNA(VLOOKUP(D189,ProductListTbl[],5,0),"")</f>
        <v/>
      </c>
      <c r="G189" s="303" t="str">
        <f>_xlfn.IFNA(VLOOKUP(D189,ProductListTbl[],6,0),"")</f>
        <v/>
      </c>
      <c r="H189" s="130" t="str">
        <f>_xlfn.IFNA(VLOOKUP(D189,ProductListTbl[],7,0),"")</f>
        <v/>
      </c>
      <c r="I189" s="130" t="str">
        <f>_xlfn.IFNA(VLOOKUP(D189,ProductListTbl[],8,0),"")</f>
        <v/>
      </c>
      <c r="J189" s="127"/>
      <c r="K189" s="129"/>
      <c r="L189" s="128"/>
      <c r="M189" s="305" t="str">
        <f>IFERROR(Table3[[#This Row],[Quantity (doses)]]/Table3[[#This Row],[Doses per vial or syringe]],"")</f>
        <v/>
      </c>
      <c r="N189" s="127"/>
      <c r="O189" s="127"/>
      <c r="P189" s="381"/>
      <c r="Q189" s="129"/>
      <c r="R189" s="127"/>
      <c r="S189" s="127"/>
      <c r="T189" s="127"/>
      <c r="U189" s="127"/>
      <c r="V189" s="305" t="str">
        <f>_xlfn.IFNA(VLOOKUP(D189,ProductListTbl[],9,0),"")</f>
        <v/>
      </c>
      <c r="W189" s="305" t="str">
        <f>IFERROR(Table3[[#This Row],[Storage space per secondary packaging (cm3)]]*Table3[[#This Row],[Quantity  (vials or syringes)]]/1000,"")</f>
        <v/>
      </c>
      <c r="X189" s="305" t="str">
        <f>IFERROR(Table3[[#This Row],[Storage space per tertiary packaging (cm3)]]*Table3[[#This Row],[Quantity (doses)]]/1000,"")</f>
        <v/>
      </c>
      <c r="Y189" s="293" t="str">
        <f>IF(Table3[[#This Row],[Status]]="Ordered",(DATE(YEAR(P189),MONTH(P189),1)),IF(Table3[[#This Row],[Status]]="Received",(DATE(YEAR(Q189),MONTH(Q189),1)),""))</f>
        <v/>
      </c>
      <c r="Z189" s="304" t="str">
        <f t="shared" si="8"/>
        <v/>
      </c>
      <c r="AA189" s="48" t="str">
        <f t="shared" si="9"/>
        <v/>
      </c>
      <c r="AB189" s="48" t="str">
        <f t="shared" si="10"/>
        <v/>
      </c>
      <c r="AC189" s="292" t="str">
        <f t="shared" si="11"/>
        <v/>
      </c>
      <c r="AD189" s="48" t="str">
        <f>IF(Table3[[#This Row],[Actual Arrival date]]&gt;0,IF(Table3[[#This Row],[Expected arrival date]]&gt;0,Table3[[#This Row],[Actual Arrival date]]-Table3[[#This Row],[Expected arrival date]],""),"")</f>
        <v/>
      </c>
    </row>
    <row r="190" spans="1:30" x14ac:dyDescent="0.25">
      <c r="A190" s="303" t="str">
        <f>Start!$D$7</f>
        <v>Anyland</v>
      </c>
      <c r="B190" s="48" t="str">
        <f>_xlfn.IFNA(VLOOKUP(A190,list!B:C,2,FALSE),"")</f>
        <v>ANY</v>
      </c>
      <c r="C190" s="48"/>
      <c r="D190" s="127"/>
      <c r="E190" s="48" t="str">
        <f>_xlfn.IFNA(VLOOKUP(Table3[[#This Row],[Product]], ProductListTbl[], 3, 0), "")</f>
        <v/>
      </c>
      <c r="F190" s="303" t="str">
        <f>_xlfn.IFNA(VLOOKUP(D190,ProductListTbl[],5,0),"")</f>
        <v/>
      </c>
      <c r="G190" s="303" t="str">
        <f>_xlfn.IFNA(VLOOKUP(D190,ProductListTbl[],6,0),"")</f>
        <v/>
      </c>
      <c r="H190" s="130" t="str">
        <f>_xlfn.IFNA(VLOOKUP(D190,ProductListTbl[],7,0),"")</f>
        <v/>
      </c>
      <c r="I190" s="130" t="str">
        <f>_xlfn.IFNA(VLOOKUP(D190,ProductListTbl[],8,0),"")</f>
        <v/>
      </c>
      <c r="J190" s="127"/>
      <c r="K190" s="129"/>
      <c r="L190" s="128"/>
      <c r="M190" s="305" t="str">
        <f>IFERROR(Table3[[#This Row],[Quantity (doses)]]/Table3[[#This Row],[Doses per vial or syringe]],"")</f>
        <v/>
      </c>
      <c r="N190" s="127"/>
      <c r="O190" s="127"/>
      <c r="P190" s="381"/>
      <c r="Q190" s="129"/>
      <c r="R190" s="127"/>
      <c r="S190" s="127"/>
      <c r="T190" s="127"/>
      <c r="U190" s="127"/>
      <c r="V190" s="305" t="str">
        <f>_xlfn.IFNA(VLOOKUP(D190,ProductListTbl[],9,0),"")</f>
        <v/>
      </c>
      <c r="W190" s="305" t="str">
        <f>IFERROR(Table3[[#This Row],[Storage space per secondary packaging (cm3)]]*Table3[[#This Row],[Quantity  (vials or syringes)]]/1000,"")</f>
        <v/>
      </c>
      <c r="X190" s="305" t="str">
        <f>IFERROR(Table3[[#This Row],[Storage space per tertiary packaging (cm3)]]*Table3[[#This Row],[Quantity (doses)]]/1000,"")</f>
        <v/>
      </c>
      <c r="Y190" s="293" t="str">
        <f>IF(Table3[[#This Row],[Status]]="Ordered",(DATE(YEAR(P190),MONTH(P190),1)),IF(Table3[[#This Row],[Status]]="Received",(DATE(YEAR(Q190),MONTH(Q190),1)),""))</f>
        <v/>
      </c>
      <c r="Z190" s="304" t="str">
        <f t="shared" si="8"/>
        <v/>
      </c>
      <c r="AA190" s="48" t="str">
        <f t="shared" si="9"/>
        <v/>
      </c>
      <c r="AB190" s="48" t="str">
        <f t="shared" si="10"/>
        <v/>
      </c>
      <c r="AC190" s="292" t="str">
        <f t="shared" si="11"/>
        <v/>
      </c>
      <c r="AD190" s="48" t="str">
        <f>IF(Table3[[#This Row],[Actual Arrival date]]&gt;0,IF(Table3[[#This Row],[Expected arrival date]]&gt;0,Table3[[#This Row],[Actual Arrival date]]-Table3[[#This Row],[Expected arrival date]],""),"")</f>
        <v/>
      </c>
    </row>
    <row r="191" spans="1:30" x14ac:dyDescent="0.25">
      <c r="A191" s="303" t="str">
        <f>Start!$D$7</f>
        <v>Anyland</v>
      </c>
      <c r="B191" s="48" t="str">
        <f>_xlfn.IFNA(VLOOKUP(A191,list!B:C,2,FALSE),"")</f>
        <v>ANY</v>
      </c>
      <c r="C191" s="48"/>
      <c r="D191" s="127"/>
      <c r="E191" s="48" t="str">
        <f>_xlfn.IFNA(VLOOKUP(Table3[[#This Row],[Product]], ProductListTbl[], 3, 0), "")</f>
        <v/>
      </c>
      <c r="F191" s="303" t="str">
        <f>_xlfn.IFNA(VLOOKUP(D191,ProductListTbl[],5,0),"")</f>
        <v/>
      </c>
      <c r="G191" s="303" t="str">
        <f>_xlfn.IFNA(VLOOKUP(D191,ProductListTbl[],6,0),"")</f>
        <v/>
      </c>
      <c r="H191" s="130" t="str">
        <f>_xlfn.IFNA(VLOOKUP(D191,ProductListTbl[],7,0),"")</f>
        <v/>
      </c>
      <c r="I191" s="130" t="str">
        <f>_xlfn.IFNA(VLOOKUP(D191,ProductListTbl[],8,0),"")</f>
        <v/>
      </c>
      <c r="J191" s="127"/>
      <c r="K191" s="129"/>
      <c r="L191" s="128"/>
      <c r="M191" s="305" t="str">
        <f>IFERROR(Table3[[#This Row],[Quantity (doses)]]/Table3[[#This Row],[Doses per vial or syringe]],"")</f>
        <v/>
      </c>
      <c r="N191" s="127"/>
      <c r="O191" s="127"/>
      <c r="P191" s="381"/>
      <c r="Q191" s="129"/>
      <c r="R191" s="127"/>
      <c r="S191" s="127"/>
      <c r="T191" s="127"/>
      <c r="U191" s="127"/>
      <c r="V191" s="305" t="str">
        <f>_xlfn.IFNA(VLOOKUP(D191,ProductListTbl[],9,0),"")</f>
        <v/>
      </c>
      <c r="W191" s="305" t="str">
        <f>IFERROR(Table3[[#This Row],[Storage space per secondary packaging (cm3)]]*Table3[[#This Row],[Quantity  (vials or syringes)]]/1000,"")</f>
        <v/>
      </c>
      <c r="X191" s="305" t="str">
        <f>IFERROR(Table3[[#This Row],[Storage space per tertiary packaging (cm3)]]*Table3[[#This Row],[Quantity (doses)]]/1000,"")</f>
        <v/>
      </c>
      <c r="Y191" s="293" t="str">
        <f>IF(Table3[[#This Row],[Status]]="Ordered",(DATE(YEAR(P191),MONTH(P191),1)),IF(Table3[[#This Row],[Status]]="Received",(DATE(YEAR(Q191),MONTH(Q191),1)),""))</f>
        <v/>
      </c>
      <c r="Z191" s="304" t="str">
        <f t="shared" si="8"/>
        <v/>
      </c>
      <c r="AA191" s="48" t="str">
        <f t="shared" si="9"/>
        <v/>
      </c>
      <c r="AB191" s="48" t="str">
        <f t="shared" si="10"/>
        <v/>
      </c>
      <c r="AC191" s="292" t="str">
        <f t="shared" si="11"/>
        <v/>
      </c>
      <c r="AD191" s="48" t="str">
        <f>IF(Table3[[#This Row],[Actual Arrival date]]&gt;0,IF(Table3[[#This Row],[Expected arrival date]]&gt;0,Table3[[#This Row],[Actual Arrival date]]-Table3[[#This Row],[Expected arrival date]],""),"")</f>
        <v/>
      </c>
    </row>
    <row r="192" spans="1:30" x14ac:dyDescent="0.25">
      <c r="A192" s="303" t="str">
        <f>Start!$D$7</f>
        <v>Anyland</v>
      </c>
      <c r="B192" s="48" t="str">
        <f>_xlfn.IFNA(VLOOKUP(A192,list!B:C,2,FALSE),"")</f>
        <v>ANY</v>
      </c>
      <c r="C192" s="48"/>
      <c r="D192" s="127"/>
      <c r="E192" s="48" t="str">
        <f>_xlfn.IFNA(VLOOKUP(Table3[[#This Row],[Product]], ProductListTbl[], 3, 0), "")</f>
        <v/>
      </c>
      <c r="F192" s="303" t="str">
        <f>_xlfn.IFNA(VLOOKUP(D192,ProductListTbl[],5,0),"")</f>
        <v/>
      </c>
      <c r="G192" s="303" t="str">
        <f>_xlfn.IFNA(VLOOKUP(D192,ProductListTbl[],6,0),"")</f>
        <v/>
      </c>
      <c r="H192" s="130" t="str">
        <f>_xlfn.IFNA(VLOOKUP(D192,ProductListTbl[],7,0),"")</f>
        <v/>
      </c>
      <c r="I192" s="130" t="str">
        <f>_xlfn.IFNA(VLOOKUP(D192,ProductListTbl[],8,0),"")</f>
        <v/>
      </c>
      <c r="J192" s="127"/>
      <c r="K192" s="129"/>
      <c r="L192" s="128"/>
      <c r="M192" s="305" t="str">
        <f>IFERROR(Table3[[#This Row],[Quantity (doses)]]/Table3[[#This Row],[Doses per vial or syringe]],"")</f>
        <v/>
      </c>
      <c r="N192" s="127"/>
      <c r="O192" s="127"/>
      <c r="P192" s="381"/>
      <c r="Q192" s="129"/>
      <c r="R192" s="127"/>
      <c r="S192" s="127"/>
      <c r="T192" s="127"/>
      <c r="U192" s="127"/>
      <c r="V192" s="305" t="str">
        <f>_xlfn.IFNA(VLOOKUP(D192,ProductListTbl[],9,0),"")</f>
        <v/>
      </c>
      <c r="W192" s="305" t="str">
        <f>IFERROR(Table3[[#This Row],[Storage space per secondary packaging (cm3)]]*Table3[[#This Row],[Quantity  (vials or syringes)]]/1000,"")</f>
        <v/>
      </c>
      <c r="X192" s="305" t="str">
        <f>IFERROR(Table3[[#This Row],[Storage space per tertiary packaging (cm3)]]*Table3[[#This Row],[Quantity (doses)]]/1000,"")</f>
        <v/>
      </c>
      <c r="Y192" s="293" t="str">
        <f>IF(Table3[[#This Row],[Status]]="Ordered",(DATE(YEAR(P192),MONTH(P192),1)),IF(Table3[[#This Row],[Status]]="Received",(DATE(YEAR(Q192),MONTH(Q192),1)),""))</f>
        <v/>
      </c>
      <c r="Z192" s="304" t="str">
        <f t="shared" si="8"/>
        <v/>
      </c>
      <c r="AA192" s="48" t="str">
        <f t="shared" si="9"/>
        <v/>
      </c>
      <c r="AB192" s="48" t="str">
        <f t="shared" si="10"/>
        <v/>
      </c>
      <c r="AC192" s="292" t="str">
        <f t="shared" si="11"/>
        <v/>
      </c>
      <c r="AD192" s="48" t="str">
        <f>IF(Table3[[#This Row],[Actual Arrival date]]&gt;0,IF(Table3[[#This Row],[Expected arrival date]]&gt;0,Table3[[#This Row],[Actual Arrival date]]-Table3[[#This Row],[Expected arrival date]],""),"")</f>
        <v/>
      </c>
    </row>
    <row r="193" spans="1:30" x14ac:dyDescent="0.25">
      <c r="A193" s="303" t="str">
        <f>Start!$D$7</f>
        <v>Anyland</v>
      </c>
      <c r="B193" s="48" t="str">
        <f>_xlfn.IFNA(VLOOKUP(A193,list!B:C,2,FALSE),"")</f>
        <v>ANY</v>
      </c>
      <c r="C193" s="48"/>
      <c r="D193" s="127"/>
      <c r="E193" s="48" t="str">
        <f>_xlfn.IFNA(VLOOKUP(Table3[[#This Row],[Product]], ProductListTbl[], 3, 0), "")</f>
        <v/>
      </c>
      <c r="F193" s="303" t="str">
        <f>_xlfn.IFNA(VLOOKUP(D193,ProductListTbl[],5,0),"")</f>
        <v/>
      </c>
      <c r="G193" s="303" t="str">
        <f>_xlfn.IFNA(VLOOKUP(D193,ProductListTbl[],6,0),"")</f>
        <v/>
      </c>
      <c r="H193" s="130" t="str">
        <f>_xlfn.IFNA(VLOOKUP(D193,ProductListTbl[],7,0),"")</f>
        <v/>
      </c>
      <c r="I193" s="130" t="str">
        <f>_xlfn.IFNA(VLOOKUP(D193,ProductListTbl[],8,0),"")</f>
        <v/>
      </c>
      <c r="J193" s="127"/>
      <c r="K193" s="129"/>
      <c r="L193" s="128"/>
      <c r="M193" s="305" t="str">
        <f>IFERROR(Table3[[#This Row],[Quantity (doses)]]/Table3[[#This Row],[Doses per vial or syringe]],"")</f>
        <v/>
      </c>
      <c r="N193" s="127"/>
      <c r="O193" s="127"/>
      <c r="P193" s="381"/>
      <c r="Q193" s="129"/>
      <c r="R193" s="127"/>
      <c r="S193" s="127"/>
      <c r="T193" s="127"/>
      <c r="U193" s="127"/>
      <c r="V193" s="305" t="str">
        <f>_xlfn.IFNA(VLOOKUP(D193,ProductListTbl[],9,0),"")</f>
        <v/>
      </c>
      <c r="W193" s="305" t="str">
        <f>IFERROR(Table3[[#This Row],[Storage space per secondary packaging (cm3)]]*Table3[[#This Row],[Quantity  (vials or syringes)]]/1000,"")</f>
        <v/>
      </c>
      <c r="X193" s="305" t="str">
        <f>IFERROR(Table3[[#This Row],[Storage space per tertiary packaging (cm3)]]*Table3[[#This Row],[Quantity (doses)]]/1000,"")</f>
        <v/>
      </c>
      <c r="Y193" s="293" t="str">
        <f>IF(Table3[[#This Row],[Status]]="Ordered",(DATE(YEAR(P193),MONTH(P193),1)),IF(Table3[[#This Row],[Status]]="Received",(DATE(YEAR(Q193),MONTH(Q193),1)),""))</f>
        <v/>
      </c>
      <c r="Z193" s="304" t="str">
        <f t="shared" si="8"/>
        <v/>
      </c>
      <c r="AA193" s="48" t="str">
        <f t="shared" si="9"/>
        <v/>
      </c>
      <c r="AB193" s="48" t="str">
        <f t="shared" si="10"/>
        <v/>
      </c>
      <c r="AC193" s="292" t="str">
        <f t="shared" si="11"/>
        <v/>
      </c>
      <c r="AD193" s="48" t="str">
        <f>IF(Table3[[#This Row],[Actual Arrival date]]&gt;0,IF(Table3[[#This Row],[Expected arrival date]]&gt;0,Table3[[#This Row],[Actual Arrival date]]-Table3[[#This Row],[Expected arrival date]],""),"")</f>
        <v/>
      </c>
    </row>
    <row r="194" spans="1:30" x14ac:dyDescent="0.25">
      <c r="A194" s="303" t="str">
        <f>Start!$D$7</f>
        <v>Anyland</v>
      </c>
      <c r="B194" s="48" t="str">
        <f>_xlfn.IFNA(VLOOKUP(A194,list!B:C,2,FALSE),"")</f>
        <v>ANY</v>
      </c>
      <c r="C194" s="48"/>
      <c r="D194" s="127"/>
      <c r="E194" s="48" t="str">
        <f>_xlfn.IFNA(VLOOKUP(Table3[[#This Row],[Product]], ProductListTbl[], 3, 0), "")</f>
        <v/>
      </c>
      <c r="F194" s="303" t="str">
        <f>_xlfn.IFNA(VLOOKUP(D194,ProductListTbl[],5,0),"")</f>
        <v/>
      </c>
      <c r="G194" s="303" t="str">
        <f>_xlfn.IFNA(VLOOKUP(D194,ProductListTbl[],6,0),"")</f>
        <v/>
      </c>
      <c r="H194" s="130" t="str">
        <f>_xlfn.IFNA(VLOOKUP(D194,ProductListTbl[],7,0),"")</f>
        <v/>
      </c>
      <c r="I194" s="130" t="str">
        <f>_xlfn.IFNA(VLOOKUP(D194,ProductListTbl[],8,0),"")</f>
        <v/>
      </c>
      <c r="J194" s="127"/>
      <c r="K194" s="129"/>
      <c r="L194" s="128"/>
      <c r="M194" s="305" t="str">
        <f>IFERROR(Table3[[#This Row],[Quantity (doses)]]/Table3[[#This Row],[Doses per vial or syringe]],"")</f>
        <v/>
      </c>
      <c r="N194" s="127"/>
      <c r="O194" s="127"/>
      <c r="P194" s="381"/>
      <c r="Q194" s="129"/>
      <c r="R194" s="127"/>
      <c r="S194" s="127"/>
      <c r="T194" s="127"/>
      <c r="U194" s="127"/>
      <c r="V194" s="305" t="str">
        <f>_xlfn.IFNA(VLOOKUP(D194,ProductListTbl[],9,0),"")</f>
        <v/>
      </c>
      <c r="W194" s="305" t="str">
        <f>IFERROR(Table3[[#This Row],[Storage space per secondary packaging (cm3)]]*Table3[[#This Row],[Quantity  (vials or syringes)]]/1000,"")</f>
        <v/>
      </c>
      <c r="X194" s="305" t="str">
        <f>IFERROR(Table3[[#This Row],[Storage space per tertiary packaging (cm3)]]*Table3[[#This Row],[Quantity (doses)]]/1000,"")</f>
        <v/>
      </c>
      <c r="Y194" s="293" t="str">
        <f>IF(Table3[[#This Row],[Status]]="Ordered",(DATE(YEAR(P194),MONTH(P194),1)),IF(Table3[[#This Row],[Status]]="Received",(DATE(YEAR(Q194),MONTH(Q194),1)),""))</f>
        <v/>
      </c>
      <c r="Z194" s="304" t="str">
        <f t="shared" si="8"/>
        <v/>
      </c>
      <c r="AA194" s="48" t="str">
        <f t="shared" si="9"/>
        <v/>
      </c>
      <c r="AB194" s="48" t="str">
        <f t="shared" si="10"/>
        <v/>
      </c>
      <c r="AC194" s="292" t="str">
        <f t="shared" si="11"/>
        <v/>
      </c>
      <c r="AD194" s="48" t="str">
        <f>IF(Table3[[#This Row],[Actual Arrival date]]&gt;0,IF(Table3[[#This Row],[Expected arrival date]]&gt;0,Table3[[#This Row],[Actual Arrival date]]-Table3[[#This Row],[Expected arrival date]],""),"")</f>
        <v/>
      </c>
    </row>
    <row r="195" spans="1:30" x14ac:dyDescent="0.25">
      <c r="A195" s="303" t="str">
        <f>Start!$D$7</f>
        <v>Anyland</v>
      </c>
      <c r="B195" s="48" t="str">
        <f>_xlfn.IFNA(VLOOKUP(A195,list!B:C,2,FALSE),"")</f>
        <v>ANY</v>
      </c>
      <c r="C195" s="48"/>
      <c r="D195" s="127"/>
      <c r="E195" s="48" t="str">
        <f>_xlfn.IFNA(VLOOKUP(Table3[[#This Row],[Product]], ProductListTbl[], 3, 0), "")</f>
        <v/>
      </c>
      <c r="F195" s="303" t="str">
        <f>_xlfn.IFNA(VLOOKUP(D195,ProductListTbl[],5,0),"")</f>
        <v/>
      </c>
      <c r="G195" s="303" t="str">
        <f>_xlfn.IFNA(VLOOKUP(D195,ProductListTbl[],6,0),"")</f>
        <v/>
      </c>
      <c r="H195" s="130" t="str">
        <f>_xlfn.IFNA(VLOOKUP(D195,ProductListTbl[],7,0),"")</f>
        <v/>
      </c>
      <c r="I195" s="130" t="str">
        <f>_xlfn.IFNA(VLOOKUP(D195,ProductListTbl[],8,0),"")</f>
        <v/>
      </c>
      <c r="J195" s="127"/>
      <c r="K195" s="129"/>
      <c r="L195" s="128"/>
      <c r="M195" s="305" t="str">
        <f>IFERROR(Table3[[#This Row],[Quantity (doses)]]/Table3[[#This Row],[Doses per vial or syringe]],"")</f>
        <v/>
      </c>
      <c r="N195" s="127"/>
      <c r="O195" s="127"/>
      <c r="P195" s="381"/>
      <c r="Q195" s="129"/>
      <c r="R195" s="127"/>
      <c r="S195" s="127"/>
      <c r="T195" s="127"/>
      <c r="U195" s="127"/>
      <c r="V195" s="305" t="str">
        <f>_xlfn.IFNA(VLOOKUP(D195,ProductListTbl[],9,0),"")</f>
        <v/>
      </c>
      <c r="W195" s="305" t="str">
        <f>IFERROR(Table3[[#This Row],[Storage space per secondary packaging (cm3)]]*Table3[[#This Row],[Quantity  (vials or syringes)]]/1000,"")</f>
        <v/>
      </c>
      <c r="X195" s="305" t="str">
        <f>IFERROR(Table3[[#This Row],[Storage space per tertiary packaging (cm3)]]*Table3[[#This Row],[Quantity (doses)]]/1000,"")</f>
        <v/>
      </c>
      <c r="Y195" s="293" t="str">
        <f>IF(Table3[[#This Row],[Status]]="Ordered",(DATE(YEAR(P195),MONTH(P195),1)),IF(Table3[[#This Row],[Status]]="Received",(DATE(YEAR(Q195),MONTH(Q195),1)),""))</f>
        <v/>
      </c>
      <c r="Z195" s="304" t="str">
        <f t="shared" si="8"/>
        <v/>
      </c>
      <c r="AA195" s="48" t="str">
        <f t="shared" si="9"/>
        <v/>
      </c>
      <c r="AB195" s="48" t="str">
        <f t="shared" si="10"/>
        <v/>
      </c>
      <c r="AC195" s="292" t="str">
        <f t="shared" si="11"/>
        <v/>
      </c>
      <c r="AD195" s="48" t="str">
        <f>IF(Table3[[#This Row],[Actual Arrival date]]&gt;0,IF(Table3[[#This Row],[Expected arrival date]]&gt;0,Table3[[#This Row],[Actual Arrival date]]-Table3[[#This Row],[Expected arrival date]],""),"")</f>
        <v/>
      </c>
    </row>
    <row r="196" spans="1:30" x14ac:dyDescent="0.25">
      <c r="A196" s="303" t="str">
        <f>Start!$D$7</f>
        <v>Anyland</v>
      </c>
      <c r="B196" s="48" t="str">
        <f>_xlfn.IFNA(VLOOKUP(A196,list!B:C,2,FALSE),"")</f>
        <v>ANY</v>
      </c>
      <c r="C196" s="48"/>
      <c r="D196" s="127"/>
      <c r="E196" s="48" t="str">
        <f>_xlfn.IFNA(VLOOKUP(Table3[[#This Row],[Product]], ProductListTbl[], 3, 0), "")</f>
        <v/>
      </c>
      <c r="F196" s="303" t="str">
        <f>_xlfn.IFNA(VLOOKUP(D196,ProductListTbl[],5,0),"")</f>
        <v/>
      </c>
      <c r="G196" s="303" t="str">
        <f>_xlfn.IFNA(VLOOKUP(D196,ProductListTbl[],6,0),"")</f>
        <v/>
      </c>
      <c r="H196" s="130" t="str">
        <f>_xlfn.IFNA(VLOOKUP(D196,ProductListTbl[],7,0),"")</f>
        <v/>
      </c>
      <c r="I196" s="130" t="str">
        <f>_xlfn.IFNA(VLOOKUP(D196,ProductListTbl[],8,0),"")</f>
        <v/>
      </c>
      <c r="J196" s="127"/>
      <c r="K196" s="129"/>
      <c r="L196" s="128"/>
      <c r="M196" s="305" t="str">
        <f>IFERROR(Table3[[#This Row],[Quantity (doses)]]/Table3[[#This Row],[Doses per vial or syringe]],"")</f>
        <v/>
      </c>
      <c r="N196" s="127"/>
      <c r="O196" s="127"/>
      <c r="P196" s="381"/>
      <c r="Q196" s="129"/>
      <c r="R196" s="127"/>
      <c r="S196" s="127"/>
      <c r="T196" s="127"/>
      <c r="U196" s="127"/>
      <c r="V196" s="305" t="str">
        <f>_xlfn.IFNA(VLOOKUP(D196,ProductListTbl[],9,0),"")</f>
        <v/>
      </c>
      <c r="W196" s="305" t="str">
        <f>IFERROR(Table3[[#This Row],[Storage space per secondary packaging (cm3)]]*Table3[[#This Row],[Quantity  (vials or syringes)]]/1000,"")</f>
        <v/>
      </c>
      <c r="X196" s="305" t="str">
        <f>IFERROR(Table3[[#This Row],[Storage space per tertiary packaging (cm3)]]*Table3[[#This Row],[Quantity (doses)]]/1000,"")</f>
        <v/>
      </c>
      <c r="Y196" s="293" t="str">
        <f>IF(Table3[[#This Row],[Status]]="Ordered",(DATE(YEAR(P196),MONTH(P196),1)),IF(Table3[[#This Row],[Status]]="Received",(DATE(YEAR(Q196),MONTH(Q196),1)),""))</f>
        <v/>
      </c>
      <c r="Z196" s="304" t="str">
        <f t="shared" si="8"/>
        <v/>
      </c>
      <c r="AA196" s="48" t="str">
        <f t="shared" si="9"/>
        <v/>
      </c>
      <c r="AB196" s="48" t="str">
        <f t="shared" si="10"/>
        <v/>
      </c>
      <c r="AC196" s="292" t="str">
        <f t="shared" si="11"/>
        <v/>
      </c>
      <c r="AD196" s="48" t="str">
        <f>IF(Table3[[#This Row],[Actual Arrival date]]&gt;0,IF(Table3[[#This Row],[Expected arrival date]]&gt;0,Table3[[#This Row],[Actual Arrival date]]-Table3[[#This Row],[Expected arrival date]],""),"")</f>
        <v/>
      </c>
    </row>
    <row r="197" spans="1:30" x14ac:dyDescent="0.25">
      <c r="A197" s="303" t="str">
        <f>Start!$D$7</f>
        <v>Anyland</v>
      </c>
      <c r="B197" s="48" t="str">
        <f>_xlfn.IFNA(VLOOKUP(A197,list!B:C,2,FALSE),"")</f>
        <v>ANY</v>
      </c>
      <c r="C197" s="48"/>
      <c r="D197" s="127"/>
      <c r="E197" s="48" t="str">
        <f>_xlfn.IFNA(VLOOKUP(Table3[[#This Row],[Product]], ProductListTbl[], 3, 0), "")</f>
        <v/>
      </c>
      <c r="F197" s="303" t="str">
        <f>_xlfn.IFNA(VLOOKUP(D197,ProductListTbl[],5,0),"")</f>
        <v/>
      </c>
      <c r="G197" s="303" t="str">
        <f>_xlfn.IFNA(VLOOKUP(D197,ProductListTbl[],6,0),"")</f>
        <v/>
      </c>
      <c r="H197" s="130" t="str">
        <f>_xlfn.IFNA(VLOOKUP(D197,ProductListTbl[],7,0),"")</f>
        <v/>
      </c>
      <c r="I197" s="130" t="str">
        <f>_xlfn.IFNA(VLOOKUP(D197,ProductListTbl[],8,0),"")</f>
        <v/>
      </c>
      <c r="J197" s="127"/>
      <c r="K197" s="129"/>
      <c r="L197" s="128"/>
      <c r="M197" s="305" t="str">
        <f>IFERROR(Table3[[#This Row],[Quantity (doses)]]/Table3[[#This Row],[Doses per vial or syringe]],"")</f>
        <v/>
      </c>
      <c r="N197" s="127"/>
      <c r="O197" s="127"/>
      <c r="P197" s="381"/>
      <c r="Q197" s="129"/>
      <c r="R197" s="127"/>
      <c r="S197" s="127"/>
      <c r="T197" s="127"/>
      <c r="U197" s="127"/>
      <c r="V197" s="305" t="str">
        <f>_xlfn.IFNA(VLOOKUP(D197,ProductListTbl[],9,0),"")</f>
        <v/>
      </c>
      <c r="W197" s="305" t="str">
        <f>IFERROR(Table3[[#This Row],[Storage space per secondary packaging (cm3)]]*Table3[[#This Row],[Quantity  (vials or syringes)]]/1000,"")</f>
        <v/>
      </c>
      <c r="X197" s="305" t="str">
        <f>IFERROR(Table3[[#This Row],[Storage space per tertiary packaging (cm3)]]*Table3[[#This Row],[Quantity (doses)]]/1000,"")</f>
        <v/>
      </c>
      <c r="Y197" s="293" t="str">
        <f>IF(Table3[[#This Row],[Status]]="Ordered",(DATE(YEAR(P197),MONTH(P197),1)),IF(Table3[[#This Row],[Status]]="Received",(DATE(YEAR(Q197),MONTH(Q197),1)),""))</f>
        <v/>
      </c>
      <c r="Z197" s="304" t="str">
        <f t="shared" ref="Z197:Z260" si="12">IFERROR(IF(K197&gt;0,((K197-Q197)/(365.25/12)),""),"")</f>
        <v/>
      </c>
      <c r="AA197" s="48" t="str">
        <f t="shared" ref="AA197:AA260" si="13">IFERROR(IF(K197="","",MONTH(EOMONTH(K197,(DAY(K197)&gt;15)+0))),"")</f>
        <v/>
      </c>
      <c r="AB197" s="48" t="str">
        <f t="shared" ref="AB197:AB260" si="14">IFERROR(IF(K197="","",IF(AND(MONTH(K197)=12,AA197=1),YEAR(K197)+1,YEAR(K197))),"")</f>
        <v/>
      </c>
      <c r="AC197" s="292" t="str">
        <f t="shared" ref="AC197:AC260" si="15">IF(OR(AA197="",AB197=""),"",DATE(AB197,AA197,1))</f>
        <v/>
      </c>
      <c r="AD197" s="48" t="str">
        <f>IF(Table3[[#This Row],[Actual Arrival date]]&gt;0,IF(Table3[[#This Row],[Expected arrival date]]&gt;0,Table3[[#This Row],[Actual Arrival date]]-Table3[[#This Row],[Expected arrival date]],""),"")</f>
        <v/>
      </c>
    </row>
    <row r="198" spans="1:30" x14ac:dyDescent="0.25">
      <c r="A198" s="303" t="str">
        <f>Start!$D$7</f>
        <v>Anyland</v>
      </c>
      <c r="B198" s="48" t="str">
        <f>_xlfn.IFNA(VLOOKUP(A198,list!B:C,2,FALSE),"")</f>
        <v>ANY</v>
      </c>
      <c r="C198" s="48"/>
      <c r="D198" s="127"/>
      <c r="E198" s="48" t="str">
        <f>_xlfn.IFNA(VLOOKUP(Table3[[#This Row],[Product]], ProductListTbl[], 3, 0), "")</f>
        <v/>
      </c>
      <c r="F198" s="303" t="str">
        <f>_xlfn.IFNA(VLOOKUP(D198,ProductListTbl[],5,0),"")</f>
        <v/>
      </c>
      <c r="G198" s="303" t="str">
        <f>_xlfn.IFNA(VLOOKUP(D198,ProductListTbl[],6,0),"")</f>
        <v/>
      </c>
      <c r="H198" s="130" t="str">
        <f>_xlfn.IFNA(VLOOKUP(D198,ProductListTbl[],7,0),"")</f>
        <v/>
      </c>
      <c r="I198" s="130" t="str">
        <f>_xlfn.IFNA(VLOOKUP(D198,ProductListTbl[],8,0),"")</f>
        <v/>
      </c>
      <c r="J198" s="127"/>
      <c r="K198" s="129"/>
      <c r="L198" s="128"/>
      <c r="M198" s="305" t="str">
        <f>IFERROR(Table3[[#This Row],[Quantity (doses)]]/Table3[[#This Row],[Doses per vial or syringe]],"")</f>
        <v/>
      </c>
      <c r="N198" s="127"/>
      <c r="O198" s="127"/>
      <c r="P198" s="381"/>
      <c r="Q198" s="129"/>
      <c r="R198" s="127"/>
      <c r="S198" s="127"/>
      <c r="T198" s="127"/>
      <c r="U198" s="127"/>
      <c r="V198" s="305" t="str">
        <f>_xlfn.IFNA(VLOOKUP(D198,ProductListTbl[],9,0),"")</f>
        <v/>
      </c>
      <c r="W198" s="305" t="str">
        <f>IFERROR(Table3[[#This Row],[Storage space per secondary packaging (cm3)]]*Table3[[#This Row],[Quantity  (vials or syringes)]]/1000,"")</f>
        <v/>
      </c>
      <c r="X198" s="305" t="str">
        <f>IFERROR(Table3[[#This Row],[Storage space per tertiary packaging (cm3)]]*Table3[[#This Row],[Quantity (doses)]]/1000,"")</f>
        <v/>
      </c>
      <c r="Y198" s="293" t="str">
        <f>IF(Table3[[#This Row],[Status]]="Ordered",(DATE(YEAR(P198),MONTH(P198),1)),IF(Table3[[#This Row],[Status]]="Received",(DATE(YEAR(Q198),MONTH(Q198),1)),""))</f>
        <v/>
      </c>
      <c r="Z198" s="304" t="str">
        <f t="shared" si="12"/>
        <v/>
      </c>
      <c r="AA198" s="48" t="str">
        <f t="shared" si="13"/>
        <v/>
      </c>
      <c r="AB198" s="48" t="str">
        <f t="shared" si="14"/>
        <v/>
      </c>
      <c r="AC198" s="292" t="str">
        <f t="shared" si="15"/>
        <v/>
      </c>
      <c r="AD198" s="48" t="str">
        <f>IF(Table3[[#This Row],[Actual Arrival date]]&gt;0,IF(Table3[[#This Row],[Expected arrival date]]&gt;0,Table3[[#This Row],[Actual Arrival date]]-Table3[[#This Row],[Expected arrival date]],""),"")</f>
        <v/>
      </c>
    </row>
    <row r="199" spans="1:30" x14ac:dyDescent="0.25">
      <c r="A199" s="303" t="str">
        <f>Start!$D$7</f>
        <v>Anyland</v>
      </c>
      <c r="B199" s="48" t="str">
        <f>_xlfn.IFNA(VLOOKUP(A199,list!B:C,2,FALSE),"")</f>
        <v>ANY</v>
      </c>
      <c r="C199" s="48"/>
      <c r="D199" s="127"/>
      <c r="E199" s="48" t="str">
        <f>_xlfn.IFNA(VLOOKUP(Table3[[#This Row],[Product]], ProductListTbl[], 3, 0), "")</f>
        <v/>
      </c>
      <c r="F199" s="303" t="str">
        <f>_xlfn.IFNA(VLOOKUP(D199,ProductListTbl[],5,0),"")</f>
        <v/>
      </c>
      <c r="G199" s="303" t="str">
        <f>_xlfn.IFNA(VLOOKUP(D199,ProductListTbl[],6,0),"")</f>
        <v/>
      </c>
      <c r="H199" s="130" t="str">
        <f>_xlfn.IFNA(VLOOKUP(D199,ProductListTbl[],7,0),"")</f>
        <v/>
      </c>
      <c r="I199" s="130" t="str">
        <f>_xlfn.IFNA(VLOOKUP(D199,ProductListTbl[],8,0),"")</f>
        <v/>
      </c>
      <c r="J199" s="127"/>
      <c r="K199" s="129"/>
      <c r="L199" s="128"/>
      <c r="M199" s="305" t="str">
        <f>IFERROR(Table3[[#This Row],[Quantity (doses)]]/Table3[[#This Row],[Doses per vial or syringe]],"")</f>
        <v/>
      </c>
      <c r="N199" s="127"/>
      <c r="O199" s="127"/>
      <c r="P199" s="381"/>
      <c r="Q199" s="129"/>
      <c r="R199" s="127"/>
      <c r="S199" s="127"/>
      <c r="T199" s="127"/>
      <c r="U199" s="127"/>
      <c r="V199" s="305" t="str">
        <f>_xlfn.IFNA(VLOOKUP(D199,ProductListTbl[],9,0),"")</f>
        <v/>
      </c>
      <c r="W199" s="305" t="str">
        <f>IFERROR(Table3[[#This Row],[Storage space per secondary packaging (cm3)]]*Table3[[#This Row],[Quantity  (vials or syringes)]]/1000,"")</f>
        <v/>
      </c>
      <c r="X199" s="305" t="str">
        <f>IFERROR(Table3[[#This Row],[Storage space per tertiary packaging (cm3)]]*Table3[[#This Row],[Quantity (doses)]]/1000,"")</f>
        <v/>
      </c>
      <c r="Y199" s="293" t="str">
        <f>IF(Table3[[#This Row],[Status]]="Ordered",(DATE(YEAR(P199),MONTH(P199),1)),IF(Table3[[#This Row],[Status]]="Received",(DATE(YEAR(Q199),MONTH(Q199),1)),""))</f>
        <v/>
      </c>
      <c r="Z199" s="304" t="str">
        <f t="shared" si="12"/>
        <v/>
      </c>
      <c r="AA199" s="48" t="str">
        <f t="shared" si="13"/>
        <v/>
      </c>
      <c r="AB199" s="48" t="str">
        <f t="shared" si="14"/>
        <v/>
      </c>
      <c r="AC199" s="292" t="str">
        <f t="shared" si="15"/>
        <v/>
      </c>
      <c r="AD199" s="48" t="str">
        <f>IF(Table3[[#This Row],[Actual Arrival date]]&gt;0,IF(Table3[[#This Row],[Expected arrival date]]&gt;0,Table3[[#This Row],[Actual Arrival date]]-Table3[[#This Row],[Expected arrival date]],""),"")</f>
        <v/>
      </c>
    </row>
    <row r="200" spans="1:30" x14ac:dyDescent="0.25">
      <c r="A200" s="303" t="str">
        <f>Start!$D$7</f>
        <v>Anyland</v>
      </c>
      <c r="B200" s="48" t="str">
        <f>_xlfn.IFNA(VLOOKUP(A200,list!B:C,2,FALSE),"")</f>
        <v>ANY</v>
      </c>
      <c r="C200" s="48"/>
      <c r="D200" s="127"/>
      <c r="E200" s="48" t="str">
        <f>_xlfn.IFNA(VLOOKUP(Table3[[#This Row],[Product]], ProductListTbl[], 3, 0), "")</f>
        <v/>
      </c>
      <c r="F200" s="303" t="str">
        <f>_xlfn.IFNA(VLOOKUP(D200,ProductListTbl[],5,0),"")</f>
        <v/>
      </c>
      <c r="G200" s="303" t="str">
        <f>_xlfn.IFNA(VLOOKUP(D200,ProductListTbl[],6,0),"")</f>
        <v/>
      </c>
      <c r="H200" s="130" t="str">
        <f>_xlfn.IFNA(VLOOKUP(D200,ProductListTbl[],7,0),"")</f>
        <v/>
      </c>
      <c r="I200" s="130" t="str">
        <f>_xlfn.IFNA(VLOOKUP(D200,ProductListTbl[],8,0),"")</f>
        <v/>
      </c>
      <c r="J200" s="127"/>
      <c r="K200" s="129"/>
      <c r="L200" s="128"/>
      <c r="M200" s="305" t="str">
        <f>IFERROR(Table3[[#This Row],[Quantity (doses)]]/Table3[[#This Row],[Doses per vial or syringe]],"")</f>
        <v/>
      </c>
      <c r="N200" s="127"/>
      <c r="O200" s="127"/>
      <c r="P200" s="381"/>
      <c r="Q200" s="129"/>
      <c r="R200" s="127"/>
      <c r="S200" s="127"/>
      <c r="T200" s="127"/>
      <c r="U200" s="127"/>
      <c r="V200" s="305" t="str">
        <f>_xlfn.IFNA(VLOOKUP(D200,ProductListTbl[],9,0),"")</f>
        <v/>
      </c>
      <c r="W200" s="305" t="str">
        <f>IFERROR(Table3[[#This Row],[Storage space per secondary packaging (cm3)]]*Table3[[#This Row],[Quantity  (vials or syringes)]]/1000,"")</f>
        <v/>
      </c>
      <c r="X200" s="305" t="str">
        <f>IFERROR(Table3[[#This Row],[Storage space per tertiary packaging (cm3)]]*Table3[[#This Row],[Quantity (doses)]]/1000,"")</f>
        <v/>
      </c>
      <c r="Y200" s="293" t="str">
        <f>IF(Table3[[#This Row],[Status]]="Ordered",(DATE(YEAR(P200),MONTH(P200),1)),IF(Table3[[#This Row],[Status]]="Received",(DATE(YEAR(Q200),MONTH(Q200),1)),""))</f>
        <v/>
      </c>
      <c r="Z200" s="304" t="str">
        <f t="shared" si="12"/>
        <v/>
      </c>
      <c r="AA200" s="48" t="str">
        <f t="shared" si="13"/>
        <v/>
      </c>
      <c r="AB200" s="48" t="str">
        <f t="shared" si="14"/>
        <v/>
      </c>
      <c r="AC200" s="292" t="str">
        <f t="shared" si="15"/>
        <v/>
      </c>
      <c r="AD200" s="48" t="str">
        <f>IF(Table3[[#This Row],[Actual Arrival date]]&gt;0,IF(Table3[[#This Row],[Expected arrival date]]&gt;0,Table3[[#This Row],[Actual Arrival date]]-Table3[[#This Row],[Expected arrival date]],""),"")</f>
        <v/>
      </c>
    </row>
    <row r="201" spans="1:30" x14ac:dyDescent="0.25">
      <c r="A201" s="303" t="str">
        <f>Start!$D$7</f>
        <v>Anyland</v>
      </c>
      <c r="B201" s="48" t="str">
        <f>_xlfn.IFNA(VLOOKUP(A201,list!B:C,2,FALSE),"")</f>
        <v>ANY</v>
      </c>
      <c r="C201" s="48"/>
      <c r="D201" s="127"/>
      <c r="E201" s="48" t="str">
        <f>_xlfn.IFNA(VLOOKUP(Table3[[#This Row],[Product]], ProductListTbl[], 3, 0), "")</f>
        <v/>
      </c>
      <c r="F201" s="303" t="str">
        <f>_xlfn.IFNA(VLOOKUP(D201,ProductListTbl[],5,0),"")</f>
        <v/>
      </c>
      <c r="G201" s="303" t="str">
        <f>_xlfn.IFNA(VLOOKUP(D201,ProductListTbl[],6,0),"")</f>
        <v/>
      </c>
      <c r="H201" s="130" t="str">
        <f>_xlfn.IFNA(VLOOKUP(D201,ProductListTbl[],7,0),"")</f>
        <v/>
      </c>
      <c r="I201" s="130" t="str">
        <f>_xlfn.IFNA(VLOOKUP(D201,ProductListTbl[],8,0),"")</f>
        <v/>
      </c>
      <c r="J201" s="127"/>
      <c r="K201" s="129"/>
      <c r="L201" s="128"/>
      <c r="M201" s="305" t="str">
        <f>IFERROR(Table3[[#This Row],[Quantity (doses)]]/Table3[[#This Row],[Doses per vial or syringe]],"")</f>
        <v/>
      </c>
      <c r="N201" s="127"/>
      <c r="O201" s="127"/>
      <c r="P201" s="381"/>
      <c r="Q201" s="129"/>
      <c r="R201" s="127"/>
      <c r="S201" s="127"/>
      <c r="T201" s="127"/>
      <c r="U201" s="127"/>
      <c r="V201" s="305" t="str">
        <f>_xlfn.IFNA(VLOOKUP(D201,ProductListTbl[],9,0),"")</f>
        <v/>
      </c>
      <c r="W201" s="305" t="str">
        <f>IFERROR(Table3[[#This Row],[Storage space per secondary packaging (cm3)]]*Table3[[#This Row],[Quantity  (vials or syringes)]]/1000,"")</f>
        <v/>
      </c>
      <c r="X201" s="305" t="str">
        <f>IFERROR(Table3[[#This Row],[Storage space per tertiary packaging (cm3)]]*Table3[[#This Row],[Quantity (doses)]]/1000,"")</f>
        <v/>
      </c>
      <c r="Y201" s="293" t="str">
        <f>IF(Table3[[#This Row],[Status]]="Ordered",(DATE(YEAR(P201),MONTH(P201),1)),IF(Table3[[#This Row],[Status]]="Received",(DATE(YEAR(Q201),MONTH(Q201),1)),""))</f>
        <v/>
      </c>
      <c r="Z201" s="304" t="str">
        <f t="shared" si="12"/>
        <v/>
      </c>
      <c r="AA201" s="48" t="str">
        <f t="shared" si="13"/>
        <v/>
      </c>
      <c r="AB201" s="48" t="str">
        <f t="shared" si="14"/>
        <v/>
      </c>
      <c r="AC201" s="292" t="str">
        <f t="shared" si="15"/>
        <v/>
      </c>
      <c r="AD201" s="48" t="str">
        <f>IF(Table3[[#This Row],[Actual Arrival date]]&gt;0,IF(Table3[[#This Row],[Expected arrival date]]&gt;0,Table3[[#This Row],[Actual Arrival date]]-Table3[[#This Row],[Expected arrival date]],""),"")</f>
        <v/>
      </c>
    </row>
    <row r="202" spans="1:30" x14ac:dyDescent="0.25">
      <c r="A202" s="303" t="str">
        <f>Start!$D$7</f>
        <v>Anyland</v>
      </c>
      <c r="B202" s="48" t="str">
        <f>_xlfn.IFNA(VLOOKUP(A202,list!B:C,2,FALSE),"")</f>
        <v>ANY</v>
      </c>
      <c r="C202" s="48"/>
      <c r="D202" s="127"/>
      <c r="E202" s="48" t="str">
        <f>_xlfn.IFNA(VLOOKUP(Table3[[#This Row],[Product]], ProductListTbl[], 3, 0), "")</f>
        <v/>
      </c>
      <c r="F202" s="303" t="str">
        <f>_xlfn.IFNA(VLOOKUP(D202,ProductListTbl[],5,0),"")</f>
        <v/>
      </c>
      <c r="G202" s="303" t="str">
        <f>_xlfn.IFNA(VLOOKUP(D202,ProductListTbl[],6,0),"")</f>
        <v/>
      </c>
      <c r="H202" s="130" t="str">
        <f>_xlfn.IFNA(VLOOKUP(D202,ProductListTbl[],7,0),"")</f>
        <v/>
      </c>
      <c r="I202" s="130" t="str">
        <f>_xlfn.IFNA(VLOOKUP(D202,ProductListTbl[],8,0),"")</f>
        <v/>
      </c>
      <c r="J202" s="127"/>
      <c r="K202" s="129"/>
      <c r="L202" s="128"/>
      <c r="M202" s="305" t="str">
        <f>IFERROR(Table3[[#This Row],[Quantity (doses)]]/Table3[[#This Row],[Doses per vial or syringe]],"")</f>
        <v/>
      </c>
      <c r="N202" s="127"/>
      <c r="O202" s="127"/>
      <c r="P202" s="381"/>
      <c r="Q202" s="129"/>
      <c r="R202" s="127"/>
      <c r="S202" s="127"/>
      <c r="T202" s="127"/>
      <c r="U202" s="127"/>
      <c r="V202" s="305" t="str">
        <f>_xlfn.IFNA(VLOOKUP(D202,ProductListTbl[],9,0),"")</f>
        <v/>
      </c>
      <c r="W202" s="305" t="str">
        <f>IFERROR(Table3[[#This Row],[Storage space per secondary packaging (cm3)]]*Table3[[#This Row],[Quantity  (vials or syringes)]]/1000,"")</f>
        <v/>
      </c>
      <c r="X202" s="305" t="str">
        <f>IFERROR(Table3[[#This Row],[Storage space per tertiary packaging (cm3)]]*Table3[[#This Row],[Quantity (doses)]]/1000,"")</f>
        <v/>
      </c>
      <c r="Y202" s="293" t="str">
        <f>IF(Table3[[#This Row],[Status]]="Ordered",(DATE(YEAR(P202),MONTH(P202),1)),IF(Table3[[#This Row],[Status]]="Received",(DATE(YEAR(Q202),MONTH(Q202),1)),""))</f>
        <v/>
      </c>
      <c r="Z202" s="304" t="str">
        <f t="shared" si="12"/>
        <v/>
      </c>
      <c r="AA202" s="48" t="str">
        <f t="shared" si="13"/>
        <v/>
      </c>
      <c r="AB202" s="48" t="str">
        <f t="shared" si="14"/>
        <v/>
      </c>
      <c r="AC202" s="292" t="str">
        <f t="shared" si="15"/>
        <v/>
      </c>
      <c r="AD202" s="48" t="str">
        <f>IF(Table3[[#This Row],[Actual Arrival date]]&gt;0,IF(Table3[[#This Row],[Expected arrival date]]&gt;0,Table3[[#This Row],[Actual Arrival date]]-Table3[[#This Row],[Expected arrival date]],""),"")</f>
        <v/>
      </c>
    </row>
    <row r="203" spans="1:30" x14ac:dyDescent="0.25">
      <c r="A203" s="303" t="str">
        <f>Start!$D$7</f>
        <v>Anyland</v>
      </c>
      <c r="B203" s="48" t="str">
        <f>_xlfn.IFNA(VLOOKUP(A203,list!B:C,2,FALSE),"")</f>
        <v>ANY</v>
      </c>
      <c r="C203" s="48"/>
      <c r="D203" s="127"/>
      <c r="E203" s="48" t="str">
        <f>_xlfn.IFNA(VLOOKUP(Table3[[#This Row],[Product]], ProductListTbl[], 3, 0), "")</f>
        <v/>
      </c>
      <c r="F203" s="303" t="str">
        <f>_xlfn.IFNA(VLOOKUP(D203,ProductListTbl[],5,0),"")</f>
        <v/>
      </c>
      <c r="G203" s="303" t="str">
        <f>_xlfn.IFNA(VLOOKUP(D203,ProductListTbl[],6,0),"")</f>
        <v/>
      </c>
      <c r="H203" s="130" t="str">
        <f>_xlfn.IFNA(VLOOKUP(D203,ProductListTbl[],7,0),"")</f>
        <v/>
      </c>
      <c r="I203" s="130" t="str">
        <f>_xlfn.IFNA(VLOOKUP(D203,ProductListTbl[],8,0),"")</f>
        <v/>
      </c>
      <c r="J203" s="127"/>
      <c r="K203" s="129"/>
      <c r="L203" s="128"/>
      <c r="M203" s="305" t="str">
        <f>IFERROR(Table3[[#This Row],[Quantity (doses)]]/Table3[[#This Row],[Doses per vial or syringe]],"")</f>
        <v/>
      </c>
      <c r="N203" s="127"/>
      <c r="O203" s="127"/>
      <c r="P203" s="381"/>
      <c r="Q203" s="129"/>
      <c r="R203" s="127"/>
      <c r="S203" s="127"/>
      <c r="T203" s="127"/>
      <c r="U203" s="127"/>
      <c r="V203" s="305" t="str">
        <f>_xlfn.IFNA(VLOOKUP(D203,ProductListTbl[],9,0),"")</f>
        <v/>
      </c>
      <c r="W203" s="305" t="str">
        <f>IFERROR(Table3[[#This Row],[Storage space per secondary packaging (cm3)]]*Table3[[#This Row],[Quantity  (vials or syringes)]]/1000,"")</f>
        <v/>
      </c>
      <c r="X203" s="305" t="str">
        <f>IFERROR(Table3[[#This Row],[Storage space per tertiary packaging (cm3)]]*Table3[[#This Row],[Quantity (doses)]]/1000,"")</f>
        <v/>
      </c>
      <c r="Y203" s="293" t="str">
        <f>IF(Table3[[#This Row],[Status]]="Ordered",(DATE(YEAR(P203),MONTH(P203),1)),IF(Table3[[#This Row],[Status]]="Received",(DATE(YEAR(Q203),MONTH(Q203),1)),""))</f>
        <v/>
      </c>
      <c r="Z203" s="304" t="str">
        <f t="shared" si="12"/>
        <v/>
      </c>
      <c r="AA203" s="48" t="str">
        <f t="shared" si="13"/>
        <v/>
      </c>
      <c r="AB203" s="48" t="str">
        <f t="shared" si="14"/>
        <v/>
      </c>
      <c r="AC203" s="292" t="str">
        <f t="shared" si="15"/>
        <v/>
      </c>
      <c r="AD203" s="48" t="str">
        <f>IF(Table3[[#This Row],[Actual Arrival date]]&gt;0,IF(Table3[[#This Row],[Expected arrival date]]&gt;0,Table3[[#This Row],[Actual Arrival date]]-Table3[[#This Row],[Expected arrival date]],""),"")</f>
        <v/>
      </c>
    </row>
    <row r="204" spans="1:30" x14ac:dyDescent="0.25">
      <c r="A204" s="303" t="str">
        <f>Start!$D$7</f>
        <v>Anyland</v>
      </c>
      <c r="B204" s="48" t="str">
        <f>_xlfn.IFNA(VLOOKUP(A204,list!B:C,2,FALSE),"")</f>
        <v>ANY</v>
      </c>
      <c r="C204" s="48"/>
      <c r="D204" s="127"/>
      <c r="E204" s="48" t="str">
        <f>_xlfn.IFNA(VLOOKUP(Table3[[#This Row],[Product]], ProductListTbl[], 3, 0), "")</f>
        <v/>
      </c>
      <c r="F204" s="303" t="str">
        <f>_xlfn.IFNA(VLOOKUP(D204,ProductListTbl[],5,0),"")</f>
        <v/>
      </c>
      <c r="G204" s="303" t="str">
        <f>_xlfn.IFNA(VLOOKUP(D204,ProductListTbl[],6,0),"")</f>
        <v/>
      </c>
      <c r="H204" s="130" t="str">
        <f>_xlfn.IFNA(VLOOKUP(D204,ProductListTbl[],7,0),"")</f>
        <v/>
      </c>
      <c r="I204" s="130" t="str">
        <f>_xlfn.IFNA(VLOOKUP(D204,ProductListTbl[],8,0),"")</f>
        <v/>
      </c>
      <c r="J204" s="127"/>
      <c r="K204" s="129"/>
      <c r="L204" s="128"/>
      <c r="M204" s="305" t="str">
        <f>IFERROR(Table3[[#This Row],[Quantity (doses)]]/Table3[[#This Row],[Doses per vial or syringe]],"")</f>
        <v/>
      </c>
      <c r="N204" s="127"/>
      <c r="O204" s="127"/>
      <c r="P204" s="381"/>
      <c r="Q204" s="129"/>
      <c r="R204" s="127"/>
      <c r="S204" s="127"/>
      <c r="T204" s="127"/>
      <c r="U204" s="127"/>
      <c r="V204" s="305" t="str">
        <f>_xlfn.IFNA(VLOOKUP(D204,ProductListTbl[],9,0),"")</f>
        <v/>
      </c>
      <c r="W204" s="305" t="str">
        <f>IFERROR(Table3[[#This Row],[Storage space per secondary packaging (cm3)]]*Table3[[#This Row],[Quantity  (vials or syringes)]]/1000,"")</f>
        <v/>
      </c>
      <c r="X204" s="305" t="str">
        <f>IFERROR(Table3[[#This Row],[Storage space per tertiary packaging (cm3)]]*Table3[[#This Row],[Quantity (doses)]]/1000,"")</f>
        <v/>
      </c>
      <c r="Y204" s="293" t="str">
        <f>IF(Table3[[#This Row],[Status]]="Ordered",(DATE(YEAR(P204),MONTH(P204),1)),IF(Table3[[#This Row],[Status]]="Received",(DATE(YEAR(Q204),MONTH(Q204),1)),""))</f>
        <v/>
      </c>
      <c r="Z204" s="304" t="str">
        <f t="shared" si="12"/>
        <v/>
      </c>
      <c r="AA204" s="48" t="str">
        <f t="shared" si="13"/>
        <v/>
      </c>
      <c r="AB204" s="48" t="str">
        <f t="shared" si="14"/>
        <v/>
      </c>
      <c r="AC204" s="292" t="str">
        <f t="shared" si="15"/>
        <v/>
      </c>
      <c r="AD204" s="48" t="str">
        <f>IF(Table3[[#This Row],[Actual Arrival date]]&gt;0,IF(Table3[[#This Row],[Expected arrival date]]&gt;0,Table3[[#This Row],[Actual Arrival date]]-Table3[[#This Row],[Expected arrival date]],""),"")</f>
        <v/>
      </c>
    </row>
    <row r="205" spans="1:30" x14ac:dyDescent="0.25">
      <c r="A205" s="303" t="str">
        <f>Start!$D$7</f>
        <v>Anyland</v>
      </c>
      <c r="B205" s="48" t="str">
        <f>_xlfn.IFNA(VLOOKUP(A205,list!B:C,2,FALSE),"")</f>
        <v>ANY</v>
      </c>
      <c r="C205" s="48"/>
      <c r="D205" s="127"/>
      <c r="E205" s="48" t="str">
        <f>_xlfn.IFNA(VLOOKUP(Table3[[#This Row],[Product]], ProductListTbl[], 3, 0), "")</f>
        <v/>
      </c>
      <c r="F205" s="303" t="str">
        <f>_xlfn.IFNA(VLOOKUP(D205,ProductListTbl[],5,0),"")</f>
        <v/>
      </c>
      <c r="G205" s="303" t="str">
        <f>_xlfn.IFNA(VLOOKUP(D205,ProductListTbl[],6,0),"")</f>
        <v/>
      </c>
      <c r="H205" s="130" t="str">
        <f>_xlfn.IFNA(VLOOKUP(D205,ProductListTbl[],7,0),"")</f>
        <v/>
      </c>
      <c r="I205" s="130" t="str">
        <f>_xlfn.IFNA(VLOOKUP(D205,ProductListTbl[],8,0),"")</f>
        <v/>
      </c>
      <c r="J205" s="127"/>
      <c r="K205" s="129"/>
      <c r="L205" s="128"/>
      <c r="M205" s="305" t="str">
        <f>IFERROR(Table3[[#This Row],[Quantity (doses)]]/Table3[[#This Row],[Doses per vial or syringe]],"")</f>
        <v/>
      </c>
      <c r="N205" s="127"/>
      <c r="O205" s="127"/>
      <c r="P205" s="381"/>
      <c r="Q205" s="129"/>
      <c r="R205" s="127"/>
      <c r="S205" s="127"/>
      <c r="T205" s="127"/>
      <c r="U205" s="127"/>
      <c r="V205" s="305" t="str">
        <f>_xlfn.IFNA(VLOOKUP(D205,ProductListTbl[],9,0),"")</f>
        <v/>
      </c>
      <c r="W205" s="305" t="str">
        <f>IFERROR(Table3[[#This Row],[Storage space per secondary packaging (cm3)]]*Table3[[#This Row],[Quantity  (vials or syringes)]]/1000,"")</f>
        <v/>
      </c>
      <c r="X205" s="305" t="str">
        <f>IFERROR(Table3[[#This Row],[Storage space per tertiary packaging (cm3)]]*Table3[[#This Row],[Quantity (doses)]]/1000,"")</f>
        <v/>
      </c>
      <c r="Y205" s="293" t="str">
        <f>IF(Table3[[#This Row],[Status]]="Ordered",(DATE(YEAR(P205),MONTH(P205),1)),IF(Table3[[#This Row],[Status]]="Received",(DATE(YEAR(Q205),MONTH(Q205),1)),""))</f>
        <v/>
      </c>
      <c r="Z205" s="304" t="str">
        <f t="shared" si="12"/>
        <v/>
      </c>
      <c r="AA205" s="48" t="str">
        <f t="shared" si="13"/>
        <v/>
      </c>
      <c r="AB205" s="48" t="str">
        <f t="shared" si="14"/>
        <v/>
      </c>
      <c r="AC205" s="292" t="str">
        <f t="shared" si="15"/>
        <v/>
      </c>
      <c r="AD205" s="48" t="str">
        <f>IF(Table3[[#This Row],[Actual Arrival date]]&gt;0,IF(Table3[[#This Row],[Expected arrival date]]&gt;0,Table3[[#This Row],[Actual Arrival date]]-Table3[[#This Row],[Expected arrival date]],""),"")</f>
        <v/>
      </c>
    </row>
    <row r="206" spans="1:30" x14ac:dyDescent="0.25">
      <c r="A206" s="303" t="str">
        <f>Start!$D$7</f>
        <v>Anyland</v>
      </c>
      <c r="B206" s="48" t="str">
        <f>_xlfn.IFNA(VLOOKUP(A206,list!B:C,2,FALSE),"")</f>
        <v>ANY</v>
      </c>
      <c r="C206" s="48"/>
      <c r="D206" s="127"/>
      <c r="E206" s="48" t="str">
        <f>_xlfn.IFNA(VLOOKUP(Table3[[#This Row],[Product]], ProductListTbl[], 3, 0), "")</f>
        <v/>
      </c>
      <c r="F206" s="303" t="str">
        <f>_xlfn.IFNA(VLOOKUP(D206,ProductListTbl[],5,0),"")</f>
        <v/>
      </c>
      <c r="G206" s="303" t="str">
        <f>_xlfn.IFNA(VLOOKUP(D206,ProductListTbl[],6,0),"")</f>
        <v/>
      </c>
      <c r="H206" s="130" t="str">
        <f>_xlfn.IFNA(VLOOKUP(D206,ProductListTbl[],7,0),"")</f>
        <v/>
      </c>
      <c r="I206" s="130" t="str">
        <f>_xlfn.IFNA(VLOOKUP(D206,ProductListTbl[],8,0),"")</f>
        <v/>
      </c>
      <c r="J206" s="127"/>
      <c r="K206" s="129"/>
      <c r="L206" s="128"/>
      <c r="M206" s="305" t="str">
        <f>IFERROR(Table3[[#This Row],[Quantity (doses)]]/Table3[[#This Row],[Doses per vial or syringe]],"")</f>
        <v/>
      </c>
      <c r="N206" s="127"/>
      <c r="O206" s="127"/>
      <c r="P206" s="381"/>
      <c r="Q206" s="129"/>
      <c r="R206" s="127"/>
      <c r="S206" s="127"/>
      <c r="T206" s="127"/>
      <c r="U206" s="127"/>
      <c r="V206" s="305" t="str">
        <f>_xlfn.IFNA(VLOOKUP(D206,ProductListTbl[],9,0),"")</f>
        <v/>
      </c>
      <c r="W206" s="305" t="str">
        <f>IFERROR(Table3[[#This Row],[Storage space per secondary packaging (cm3)]]*Table3[[#This Row],[Quantity  (vials or syringes)]]/1000,"")</f>
        <v/>
      </c>
      <c r="X206" s="305" t="str">
        <f>IFERROR(Table3[[#This Row],[Storage space per tertiary packaging (cm3)]]*Table3[[#This Row],[Quantity (doses)]]/1000,"")</f>
        <v/>
      </c>
      <c r="Y206" s="293" t="str">
        <f>IF(Table3[[#This Row],[Status]]="Ordered",(DATE(YEAR(P206),MONTH(P206),1)),IF(Table3[[#This Row],[Status]]="Received",(DATE(YEAR(Q206),MONTH(Q206),1)),""))</f>
        <v/>
      </c>
      <c r="Z206" s="304" t="str">
        <f t="shared" si="12"/>
        <v/>
      </c>
      <c r="AA206" s="48" t="str">
        <f t="shared" si="13"/>
        <v/>
      </c>
      <c r="AB206" s="48" t="str">
        <f t="shared" si="14"/>
        <v/>
      </c>
      <c r="AC206" s="292" t="str">
        <f t="shared" si="15"/>
        <v/>
      </c>
      <c r="AD206" s="48" t="str">
        <f>IF(Table3[[#This Row],[Actual Arrival date]]&gt;0,IF(Table3[[#This Row],[Expected arrival date]]&gt;0,Table3[[#This Row],[Actual Arrival date]]-Table3[[#This Row],[Expected arrival date]],""),"")</f>
        <v/>
      </c>
    </row>
    <row r="207" spans="1:30" x14ac:dyDescent="0.25">
      <c r="A207" s="303" t="str">
        <f>Start!$D$7</f>
        <v>Anyland</v>
      </c>
      <c r="B207" s="48" t="str">
        <f>_xlfn.IFNA(VLOOKUP(A207,list!B:C,2,FALSE),"")</f>
        <v>ANY</v>
      </c>
      <c r="C207" s="48"/>
      <c r="D207" s="127"/>
      <c r="E207" s="48" t="str">
        <f>_xlfn.IFNA(VLOOKUP(Table3[[#This Row],[Product]], ProductListTbl[], 3, 0), "")</f>
        <v/>
      </c>
      <c r="F207" s="303" t="str">
        <f>_xlfn.IFNA(VLOOKUP(D207,ProductListTbl[],5,0),"")</f>
        <v/>
      </c>
      <c r="G207" s="303" t="str">
        <f>_xlfn.IFNA(VLOOKUP(D207,ProductListTbl[],6,0),"")</f>
        <v/>
      </c>
      <c r="H207" s="130" t="str">
        <f>_xlfn.IFNA(VLOOKUP(D207,ProductListTbl[],7,0),"")</f>
        <v/>
      </c>
      <c r="I207" s="130" t="str">
        <f>_xlfn.IFNA(VLOOKUP(D207,ProductListTbl[],8,0),"")</f>
        <v/>
      </c>
      <c r="J207" s="127"/>
      <c r="K207" s="129"/>
      <c r="L207" s="128"/>
      <c r="M207" s="305" t="str">
        <f>IFERROR(Table3[[#This Row],[Quantity (doses)]]/Table3[[#This Row],[Doses per vial or syringe]],"")</f>
        <v/>
      </c>
      <c r="N207" s="127"/>
      <c r="O207" s="127"/>
      <c r="P207" s="381"/>
      <c r="Q207" s="129"/>
      <c r="R207" s="127"/>
      <c r="S207" s="127"/>
      <c r="T207" s="127"/>
      <c r="U207" s="127"/>
      <c r="V207" s="305" t="str">
        <f>_xlfn.IFNA(VLOOKUP(D207,ProductListTbl[],9,0),"")</f>
        <v/>
      </c>
      <c r="W207" s="305" t="str">
        <f>IFERROR(Table3[[#This Row],[Storage space per secondary packaging (cm3)]]*Table3[[#This Row],[Quantity  (vials or syringes)]]/1000,"")</f>
        <v/>
      </c>
      <c r="X207" s="305" t="str">
        <f>IFERROR(Table3[[#This Row],[Storage space per tertiary packaging (cm3)]]*Table3[[#This Row],[Quantity (doses)]]/1000,"")</f>
        <v/>
      </c>
      <c r="Y207" s="293" t="str">
        <f>IF(Table3[[#This Row],[Status]]="Ordered",(DATE(YEAR(P207),MONTH(P207),1)),IF(Table3[[#This Row],[Status]]="Received",(DATE(YEAR(Q207),MONTH(Q207),1)),""))</f>
        <v/>
      </c>
      <c r="Z207" s="304" t="str">
        <f t="shared" si="12"/>
        <v/>
      </c>
      <c r="AA207" s="48" t="str">
        <f t="shared" si="13"/>
        <v/>
      </c>
      <c r="AB207" s="48" t="str">
        <f t="shared" si="14"/>
        <v/>
      </c>
      <c r="AC207" s="292" t="str">
        <f t="shared" si="15"/>
        <v/>
      </c>
      <c r="AD207" s="48" t="str">
        <f>IF(Table3[[#This Row],[Actual Arrival date]]&gt;0,IF(Table3[[#This Row],[Expected arrival date]]&gt;0,Table3[[#This Row],[Actual Arrival date]]-Table3[[#This Row],[Expected arrival date]],""),"")</f>
        <v/>
      </c>
    </row>
    <row r="208" spans="1:30" x14ac:dyDescent="0.25">
      <c r="A208" s="303" t="str">
        <f>Start!$D$7</f>
        <v>Anyland</v>
      </c>
      <c r="B208" s="48" t="str">
        <f>_xlfn.IFNA(VLOOKUP(A208,list!B:C,2,FALSE),"")</f>
        <v>ANY</v>
      </c>
      <c r="C208" s="48"/>
      <c r="D208" s="127"/>
      <c r="E208" s="48" t="str">
        <f>_xlfn.IFNA(VLOOKUP(Table3[[#This Row],[Product]], ProductListTbl[], 3, 0), "")</f>
        <v/>
      </c>
      <c r="F208" s="303" t="str">
        <f>_xlfn.IFNA(VLOOKUP(D208,ProductListTbl[],5,0),"")</f>
        <v/>
      </c>
      <c r="G208" s="303" t="str">
        <f>_xlfn.IFNA(VLOOKUP(D208,ProductListTbl[],6,0),"")</f>
        <v/>
      </c>
      <c r="H208" s="130" t="str">
        <f>_xlfn.IFNA(VLOOKUP(D208,ProductListTbl[],7,0),"")</f>
        <v/>
      </c>
      <c r="I208" s="130" t="str">
        <f>_xlfn.IFNA(VLOOKUP(D208,ProductListTbl[],8,0),"")</f>
        <v/>
      </c>
      <c r="J208" s="127"/>
      <c r="K208" s="129"/>
      <c r="L208" s="128"/>
      <c r="M208" s="305" t="str">
        <f>IFERROR(Table3[[#This Row],[Quantity (doses)]]/Table3[[#This Row],[Doses per vial or syringe]],"")</f>
        <v/>
      </c>
      <c r="N208" s="127"/>
      <c r="O208" s="127"/>
      <c r="P208" s="381"/>
      <c r="Q208" s="129"/>
      <c r="R208" s="127"/>
      <c r="S208" s="127"/>
      <c r="T208" s="127"/>
      <c r="U208" s="127"/>
      <c r="V208" s="305" t="str">
        <f>_xlfn.IFNA(VLOOKUP(D208,ProductListTbl[],9,0),"")</f>
        <v/>
      </c>
      <c r="W208" s="305" t="str">
        <f>IFERROR(Table3[[#This Row],[Storage space per secondary packaging (cm3)]]*Table3[[#This Row],[Quantity  (vials or syringes)]]/1000,"")</f>
        <v/>
      </c>
      <c r="X208" s="305" t="str">
        <f>IFERROR(Table3[[#This Row],[Storage space per tertiary packaging (cm3)]]*Table3[[#This Row],[Quantity (doses)]]/1000,"")</f>
        <v/>
      </c>
      <c r="Y208" s="293" t="str">
        <f>IF(Table3[[#This Row],[Status]]="Ordered",(DATE(YEAR(P208),MONTH(P208),1)),IF(Table3[[#This Row],[Status]]="Received",(DATE(YEAR(Q208),MONTH(Q208),1)),""))</f>
        <v/>
      </c>
      <c r="Z208" s="304" t="str">
        <f t="shared" si="12"/>
        <v/>
      </c>
      <c r="AA208" s="48" t="str">
        <f t="shared" si="13"/>
        <v/>
      </c>
      <c r="AB208" s="48" t="str">
        <f t="shared" si="14"/>
        <v/>
      </c>
      <c r="AC208" s="292" t="str">
        <f t="shared" si="15"/>
        <v/>
      </c>
      <c r="AD208" s="48" t="str">
        <f>IF(Table3[[#This Row],[Actual Arrival date]]&gt;0,IF(Table3[[#This Row],[Expected arrival date]]&gt;0,Table3[[#This Row],[Actual Arrival date]]-Table3[[#This Row],[Expected arrival date]],""),"")</f>
        <v/>
      </c>
    </row>
    <row r="209" spans="1:30" x14ac:dyDescent="0.25">
      <c r="A209" s="303" t="str">
        <f>Start!$D$7</f>
        <v>Anyland</v>
      </c>
      <c r="B209" s="48" t="str">
        <f>_xlfn.IFNA(VLOOKUP(A209,list!B:C,2,FALSE),"")</f>
        <v>ANY</v>
      </c>
      <c r="C209" s="48"/>
      <c r="D209" s="127"/>
      <c r="E209" s="48" t="str">
        <f>_xlfn.IFNA(VLOOKUP(Table3[[#This Row],[Product]], ProductListTbl[], 3, 0), "")</f>
        <v/>
      </c>
      <c r="F209" s="303" t="str">
        <f>_xlfn.IFNA(VLOOKUP(D209,ProductListTbl[],5,0),"")</f>
        <v/>
      </c>
      <c r="G209" s="303" t="str">
        <f>_xlfn.IFNA(VLOOKUP(D209,ProductListTbl[],6,0),"")</f>
        <v/>
      </c>
      <c r="H209" s="130" t="str">
        <f>_xlfn.IFNA(VLOOKUP(D209,ProductListTbl[],7,0),"")</f>
        <v/>
      </c>
      <c r="I209" s="130" t="str">
        <f>_xlfn.IFNA(VLOOKUP(D209,ProductListTbl[],8,0),"")</f>
        <v/>
      </c>
      <c r="J209" s="127"/>
      <c r="K209" s="129"/>
      <c r="L209" s="128"/>
      <c r="M209" s="305" t="str">
        <f>IFERROR(Table3[[#This Row],[Quantity (doses)]]/Table3[[#This Row],[Doses per vial or syringe]],"")</f>
        <v/>
      </c>
      <c r="N209" s="127"/>
      <c r="O209" s="127"/>
      <c r="P209" s="381"/>
      <c r="Q209" s="129"/>
      <c r="R209" s="127"/>
      <c r="S209" s="127"/>
      <c r="T209" s="127"/>
      <c r="U209" s="127"/>
      <c r="V209" s="305" t="str">
        <f>_xlfn.IFNA(VLOOKUP(D209,ProductListTbl[],9,0),"")</f>
        <v/>
      </c>
      <c r="W209" s="305" t="str">
        <f>IFERROR(Table3[[#This Row],[Storage space per secondary packaging (cm3)]]*Table3[[#This Row],[Quantity  (vials or syringes)]]/1000,"")</f>
        <v/>
      </c>
      <c r="X209" s="305" t="str">
        <f>IFERROR(Table3[[#This Row],[Storage space per tertiary packaging (cm3)]]*Table3[[#This Row],[Quantity (doses)]]/1000,"")</f>
        <v/>
      </c>
      <c r="Y209" s="293" t="str">
        <f>IF(Table3[[#This Row],[Status]]="Ordered",(DATE(YEAR(P209),MONTH(P209),1)),IF(Table3[[#This Row],[Status]]="Received",(DATE(YEAR(Q209),MONTH(Q209),1)),""))</f>
        <v/>
      </c>
      <c r="Z209" s="304" t="str">
        <f t="shared" si="12"/>
        <v/>
      </c>
      <c r="AA209" s="48" t="str">
        <f t="shared" si="13"/>
        <v/>
      </c>
      <c r="AB209" s="48" t="str">
        <f t="shared" si="14"/>
        <v/>
      </c>
      <c r="AC209" s="292" t="str">
        <f t="shared" si="15"/>
        <v/>
      </c>
      <c r="AD209" s="48" t="str">
        <f>IF(Table3[[#This Row],[Actual Arrival date]]&gt;0,IF(Table3[[#This Row],[Expected arrival date]]&gt;0,Table3[[#This Row],[Actual Arrival date]]-Table3[[#This Row],[Expected arrival date]],""),"")</f>
        <v/>
      </c>
    </row>
    <row r="210" spans="1:30" x14ac:dyDescent="0.25">
      <c r="A210" s="303" t="str">
        <f>Start!$D$7</f>
        <v>Anyland</v>
      </c>
      <c r="B210" s="48" t="str">
        <f>_xlfn.IFNA(VLOOKUP(A210,list!B:C,2,FALSE),"")</f>
        <v>ANY</v>
      </c>
      <c r="C210" s="48"/>
      <c r="D210" s="127"/>
      <c r="E210" s="48" t="str">
        <f>_xlfn.IFNA(VLOOKUP(Table3[[#This Row],[Product]], ProductListTbl[], 3, 0), "")</f>
        <v/>
      </c>
      <c r="F210" s="303" t="str">
        <f>_xlfn.IFNA(VLOOKUP(D210,ProductListTbl[],5,0),"")</f>
        <v/>
      </c>
      <c r="G210" s="303" t="str">
        <f>_xlfn.IFNA(VLOOKUP(D210,ProductListTbl[],6,0),"")</f>
        <v/>
      </c>
      <c r="H210" s="130" t="str">
        <f>_xlfn.IFNA(VLOOKUP(D210,ProductListTbl[],7,0),"")</f>
        <v/>
      </c>
      <c r="I210" s="130" t="str">
        <f>_xlfn.IFNA(VLOOKUP(D210,ProductListTbl[],8,0),"")</f>
        <v/>
      </c>
      <c r="J210" s="127"/>
      <c r="K210" s="129"/>
      <c r="L210" s="128"/>
      <c r="M210" s="305" t="str">
        <f>IFERROR(Table3[[#This Row],[Quantity (doses)]]/Table3[[#This Row],[Doses per vial or syringe]],"")</f>
        <v/>
      </c>
      <c r="N210" s="127"/>
      <c r="O210" s="127"/>
      <c r="P210" s="381"/>
      <c r="Q210" s="129"/>
      <c r="R210" s="127"/>
      <c r="S210" s="127"/>
      <c r="T210" s="127"/>
      <c r="U210" s="127"/>
      <c r="V210" s="305" t="str">
        <f>_xlfn.IFNA(VLOOKUP(D210,ProductListTbl[],9,0),"")</f>
        <v/>
      </c>
      <c r="W210" s="305" t="str">
        <f>IFERROR(Table3[[#This Row],[Storage space per secondary packaging (cm3)]]*Table3[[#This Row],[Quantity  (vials or syringes)]]/1000,"")</f>
        <v/>
      </c>
      <c r="X210" s="305" t="str">
        <f>IFERROR(Table3[[#This Row],[Storage space per tertiary packaging (cm3)]]*Table3[[#This Row],[Quantity (doses)]]/1000,"")</f>
        <v/>
      </c>
      <c r="Y210" s="293" t="str">
        <f>IF(Table3[[#This Row],[Status]]="Ordered",(DATE(YEAR(P210),MONTH(P210),1)),IF(Table3[[#This Row],[Status]]="Received",(DATE(YEAR(Q210),MONTH(Q210),1)),""))</f>
        <v/>
      </c>
      <c r="Z210" s="304" t="str">
        <f t="shared" si="12"/>
        <v/>
      </c>
      <c r="AA210" s="48" t="str">
        <f t="shared" si="13"/>
        <v/>
      </c>
      <c r="AB210" s="48" t="str">
        <f t="shared" si="14"/>
        <v/>
      </c>
      <c r="AC210" s="292" t="str">
        <f t="shared" si="15"/>
        <v/>
      </c>
      <c r="AD210" s="48" t="str">
        <f>IF(Table3[[#This Row],[Actual Arrival date]]&gt;0,IF(Table3[[#This Row],[Expected arrival date]]&gt;0,Table3[[#This Row],[Actual Arrival date]]-Table3[[#This Row],[Expected arrival date]],""),"")</f>
        <v/>
      </c>
    </row>
    <row r="211" spans="1:30" x14ac:dyDescent="0.25">
      <c r="A211" s="303" t="str">
        <f>Start!$D$7</f>
        <v>Anyland</v>
      </c>
      <c r="B211" s="48" t="str">
        <f>_xlfn.IFNA(VLOOKUP(A211,list!B:C,2,FALSE),"")</f>
        <v>ANY</v>
      </c>
      <c r="C211" s="48"/>
      <c r="D211" s="127"/>
      <c r="E211" s="48" t="str">
        <f>_xlfn.IFNA(VLOOKUP(Table3[[#This Row],[Product]], ProductListTbl[], 3, 0), "")</f>
        <v/>
      </c>
      <c r="F211" s="303" t="str">
        <f>_xlfn.IFNA(VLOOKUP(D211,ProductListTbl[],5,0),"")</f>
        <v/>
      </c>
      <c r="G211" s="303" t="str">
        <f>_xlfn.IFNA(VLOOKUP(D211,ProductListTbl[],6,0),"")</f>
        <v/>
      </c>
      <c r="H211" s="130" t="str">
        <f>_xlfn.IFNA(VLOOKUP(D211,ProductListTbl[],7,0),"")</f>
        <v/>
      </c>
      <c r="I211" s="130" t="str">
        <f>_xlfn.IFNA(VLOOKUP(D211,ProductListTbl[],8,0),"")</f>
        <v/>
      </c>
      <c r="J211" s="127"/>
      <c r="K211" s="129"/>
      <c r="L211" s="128"/>
      <c r="M211" s="305" t="str">
        <f>IFERROR(Table3[[#This Row],[Quantity (doses)]]/Table3[[#This Row],[Doses per vial or syringe]],"")</f>
        <v/>
      </c>
      <c r="N211" s="127"/>
      <c r="O211" s="127"/>
      <c r="P211" s="381"/>
      <c r="Q211" s="129"/>
      <c r="R211" s="127"/>
      <c r="S211" s="127"/>
      <c r="T211" s="127"/>
      <c r="U211" s="127"/>
      <c r="V211" s="305" t="str">
        <f>_xlfn.IFNA(VLOOKUP(D211,ProductListTbl[],9,0),"")</f>
        <v/>
      </c>
      <c r="W211" s="305" t="str">
        <f>IFERROR(Table3[[#This Row],[Storage space per secondary packaging (cm3)]]*Table3[[#This Row],[Quantity  (vials or syringes)]]/1000,"")</f>
        <v/>
      </c>
      <c r="X211" s="305" t="str">
        <f>IFERROR(Table3[[#This Row],[Storage space per tertiary packaging (cm3)]]*Table3[[#This Row],[Quantity (doses)]]/1000,"")</f>
        <v/>
      </c>
      <c r="Y211" s="293" t="str">
        <f>IF(Table3[[#This Row],[Status]]="Ordered",(DATE(YEAR(P211),MONTH(P211),1)),IF(Table3[[#This Row],[Status]]="Received",(DATE(YEAR(Q211),MONTH(Q211),1)),""))</f>
        <v/>
      </c>
      <c r="Z211" s="304" t="str">
        <f t="shared" si="12"/>
        <v/>
      </c>
      <c r="AA211" s="48" t="str">
        <f t="shared" si="13"/>
        <v/>
      </c>
      <c r="AB211" s="48" t="str">
        <f t="shared" si="14"/>
        <v/>
      </c>
      <c r="AC211" s="292" t="str">
        <f t="shared" si="15"/>
        <v/>
      </c>
      <c r="AD211" s="48" t="str">
        <f>IF(Table3[[#This Row],[Actual Arrival date]]&gt;0,IF(Table3[[#This Row],[Expected arrival date]]&gt;0,Table3[[#This Row],[Actual Arrival date]]-Table3[[#This Row],[Expected arrival date]],""),"")</f>
        <v/>
      </c>
    </row>
    <row r="212" spans="1:30" x14ac:dyDescent="0.25">
      <c r="A212" s="303" t="str">
        <f>Start!$D$7</f>
        <v>Anyland</v>
      </c>
      <c r="B212" s="48" t="str">
        <f>_xlfn.IFNA(VLOOKUP(A212,list!B:C,2,FALSE),"")</f>
        <v>ANY</v>
      </c>
      <c r="C212" s="48"/>
      <c r="D212" s="127"/>
      <c r="E212" s="48" t="str">
        <f>_xlfn.IFNA(VLOOKUP(Table3[[#This Row],[Product]], ProductListTbl[], 3, 0), "")</f>
        <v/>
      </c>
      <c r="F212" s="303" t="str">
        <f>_xlfn.IFNA(VLOOKUP(D212,ProductListTbl[],5,0),"")</f>
        <v/>
      </c>
      <c r="G212" s="303" t="str">
        <f>_xlfn.IFNA(VLOOKUP(D212,ProductListTbl[],6,0),"")</f>
        <v/>
      </c>
      <c r="H212" s="130" t="str">
        <f>_xlfn.IFNA(VLOOKUP(D212,ProductListTbl[],7,0),"")</f>
        <v/>
      </c>
      <c r="I212" s="130" t="str">
        <f>_xlfn.IFNA(VLOOKUP(D212,ProductListTbl[],8,0),"")</f>
        <v/>
      </c>
      <c r="J212" s="127"/>
      <c r="K212" s="129"/>
      <c r="L212" s="128"/>
      <c r="M212" s="305" t="str">
        <f>IFERROR(Table3[[#This Row],[Quantity (doses)]]/Table3[[#This Row],[Doses per vial or syringe]],"")</f>
        <v/>
      </c>
      <c r="N212" s="127"/>
      <c r="O212" s="127"/>
      <c r="P212" s="381"/>
      <c r="Q212" s="129"/>
      <c r="R212" s="127"/>
      <c r="S212" s="127"/>
      <c r="T212" s="127"/>
      <c r="U212" s="127"/>
      <c r="V212" s="305" t="str">
        <f>_xlfn.IFNA(VLOOKUP(D212,ProductListTbl[],9,0),"")</f>
        <v/>
      </c>
      <c r="W212" s="305" t="str">
        <f>IFERROR(Table3[[#This Row],[Storage space per secondary packaging (cm3)]]*Table3[[#This Row],[Quantity  (vials or syringes)]]/1000,"")</f>
        <v/>
      </c>
      <c r="X212" s="305" t="str">
        <f>IFERROR(Table3[[#This Row],[Storage space per tertiary packaging (cm3)]]*Table3[[#This Row],[Quantity (doses)]]/1000,"")</f>
        <v/>
      </c>
      <c r="Y212" s="293" t="str">
        <f>IF(Table3[[#This Row],[Status]]="Ordered",(DATE(YEAR(P212),MONTH(P212),1)),IF(Table3[[#This Row],[Status]]="Received",(DATE(YEAR(Q212),MONTH(Q212),1)),""))</f>
        <v/>
      </c>
      <c r="Z212" s="304" t="str">
        <f t="shared" si="12"/>
        <v/>
      </c>
      <c r="AA212" s="48" t="str">
        <f t="shared" si="13"/>
        <v/>
      </c>
      <c r="AB212" s="48" t="str">
        <f t="shared" si="14"/>
        <v/>
      </c>
      <c r="AC212" s="292" t="str">
        <f t="shared" si="15"/>
        <v/>
      </c>
      <c r="AD212" s="48" t="str">
        <f>IF(Table3[[#This Row],[Actual Arrival date]]&gt;0,IF(Table3[[#This Row],[Expected arrival date]]&gt;0,Table3[[#This Row],[Actual Arrival date]]-Table3[[#This Row],[Expected arrival date]],""),"")</f>
        <v/>
      </c>
    </row>
    <row r="213" spans="1:30" x14ac:dyDescent="0.25">
      <c r="A213" s="303" t="str">
        <f>Start!$D$7</f>
        <v>Anyland</v>
      </c>
      <c r="B213" s="48" t="str">
        <f>_xlfn.IFNA(VLOOKUP(A213,list!B:C,2,FALSE),"")</f>
        <v>ANY</v>
      </c>
      <c r="C213" s="48"/>
      <c r="D213" s="127"/>
      <c r="E213" s="48" t="str">
        <f>_xlfn.IFNA(VLOOKUP(Table3[[#This Row],[Product]], ProductListTbl[], 3, 0), "")</f>
        <v/>
      </c>
      <c r="F213" s="303" t="str">
        <f>_xlfn.IFNA(VLOOKUP(D213,ProductListTbl[],5,0),"")</f>
        <v/>
      </c>
      <c r="G213" s="303" t="str">
        <f>_xlfn.IFNA(VLOOKUP(D213,ProductListTbl[],6,0),"")</f>
        <v/>
      </c>
      <c r="H213" s="130" t="str">
        <f>_xlfn.IFNA(VLOOKUP(D213,ProductListTbl[],7,0),"")</f>
        <v/>
      </c>
      <c r="I213" s="130" t="str">
        <f>_xlfn.IFNA(VLOOKUP(D213,ProductListTbl[],8,0),"")</f>
        <v/>
      </c>
      <c r="J213" s="127"/>
      <c r="K213" s="129"/>
      <c r="L213" s="128"/>
      <c r="M213" s="305" t="str">
        <f>IFERROR(Table3[[#This Row],[Quantity (doses)]]/Table3[[#This Row],[Doses per vial or syringe]],"")</f>
        <v/>
      </c>
      <c r="N213" s="127"/>
      <c r="O213" s="127"/>
      <c r="P213" s="381"/>
      <c r="Q213" s="129"/>
      <c r="R213" s="127"/>
      <c r="S213" s="127"/>
      <c r="T213" s="127"/>
      <c r="U213" s="127"/>
      <c r="V213" s="305" t="str">
        <f>_xlfn.IFNA(VLOOKUP(D213,ProductListTbl[],9,0),"")</f>
        <v/>
      </c>
      <c r="W213" s="305" t="str">
        <f>IFERROR(Table3[[#This Row],[Storage space per secondary packaging (cm3)]]*Table3[[#This Row],[Quantity  (vials or syringes)]]/1000,"")</f>
        <v/>
      </c>
      <c r="X213" s="305" t="str">
        <f>IFERROR(Table3[[#This Row],[Storage space per tertiary packaging (cm3)]]*Table3[[#This Row],[Quantity (doses)]]/1000,"")</f>
        <v/>
      </c>
      <c r="Y213" s="293" t="str">
        <f>IF(Table3[[#This Row],[Status]]="Ordered",(DATE(YEAR(P213),MONTH(P213),1)),IF(Table3[[#This Row],[Status]]="Received",(DATE(YEAR(Q213),MONTH(Q213),1)),""))</f>
        <v/>
      </c>
      <c r="Z213" s="304" t="str">
        <f t="shared" si="12"/>
        <v/>
      </c>
      <c r="AA213" s="48" t="str">
        <f t="shared" si="13"/>
        <v/>
      </c>
      <c r="AB213" s="48" t="str">
        <f t="shared" si="14"/>
        <v/>
      </c>
      <c r="AC213" s="292" t="str">
        <f t="shared" si="15"/>
        <v/>
      </c>
      <c r="AD213" s="48" t="str">
        <f>IF(Table3[[#This Row],[Actual Arrival date]]&gt;0,IF(Table3[[#This Row],[Expected arrival date]]&gt;0,Table3[[#This Row],[Actual Arrival date]]-Table3[[#This Row],[Expected arrival date]],""),"")</f>
        <v/>
      </c>
    </row>
    <row r="214" spans="1:30" x14ac:dyDescent="0.25">
      <c r="A214" s="303" t="str">
        <f>Start!$D$7</f>
        <v>Anyland</v>
      </c>
      <c r="B214" s="48" t="str">
        <f>_xlfn.IFNA(VLOOKUP(A214,list!B:C,2,FALSE),"")</f>
        <v>ANY</v>
      </c>
      <c r="C214" s="48"/>
      <c r="D214" s="127"/>
      <c r="E214" s="48" t="str">
        <f>_xlfn.IFNA(VLOOKUP(Table3[[#This Row],[Product]], ProductListTbl[], 3, 0), "")</f>
        <v/>
      </c>
      <c r="F214" s="303" t="str">
        <f>_xlfn.IFNA(VLOOKUP(D214,ProductListTbl[],5,0),"")</f>
        <v/>
      </c>
      <c r="G214" s="303" t="str">
        <f>_xlfn.IFNA(VLOOKUP(D214,ProductListTbl[],6,0),"")</f>
        <v/>
      </c>
      <c r="H214" s="130" t="str">
        <f>_xlfn.IFNA(VLOOKUP(D214,ProductListTbl[],7,0),"")</f>
        <v/>
      </c>
      <c r="I214" s="130" t="str">
        <f>_xlfn.IFNA(VLOOKUP(D214,ProductListTbl[],8,0),"")</f>
        <v/>
      </c>
      <c r="J214" s="127"/>
      <c r="K214" s="129"/>
      <c r="L214" s="128"/>
      <c r="M214" s="305" t="str">
        <f>IFERROR(Table3[[#This Row],[Quantity (doses)]]/Table3[[#This Row],[Doses per vial or syringe]],"")</f>
        <v/>
      </c>
      <c r="N214" s="127"/>
      <c r="O214" s="127"/>
      <c r="P214" s="381"/>
      <c r="Q214" s="129"/>
      <c r="R214" s="127"/>
      <c r="S214" s="127"/>
      <c r="T214" s="127"/>
      <c r="U214" s="127"/>
      <c r="V214" s="305" t="str">
        <f>_xlfn.IFNA(VLOOKUP(D214,ProductListTbl[],9,0),"")</f>
        <v/>
      </c>
      <c r="W214" s="305" t="str">
        <f>IFERROR(Table3[[#This Row],[Storage space per secondary packaging (cm3)]]*Table3[[#This Row],[Quantity  (vials or syringes)]]/1000,"")</f>
        <v/>
      </c>
      <c r="X214" s="305" t="str">
        <f>IFERROR(Table3[[#This Row],[Storage space per tertiary packaging (cm3)]]*Table3[[#This Row],[Quantity (doses)]]/1000,"")</f>
        <v/>
      </c>
      <c r="Y214" s="293" t="str">
        <f>IF(Table3[[#This Row],[Status]]="Ordered",(DATE(YEAR(P214),MONTH(P214),1)),IF(Table3[[#This Row],[Status]]="Received",(DATE(YEAR(Q214),MONTH(Q214),1)),""))</f>
        <v/>
      </c>
      <c r="Z214" s="304" t="str">
        <f t="shared" si="12"/>
        <v/>
      </c>
      <c r="AA214" s="48" t="str">
        <f t="shared" si="13"/>
        <v/>
      </c>
      <c r="AB214" s="48" t="str">
        <f t="shared" si="14"/>
        <v/>
      </c>
      <c r="AC214" s="292" t="str">
        <f t="shared" si="15"/>
        <v/>
      </c>
      <c r="AD214" s="48" t="str">
        <f>IF(Table3[[#This Row],[Actual Arrival date]]&gt;0,IF(Table3[[#This Row],[Expected arrival date]]&gt;0,Table3[[#This Row],[Actual Arrival date]]-Table3[[#This Row],[Expected arrival date]],""),"")</f>
        <v/>
      </c>
    </row>
    <row r="215" spans="1:30" x14ac:dyDescent="0.25">
      <c r="A215" s="303" t="str">
        <f>Start!$D$7</f>
        <v>Anyland</v>
      </c>
      <c r="B215" s="48" t="str">
        <f>_xlfn.IFNA(VLOOKUP(A215,list!B:C,2,FALSE),"")</f>
        <v>ANY</v>
      </c>
      <c r="C215" s="48"/>
      <c r="D215" s="127"/>
      <c r="E215" s="48" t="str">
        <f>_xlfn.IFNA(VLOOKUP(Table3[[#This Row],[Product]], ProductListTbl[], 3, 0), "")</f>
        <v/>
      </c>
      <c r="F215" s="303" t="str">
        <f>_xlfn.IFNA(VLOOKUP(D215,ProductListTbl[],5,0),"")</f>
        <v/>
      </c>
      <c r="G215" s="303" t="str">
        <f>_xlfn.IFNA(VLOOKUP(D215,ProductListTbl[],6,0),"")</f>
        <v/>
      </c>
      <c r="H215" s="130" t="str">
        <f>_xlfn.IFNA(VLOOKUP(D215,ProductListTbl[],7,0),"")</f>
        <v/>
      </c>
      <c r="I215" s="130" t="str">
        <f>_xlfn.IFNA(VLOOKUP(D215,ProductListTbl[],8,0),"")</f>
        <v/>
      </c>
      <c r="J215" s="127"/>
      <c r="K215" s="129"/>
      <c r="L215" s="128"/>
      <c r="M215" s="305" t="str">
        <f>IFERROR(Table3[[#This Row],[Quantity (doses)]]/Table3[[#This Row],[Doses per vial or syringe]],"")</f>
        <v/>
      </c>
      <c r="N215" s="127"/>
      <c r="O215" s="127"/>
      <c r="P215" s="381"/>
      <c r="Q215" s="129"/>
      <c r="R215" s="127"/>
      <c r="S215" s="127"/>
      <c r="T215" s="127"/>
      <c r="U215" s="127"/>
      <c r="V215" s="305" t="str">
        <f>_xlfn.IFNA(VLOOKUP(D215,ProductListTbl[],9,0),"")</f>
        <v/>
      </c>
      <c r="W215" s="305" t="str">
        <f>IFERROR(Table3[[#This Row],[Storage space per secondary packaging (cm3)]]*Table3[[#This Row],[Quantity  (vials or syringes)]]/1000,"")</f>
        <v/>
      </c>
      <c r="X215" s="305" t="str">
        <f>IFERROR(Table3[[#This Row],[Storage space per tertiary packaging (cm3)]]*Table3[[#This Row],[Quantity (doses)]]/1000,"")</f>
        <v/>
      </c>
      <c r="Y215" s="293" t="str">
        <f>IF(Table3[[#This Row],[Status]]="Ordered",(DATE(YEAR(P215),MONTH(P215),1)),IF(Table3[[#This Row],[Status]]="Received",(DATE(YEAR(Q215),MONTH(Q215),1)),""))</f>
        <v/>
      </c>
      <c r="Z215" s="304" t="str">
        <f t="shared" si="12"/>
        <v/>
      </c>
      <c r="AA215" s="48" t="str">
        <f t="shared" si="13"/>
        <v/>
      </c>
      <c r="AB215" s="48" t="str">
        <f t="shared" si="14"/>
        <v/>
      </c>
      <c r="AC215" s="292" t="str">
        <f t="shared" si="15"/>
        <v/>
      </c>
      <c r="AD215" s="48" t="str">
        <f>IF(Table3[[#This Row],[Actual Arrival date]]&gt;0,IF(Table3[[#This Row],[Expected arrival date]]&gt;0,Table3[[#This Row],[Actual Arrival date]]-Table3[[#This Row],[Expected arrival date]],""),"")</f>
        <v/>
      </c>
    </row>
    <row r="216" spans="1:30" x14ac:dyDescent="0.25">
      <c r="A216" s="303" t="str">
        <f>Start!$D$7</f>
        <v>Anyland</v>
      </c>
      <c r="B216" s="48" t="str">
        <f>_xlfn.IFNA(VLOOKUP(A216,list!B:C,2,FALSE),"")</f>
        <v>ANY</v>
      </c>
      <c r="C216" s="48"/>
      <c r="D216" s="127"/>
      <c r="E216" s="48" t="str">
        <f>_xlfn.IFNA(VLOOKUP(Table3[[#This Row],[Product]], ProductListTbl[], 3, 0), "")</f>
        <v/>
      </c>
      <c r="F216" s="303" t="str">
        <f>_xlfn.IFNA(VLOOKUP(D216,ProductListTbl[],5,0),"")</f>
        <v/>
      </c>
      <c r="G216" s="303" t="str">
        <f>_xlfn.IFNA(VLOOKUP(D216,ProductListTbl[],6,0),"")</f>
        <v/>
      </c>
      <c r="H216" s="130" t="str">
        <f>_xlfn.IFNA(VLOOKUP(D216,ProductListTbl[],7,0),"")</f>
        <v/>
      </c>
      <c r="I216" s="130" t="str">
        <f>_xlfn.IFNA(VLOOKUP(D216,ProductListTbl[],8,0),"")</f>
        <v/>
      </c>
      <c r="J216" s="127"/>
      <c r="K216" s="129"/>
      <c r="L216" s="128"/>
      <c r="M216" s="305" t="str">
        <f>IFERROR(Table3[[#This Row],[Quantity (doses)]]/Table3[[#This Row],[Doses per vial or syringe]],"")</f>
        <v/>
      </c>
      <c r="N216" s="127"/>
      <c r="O216" s="127"/>
      <c r="P216" s="381"/>
      <c r="Q216" s="129"/>
      <c r="R216" s="127"/>
      <c r="S216" s="127"/>
      <c r="T216" s="127"/>
      <c r="U216" s="127"/>
      <c r="V216" s="305" t="str">
        <f>_xlfn.IFNA(VLOOKUP(D216,ProductListTbl[],9,0),"")</f>
        <v/>
      </c>
      <c r="W216" s="305" t="str">
        <f>IFERROR(Table3[[#This Row],[Storage space per secondary packaging (cm3)]]*Table3[[#This Row],[Quantity  (vials or syringes)]]/1000,"")</f>
        <v/>
      </c>
      <c r="X216" s="305" t="str">
        <f>IFERROR(Table3[[#This Row],[Storage space per tertiary packaging (cm3)]]*Table3[[#This Row],[Quantity (doses)]]/1000,"")</f>
        <v/>
      </c>
      <c r="Y216" s="293" t="str">
        <f>IF(Table3[[#This Row],[Status]]="Ordered",(DATE(YEAR(P216),MONTH(P216),1)),IF(Table3[[#This Row],[Status]]="Received",(DATE(YEAR(Q216),MONTH(Q216),1)),""))</f>
        <v/>
      </c>
      <c r="Z216" s="304" t="str">
        <f t="shared" si="12"/>
        <v/>
      </c>
      <c r="AA216" s="48" t="str">
        <f t="shared" si="13"/>
        <v/>
      </c>
      <c r="AB216" s="48" t="str">
        <f t="shared" si="14"/>
        <v/>
      </c>
      <c r="AC216" s="292" t="str">
        <f t="shared" si="15"/>
        <v/>
      </c>
      <c r="AD216" s="48" t="str">
        <f>IF(Table3[[#This Row],[Actual Arrival date]]&gt;0,IF(Table3[[#This Row],[Expected arrival date]]&gt;0,Table3[[#This Row],[Actual Arrival date]]-Table3[[#This Row],[Expected arrival date]],""),"")</f>
        <v/>
      </c>
    </row>
    <row r="217" spans="1:30" x14ac:dyDescent="0.25">
      <c r="A217" s="303" t="str">
        <f>Start!$D$7</f>
        <v>Anyland</v>
      </c>
      <c r="B217" s="48" t="str">
        <f>_xlfn.IFNA(VLOOKUP(A217,list!B:C,2,FALSE),"")</f>
        <v>ANY</v>
      </c>
      <c r="C217" s="48"/>
      <c r="D217" s="127"/>
      <c r="E217" s="48" t="str">
        <f>_xlfn.IFNA(VLOOKUP(Table3[[#This Row],[Product]], ProductListTbl[], 3, 0), "")</f>
        <v/>
      </c>
      <c r="F217" s="303" t="str">
        <f>_xlfn.IFNA(VLOOKUP(D217,ProductListTbl[],5,0),"")</f>
        <v/>
      </c>
      <c r="G217" s="303" t="str">
        <f>_xlfn.IFNA(VLOOKUP(D217,ProductListTbl[],6,0),"")</f>
        <v/>
      </c>
      <c r="H217" s="130" t="str">
        <f>_xlfn.IFNA(VLOOKUP(D217,ProductListTbl[],7,0),"")</f>
        <v/>
      </c>
      <c r="I217" s="130" t="str">
        <f>_xlfn.IFNA(VLOOKUP(D217,ProductListTbl[],8,0),"")</f>
        <v/>
      </c>
      <c r="J217" s="127"/>
      <c r="K217" s="129"/>
      <c r="L217" s="128"/>
      <c r="M217" s="305" t="str">
        <f>IFERROR(Table3[[#This Row],[Quantity (doses)]]/Table3[[#This Row],[Doses per vial or syringe]],"")</f>
        <v/>
      </c>
      <c r="N217" s="127"/>
      <c r="O217" s="127"/>
      <c r="P217" s="381"/>
      <c r="Q217" s="129"/>
      <c r="R217" s="127"/>
      <c r="S217" s="127"/>
      <c r="T217" s="127"/>
      <c r="U217" s="127"/>
      <c r="V217" s="305" t="str">
        <f>_xlfn.IFNA(VLOOKUP(D217,ProductListTbl[],9,0),"")</f>
        <v/>
      </c>
      <c r="W217" s="305" t="str">
        <f>IFERROR(Table3[[#This Row],[Storage space per secondary packaging (cm3)]]*Table3[[#This Row],[Quantity  (vials or syringes)]]/1000,"")</f>
        <v/>
      </c>
      <c r="X217" s="305" t="str">
        <f>IFERROR(Table3[[#This Row],[Storage space per tertiary packaging (cm3)]]*Table3[[#This Row],[Quantity (doses)]]/1000,"")</f>
        <v/>
      </c>
      <c r="Y217" s="293" t="str">
        <f>IF(Table3[[#This Row],[Status]]="Ordered",(DATE(YEAR(P217),MONTH(P217),1)),IF(Table3[[#This Row],[Status]]="Received",(DATE(YEAR(Q217),MONTH(Q217),1)),""))</f>
        <v/>
      </c>
      <c r="Z217" s="304" t="str">
        <f t="shared" si="12"/>
        <v/>
      </c>
      <c r="AA217" s="48" t="str">
        <f t="shared" si="13"/>
        <v/>
      </c>
      <c r="AB217" s="48" t="str">
        <f t="shared" si="14"/>
        <v/>
      </c>
      <c r="AC217" s="292" t="str">
        <f t="shared" si="15"/>
        <v/>
      </c>
      <c r="AD217" s="48" t="str">
        <f>IF(Table3[[#This Row],[Actual Arrival date]]&gt;0,IF(Table3[[#This Row],[Expected arrival date]]&gt;0,Table3[[#This Row],[Actual Arrival date]]-Table3[[#This Row],[Expected arrival date]],""),"")</f>
        <v/>
      </c>
    </row>
    <row r="218" spans="1:30" x14ac:dyDescent="0.25">
      <c r="A218" s="303" t="str">
        <f>Start!$D$7</f>
        <v>Anyland</v>
      </c>
      <c r="B218" s="48" t="str">
        <f>_xlfn.IFNA(VLOOKUP(A218,list!B:C,2,FALSE),"")</f>
        <v>ANY</v>
      </c>
      <c r="C218" s="48"/>
      <c r="D218" s="127"/>
      <c r="E218" s="48" t="str">
        <f>_xlfn.IFNA(VLOOKUP(Table3[[#This Row],[Product]], ProductListTbl[], 3, 0), "")</f>
        <v/>
      </c>
      <c r="F218" s="303" t="str">
        <f>_xlfn.IFNA(VLOOKUP(D218,ProductListTbl[],5,0),"")</f>
        <v/>
      </c>
      <c r="G218" s="303" t="str">
        <f>_xlfn.IFNA(VLOOKUP(D218,ProductListTbl[],6,0),"")</f>
        <v/>
      </c>
      <c r="H218" s="130" t="str">
        <f>_xlfn.IFNA(VLOOKUP(D218,ProductListTbl[],7,0),"")</f>
        <v/>
      </c>
      <c r="I218" s="130" t="str">
        <f>_xlfn.IFNA(VLOOKUP(D218,ProductListTbl[],8,0),"")</f>
        <v/>
      </c>
      <c r="J218" s="127"/>
      <c r="K218" s="129"/>
      <c r="L218" s="128"/>
      <c r="M218" s="305" t="str">
        <f>IFERROR(Table3[[#This Row],[Quantity (doses)]]/Table3[[#This Row],[Doses per vial or syringe]],"")</f>
        <v/>
      </c>
      <c r="N218" s="127"/>
      <c r="O218" s="127"/>
      <c r="P218" s="381"/>
      <c r="Q218" s="129"/>
      <c r="R218" s="127"/>
      <c r="S218" s="127"/>
      <c r="T218" s="127"/>
      <c r="U218" s="127"/>
      <c r="V218" s="305" t="str">
        <f>_xlfn.IFNA(VLOOKUP(D218,ProductListTbl[],9,0),"")</f>
        <v/>
      </c>
      <c r="W218" s="305" t="str">
        <f>IFERROR(Table3[[#This Row],[Storage space per secondary packaging (cm3)]]*Table3[[#This Row],[Quantity  (vials or syringes)]]/1000,"")</f>
        <v/>
      </c>
      <c r="X218" s="305" t="str">
        <f>IFERROR(Table3[[#This Row],[Storage space per tertiary packaging (cm3)]]*Table3[[#This Row],[Quantity (doses)]]/1000,"")</f>
        <v/>
      </c>
      <c r="Y218" s="293" t="str">
        <f>IF(Table3[[#This Row],[Status]]="Ordered",(DATE(YEAR(P218),MONTH(P218),1)),IF(Table3[[#This Row],[Status]]="Received",(DATE(YEAR(Q218),MONTH(Q218),1)),""))</f>
        <v/>
      </c>
      <c r="Z218" s="304" t="str">
        <f t="shared" si="12"/>
        <v/>
      </c>
      <c r="AA218" s="48" t="str">
        <f t="shared" si="13"/>
        <v/>
      </c>
      <c r="AB218" s="48" t="str">
        <f t="shared" si="14"/>
        <v/>
      </c>
      <c r="AC218" s="292" t="str">
        <f t="shared" si="15"/>
        <v/>
      </c>
      <c r="AD218" s="48" t="str">
        <f>IF(Table3[[#This Row],[Actual Arrival date]]&gt;0,IF(Table3[[#This Row],[Expected arrival date]]&gt;0,Table3[[#This Row],[Actual Arrival date]]-Table3[[#This Row],[Expected arrival date]],""),"")</f>
        <v/>
      </c>
    </row>
    <row r="219" spans="1:30" x14ac:dyDescent="0.25">
      <c r="A219" s="303" t="str">
        <f>Start!$D$7</f>
        <v>Anyland</v>
      </c>
      <c r="B219" s="48" t="str">
        <f>_xlfn.IFNA(VLOOKUP(A219,list!B:C,2,FALSE),"")</f>
        <v>ANY</v>
      </c>
      <c r="C219" s="48"/>
      <c r="D219" s="127"/>
      <c r="E219" s="48" t="str">
        <f>_xlfn.IFNA(VLOOKUP(Table3[[#This Row],[Product]], ProductListTbl[], 3, 0), "")</f>
        <v/>
      </c>
      <c r="F219" s="303" t="str">
        <f>_xlfn.IFNA(VLOOKUP(D219,ProductListTbl[],5,0),"")</f>
        <v/>
      </c>
      <c r="G219" s="303" t="str">
        <f>_xlfn.IFNA(VLOOKUP(D219,ProductListTbl[],6,0),"")</f>
        <v/>
      </c>
      <c r="H219" s="130" t="str">
        <f>_xlfn.IFNA(VLOOKUP(D219,ProductListTbl[],7,0),"")</f>
        <v/>
      </c>
      <c r="I219" s="130" t="str">
        <f>_xlfn.IFNA(VLOOKUP(D219,ProductListTbl[],8,0),"")</f>
        <v/>
      </c>
      <c r="J219" s="127"/>
      <c r="K219" s="129"/>
      <c r="L219" s="128"/>
      <c r="M219" s="305" t="str">
        <f>IFERROR(Table3[[#This Row],[Quantity (doses)]]/Table3[[#This Row],[Doses per vial or syringe]],"")</f>
        <v/>
      </c>
      <c r="N219" s="127"/>
      <c r="O219" s="127"/>
      <c r="P219" s="381"/>
      <c r="Q219" s="129"/>
      <c r="R219" s="127"/>
      <c r="S219" s="127"/>
      <c r="T219" s="127"/>
      <c r="U219" s="127"/>
      <c r="V219" s="305" t="str">
        <f>_xlfn.IFNA(VLOOKUP(D219,ProductListTbl[],9,0),"")</f>
        <v/>
      </c>
      <c r="W219" s="305" t="str">
        <f>IFERROR(Table3[[#This Row],[Storage space per secondary packaging (cm3)]]*Table3[[#This Row],[Quantity  (vials or syringes)]]/1000,"")</f>
        <v/>
      </c>
      <c r="X219" s="305" t="str">
        <f>IFERROR(Table3[[#This Row],[Storage space per tertiary packaging (cm3)]]*Table3[[#This Row],[Quantity (doses)]]/1000,"")</f>
        <v/>
      </c>
      <c r="Y219" s="293" t="str">
        <f>IF(Table3[[#This Row],[Status]]="Ordered",(DATE(YEAR(P219),MONTH(P219),1)),IF(Table3[[#This Row],[Status]]="Received",(DATE(YEAR(Q219),MONTH(Q219),1)),""))</f>
        <v/>
      </c>
      <c r="Z219" s="304" t="str">
        <f t="shared" si="12"/>
        <v/>
      </c>
      <c r="AA219" s="48" t="str">
        <f t="shared" si="13"/>
        <v/>
      </c>
      <c r="AB219" s="48" t="str">
        <f t="shared" si="14"/>
        <v/>
      </c>
      <c r="AC219" s="292" t="str">
        <f t="shared" si="15"/>
        <v/>
      </c>
      <c r="AD219" s="48" t="str">
        <f>IF(Table3[[#This Row],[Actual Arrival date]]&gt;0,IF(Table3[[#This Row],[Expected arrival date]]&gt;0,Table3[[#This Row],[Actual Arrival date]]-Table3[[#This Row],[Expected arrival date]],""),"")</f>
        <v/>
      </c>
    </row>
    <row r="220" spans="1:30" x14ac:dyDescent="0.25">
      <c r="A220" s="303" t="str">
        <f>Start!$D$7</f>
        <v>Anyland</v>
      </c>
      <c r="B220" s="48" t="str">
        <f>_xlfn.IFNA(VLOOKUP(A220,list!B:C,2,FALSE),"")</f>
        <v>ANY</v>
      </c>
      <c r="C220" s="48"/>
      <c r="D220" s="127"/>
      <c r="E220" s="48" t="str">
        <f>_xlfn.IFNA(VLOOKUP(Table3[[#This Row],[Product]], ProductListTbl[], 3, 0), "")</f>
        <v/>
      </c>
      <c r="F220" s="303" t="str">
        <f>_xlfn.IFNA(VLOOKUP(D220,ProductListTbl[],5,0),"")</f>
        <v/>
      </c>
      <c r="G220" s="303" t="str">
        <f>_xlfn.IFNA(VLOOKUP(D220,ProductListTbl[],6,0),"")</f>
        <v/>
      </c>
      <c r="H220" s="130" t="str">
        <f>_xlfn.IFNA(VLOOKUP(D220,ProductListTbl[],7,0),"")</f>
        <v/>
      </c>
      <c r="I220" s="130" t="str">
        <f>_xlfn.IFNA(VLOOKUP(D220,ProductListTbl[],8,0),"")</f>
        <v/>
      </c>
      <c r="J220" s="127"/>
      <c r="K220" s="129"/>
      <c r="L220" s="128"/>
      <c r="M220" s="305" t="str">
        <f>IFERROR(Table3[[#This Row],[Quantity (doses)]]/Table3[[#This Row],[Doses per vial or syringe]],"")</f>
        <v/>
      </c>
      <c r="N220" s="127"/>
      <c r="O220" s="127"/>
      <c r="P220" s="381"/>
      <c r="Q220" s="129"/>
      <c r="R220" s="127"/>
      <c r="S220" s="127"/>
      <c r="T220" s="127"/>
      <c r="U220" s="127"/>
      <c r="V220" s="305" t="str">
        <f>_xlfn.IFNA(VLOOKUP(D220,ProductListTbl[],9,0),"")</f>
        <v/>
      </c>
      <c r="W220" s="305" t="str">
        <f>IFERROR(Table3[[#This Row],[Storage space per secondary packaging (cm3)]]*Table3[[#This Row],[Quantity  (vials or syringes)]]/1000,"")</f>
        <v/>
      </c>
      <c r="X220" s="305" t="str">
        <f>IFERROR(Table3[[#This Row],[Storage space per tertiary packaging (cm3)]]*Table3[[#This Row],[Quantity (doses)]]/1000,"")</f>
        <v/>
      </c>
      <c r="Y220" s="293" t="str">
        <f>IF(Table3[[#This Row],[Status]]="Ordered",(DATE(YEAR(P220),MONTH(P220),1)),IF(Table3[[#This Row],[Status]]="Received",(DATE(YEAR(Q220),MONTH(Q220),1)),""))</f>
        <v/>
      </c>
      <c r="Z220" s="304" t="str">
        <f t="shared" si="12"/>
        <v/>
      </c>
      <c r="AA220" s="48" t="str">
        <f t="shared" si="13"/>
        <v/>
      </c>
      <c r="AB220" s="48" t="str">
        <f t="shared" si="14"/>
        <v/>
      </c>
      <c r="AC220" s="292" t="str">
        <f t="shared" si="15"/>
        <v/>
      </c>
      <c r="AD220" s="48" t="str">
        <f>IF(Table3[[#This Row],[Actual Arrival date]]&gt;0,IF(Table3[[#This Row],[Expected arrival date]]&gt;0,Table3[[#This Row],[Actual Arrival date]]-Table3[[#This Row],[Expected arrival date]],""),"")</f>
        <v/>
      </c>
    </row>
    <row r="221" spans="1:30" x14ac:dyDescent="0.25">
      <c r="A221" s="303" t="str">
        <f>Start!$D$7</f>
        <v>Anyland</v>
      </c>
      <c r="B221" s="48" t="str">
        <f>_xlfn.IFNA(VLOOKUP(A221,list!B:C,2,FALSE),"")</f>
        <v>ANY</v>
      </c>
      <c r="C221" s="48"/>
      <c r="D221" s="127"/>
      <c r="E221" s="48" t="str">
        <f>_xlfn.IFNA(VLOOKUP(Table3[[#This Row],[Product]], ProductListTbl[], 3, 0), "")</f>
        <v/>
      </c>
      <c r="F221" s="303" t="str">
        <f>_xlfn.IFNA(VLOOKUP(D221,ProductListTbl[],5,0),"")</f>
        <v/>
      </c>
      <c r="G221" s="303" t="str">
        <f>_xlfn.IFNA(VLOOKUP(D221,ProductListTbl[],6,0),"")</f>
        <v/>
      </c>
      <c r="H221" s="130" t="str">
        <f>_xlfn.IFNA(VLOOKUP(D221,ProductListTbl[],7,0),"")</f>
        <v/>
      </c>
      <c r="I221" s="130" t="str">
        <f>_xlfn.IFNA(VLOOKUP(D221,ProductListTbl[],8,0),"")</f>
        <v/>
      </c>
      <c r="J221" s="127"/>
      <c r="K221" s="129"/>
      <c r="L221" s="128"/>
      <c r="M221" s="305" t="str">
        <f>IFERROR(Table3[[#This Row],[Quantity (doses)]]/Table3[[#This Row],[Doses per vial or syringe]],"")</f>
        <v/>
      </c>
      <c r="N221" s="127"/>
      <c r="O221" s="127"/>
      <c r="P221" s="381"/>
      <c r="Q221" s="129"/>
      <c r="R221" s="127"/>
      <c r="S221" s="127"/>
      <c r="T221" s="127"/>
      <c r="U221" s="127"/>
      <c r="V221" s="305" t="str">
        <f>_xlfn.IFNA(VLOOKUP(D221,ProductListTbl[],9,0),"")</f>
        <v/>
      </c>
      <c r="W221" s="305" t="str">
        <f>IFERROR(Table3[[#This Row],[Storage space per secondary packaging (cm3)]]*Table3[[#This Row],[Quantity  (vials or syringes)]]/1000,"")</f>
        <v/>
      </c>
      <c r="X221" s="305" t="str">
        <f>IFERROR(Table3[[#This Row],[Storage space per tertiary packaging (cm3)]]*Table3[[#This Row],[Quantity (doses)]]/1000,"")</f>
        <v/>
      </c>
      <c r="Y221" s="293" t="str">
        <f>IF(Table3[[#This Row],[Status]]="Ordered",(DATE(YEAR(P221),MONTH(P221),1)),IF(Table3[[#This Row],[Status]]="Received",(DATE(YEAR(Q221),MONTH(Q221),1)),""))</f>
        <v/>
      </c>
      <c r="Z221" s="304" t="str">
        <f t="shared" si="12"/>
        <v/>
      </c>
      <c r="AA221" s="48" t="str">
        <f t="shared" si="13"/>
        <v/>
      </c>
      <c r="AB221" s="48" t="str">
        <f t="shared" si="14"/>
        <v/>
      </c>
      <c r="AC221" s="292" t="str">
        <f t="shared" si="15"/>
        <v/>
      </c>
      <c r="AD221" s="48" t="str">
        <f>IF(Table3[[#This Row],[Actual Arrival date]]&gt;0,IF(Table3[[#This Row],[Expected arrival date]]&gt;0,Table3[[#This Row],[Actual Arrival date]]-Table3[[#This Row],[Expected arrival date]],""),"")</f>
        <v/>
      </c>
    </row>
    <row r="222" spans="1:30" x14ac:dyDescent="0.25">
      <c r="A222" s="303" t="str">
        <f>Start!$D$7</f>
        <v>Anyland</v>
      </c>
      <c r="B222" s="48" t="str">
        <f>_xlfn.IFNA(VLOOKUP(A222,list!B:C,2,FALSE),"")</f>
        <v>ANY</v>
      </c>
      <c r="C222" s="48"/>
      <c r="D222" s="127"/>
      <c r="E222" s="48" t="str">
        <f>_xlfn.IFNA(VLOOKUP(Table3[[#This Row],[Product]], ProductListTbl[], 3, 0), "")</f>
        <v/>
      </c>
      <c r="F222" s="303" t="str">
        <f>_xlfn.IFNA(VLOOKUP(D222,ProductListTbl[],5,0),"")</f>
        <v/>
      </c>
      <c r="G222" s="303" t="str">
        <f>_xlfn.IFNA(VLOOKUP(D222,ProductListTbl[],6,0),"")</f>
        <v/>
      </c>
      <c r="H222" s="130" t="str">
        <f>_xlfn.IFNA(VLOOKUP(D222,ProductListTbl[],7,0),"")</f>
        <v/>
      </c>
      <c r="I222" s="130" t="str">
        <f>_xlfn.IFNA(VLOOKUP(D222,ProductListTbl[],8,0),"")</f>
        <v/>
      </c>
      <c r="J222" s="127"/>
      <c r="K222" s="129"/>
      <c r="L222" s="128"/>
      <c r="M222" s="305" t="str">
        <f>IFERROR(Table3[[#This Row],[Quantity (doses)]]/Table3[[#This Row],[Doses per vial or syringe]],"")</f>
        <v/>
      </c>
      <c r="N222" s="127"/>
      <c r="O222" s="127"/>
      <c r="P222" s="381"/>
      <c r="Q222" s="129"/>
      <c r="R222" s="127"/>
      <c r="S222" s="127"/>
      <c r="T222" s="127"/>
      <c r="U222" s="127"/>
      <c r="V222" s="305" t="str">
        <f>_xlfn.IFNA(VLOOKUP(D222,ProductListTbl[],9,0),"")</f>
        <v/>
      </c>
      <c r="W222" s="305" t="str">
        <f>IFERROR(Table3[[#This Row],[Storage space per secondary packaging (cm3)]]*Table3[[#This Row],[Quantity  (vials or syringes)]]/1000,"")</f>
        <v/>
      </c>
      <c r="X222" s="305" t="str">
        <f>IFERROR(Table3[[#This Row],[Storage space per tertiary packaging (cm3)]]*Table3[[#This Row],[Quantity (doses)]]/1000,"")</f>
        <v/>
      </c>
      <c r="Y222" s="293" t="str">
        <f>IF(Table3[[#This Row],[Status]]="Ordered",(DATE(YEAR(P222),MONTH(P222),1)),IF(Table3[[#This Row],[Status]]="Received",(DATE(YEAR(Q222),MONTH(Q222),1)),""))</f>
        <v/>
      </c>
      <c r="Z222" s="304" t="str">
        <f t="shared" si="12"/>
        <v/>
      </c>
      <c r="AA222" s="48" t="str">
        <f t="shared" si="13"/>
        <v/>
      </c>
      <c r="AB222" s="48" t="str">
        <f t="shared" si="14"/>
        <v/>
      </c>
      <c r="AC222" s="292" t="str">
        <f t="shared" si="15"/>
        <v/>
      </c>
      <c r="AD222" s="48" t="str">
        <f>IF(Table3[[#This Row],[Actual Arrival date]]&gt;0,IF(Table3[[#This Row],[Expected arrival date]]&gt;0,Table3[[#This Row],[Actual Arrival date]]-Table3[[#This Row],[Expected arrival date]],""),"")</f>
        <v/>
      </c>
    </row>
    <row r="223" spans="1:30" x14ac:dyDescent="0.25">
      <c r="A223" s="303" t="str">
        <f>Start!$D$7</f>
        <v>Anyland</v>
      </c>
      <c r="B223" s="48" t="str">
        <f>_xlfn.IFNA(VLOOKUP(A223,list!B:C,2,FALSE),"")</f>
        <v>ANY</v>
      </c>
      <c r="C223" s="48"/>
      <c r="D223" s="127"/>
      <c r="E223" s="48" t="str">
        <f>_xlfn.IFNA(VLOOKUP(Table3[[#This Row],[Product]], ProductListTbl[], 3, 0), "")</f>
        <v/>
      </c>
      <c r="F223" s="303" t="str">
        <f>_xlfn.IFNA(VLOOKUP(D223,ProductListTbl[],5,0),"")</f>
        <v/>
      </c>
      <c r="G223" s="303" t="str">
        <f>_xlfn.IFNA(VLOOKUP(D223,ProductListTbl[],6,0),"")</f>
        <v/>
      </c>
      <c r="H223" s="130" t="str">
        <f>_xlfn.IFNA(VLOOKUP(D223,ProductListTbl[],7,0),"")</f>
        <v/>
      </c>
      <c r="I223" s="130" t="str">
        <f>_xlfn.IFNA(VLOOKUP(D223,ProductListTbl[],8,0),"")</f>
        <v/>
      </c>
      <c r="J223" s="127"/>
      <c r="K223" s="129"/>
      <c r="L223" s="128"/>
      <c r="M223" s="305" t="str">
        <f>IFERROR(Table3[[#This Row],[Quantity (doses)]]/Table3[[#This Row],[Doses per vial or syringe]],"")</f>
        <v/>
      </c>
      <c r="N223" s="127"/>
      <c r="O223" s="127"/>
      <c r="P223" s="381"/>
      <c r="Q223" s="129"/>
      <c r="R223" s="127"/>
      <c r="S223" s="127"/>
      <c r="T223" s="127"/>
      <c r="U223" s="127"/>
      <c r="V223" s="305" t="str">
        <f>_xlfn.IFNA(VLOOKUP(D223,ProductListTbl[],9,0),"")</f>
        <v/>
      </c>
      <c r="W223" s="305" t="str">
        <f>IFERROR(Table3[[#This Row],[Storage space per secondary packaging (cm3)]]*Table3[[#This Row],[Quantity  (vials or syringes)]]/1000,"")</f>
        <v/>
      </c>
      <c r="X223" s="305" t="str">
        <f>IFERROR(Table3[[#This Row],[Storage space per tertiary packaging (cm3)]]*Table3[[#This Row],[Quantity (doses)]]/1000,"")</f>
        <v/>
      </c>
      <c r="Y223" s="293" t="str">
        <f>IF(Table3[[#This Row],[Status]]="Ordered",(DATE(YEAR(P223),MONTH(P223),1)),IF(Table3[[#This Row],[Status]]="Received",(DATE(YEAR(Q223),MONTH(Q223),1)),""))</f>
        <v/>
      </c>
      <c r="Z223" s="304" t="str">
        <f t="shared" si="12"/>
        <v/>
      </c>
      <c r="AA223" s="48" t="str">
        <f t="shared" si="13"/>
        <v/>
      </c>
      <c r="AB223" s="48" t="str">
        <f t="shared" si="14"/>
        <v/>
      </c>
      <c r="AC223" s="292" t="str">
        <f t="shared" si="15"/>
        <v/>
      </c>
      <c r="AD223" s="48" t="str">
        <f>IF(Table3[[#This Row],[Actual Arrival date]]&gt;0,IF(Table3[[#This Row],[Expected arrival date]]&gt;0,Table3[[#This Row],[Actual Arrival date]]-Table3[[#This Row],[Expected arrival date]],""),"")</f>
        <v/>
      </c>
    </row>
    <row r="224" spans="1:30" x14ac:dyDescent="0.25">
      <c r="A224" s="303" t="str">
        <f>Start!$D$7</f>
        <v>Anyland</v>
      </c>
      <c r="B224" s="48" t="str">
        <f>_xlfn.IFNA(VLOOKUP(A224,list!B:C,2,FALSE),"")</f>
        <v>ANY</v>
      </c>
      <c r="C224" s="48"/>
      <c r="D224" s="127"/>
      <c r="E224" s="48" t="str">
        <f>_xlfn.IFNA(VLOOKUP(Table3[[#This Row],[Product]], ProductListTbl[], 3, 0), "")</f>
        <v/>
      </c>
      <c r="F224" s="303" t="str">
        <f>_xlfn.IFNA(VLOOKUP(D224,ProductListTbl[],5,0),"")</f>
        <v/>
      </c>
      <c r="G224" s="303" t="str">
        <f>_xlfn.IFNA(VLOOKUP(D224,ProductListTbl[],6,0),"")</f>
        <v/>
      </c>
      <c r="H224" s="130" t="str">
        <f>_xlfn.IFNA(VLOOKUP(D224,ProductListTbl[],7,0),"")</f>
        <v/>
      </c>
      <c r="I224" s="130" t="str">
        <f>_xlfn.IFNA(VLOOKUP(D224,ProductListTbl[],8,0),"")</f>
        <v/>
      </c>
      <c r="J224" s="127"/>
      <c r="K224" s="129"/>
      <c r="L224" s="128"/>
      <c r="M224" s="305" t="str">
        <f>IFERROR(Table3[[#This Row],[Quantity (doses)]]/Table3[[#This Row],[Doses per vial or syringe]],"")</f>
        <v/>
      </c>
      <c r="N224" s="127"/>
      <c r="O224" s="127"/>
      <c r="P224" s="381"/>
      <c r="Q224" s="129"/>
      <c r="R224" s="127"/>
      <c r="S224" s="127"/>
      <c r="T224" s="127"/>
      <c r="U224" s="127"/>
      <c r="V224" s="305" t="str">
        <f>_xlfn.IFNA(VLOOKUP(D224,ProductListTbl[],9,0),"")</f>
        <v/>
      </c>
      <c r="W224" s="305" t="str">
        <f>IFERROR(Table3[[#This Row],[Storage space per secondary packaging (cm3)]]*Table3[[#This Row],[Quantity  (vials or syringes)]]/1000,"")</f>
        <v/>
      </c>
      <c r="X224" s="305" t="str">
        <f>IFERROR(Table3[[#This Row],[Storage space per tertiary packaging (cm3)]]*Table3[[#This Row],[Quantity (doses)]]/1000,"")</f>
        <v/>
      </c>
      <c r="Y224" s="293" t="str">
        <f>IF(Table3[[#This Row],[Status]]="Ordered",(DATE(YEAR(P224),MONTH(P224),1)),IF(Table3[[#This Row],[Status]]="Received",(DATE(YEAR(Q224),MONTH(Q224),1)),""))</f>
        <v/>
      </c>
      <c r="Z224" s="304" t="str">
        <f t="shared" si="12"/>
        <v/>
      </c>
      <c r="AA224" s="48" t="str">
        <f t="shared" si="13"/>
        <v/>
      </c>
      <c r="AB224" s="48" t="str">
        <f t="shared" si="14"/>
        <v/>
      </c>
      <c r="AC224" s="292" t="str">
        <f t="shared" si="15"/>
        <v/>
      </c>
      <c r="AD224" s="48" t="str">
        <f>IF(Table3[[#This Row],[Actual Arrival date]]&gt;0,IF(Table3[[#This Row],[Expected arrival date]]&gt;0,Table3[[#This Row],[Actual Arrival date]]-Table3[[#This Row],[Expected arrival date]],""),"")</f>
        <v/>
      </c>
    </row>
    <row r="225" spans="1:30" x14ac:dyDescent="0.25">
      <c r="A225" s="303" t="str">
        <f>Start!$D$7</f>
        <v>Anyland</v>
      </c>
      <c r="B225" s="48" t="str">
        <f>_xlfn.IFNA(VLOOKUP(A225,list!B:C,2,FALSE),"")</f>
        <v>ANY</v>
      </c>
      <c r="C225" s="48"/>
      <c r="D225" s="127"/>
      <c r="E225" s="48" t="str">
        <f>_xlfn.IFNA(VLOOKUP(Table3[[#This Row],[Product]], ProductListTbl[], 3, 0), "")</f>
        <v/>
      </c>
      <c r="F225" s="303" t="str">
        <f>_xlfn.IFNA(VLOOKUP(D225,ProductListTbl[],5,0),"")</f>
        <v/>
      </c>
      <c r="G225" s="303" t="str">
        <f>_xlfn.IFNA(VLOOKUP(D225,ProductListTbl[],6,0),"")</f>
        <v/>
      </c>
      <c r="H225" s="130" t="str">
        <f>_xlfn.IFNA(VLOOKUP(D225,ProductListTbl[],7,0),"")</f>
        <v/>
      </c>
      <c r="I225" s="130" t="str">
        <f>_xlfn.IFNA(VLOOKUP(D225,ProductListTbl[],8,0),"")</f>
        <v/>
      </c>
      <c r="J225" s="127"/>
      <c r="K225" s="129"/>
      <c r="L225" s="128"/>
      <c r="M225" s="305" t="str">
        <f>IFERROR(Table3[[#This Row],[Quantity (doses)]]/Table3[[#This Row],[Doses per vial or syringe]],"")</f>
        <v/>
      </c>
      <c r="N225" s="127"/>
      <c r="O225" s="127"/>
      <c r="P225" s="381"/>
      <c r="Q225" s="129"/>
      <c r="R225" s="127"/>
      <c r="S225" s="127"/>
      <c r="T225" s="127"/>
      <c r="U225" s="127"/>
      <c r="V225" s="305" t="str">
        <f>_xlfn.IFNA(VLOOKUP(D225,ProductListTbl[],9,0),"")</f>
        <v/>
      </c>
      <c r="W225" s="305" t="str">
        <f>IFERROR(Table3[[#This Row],[Storage space per secondary packaging (cm3)]]*Table3[[#This Row],[Quantity  (vials or syringes)]]/1000,"")</f>
        <v/>
      </c>
      <c r="X225" s="305" t="str">
        <f>IFERROR(Table3[[#This Row],[Storage space per tertiary packaging (cm3)]]*Table3[[#This Row],[Quantity (doses)]]/1000,"")</f>
        <v/>
      </c>
      <c r="Y225" s="293" t="str">
        <f>IF(Table3[[#This Row],[Status]]="Ordered",(DATE(YEAR(P225),MONTH(P225),1)),IF(Table3[[#This Row],[Status]]="Received",(DATE(YEAR(Q225),MONTH(Q225),1)),""))</f>
        <v/>
      </c>
      <c r="Z225" s="304" t="str">
        <f t="shared" si="12"/>
        <v/>
      </c>
      <c r="AA225" s="48" t="str">
        <f t="shared" si="13"/>
        <v/>
      </c>
      <c r="AB225" s="48" t="str">
        <f t="shared" si="14"/>
        <v/>
      </c>
      <c r="AC225" s="292" t="str">
        <f t="shared" si="15"/>
        <v/>
      </c>
      <c r="AD225" s="48" t="str">
        <f>IF(Table3[[#This Row],[Actual Arrival date]]&gt;0,IF(Table3[[#This Row],[Expected arrival date]]&gt;0,Table3[[#This Row],[Actual Arrival date]]-Table3[[#This Row],[Expected arrival date]],""),"")</f>
        <v/>
      </c>
    </row>
    <row r="226" spans="1:30" x14ac:dyDescent="0.25">
      <c r="A226" s="303" t="str">
        <f>Start!$D$7</f>
        <v>Anyland</v>
      </c>
      <c r="B226" s="48" t="str">
        <f>_xlfn.IFNA(VLOOKUP(A226,list!B:C,2,FALSE),"")</f>
        <v>ANY</v>
      </c>
      <c r="C226" s="48"/>
      <c r="D226" s="127"/>
      <c r="E226" s="48" t="str">
        <f>_xlfn.IFNA(VLOOKUP(Table3[[#This Row],[Product]], ProductListTbl[], 3, 0), "")</f>
        <v/>
      </c>
      <c r="F226" s="303" t="str">
        <f>_xlfn.IFNA(VLOOKUP(D226,ProductListTbl[],5,0),"")</f>
        <v/>
      </c>
      <c r="G226" s="303" t="str">
        <f>_xlfn.IFNA(VLOOKUP(D226,ProductListTbl[],6,0),"")</f>
        <v/>
      </c>
      <c r="H226" s="130" t="str">
        <f>_xlfn.IFNA(VLOOKUP(D226,ProductListTbl[],7,0),"")</f>
        <v/>
      </c>
      <c r="I226" s="130" t="str">
        <f>_xlfn.IFNA(VLOOKUP(D226,ProductListTbl[],8,0),"")</f>
        <v/>
      </c>
      <c r="J226" s="127"/>
      <c r="K226" s="129"/>
      <c r="L226" s="128"/>
      <c r="M226" s="305" t="str">
        <f>IFERROR(Table3[[#This Row],[Quantity (doses)]]/Table3[[#This Row],[Doses per vial or syringe]],"")</f>
        <v/>
      </c>
      <c r="N226" s="127"/>
      <c r="O226" s="127"/>
      <c r="P226" s="381"/>
      <c r="Q226" s="129"/>
      <c r="R226" s="127"/>
      <c r="S226" s="127"/>
      <c r="T226" s="127"/>
      <c r="U226" s="127"/>
      <c r="V226" s="305" t="str">
        <f>_xlfn.IFNA(VLOOKUP(D226,ProductListTbl[],9,0),"")</f>
        <v/>
      </c>
      <c r="W226" s="305" t="str">
        <f>IFERROR(Table3[[#This Row],[Storage space per secondary packaging (cm3)]]*Table3[[#This Row],[Quantity  (vials or syringes)]]/1000,"")</f>
        <v/>
      </c>
      <c r="X226" s="305" t="str">
        <f>IFERROR(Table3[[#This Row],[Storage space per tertiary packaging (cm3)]]*Table3[[#This Row],[Quantity (doses)]]/1000,"")</f>
        <v/>
      </c>
      <c r="Y226" s="293" t="str">
        <f>IF(Table3[[#This Row],[Status]]="Ordered",(DATE(YEAR(P226),MONTH(P226),1)),IF(Table3[[#This Row],[Status]]="Received",(DATE(YEAR(Q226),MONTH(Q226),1)),""))</f>
        <v/>
      </c>
      <c r="Z226" s="304" t="str">
        <f t="shared" si="12"/>
        <v/>
      </c>
      <c r="AA226" s="48" t="str">
        <f t="shared" si="13"/>
        <v/>
      </c>
      <c r="AB226" s="48" t="str">
        <f t="shared" si="14"/>
        <v/>
      </c>
      <c r="AC226" s="292" t="str">
        <f t="shared" si="15"/>
        <v/>
      </c>
      <c r="AD226" s="48" t="str">
        <f>IF(Table3[[#This Row],[Actual Arrival date]]&gt;0,IF(Table3[[#This Row],[Expected arrival date]]&gt;0,Table3[[#This Row],[Actual Arrival date]]-Table3[[#This Row],[Expected arrival date]],""),"")</f>
        <v/>
      </c>
    </row>
    <row r="227" spans="1:30" x14ac:dyDescent="0.25">
      <c r="A227" s="303" t="str">
        <f>Start!$D$7</f>
        <v>Anyland</v>
      </c>
      <c r="B227" s="48" t="str">
        <f>_xlfn.IFNA(VLOOKUP(A227,list!B:C,2,FALSE),"")</f>
        <v>ANY</v>
      </c>
      <c r="C227" s="48"/>
      <c r="D227" s="127"/>
      <c r="E227" s="48" t="str">
        <f>_xlfn.IFNA(VLOOKUP(Table3[[#This Row],[Product]], ProductListTbl[], 3, 0), "")</f>
        <v/>
      </c>
      <c r="F227" s="303" t="str">
        <f>_xlfn.IFNA(VLOOKUP(D227,ProductListTbl[],5,0),"")</f>
        <v/>
      </c>
      <c r="G227" s="303" t="str">
        <f>_xlfn.IFNA(VLOOKUP(D227,ProductListTbl[],6,0),"")</f>
        <v/>
      </c>
      <c r="H227" s="130" t="str">
        <f>_xlfn.IFNA(VLOOKUP(D227,ProductListTbl[],7,0),"")</f>
        <v/>
      </c>
      <c r="I227" s="130" t="str">
        <f>_xlfn.IFNA(VLOOKUP(D227,ProductListTbl[],8,0),"")</f>
        <v/>
      </c>
      <c r="J227" s="127"/>
      <c r="K227" s="129"/>
      <c r="L227" s="128"/>
      <c r="M227" s="305" t="str">
        <f>IFERROR(Table3[[#This Row],[Quantity (doses)]]/Table3[[#This Row],[Doses per vial or syringe]],"")</f>
        <v/>
      </c>
      <c r="N227" s="127"/>
      <c r="O227" s="127"/>
      <c r="P227" s="381"/>
      <c r="Q227" s="129"/>
      <c r="R227" s="127"/>
      <c r="S227" s="127"/>
      <c r="T227" s="127"/>
      <c r="U227" s="127"/>
      <c r="V227" s="305" t="str">
        <f>_xlfn.IFNA(VLOOKUP(D227,ProductListTbl[],9,0),"")</f>
        <v/>
      </c>
      <c r="W227" s="305" t="str">
        <f>IFERROR(Table3[[#This Row],[Storage space per secondary packaging (cm3)]]*Table3[[#This Row],[Quantity  (vials or syringes)]]/1000,"")</f>
        <v/>
      </c>
      <c r="X227" s="305" t="str">
        <f>IFERROR(Table3[[#This Row],[Storage space per tertiary packaging (cm3)]]*Table3[[#This Row],[Quantity (doses)]]/1000,"")</f>
        <v/>
      </c>
      <c r="Y227" s="293" t="str">
        <f>IF(Table3[[#This Row],[Status]]="Ordered",(DATE(YEAR(P227),MONTH(P227),1)),IF(Table3[[#This Row],[Status]]="Received",(DATE(YEAR(Q227),MONTH(Q227),1)),""))</f>
        <v/>
      </c>
      <c r="Z227" s="304" t="str">
        <f t="shared" si="12"/>
        <v/>
      </c>
      <c r="AA227" s="48" t="str">
        <f t="shared" si="13"/>
        <v/>
      </c>
      <c r="AB227" s="48" t="str">
        <f t="shared" si="14"/>
        <v/>
      </c>
      <c r="AC227" s="292" t="str">
        <f t="shared" si="15"/>
        <v/>
      </c>
      <c r="AD227" s="48" t="str">
        <f>IF(Table3[[#This Row],[Actual Arrival date]]&gt;0,IF(Table3[[#This Row],[Expected arrival date]]&gt;0,Table3[[#This Row],[Actual Arrival date]]-Table3[[#This Row],[Expected arrival date]],""),"")</f>
        <v/>
      </c>
    </row>
    <row r="228" spans="1:30" x14ac:dyDescent="0.25">
      <c r="A228" s="303" t="str">
        <f>Start!$D$7</f>
        <v>Anyland</v>
      </c>
      <c r="B228" s="48" t="str">
        <f>_xlfn.IFNA(VLOOKUP(A228,list!B:C,2,FALSE),"")</f>
        <v>ANY</v>
      </c>
      <c r="C228" s="48"/>
      <c r="D228" s="127"/>
      <c r="E228" s="48" t="str">
        <f>_xlfn.IFNA(VLOOKUP(Table3[[#This Row],[Product]], ProductListTbl[], 3, 0), "")</f>
        <v/>
      </c>
      <c r="F228" s="303" t="str">
        <f>_xlfn.IFNA(VLOOKUP(D228,ProductListTbl[],5,0),"")</f>
        <v/>
      </c>
      <c r="G228" s="303" t="str">
        <f>_xlfn.IFNA(VLOOKUP(D228,ProductListTbl[],6,0),"")</f>
        <v/>
      </c>
      <c r="H228" s="130" t="str">
        <f>_xlfn.IFNA(VLOOKUP(D228,ProductListTbl[],7,0),"")</f>
        <v/>
      </c>
      <c r="I228" s="130" t="str">
        <f>_xlfn.IFNA(VLOOKUP(D228,ProductListTbl[],8,0),"")</f>
        <v/>
      </c>
      <c r="J228" s="127"/>
      <c r="K228" s="129"/>
      <c r="L228" s="128"/>
      <c r="M228" s="305" t="str">
        <f>IFERROR(Table3[[#This Row],[Quantity (doses)]]/Table3[[#This Row],[Doses per vial or syringe]],"")</f>
        <v/>
      </c>
      <c r="N228" s="127"/>
      <c r="O228" s="127"/>
      <c r="P228" s="381"/>
      <c r="Q228" s="129"/>
      <c r="R228" s="127"/>
      <c r="S228" s="127"/>
      <c r="T228" s="127"/>
      <c r="U228" s="127"/>
      <c r="V228" s="305" t="str">
        <f>_xlfn.IFNA(VLOOKUP(D228,ProductListTbl[],9,0),"")</f>
        <v/>
      </c>
      <c r="W228" s="305" t="str">
        <f>IFERROR(Table3[[#This Row],[Storage space per secondary packaging (cm3)]]*Table3[[#This Row],[Quantity  (vials or syringes)]]/1000,"")</f>
        <v/>
      </c>
      <c r="X228" s="305" t="str">
        <f>IFERROR(Table3[[#This Row],[Storage space per tertiary packaging (cm3)]]*Table3[[#This Row],[Quantity (doses)]]/1000,"")</f>
        <v/>
      </c>
      <c r="Y228" s="293" t="str">
        <f>IF(Table3[[#This Row],[Status]]="Ordered",(DATE(YEAR(P228),MONTH(P228),1)),IF(Table3[[#This Row],[Status]]="Received",(DATE(YEAR(Q228),MONTH(Q228),1)),""))</f>
        <v/>
      </c>
      <c r="Z228" s="304" t="str">
        <f t="shared" si="12"/>
        <v/>
      </c>
      <c r="AA228" s="48" t="str">
        <f t="shared" si="13"/>
        <v/>
      </c>
      <c r="AB228" s="48" t="str">
        <f t="shared" si="14"/>
        <v/>
      </c>
      <c r="AC228" s="292" t="str">
        <f t="shared" si="15"/>
        <v/>
      </c>
      <c r="AD228" s="48" t="str">
        <f>IF(Table3[[#This Row],[Actual Arrival date]]&gt;0,IF(Table3[[#This Row],[Expected arrival date]]&gt;0,Table3[[#This Row],[Actual Arrival date]]-Table3[[#This Row],[Expected arrival date]],""),"")</f>
        <v/>
      </c>
    </row>
    <row r="229" spans="1:30" x14ac:dyDescent="0.25">
      <c r="A229" s="303" t="str">
        <f>Start!$D$7</f>
        <v>Anyland</v>
      </c>
      <c r="B229" s="48" t="str">
        <f>_xlfn.IFNA(VLOOKUP(A229,list!B:C,2,FALSE),"")</f>
        <v>ANY</v>
      </c>
      <c r="C229" s="48"/>
      <c r="D229" s="127"/>
      <c r="E229" s="48" t="str">
        <f>_xlfn.IFNA(VLOOKUP(Table3[[#This Row],[Product]], ProductListTbl[], 3, 0), "")</f>
        <v/>
      </c>
      <c r="F229" s="303" t="str">
        <f>_xlfn.IFNA(VLOOKUP(D229,ProductListTbl[],5,0),"")</f>
        <v/>
      </c>
      <c r="G229" s="303" t="str">
        <f>_xlfn.IFNA(VLOOKUP(D229,ProductListTbl[],6,0),"")</f>
        <v/>
      </c>
      <c r="H229" s="130" t="str">
        <f>_xlfn.IFNA(VLOOKUP(D229,ProductListTbl[],7,0),"")</f>
        <v/>
      </c>
      <c r="I229" s="130" t="str">
        <f>_xlfn.IFNA(VLOOKUP(D229,ProductListTbl[],8,0),"")</f>
        <v/>
      </c>
      <c r="J229" s="127"/>
      <c r="K229" s="129"/>
      <c r="L229" s="128"/>
      <c r="M229" s="305" t="str">
        <f>IFERROR(Table3[[#This Row],[Quantity (doses)]]/Table3[[#This Row],[Doses per vial or syringe]],"")</f>
        <v/>
      </c>
      <c r="N229" s="127"/>
      <c r="O229" s="127"/>
      <c r="P229" s="381"/>
      <c r="Q229" s="129"/>
      <c r="R229" s="127"/>
      <c r="S229" s="127"/>
      <c r="T229" s="127"/>
      <c r="U229" s="127"/>
      <c r="V229" s="305" t="str">
        <f>_xlfn.IFNA(VLOOKUP(D229,ProductListTbl[],9,0),"")</f>
        <v/>
      </c>
      <c r="W229" s="305" t="str">
        <f>IFERROR(Table3[[#This Row],[Storage space per secondary packaging (cm3)]]*Table3[[#This Row],[Quantity  (vials or syringes)]]/1000,"")</f>
        <v/>
      </c>
      <c r="X229" s="305" t="str">
        <f>IFERROR(Table3[[#This Row],[Storage space per tertiary packaging (cm3)]]*Table3[[#This Row],[Quantity (doses)]]/1000,"")</f>
        <v/>
      </c>
      <c r="Y229" s="293" t="str">
        <f>IF(Table3[[#This Row],[Status]]="Ordered",(DATE(YEAR(P229),MONTH(P229),1)),IF(Table3[[#This Row],[Status]]="Received",(DATE(YEAR(Q229),MONTH(Q229),1)),""))</f>
        <v/>
      </c>
      <c r="Z229" s="304" t="str">
        <f t="shared" si="12"/>
        <v/>
      </c>
      <c r="AA229" s="48" t="str">
        <f t="shared" si="13"/>
        <v/>
      </c>
      <c r="AB229" s="48" t="str">
        <f t="shared" si="14"/>
        <v/>
      </c>
      <c r="AC229" s="292" t="str">
        <f t="shared" si="15"/>
        <v/>
      </c>
      <c r="AD229" s="48" t="str">
        <f>IF(Table3[[#This Row],[Actual Arrival date]]&gt;0,IF(Table3[[#This Row],[Expected arrival date]]&gt;0,Table3[[#This Row],[Actual Arrival date]]-Table3[[#This Row],[Expected arrival date]],""),"")</f>
        <v/>
      </c>
    </row>
    <row r="230" spans="1:30" x14ac:dyDescent="0.25">
      <c r="A230" s="303" t="str">
        <f>Start!$D$7</f>
        <v>Anyland</v>
      </c>
      <c r="B230" s="48" t="str">
        <f>_xlfn.IFNA(VLOOKUP(A230,list!B:C,2,FALSE),"")</f>
        <v>ANY</v>
      </c>
      <c r="C230" s="48"/>
      <c r="D230" s="127"/>
      <c r="E230" s="48" t="str">
        <f>_xlfn.IFNA(VLOOKUP(Table3[[#This Row],[Product]], ProductListTbl[], 3, 0), "")</f>
        <v/>
      </c>
      <c r="F230" s="303" t="str">
        <f>_xlfn.IFNA(VLOOKUP(D230,ProductListTbl[],5,0),"")</f>
        <v/>
      </c>
      <c r="G230" s="303" t="str">
        <f>_xlfn.IFNA(VLOOKUP(D230,ProductListTbl[],6,0),"")</f>
        <v/>
      </c>
      <c r="H230" s="130" t="str">
        <f>_xlfn.IFNA(VLOOKUP(D230,ProductListTbl[],7,0),"")</f>
        <v/>
      </c>
      <c r="I230" s="130" t="str">
        <f>_xlfn.IFNA(VLOOKUP(D230,ProductListTbl[],8,0),"")</f>
        <v/>
      </c>
      <c r="J230" s="127"/>
      <c r="K230" s="129"/>
      <c r="L230" s="128"/>
      <c r="M230" s="305" t="str">
        <f>IFERROR(Table3[[#This Row],[Quantity (doses)]]/Table3[[#This Row],[Doses per vial or syringe]],"")</f>
        <v/>
      </c>
      <c r="N230" s="127"/>
      <c r="O230" s="127"/>
      <c r="P230" s="381"/>
      <c r="Q230" s="129"/>
      <c r="R230" s="127"/>
      <c r="S230" s="127"/>
      <c r="T230" s="127"/>
      <c r="U230" s="127"/>
      <c r="V230" s="305" t="str">
        <f>_xlfn.IFNA(VLOOKUP(D230,ProductListTbl[],9,0),"")</f>
        <v/>
      </c>
      <c r="W230" s="305" t="str">
        <f>IFERROR(Table3[[#This Row],[Storage space per secondary packaging (cm3)]]*Table3[[#This Row],[Quantity  (vials or syringes)]]/1000,"")</f>
        <v/>
      </c>
      <c r="X230" s="305" t="str">
        <f>IFERROR(Table3[[#This Row],[Storage space per tertiary packaging (cm3)]]*Table3[[#This Row],[Quantity (doses)]]/1000,"")</f>
        <v/>
      </c>
      <c r="Y230" s="293" t="str">
        <f>IF(Table3[[#This Row],[Status]]="Ordered",(DATE(YEAR(P230),MONTH(P230),1)),IF(Table3[[#This Row],[Status]]="Received",(DATE(YEAR(Q230),MONTH(Q230),1)),""))</f>
        <v/>
      </c>
      <c r="Z230" s="304" t="str">
        <f t="shared" si="12"/>
        <v/>
      </c>
      <c r="AA230" s="48" t="str">
        <f t="shared" si="13"/>
        <v/>
      </c>
      <c r="AB230" s="48" t="str">
        <f t="shared" si="14"/>
        <v/>
      </c>
      <c r="AC230" s="292" t="str">
        <f t="shared" si="15"/>
        <v/>
      </c>
      <c r="AD230" s="48" t="str">
        <f>IF(Table3[[#This Row],[Actual Arrival date]]&gt;0,IF(Table3[[#This Row],[Expected arrival date]]&gt;0,Table3[[#This Row],[Actual Arrival date]]-Table3[[#This Row],[Expected arrival date]],""),"")</f>
        <v/>
      </c>
    </row>
    <row r="231" spans="1:30" x14ac:dyDescent="0.25">
      <c r="A231" s="303" t="str">
        <f>Start!$D$7</f>
        <v>Anyland</v>
      </c>
      <c r="B231" s="48" t="str">
        <f>_xlfn.IFNA(VLOOKUP(A231,list!B:C,2,FALSE),"")</f>
        <v>ANY</v>
      </c>
      <c r="C231" s="48"/>
      <c r="D231" s="127"/>
      <c r="E231" s="48" t="str">
        <f>_xlfn.IFNA(VLOOKUP(Table3[[#This Row],[Product]], ProductListTbl[], 3, 0), "")</f>
        <v/>
      </c>
      <c r="F231" s="303" t="str">
        <f>_xlfn.IFNA(VLOOKUP(D231,ProductListTbl[],5,0),"")</f>
        <v/>
      </c>
      <c r="G231" s="303" t="str">
        <f>_xlfn.IFNA(VLOOKUP(D231,ProductListTbl[],6,0),"")</f>
        <v/>
      </c>
      <c r="H231" s="130" t="str">
        <f>_xlfn.IFNA(VLOOKUP(D231,ProductListTbl[],7,0),"")</f>
        <v/>
      </c>
      <c r="I231" s="130" t="str">
        <f>_xlfn.IFNA(VLOOKUP(D231,ProductListTbl[],8,0),"")</f>
        <v/>
      </c>
      <c r="J231" s="127"/>
      <c r="K231" s="129"/>
      <c r="L231" s="128"/>
      <c r="M231" s="305" t="str">
        <f>IFERROR(Table3[[#This Row],[Quantity (doses)]]/Table3[[#This Row],[Doses per vial or syringe]],"")</f>
        <v/>
      </c>
      <c r="N231" s="127"/>
      <c r="O231" s="127"/>
      <c r="P231" s="381"/>
      <c r="Q231" s="129"/>
      <c r="R231" s="127"/>
      <c r="S231" s="127"/>
      <c r="T231" s="127"/>
      <c r="U231" s="127"/>
      <c r="V231" s="305" t="str">
        <f>_xlfn.IFNA(VLOOKUP(D231,ProductListTbl[],9,0),"")</f>
        <v/>
      </c>
      <c r="W231" s="305" t="str">
        <f>IFERROR(Table3[[#This Row],[Storage space per secondary packaging (cm3)]]*Table3[[#This Row],[Quantity  (vials or syringes)]]/1000,"")</f>
        <v/>
      </c>
      <c r="X231" s="305" t="str">
        <f>IFERROR(Table3[[#This Row],[Storage space per tertiary packaging (cm3)]]*Table3[[#This Row],[Quantity (doses)]]/1000,"")</f>
        <v/>
      </c>
      <c r="Y231" s="293" t="str">
        <f>IF(Table3[[#This Row],[Status]]="Ordered",(DATE(YEAR(P231),MONTH(P231),1)),IF(Table3[[#This Row],[Status]]="Received",(DATE(YEAR(Q231),MONTH(Q231),1)),""))</f>
        <v/>
      </c>
      <c r="Z231" s="304" t="str">
        <f t="shared" si="12"/>
        <v/>
      </c>
      <c r="AA231" s="48" t="str">
        <f t="shared" si="13"/>
        <v/>
      </c>
      <c r="AB231" s="48" t="str">
        <f t="shared" si="14"/>
        <v/>
      </c>
      <c r="AC231" s="292" t="str">
        <f t="shared" si="15"/>
        <v/>
      </c>
      <c r="AD231" s="48" t="str">
        <f>IF(Table3[[#This Row],[Actual Arrival date]]&gt;0,IF(Table3[[#This Row],[Expected arrival date]]&gt;0,Table3[[#This Row],[Actual Arrival date]]-Table3[[#This Row],[Expected arrival date]],""),"")</f>
        <v/>
      </c>
    </row>
    <row r="232" spans="1:30" x14ac:dyDescent="0.25">
      <c r="A232" s="303" t="str">
        <f>Start!$D$7</f>
        <v>Anyland</v>
      </c>
      <c r="B232" s="48" t="str">
        <f>_xlfn.IFNA(VLOOKUP(A232,list!B:C,2,FALSE),"")</f>
        <v>ANY</v>
      </c>
      <c r="C232" s="48"/>
      <c r="D232" s="127"/>
      <c r="E232" s="48" t="str">
        <f>_xlfn.IFNA(VLOOKUP(Table3[[#This Row],[Product]], ProductListTbl[], 3, 0), "")</f>
        <v/>
      </c>
      <c r="F232" s="303" t="str">
        <f>_xlfn.IFNA(VLOOKUP(D232,ProductListTbl[],5,0),"")</f>
        <v/>
      </c>
      <c r="G232" s="303" t="str">
        <f>_xlfn.IFNA(VLOOKUP(D232,ProductListTbl[],6,0),"")</f>
        <v/>
      </c>
      <c r="H232" s="130" t="str">
        <f>_xlfn.IFNA(VLOOKUP(D232,ProductListTbl[],7,0),"")</f>
        <v/>
      </c>
      <c r="I232" s="130" t="str">
        <f>_xlfn.IFNA(VLOOKUP(D232,ProductListTbl[],8,0),"")</f>
        <v/>
      </c>
      <c r="J232" s="127"/>
      <c r="K232" s="129"/>
      <c r="L232" s="128"/>
      <c r="M232" s="305" t="str">
        <f>IFERROR(Table3[[#This Row],[Quantity (doses)]]/Table3[[#This Row],[Doses per vial or syringe]],"")</f>
        <v/>
      </c>
      <c r="N232" s="127"/>
      <c r="O232" s="127"/>
      <c r="P232" s="381"/>
      <c r="Q232" s="129"/>
      <c r="R232" s="127"/>
      <c r="S232" s="127"/>
      <c r="T232" s="127"/>
      <c r="U232" s="127"/>
      <c r="V232" s="305" t="str">
        <f>_xlfn.IFNA(VLOOKUP(D232,ProductListTbl[],9,0),"")</f>
        <v/>
      </c>
      <c r="W232" s="305" t="str">
        <f>IFERROR(Table3[[#This Row],[Storage space per secondary packaging (cm3)]]*Table3[[#This Row],[Quantity  (vials or syringes)]]/1000,"")</f>
        <v/>
      </c>
      <c r="X232" s="305" t="str">
        <f>IFERROR(Table3[[#This Row],[Storage space per tertiary packaging (cm3)]]*Table3[[#This Row],[Quantity (doses)]]/1000,"")</f>
        <v/>
      </c>
      <c r="Y232" s="293" t="str">
        <f>IF(Table3[[#This Row],[Status]]="Ordered",(DATE(YEAR(P232),MONTH(P232),1)),IF(Table3[[#This Row],[Status]]="Received",(DATE(YEAR(Q232),MONTH(Q232),1)),""))</f>
        <v/>
      </c>
      <c r="Z232" s="304" t="str">
        <f t="shared" si="12"/>
        <v/>
      </c>
      <c r="AA232" s="48" t="str">
        <f t="shared" si="13"/>
        <v/>
      </c>
      <c r="AB232" s="48" t="str">
        <f t="shared" si="14"/>
        <v/>
      </c>
      <c r="AC232" s="292" t="str">
        <f t="shared" si="15"/>
        <v/>
      </c>
      <c r="AD232" s="48" t="str">
        <f>IF(Table3[[#This Row],[Actual Arrival date]]&gt;0,IF(Table3[[#This Row],[Expected arrival date]]&gt;0,Table3[[#This Row],[Actual Arrival date]]-Table3[[#This Row],[Expected arrival date]],""),"")</f>
        <v/>
      </c>
    </row>
    <row r="233" spans="1:30" x14ac:dyDescent="0.25">
      <c r="A233" s="303" t="str">
        <f>Start!$D$7</f>
        <v>Anyland</v>
      </c>
      <c r="B233" s="48" t="str">
        <f>_xlfn.IFNA(VLOOKUP(A233,list!B:C,2,FALSE),"")</f>
        <v>ANY</v>
      </c>
      <c r="C233" s="48"/>
      <c r="D233" s="127"/>
      <c r="E233" s="48" t="str">
        <f>_xlfn.IFNA(VLOOKUP(Table3[[#This Row],[Product]], ProductListTbl[], 3, 0), "")</f>
        <v/>
      </c>
      <c r="F233" s="303" t="str">
        <f>_xlfn.IFNA(VLOOKUP(D233,ProductListTbl[],5,0),"")</f>
        <v/>
      </c>
      <c r="G233" s="303" t="str">
        <f>_xlfn.IFNA(VLOOKUP(D233,ProductListTbl[],6,0),"")</f>
        <v/>
      </c>
      <c r="H233" s="130" t="str">
        <f>_xlfn.IFNA(VLOOKUP(D233,ProductListTbl[],7,0),"")</f>
        <v/>
      </c>
      <c r="I233" s="130" t="str">
        <f>_xlfn.IFNA(VLOOKUP(D233,ProductListTbl[],8,0),"")</f>
        <v/>
      </c>
      <c r="J233" s="127"/>
      <c r="K233" s="129"/>
      <c r="L233" s="128"/>
      <c r="M233" s="305" t="str">
        <f>IFERROR(Table3[[#This Row],[Quantity (doses)]]/Table3[[#This Row],[Doses per vial or syringe]],"")</f>
        <v/>
      </c>
      <c r="N233" s="127"/>
      <c r="O233" s="127"/>
      <c r="P233" s="381"/>
      <c r="Q233" s="129"/>
      <c r="R233" s="127"/>
      <c r="S233" s="127"/>
      <c r="T233" s="127"/>
      <c r="U233" s="127"/>
      <c r="V233" s="305" t="str">
        <f>_xlfn.IFNA(VLOOKUP(D233,ProductListTbl[],9,0),"")</f>
        <v/>
      </c>
      <c r="W233" s="305" t="str">
        <f>IFERROR(Table3[[#This Row],[Storage space per secondary packaging (cm3)]]*Table3[[#This Row],[Quantity  (vials or syringes)]]/1000,"")</f>
        <v/>
      </c>
      <c r="X233" s="305" t="str">
        <f>IFERROR(Table3[[#This Row],[Storage space per tertiary packaging (cm3)]]*Table3[[#This Row],[Quantity (doses)]]/1000,"")</f>
        <v/>
      </c>
      <c r="Y233" s="293" t="str">
        <f>IF(Table3[[#This Row],[Status]]="Ordered",(DATE(YEAR(P233),MONTH(P233),1)),IF(Table3[[#This Row],[Status]]="Received",(DATE(YEAR(Q233),MONTH(Q233),1)),""))</f>
        <v/>
      </c>
      <c r="Z233" s="304" t="str">
        <f t="shared" si="12"/>
        <v/>
      </c>
      <c r="AA233" s="48" t="str">
        <f t="shared" si="13"/>
        <v/>
      </c>
      <c r="AB233" s="48" t="str">
        <f t="shared" si="14"/>
        <v/>
      </c>
      <c r="AC233" s="292" t="str">
        <f t="shared" si="15"/>
        <v/>
      </c>
      <c r="AD233" s="48" t="str">
        <f>IF(Table3[[#This Row],[Actual Arrival date]]&gt;0,IF(Table3[[#This Row],[Expected arrival date]]&gt;0,Table3[[#This Row],[Actual Arrival date]]-Table3[[#This Row],[Expected arrival date]],""),"")</f>
        <v/>
      </c>
    </row>
    <row r="234" spans="1:30" x14ac:dyDescent="0.25">
      <c r="A234" s="303" t="str">
        <f>Start!$D$7</f>
        <v>Anyland</v>
      </c>
      <c r="B234" s="48" t="str">
        <f>_xlfn.IFNA(VLOOKUP(A234,list!B:C,2,FALSE),"")</f>
        <v>ANY</v>
      </c>
      <c r="C234" s="48"/>
      <c r="D234" s="127"/>
      <c r="E234" s="48" t="str">
        <f>_xlfn.IFNA(VLOOKUP(Table3[[#This Row],[Product]], ProductListTbl[], 3, 0), "")</f>
        <v/>
      </c>
      <c r="F234" s="303" t="str">
        <f>_xlfn.IFNA(VLOOKUP(D234,ProductListTbl[],5,0),"")</f>
        <v/>
      </c>
      <c r="G234" s="303" t="str">
        <f>_xlfn.IFNA(VLOOKUP(D234,ProductListTbl[],6,0),"")</f>
        <v/>
      </c>
      <c r="H234" s="130" t="str">
        <f>_xlfn.IFNA(VLOOKUP(D234,ProductListTbl[],7,0),"")</f>
        <v/>
      </c>
      <c r="I234" s="130" t="str">
        <f>_xlfn.IFNA(VLOOKUP(D234,ProductListTbl[],8,0),"")</f>
        <v/>
      </c>
      <c r="J234" s="127"/>
      <c r="K234" s="129"/>
      <c r="L234" s="128"/>
      <c r="M234" s="305" t="str">
        <f>IFERROR(Table3[[#This Row],[Quantity (doses)]]/Table3[[#This Row],[Doses per vial or syringe]],"")</f>
        <v/>
      </c>
      <c r="N234" s="127"/>
      <c r="O234" s="127"/>
      <c r="P234" s="381"/>
      <c r="Q234" s="129"/>
      <c r="R234" s="127"/>
      <c r="S234" s="127"/>
      <c r="T234" s="127"/>
      <c r="U234" s="127"/>
      <c r="V234" s="305" t="str">
        <f>_xlfn.IFNA(VLOOKUP(D234,ProductListTbl[],9,0),"")</f>
        <v/>
      </c>
      <c r="W234" s="305" t="str">
        <f>IFERROR(Table3[[#This Row],[Storage space per secondary packaging (cm3)]]*Table3[[#This Row],[Quantity  (vials or syringes)]]/1000,"")</f>
        <v/>
      </c>
      <c r="X234" s="305" t="str">
        <f>IFERROR(Table3[[#This Row],[Storage space per tertiary packaging (cm3)]]*Table3[[#This Row],[Quantity (doses)]]/1000,"")</f>
        <v/>
      </c>
      <c r="Y234" s="293" t="str">
        <f>IF(Table3[[#This Row],[Status]]="Ordered",(DATE(YEAR(P234),MONTH(P234),1)),IF(Table3[[#This Row],[Status]]="Received",(DATE(YEAR(Q234),MONTH(Q234),1)),""))</f>
        <v/>
      </c>
      <c r="Z234" s="304" t="str">
        <f t="shared" si="12"/>
        <v/>
      </c>
      <c r="AA234" s="48" t="str">
        <f t="shared" si="13"/>
        <v/>
      </c>
      <c r="AB234" s="48" t="str">
        <f t="shared" si="14"/>
        <v/>
      </c>
      <c r="AC234" s="292" t="str">
        <f t="shared" si="15"/>
        <v/>
      </c>
      <c r="AD234" s="48" t="str">
        <f>IF(Table3[[#This Row],[Actual Arrival date]]&gt;0,IF(Table3[[#This Row],[Expected arrival date]]&gt;0,Table3[[#This Row],[Actual Arrival date]]-Table3[[#This Row],[Expected arrival date]],""),"")</f>
        <v/>
      </c>
    </row>
    <row r="235" spans="1:30" x14ac:dyDescent="0.25">
      <c r="A235" s="303" t="str">
        <f>Start!$D$7</f>
        <v>Anyland</v>
      </c>
      <c r="B235" s="48" t="str">
        <f>_xlfn.IFNA(VLOOKUP(A235,list!B:C,2,FALSE),"")</f>
        <v>ANY</v>
      </c>
      <c r="C235" s="48"/>
      <c r="D235" s="127"/>
      <c r="E235" s="48" t="str">
        <f>_xlfn.IFNA(VLOOKUP(Table3[[#This Row],[Product]], ProductListTbl[], 3, 0), "")</f>
        <v/>
      </c>
      <c r="F235" s="303" t="str">
        <f>_xlfn.IFNA(VLOOKUP(D235,ProductListTbl[],5,0),"")</f>
        <v/>
      </c>
      <c r="G235" s="303" t="str">
        <f>_xlfn.IFNA(VLOOKUP(D235,ProductListTbl[],6,0),"")</f>
        <v/>
      </c>
      <c r="H235" s="130" t="str">
        <f>_xlfn.IFNA(VLOOKUP(D235,ProductListTbl[],7,0),"")</f>
        <v/>
      </c>
      <c r="I235" s="130" t="str">
        <f>_xlfn.IFNA(VLOOKUP(D235,ProductListTbl[],8,0),"")</f>
        <v/>
      </c>
      <c r="J235" s="127"/>
      <c r="K235" s="129"/>
      <c r="L235" s="128"/>
      <c r="M235" s="305" t="str">
        <f>IFERROR(Table3[[#This Row],[Quantity (doses)]]/Table3[[#This Row],[Doses per vial or syringe]],"")</f>
        <v/>
      </c>
      <c r="N235" s="127"/>
      <c r="O235" s="127"/>
      <c r="P235" s="381"/>
      <c r="Q235" s="129"/>
      <c r="R235" s="127"/>
      <c r="S235" s="127"/>
      <c r="T235" s="127"/>
      <c r="U235" s="127"/>
      <c r="V235" s="305" t="str">
        <f>_xlfn.IFNA(VLOOKUP(D235,ProductListTbl[],9,0),"")</f>
        <v/>
      </c>
      <c r="W235" s="305" t="str">
        <f>IFERROR(Table3[[#This Row],[Storage space per secondary packaging (cm3)]]*Table3[[#This Row],[Quantity  (vials or syringes)]]/1000,"")</f>
        <v/>
      </c>
      <c r="X235" s="305" t="str">
        <f>IFERROR(Table3[[#This Row],[Storage space per tertiary packaging (cm3)]]*Table3[[#This Row],[Quantity (doses)]]/1000,"")</f>
        <v/>
      </c>
      <c r="Y235" s="293" t="str">
        <f>IF(Table3[[#This Row],[Status]]="Ordered",(DATE(YEAR(P235),MONTH(P235),1)),IF(Table3[[#This Row],[Status]]="Received",(DATE(YEAR(Q235),MONTH(Q235),1)),""))</f>
        <v/>
      </c>
      <c r="Z235" s="304" t="str">
        <f t="shared" si="12"/>
        <v/>
      </c>
      <c r="AA235" s="48" t="str">
        <f t="shared" si="13"/>
        <v/>
      </c>
      <c r="AB235" s="48" t="str">
        <f t="shared" si="14"/>
        <v/>
      </c>
      <c r="AC235" s="292" t="str">
        <f t="shared" si="15"/>
        <v/>
      </c>
      <c r="AD235" s="48" t="str">
        <f>IF(Table3[[#This Row],[Actual Arrival date]]&gt;0,IF(Table3[[#This Row],[Expected arrival date]]&gt;0,Table3[[#This Row],[Actual Arrival date]]-Table3[[#This Row],[Expected arrival date]],""),"")</f>
        <v/>
      </c>
    </row>
    <row r="236" spans="1:30" x14ac:dyDescent="0.25">
      <c r="A236" s="303" t="str">
        <f>Start!$D$7</f>
        <v>Anyland</v>
      </c>
      <c r="B236" s="48" t="str">
        <f>_xlfn.IFNA(VLOOKUP(A236,list!B:C,2,FALSE),"")</f>
        <v>ANY</v>
      </c>
      <c r="C236" s="48"/>
      <c r="D236" s="127"/>
      <c r="E236" s="48" t="str">
        <f>_xlfn.IFNA(VLOOKUP(Table3[[#This Row],[Product]], ProductListTbl[], 3, 0), "")</f>
        <v/>
      </c>
      <c r="F236" s="303" t="str">
        <f>_xlfn.IFNA(VLOOKUP(D236,ProductListTbl[],5,0),"")</f>
        <v/>
      </c>
      <c r="G236" s="303" t="str">
        <f>_xlfn.IFNA(VLOOKUP(D236,ProductListTbl[],6,0),"")</f>
        <v/>
      </c>
      <c r="H236" s="130" t="str">
        <f>_xlfn.IFNA(VLOOKUP(D236,ProductListTbl[],7,0),"")</f>
        <v/>
      </c>
      <c r="I236" s="130" t="str">
        <f>_xlfn.IFNA(VLOOKUP(D236,ProductListTbl[],8,0),"")</f>
        <v/>
      </c>
      <c r="J236" s="127"/>
      <c r="K236" s="129"/>
      <c r="L236" s="128"/>
      <c r="M236" s="305" t="str">
        <f>IFERROR(Table3[[#This Row],[Quantity (doses)]]/Table3[[#This Row],[Doses per vial or syringe]],"")</f>
        <v/>
      </c>
      <c r="N236" s="127"/>
      <c r="O236" s="127"/>
      <c r="P236" s="381"/>
      <c r="Q236" s="129"/>
      <c r="R236" s="127"/>
      <c r="S236" s="127"/>
      <c r="T236" s="127"/>
      <c r="U236" s="127"/>
      <c r="V236" s="305" t="str">
        <f>_xlfn.IFNA(VLOOKUP(D236,ProductListTbl[],9,0),"")</f>
        <v/>
      </c>
      <c r="W236" s="305" t="str">
        <f>IFERROR(Table3[[#This Row],[Storage space per secondary packaging (cm3)]]*Table3[[#This Row],[Quantity  (vials or syringes)]]/1000,"")</f>
        <v/>
      </c>
      <c r="X236" s="305" t="str">
        <f>IFERROR(Table3[[#This Row],[Storage space per tertiary packaging (cm3)]]*Table3[[#This Row],[Quantity (doses)]]/1000,"")</f>
        <v/>
      </c>
      <c r="Y236" s="293" t="str">
        <f>IF(Table3[[#This Row],[Status]]="Ordered",(DATE(YEAR(P236),MONTH(P236),1)),IF(Table3[[#This Row],[Status]]="Received",(DATE(YEAR(Q236),MONTH(Q236),1)),""))</f>
        <v/>
      </c>
      <c r="Z236" s="304" t="str">
        <f t="shared" si="12"/>
        <v/>
      </c>
      <c r="AA236" s="48" t="str">
        <f t="shared" si="13"/>
        <v/>
      </c>
      <c r="AB236" s="48" t="str">
        <f t="shared" si="14"/>
        <v/>
      </c>
      <c r="AC236" s="292" t="str">
        <f t="shared" si="15"/>
        <v/>
      </c>
      <c r="AD236" s="48" t="str">
        <f>IF(Table3[[#This Row],[Actual Arrival date]]&gt;0,IF(Table3[[#This Row],[Expected arrival date]]&gt;0,Table3[[#This Row],[Actual Arrival date]]-Table3[[#This Row],[Expected arrival date]],""),"")</f>
        <v/>
      </c>
    </row>
    <row r="237" spans="1:30" x14ac:dyDescent="0.25">
      <c r="A237" s="303" t="str">
        <f>Start!$D$7</f>
        <v>Anyland</v>
      </c>
      <c r="B237" s="48" t="str">
        <f>_xlfn.IFNA(VLOOKUP(A237,list!B:C,2,FALSE),"")</f>
        <v>ANY</v>
      </c>
      <c r="C237" s="48"/>
      <c r="D237" s="127"/>
      <c r="E237" s="48" t="str">
        <f>_xlfn.IFNA(VLOOKUP(Table3[[#This Row],[Product]], ProductListTbl[], 3, 0), "")</f>
        <v/>
      </c>
      <c r="F237" s="303" t="str">
        <f>_xlfn.IFNA(VLOOKUP(D237,ProductListTbl[],5,0),"")</f>
        <v/>
      </c>
      <c r="G237" s="303" t="str">
        <f>_xlfn.IFNA(VLOOKUP(D237,ProductListTbl[],6,0),"")</f>
        <v/>
      </c>
      <c r="H237" s="130" t="str">
        <f>_xlfn.IFNA(VLOOKUP(D237,ProductListTbl[],7,0),"")</f>
        <v/>
      </c>
      <c r="I237" s="130" t="str">
        <f>_xlfn.IFNA(VLOOKUP(D237,ProductListTbl[],8,0),"")</f>
        <v/>
      </c>
      <c r="J237" s="127"/>
      <c r="K237" s="129"/>
      <c r="L237" s="128"/>
      <c r="M237" s="305" t="str">
        <f>IFERROR(Table3[[#This Row],[Quantity (doses)]]/Table3[[#This Row],[Doses per vial or syringe]],"")</f>
        <v/>
      </c>
      <c r="N237" s="127"/>
      <c r="O237" s="127"/>
      <c r="P237" s="381"/>
      <c r="Q237" s="129"/>
      <c r="R237" s="127"/>
      <c r="S237" s="127"/>
      <c r="T237" s="127"/>
      <c r="U237" s="127"/>
      <c r="V237" s="305" t="str">
        <f>_xlfn.IFNA(VLOOKUP(D237,ProductListTbl[],9,0),"")</f>
        <v/>
      </c>
      <c r="W237" s="305" t="str">
        <f>IFERROR(Table3[[#This Row],[Storage space per secondary packaging (cm3)]]*Table3[[#This Row],[Quantity  (vials or syringes)]]/1000,"")</f>
        <v/>
      </c>
      <c r="X237" s="305" t="str">
        <f>IFERROR(Table3[[#This Row],[Storage space per tertiary packaging (cm3)]]*Table3[[#This Row],[Quantity (doses)]]/1000,"")</f>
        <v/>
      </c>
      <c r="Y237" s="293" t="str">
        <f>IF(Table3[[#This Row],[Status]]="Ordered",(DATE(YEAR(P237),MONTH(P237),1)),IF(Table3[[#This Row],[Status]]="Received",(DATE(YEAR(Q237),MONTH(Q237),1)),""))</f>
        <v/>
      </c>
      <c r="Z237" s="304" t="str">
        <f t="shared" si="12"/>
        <v/>
      </c>
      <c r="AA237" s="48" t="str">
        <f t="shared" si="13"/>
        <v/>
      </c>
      <c r="AB237" s="48" t="str">
        <f t="shared" si="14"/>
        <v/>
      </c>
      <c r="AC237" s="292" t="str">
        <f t="shared" si="15"/>
        <v/>
      </c>
      <c r="AD237" s="48" t="str">
        <f>IF(Table3[[#This Row],[Actual Arrival date]]&gt;0,IF(Table3[[#This Row],[Expected arrival date]]&gt;0,Table3[[#This Row],[Actual Arrival date]]-Table3[[#This Row],[Expected arrival date]],""),"")</f>
        <v/>
      </c>
    </row>
    <row r="238" spans="1:30" x14ac:dyDescent="0.25">
      <c r="A238" s="303" t="str">
        <f>Start!$D$7</f>
        <v>Anyland</v>
      </c>
      <c r="B238" s="48" t="str">
        <f>_xlfn.IFNA(VLOOKUP(A238,list!B:C,2,FALSE),"")</f>
        <v>ANY</v>
      </c>
      <c r="C238" s="48"/>
      <c r="D238" s="127"/>
      <c r="E238" s="48" t="str">
        <f>_xlfn.IFNA(VLOOKUP(Table3[[#This Row],[Product]], ProductListTbl[], 3, 0), "")</f>
        <v/>
      </c>
      <c r="F238" s="303" t="str">
        <f>_xlfn.IFNA(VLOOKUP(D238,ProductListTbl[],5,0),"")</f>
        <v/>
      </c>
      <c r="G238" s="303" t="str">
        <f>_xlfn.IFNA(VLOOKUP(D238,ProductListTbl[],6,0),"")</f>
        <v/>
      </c>
      <c r="H238" s="130" t="str">
        <f>_xlfn.IFNA(VLOOKUP(D238,ProductListTbl[],7,0),"")</f>
        <v/>
      </c>
      <c r="I238" s="130" t="str">
        <f>_xlfn.IFNA(VLOOKUP(D238,ProductListTbl[],8,0),"")</f>
        <v/>
      </c>
      <c r="J238" s="127"/>
      <c r="K238" s="129"/>
      <c r="L238" s="128"/>
      <c r="M238" s="305" t="str">
        <f>IFERROR(Table3[[#This Row],[Quantity (doses)]]/Table3[[#This Row],[Doses per vial or syringe]],"")</f>
        <v/>
      </c>
      <c r="N238" s="127"/>
      <c r="O238" s="127"/>
      <c r="P238" s="381"/>
      <c r="Q238" s="129"/>
      <c r="R238" s="127"/>
      <c r="S238" s="127"/>
      <c r="T238" s="127"/>
      <c r="U238" s="127"/>
      <c r="V238" s="305" t="str">
        <f>_xlfn.IFNA(VLOOKUP(D238,ProductListTbl[],9,0),"")</f>
        <v/>
      </c>
      <c r="W238" s="305" t="str">
        <f>IFERROR(Table3[[#This Row],[Storage space per secondary packaging (cm3)]]*Table3[[#This Row],[Quantity  (vials or syringes)]]/1000,"")</f>
        <v/>
      </c>
      <c r="X238" s="305" t="str">
        <f>IFERROR(Table3[[#This Row],[Storage space per tertiary packaging (cm3)]]*Table3[[#This Row],[Quantity (doses)]]/1000,"")</f>
        <v/>
      </c>
      <c r="Y238" s="293" t="str">
        <f>IF(Table3[[#This Row],[Status]]="Ordered",(DATE(YEAR(P238),MONTH(P238),1)),IF(Table3[[#This Row],[Status]]="Received",(DATE(YEAR(Q238),MONTH(Q238),1)),""))</f>
        <v/>
      </c>
      <c r="Z238" s="304" t="str">
        <f t="shared" si="12"/>
        <v/>
      </c>
      <c r="AA238" s="48" t="str">
        <f t="shared" si="13"/>
        <v/>
      </c>
      <c r="AB238" s="48" t="str">
        <f t="shared" si="14"/>
        <v/>
      </c>
      <c r="AC238" s="292" t="str">
        <f t="shared" si="15"/>
        <v/>
      </c>
      <c r="AD238" s="48" t="str">
        <f>IF(Table3[[#This Row],[Actual Arrival date]]&gt;0,IF(Table3[[#This Row],[Expected arrival date]]&gt;0,Table3[[#This Row],[Actual Arrival date]]-Table3[[#This Row],[Expected arrival date]],""),"")</f>
        <v/>
      </c>
    </row>
    <row r="239" spans="1:30" x14ac:dyDescent="0.25">
      <c r="A239" s="303" t="str">
        <f>Start!$D$7</f>
        <v>Anyland</v>
      </c>
      <c r="B239" s="48" t="str">
        <f>_xlfn.IFNA(VLOOKUP(A239,list!B:C,2,FALSE),"")</f>
        <v>ANY</v>
      </c>
      <c r="C239" s="48"/>
      <c r="D239" s="127"/>
      <c r="E239" s="48" t="str">
        <f>_xlfn.IFNA(VLOOKUP(Table3[[#This Row],[Product]], ProductListTbl[], 3, 0), "")</f>
        <v/>
      </c>
      <c r="F239" s="303" t="str">
        <f>_xlfn.IFNA(VLOOKUP(D239,ProductListTbl[],5,0),"")</f>
        <v/>
      </c>
      <c r="G239" s="303" t="str">
        <f>_xlfn.IFNA(VLOOKUP(D239,ProductListTbl[],6,0),"")</f>
        <v/>
      </c>
      <c r="H239" s="130" t="str">
        <f>_xlfn.IFNA(VLOOKUP(D239,ProductListTbl[],7,0),"")</f>
        <v/>
      </c>
      <c r="I239" s="130" t="str">
        <f>_xlfn.IFNA(VLOOKUP(D239,ProductListTbl[],8,0),"")</f>
        <v/>
      </c>
      <c r="J239" s="127"/>
      <c r="K239" s="129"/>
      <c r="L239" s="128"/>
      <c r="M239" s="305" t="str">
        <f>IFERROR(Table3[[#This Row],[Quantity (doses)]]/Table3[[#This Row],[Doses per vial or syringe]],"")</f>
        <v/>
      </c>
      <c r="N239" s="127"/>
      <c r="O239" s="127"/>
      <c r="P239" s="381"/>
      <c r="Q239" s="129"/>
      <c r="R239" s="127"/>
      <c r="S239" s="127"/>
      <c r="T239" s="127"/>
      <c r="U239" s="127"/>
      <c r="V239" s="305" t="str">
        <f>_xlfn.IFNA(VLOOKUP(D239,ProductListTbl[],9,0),"")</f>
        <v/>
      </c>
      <c r="W239" s="305" t="str">
        <f>IFERROR(Table3[[#This Row],[Storage space per secondary packaging (cm3)]]*Table3[[#This Row],[Quantity  (vials or syringes)]]/1000,"")</f>
        <v/>
      </c>
      <c r="X239" s="305" t="str">
        <f>IFERROR(Table3[[#This Row],[Storage space per tertiary packaging (cm3)]]*Table3[[#This Row],[Quantity (doses)]]/1000,"")</f>
        <v/>
      </c>
      <c r="Y239" s="293" t="str">
        <f>IF(Table3[[#This Row],[Status]]="Ordered",(DATE(YEAR(P239),MONTH(P239),1)),IF(Table3[[#This Row],[Status]]="Received",(DATE(YEAR(Q239),MONTH(Q239),1)),""))</f>
        <v/>
      </c>
      <c r="Z239" s="304" t="str">
        <f t="shared" si="12"/>
        <v/>
      </c>
      <c r="AA239" s="48" t="str">
        <f t="shared" si="13"/>
        <v/>
      </c>
      <c r="AB239" s="48" t="str">
        <f t="shared" si="14"/>
        <v/>
      </c>
      <c r="AC239" s="292" t="str">
        <f t="shared" si="15"/>
        <v/>
      </c>
      <c r="AD239" s="48" t="str">
        <f>IF(Table3[[#This Row],[Actual Arrival date]]&gt;0,IF(Table3[[#This Row],[Expected arrival date]]&gt;0,Table3[[#This Row],[Actual Arrival date]]-Table3[[#This Row],[Expected arrival date]],""),"")</f>
        <v/>
      </c>
    </row>
    <row r="240" spans="1:30" x14ac:dyDescent="0.25">
      <c r="A240" s="303" t="str">
        <f>Start!$D$7</f>
        <v>Anyland</v>
      </c>
      <c r="B240" s="48" t="str">
        <f>_xlfn.IFNA(VLOOKUP(A240,list!B:C,2,FALSE),"")</f>
        <v>ANY</v>
      </c>
      <c r="C240" s="48"/>
      <c r="D240" s="127"/>
      <c r="E240" s="48" t="str">
        <f>_xlfn.IFNA(VLOOKUP(Table3[[#This Row],[Product]], ProductListTbl[], 3, 0), "")</f>
        <v/>
      </c>
      <c r="F240" s="303" t="str">
        <f>_xlfn.IFNA(VLOOKUP(D240,ProductListTbl[],5,0),"")</f>
        <v/>
      </c>
      <c r="G240" s="303" t="str">
        <f>_xlfn.IFNA(VLOOKUP(D240,ProductListTbl[],6,0),"")</f>
        <v/>
      </c>
      <c r="H240" s="130" t="str">
        <f>_xlfn.IFNA(VLOOKUP(D240,ProductListTbl[],7,0),"")</f>
        <v/>
      </c>
      <c r="I240" s="130" t="str">
        <f>_xlfn.IFNA(VLOOKUP(D240,ProductListTbl[],8,0),"")</f>
        <v/>
      </c>
      <c r="J240" s="127"/>
      <c r="K240" s="129"/>
      <c r="L240" s="128"/>
      <c r="M240" s="305" t="str">
        <f>IFERROR(Table3[[#This Row],[Quantity (doses)]]/Table3[[#This Row],[Doses per vial or syringe]],"")</f>
        <v/>
      </c>
      <c r="N240" s="127"/>
      <c r="O240" s="127"/>
      <c r="P240" s="381"/>
      <c r="Q240" s="129"/>
      <c r="R240" s="127"/>
      <c r="S240" s="127"/>
      <c r="T240" s="127"/>
      <c r="U240" s="127"/>
      <c r="V240" s="305" t="str">
        <f>_xlfn.IFNA(VLOOKUP(D240,ProductListTbl[],9,0),"")</f>
        <v/>
      </c>
      <c r="W240" s="305" t="str">
        <f>IFERROR(Table3[[#This Row],[Storage space per secondary packaging (cm3)]]*Table3[[#This Row],[Quantity  (vials or syringes)]]/1000,"")</f>
        <v/>
      </c>
      <c r="X240" s="305" t="str">
        <f>IFERROR(Table3[[#This Row],[Storage space per tertiary packaging (cm3)]]*Table3[[#This Row],[Quantity (doses)]]/1000,"")</f>
        <v/>
      </c>
      <c r="Y240" s="293" t="str">
        <f>IF(Table3[[#This Row],[Status]]="Ordered",(DATE(YEAR(P240),MONTH(P240),1)),IF(Table3[[#This Row],[Status]]="Received",(DATE(YEAR(Q240),MONTH(Q240),1)),""))</f>
        <v/>
      </c>
      <c r="Z240" s="304" t="str">
        <f t="shared" si="12"/>
        <v/>
      </c>
      <c r="AA240" s="48" t="str">
        <f t="shared" si="13"/>
        <v/>
      </c>
      <c r="AB240" s="48" t="str">
        <f t="shared" si="14"/>
        <v/>
      </c>
      <c r="AC240" s="292" t="str">
        <f t="shared" si="15"/>
        <v/>
      </c>
      <c r="AD240" s="48" t="str">
        <f>IF(Table3[[#This Row],[Actual Arrival date]]&gt;0,IF(Table3[[#This Row],[Expected arrival date]]&gt;0,Table3[[#This Row],[Actual Arrival date]]-Table3[[#This Row],[Expected arrival date]],""),"")</f>
        <v/>
      </c>
    </row>
    <row r="241" spans="1:30" x14ac:dyDescent="0.25">
      <c r="A241" s="303" t="str">
        <f>Start!$D$7</f>
        <v>Anyland</v>
      </c>
      <c r="B241" s="48" t="str">
        <f>_xlfn.IFNA(VLOOKUP(A241,list!B:C,2,FALSE),"")</f>
        <v>ANY</v>
      </c>
      <c r="C241" s="48"/>
      <c r="D241" s="127"/>
      <c r="E241" s="48" t="str">
        <f>_xlfn.IFNA(VLOOKUP(Table3[[#This Row],[Product]], ProductListTbl[], 3, 0), "")</f>
        <v/>
      </c>
      <c r="F241" s="303" t="str">
        <f>_xlfn.IFNA(VLOOKUP(D241,ProductListTbl[],5,0),"")</f>
        <v/>
      </c>
      <c r="G241" s="303" t="str">
        <f>_xlfn.IFNA(VLOOKUP(D241,ProductListTbl[],6,0),"")</f>
        <v/>
      </c>
      <c r="H241" s="130" t="str">
        <f>_xlfn.IFNA(VLOOKUP(D241,ProductListTbl[],7,0),"")</f>
        <v/>
      </c>
      <c r="I241" s="130" t="str">
        <f>_xlfn.IFNA(VLOOKUP(D241,ProductListTbl[],8,0),"")</f>
        <v/>
      </c>
      <c r="J241" s="127"/>
      <c r="K241" s="129"/>
      <c r="L241" s="128"/>
      <c r="M241" s="305" t="str">
        <f>IFERROR(Table3[[#This Row],[Quantity (doses)]]/Table3[[#This Row],[Doses per vial or syringe]],"")</f>
        <v/>
      </c>
      <c r="N241" s="127"/>
      <c r="O241" s="127"/>
      <c r="P241" s="381"/>
      <c r="Q241" s="129"/>
      <c r="R241" s="127"/>
      <c r="S241" s="127"/>
      <c r="T241" s="127"/>
      <c r="U241" s="127"/>
      <c r="V241" s="305" t="str">
        <f>_xlfn.IFNA(VLOOKUP(D241,ProductListTbl[],9,0),"")</f>
        <v/>
      </c>
      <c r="W241" s="305" t="str">
        <f>IFERROR(Table3[[#This Row],[Storage space per secondary packaging (cm3)]]*Table3[[#This Row],[Quantity  (vials or syringes)]]/1000,"")</f>
        <v/>
      </c>
      <c r="X241" s="305" t="str">
        <f>IFERROR(Table3[[#This Row],[Storage space per tertiary packaging (cm3)]]*Table3[[#This Row],[Quantity (doses)]]/1000,"")</f>
        <v/>
      </c>
      <c r="Y241" s="293" t="str">
        <f>IF(Table3[[#This Row],[Status]]="Ordered",(DATE(YEAR(P241),MONTH(P241),1)),IF(Table3[[#This Row],[Status]]="Received",(DATE(YEAR(Q241),MONTH(Q241),1)),""))</f>
        <v/>
      </c>
      <c r="Z241" s="304" t="str">
        <f t="shared" si="12"/>
        <v/>
      </c>
      <c r="AA241" s="48" t="str">
        <f t="shared" si="13"/>
        <v/>
      </c>
      <c r="AB241" s="48" t="str">
        <f t="shared" si="14"/>
        <v/>
      </c>
      <c r="AC241" s="292" t="str">
        <f t="shared" si="15"/>
        <v/>
      </c>
      <c r="AD241" s="48" t="str">
        <f>IF(Table3[[#This Row],[Actual Arrival date]]&gt;0,IF(Table3[[#This Row],[Expected arrival date]]&gt;0,Table3[[#This Row],[Actual Arrival date]]-Table3[[#This Row],[Expected arrival date]],""),"")</f>
        <v/>
      </c>
    </row>
    <row r="242" spans="1:30" x14ac:dyDescent="0.25">
      <c r="A242" s="303" t="str">
        <f>Start!$D$7</f>
        <v>Anyland</v>
      </c>
      <c r="B242" s="48" t="str">
        <f>_xlfn.IFNA(VLOOKUP(A242,list!B:C,2,FALSE),"")</f>
        <v>ANY</v>
      </c>
      <c r="C242" s="48"/>
      <c r="D242" s="127"/>
      <c r="E242" s="48" t="str">
        <f>_xlfn.IFNA(VLOOKUP(Table3[[#This Row],[Product]], ProductListTbl[], 3, 0), "")</f>
        <v/>
      </c>
      <c r="F242" s="303" t="str">
        <f>_xlfn.IFNA(VLOOKUP(D242,ProductListTbl[],5,0),"")</f>
        <v/>
      </c>
      <c r="G242" s="303" t="str">
        <f>_xlfn.IFNA(VLOOKUP(D242,ProductListTbl[],6,0),"")</f>
        <v/>
      </c>
      <c r="H242" s="130" t="str">
        <f>_xlfn.IFNA(VLOOKUP(D242,ProductListTbl[],7,0),"")</f>
        <v/>
      </c>
      <c r="I242" s="130" t="str">
        <f>_xlfn.IFNA(VLOOKUP(D242,ProductListTbl[],8,0),"")</f>
        <v/>
      </c>
      <c r="J242" s="127"/>
      <c r="K242" s="129"/>
      <c r="L242" s="128"/>
      <c r="M242" s="305" t="str">
        <f>IFERROR(Table3[[#This Row],[Quantity (doses)]]/Table3[[#This Row],[Doses per vial or syringe]],"")</f>
        <v/>
      </c>
      <c r="N242" s="127"/>
      <c r="O242" s="127"/>
      <c r="P242" s="381"/>
      <c r="Q242" s="129"/>
      <c r="R242" s="127"/>
      <c r="S242" s="127"/>
      <c r="T242" s="127"/>
      <c r="U242" s="127"/>
      <c r="V242" s="305" t="str">
        <f>_xlfn.IFNA(VLOOKUP(D242,ProductListTbl[],9,0),"")</f>
        <v/>
      </c>
      <c r="W242" s="305" t="str">
        <f>IFERROR(Table3[[#This Row],[Storage space per secondary packaging (cm3)]]*Table3[[#This Row],[Quantity  (vials or syringes)]]/1000,"")</f>
        <v/>
      </c>
      <c r="X242" s="305" t="str">
        <f>IFERROR(Table3[[#This Row],[Storage space per tertiary packaging (cm3)]]*Table3[[#This Row],[Quantity (doses)]]/1000,"")</f>
        <v/>
      </c>
      <c r="Y242" s="293" t="str">
        <f>IF(Table3[[#This Row],[Status]]="Ordered",(DATE(YEAR(P242),MONTH(P242),1)),IF(Table3[[#This Row],[Status]]="Received",(DATE(YEAR(Q242),MONTH(Q242),1)),""))</f>
        <v/>
      </c>
      <c r="Z242" s="304" t="str">
        <f t="shared" si="12"/>
        <v/>
      </c>
      <c r="AA242" s="48" t="str">
        <f t="shared" si="13"/>
        <v/>
      </c>
      <c r="AB242" s="48" t="str">
        <f t="shared" si="14"/>
        <v/>
      </c>
      <c r="AC242" s="292" t="str">
        <f t="shared" si="15"/>
        <v/>
      </c>
      <c r="AD242" s="48" t="str">
        <f>IF(Table3[[#This Row],[Actual Arrival date]]&gt;0,IF(Table3[[#This Row],[Expected arrival date]]&gt;0,Table3[[#This Row],[Actual Arrival date]]-Table3[[#This Row],[Expected arrival date]],""),"")</f>
        <v/>
      </c>
    </row>
    <row r="243" spans="1:30" x14ac:dyDescent="0.25">
      <c r="A243" s="303" t="str">
        <f>Start!$D$7</f>
        <v>Anyland</v>
      </c>
      <c r="B243" s="48" t="str">
        <f>_xlfn.IFNA(VLOOKUP(A243,list!B:C,2,FALSE),"")</f>
        <v>ANY</v>
      </c>
      <c r="C243" s="48"/>
      <c r="D243" s="127"/>
      <c r="E243" s="48" t="str">
        <f>_xlfn.IFNA(VLOOKUP(Table3[[#This Row],[Product]], ProductListTbl[], 3, 0), "")</f>
        <v/>
      </c>
      <c r="F243" s="303" t="str">
        <f>_xlfn.IFNA(VLOOKUP(D243,ProductListTbl[],5,0),"")</f>
        <v/>
      </c>
      <c r="G243" s="303" t="str">
        <f>_xlfn.IFNA(VLOOKUP(D243,ProductListTbl[],6,0),"")</f>
        <v/>
      </c>
      <c r="H243" s="130" t="str">
        <f>_xlfn.IFNA(VLOOKUP(D243,ProductListTbl[],7,0),"")</f>
        <v/>
      </c>
      <c r="I243" s="130" t="str">
        <f>_xlfn.IFNA(VLOOKUP(D243,ProductListTbl[],8,0),"")</f>
        <v/>
      </c>
      <c r="J243" s="127"/>
      <c r="K243" s="129"/>
      <c r="L243" s="128"/>
      <c r="M243" s="305" t="str">
        <f>IFERROR(Table3[[#This Row],[Quantity (doses)]]/Table3[[#This Row],[Doses per vial or syringe]],"")</f>
        <v/>
      </c>
      <c r="N243" s="127"/>
      <c r="O243" s="127"/>
      <c r="P243" s="381"/>
      <c r="Q243" s="129"/>
      <c r="R243" s="127"/>
      <c r="S243" s="127"/>
      <c r="T243" s="127"/>
      <c r="U243" s="127"/>
      <c r="V243" s="305" t="str">
        <f>_xlfn.IFNA(VLOOKUP(D243,ProductListTbl[],9,0),"")</f>
        <v/>
      </c>
      <c r="W243" s="305" t="str">
        <f>IFERROR(Table3[[#This Row],[Storage space per secondary packaging (cm3)]]*Table3[[#This Row],[Quantity  (vials or syringes)]]/1000,"")</f>
        <v/>
      </c>
      <c r="X243" s="305" t="str">
        <f>IFERROR(Table3[[#This Row],[Storage space per tertiary packaging (cm3)]]*Table3[[#This Row],[Quantity (doses)]]/1000,"")</f>
        <v/>
      </c>
      <c r="Y243" s="293" t="str">
        <f>IF(Table3[[#This Row],[Status]]="Ordered",(DATE(YEAR(P243),MONTH(P243),1)),IF(Table3[[#This Row],[Status]]="Received",(DATE(YEAR(Q243),MONTH(Q243),1)),""))</f>
        <v/>
      </c>
      <c r="Z243" s="304" t="str">
        <f t="shared" si="12"/>
        <v/>
      </c>
      <c r="AA243" s="48" t="str">
        <f t="shared" si="13"/>
        <v/>
      </c>
      <c r="AB243" s="48" t="str">
        <f t="shared" si="14"/>
        <v/>
      </c>
      <c r="AC243" s="292" t="str">
        <f t="shared" si="15"/>
        <v/>
      </c>
      <c r="AD243" s="48" t="str">
        <f>IF(Table3[[#This Row],[Actual Arrival date]]&gt;0,IF(Table3[[#This Row],[Expected arrival date]]&gt;0,Table3[[#This Row],[Actual Arrival date]]-Table3[[#This Row],[Expected arrival date]],""),"")</f>
        <v/>
      </c>
    </row>
    <row r="244" spans="1:30" x14ac:dyDescent="0.25">
      <c r="A244" s="303" t="str">
        <f>Start!$D$7</f>
        <v>Anyland</v>
      </c>
      <c r="B244" s="48" t="str">
        <f>_xlfn.IFNA(VLOOKUP(A244,list!B:C,2,FALSE),"")</f>
        <v>ANY</v>
      </c>
      <c r="C244" s="48"/>
      <c r="D244" s="127"/>
      <c r="E244" s="48" t="str">
        <f>_xlfn.IFNA(VLOOKUP(Table3[[#This Row],[Product]], ProductListTbl[], 3, 0), "")</f>
        <v/>
      </c>
      <c r="F244" s="303" t="str">
        <f>_xlfn.IFNA(VLOOKUP(D244,ProductListTbl[],5,0),"")</f>
        <v/>
      </c>
      <c r="G244" s="303" t="str">
        <f>_xlfn.IFNA(VLOOKUP(D244,ProductListTbl[],6,0),"")</f>
        <v/>
      </c>
      <c r="H244" s="130" t="str">
        <f>_xlfn.IFNA(VLOOKUP(D244,ProductListTbl[],7,0),"")</f>
        <v/>
      </c>
      <c r="I244" s="130" t="str">
        <f>_xlfn.IFNA(VLOOKUP(D244,ProductListTbl[],8,0),"")</f>
        <v/>
      </c>
      <c r="J244" s="127"/>
      <c r="K244" s="129"/>
      <c r="L244" s="128"/>
      <c r="M244" s="305" t="str">
        <f>IFERROR(Table3[[#This Row],[Quantity (doses)]]/Table3[[#This Row],[Doses per vial or syringe]],"")</f>
        <v/>
      </c>
      <c r="N244" s="127"/>
      <c r="O244" s="127"/>
      <c r="P244" s="381"/>
      <c r="Q244" s="129"/>
      <c r="R244" s="127"/>
      <c r="S244" s="127"/>
      <c r="T244" s="127"/>
      <c r="U244" s="127"/>
      <c r="V244" s="305" t="str">
        <f>_xlfn.IFNA(VLOOKUP(D244,ProductListTbl[],9,0),"")</f>
        <v/>
      </c>
      <c r="W244" s="305" t="str">
        <f>IFERROR(Table3[[#This Row],[Storage space per secondary packaging (cm3)]]*Table3[[#This Row],[Quantity  (vials or syringes)]]/1000,"")</f>
        <v/>
      </c>
      <c r="X244" s="305" t="str">
        <f>IFERROR(Table3[[#This Row],[Storage space per tertiary packaging (cm3)]]*Table3[[#This Row],[Quantity (doses)]]/1000,"")</f>
        <v/>
      </c>
      <c r="Y244" s="293" t="str">
        <f>IF(Table3[[#This Row],[Status]]="Ordered",(DATE(YEAR(P244),MONTH(P244),1)),IF(Table3[[#This Row],[Status]]="Received",(DATE(YEAR(Q244),MONTH(Q244),1)),""))</f>
        <v/>
      </c>
      <c r="Z244" s="304" t="str">
        <f t="shared" si="12"/>
        <v/>
      </c>
      <c r="AA244" s="48" t="str">
        <f t="shared" si="13"/>
        <v/>
      </c>
      <c r="AB244" s="48" t="str">
        <f t="shared" si="14"/>
        <v/>
      </c>
      <c r="AC244" s="292" t="str">
        <f t="shared" si="15"/>
        <v/>
      </c>
      <c r="AD244" s="48" t="str">
        <f>IF(Table3[[#This Row],[Actual Arrival date]]&gt;0,IF(Table3[[#This Row],[Expected arrival date]]&gt;0,Table3[[#This Row],[Actual Arrival date]]-Table3[[#This Row],[Expected arrival date]],""),"")</f>
        <v/>
      </c>
    </row>
    <row r="245" spans="1:30" x14ac:dyDescent="0.25">
      <c r="A245" s="303" t="str">
        <f>Start!$D$7</f>
        <v>Anyland</v>
      </c>
      <c r="B245" s="48" t="str">
        <f>_xlfn.IFNA(VLOOKUP(A245,list!B:C,2,FALSE),"")</f>
        <v>ANY</v>
      </c>
      <c r="C245" s="48"/>
      <c r="D245" s="127"/>
      <c r="E245" s="48" t="str">
        <f>_xlfn.IFNA(VLOOKUP(Table3[[#This Row],[Product]], ProductListTbl[], 3, 0), "")</f>
        <v/>
      </c>
      <c r="F245" s="303" t="str">
        <f>_xlfn.IFNA(VLOOKUP(D245,ProductListTbl[],5,0),"")</f>
        <v/>
      </c>
      <c r="G245" s="303" t="str">
        <f>_xlfn.IFNA(VLOOKUP(D245,ProductListTbl[],6,0),"")</f>
        <v/>
      </c>
      <c r="H245" s="130" t="str">
        <f>_xlfn.IFNA(VLOOKUP(D245,ProductListTbl[],7,0),"")</f>
        <v/>
      </c>
      <c r="I245" s="130" t="str">
        <f>_xlfn.IFNA(VLOOKUP(D245,ProductListTbl[],8,0),"")</f>
        <v/>
      </c>
      <c r="J245" s="127"/>
      <c r="K245" s="129"/>
      <c r="L245" s="128"/>
      <c r="M245" s="305" t="str">
        <f>IFERROR(Table3[[#This Row],[Quantity (doses)]]/Table3[[#This Row],[Doses per vial or syringe]],"")</f>
        <v/>
      </c>
      <c r="N245" s="127"/>
      <c r="O245" s="127"/>
      <c r="P245" s="381"/>
      <c r="Q245" s="129"/>
      <c r="R245" s="127"/>
      <c r="S245" s="127"/>
      <c r="T245" s="127"/>
      <c r="U245" s="127"/>
      <c r="V245" s="305" t="str">
        <f>_xlfn.IFNA(VLOOKUP(D245,ProductListTbl[],9,0),"")</f>
        <v/>
      </c>
      <c r="W245" s="305" t="str">
        <f>IFERROR(Table3[[#This Row],[Storage space per secondary packaging (cm3)]]*Table3[[#This Row],[Quantity  (vials or syringes)]]/1000,"")</f>
        <v/>
      </c>
      <c r="X245" s="305" t="str">
        <f>IFERROR(Table3[[#This Row],[Storage space per tertiary packaging (cm3)]]*Table3[[#This Row],[Quantity (doses)]]/1000,"")</f>
        <v/>
      </c>
      <c r="Y245" s="293" t="str">
        <f>IF(Table3[[#This Row],[Status]]="Ordered",(DATE(YEAR(P245),MONTH(P245),1)),IF(Table3[[#This Row],[Status]]="Received",(DATE(YEAR(Q245),MONTH(Q245),1)),""))</f>
        <v/>
      </c>
      <c r="Z245" s="304" t="str">
        <f t="shared" si="12"/>
        <v/>
      </c>
      <c r="AA245" s="48" t="str">
        <f t="shared" si="13"/>
        <v/>
      </c>
      <c r="AB245" s="48" t="str">
        <f t="shared" si="14"/>
        <v/>
      </c>
      <c r="AC245" s="292" t="str">
        <f t="shared" si="15"/>
        <v/>
      </c>
      <c r="AD245" s="48" t="str">
        <f>IF(Table3[[#This Row],[Actual Arrival date]]&gt;0,IF(Table3[[#This Row],[Expected arrival date]]&gt;0,Table3[[#This Row],[Actual Arrival date]]-Table3[[#This Row],[Expected arrival date]],""),"")</f>
        <v/>
      </c>
    </row>
    <row r="246" spans="1:30" x14ac:dyDescent="0.25">
      <c r="A246" s="303" t="str">
        <f>Start!$D$7</f>
        <v>Anyland</v>
      </c>
      <c r="B246" s="48" t="str">
        <f>_xlfn.IFNA(VLOOKUP(A246,list!B:C,2,FALSE),"")</f>
        <v>ANY</v>
      </c>
      <c r="C246" s="48"/>
      <c r="D246" s="127"/>
      <c r="E246" s="48" t="str">
        <f>_xlfn.IFNA(VLOOKUP(Table3[[#This Row],[Product]], ProductListTbl[], 3, 0), "")</f>
        <v/>
      </c>
      <c r="F246" s="303" t="str">
        <f>_xlfn.IFNA(VLOOKUP(D246,ProductListTbl[],5,0),"")</f>
        <v/>
      </c>
      <c r="G246" s="303" t="str">
        <f>_xlfn.IFNA(VLOOKUP(D246,ProductListTbl[],6,0),"")</f>
        <v/>
      </c>
      <c r="H246" s="130" t="str">
        <f>_xlfn.IFNA(VLOOKUP(D246,ProductListTbl[],7,0),"")</f>
        <v/>
      </c>
      <c r="I246" s="130" t="str">
        <f>_xlfn.IFNA(VLOOKUP(D246,ProductListTbl[],8,0),"")</f>
        <v/>
      </c>
      <c r="J246" s="127"/>
      <c r="K246" s="129"/>
      <c r="L246" s="128"/>
      <c r="M246" s="305" t="str">
        <f>IFERROR(Table3[[#This Row],[Quantity (doses)]]/Table3[[#This Row],[Doses per vial or syringe]],"")</f>
        <v/>
      </c>
      <c r="N246" s="127"/>
      <c r="O246" s="127"/>
      <c r="P246" s="381"/>
      <c r="Q246" s="129"/>
      <c r="R246" s="127"/>
      <c r="S246" s="127"/>
      <c r="T246" s="127"/>
      <c r="U246" s="127"/>
      <c r="V246" s="305" t="str">
        <f>_xlfn.IFNA(VLOOKUP(D246,ProductListTbl[],9,0),"")</f>
        <v/>
      </c>
      <c r="W246" s="305" t="str">
        <f>IFERROR(Table3[[#This Row],[Storage space per secondary packaging (cm3)]]*Table3[[#This Row],[Quantity  (vials or syringes)]]/1000,"")</f>
        <v/>
      </c>
      <c r="X246" s="305" t="str">
        <f>IFERROR(Table3[[#This Row],[Storage space per tertiary packaging (cm3)]]*Table3[[#This Row],[Quantity (doses)]]/1000,"")</f>
        <v/>
      </c>
      <c r="Y246" s="293" t="str">
        <f>IF(Table3[[#This Row],[Status]]="Ordered",(DATE(YEAR(P246),MONTH(P246),1)),IF(Table3[[#This Row],[Status]]="Received",(DATE(YEAR(Q246),MONTH(Q246),1)),""))</f>
        <v/>
      </c>
      <c r="Z246" s="304" t="str">
        <f t="shared" si="12"/>
        <v/>
      </c>
      <c r="AA246" s="48" t="str">
        <f t="shared" si="13"/>
        <v/>
      </c>
      <c r="AB246" s="48" t="str">
        <f t="shared" si="14"/>
        <v/>
      </c>
      <c r="AC246" s="292" t="str">
        <f t="shared" si="15"/>
        <v/>
      </c>
      <c r="AD246" s="48" t="str">
        <f>IF(Table3[[#This Row],[Actual Arrival date]]&gt;0,IF(Table3[[#This Row],[Expected arrival date]]&gt;0,Table3[[#This Row],[Actual Arrival date]]-Table3[[#This Row],[Expected arrival date]],""),"")</f>
        <v/>
      </c>
    </row>
    <row r="247" spans="1:30" x14ac:dyDescent="0.25">
      <c r="A247" s="303" t="str">
        <f>Start!$D$7</f>
        <v>Anyland</v>
      </c>
      <c r="B247" s="48" t="str">
        <f>_xlfn.IFNA(VLOOKUP(A247,list!B:C,2,FALSE),"")</f>
        <v>ANY</v>
      </c>
      <c r="C247" s="48"/>
      <c r="D247" s="127"/>
      <c r="E247" s="48" t="str">
        <f>_xlfn.IFNA(VLOOKUP(Table3[[#This Row],[Product]], ProductListTbl[], 3, 0), "")</f>
        <v/>
      </c>
      <c r="F247" s="303" t="str">
        <f>_xlfn.IFNA(VLOOKUP(D247,ProductListTbl[],5,0),"")</f>
        <v/>
      </c>
      <c r="G247" s="303" t="str">
        <f>_xlfn.IFNA(VLOOKUP(D247,ProductListTbl[],6,0),"")</f>
        <v/>
      </c>
      <c r="H247" s="130" t="str">
        <f>_xlfn.IFNA(VLOOKUP(D247,ProductListTbl[],7,0),"")</f>
        <v/>
      </c>
      <c r="I247" s="130" t="str">
        <f>_xlfn.IFNA(VLOOKUP(D247,ProductListTbl[],8,0),"")</f>
        <v/>
      </c>
      <c r="J247" s="127"/>
      <c r="K247" s="129"/>
      <c r="L247" s="128"/>
      <c r="M247" s="305" t="str">
        <f>IFERROR(Table3[[#This Row],[Quantity (doses)]]/Table3[[#This Row],[Doses per vial or syringe]],"")</f>
        <v/>
      </c>
      <c r="N247" s="127"/>
      <c r="O247" s="127"/>
      <c r="P247" s="381"/>
      <c r="Q247" s="129"/>
      <c r="R247" s="127"/>
      <c r="S247" s="127"/>
      <c r="T247" s="127"/>
      <c r="U247" s="127"/>
      <c r="V247" s="305" t="str">
        <f>_xlfn.IFNA(VLOOKUP(D247,ProductListTbl[],9,0),"")</f>
        <v/>
      </c>
      <c r="W247" s="305" t="str">
        <f>IFERROR(Table3[[#This Row],[Storage space per secondary packaging (cm3)]]*Table3[[#This Row],[Quantity  (vials or syringes)]]/1000,"")</f>
        <v/>
      </c>
      <c r="X247" s="305" t="str">
        <f>IFERROR(Table3[[#This Row],[Storage space per tertiary packaging (cm3)]]*Table3[[#This Row],[Quantity (doses)]]/1000,"")</f>
        <v/>
      </c>
      <c r="Y247" s="293" t="str">
        <f>IF(Table3[[#This Row],[Status]]="Ordered",(DATE(YEAR(P247),MONTH(P247),1)),IF(Table3[[#This Row],[Status]]="Received",(DATE(YEAR(Q247),MONTH(Q247),1)),""))</f>
        <v/>
      </c>
      <c r="Z247" s="304" t="str">
        <f t="shared" si="12"/>
        <v/>
      </c>
      <c r="AA247" s="48" t="str">
        <f t="shared" si="13"/>
        <v/>
      </c>
      <c r="AB247" s="48" t="str">
        <f t="shared" si="14"/>
        <v/>
      </c>
      <c r="AC247" s="292" t="str">
        <f t="shared" si="15"/>
        <v/>
      </c>
      <c r="AD247" s="48" t="str">
        <f>IF(Table3[[#This Row],[Actual Arrival date]]&gt;0,IF(Table3[[#This Row],[Expected arrival date]]&gt;0,Table3[[#This Row],[Actual Arrival date]]-Table3[[#This Row],[Expected arrival date]],""),"")</f>
        <v/>
      </c>
    </row>
    <row r="248" spans="1:30" x14ac:dyDescent="0.25">
      <c r="A248" s="303" t="str">
        <f>Start!$D$7</f>
        <v>Anyland</v>
      </c>
      <c r="B248" s="48" t="str">
        <f>_xlfn.IFNA(VLOOKUP(A248,list!B:C,2,FALSE),"")</f>
        <v>ANY</v>
      </c>
      <c r="C248" s="48"/>
      <c r="D248" s="127"/>
      <c r="E248" s="48" t="str">
        <f>_xlfn.IFNA(VLOOKUP(Table3[[#This Row],[Product]], ProductListTbl[], 3, 0), "")</f>
        <v/>
      </c>
      <c r="F248" s="303" t="str">
        <f>_xlfn.IFNA(VLOOKUP(D248,ProductListTbl[],5,0),"")</f>
        <v/>
      </c>
      <c r="G248" s="303" t="str">
        <f>_xlfn.IFNA(VLOOKUP(D248,ProductListTbl[],6,0),"")</f>
        <v/>
      </c>
      <c r="H248" s="130" t="str">
        <f>_xlfn.IFNA(VLOOKUP(D248,ProductListTbl[],7,0),"")</f>
        <v/>
      </c>
      <c r="I248" s="130" t="str">
        <f>_xlfn.IFNA(VLOOKUP(D248,ProductListTbl[],8,0),"")</f>
        <v/>
      </c>
      <c r="J248" s="127"/>
      <c r="K248" s="129"/>
      <c r="L248" s="128"/>
      <c r="M248" s="305" t="str">
        <f>IFERROR(Table3[[#This Row],[Quantity (doses)]]/Table3[[#This Row],[Doses per vial or syringe]],"")</f>
        <v/>
      </c>
      <c r="N248" s="127"/>
      <c r="O248" s="127"/>
      <c r="P248" s="381"/>
      <c r="Q248" s="129"/>
      <c r="R248" s="127"/>
      <c r="S248" s="127"/>
      <c r="T248" s="127"/>
      <c r="U248" s="127"/>
      <c r="V248" s="305" t="str">
        <f>_xlfn.IFNA(VLOOKUP(D248,ProductListTbl[],9,0),"")</f>
        <v/>
      </c>
      <c r="W248" s="305" t="str">
        <f>IFERROR(Table3[[#This Row],[Storage space per secondary packaging (cm3)]]*Table3[[#This Row],[Quantity  (vials or syringes)]]/1000,"")</f>
        <v/>
      </c>
      <c r="X248" s="305" t="str">
        <f>IFERROR(Table3[[#This Row],[Storage space per tertiary packaging (cm3)]]*Table3[[#This Row],[Quantity (doses)]]/1000,"")</f>
        <v/>
      </c>
      <c r="Y248" s="293" t="str">
        <f>IF(Table3[[#This Row],[Status]]="Ordered",(DATE(YEAR(P248),MONTH(P248),1)),IF(Table3[[#This Row],[Status]]="Received",(DATE(YEAR(Q248),MONTH(Q248),1)),""))</f>
        <v/>
      </c>
      <c r="Z248" s="304" t="str">
        <f t="shared" si="12"/>
        <v/>
      </c>
      <c r="AA248" s="48" t="str">
        <f t="shared" si="13"/>
        <v/>
      </c>
      <c r="AB248" s="48" t="str">
        <f t="shared" si="14"/>
        <v/>
      </c>
      <c r="AC248" s="292" t="str">
        <f t="shared" si="15"/>
        <v/>
      </c>
      <c r="AD248" s="48" t="str">
        <f>IF(Table3[[#This Row],[Actual Arrival date]]&gt;0,IF(Table3[[#This Row],[Expected arrival date]]&gt;0,Table3[[#This Row],[Actual Arrival date]]-Table3[[#This Row],[Expected arrival date]],""),"")</f>
        <v/>
      </c>
    </row>
    <row r="249" spans="1:30" x14ac:dyDescent="0.25">
      <c r="A249" s="303" t="str">
        <f>Start!$D$7</f>
        <v>Anyland</v>
      </c>
      <c r="B249" s="48" t="str">
        <f>_xlfn.IFNA(VLOOKUP(A249,list!B:C,2,FALSE),"")</f>
        <v>ANY</v>
      </c>
      <c r="C249" s="48"/>
      <c r="D249" s="127"/>
      <c r="E249" s="48" t="str">
        <f>_xlfn.IFNA(VLOOKUP(Table3[[#This Row],[Product]], ProductListTbl[], 3, 0), "")</f>
        <v/>
      </c>
      <c r="F249" s="303" t="str">
        <f>_xlfn.IFNA(VLOOKUP(D249,ProductListTbl[],5,0),"")</f>
        <v/>
      </c>
      <c r="G249" s="303" t="str">
        <f>_xlfn.IFNA(VLOOKUP(D249,ProductListTbl[],6,0),"")</f>
        <v/>
      </c>
      <c r="H249" s="130" t="str">
        <f>_xlfn.IFNA(VLOOKUP(D249,ProductListTbl[],7,0),"")</f>
        <v/>
      </c>
      <c r="I249" s="130" t="str">
        <f>_xlfn.IFNA(VLOOKUP(D249,ProductListTbl[],8,0),"")</f>
        <v/>
      </c>
      <c r="J249" s="127"/>
      <c r="K249" s="129"/>
      <c r="L249" s="128"/>
      <c r="M249" s="305" t="str">
        <f>IFERROR(Table3[[#This Row],[Quantity (doses)]]/Table3[[#This Row],[Doses per vial or syringe]],"")</f>
        <v/>
      </c>
      <c r="N249" s="127"/>
      <c r="O249" s="127"/>
      <c r="P249" s="381"/>
      <c r="Q249" s="129"/>
      <c r="R249" s="127"/>
      <c r="S249" s="127"/>
      <c r="T249" s="127"/>
      <c r="U249" s="127"/>
      <c r="V249" s="305" t="str">
        <f>_xlfn.IFNA(VLOOKUP(D249,ProductListTbl[],9,0),"")</f>
        <v/>
      </c>
      <c r="W249" s="305" t="str">
        <f>IFERROR(Table3[[#This Row],[Storage space per secondary packaging (cm3)]]*Table3[[#This Row],[Quantity  (vials or syringes)]]/1000,"")</f>
        <v/>
      </c>
      <c r="X249" s="305" t="str">
        <f>IFERROR(Table3[[#This Row],[Storage space per tertiary packaging (cm3)]]*Table3[[#This Row],[Quantity (doses)]]/1000,"")</f>
        <v/>
      </c>
      <c r="Y249" s="293" t="str">
        <f>IF(Table3[[#This Row],[Status]]="Ordered",(DATE(YEAR(P249),MONTH(P249),1)),IF(Table3[[#This Row],[Status]]="Received",(DATE(YEAR(Q249),MONTH(Q249),1)),""))</f>
        <v/>
      </c>
      <c r="Z249" s="304" t="str">
        <f t="shared" si="12"/>
        <v/>
      </c>
      <c r="AA249" s="48" t="str">
        <f t="shared" si="13"/>
        <v/>
      </c>
      <c r="AB249" s="48" t="str">
        <f t="shared" si="14"/>
        <v/>
      </c>
      <c r="AC249" s="292" t="str">
        <f t="shared" si="15"/>
        <v/>
      </c>
      <c r="AD249" s="48" t="str">
        <f>IF(Table3[[#This Row],[Actual Arrival date]]&gt;0,IF(Table3[[#This Row],[Expected arrival date]]&gt;0,Table3[[#This Row],[Actual Arrival date]]-Table3[[#This Row],[Expected arrival date]],""),"")</f>
        <v/>
      </c>
    </row>
    <row r="250" spans="1:30" x14ac:dyDescent="0.25">
      <c r="A250" s="303" t="str">
        <f>Start!$D$7</f>
        <v>Anyland</v>
      </c>
      <c r="B250" s="48" t="str">
        <f>_xlfn.IFNA(VLOOKUP(A250,list!B:C,2,FALSE),"")</f>
        <v>ANY</v>
      </c>
      <c r="C250" s="48"/>
      <c r="D250" s="127"/>
      <c r="E250" s="48" t="str">
        <f>_xlfn.IFNA(VLOOKUP(Table3[[#This Row],[Product]], ProductListTbl[], 3, 0), "")</f>
        <v/>
      </c>
      <c r="F250" s="303" t="str">
        <f>_xlfn.IFNA(VLOOKUP(D250,ProductListTbl[],5,0),"")</f>
        <v/>
      </c>
      <c r="G250" s="303" t="str">
        <f>_xlfn.IFNA(VLOOKUP(D250,ProductListTbl[],6,0),"")</f>
        <v/>
      </c>
      <c r="H250" s="130" t="str">
        <f>_xlfn.IFNA(VLOOKUP(D250,ProductListTbl[],7,0),"")</f>
        <v/>
      </c>
      <c r="I250" s="130" t="str">
        <f>_xlfn.IFNA(VLOOKUP(D250,ProductListTbl[],8,0),"")</f>
        <v/>
      </c>
      <c r="J250" s="127"/>
      <c r="K250" s="129"/>
      <c r="L250" s="128"/>
      <c r="M250" s="305" t="str">
        <f>IFERROR(Table3[[#This Row],[Quantity (doses)]]/Table3[[#This Row],[Doses per vial or syringe]],"")</f>
        <v/>
      </c>
      <c r="N250" s="127"/>
      <c r="O250" s="127"/>
      <c r="P250" s="381"/>
      <c r="Q250" s="129"/>
      <c r="R250" s="127"/>
      <c r="S250" s="127"/>
      <c r="T250" s="127"/>
      <c r="U250" s="127"/>
      <c r="V250" s="305" t="str">
        <f>_xlfn.IFNA(VLOOKUP(D250,ProductListTbl[],9,0),"")</f>
        <v/>
      </c>
      <c r="W250" s="305" t="str">
        <f>IFERROR(Table3[[#This Row],[Storage space per secondary packaging (cm3)]]*Table3[[#This Row],[Quantity  (vials or syringes)]]/1000,"")</f>
        <v/>
      </c>
      <c r="X250" s="305" t="str">
        <f>IFERROR(Table3[[#This Row],[Storage space per tertiary packaging (cm3)]]*Table3[[#This Row],[Quantity (doses)]]/1000,"")</f>
        <v/>
      </c>
      <c r="Y250" s="293" t="str">
        <f>IF(Table3[[#This Row],[Status]]="Ordered",(DATE(YEAR(P250),MONTH(P250),1)),IF(Table3[[#This Row],[Status]]="Received",(DATE(YEAR(Q250),MONTH(Q250),1)),""))</f>
        <v/>
      </c>
      <c r="Z250" s="304" t="str">
        <f t="shared" si="12"/>
        <v/>
      </c>
      <c r="AA250" s="48" t="str">
        <f t="shared" si="13"/>
        <v/>
      </c>
      <c r="AB250" s="48" t="str">
        <f t="shared" si="14"/>
        <v/>
      </c>
      <c r="AC250" s="292" t="str">
        <f t="shared" si="15"/>
        <v/>
      </c>
      <c r="AD250" s="48" t="str">
        <f>IF(Table3[[#This Row],[Actual Arrival date]]&gt;0,IF(Table3[[#This Row],[Expected arrival date]]&gt;0,Table3[[#This Row],[Actual Arrival date]]-Table3[[#This Row],[Expected arrival date]],""),"")</f>
        <v/>
      </c>
    </row>
    <row r="251" spans="1:30" x14ac:dyDescent="0.25">
      <c r="A251" s="303" t="str">
        <f>Start!$D$7</f>
        <v>Anyland</v>
      </c>
      <c r="B251" s="48" t="str">
        <f>_xlfn.IFNA(VLOOKUP(A251,list!B:C,2,FALSE),"")</f>
        <v>ANY</v>
      </c>
      <c r="C251" s="48"/>
      <c r="D251" s="127"/>
      <c r="E251" s="48" t="str">
        <f>_xlfn.IFNA(VLOOKUP(Table3[[#This Row],[Product]], ProductListTbl[], 3, 0), "")</f>
        <v/>
      </c>
      <c r="F251" s="303" t="str">
        <f>_xlfn.IFNA(VLOOKUP(D251,ProductListTbl[],5,0),"")</f>
        <v/>
      </c>
      <c r="G251" s="303" t="str">
        <f>_xlfn.IFNA(VLOOKUP(D251,ProductListTbl[],6,0),"")</f>
        <v/>
      </c>
      <c r="H251" s="130" t="str">
        <f>_xlfn.IFNA(VLOOKUP(D251,ProductListTbl[],7,0),"")</f>
        <v/>
      </c>
      <c r="I251" s="130" t="str">
        <f>_xlfn.IFNA(VLOOKUP(D251,ProductListTbl[],8,0),"")</f>
        <v/>
      </c>
      <c r="J251" s="127"/>
      <c r="K251" s="129"/>
      <c r="L251" s="128"/>
      <c r="M251" s="305" t="str">
        <f>IFERROR(Table3[[#This Row],[Quantity (doses)]]/Table3[[#This Row],[Doses per vial or syringe]],"")</f>
        <v/>
      </c>
      <c r="N251" s="127"/>
      <c r="O251" s="127"/>
      <c r="P251" s="381"/>
      <c r="Q251" s="129"/>
      <c r="R251" s="127"/>
      <c r="S251" s="127"/>
      <c r="T251" s="127"/>
      <c r="U251" s="127"/>
      <c r="V251" s="305" t="str">
        <f>_xlfn.IFNA(VLOOKUP(D251,ProductListTbl[],9,0),"")</f>
        <v/>
      </c>
      <c r="W251" s="305" t="str">
        <f>IFERROR(Table3[[#This Row],[Storage space per secondary packaging (cm3)]]*Table3[[#This Row],[Quantity  (vials or syringes)]]/1000,"")</f>
        <v/>
      </c>
      <c r="X251" s="305" t="str">
        <f>IFERROR(Table3[[#This Row],[Storage space per tertiary packaging (cm3)]]*Table3[[#This Row],[Quantity (doses)]]/1000,"")</f>
        <v/>
      </c>
      <c r="Y251" s="293" t="str">
        <f>IF(Table3[[#This Row],[Status]]="Ordered",(DATE(YEAR(P251),MONTH(P251),1)),IF(Table3[[#This Row],[Status]]="Received",(DATE(YEAR(Q251),MONTH(Q251),1)),""))</f>
        <v/>
      </c>
      <c r="Z251" s="304" t="str">
        <f t="shared" si="12"/>
        <v/>
      </c>
      <c r="AA251" s="48" t="str">
        <f t="shared" si="13"/>
        <v/>
      </c>
      <c r="AB251" s="48" t="str">
        <f t="shared" si="14"/>
        <v/>
      </c>
      <c r="AC251" s="292" t="str">
        <f t="shared" si="15"/>
        <v/>
      </c>
      <c r="AD251" s="48" t="str">
        <f>IF(Table3[[#This Row],[Actual Arrival date]]&gt;0,IF(Table3[[#This Row],[Expected arrival date]]&gt;0,Table3[[#This Row],[Actual Arrival date]]-Table3[[#This Row],[Expected arrival date]],""),"")</f>
        <v/>
      </c>
    </row>
    <row r="252" spans="1:30" x14ac:dyDescent="0.25">
      <c r="A252" s="303" t="str">
        <f>Start!$D$7</f>
        <v>Anyland</v>
      </c>
      <c r="B252" s="48" t="str">
        <f>_xlfn.IFNA(VLOOKUP(A252,list!B:C,2,FALSE),"")</f>
        <v>ANY</v>
      </c>
      <c r="C252" s="48"/>
      <c r="D252" s="127"/>
      <c r="E252" s="48" t="str">
        <f>_xlfn.IFNA(VLOOKUP(Table3[[#This Row],[Product]], ProductListTbl[], 3, 0), "")</f>
        <v/>
      </c>
      <c r="F252" s="303" t="str">
        <f>_xlfn.IFNA(VLOOKUP(D252,ProductListTbl[],5,0),"")</f>
        <v/>
      </c>
      <c r="G252" s="303" t="str">
        <f>_xlfn.IFNA(VLOOKUP(D252,ProductListTbl[],6,0),"")</f>
        <v/>
      </c>
      <c r="H252" s="130" t="str">
        <f>_xlfn.IFNA(VLOOKUP(D252,ProductListTbl[],7,0),"")</f>
        <v/>
      </c>
      <c r="I252" s="130" t="str">
        <f>_xlfn.IFNA(VLOOKUP(D252,ProductListTbl[],8,0),"")</f>
        <v/>
      </c>
      <c r="J252" s="127"/>
      <c r="K252" s="129"/>
      <c r="L252" s="128"/>
      <c r="M252" s="305" t="str">
        <f>IFERROR(Table3[[#This Row],[Quantity (doses)]]/Table3[[#This Row],[Doses per vial or syringe]],"")</f>
        <v/>
      </c>
      <c r="N252" s="127"/>
      <c r="O252" s="127"/>
      <c r="P252" s="381"/>
      <c r="Q252" s="129"/>
      <c r="R252" s="127"/>
      <c r="S252" s="127"/>
      <c r="T252" s="127"/>
      <c r="U252" s="127"/>
      <c r="V252" s="305" t="str">
        <f>_xlfn.IFNA(VLOOKUP(D252,ProductListTbl[],9,0),"")</f>
        <v/>
      </c>
      <c r="W252" s="305" t="str">
        <f>IFERROR(Table3[[#This Row],[Storage space per secondary packaging (cm3)]]*Table3[[#This Row],[Quantity  (vials or syringes)]]/1000,"")</f>
        <v/>
      </c>
      <c r="X252" s="305" t="str">
        <f>IFERROR(Table3[[#This Row],[Storage space per tertiary packaging (cm3)]]*Table3[[#This Row],[Quantity (doses)]]/1000,"")</f>
        <v/>
      </c>
      <c r="Y252" s="293" t="str">
        <f>IF(Table3[[#This Row],[Status]]="Ordered",(DATE(YEAR(P252),MONTH(P252),1)),IF(Table3[[#This Row],[Status]]="Received",(DATE(YEAR(Q252),MONTH(Q252),1)),""))</f>
        <v/>
      </c>
      <c r="Z252" s="304" t="str">
        <f t="shared" si="12"/>
        <v/>
      </c>
      <c r="AA252" s="48" t="str">
        <f t="shared" si="13"/>
        <v/>
      </c>
      <c r="AB252" s="48" t="str">
        <f t="shared" si="14"/>
        <v/>
      </c>
      <c r="AC252" s="292" t="str">
        <f t="shared" si="15"/>
        <v/>
      </c>
      <c r="AD252" s="48" t="str">
        <f>IF(Table3[[#This Row],[Actual Arrival date]]&gt;0,IF(Table3[[#This Row],[Expected arrival date]]&gt;0,Table3[[#This Row],[Actual Arrival date]]-Table3[[#This Row],[Expected arrival date]],""),"")</f>
        <v/>
      </c>
    </row>
    <row r="253" spans="1:30" x14ac:dyDescent="0.25">
      <c r="A253" s="303" t="str">
        <f>Start!$D$7</f>
        <v>Anyland</v>
      </c>
      <c r="B253" s="48" t="str">
        <f>_xlfn.IFNA(VLOOKUP(A253,list!B:C,2,FALSE),"")</f>
        <v>ANY</v>
      </c>
      <c r="C253" s="48"/>
      <c r="D253" s="127"/>
      <c r="E253" s="48" t="str">
        <f>_xlfn.IFNA(VLOOKUP(Table3[[#This Row],[Product]], ProductListTbl[], 3, 0), "")</f>
        <v/>
      </c>
      <c r="F253" s="303" t="str">
        <f>_xlfn.IFNA(VLOOKUP(D253,ProductListTbl[],5,0),"")</f>
        <v/>
      </c>
      <c r="G253" s="303" t="str">
        <f>_xlfn.IFNA(VLOOKUP(D253,ProductListTbl[],6,0),"")</f>
        <v/>
      </c>
      <c r="H253" s="130" t="str">
        <f>_xlfn.IFNA(VLOOKUP(D253,ProductListTbl[],7,0),"")</f>
        <v/>
      </c>
      <c r="I253" s="130" t="str">
        <f>_xlfn.IFNA(VLOOKUP(D253,ProductListTbl[],8,0),"")</f>
        <v/>
      </c>
      <c r="J253" s="127"/>
      <c r="K253" s="129"/>
      <c r="L253" s="128"/>
      <c r="M253" s="305" t="str">
        <f>IFERROR(Table3[[#This Row],[Quantity (doses)]]/Table3[[#This Row],[Doses per vial or syringe]],"")</f>
        <v/>
      </c>
      <c r="N253" s="127"/>
      <c r="O253" s="127"/>
      <c r="P253" s="381"/>
      <c r="Q253" s="129"/>
      <c r="R253" s="127"/>
      <c r="S253" s="127"/>
      <c r="T253" s="127"/>
      <c r="U253" s="127"/>
      <c r="V253" s="305" t="str">
        <f>_xlfn.IFNA(VLOOKUP(D253,ProductListTbl[],9,0),"")</f>
        <v/>
      </c>
      <c r="W253" s="305" t="str">
        <f>IFERROR(Table3[[#This Row],[Storage space per secondary packaging (cm3)]]*Table3[[#This Row],[Quantity  (vials or syringes)]]/1000,"")</f>
        <v/>
      </c>
      <c r="X253" s="305" t="str">
        <f>IFERROR(Table3[[#This Row],[Storage space per tertiary packaging (cm3)]]*Table3[[#This Row],[Quantity (doses)]]/1000,"")</f>
        <v/>
      </c>
      <c r="Y253" s="293" t="str">
        <f>IF(Table3[[#This Row],[Status]]="Ordered",(DATE(YEAR(P253),MONTH(P253),1)),IF(Table3[[#This Row],[Status]]="Received",(DATE(YEAR(Q253),MONTH(Q253),1)),""))</f>
        <v/>
      </c>
      <c r="Z253" s="304" t="str">
        <f t="shared" si="12"/>
        <v/>
      </c>
      <c r="AA253" s="48" t="str">
        <f t="shared" si="13"/>
        <v/>
      </c>
      <c r="AB253" s="48" t="str">
        <f t="shared" si="14"/>
        <v/>
      </c>
      <c r="AC253" s="292" t="str">
        <f t="shared" si="15"/>
        <v/>
      </c>
      <c r="AD253" s="48" t="str">
        <f>IF(Table3[[#This Row],[Actual Arrival date]]&gt;0,IF(Table3[[#This Row],[Expected arrival date]]&gt;0,Table3[[#This Row],[Actual Arrival date]]-Table3[[#This Row],[Expected arrival date]],""),"")</f>
        <v/>
      </c>
    </row>
    <row r="254" spans="1:30" x14ac:dyDescent="0.25">
      <c r="A254" s="303" t="str">
        <f>Start!$D$7</f>
        <v>Anyland</v>
      </c>
      <c r="B254" s="48" t="str">
        <f>_xlfn.IFNA(VLOOKUP(A254,list!B:C,2,FALSE),"")</f>
        <v>ANY</v>
      </c>
      <c r="C254" s="48"/>
      <c r="D254" s="127"/>
      <c r="E254" s="48" t="str">
        <f>_xlfn.IFNA(VLOOKUP(Table3[[#This Row],[Product]], ProductListTbl[], 3, 0), "")</f>
        <v/>
      </c>
      <c r="F254" s="303" t="str">
        <f>_xlfn.IFNA(VLOOKUP(D254,ProductListTbl[],5,0),"")</f>
        <v/>
      </c>
      <c r="G254" s="303" t="str">
        <f>_xlfn.IFNA(VLOOKUP(D254,ProductListTbl[],6,0),"")</f>
        <v/>
      </c>
      <c r="H254" s="130" t="str">
        <f>_xlfn.IFNA(VLOOKUP(D254,ProductListTbl[],7,0),"")</f>
        <v/>
      </c>
      <c r="I254" s="130" t="str">
        <f>_xlfn.IFNA(VLOOKUP(D254,ProductListTbl[],8,0),"")</f>
        <v/>
      </c>
      <c r="J254" s="127"/>
      <c r="K254" s="129"/>
      <c r="L254" s="128"/>
      <c r="M254" s="305" t="str">
        <f>IFERROR(Table3[[#This Row],[Quantity (doses)]]/Table3[[#This Row],[Doses per vial or syringe]],"")</f>
        <v/>
      </c>
      <c r="N254" s="127"/>
      <c r="O254" s="127"/>
      <c r="P254" s="381"/>
      <c r="Q254" s="129"/>
      <c r="R254" s="127"/>
      <c r="S254" s="127"/>
      <c r="T254" s="127"/>
      <c r="U254" s="127"/>
      <c r="V254" s="305" t="str">
        <f>_xlfn.IFNA(VLOOKUP(D254,ProductListTbl[],9,0),"")</f>
        <v/>
      </c>
      <c r="W254" s="305" t="str">
        <f>IFERROR(Table3[[#This Row],[Storage space per secondary packaging (cm3)]]*Table3[[#This Row],[Quantity  (vials or syringes)]]/1000,"")</f>
        <v/>
      </c>
      <c r="X254" s="305" t="str">
        <f>IFERROR(Table3[[#This Row],[Storage space per tertiary packaging (cm3)]]*Table3[[#This Row],[Quantity (doses)]]/1000,"")</f>
        <v/>
      </c>
      <c r="Y254" s="293" t="str">
        <f>IF(Table3[[#This Row],[Status]]="Ordered",(DATE(YEAR(P254),MONTH(P254),1)),IF(Table3[[#This Row],[Status]]="Received",(DATE(YEAR(Q254),MONTH(Q254),1)),""))</f>
        <v/>
      </c>
      <c r="Z254" s="304" t="str">
        <f t="shared" si="12"/>
        <v/>
      </c>
      <c r="AA254" s="48" t="str">
        <f t="shared" si="13"/>
        <v/>
      </c>
      <c r="AB254" s="48" t="str">
        <f t="shared" si="14"/>
        <v/>
      </c>
      <c r="AC254" s="292" t="str">
        <f t="shared" si="15"/>
        <v/>
      </c>
      <c r="AD254" s="48" t="str">
        <f>IF(Table3[[#This Row],[Actual Arrival date]]&gt;0,IF(Table3[[#This Row],[Expected arrival date]]&gt;0,Table3[[#This Row],[Actual Arrival date]]-Table3[[#This Row],[Expected arrival date]],""),"")</f>
        <v/>
      </c>
    </row>
    <row r="255" spans="1:30" x14ac:dyDescent="0.25">
      <c r="A255" s="303" t="str">
        <f>Start!$D$7</f>
        <v>Anyland</v>
      </c>
      <c r="B255" s="48" t="str">
        <f>_xlfn.IFNA(VLOOKUP(A255,list!B:C,2,FALSE),"")</f>
        <v>ANY</v>
      </c>
      <c r="C255" s="48"/>
      <c r="D255" s="127"/>
      <c r="E255" s="48" t="str">
        <f>_xlfn.IFNA(VLOOKUP(Table3[[#This Row],[Product]], ProductListTbl[], 3, 0), "")</f>
        <v/>
      </c>
      <c r="F255" s="303" t="str">
        <f>_xlfn.IFNA(VLOOKUP(D255,ProductListTbl[],5,0),"")</f>
        <v/>
      </c>
      <c r="G255" s="303" t="str">
        <f>_xlfn.IFNA(VLOOKUP(D255,ProductListTbl[],6,0),"")</f>
        <v/>
      </c>
      <c r="H255" s="130" t="str">
        <f>_xlfn.IFNA(VLOOKUP(D255,ProductListTbl[],7,0),"")</f>
        <v/>
      </c>
      <c r="I255" s="130" t="str">
        <f>_xlfn.IFNA(VLOOKUP(D255,ProductListTbl[],8,0),"")</f>
        <v/>
      </c>
      <c r="J255" s="127"/>
      <c r="K255" s="129"/>
      <c r="L255" s="128"/>
      <c r="M255" s="305" t="str">
        <f>IFERROR(Table3[[#This Row],[Quantity (doses)]]/Table3[[#This Row],[Doses per vial or syringe]],"")</f>
        <v/>
      </c>
      <c r="N255" s="127"/>
      <c r="O255" s="127"/>
      <c r="P255" s="381"/>
      <c r="Q255" s="129"/>
      <c r="R255" s="127"/>
      <c r="S255" s="127"/>
      <c r="T255" s="127"/>
      <c r="U255" s="127"/>
      <c r="V255" s="305" t="str">
        <f>_xlfn.IFNA(VLOOKUP(D255,ProductListTbl[],9,0),"")</f>
        <v/>
      </c>
      <c r="W255" s="305" t="str">
        <f>IFERROR(Table3[[#This Row],[Storage space per secondary packaging (cm3)]]*Table3[[#This Row],[Quantity  (vials or syringes)]]/1000,"")</f>
        <v/>
      </c>
      <c r="X255" s="305" t="str">
        <f>IFERROR(Table3[[#This Row],[Storage space per tertiary packaging (cm3)]]*Table3[[#This Row],[Quantity (doses)]]/1000,"")</f>
        <v/>
      </c>
      <c r="Y255" s="293" t="str">
        <f>IF(Table3[[#This Row],[Status]]="Ordered",(DATE(YEAR(P255),MONTH(P255),1)),IF(Table3[[#This Row],[Status]]="Received",(DATE(YEAR(Q255),MONTH(Q255),1)),""))</f>
        <v/>
      </c>
      <c r="Z255" s="304" t="str">
        <f t="shared" si="12"/>
        <v/>
      </c>
      <c r="AA255" s="48" t="str">
        <f t="shared" si="13"/>
        <v/>
      </c>
      <c r="AB255" s="48" t="str">
        <f t="shared" si="14"/>
        <v/>
      </c>
      <c r="AC255" s="292" t="str">
        <f t="shared" si="15"/>
        <v/>
      </c>
      <c r="AD255" s="48" t="str">
        <f>IF(Table3[[#This Row],[Actual Arrival date]]&gt;0,IF(Table3[[#This Row],[Expected arrival date]]&gt;0,Table3[[#This Row],[Actual Arrival date]]-Table3[[#This Row],[Expected arrival date]],""),"")</f>
        <v/>
      </c>
    </row>
    <row r="256" spans="1:30" x14ac:dyDescent="0.25">
      <c r="A256" s="303" t="str">
        <f>Start!$D$7</f>
        <v>Anyland</v>
      </c>
      <c r="B256" s="48" t="str">
        <f>_xlfn.IFNA(VLOOKUP(A256,list!B:C,2,FALSE),"")</f>
        <v>ANY</v>
      </c>
      <c r="C256" s="48"/>
      <c r="D256" s="127"/>
      <c r="E256" s="48" t="str">
        <f>_xlfn.IFNA(VLOOKUP(Table3[[#This Row],[Product]], ProductListTbl[], 3, 0), "")</f>
        <v/>
      </c>
      <c r="F256" s="303" t="str">
        <f>_xlfn.IFNA(VLOOKUP(D256,ProductListTbl[],5,0),"")</f>
        <v/>
      </c>
      <c r="G256" s="303" t="str">
        <f>_xlfn.IFNA(VLOOKUP(D256,ProductListTbl[],6,0),"")</f>
        <v/>
      </c>
      <c r="H256" s="130" t="str">
        <f>_xlfn.IFNA(VLOOKUP(D256,ProductListTbl[],7,0),"")</f>
        <v/>
      </c>
      <c r="I256" s="130" t="str">
        <f>_xlfn.IFNA(VLOOKUP(D256,ProductListTbl[],8,0),"")</f>
        <v/>
      </c>
      <c r="J256" s="127"/>
      <c r="K256" s="129"/>
      <c r="L256" s="128"/>
      <c r="M256" s="305" t="str">
        <f>IFERROR(Table3[[#This Row],[Quantity (doses)]]/Table3[[#This Row],[Doses per vial or syringe]],"")</f>
        <v/>
      </c>
      <c r="N256" s="127"/>
      <c r="O256" s="127"/>
      <c r="P256" s="381"/>
      <c r="Q256" s="129"/>
      <c r="R256" s="127"/>
      <c r="S256" s="127"/>
      <c r="T256" s="127"/>
      <c r="U256" s="127"/>
      <c r="V256" s="305" t="str">
        <f>_xlfn.IFNA(VLOOKUP(D256,ProductListTbl[],9,0),"")</f>
        <v/>
      </c>
      <c r="W256" s="305" t="str">
        <f>IFERROR(Table3[[#This Row],[Storage space per secondary packaging (cm3)]]*Table3[[#This Row],[Quantity  (vials or syringes)]]/1000,"")</f>
        <v/>
      </c>
      <c r="X256" s="305" t="str">
        <f>IFERROR(Table3[[#This Row],[Storage space per tertiary packaging (cm3)]]*Table3[[#This Row],[Quantity (doses)]]/1000,"")</f>
        <v/>
      </c>
      <c r="Y256" s="293" t="str">
        <f>IF(Table3[[#This Row],[Status]]="Ordered",(DATE(YEAR(P256),MONTH(P256),1)),IF(Table3[[#This Row],[Status]]="Received",(DATE(YEAR(Q256),MONTH(Q256),1)),""))</f>
        <v/>
      </c>
      <c r="Z256" s="304" t="str">
        <f t="shared" si="12"/>
        <v/>
      </c>
      <c r="AA256" s="48" t="str">
        <f t="shared" si="13"/>
        <v/>
      </c>
      <c r="AB256" s="48" t="str">
        <f t="shared" si="14"/>
        <v/>
      </c>
      <c r="AC256" s="292" t="str">
        <f t="shared" si="15"/>
        <v/>
      </c>
      <c r="AD256" s="48" t="str">
        <f>IF(Table3[[#This Row],[Actual Arrival date]]&gt;0,IF(Table3[[#This Row],[Expected arrival date]]&gt;0,Table3[[#This Row],[Actual Arrival date]]-Table3[[#This Row],[Expected arrival date]],""),"")</f>
        <v/>
      </c>
    </row>
    <row r="257" spans="1:30" x14ac:dyDescent="0.25">
      <c r="A257" s="303" t="str">
        <f>Start!$D$7</f>
        <v>Anyland</v>
      </c>
      <c r="B257" s="48" t="str">
        <f>_xlfn.IFNA(VLOOKUP(A257,list!B:C,2,FALSE),"")</f>
        <v>ANY</v>
      </c>
      <c r="C257" s="48"/>
      <c r="D257" s="127"/>
      <c r="E257" s="48" t="str">
        <f>_xlfn.IFNA(VLOOKUP(Table3[[#This Row],[Product]], ProductListTbl[], 3, 0), "")</f>
        <v/>
      </c>
      <c r="F257" s="303" t="str">
        <f>_xlfn.IFNA(VLOOKUP(D257,ProductListTbl[],5,0),"")</f>
        <v/>
      </c>
      <c r="G257" s="303" t="str">
        <f>_xlfn.IFNA(VLOOKUP(D257,ProductListTbl[],6,0),"")</f>
        <v/>
      </c>
      <c r="H257" s="130" t="str">
        <f>_xlfn.IFNA(VLOOKUP(D257,ProductListTbl[],7,0),"")</f>
        <v/>
      </c>
      <c r="I257" s="130" t="str">
        <f>_xlfn.IFNA(VLOOKUP(D257,ProductListTbl[],8,0),"")</f>
        <v/>
      </c>
      <c r="J257" s="127"/>
      <c r="K257" s="129"/>
      <c r="L257" s="128"/>
      <c r="M257" s="305" t="str">
        <f>IFERROR(Table3[[#This Row],[Quantity (doses)]]/Table3[[#This Row],[Doses per vial or syringe]],"")</f>
        <v/>
      </c>
      <c r="N257" s="127"/>
      <c r="O257" s="127"/>
      <c r="P257" s="381"/>
      <c r="Q257" s="129"/>
      <c r="R257" s="127"/>
      <c r="S257" s="127"/>
      <c r="T257" s="127"/>
      <c r="U257" s="127"/>
      <c r="V257" s="305" t="str">
        <f>_xlfn.IFNA(VLOOKUP(D257,ProductListTbl[],9,0),"")</f>
        <v/>
      </c>
      <c r="W257" s="305" t="str">
        <f>IFERROR(Table3[[#This Row],[Storage space per secondary packaging (cm3)]]*Table3[[#This Row],[Quantity  (vials or syringes)]]/1000,"")</f>
        <v/>
      </c>
      <c r="X257" s="305" t="str">
        <f>IFERROR(Table3[[#This Row],[Storage space per tertiary packaging (cm3)]]*Table3[[#This Row],[Quantity (doses)]]/1000,"")</f>
        <v/>
      </c>
      <c r="Y257" s="293" t="str">
        <f>IF(Table3[[#This Row],[Status]]="Ordered",(DATE(YEAR(P257),MONTH(P257),1)),IF(Table3[[#This Row],[Status]]="Received",(DATE(YEAR(Q257),MONTH(Q257),1)),""))</f>
        <v/>
      </c>
      <c r="Z257" s="304" t="str">
        <f t="shared" si="12"/>
        <v/>
      </c>
      <c r="AA257" s="48" t="str">
        <f t="shared" si="13"/>
        <v/>
      </c>
      <c r="AB257" s="48" t="str">
        <f t="shared" si="14"/>
        <v/>
      </c>
      <c r="AC257" s="292" t="str">
        <f t="shared" si="15"/>
        <v/>
      </c>
      <c r="AD257" s="48" t="str">
        <f>IF(Table3[[#This Row],[Actual Arrival date]]&gt;0,IF(Table3[[#This Row],[Expected arrival date]]&gt;0,Table3[[#This Row],[Actual Arrival date]]-Table3[[#This Row],[Expected arrival date]],""),"")</f>
        <v/>
      </c>
    </row>
    <row r="258" spans="1:30" x14ac:dyDescent="0.25">
      <c r="A258" s="303" t="str">
        <f>Start!$D$7</f>
        <v>Anyland</v>
      </c>
      <c r="B258" s="48" t="str">
        <f>_xlfn.IFNA(VLOOKUP(A258,list!B:C,2,FALSE),"")</f>
        <v>ANY</v>
      </c>
      <c r="C258" s="48"/>
      <c r="D258" s="127"/>
      <c r="E258" s="48" t="str">
        <f>_xlfn.IFNA(VLOOKUP(Table3[[#This Row],[Product]], ProductListTbl[], 3, 0), "")</f>
        <v/>
      </c>
      <c r="F258" s="303" t="str">
        <f>_xlfn.IFNA(VLOOKUP(D258,ProductListTbl[],5,0),"")</f>
        <v/>
      </c>
      <c r="G258" s="303" t="str">
        <f>_xlfn.IFNA(VLOOKUP(D258,ProductListTbl[],6,0),"")</f>
        <v/>
      </c>
      <c r="H258" s="130" t="str">
        <f>_xlfn.IFNA(VLOOKUP(D258,ProductListTbl[],7,0),"")</f>
        <v/>
      </c>
      <c r="I258" s="130" t="str">
        <f>_xlfn.IFNA(VLOOKUP(D258,ProductListTbl[],8,0),"")</f>
        <v/>
      </c>
      <c r="J258" s="127"/>
      <c r="K258" s="129"/>
      <c r="L258" s="128"/>
      <c r="M258" s="305" t="str">
        <f>IFERROR(Table3[[#This Row],[Quantity (doses)]]/Table3[[#This Row],[Doses per vial or syringe]],"")</f>
        <v/>
      </c>
      <c r="N258" s="127"/>
      <c r="O258" s="127"/>
      <c r="P258" s="381"/>
      <c r="Q258" s="129"/>
      <c r="R258" s="127"/>
      <c r="S258" s="127"/>
      <c r="T258" s="127"/>
      <c r="U258" s="127"/>
      <c r="V258" s="305" t="str">
        <f>_xlfn.IFNA(VLOOKUP(D258,ProductListTbl[],9,0),"")</f>
        <v/>
      </c>
      <c r="W258" s="305" t="str">
        <f>IFERROR(Table3[[#This Row],[Storage space per secondary packaging (cm3)]]*Table3[[#This Row],[Quantity  (vials or syringes)]]/1000,"")</f>
        <v/>
      </c>
      <c r="X258" s="305" t="str">
        <f>IFERROR(Table3[[#This Row],[Storage space per tertiary packaging (cm3)]]*Table3[[#This Row],[Quantity (doses)]]/1000,"")</f>
        <v/>
      </c>
      <c r="Y258" s="293" t="str">
        <f>IF(Table3[[#This Row],[Status]]="Ordered",(DATE(YEAR(P258),MONTH(P258),1)),IF(Table3[[#This Row],[Status]]="Received",(DATE(YEAR(Q258),MONTH(Q258),1)),""))</f>
        <v/>
      </c>
      <c r="Z258" s="304" t="str">
        <f t="shared" si="12"/>
        <v/>
      </c>
      <c r="AA258" s="48" t="str">
        <f t="shared" si="13"/>
        <v/>
      </c>
      <c r="AB258" s="48" t="str">
        <f t="shared" si="14"/>
        <v/>
      </c>
      <c r="AC258" s="292" t="str">
        <f t="shared" si="15"/>
        <v/>
      </c>
      <c r="AD258" s="48" t="str">
        <f>IF(Table3[[#This Row],[Actual Arrival date]]&gt;0,IF(Table3[[#This Row],[Expected arrival date]]&gt;0,Table3[[#This Row],[Actual Arrival date]]-Table3[[#This Row],[Expected arrival date]],""),"")</f>
        <v/>
      </c>
    </row>
    <row r="259" spans="1:30" x14ac:dyDescent="0.25">
      <c r="A259" s="303" t="str">
        <f>Start!$D$7</f>
        <v>Anyland</v>
      </c>
      <c r="B259" s="48" t="str">
        <f>_xlfn.IFNA(VLOOKUP(A259,list!B:C,2,FALSE),"")</f>
        <v>ANY</v>
      </c>
      <c r="C259" s="48"/>
      <c r="D259" s="127"/>
      <c r="E259" s="48" t="str">
        <f>_xlfn.IFNA(VLOOKUP(Table3[[#This Row],[Product]], ProductListTbl[], 3, 0), "")</f>
        <v/>
      </c>
      <c r="F259" s="303" t="str">
        <f>_xlfn.IFNA(VLOOKUP(D259,ProductListTbl[],5,0),"")</f>
        <v/>
      </c>
      <c r="G259" s="303" t="str">
        <f>_xlfn.IFNA(VLOOKUP(D259,ProductListTbl[],6,0),"")</f>
        <v/>
      </c>
      <c r="H259" s="130" t="str">
        <f>_xlfn.IFNA(VLOOKUP(D259,ProductListTbl[],7,0),"")</f>
        <v/>
      </c>
      <c r="I259" s="130" t="str">
        <f>_xlfn.IFNA(VLOOKUP(D259,ProductListTbl[],8,0),"")</f>
        <v/>
      </c>
      <c r="J259" s="127"/>
      <c r="K259" s="129"/>
      <c r="L259" s="128"/>
      <c r="M259" s="305" t="str">
        <f>IFERROR(Table3[[#This Row],[Quantity (doses)]]/Table3[[#This Row],[Doses per vial or syringe]],"")</f>
        <v/>
      </c>
      <c r="N259" s="127"/>
      <c r="O259" s="127"/>
      <c r="P259" s="381"/>
      <c r="Q259" s="129"/>
      <c r="R259" s="127"/>
      <c r="S259" s="127"/>
      <c r="T259" s="127"/>
      <c r="U259" s="127"/>
      <c r="V259" s="305" t="str">
        <f>_xlfn.IFNA(VLOOKUP(D259,ProductListTbl[],9,0),"")</f>
        <v/>
      </c>
      <c r="W259" s="305" t="str">
        <f>IFERROR(Table3[[#This Row],[Storage space per secondary packaging (cm3)]]*Table3[[#This Row],[Quantity  (vials or syringes)]]/1000,"")</f>
        <v/>
      </c>
      <c r="X259" s="305" t="str">
        <f>IFERROR(Table3[[#This Row],[Storage space per tertiary packaging (cm3)]]*Table3[[#This Row],[Quantity (doses)]]/1000,"")</f>
        <v/>
      </c>
      <c r="Y259" s="293" t="str">
        <f>IF(Table3[[#This Row],[Status]]="Ordered",(DATE(YEAR(P259),MONTH(P259),1)),IF(Table3[[#This Row],[Status]]="Received",(DATE(YEAR(Q259),MONTH(Q259),1)),""))</f>
        <v/>
      </c>
      <c r="Z259" s="304" t="str">
        <f t="shared" si="12"/>
        <v/>
      </c>
      <c r="AA259" s="48" t="str">
        <f t="shared" si="13"/>
        <v/>
      </c>
      <c r="AB259" s="48" t="str">
        <f t="shared" si="14"/>
        <v/>
      </c>
      <c r="AC259" s="292" t="str">
        <f t="shared" si="15"/>
        <v/>
      </c>
      <c r="AD259" s="48" t="str">
        <f>IF(Table3[[#This Row],[Actual Arrival date]]&gt;0,IF(Table3[[#This Row],[Expected arrival date]]&gt;0,Table3[[#This Row],[Actual Arrival date]]-Table3[[#This Row],[Expected arrival date]],""),"")</f>
        <v/>
      </c>
    </row>
    <row r="260" spans="1:30" x14ac:dyDescent="0.25">
      <c r="A260" s="303" t="str">
        <f>Start!$D$7</f>
        <v>Anyland</v>
      </c>
      <c r="B260" s="48" t="str">
        <f>_xlfn.IFNA(VLOOKUP(A260,list!B:C,2,FALSE),"")</f>
        <v>ANY</v>
      </c>
      <c r="C260" s="48"/>
      <c r="D260" s="127"/>
      <c r="E260" s="48" t="str">
        <f>_xlfn.IFNA(VLOOKUP(Table3[[#This Row],[Product]], ProductListTbl[], 3, 0), "")</f>
        <v/>
      </c>
      <c r="F260" s="303" t="str">
        <f>_xlfn.IFNA(VLOOKUP(D260,ProductListTbl[],5,0),"")</f>
        <v/>
      </c>
      <c r="G260" s="303" t="str">
        <f>_xlfn.IFNA(VLOOKUP(D260,ProductListTbl[],6,0),"")</f>
        <v/>
      </c>
      <c r="H260" s="130" t="str">
        <f>_xlfn.IFNA(VLOOKUP(D260,ProductListTbl[],7,0),"")</f>
        <v/>
      </c>
      <c r="I260" s="130" t="str">
        <f>_xlfn.IFNA(VLOOKUP(D260,ProductListTbl[],8,0),"")</f>
        <v/>
      </c>
      <c r="J260" s="127"/>
      <c r="K260" s="129"/>
      <c r="L260" s="128"/>
      <c r="M260" s="305" t="str">
        <f>IFERROR(Table3[[#This Row],[Quantity (doses)]]/Table3[[#This Row],[Doses per vial or syringe]],"")</f>
        <v/>
      </c>
      <c r="N260" s="127"/>
      <c r="O260" s="127"/>
      <c r="P260" s="381"/>
      <c r="Q260" s="129"/>
      <c r="R260" s="127"/>
      <c r="S260" s="127"/>
      <c r="T260" s="127"/>
      <c r="U260" s="127"/>
      <c r="V260" s="305" t="str">
        <f>_xlfn.IFNA(VLOOKUP(D260,ProductListTbl[],9,0),"")</f>
        <v/>
      </c>
      <c r="W260" s="305" t="str">
        <f>IFERROR(Table3[[#This Row],[Storage space per secondary packaging (cm3)]]*Table3[[#This Row],[Quantity  (vials or syringes)]]/1000,"")</f>
        <v/>
      </c>
      <c r="X260" s="305" t="str">
        <f>IFERROR(Table3[[#This Row],[Storage space per tertiary packaging (cm3)]]*Table3[[#This Row],[Quantity (doses)]]/1000,"")</f>
        <v/>
      </c>
      <c r="Y260" s="293" t="str">
        <f>IF(Table3[[#This Row],[Status]]="Ordered",(DATE(YEAR(P260),MONTH(P260),1)),IF(Table3[[#This Row],[Status]]="Received",(DATE(YEAR(Q260),MONTH(Q260),1)),""))</f>
        <v/>
      </c>
      <c r="Z260" s="304" t="str">
        <f t="shared" si="12"/>
        <v/>
      </c>
      <c r="AA260" s="48" t="str">
        <f t="shared" si="13"/>
        <v/>
      </c>
      <c r="AB260" s="48" t="str">
        <f t="shared" si="14"/>
        <v/>
      </c>
      <c r="AC260" s="292" t="str">
        <f t="shared" si="15"/>
        <v/>
      </c>
      <c r="AD260" s="48" t="str">
        <f>IF(Table3[[#This Row],[Actual Arrival date]]&gt;0,IF(Table3[[#This Row],[Expected arrival date]]&gt;0,Table3[[#This Row],[Actual Arrival date]]-Table3[[#This Row],[Expected arrival date]],""),"")</f>
        <v/>
      </c>
    </row>
    <row r="261" spans="1:30" x14ac:dyDescent="0.25">
      <c r="A261" s="303" t="str">
        <f>Start!$D$7</f>
        <v>Anyland</v>
      </c>
      <c r="B261" s="48" t="str">
        <f>_xlfn.IFNA(VLOOKUP(A261,list!B:C,2,FALSE),"")</f>
        <v>ANY</v>
      </c>
      <c r="C261" s="48"/>
      <c r="D261" s="127"/>
      <c r="E261" s="48" t="str">
        <f>_xlfn.IFNA(VLOOKUP(Table3[[#This Row],[Product]], ProductListTbl[], 3, 0), "")</f>
        <v/>
      </c>
      <c r="F261" s="303" t="str">
        <f>_xlfn.IFNA(VLOOKUP(D261,ProductListTbl[],5,0),"")</f>
        <v/>
      </c>
      <c r="G261" s="303" t="str">
        <f>_xlfn.IFNA(VLOOKUP(D261,ProductListTbl[],6,0),"")</f>
        <v/>
      </c>
      <c r="H261" s="130" t="str">
        <f>_xlfn.IFNA(VLOOKUP(D261,ProductListTbl[],7,0),"")</f>
        <v/>
      </c>
      <c r="I261" s="130" t="str">
        <f>_xlfn.IFNA(VLOOKUP(D261,ProductListTbl[],8,0),"")</f>
        <v/>
      </c>
      <c r="J261" s="127"/>
      <c r="K261" s="129"/>
      <c r="L261" s="128"/>
      <c r="M261" s="305" t="str">
        <f>IFERROR(Table3[[#This Row],[Quantity (doses)]]/Table3[[#This Row],[Doses per vial or syringe]],"")</f>
        <v/>
      </c>
      <c r="N261" s="127"/>
      <c r="O261" s="127"/>
      <c r="P261" s="381"/>
      <c r="Q261" s="129"/>
      <c r="R261" s="127"/>
      <c r="S261" s="127"/>
      <c r="T261" s="127"/>
      <c r="U261" s="127"/>
      <c r="V261" s="305" t="str">
        <f>_xlfn.IFNA(VLOOKUP(D261,ProductListTbl[],9,0),"")</f>
        <v/>
      </c>
      <c r="W261" s="305" t="str">
        <f>IFERROR(Table3[[#This Row],[Storage space per secondary packaging (cm3)]]*Table3[[#This Row],[Quantity  (vials or syringes)]]/1000,"")</f>
        <v/>
      </c>
      <c r="X261" s="305" t="str">
        <f>IFERROR(Table3[[#This Row],[Storage space per tertiary packaging (cm3)]]*Table3[[#This Row],[Quantity (doses)]]/1000,"")</f>
        <v/>
      </c>
      <c r="Y261" s="293" t="str">
        <f>IF(Table3[[#This Row],[Status]]="Ordered",(DATE(YEAR(P261),MONTH(P261),1)),IF(Table3[[#This Row],[Status]]="Received",(DATE(YEAR(Q261),MONTH(Q261),1)),""))</f>
        <v/>
      </c>
      <c r="Z261" s="304" t="str">
        <f t="shared" ref="Z261:Z324" si="16">IFERROR(IF(K261&gt;0,((K261-Q261)/(365.25/12)),""),"")</f>
        <v/>
      </c>
      <c r="AA261" s="48" t="str">
        <f t="shared" ref="AA261:AA324" si="17">IFERROR(IF(K261="","",MONTH(EOMONTH(K261,(DAY(K261)&gt;15)+0))),"")</f>
        <v/>
      </c>
      <c r="AB261" s="48" t="str">
        <f t="shared" ref="AB261:AB324" si="18">IFERROR(IF(K261="","",IF(AND(MONTH(K261)=12,AA261=1),YEAR(K261)+1,YEAR(K261))),"")</f>
        <v/>
      </c>
      <c r="AC261" s="292" t="str">
        <f t="shared" ref="AC261:AC324" si="19">IF(OR(AA261="",AB261=""),"",DATE(AB261,AA261,1))</f>
        <v/>
      </c>
      <c r="AD261" s="48" t="str">
        <f>IF(Table3[[#This Row],[Actual Arrival date]]&gt;0,IF(Table3[[#This Row],[Expected arrival date]]&gt;0,Table3[[#This Row],[Actual Arrival date]]-Table3[[#This Row],[Expected arrival date]],""),"")</f>
        <v/>
      </c>
    </row>
    <row r="262" spans="1:30" x14ac:dyDescent="0.25">
      <c r="A262" s="303" t="str">
        <f>Start!$D$7</f>
        <v>Anyland</v>
      </c>
      <c r="B262" s="48" t="str">
        <f>_xlfn.IFNA(VLOOKUP(A262,list!B:C,2,FALSE),"")</f>
        <v>ANY</v>
      </c>
      <c r="C262" s="48"/>
      <c r="D262" s="127"/>
      <c r="E262" s="48" t="str">
        <f>_xlfn.IFNA(VLOOKUP(Table3[[#This Row],[Product]], ProductListTbl[], 3, 0), "")</f>
        <v/>
      </c>
      <c r="F262" s="303" t="str">
        <f>_xlfn.IFNA(VLOOKUP(D262,ProductListTbl[],5,0),"")</f>
        <v/>
      </c>
      <c r="G262" s="303" t="str">
        <f>_xlfn.IFNA(VLOOKUP(D262,ProductListTbl[],6,0),"")</f>
        <v/>
      </c>
      <c r="H262" s="130" t="str">
        <f>_xlfn.IFNA(VLOOKUP(D262,ProductListTbl[],7,0),"")</f>
        <v/>
      </c>
      <c r="I262" s="130" t="str">
        <f>_xlfn.IFNA(VLOOKUP(D262,ProductListTbl[],8,0),"")</f>
        <v/>
      </c>
      <c r="J262" s="127"/>
      <c r="K262" s="129"/>
      <c r="L262" s="128"/>
      <c r="M262" s="305" t="str">
        <f>IFERROR(Table3[[#This Row],[Quantity (doses)]]/Table3[[#This Row],[Doses per vial or syringe]],"")</f>
        <v/>
      </c>
      <c r="N262" s="127"/>
      <c r="O262" s="127"/>
      <c r="P262" s="381"/>
      <c r="Q262" s="129"/>
      <c r="R262" s="127"/>
      <c r="S262" s="127"/>
      <c r="T262" s="127"/>
      <c r="U262" s="127"/>
      <c r="V262" s="305" t="str">
        <f>_xlfn.IFNA(VLOOKUP(D262,ProductListTbl[],9,0),"")</f>
        <v/>
      </c>
      <c r="W262" s="305" t="str">
        <f>IFERROR(Table3[[#This Row],[Storage space per secondary packaging (cm3)]]*Table3[[#This Row],[Quantity  (vials or syringes)]]/1000,"")</f>
        <v/>
      </c>
      <c r="X262" s="305" t="str">
        <f>IFERROR(Table3[[#This Row],[Storage space per tertiary packaging (cm3)]]*Table3[[#This Row],[Quantity (doses)]]/1000,"")</f>
        <v/>
      </c>
      <c r="Y262" s="293" t="str">
        <f>IF(Table3[[#This Row],[Status]]="Ordered",(DATE(YEAR(P262),MONTH(P262),1)),IF(Table3[[#This Row],[Status]]="Received",(DATE(YEAR(Q262),MONTH(Q262),1)),""))</f>
        <v/>
      </c>
      <c r="Z262" s="304" t="str">
        <f t="shared" si="16"/>
        <v/>
      </c>
      <c r="AA262" s="48" t="str">
        <f t="shared" si="17"/>
        <v/>
      </c>
      <c r="AB262" s="48" t="str">
        <f t="shared" si="18"/>
        <v/>
      </c>
      <c r="AC262" s="292" t="str">
        <f t="shared" si="19"/>
        <v/>
      </c>
      <c r="AD262" s="48" t="str">
        <f>IF(Table3[[#This Row],[Actual Arrival date]]&gt;0,IF(Table3[[#This Row],[Expected arrival date]]&gt;0,Table3[[#This Row],[Actual Arrival date]]-Table3[[#This Row],[Expected arrival date]],""),"")</f>
        <v/>
      </c>
    </row>
    <row r="263" spans="1:30" x14ac:dyDescent="0.25">
      <c r="A263" s="303" t="str">
        <f>Start!$D$7</f>
        <v>Anyland</v>
      </c>
      <c r="B263" s="48" t="str">
        <f>_xlfn.IFNA(VLOOKUP(A263,list!B:C,2,FALSE),"")</f>
        <v>ANY</v>
      </c>
      <c r="C263" s="48"/>
      <c r="D263" s="127"/>
      <c r="E263" s="48" t="str">
        <f>_xlfn.IFNA(VLOOKUP(Table3[[#This Row],[Product]], ProductListTbl[], 3, 0), "")</f>
        <v/>
      </c>
      <c r="F263" s="303" t="str">
        <f>_xlfn.IFNA(VLOOKUP(D263,ProductListTbl[],5,0),"")</f>
        <v/>
      </c>
      <c r="G263" s="303" t="str">
        <f>_xlfn.IFNA(VLOOKUP(D263,ProductListTbl[],6,0),"")</f>
        <v/>
      </c>
      <c r="H263" s="130" t="str">
        <f>_xlfn.IFNA(VLOOKUP(D263,ProductListTbl[],7,0),"")</f>
        <v/>
      </c>
      <c r="I263" s="130" t="str">
        <f>_xlfn.IFNA(VLOOKUP(D263,ProductListTbl[],8,0),"")</f>
        <v/>
      </c>
      <c r="J263" s="127"/>
      <c r="K263" s="129"/>
      <c r="L263" s="128"/>
      <c r="M263" s="305" t="str">
        <f>IFERROR(Table3[[#This Row],[Quantity (doses)]]/Table3[[#This Row],[Doses per vial or syringe]],"")</f>
        <v/>
      </c>
      <c r="N263" s="127"/>
      <c r="O263" s="127"/>
      <c r="P263" s="381"/>
      <c r="Q263" s="129"/>
      <c r="R263" s="127"/>
      <c r="S263" s="127"/>
      <c r="T263" s="127"/>
      <c r="U263" s="127"/>
      <c r="V263" s="305" t="str">
        <f>_xlfn.IFNA(VLOOKUP(D263,ProductListTbl[],9,0),"")</f>
        <v/>
      </c>
      <c r="W263" s="305" t="str">
        <f>IFERROR(Table3[[#This Row],[Storage space per secondary packaging (cm3)]]*Table3[[#This Row],[Quantity  (vials or syringes)]]/1000,"")</f>
        <v/>
      </c>
      <c r="X263" s="305" t="str">
        <f>IFERROR(Table3[[#This Row],[Storage space per tertiary packaging (cm3)]]*Table3[[#This Row],[Quantity (doses)]]/1000,"")</f>
        <v/>
      </c>
      <c r="Y263" s="293" t="str">
        <f>IF(Table3[[#This Row],[Status]]="Ordered",(DATE(YEAR(P263),MONTH(P263),1)),IF(Table3[[#This Row],[Status]]="Received",(DATE(YEAR(Q263),MONTH(Q263),1)),""))</f>
        <v/>
      </c>
      <c r="Z263" s="304" t="str">
        <f t="shared" si="16"/>
        <v/>
      </c>
      <c r="AA263" s="48" t="str">
        <f t="shared" si="17"/>
        <v/>
      </c>
      <c r="AB263" s="48" t="str">
        <f t="shared" si="18"/>
        <v/>
      </c>
      <c r="AC263" s="292" t="str">
        <f t="shared" si="19"/>
        <v/>
      </c>
      <c r="AD263" s="48" t="str">
        <f>IF(Table3[[#This Row],[Actual Arrival date]]&gt;0,IF(Table3[[#This Row],[Expected arrival date]]&gt;0,Table3[[#This Row],[Actual Arrival date]]-Table3[[#This Row],[Expected arrival date]],""),"")</f>
        <v/>
      </c>
    </row>
    <row r="264" spans="1:30" x14ac:dyDescent="0.25">
      <c r="A264" s="303" t="str">
        <f>Start!$D$7</f>
        <v>Anyland</v>
      </c>
      <c r="B264" s="48" t="str">
        <f>_xlfn.IFNA(VLOOKUP(A264,list!B:C,2,FALSE),"")</f>
        <v>ANY</v>
      </c>
      <c r="C264" s="48"/>
      <c r="D264" s="127"/>
      <c r="E264" s="48" t="str">
        <f>_xlfn.IFNA(VLOOKUP(Table3[[#This Row],[Product]], ProductListTbl[], 3, 0), "")</f>
        <v/>
      </c>
      <c r="F264" s="303" t="str">
        <f>_xlfn.IFNA(VLOOKUP(D264,ProductListTbl[],5,0),"")</f>
        <v/>
      </c>
      <c r="G264" s="303" t="str">
        <f>_xlfn.IFNA(VLOOKUP(D264,ProductListTbl[],6,0),"")</f>
        <v/>
      </c>
      <c r="H264" s="130" t="str">
        <f>_xlfn.IFNA(VLOOKUP(D264,ProductListTbl[],7,0),"")</f>
        <v/>
      </c>
      <c r="I264" s="130" t="str">
        <f>_xlfn.IFNA(VLOOKUP(D264,ProductListTbl[],8,0),"")</f>
        <v/>
      </c>
      <c r="J264" s="127"/>
      <c r="K264" s="129"/>
      <c r="L264" s="128"/>
      <c r="M264" s="305" t="str">
        <f>IFERROR(Table3[[#This Row],[Quantity (doses)]]/Table3[[#This Row],[Doses per vial or syringe]],"")</f>
        <v/>
      </c>
      <c r="N264" s="127"/>
      <c r="O264" s="127"/>
      <c r="P264" s="381"/>
      <c r="Q264" s="129"/>
      <c r="R264" s="127"/>
      <c r="S264" s="127"/>
      <c r="T264" s="127"/>
      <c r="U264" s="127"/>
      <c r="V264" s="305" t="str">
        <f>_xlfn.IFNA(VLOOKUP(D264,ProductListTbl[],9,0),"")</f>
        <v/>
      </c>
      <c r="W264" s="305" t="str">
        <f>IFERROR(Table3[[#This Row],[Storage space per secondary packaging (cm3)]]*Table3[[#This Row],[Quantity  (vials or syringes)]]/1000,"")</f>
        <v/>
      </c>
      <c r="X264" s="305" t="str">
        <f>IFERROR(Table3[[#This Row],[Storage space per tertiary packaging (cm3)]]*Table3[[#This Row],[Quantity (doses)]]/1000,"")</f>
        <v/>
      </c>
      <c r="Y264" s="293" t="str">
        <f>IF(Table3[[#This Row],[Status]]="Ordered",(DATE(YEAR(P264),MONTH(P264),1)),IF(Table3[[#This Row],[Status]]="Received",(DATE(YEAR(Q264),MONTH(Q264),1)),""))</f>
        <v/>
      </c>
      <c r="Z264" s="304" t="str">
        <f t="shared" si="16"/>
        <v/>
      </c>
      <c r="AA264" s="48" t="str">
        <f t="shared" si="17"/>
        <v/>
      </c>
      <c r="AB264" s="48" t="str">
        <f t="shared" si="18"/>
        <v/>
      </c>
      <c r="AC264" s="292" t="str">
        <f t="shared" si="19"/>
        <v/>
      </c>
      <c r="AD264" s="48" t="str">
        <f>IF(Table3[[#This Row],[Actual Arrival date]]&gt;0,IF(Table3[[#This Row],[Expected arrival date]]&gt;0,Table3[[#This Row],[Actual Arrival date]]-Table3[[#This Row],[Expected arrival date]],""),"")</f>
        <v/>
      </c>
    </row>
    <row r="265" spans="1:30" x14ac:dyDescent="0.25">
      <c r="A265" s="303" t="str">
        <f>Start!$D$7</f>
        <v>Anyland</v>
      </c>
      <c r="B265" s="48" t="str">
        <f>_xlfn.IFNA(VLOOKUP(A265,list!B:C,2,FALSE),"")</f>
        <v>ANY</v>
      </c>
      <c r="C265" s="48"/>
      <c r="D265" s="127"/>
      <c r="E265" s="48" t="str">
        <f>_xlfn.IFNA(VLOOKUP(Table3[[#This Row],[Product]], ProductListTbl[], 3, 0), "")</f>
        <v/>
      </c>
      <c r="F265" s="303" t="str">
        <f>_xlfn.IFNA(VLOOKUP(D265,ProductListTbl[],5,0),"")</f>
        <v/>
      </c>
      <c r="G265" s="303" t="str">
        <f>_xlfn.IFNA(VLOOKUP(D265,ProductListTbl[],6,0),"")</f>
        <v/>
      </c>
      <c r="H265" s="130" t="str">
        <f>_xlfn.IFNA(VLOOKUP(D265,ProductListTbl[],7,0),"")</f>
        <v/>
      </c>
      <c r="I265" s="130" t="str">
        <f>_xlfn.IFNA(VLOOKUP(D265,ProductListTbl[],8,0),"")</f>
        <v/>
      </c>
      <c r="J265" s="127"/>
      <c r="K265" s="129"/>
      <c r="L265" s="128"/>
      <c r="M265" s="305" t="str">
        <f>IFERROR(Table3[[#This Row],[Quantity (doses)]]/Table3[[#This Row],[Doses per vial or syringe]],"")</f>
        <v/>
      </c>
      <c r="N265" s="127"/>
      <c r="O265" s="127"/>
      <c r="P265" s="381"/>
      <c r="Q265" s="129"/>
      <c r="R265" s="127"/>
      <c r="S265" s="127"/>
      <c r="T265" s="127"/>
      <c r="U265" s="127"/>
      <c r="V265" s="305" t="str">
        <f>_xlfn.IFNA(VLOOKUP(D265,ProductListTbl[],9,0),"")</f>
        <v/>
      </c>
      <c r="W265" s="305" t="str">
        <f>IFERROR(Table3[[#This Row],[Storage space per secondary packaging (cm3)]]*Table3[[#This Row],[Quantity  (vials or syringes)]]/1000,"")</f>
        <v/>
      </c>
      <c r="X265" s="305" t="str">
        <f>IFERROR(Table3[[#This Row],[Storage space per tertiary packaging (cm3)]]*Table3[[#This Row],[Quantity (doses)]]/1000,"")</f>
        <v/>
      </c>
      <c r="Y265" s="293" t="str">
        <f>IF(Table3[[#This Row],[Status]]="Ordered",(DATE(YEAR(P265),MONTH(P265),1)),IF(Table3[[#This Row],[Status]]="Received",(DATE(YEAR(Q265),MONTH(Q265),1)),""))</f>
        <v/>
      </c>
      <c r="Z265" s="304" t="str">
        <f t="shared" si="16"/>
        <v/>
      </c>
      <c r="AA265" s="48" t="str">
        <f t="shared" si="17"/>
        <v/>
      </c>
      <c r="AB265" s="48" t="str">
        <f t="shared" si="18"/>
        <v/>
      </c>
      <c r="AC265" s="292" t="str">
        <f t="shared" si="19"/>
        <v/>
      </c>
      <c r="AD265" s="48" t="str">
        <f>IF(Table3[[#This Row],[Actual Arrival date]]&gt;0,IF(Table3[[#This Row],[Expected arrival date]]&gt;0,Table3[[#This Row],[Actual Arrival date]]-Table3[[#This Row],[Expected arrival date]],""),"")</f>
        <v/>
      </c>
    </row>
    <row r="266" spans="1:30" x14ac:dyDescent="0.25">
      <c r="A266" s="303" t="str">
        <f>Start!$D$7</f>
        <v>Anyland</v>
      </c>
      <c r="B266" s="48" t="str">
        <f>_xlfn.IFNA(VLOOKUP(A266,list!B:C,2,FALSE),"")</f>
        <v>ANY</v>
      </c>
      <c r="C266" s="48"/>
      <c r="D266" s="127"/>
      <c r="E266" s="48" t="str">
        <f>_xlfn.IFNA(VLOOKUP(Table3[[#This Row],[Product]], ProductListTbl[], 3, 0), "")</f>
        <v/>
      </c>
      <c r="F266" s="303" t="str">
        <f>_xlfn.IFNA(VLOOKUP(D266,ProductListTbl[],5,0),"")</f>
        <v/>
      </c>
      <c r="G266" s="303" t="str">
        <f>_xlfn.IFNA(VLOOKUP(D266,ProductListTbl[],6,0),"")</f>
        <v/>
      </c>
      <c r="H266" s="130" t="str">
        <f>_xlfn.IFNA(VLOOKUP(D266,ProductListTbl[],7,0),"")</f>
        <v/>
      </c>
      <c r="I266" s="130" t="str">
        <f>_xlfn.IFNA(VLOOKUP(D266,ProductListTbl[],8,0),"")</f>
        <v/>
      </c>
      <c r="J266" s="127"/>
      <c r="K266" s="129"/>
      <c r="L266" s="128"/>
      <c r="M266" s="305" t="str">
        <f>IFERROR(Table3[[#This Row],[Quantity (doses)]]/Table3[[#This Row],[Doses per vial or syringe]],"")</f>
        <v/>
      </c>
      <c r="N266" s="127"/>
      <c r="O266" s="127"/>
      <c r="P266" s="381"/>
      <c r="Q266" s="129"/>
      <c r="R266" s="127"/>
      <c r="S266" s="127"/>
      <c r="T266" s="127"/>
      <c r="U266" s="127"/>
      <c r="V266" s="305" t="str">
        <f>_xlfn.IFNA(VLOOKUP(D266,ProductListTbl[],9,0),"")</f>
        <v/>
      </c>
      <c r="W266" s="305" t="str">
        <f>IFERROR(Table3[[#This Row],[Storage space per secondary packaging (cm3)]]*Table3[[#This Row],[Quantity  (vials or syringes)]]/1000,"")</f>
        <v/>
      </c>
      <c r="X266" s="305" t="str">
        <f>IFERROR(Table3[[#This Row],[Storage space per tertiary packaging (cm3)]]*Table3[[#This Row],[Quantity (doses)]]/1000,"")</f>
        <v/>
      </c>
      <c r="Y266" s="293" t="str">
        <f>IF(Table3[[#This Row],[Status]]="Ordered",(DATE(YEAR(P266),MONTH(P266),1)),IF(Table3[[#This Row],[Status]]="Received",(DATE(YEAR(Q266),MONTH(Q266),1)),""))</f>
        <v/>
      </c>
      <c r="Z266" s="304" t="str">
        <f t="shared" si="16"/>
        <v/>
      </c>
      <c r="AA266" s="48" t="str">
        <f t="shared" si="17"/>
        <v/>
      </c>
      <c r="AB266" s="48" t="str">
        <f t="shared" si="18"/>
        <v/>
      </c>
      <c r="AC266" s="292" t="str">
        <f t="shared" si="19"/>
        <v/>
      </c>
      <c r="AD266" s="48" t="str">
        <f>IF(Table3[[#This Row],[Actual Arrival date]]&gt;0,IF(Table3[[#This Row],[Expected arrival date]]&gt;0,Table3[[#This Row],[Actual Arrival date]]-Table3[[#This Row],[Expected arrival date]],""),"")</f>
        <v/>
      </c>
    </row>
    <row r="267" spans="1:30" x14ac:dyDescent="0.25">
      <c r="A267" s="303" t="str">
        <f>Start!$D$7</f>
        <v>Anyland</v>
      </c>
      <c r="B267" s="48" t="str">
        <f>_xlfn.IFNA(VLOOKUP(A267,list!B:C,2,FALSE),"")</f>
        <v>ANY</v>
      </c>
      <c r="C267" s="48"/>
      <c r="D267" s="127"/>
      <c r="E267" s="48" t="str">
        <f>_xlfn.IFNA(VLOOKUP(Table3[[#This Row],[Product]], ProductListTbl[], 3, 0), "")</f>
        <v/>
      </c>
      <c r="F267" s="303" t="str">
        <f>_xlfn.IFNA(VLOOKUP(D267,ProductListTbl[],5,0),"")</f>
        <v/>
      </c>
      <c r="G267" s="303" t="str">
        <f>_xlfn.IFNA(VLOOKUP(D267,ProductListTbl[],6,0),"")</f>
        <v/>
      </c>
      <c r="H267" s="130" t="str">
        <f>_xlfn.IFNA(VLOOKUP(D267,ProductListTbl[],7,0),"")</f>
        <v/>
      </c>
      <c r="I267" s="130" t="str">
        <f>_xlfn.IFNA(VLOOKUP(D267,ProductListTbl[],8,0),"")</f>
        <v/>
      </c>
      <c r="J267" s="127"/>
      <c r="K267" s="129"/>
      <c r="L267" s="128"/>
      <c r="M267" s="305" t="str">
        <f>IFERROR(Table3[[#This Row],[Quantity (doses)]]/Table3[[#This Row],[Doses per vial or syringe]],"")</f>
        <v/>
      </c>
      <c r="N267" s="127"/>
      <c r="O267" s="127"/>
      <c r="P267" s="381"/>
      <c r="Q267" s="129"/>
      <c r="R267" s="127"/>
      <c r="S267" s="127"/>
      <c r="T267" s="127"/>
      <c r="U267" s="127"/>
      <c r="V267" s="305" t="str">
        <f>_xlfn.IFNA(VLOOKUP(D267,ProductListTbl[],9,0),"")</f>
        <v/>
      </c>
      <c r="W267" s="305" t="str">
        <f>IFERROR(Table3[[#This Row],[Storage space per secondary packaging (cm3)]]*Table3[[#This Row],[Quantity  (vials or syringes)]]/1000,"")</f>
        <v/>
      </c>
      <c r="X267" s="305" t="str">
        <f>IFERROR(Table3[[#This Row],[Storage space per tertiary packaging (cm3)]]*Table3[[#This Row],[Quantity (doses)]]/1000,"")</f>
        <v/>
      </c>
      <c r="Y267" s="293" t="str">
        <f>IF(Table3[[#This Row],[Status]]="Ordered",(DATE(YEAR(P267),MONTH(P267),1)),IF(Table3[[#This Row],[Status]]="Received",(DATE(YEAR(Q267),MONTH(Q267),1)),""))</f>
        <v/>
      </c>
      <c r="Z267" s="304" t="str">
        <f t="shared" si="16"/>
        <v/>
      </c>
      <c r="AA267" s="48" t="str">
        <f t="shared" si="17"/>
        <v/>
      </c>
      <c r="AB267" s="48" t="str">
        <f t="shared" si="18"/>
        <v/>
      </c>
      <c r="AC267" s="292" t="str">
        <f t="shared" si="19"/>
        <v/>
      </c>
      <c r="AD267" s="48" t="str">
        <f>IF(Table3[[#This Row],[Actual Arrival date]]&gt;0,IF(Table3[[#This Row],[Expected arrival date]]&gt;0,Table3[[#This Row],[Actual Arrival date]]-Table3[[#This Row],[Expected arrival date]],""),"")</f>
        <v/>
      </c>
    </row>
    <row r="268" spans="1:30" x14ac:dyDescent="0.25">
      <c r="A268" s="303" t="str">
        <f>Start!$D$7</f>
        <v>Anyland</v>
      </c>
      <c r="B268" s="48" t="str">
        <f>_xlfn.IFNA(VLOOKUP(A268,list!B:C,2,FALSE),"")</f>
        <v>ANY</v>
      </c>
      <c r="C268" s="48"/>
      <c r="D268" s="127"/>
      <c r="E268" s="48" t="str">
        <f>_xlfn.IFNA(VLOOKUP(Table3[[#This Row],[Product]], ProductListTbl[], 3, 0), "")</f>
        <v/>
      </c>
      <c r="F268" s="303" t="str">
        <f>_xlfn.IFNA(VLOOKUP(D268,ProductListTbl[],5,0),"")</f>
        <v/>
      </c>
      <c r="G268" s="303" t="str">
        <f>_xlfn.IFNA(VLOOKUP(D268,ProductListTbl[],6,0),"")</f>
        <v/>
      </c>
      <c r="H268" s="130" t="str">
        <f>_xlfn.IFNA(VLOOKUP(D268,ProductListTbl[],7,0),"")</f>
        <v/>
      </c>
      <c r="I268" s="130" t="str">
        <f>_xlfn.IFNA(VLOOKUP(D268,ProductListTbl[],8,0),"")</f>
        <v/>
      </c>
      <c r="J268" s="127"/>
      <c r="K268" s="129"/>
      <c r="L268" s="128"/>
      <c r="M268" s="305" t="str">
        <f>IFERROR(Table3[[#This Row],[Quantity (doses)]]/Table3[[#This Row],[Doses per vial or syringe]],"")</f>
        <v/>
      </c>
      <c r="N268" s="127"/>
      <c r="O268" s="127"/>
      <c r="P268" s="381"/>
      <c r="Q268" s="129"/>
      <c r="R268" s="127"/>
      <c r="S268" s="127"/>
      <c r="T268" s="127"/>
      <c r="U268" s="127"/>
      <c r="V268" s="305" t="str">
        <f>_xlfn.IFNA(VLOOKUP(D268,ProductListTbl[],9,0),"")</f>
        <v/>
      </c>
      <c r="W268" s="305" t="str">
        <f>IFERROR(Table3[[#This Row],[Storage space per secondary packaging (cm3)]]*Table3[[#This Row],[Quantity  (vials or syringes)]]/1000,"")</f>
        <v/>
      </c>
      <c r="X268" s="305" t="str">
        <f>IFERROR(Table3[[#This Row],[Storage space per tertiary packaging (cm3)]]*Table3[[#This Row],[Quantity (doses)]]/1000,"")</f>
        <v/>
      </c>
      <c r="Y268" s="293" t="str">
        <f>IF(Table3[[#This Row],[Status]]="Ordered",(DATE(YEAR(P268),MONTH(P268),1)),IF(Table3[[#This Row],[Status]]="Received",(DATE(YEAR(Q268),MONTH(Q268),1)),""))</f>
        <v/>
      </c>
      <c r="Z268" s="304" t="str">
        <f t="shared" si="16"/>
        <v/>
      </c>
      <c r="AA268" s="48" t="str">
        <f t="shared" si="17"/>
        <v/>
      </c>
      <c r="AB268" s="48" t="str">
        <f t="shared" si="18"/>
        <v/>
      </c>
      <c r="AC268" s="292" t="str">
        <f t="shared" si="19"/>
        <v/>
      </c>
      <c r="AD268" s="48" t="str">
        <f>IF(Table3[[#This Row],[Actual Arrival date]]&gt;0,IF(Table3[[#This Row],[Expected arrival date]]&gt;0,Table3[[#This Row],[Actual Arrival date]]-Table3[[#This Row],[Expected arrival date]],""),"")</f>
        <v/>
      </c>
    </row>
    <row r="269" spans="1:30" x14ac:dyDescent="0.25">
      <c r="A269" s="303" t="str">
        <f>Start!$D$7</f>
        <v>Anyland</v>
      </c>
      <c r="B269" s="48" t="str">
        <f>_xlfn.IFNA(VLOOKUP(A269,list!B:C,2,FALSE),"")</f>
        <v>ANY</v>
      </c>
      <c r="C269" s="48"/>
      <c r="D269" s="127"/>
      <c r="E269" s="48" t="str">
        <f>_xlfn.IFNA(VLOOKUP(Table3[[#This Row],[Product]], ProductListTbl[], 3, 0), "")</f>
        <v/>
      </c>
      <c r="F269" s="303" t="str">
        <f>_xlfn.IFNA(VLOOKUP(D269,ProductListTbl[],5,0),"")</f>
        <v/>
      </c>
      <c r="G269" s="303" t="str">
        <f>_xlfn.IFNA(VLOOKUP(D269,ProductListTbl[],6,0),"")</f>
        <v/>
      </c>
      <c r="H269" s="130" t="str">
        <f>_xlfn.IFNA(VLOOKUP(D269,ProductListTbl[],7,0),"")</f>
        <v/>
      </c>
      <c r="I269" s="130" t="str">
        <f>_xlfn.IFNA(VLOOKUP(D269,ProductListTbl[],8,0),"")</f>
        <v/>
      </c>
      <c r="J269" s="127"/>
      <c r="K269" s="129"/>
      <c r="L269" s="128"/>
      <c r="M269" s="305" t="str">
        <f>IFERROR(Table3[[#This Row],[Quantity (doses)]]/Table3[[#This Row],[Doses per vial or syringe]],"")</f>
        <v/>
      </c>
      <c r="N269" s="127"/>
      <c r="O269" s="127"/>
      <c r="P269" s="381"/>
      <c r="Q269" s="129"/>
      <c r="R269" s="127"/>
      <c r="S269" s="127"/>
      <c r="T269" s="127"/>
      <c r="U269" s="127"/>
      <c r="V269" s="305" t="str">
        <f>_xlfn.IFNA(VLOOKUP(D269,ProductListTbl[],9,0),"")</f>
        <v/>
      </c>
      <c r="W269" s="305" t="str">
        <f>IFERROR(Table3[[#This Row],[Storage space per secondary packaging (cm3)]]*Table3[[#This Row],[Quantity  (vials or syringes)]]/1000,"")</f>
        <v/>
      </c>
      <c r="X269" s="305" t="str">
        <f>IFERROR(Table3[[#This Row],[Storage space per tertiary packaging (cm3)]]*Table3[[#This Row],[Quantity (doses)]]/1000,"")</f>
        <v/>
      </c>
      <c r="Y269" s="293" t="str">
        <f>IF(Table3[[#This Row],[Status]]="Ordered",(DATE(YEAR(P269),MONTH(P269),1)),IF(Table3[[#This Row],[Status]]="Received",(DATE(YEAR(Q269),MONTH(Q269),1)),""))</f>
        <v/>
      </c>
      <c r="Z269" s="304" t="str">
        <f t="shared" si="16"/>
        <v/>
      </c>
      <c r="AA269" s="48" t="str">
        <f t="shared" si="17"/>
        <v/>
      </c>
      <c r="AB269" s="48" t="str">
        <f t="shared" si="18"/>
        <v/>
      </c>
      <c r="AC269" s="292" t="str">
        <f t="shared" si="19"/>
        <v/>
      </c>
      <c r="AD269" s="48" t="str">
        <f>IF(Table3[[#This Row],[Actual Arrival date]]&gt;0,IF(Table3[[#This Row],[Expected arrival date]]&gt;0,Table3[[#This Row],[Actual Arrival date]]-Table3[[#This Row],[Expected arrival date]],""),"")</f>
        <v/>
      </c>
    </row>
    <row r="270" spans="1:30" x14ac:dyDescent="0.25">
      <c r="A270" s="303" t="str">
        <f>Start!$D$7</f>
        <v>Anyland</v>
      </c>
      <c r="B270" s="48" t="str">
        <f>_xlfn.IFNA(VLOOKUP(A270,list!B:C,2,FALSE),"")</f>
        <v>ANY</v>
      </c>
      <c r="C270" s="48"/>
      <c r="D270" s="127"/>
      <c r="E270" s="48" t="str">
        <f>_xlfn.IFNA(VLOOKUP(Table3[[#This Row],[Product]], ProductListTbl[], 3, 0), "")</f>
        <v/>
      </c>
      <c r="F270" s="303" t="str">
        <f>_xlfn.IFNA(VLOOKUP(D270,ProductListTbl[],5,0),"")</f>
        <v/>
      </c>
      <c r="G270" s="303" t="str">
        <f>_xlfn.IFNA(VLOOKUP(D270,ProductListTbl[],6,0),"")</f>
        <v/>
      </c>
      <c r="H270" s="130" t="str">
        <f>_xlfn.IFNA(VLOOKUP(D270,ProductListTbl[],7,0),"")</f>
        <v/>
      </c>
      <c r="I270" s="130" t="str">
        <f>_xlfn.IFNA(VLOOKUP(D270,ProductListTbl[],8,0),"")</f>
        <v/>
      </c>
      <c r="J270" s="127"/>
      <c r="K270" s="129"/>
      <c r="L270" s="128"/>
      <c r="M270" s="305" t="str">
        <f>IFERROR(Table3[[#This Row],[Quantity (doses)]]/Table3[[#This Row],[Doses per vial or syringe]],"")</f>
        <v/>
      </c>
      <c r="N270" s="127"/>
      <c r="O270" s="127"/>
      <c r="P270" s="381"/>
      <c r="Q270" s="129"/>
      <c r="R270" s="127"/>
      <c r="S270" s="127"/>
      <c r="T270" s="127"/>
      <c r="U270" s="127"/>
      <c r="V270" s="305" t="str">
        <f>_xlfn.IFNA(VLOOKUP(D270,ProductListTbl[],9,0),"")</f>
        <v/>
      </c>
      <c r="W270" s="305" t="str">
        <f>IFERROR(Table3[[#This Row],[Storage space per secondary packaging (cm3)]]*Table3[[#This Row],[Quantity  (vials or syringes)]]/1000,"")</f>
        <v/>
      </c>
      <c r="X270" s="305" t="str">
        <f>IFERROR(Table3[[#This Row],[Storage space per tertiary packaging (cm3)]]*Table3[[#This Row],[Quantity (doses)]]/1000,"")</f>
        <v/>
      </c>
      <c r="Y270" s="293" t="str">
        <f>IF(Table3[[#This Row],[Status]]="Ordered",(DATE(YEAR(P270),MONTH(P270),1)),IF(Table3[[#This Row],[Status]]="Received",(DATE(YEAR(Q270),MONTH(Q270),1)),""))</f>
        <v/>
      </c>
      <c r="Z270" s="304" t="str">
        <f t="shared" si="16"/>
        <v/>
      </c>
      <c r="AA270" s="48" t="str">
        <f t="shared" si="17"/>
        <v/>
      </c>
      <c r="AB270" s="48" t="str">
        <f t="shared" si="18"/>
        <v/>
      </c>
      <c r="AC270" s="292" t="str">
        <f t="shared" si="19"/>
        <v/>
      </c>
      <c r="AD270" s="48" t="str">
        <f>IF(Table3[[#This Row],[Actual Arrival date]]&gt;0,IF(Table3[[#This Row],[Expected arrival date]]&gt;0,Table3[[#This Row],[Actual Arrival date]]-Table3[[#This Row],[Expected arrival date]],""),"")</f>
        <v/>
      </c>
    </row>
    <row r="271" spans="1:30" x14ac:dyDescent="0.25">
      <c r="A271" s="303" t="str">
        <f>Start!$D$7</f>
        <v>Anyland</v>
      </c>
      <c r="B271" s="48" t="str">
        <f>_xlfn.IFNA(VLOOKUP(A271,list!B:C,2,FALSE),"")</f>
        <v>ANY</v>
      </c>
      <c r="C271" s="48"/>
      <c r="D271" s="127"/>
      <c r="E271" s="48" t="str">
        <f>_xlfn.IFNA(VLOOKUP(Table3[[#This Row],[Product]], ProductListTbl[], 3, 0), "")</f>
        <v/>
      </c>
      <c r="F271" s="303" t="str">
        <f>_xlfn.IFNA(VLOOKUP(D271,ProductListTbl[],5,0),"")</f>
        <v/>
      </c>
      <c r="G271" s="303" t="str">
        <f>_xlfn.IFNA(VLOOKUP(D271,ProductListTbl[],6,0),"")</f>
        <v/>
      </c>
      <c r="H271" s="130" t="str">
        <f>_xlfn.IFNA(VLOOKUP(D271,ProductListTbl[],7,0),"")</f>
        <v/>
      </c>
      <c r="I271" s="130" t="str">
        <f>_xlfn.IFNA(VLOOKUP(D271,ProductListTbl[],8,0),"")</f>
        <v/>
      </c>
      <c r="J271" s="127"/>
      <c r="K271" s="129"/>
      <c r="L271" s="128"/>
      <c r="M271" s="305" t="str">
        <f>IFERROR(Table3[[#This Row],[Quantity (doses)]]/Table3[[#This Row],[Doses per vial or syringe]],"")</f>
        <v/>
      </c>
      <c r="N271" s="127"/>
      <c r="O271" s="127"/>
      <c r="P271" s="381"/>
      <c r="Q271" s="129"/>
      <c r="R271" s="127"/>
      <c r="S271" s="127"/>
      <c r="T271" s="127"/>
      <c r="U271" s="127"/>
      <c r="V271" s="305" t="str">
        <f>_xlfn.IFNA(VLOOKUP(D271,ProductListTbl[],9,0),"")</f>
        <v/>
      </c>
      <c r="W271" s="305" t="str">
        <f>IFERROR(Table3[[#This Row],[Storage space per secondary packaging (cm3)]]*Table3[[#This Row],[Quantity  (vials or syringes)]]/1000,"")</f>
        <v/>
      </c>
      <c r="X271" s="305" t="str">
        <f>IFERROR(Table3[[#This Row],[Storage space per tertiary packaging (cm3)]]*Table3[[#This Row],[Quantity (doses)]]/1000,"")</f>
        <v/>
      </c>
      <c r="Y271" s="293" t="str">
        <f>IF(Table3[[#This Row],[Status]]="Ordered",(DATE(YEAR(P271),MONTH(P271),1)),IF(Table3[[#This Row],[Status]]="Received",(DATE(YEAR(Q271),MONTH(Q271),1)),""))</f>
        <v/>
      </c>
      <c r="Z271" s="304" t="str">
        <f t="shared" si="16"/>
        <v/>
      </c>
      <c r="AA271" s="48" t="str">
        <f t="shared" si="17"/>
        <v/>
      </c>
      <c r="AB271" s="48" t="str">
        <f t="shared" si="18"/>
        <v/>
      </c>
      <c r="AC271" s="292" t="str">
        <f t="shared" si="19"/>
        <v/>
      </c>
      <c r="AD271" s="48" t="str">
        <f>IF(Table3[[#This Row],[Actual Arrival date]]&gt;0,IF(Table3[[#This Row],[Expected arrival date]]&gt;0,Table3[[#This Row],[Actual Arrival date]]-Table3[[#This Row],[Expected arrival date]],""),"")</f>
        <v/>
      </c>
    </row>
    <row r="272" spans="1:30" x14ac:dyDescent="0.25">
      <c r="A272" s="303" t="str">
        <f>Start!$D$7</f>
        <v>Anyland</v>
      </c>
      <c r="B272" s="48" t="str">
        <f>_xlfn.IFNA(VLOOKUP(A272,list!B:C,2,FALSE),"")</f>
        <v>ANY</v>
      </c>
      <c r="C272" s="48"/>
      <c r="D272" s="127"/>
      <c r="E272" s="48" t="str">
        <f>_xlfn.IFNA(VLOOKUP(Table3[[#This Row],[Product]], ProductListTbl[], 3, 0), "")</f>
        <v/>
      </c>
      <c r="F272" s="303" t="str">
        <f>_xlfn.IFNA(VLOOKUP(D272,ProductListTbl[],5,0),"")</f>
        <v/>
      </c>
      <c r="G272" s="303" t="str">
        <f>_xlfn.IFNA(VLOOKUP(D272,ProductListTbl[],6,0),"")</f>
        <v/>
      </c>
      <c r="H272" s="130" t="str">
        <f>_xlfn.IFNA(VLOOKUP(D272,ProductListTbl[],7,0),"")</f>
        <v/>
      </c>
      <c r="I272" s="130" t="str">
        <f>_xlfn.IFNA(VLOOKUP(D272,ProductListTbl[],8,0),"")</f>
        <v/>
      </c>
      <c r="J272" s="127"/>
      <c r="K272" s="129"/>
      <c r="L272" s="128"/>
      <c r="M272" s="305" t="str">
        <f>IFERROR(Table3[[#This Row],[Quantity (doses)]]/Table3[[#This Row],[Doses per vial or syringe]],"")</f>
        <v/>
      </c>
      <c r="N272" s="127"/>
      <c r="O272" s="127"/>
      <c r="P272" s="381"/>
      <c r="Q272" s="129"/>
      <c r="R272" s="127"/>
      <c r="S272" s="127"/>
      <c r="T272" s="127"/>
      <c r="U272" s="127"/>
      <c r="V272" s="305" t="str">
        <f>_xlfn.IFNA(VLOOKUP(D272,ProductListTbl[],9,0),"")</f>
        <v/>
      </c>
      <c r="W272" s="305" t="str">
        <f>IFERROR(Table3[[#This Row],[Storage space per secondary packaging (cm3)]]*Table3[[#This Row],[Quantity  (vials or syringes)]]/1000,"")</f>
        <v/>
      </c>
      <c r="X272" s="305" t="str">
        <f>IFERROR(Table3[[#This Row],[Storage space per tertiary packaging (cm3)]]*Table3[[#This Row],[Quantity (doses)]]/1000,"")</f>
        <v/>
      </c>
      <c r="Y272" s="293" t="str">
        <f>IF(Table3[[#This Row],[Status]]="Ordered",(DATE(YEAR(P272),MONTH(P272),1)),IF(Table3[[#This Row],[Status]]="Received",(DATE(YEAR(Q272),MONTH(Q272),1)),""))</f>
        <v/>
      </c>
      <c r="Z272" s="304" t="str">
        <f t="shared" si="16"/>
        <v/>
      </c>
      <c r="AA272" s="48" t="str">
        <f t="shared" si="17"/>
        <v/>
      </c>
      <c r="AB272" s="48" t="str">
        <f t="shared" si="18"/>
        <v/>
      </c>
      <c r="AC272" s="292" t="str">
        <f t="shared" si="19"/>
        <v/>
      </c>
      <c r="AD272" s="48" t="str">
        <f>IF(Table3[[#This Row],[Actual Arrival date]]&gt;0,IF(Table3[[#This Row],[Expected arrival date]]&gt;0,Table3[[#This Row],[Actual Arrival date]]-Table3[[#This Row],[Expected arrival date]],""),"")</f>
        <v/>
      </c>
    </row>
    <row r="273" spans="1:30" x14ac:dyDescent="0.25">
      <c r="A273" s="303" t="str">
        <f>Start!$D$7</f>
        <v>Anyland</v>
      </c>
      <c r="B273" s="48" t="str">
        <f>_xlfn.IFNA(VLOOKUP(A273,list!B:C,2,FALSE),"")</f>
        <v>ANY</v>
      </c>
      <c r="C273" s="48"/>
      <c r="D273" s="127"/>
      <c r="E273" s="48" t="str">
        <f>_xlfn.IFNA(VLOOKUP(Table3[[#This Row],[Product]], ProductListTbl[], 3, 0), "")</f>
        <v/>
      </c>
      <c r="F273" s="303" t="str">
        <f>_xlfn.IFNA(VLOOKUP(D273,ProductListTbl[],5,0),"")</f>
        <v/>
      </c>
      <c r="G273" s="303" t="str">
        <f>_xlfn.IFNA(VLOOKUP(D273,ProductListTbl[],6,0),"")</f>
        <v/>
      </c>
      <c r="H273" s="130" t="str">
        <f>_xlfn.IFNA(VLOOKUP(D273,ProductListTbl[],7,0),"")</f>
        <v/>
      </c>
      <c r="I273" s="130" t="str">
        <f>_xlfn.IFNA(VLOOKUP(D273,ProductListTbl[],8,0),"")</f>
        <v/>
      </c>
      <c r="J273" s="127"/>
      <c r="K273" s="129"/>
      <c r="L273" s="128"/>
      <c r="M273" s="305" t="str">
        <f>IFERROR(Table3[[#This Row],[Quantity (doses)]]/Table3[[#This Row],[Doses per vial or syringe]],"")</f>
        <v/>
      </c>
      <c r="N273" s="127"/>
      <c r="O273" s="127"/>
      <c r="P273" s="381"/>
      <c r="Q273" s="129"/>
      <c r="R273" s="127"/>
      <c r="S273" s="127"/>
      <c r="T273" s="127"/>
      <c r="U273" s="127"/>
      <c r="V273" s="305" t="str">
        <f>_xlfn.IFNA(VLOOKUP(D273,ProductListTbl[],9,0),"")</f>
        <v/>
      </c>
      <c r="W273" s="305" t="str">
        <f>IFERROR(Table3[[#This Row],[Storage space per secondary packaging (cm3)]]*Table3[[#This Row],[Quantity  (vials or syringes)]]/1000,"")</f>
        <v/>
      </c>
      <c r="X273" s="305" t="str">
        <f>IFERROR(Table3[[#This Row],[Storage space per tertiary packaging (cm3)]]*Table3[[#This Row],[Quantity (doses)]]/1000,"")</f>
        <v/>
      </c>
      <c r="Y273" s="293" t="str">
        <f>IF(Table3[[#This Row],[Status]]="Ordered",(DATE(YEAR(P273),MONTH(P273),1)),IF(Table3[[#This Row],[Status]]="Received",(DATE(YEAR(Q273),MONTH(Q273),1)),""))</f>
        <v/>
      </c>
      <c r="Z273" s="304" t="str">
        <f t="shared" si="16"/>
        <v/>
      </c>
      <c r="AA273" s="48" t="str">
        <f t="shared" si="17"/>
        <v/>
      </c>
      <c r="AB273" s="48" t="str">
        <f t="shared" si="18"/>
        <v/>
      </c>
      <c r="AC273" s="292" t="str">
        <f t="shared" si="19"/>
        <v/>
      </c>
      <c r="AD273" s="48" t="str">
        <f>IF(Table3[[#This Row],[Actual Arrival date]]&gt;0,IF(Table3[[#This Row],[Expected arrival date]]&gt;0,Table3[[#This Row],[Actual Arrival date]]-Table3[[#This Row],[Expected arrival date]],""),"")</f>
        <v/>
      </c>
    </row>
    <row r="274" spans="1:30" x14ac:dyDescent="0.25">
      <c r="A274" s="303" t="str">
        <f>Start!$D$7</f>
        <v>Anyland</v>
      </c>
      <c r="B274" s="48" t="str">
        <f>_xlfn.IFNA(VLOOKUP(A274,list!B:C,2,FALSE),"")</f>
        <v>ANY</v>
      </c>
      <c r="C274" s="48"/>
      <c r="D274" s="127"/>
      <c r="E274" s="48" t="str">
        <f>_xlfn.IFNA(VLOOKUP(Table3[[#This Row],[Product]], ProductListTbl[], 3, 0), "")</f>
        <v/>
      </c>
      <c r="F274" s="303" t="str">
        <f>_xlfn.IFNA(VLOOKUP(D274,ProductListTbl[],5,0),"")</f>
        <v/>
      </c>
      <c r="G274" s="303" t="str">
        <f>_xlfn.IFNA(VLOOKUP(D274,ProductListTbl[],6,0),"")</f>
        <v/>
      </c>
      <c r="H274" s="130" t="str">
        <f>_xlfn.IFNA(VLOOKUP(D274,ProductListTbl[],7,0),"")</f>
        <v/>
      </c>
      <c r="I274" s="130" t="str">
        <f>_xlfn.IFNA(VLOOKUP(D274,ProductListTbl[],8,0),"")</f>
        <v/>
      </c>
      <c r="J274" s="127"/>
      <c r="K274" s="129"/>
      <c r="L274" s="128"/>
      <c r="M274" s="305" t="str">
        <f>IFERROR(Table3[[#This Row],[Quantity (doses)]]/Table3[[#This Row],[Doses per vial or syringe]],"")</f>
        <v/>
      </c>
      <c r="N274" s="127"/>
      <c r="O274" s="127"/>
      <c r="P274" s="381"/>
      <c r="Q274" s="129"/>
      <c r="R274" s="127"/>
      <c r="S274" s="127"/>
      <c r="T274" s="127"/>
      <c r="U274" s="127"/>
      <c r="V274" s="305" t="str">
        <f>_xlfn.IFNA(VLOOKUP(D274,ProductListTbl[],9,0),"")</f>
        <v/>
      </c>
      <c r="W274" s="305" t="str">
        <f>IFERROR(Table3[[#This Row],[Storage space per secondary packaging (cm3)]]*Table3[[#This Row],[Quantity  (vials or syringes)]]/1000,"")</f>
        <v/>
      </c>
      <c r="X274" s="305" t="str">
        <f>IFERROR(Table3[[#This Row],[Storage space per tertiary packaging (cm3)]]*Table3[[#This Row],[Quantity (doses)]]/1000,"")</f>
        <v/>
      </c>
      <c r="Y274" s="293" t="str">
        <f>IF(Table3[[#This Row],[Status]]="Ordered",(DATE(YEAR(P274),MONTH(P274),1)),IF(Table3[[#This Row],[Status]]="Received",(DATE(YEAR(Q274),MONTH(Q274),1)),""))</f>
        <v/>
      </c>
      <c r="Z274" s="304" t="str">
        <f t="shared" si="16"/>
        <v/>
      </c>
      <c r="AA274" s="48" t="str">
        <f t="shared" si="17"/>
        <v/>
      </c>
      <c r="AB274" s="48" t="str">
        <f t="shared" si="18"/>
        <v/>
      </c>
      <c r="AC274" s="292" t="str">
        <f t="shared" si="19"/>
        <v/>
      </c>
      <c r="AD274" s="48" t="str">
        <f>IF(Table3[[#This Row],[Actual Arrival date]]&gt;0,IF(Table3[[#This Row],[Expected arrival date]]&gt;0,Table3[[#This Row],[Actual Arrival date]]-Table3[[#This Row],[Expected arrival date]],""),"")</f>
        <v/>
      </c>
    </row>
    <row r="275" spans="1:30" x14ac:dyDescent="0.25">
      <c r="A275" s="303" t="str">
        <f>Start!$D$7</f>
        <v>Anyland</v>
      </c>
      <c r="B275" s="48" t="str">
        <f>_xlfn.IFNA(VLOOKUP(A275,list!B:C,2,FALSE),"")</f>
        <v>ANY</v>
      </c>
      <c r="C275" s="48"/>
      <c r="D275" s="127"/>
      <c r="E275" s="48" t="str">
        <f>_xlfn.IFNA(VLOOKUP(Table3[[#This Row],[Product]], ProductListTbl[], 3, 0), "")</f>
        <v/>
      </c>
      <c r="F275" s="303" t="str">
        <f>_xlfn.IFNA(VLOOKUP(D275,ProductListTbl[],5,0),"")</f>
        <v/>
      </c>
      <c r="G275" s="303" t="str">
        <f>_xlfn.IFNA(VLOOKUP(D275,ProductListTbl[],6,0),"")</f>
        <v/>
      </c>
      <c r="H275" s="130" t="str">
        <f>_xlfn.IFNA(VLOOKUP(D275,ProductListTbl[],7,0),"")</f>
        <v/>
      </c>
      <c r="I275" s="130" t="str">
        <f>_xlfn.IFNA(VLOOKUP(D275,ProductListTbl[],8,0),"")</f>
        <v/>
      </c>
      <c r="J275" s="127"/>
      <c r="K275" s="129"/>
      <c r="L275" s="128"/>
      <c r="M275" s="305" t="str">
        <f>IFERROR(Table3[[#This Row],[Quantity (doses)]]/Table3[[#This Row],[Doses per vial or syringe]],"")</f>
        <v/>
      </c>
      <c r="N275" s="127"/>
      <c r="O275" s="127"/>
      <c r="P275" s="381"/>
      <c r="Q275" s="129"/>
      <c r="R275" s="127"/>
      <c r="S275" s="127"/>
      <c r="T275" s="127"/>
      <c r="U275" s="127"/>
      <c r="V275" s="305" t="str">
        <f>_xlfn.IFNA(VLOOKUP(D275,ProductListTbl[],9,0),"")</f>
        <v/>
      </c>
      <c r="W275" s="305" t="str">
        <f>IFERROR(Table3[[#This Row],[Storage space per secondary packaging (cm3)]]*Table3[[#This Row],[Quantity  (vials or syringes)]]/1000,"")</f>
        <v/>
      </c>
      <c r="X275" s="305" t="str">
        <f>IFERROR(Table3[[#This Row],[Storage space per tertiary packaging (cm3)]]*Table3[[#This Row],[Quantity (doses)]]/1000,"")</f>
        <v/>
      </c>
      <c r="Y275" s="293" t="str">
        <f>IF(Table3[[#This Row],[Status]]="Ordered",(DATE(YEAR(P275),MONTH(P275),1)),IF(Table3[[#This Row],[Status]]="Received",(DATE(YEAR(Q275),MONTH(Q275),1)),""))</f>
        <v/>
      </c>
      <c r="Z275" s="304" t="str">
        <f t="shared" si="16"/>
        <v/>
      </c>
      <c r="AA275" s="48" t="str">
        <f t="shared" si="17"/>
        <v/>
      </c>
      <c r="AB275" s="48" t="str">
        <f t="shared" si="18"/>
        <v/>
      </c>
      <c r="AC275" s="292" t="str">
        <f t="shared" si="19"/>
        <v/>
      </c>
      <c r="AD275" s="48" t="str">
        <f>IF(Table3[[#This Row],[Actual Arrival date]]&gt;0,IF(Table3[[#This Row],[Expected arrival date]]&gt;0,Table3[[#This Row],[Actual Arrival date]]-Table3[[#This Row],[Expected arrival date]],""),"")</f>
        <v/>
      </c>
    </row>
    <row r="276" spans="1:30" x14ac:dyDescent="0.25">
      <c r="A276" s="303" t="str">
        <f>Start!$D$7</f>
        <v>Anyland</v>
      </c>
      <c r="B276" s="48" t="str">
        <f>_xlfn.IFNA(VLOOKUP(A276,list!B:C,2,FALSE),"")</f>
        <v>ANY</v>
      </c>
      <c r="C276" s="48"/>
      <c r="D276" s="127"/>
      <c r="E276" s="48" t="str">
        <f>_xlfn.IFNA(VLOOKUP(Table3[[#This Row],[Product]], ProductListTbl[], 3, 0), "")</f>
        <v/>
      </c>
      <c r="F276" s="303" t="str">
        <f>_xlfn.IFNA(VLOOKUP(D276,ProductListTbl[],5,0),"")</f>
        <v/>
      </c>
      <c r="G276" s="303" t="str">
        <f>_xlfn.IFNA(VLOOKUP(D276,ProductListTbl[],6,0),"")</f>
        <v/>
      </c>
      <c r="H276" s="130" t="str">
        <f>_xlfn.IFNA(VLOOKUP(D276,ProductListTbl[],7,0),"")</f>
        <v/>
      </c>
      <c r="I276" s="130" t="str">
        <f>_xlfn.IFNA(VLOOKUP(D276,ProductListTbl[],8,0),"")</f>
        <v/>
      </c>
      <c r="J276" s="127"/>
      <c r="K276" s="129"/>
      <c r="L276" s="128"/>
      <c r="M276" s="305" t="str">
        <f>IFERROR(Table3[[#This Row],[Quantity (doses)]]/Table3[[#This Row],[Doses per vial or syringe]],"")</f>
        <v/>
      </c>
      <c r="N276" s="127"/>
      <c r="O276" s="127"/>
      <c r="P276" s="381"/>
      <c r="Q276" s="129"/>
      <c r="R276" s="127"/>
      <c r="S276" s="127"/>
      <c r="T276" s="127"/>
      <c r="U276" s="127"/>
      <c r="V276" s="305" t="str">
        <f>_xlfn.IFNA(VLOOKUP(D276,ProductListTbl[],9,0),"")</f>
        <v/>
      </c>
      <c r="W276" s="305" t="str">
        <f>IFERROR(Table3[[#This Row],[Storage space per secondary packaging (cm3)]]*Table3[[#This Row],[Quantity  (vials or syringes)]]/1000,"")</f>
        <v/>
      </c>
      <c r="X276" s="305" t="str">
        <f>IFERROR(Table3[[#This Row],[Storage space per tertiary packaging (cm3)]]*Table3[[#This Row],[Quantity (doses)]]/1000,"")</f>
        <v/>
      </c>
      <c r="Y276" s="293" t="str">
        <f>IF(Table3[[#This Row],[Status]]="Ordered",(DATE(YEAR(P276),MONTH(P276),1)),IF(Table3[[#This Row],[Status]]="Received",(DATE(YEAR(Q276),MONTH(Q276),1)),""))</f>
        <v/>
      </c>
      <c r="Z276" s="304" t="str">
        <f t="shared" si="16"/>
        <v/>
      </c>
      <c r="AA276" s="48" t="str">
        <f t="shared" si="17"/>
        <v/>
      </c>
      <c r="AB276" s="48" t="str">
        <f t="shared" si="18"/>
        <v/>
      </c>
      <c r="AC276" s="292" t="str">
        <f t="shared" si="19"/>
        <v/>
      </c>
      <c r="AD276" s="48" t="str">
        <f>IF(Table3[[#This Row],[Actual Arrival date]]&gt;0,IF(Table3[[#This Row],[Expected arrival date]]&gt;0,Table3[[#This Row],[Actual Arrival date]]-Table3[[#This Row],[Expected arrival date]],""),"")</f>
        <v/>
      </c>
    </row>
    <row r="277" spans="1:30" x14ac:dyDescent="0.25">
      <c r="A277" s="303" t="str">
        <f>Start!$D$7</f>
        <v>Anyland</v>
      </c>
      <c r="B277" s="48" t="str">
        <f>_xlfn.IFNA(VLOOKUP(A277,list!B:C,2,FALSE),"")</f>
        <v>ANY</v>
      </c>
      <c r="C277" s="48"/>
      <c r="D277" s="127"/>
      <c r="E277" s="48" t="str">
        <f>_xlfn.IFNA(VLOOKUP(Table3[[#This Row],[Product]], ProductListTbl[], 3, 0), "")</f>
        <v/>
      </c>
      <c r="F277" s="303" t="str">
        <f>_xlfn.IFNA(VLOOKUP(D277,ProductListTbl[],5,0),"")</f>
        <v/>
      </c>
      <c r="G277" s="303" t="str">
        <f>_xlfn.IFNA(VLOOKUP(D277,ProductListTbl[],6,0),"")</f>
        <v/>
      </c>
      <c r="H277" s="130" t="str">
        <f>_xlfn.IFNA(VLOOKUP(D277,ProductListTbl[],7,0),"")</f>
        <v/>
      </c>
      <c r="I277" s="130" t="str">
        <f>_xlfn.IFNA(VLOOKUP(D277,ProductListTbl[],8,0),"")</f>
        <v/>
      </c>
      <c r="J277" s="127"/>
      <c r="K277" s="129"/>
      <c r="L277" s="128"/>
      <c r="M277" s="305" t="str">
        <f>IFERROR(Table3[[#This Row],[Quantity (doses)]]/Table3[[#This Row],[Doses per vial or syringe]],"")</f>
        <v/>
      </c>
      <c r="N277" s="127"/>
      <c r="O277" s="127"/>
      <c r="P277" s="381"/>
      <c r="Q277" s="129"/>
      <c r="R277" s="127"/>
      <c r="S277" s="127"/>
      <c r="T277" s="127"/>
      <c r="U277" s="127"/>
      <c r="V277" s="305" t="str">
        <f>_xlfn.IFNA(VLOOKUP(D277,ProductListTbl[],9,0),"")</f>
        <v/>
      </c>
      <c r="W277" s="305" t="str">
        <f>IFERROR(Table3[[#This Row],[Storage space per secondary packaging (cm3)]]*Table3[[#This Row],[Quantity  (vials or syringes)]]/1000,"")</f>
        <v/>
      </c>
      <c r="X277" s="305" t="str">
        <f>IFERROR(Table3[[#This Row],[Storage space per tertiary packaging (cm3)]]*Table3[[#This Row],[Quantity (doses)]]/1000,"")</f>
        <v/>
      </c>
      <c r="Y277" s="293" t="str">
        <f>IF(Table3[[#This Row],[Status]]="Ordered",(DATE(YEAR(P277),MONTH(P277),1)),IF(Table3[[#This Row],[Status]]="Received",(DATE(YEAR(Q277),MONTH(Q277),1)),""))</f>
        <v/>
      </c>
      <c r="Z277" s="304" t="str">
        <f t="shared" si="16"/>
        <v/>
      </c>
      <c r="AA277" s="48" t="str">
        <f t="shared" si="17"/>
        <v/>
      </c>
      <c r="AB277" s="48" t="str">
        <f t="shared" si="18"/>
        <v/>
      </c>
      <c r="AC277" s="292" t="str">
        <f t="shared" si="19"/>
        <v/>
      </c>
      <c r="AD277" s="48" t="str">
        <f>IF(Table3[[#This Row],[Actual Arrival date]]&gt;0,IF(Table3[[#This Row],[Expected arrival date]]&gt;0,Table3[[#This Row],[Actual Arrival date]]-Table3[[#This Row],[Expected arrival date]],""),"")</f>
        <v/>
      </c>
    </row>
    <row r="278" spans="1:30" x14ac:dyDescent="0.25">
      <c r="A278" s="303" t="str">
        <f>Start!$D$7</f>
        <v>Anyland</v>
      </c>
      <c r="B278" s="48" t="str">
        <f>_xlfn.IFNA(VLOOKUP(A278,list!B:C,2,FALSE),"")</f>
        <v>ANY</v>
      </c>
      <c r="C278" s="48"/>
      <c r="D278" s="127"/>
      <c r="E278" s="48" t="str">
        <f>_xlfn.IFNA(VLOOKUP(Table3[[#This Row],[Product]], ProductListTbl[], 3, 0), "")</f>
        <v/>
      </c>
      <c r="F278" s="303" t="str">
        <f>_xlfn.IFNA(VLOOKUP(D278,ProductListTbl[],5,0),"")</f>
        <v/>
      </c>
      <c r="G278" s="303" t="str">
        <f>_xlfn.IFNA(VLOOKUP(D278,ProductListTbl[],6,0),"")</f>
        <v/>
      </c>
      <c r="H278" s="130" t="str">
        <f>_xlfn.IFNA(VLOOKUP(D278,ProductListTbl[],7,0),"")</f>
        <v/>
      </c>
      <c r="I278" s="130" t="str">
        <f>_xlfn.IFNA(VLOOKUP(D278,ProductListTbl[],8,0),"")</f>
        <v/>
      </c>
      <c r="J278" s="127"/>
      <c r="K278" s="129"/>
      <c r="L278" s="128"/>
      <c r="M278" s="305" t="str">
        <f>IFERROR(Table3[[#This Row],[Quantity (doses)]]/Table3[[#This Row],[Doses per vial or syringe]],"")</f>
        <v/>
      </c>
      <c r="N278" s="127"/>
      <c r="O278" s="127"/>
      <c r="P278" s="381"/>
      <c r="Q278" s="129"/>
      <c r="R278" s="127"/>
      <c r="S278" s="127"/>
      <c r="T278" s="127"/>
      <c r="U278" s="127"/>
      <c r="V278" s="305" t="str">
        <f>_xlfn.IFNA(VLOOKUP(D278,ProductListTbl[],9,0),"")</f>
        <v/>
      </c>
      <c r="W278" s="305" t="str">
        <f>IFERROR(Table3[[#This Row],[Storage space per secondary packaging (cm3)]]*Table3[[#This Row],[Quantity  (vials or syringes)]]/1000,"")</f>
        <v/>
      </c>
      <c r="X278" s="305" t="str">
        <f>IFERROR(Table3[[#This Row],[Storage space per tertiary packaging (cm3)]]*Table3[[#This Row],[Quantity (doses)]]/1000,"")</f>
        <v/>
      </c>
      <c r="Y278" s="293" t="str">
        <f>IF(Table3[[#This Row],[Status]]="Ordered",(DATE(YEAR(P278),MONTH(P278),1)),IF(Table3[[#This Row],[Status]]="Received",(DATE(YEAR(Q278),MONTH(Q278),1)),""))</f>
        <v/>
      </c>
      <c r="Z278" s="304" t="str">
        <f t="shared" si="16"/>
        <v/>
      </c>
      <c r="AA278" s="48" t="str">
        <f t="shared" si="17"/>
        <v/>
      </c>
      <c r="AB278" s="48" t="str">
        <f t="shared" si="18"/>
        <v/>
      </c>
      <c r="AC278" s="292" t="str">
        <f t="shared" si="19"/>
        <v/>
      </c>
      <c r="AD278" s="48" t="str">
        <f>IF(Table3[[#This Row],[Actual Arrival date]]&gt;0,IF(Table3[[#This Row],[Expected arrival date]]&gt;0,Table3[[#This Row],[Actual Arrival date]]-Table3[[#This Row],[Expected arrival date]],""),"")</f>
        <v/>
      </c>
    </row>
    <row r="279" spans="1:30" x14ac:dyDescent="0.25">
      <c r="A279" s="303" t="str">
        <f>Start!$D$7</f>
        <v>Anyland</v>
      </c>
      <c r="B279" s="48" t="str">
        <f>_xlfn.IFNA(VLOOKUP(A279,list!B:C,2,FALSE),"")</f>
        <v>ANY</v>
      </c>
      <c r="C279" s="48"/>
      <c r="D279" s="127"/>
      <c r="E279" s="48" t="str">
        <f>_xlfn.IFNA(VLOOKUP(Table3[[#This Row],[Product]], ProductListTbl[], 3, 0), "")</f>
        <v/>
      </c>
      <c r="F279" s="303" t="str">
        <f>_xlfn.IFNA(VLOOKUP(D279,ProductListTbl[],5,0),"")</f>
        <v/>
      </c>
      <c r="G279" s="303" t="str">
        <f>_xlfn.IFNA(VLOOKUP(D279,ProductListTbl[],6,0),"")</f>
        <v/>
      </c>
      <c r="H279" s="130" t="str">
        <f>_xlfn.IFNA(VLOOKUP(D279,ProductListTbl[],7,0),"")</f>
        <v/>
      </c>
      <c r="I279" s="130" t="str">
        <f>_xlfn.IFNA(VLOOKUP(D279,ProductListTbl[],8,0),"")</f>
        <v/>
      </c>
      <c r="J279" s="127"/>
      <c r="K279" s="129"/>
      <c r="L279" s="128"/>
      <c r="M279" s="305" t="str">
        <f>IFERROR(Table3[[#This Row],[Quantity (doses)]]/Table3[[#This Row],[Doses per vial or syringe]],"")</f>
        <v/>
      </c>
      <c r="N279" s="127"/>
      <c r="O279" s="127"/>
      <c r="P279" s="381"/>
      <c r="Q279" s="129"/>
      <c r="R279" s="127"/>
      <c r="S279" s="127"/>
      <c r="T279" s="127"/>
      <c r="U279" s="127"/>
      <c r="V279" s="305" t="str">
        <f>_xlfn.IFNA(VLOOKUP(D279,ProductListTbl[],9,0),"")</f>
        <v/>
      </c>
      <c r="W279" s="305" t="str">
        <f>IFERROR(Table3[[#This Row],[Storage space per secondary packaging (cm3)]]*Table3[[#This Row],[Quantity  (vials or syringes)]]/1000,"")</f>
        <v/>
      </c>
      <c r="X279" s="305" t="str">
        <f>IFERROR(Table3[[#This Row],[Storage space per tertiary packaging (cm3)]]*Table3[[#This Row],[Quantity (doses)]]/1000,"")</f>
        <v/>
      </c>
      <c r="Y279" s="293" t="str">
        <f>IF(Table3[[#This Row],[Status]]="Ordered",(DATE(YEAR(P279),MONTH(P279),1)),IF(Table3[[#This Row],[Status]]="Received",(DATE(YEAR(Q279),MONTH(Q279),1)),""))</f>
        <v/>
      </c>
      <c r="Z279" s="304" t="str">
        <f t="shared" si="16"/>
        <v/>
      </c>
      <c r="AA279" s="48" t="str">
        <f t="shared" si="17"/>
        <v/>
      </c>
      <c r="AB279" s="48" t="str">
        <f t="shared" si="18"/>
        <v/>
      </c>
      <c r="AC279" s="292" t="str">
        <f t="shared" si="19"/>
        <v/>
      </c>
      <c r="AD279" s="48" t="str">
        <f>IF(Table3[[#This Row],[Actual Arrival date]]&gt;0,IF(Table3[[#This Row],[Expected arrival date]]&gt;0,Table3[[#This Row],[Actual Arrival date]]-Table3[[#This Row],[Expected arrival date]],""),"")</f>
        <v/>
      </c>
    </row>
    <row r="280" spans="1:30" x14ac:dyDescent="0.25">
      <c r="A280" s="303" t="str">
        <f>Start!$D$7</f>
        <v>Anyland</v>
      </c>
      <c r="B280" s="48" t="str">
        <f>_xlfn.IFNA(VLOOKUP(A280,list!B:C,2,FALSE),"")</f>
        <v>ANY</v>
      </c>
      <c r="C280" s="48"/>
      <c r="D280" s="127"/>
      <c r="E280" s="48" t="str">
        <f>_xlfn.IFNA(VLOOKUP(Table3[[#This Row],[Product]], ProductListTbl[], 3, 0), "")</f>
        <v/>
      </c>
      <c r="F280" s="303" t="str">
        <f>_xlfn.IFNA(VLOOKUP(D280,ProductListTbl[],5,0),"")</f>
        <v/>
      </c>
      <c r="G280" s="303" t="str">
        <f>_xlfn.IFNA(VLOOKUP(D280,ProductListTbl[],6,0),"")</f>
        <v/>
      </c>
      <c r="H280" s="130" t="str">
        <f>_xlfn.IFNA(VLOOKUP(D280,ProductListTbl[],7,0),"")</f>
        <v/>
      </c>
      <c r="I280" s="130" t="str">
        <f>_xlfn.IFNA(VLOOKUP(D280,ProductListTbl[],8,0),"")</f>
        <v/>
      </c>
      <c r="J280" s="127"/>
      <c r="K280" s="129"/>
      <c r="L280" s="128"/>
      <c r="M280" s="305" t="str">
        <f>IFERROR(Table3[[#This Row],[Quantity (doses)]]/Table3[[#This Row],[Doses per vial or syringe]],"")</f>
        <v/>
      </c>
      <c r="N280" s="127"/>
      <c r="O280" s="127"/>
      <c r="P280" s="381"/>
      <c r="Q280" s="129"/>
      <c r="R280" s="127"/>
      <c r="S280" s="127"/>
      <c r="T280" s="127"/>
      <c r="U280" s="127"/>
      <c r="V280" s="305" t="str">
        <f>_xlfn.IFNA(VLOOKUP(D280,ProductListTbl[],9,0),"")</f>
        <v/>
      </c>
      <c r="W280" s="305" t="str">
        <f>IFERROR(Table3[[#This Row],[Storage space per secondary packaging (cm3)]]*Table3[[#This Row],[Quantity  (vials or syringes)]]/1000,"")</f>
        <v/>
      </c>
      <c r="X280" s="305" t="str">
        <f>IFERROR(Table3[[#This Row],[Storage space per tertiary packaging (cm3)]]*Table3[[#This Row],[Quantity (doses)]]/1000,"")</f>
        <v/>
      </c>
      <c r="Y280" s="293" t="str">
        <f>IF(Table3[[#This Row],[Status]]="Ordered",(DATE(YEAR(P280),MONTH(P280),1)),IF(Table3[[#This Row],[Status]]="Received",(DATE(YEAR(Q280),MONTH(Q280),1)),""))</f>
        <v/>
      </c>
      <c r="Z280" s="304" t="str">
        <f t="shared" si="16"/>
        <v/>
      </c>
      <c r="AA280" s="48" t="str">
        <f t="shared" si="17"/>
        <v/>
      </c>
      <c r="AB280" s="48" t="str">
        <f t="shared" si="18"/>
        <v/>
      </c>
      <c r="AC280" s="292" t="str">
        <f t="shared" si="19"/>
        <v/>
      </c>
      <c r="AD280" s="48" t="str">
        <f>IF(Table3[[#This Row],[Actual Arrival date]]&gt;0,IF(Table3[[#This Row],[Expected arrival date]]&gt;0,Table3[[#This Row],[Actual Arrival date]]-Table3[[#This Row],[Expected arrival date]],""),"")</f>
        <v/>
      </c>
    </row>
    <row r="281" spans="1:30" x14ac:dyDescent="0.25">
      <c r="A281" s="303" t="str">
        <f>Start!$D$7</f>
        <v>Anyland</v>
      </c>
      <c r="B281" s="48" t="str">
        <f>_xlfn.IFNA(VLOOKUP(A281,list!B:C,2,FALSE),"")</f>
        <v>ANY</v>
      </c>
      <c r="C281" s="48"/>
      <c r="D281" s="127"/>
      <c r="E281" s="48" t="str">
        <f>_xlfn.IFNA(VLOOKUP(Table3[[#This Row],[Product]], ProductListTbl[], 3, 0), "")</f>
        <v/>
      </c>
      <c r="F281" s="303" t="str">
        <f>_xlfn.IFNA(VLOOKUP(D281,ProductListTbl[],5,0),"")</f>
        <v/>
      </c>
      <c r="G281" s="303" t="str">
        <f>_xlfn.IFNA(VLOOKUP(D281,ProductListTbl[],6,0),"")</f>
        <v/>
      </c>
      <c r="H281" s="130" t="str">
        <f>_xlfn.IFNA(VLOOKUP(D281,ProductListTbl[],7,0),"")</f>
        <v/>
      </c>
      <c r="I281" s="130" t="str">
        <f>_xlfn.IFNA(VLOOKUP(D281,ProductListTbl[],8,0),"")</f>
        <v/>
      </c>
      <c r="J281" s="127"/>
      <c r="K281" s="129"/>
      <c r="L281" s="128"/>
      <c r="M281" s="305" t="str">
        <f>IFERROR(Table3[[#This Row],[Quantity (doses)]]/Table3[[#This Row],[Doses per vial or syringe]],"")</f>
        <v/>
      </c>
      <c r="N281" s="127"/>
      <c r="O281" s="127"/>
      <c r="P281" s="381"/>
      <c r="Q281" s="129"/>
      <c r="R281" s="127"/>
      <c r="S281" s="127"/>
      <c r="T281" s="127"/>
      <c r="U281" s="127"/>
      <c r="V281" s="305" t="str">
        <f>_xlfn.IFNA(VLOOKUP(D281,ProductListTbl[],9,0),"")</f>
        <v/>
      </c>
      <c r="W281" s="305" t="str">
        <f>IFERROR(Table3[[#This Row],[Storage space per secondary packaging (cm3)]]*Table3[[#This Row],[Quantity  (vials or syringes)]]/1000,"")</f>
        <v/>
      </c>
      <c r="X281" s="305" t="str">
        <f>IFERROR(Table3[[#This Row],[Storage space per tertiary packaging (cm3)]]*Table3[[#This Row],[Quantity (doses)]]/1000,"")</f>
        <v/>
      </c>
      <c r="Y281" s="293" t="str">
        <f>IF(Table3[[#This Row],[Status]]="Ordered",(DATE(YEAR(P281),MONTH(P281),1)),IF(Table3[[#This Row],[Status]]="Received",(DATE(YEAR(Q281),MONTH(Q281),1)),""))</f>
        <v/>
      </c>
      <c r="Z281" s="304" t="str">
        <f t="shared" si="16"/>
        <v/>
      </c>
      <c r="AA281" s="48" t="str">
        <f t="shared" si="17"/>
        <v/>
      </c>
      <c r="AB281" s="48" t="str">
        <f t="shared" si="18"/>
        <v/>
      </c>
      <c r="AC281" s="292" t="str">
        <f t="shared" si="19"/>
        <v/>
      </c>
      <c r="AD281" s="48" t="str">
        <f>IF(Table3[[#This Row],[Actual Arrival date]]&gt;0,IF(Table3[[#This Row],[Expected arrival date]]&gt;0,Table3[[#This Row],[Actual Arrival date]]-Table3[[#This Row],[Expected arrival date]],""),"")</f>
        <v/>
      </c>
    </row>
    <row r="282" spans="1:30" x14ac:dyDescent="0.25">
      <c r="A282" s="303" t="str">
        <f>Start!$D$7</f>
        <v>Anyland</v>
      </c>
      <c r="B282" s="48" t="str">
        <f>_xlfn.IFNA(VLOOKUP(A282,list!B:C,2,FALSE),"")</f>
        <v>ANY</v>
      </c>
      <c r="C282" s="48"/>
      <c r="D282" s="127"/>
      <c r="E282" s="48" t="str">
        <f>_xlfn.IFNA(VLOOKUP(Table3[[#This Row],[Product]], ProductListTbl[], 3, 0), "")</f>
        <v/>
      </c>
      <c r="F282" s="303" t="str">
        <f>_xlfn.IFNA(VLOOKUP(D282,ProductListTbl[],5,0),"")</f>
        <v/>
      </c>
      <c r="G282" s="303" t="str">
        <f>_xlfn.IFNA(VLOOKUP(D282,ProductListTbl[],6,0),"")</f>
        <v/>
      </c>
      <c r="H282" s="130" t="str">
        <f>_xlfn.IFNA(VLOOKUP(D282,ProductListTbl[],7,0),"")</f>
        <v/>
      </c>
      <c r="I282" s="130" t="str">
        <f>_xlfn.IFNA(VLOOKUP(D282,ProductListTbl[],8,0),"")</f>
        <v/>
      </c>
      <c r="J282" s="127"/>
      <c r="K282" s="129"/>
      <c r="L282" s="128"/>
      <c r="M282" s="305" t="str">
        <f>IFERROR(Table3[[#This Row],[Quantity (doses)]]/Table3[[#This Row],[Doses per vial or syringe]],"")</f>
        <v/>
      </c>
      <c r="N282" s="127"/>
      <c r="O282" s="127"/>
      <c r="P282" s="381"/>
      <c r="Q282" s="129"/>
      <c r="R282" s="127"/>
      <c r="S282" s="127"/>
      <c r="T282" s="127"/>
      <c r="U282" s="127"/>
      <c r="V282" s="305" t="str">
        <f>_xlfn.IFNA(VLOOKUP(D282,ProductListTbl[],9,0),"")</f>
        <v/>
      </c>
      <c r="W282" s="305" t="str">
        <f>IFERROR(Table3[[#This Row],[Storage space per secondary packaging (cm3)]]*Table3[[#This Row],[Quantity  (vials or syringes)]]/1000,"")</f>
        <v/>
      </c>
      <c r="X282" s="305" t="str">
        <f>IFERROR(Table3[[#This Row],[Storage space per tertiary packaging (cm3)]]*Table3[[#This Row],[Quantity (doses)]]/1000,"")</f>
        <v/>
      </c>
      <c r="Y282" s="293" t="str">
        <f>IF(Table3[[#This Row],[Status]]="Ordered",(DATE(YEAR(P282),MONTH(P282),1)),IF(Table3[[#This Row],[Status]]="Received",(DATE(YEAR(Q282),MONTH(Q282),1)),""))</f>
        <v/>
      </c>
      <c r="Z282" s="304" t="str">
        <f t="shared" si="16"/>
        <v/>
      </c>
      <c r="AA282" s="48" t="str">
        <f t="shared" si="17"/>
        <v/>
      </c>
      <c r="AB282" s="48" t="str">
        <f t="shared" si="18"/>
        <v/>
      </c>
      <c r="AC282" s="292" t="str">
        <f t="shared" si="19"/>
        <v/>
      </c>
      <c r="AD282" s="48" t="str">
        <f>IF(Table3[[#This Row],[Actual Arrival date]]&gt;0,IF(Table3[[#This Row],[Expected arrival date]]&gt;0,Table3[[#This Row],[Actual Arrival date]]-Table3[[#This Row],[Expected arrival date]],""),"")</f>
        <v/>
      </c>
    </row>
    <row r="283" spans="1:30" x14ac:dyDescent="0.25">
      <c r="A283" s="303" t="str">
        <f>Start!$D$7</f>
        <v>Anyland</v>
      </c>
      <c r="B283" s="48" t="str">
        <f>_xlfn.IFNA(VLOOKUP(A283,list!B:C,2,FALSE),"")</f>
        <v>ANY</v>
      </c>
      <c r="C283" s="48"/>
      <c r="D283" s="127"/>
      <c r="E283" s="48" t="str">
        <f>_xlfn.IFNA(VLOOKUP(Table3[[#This Row],[Product]], ProductListTbl[], 3, 0), "")</f>
        <v/>
      </c>
      <c r="F283" s="303" t="str">
        <f>_xlfn.IFNA(VLOOKUP(D283,ProductListTbl[],5,0),"")</f>
        <v/>
      </c>
      <c r="G283" s="303" t="str">
        <f>_xlfn.IFNA(VLOOKUP(D283,ProductListTbl[],6,0),"")</f>
        <v/>
      </c>
      <c r="H283" s="130" t="str">
        <f>_xlfn.IFNA(VLOOKUP(D283,ProductListTbl[],7,0),"")</f>
        <v/>
      </c>
      <c r="I283" s="130" t="str">
        <f>_xlfn.IFNA(VLOOKUP(D283,ProductListTbl[],8,0),"")</f>
        <v/>
      </c>
      <c r="J283" s="127"/>
      <c r="K283" s="129"/>
      <c r="L283" s="128"/>
      <c r="M283" s="305" t="str">
        <f>IFERROR(Table3[[#This Row],[Quantity (doses)]]/Table3[[#This Row],[Doses per vial or syringe]],"")</f>
        <v/>
      </c>
      <c r="N283" s="127"/>
      <c r="O283" s="127"/>
      <c r="P283" s="381"/>
      <c r="Q283" s="129"/>
      <c r="R283" s="127"/>
      <c r="S283" s="127"/>
      <c r="T283" s="127"/>
      <c r="U283" s="127"/>
      <c r="V283" s="305" t="str">
        <f>_xlfn.IFNA(VLOOKUP(D283,ProductListTbl[],9,0),"")</f>
        <v/>
      </c>
      <c r="W283" s="305" t="str">
        <f>IFERROR(Table3[[#This Row],[Storage space per secondary packaging (cm3)]]*Table3[[#This Row],[Quantity  (vials or syringes)]]/1000,"")</f>
        <v/>
      </c>
      <c r="X283" s="305" t="str">
        <f>IFERROR(Table3[[#This Row],[Storage space per tertiary packaging (cm3)]]*Table3[[#This Row],[Quantity (doses)]]/1000,"")</f>
        <v/>
      </c>
      <c r="Y283" s="293" t="str">
        <f>IF(Table3[[#This Row],[Status]]="Ordered",(DATE(YEAR(P283),MONTH(P283),1)),IF(Table3[[#This Row],[Status]]="Received",(DATE(YEAR(Q283),MONTH(Q283),1)),""))</f>
        <v/>
      </c>
      <c r="Z283" s="304" t="str">
        <f t="shared" si="16"/>
        <v/>
      </c>
      <c r="AA283" s="48" t="str">
        <f t="shared" si="17"/>
        <v/>
      </c>
      <c r="AB283" s="48" t="str">
        <f t="shared" si="18"/>
        <v/>
      </c>
      <c r="AC283" s="292" t="str">
        <f t="shared" si="19"/>
        <v/>
      </c>
      <c r="AD283" s="48" t="str">
        <f>IF(Table3[[#This Row],[Actual Arrival date]]&gt;0,IF(Table3[[#This Row],[Expected arrival date]]&gt;0,Table3[[#This Row],[Actual Arrival date]]-Table3[[#This Row],[Expected arrival date]],""),"")</f>
        <v/>
      </c>
    </row>
    <row r="284" spans="1:30" x14ac:dyDescent="0.25">
      <c r="A284" s="303" t="str">
        <f>Start!$D$7</f>
        <v>Anyland</v>
      </c>
      <c r="B284" s="48" t="str">
        <f>_xlfn.IFNA(VLOOKUP(A284,list!B:C,2,FALSE),"")</f>
        <v>ANY</v>
      </c>
      <c r="C284" s="48"/>
      <c r="D284" s="127"/>
      <c r="E284" s="48" t="str">
        <f>_xlfn.IFNA(VLOOKUP(Table3[[#This Row],[Product]], ProductListTbl[], 3, 0), "")</f>
        <v/>
      </c>
      <c r="F284" s="303" t="str">
        <f>_xlfn.IFNA(VLOOKUP(D284,ProductListTbl[],5,0),"")</f>
        <v/>
      </c>
      <c r="G284" s="303" t="str">
        <f>_xlfn.IFNA(VLOOKUP(D284,ProductListTbl[],6,0),"")</f>
        <v/>
      </c>
      <c r="H284" s="130" t="str">
        <f>_xlfn.IFNA(VLOOKUP(D284,ProductListTbl[],7,0),"")</f>
        <v/>
      </c>
      <c r="I284" s="130" t="str">
        <f>_xlfn.IFNA(VLOOKUP(D284,ProductListTbl[],8,0),"")</f>
        <v/>
      </c>
      <c r="J284" s="127"/>
      <c r="K284" s="129"/>
      <c r="L284" s="128"/>
      <c r="M284" s="305" t="str">
        <f>IFERROR(Table3[[#This Row],[Quantity (doses)]]/Table3[[#This Row],[Doses per vial or syringe]],"")</f>
        <v/>
      </c>
      <c r="N284" s="127"/>
      <c r="O284" s="127"/>
      <c r="P284" s="381"/>
      <c r="Q284" s="129"/>
      <c r="R284" s="127"/>
      <c r="S284" s="127"/>
      <c r="T284" s="127"/>
      <c r="U284" s="127"/>
      <c r="V284" s="305" t="str">
        <f>_xlfn.IFNA(VLOOKUP(D284,ProductListTbl[],9,0),"")</f>
        <v/>
      </c>
      <c r="W284" s="305" t="str">
        <f>IFERROR(Table3[[#This Row],[Storage space per secondary packaging (cm3)]]*Table3[[#This Row],[Quantity  (vials or syringes)]]/1000,"")</f>
        <v/>
      </c>
      <c r="X284" s="305" t="str">
        <f>IFERROR(Table3[[#This Row],[Storage space per tertiary packaging (cm3)]]*Table3[[#This Row],[Quantity (doses)]]/1000,"")</f>
        <v/>
      </c>
      <c r="Y284" s="293" t="str">
        <f>IF(Table3[[#This Row],[Status]]="Ordered",(DATE(YEAR(P284),MONTH(P284),1)),IF(Table3[[#This Row],[Status]]="Received",(DATE(YEAR(Q284),MONTH(Q284),1)),""))</f>
        <v/>
      </c>
      <c r="Z284" s="304" t="str">
        <f t="shared" si="16"/>
        <v/>
      </c>
      <c r="AA284" s="48" t="str">
        <f t="shared" si="17"/>
        <v/>
      </c>
      <c r="AB284" s="48" t="str">
        <f t="shared" si="18"/>
        <v/>
      </c>
      <c r="AC284" s="292" t="str">
        <f t="shared" si="19"/>
        <v/>
      </c>
      <c r="AD284" s="48" t="str">
        <f>IF(Table3[[#This Row],[Actual Arrival date]]&gt;0,IF(Table3[[#This Row],[Expected arrival date]]&gt;0,Table3[[#This Row],[Actual Arrival date]]-Table3[[#This Row],[Expected arrival date]],""),"")</f>
        <v/>
      </c>
    </row>
    <row r="285" spans="1:30" x14ac:dyDescent="0.25">
      <c r="A285" s="303" t="str">
        <f>Start!$D$7</f>
        <v>Anyland</v>
      </c>
      <c r="B285" s="48" t="str">
        <f>_xlfn.IFNA(VLOOKUP(A285,list!B:C,2,FALSE),"")</f>
        <v>ANY</v>
      </c>
      <c r="C285" s="48"/>
      <c r="D285" s="127"/>
      <c r="E285" s="48" t="str">
        <f>_xlfn.IFNA(VLOOKUP(Table3[[#This Row],[Product]], ProductListTbl[], 3, 0), "")</f>
        <v/>
      </c>
      <c r="F285" s="303" t="str">
        <f>_xlfn.IFNA(VLOOKUP(D285,ProductListTbl[],5,0),"")</f>
        <v/>
      </c>
      <c r="G285" s="303" t="str">
        <f>_xlfn.IFNA(VLOOKUP(D285,ProductListTbl[],6,0),"")</f>
        <v/>
      </c>
      <c r="H285" s="130" t="str">
        <f>_xlfn.IFNA(VLOOKUP(D285,ProductListTbl[],7,0),"")</f>
        <v/>
      </c>
      <c r="I285" s="130" t="str">
        <f>_xlfn.IFNA(VLOOKUP(D285,ProductListTbl[],8,0),"")</f>
        <v/>
      </c>
      <c r="J285" s="127"/>
      <c r="K285" s="129"/>
      <c r="L285" s="128"/>
      <c r="M285" s="305" t="str">
        <f>IFERROR(Table3[[#This Row],[Quantity (doses)]]/Table3[[#This Row],[Doses per vial or syringe]],"")</f>
        <v/>
      </c>
      <c r="N285" s="127"/>
      <c r="O285" s="127"/>
      <c r="P285" s="381"/>
      <c r="Q285" s="129"/>
      <c r="R285" s="127"/>
      <c r="S285" s="127"/>
      <c r="T285" s="127"/>
      <c r="U285" s="127"/>
      <c r="V285" s="305" t="str">
        <f>_xlfn.IFNA(VLOOKUP(D285,ProductListTbl[],9,0),"")</f>
        <v/>
      </c>
      <c r="W285" s="305" t="str">
        <f>IFERROR(Table3[[#This Row],[Storage space per secondary packaging (cm3)]]*Table3[[#This Row],[Quantity  (vials or syringes)]]/1000,"")</f>
        <v/>
      </c>
      <c r="X285" s="305" t="str">
        <f>IFERROR(Table3[[#This Row],[Storage space per tertiary packaging (cm3)]]*Table3[[#This Row],[Quantity (doses)]]/1000,"")</f>
        <v/>
      </c>
      <c r="Y285" s="293" t="str">
        <f>IF(Table3[[#This Row],[Status]]="Ordered",(DATE(YEAR(P285),MONTH(P285),1)),IF(Table3[[#This Row],[Status]]="Received",(DATE(YEAR(Q285),MONTH(Q285),1)),""))</f>
        <v/>
      </c>
      <c r="Z285" s="304" t="str">
        <f t="shared" si="16"/>
        <v/>
      </c>
      <c r="AA285" s="48" t="str">
        <f t="shared" si="17"/>
        <v/>
      </c>
      <c r="AB285" s="48" t="str">
        <f t="shared" si="18"/>
        <v/>
      </c>
      <c r="AC285" s="292" t="str">
        <f t="shared" si="19"/>
        <v/>
      </c>
      <c r="AD285" s="48" t="str">
        <f>IF(Table3[[#This Row],[Actual Arrival date]]&gt;0,IF(Table3[[#This Row],[Expected arrival date]]&gt;0,Table3[[#This Row],[Actual Arrival date]]-Table3[[#This Row],[Expected arrival date]],""),"")</f>
        <v/>
      </c>
    </row>
    <row r="286" spans="1:30" x14ac:dyDescent="0.25">
      <c r="A286" s="303" t="str">
        <f>Start!$D$7</f>
        <v>Anyland</v>
      </c>
      <c r="B286" s="48" t="str">
        <f>_xlfn.IFNA(VLOOKUP(A286,list!B:C,2,FALSE),"")</f>
        <v>ANY</v>
      </c>
      <c r="C286" s="48"/>
      <c r="D286" s="127"/>
      <c r="E286" s="48" t="str">
        <f>_xlfn.IFNA(VLOOKUP(Table3[[#This Row],[Product]], ProductListTbl[], 3, 0), "")</f>
        <v/>
      </c>
      <c r="F286" s="303" t="str">
        <f>_xlfn.IFNA(VLOOKUP(D286,ProductListTbl[],5,0),"")</f>
        <v/>
      </c>
      <c r="G286" s="303" t="str">
        <f>_xlfn.IFNA(VLOOKUP(D286,ProductListTbl[],6,0),"")</f>
        <v/>
      </c>
      <c r="H286" s="130" t="str">
        <f>_xlfn.IFNA(VLOOKUP(D286,ProductListTbl[],7,0),"")</f>
        <v/>
      </c>
      <c r="I286" s="130" t="str">
        <f>_xlfn.IFNA(VLOOKUP(D286,ProductListTbl[],8,0),"")</f>
        <v/>
      </c>
      <c r="J286" s="127"/>
      <c r="K286" s="129"/>
      <c r="L286" s="128"/>
      <c r="M286" s="305" t="str">
        <f>IFERROR(Table3[[#This Row],[Quantity (doses)]]/Table3[[#This Row],[Doses per vial or syringe]],"")</f>
        <v/>
      </c>
      <c r="N286" s="127"/>
      <c r="O286" s="127"/>
      <c r="P286" s="381"/>
      <c r="Q286" s="129"/>
      <c r="R286" s="127"/>
      <c r="S286" s="127"/>
      <c r="T286" s="127"/>
      <c r="U286" s="127"/>
      <c r="V286" s="305" t="str">
        <f>_xlfn.IFNA(VLOOKUP(D286,ProductListTbl[],9,0),"")</f>
        <v/>
      </c>
      <c r="W286" s="305" t="str">
        <f>IFERROR(Table3[[#This Row],[Storage space per secondary packaging (cm3)]]*Table3[[#This Row],[Quantity  (vials or syringes)]]/1000,"")</f>
        <v/>
      </c>
      <c r="X286" s="305" t="str">
        <f>IFERROR(Table3[[#This Row],[Storage space per tertiary packaging (cm3)]]*Table3[[#This Row],[Quantity (doses)]]/1000,"")</f>
        <v/>
      </c>
      <c r="Y286" s="293" t="str">
        <f>IF(Table3[[#This Row],[Status]]="Ordered",(DATE(YEAR(P286),MONTH(P286),1)),IF(Table3[[#This Row],[Status]]="Received",(DATE(YEAR(Q286),MONTH(Q286),1)),""))</f>
        <v/>
      </c>
      <c r="Z286" s="304" t="str">
        <f t="shared" si="16"/>
        <v/>
      </c>
      <c r="AA286" s="48" t="str">
        <f t="shared" si="17"/>
        <v/>
      </c>
      <c r="AB286" s="48" t="str">
        <f t="shared" si="18"/>
        <v/>
      </c>
      <c r="AC286" s="292" t="str">
        <f t="shared" si="19"/>
        <v/>
      </c>
      <c r="AD286" s="48" t="str">
        <f>IF(Table3[[#This Row],[Actual Arrival date]]&gt;0,IF(Table3[[#This Row],[Expected arrival date]]&gt;0,Table3[[#This Row],[Actual Arrival date]]-Table3[[#This Row],[Expected arrival date]],""),"")</f>
        <v/>
      </c>
    </row>
    <row r="287" spans="1:30" x14ac:dyDescent="0.25">
      <c r="A287" s="303" t="str">
        <f>Start!$D$7</f>
        <v>Anyland</v>
      </c>
      <c r="B287" s="48" t="str">
        <f>_xlfn.IFNA(VLOOKUP(A287,list!B:C,2,FALSE),"")</f>
        <v>ANY</v>
      </c>
      <c r="C287" s="48"/>
      <c r="D287" s="127"/>
      <c r="E287" s="48" t="str">
        <f>_xlfn.IFNA(VLOOKUP(Table3[[#This Row],[Product]], ProductListTbl[], 3, 0), "")</f>
        <v/>
      </c>
      <c r="F287" s="303" t="str">
        <f>_xlfn.IFNA(VLOOKUP(D287,ProductListTbl[],5,0),"")</f>
        <v/>
      </c>
      <c r="G287" s="303" t="str">
        <f>_xlfn.IFNA(VLOOKUP(D287,ProductListTbl[],6,0),"")</f>
        <v/>
      </c>
      <c r="H287" s="130" t="str">
        <f>_xlfn.IFNA(VLOOKUP(D287,ProductListTbl[],7,0),"")</f>
        <v/>
      </c>
      <c r="I287" s="130" t="str">
        <f>_xlfn.IFNA(VLOOKUP(D287,ProductListTbl[],8,0),"")</f>
        <v/>
      </c>
      <c r="J287" s="127"/>
      <c r="K287" s="129"/>
      <c r="L287" s="128"/>
      <c r="M287" s="305" t="str">
        <f>IFERROR(Table3[[#This Row],[Quantity (doses)]]/Table3[[#This Row],[Doses per vial or syringe]],"")</f>
        <v/>
      </c>
      <c r="N287" s="127"/>
      <c r="O287" s="127"/>
      <c r="P287" s="381"/>
      <c r="Q287" s="129"/>
      <c r="R287" s="127"/>
      <c r="S287" s="127"/>
      <c r="T287" s="127"/>
      <c r="U287" s="127"/>
      <c r="V287" s="305" t="str">
        <f>_xlfn.IFNA(VLOOKUP(D287,ProductListTbl[],9,0),"")</f>
        <v/>
      </c>
      <c r="W287" s="305" t="str">
        <f>IFERROR(Table3[[#This Row],[Storage space per secondary packaging (cm3)]]*Table3[[#This Row],[Quantity  (vials or syringes)]]/1000,"")</f>
        <v/>
      </c>
      <c r="X287" s="305" t="str">
        <f>IFERROR(Table3[[#This Row],[Storage space per tertiary packaging (cm3)]]*Table3[[#This Row],[Quantity (doses)]]/1000,"")</f>
        <v/>
      </c>
      <c r="Y287" s="293" t="str">
        <f>IF(Table3[[#This Row],[Status]]="Ordered",(DATE(YEAR(P287),MONTH(P287),1)),IF(Table3[[#This Row],[Status]]="Received",(DATE(YEAR(Q287),MONTH(Q287),1)),""))</f>
        <v/>
      </c>
      <c r="Z287" s="304" t="str">
        <f t="shared" si="16"/>
        <v/>
      </c>
      <c r="AA287" s="48" t="str">
        <f t="shared" si="17"/>
        <v/>
      </c>
      <c r="AB287" s="48" t="str">
        <f t="shared" si="18"/>
        <v/>
      </c>
      <c r="AC287" s="292" t="str">
        <f t="shared" si="19"/>
        <v/>
      </c>
      <c r="AD287" s="48" t="str">
        <f>IF(Table3[[#This Row],[Actual Arrival date]]&gt;0,IF(Table3[[#This Row],[Expected arrival date]]&gt;0,Table3[[#This Row],[Actual Arrival date]]-Table3[[#This Row],[Expected arrival date]],""),"")</f>
        <v/>
      </c>
    </row>
    <row r="288" spans="1:30" x14ac:dyDescent="0.25">
      <c r="A288" s="303" t="str">
        <f>Start!$D$7</f>
        <v>Anyland</v>
      </c>
      <c r="B288" s="48" t="str">
        <f>_xlfn.IFNA(VLOOKUP(A288,list!B:C,2,FALSE),"")</f>
        <v>ANY</v>
      </c>
      <c r="C288" s="48"/>
      <c r="D288" s="127"/>
      <c r="E288" s="48" t="str">
        <f>_xlfn.IFNA(VLOOKUP(Table3[[#This Row],[Product]], ProductListTbl[], 3, 0), "")</f>
        <v/>
      </c>
      <c r="F288" s="303" t="str">
        <f>_xlfn.IFNA(VLOOKUP(D288,ProductListTbl[],5,0),"")</f>
        <v/>
      </c>
      <c r="G288" s="303" t="str">
        <f>_xlfn.IFNA(VLOOKUP(D288,ProductListTbl[],6,0),"")</f>
        <v/>
      </c>
      <c r="H288" s="130" t="str">
        <f>_xlfn.IFNA(VLOOKUP(D288,ProductListTbl[],7,0),"")</f>
        <v/>
      </c>
      <c r="I288" s="130" t="str">
        <f>_xlfn.IFNA(VLOOKUP(D288,ProductListTbl[],8,0),"")</f>
        <v/>
      </c>
      <c r="J288" s="127"/>
      <c r="K288" s="129"/>
      <c r="L288" s="128"/>
      <c r="M288" s="305" t="str">
        <f>IFERROR(Table3[[#This Row],[Quantity (doses)]]/Table3[[#This Row],[Doses per vial or syringe]],"")</f>
        <v/>
      </c>
      <c r="N288" s="127"/>
      <c r="O288" s="127"/>
      <c r="P288" s="381"/>
      <c r="Q288" s="129"/>
      <c r="R288" s="127"/>
      <c r="S288" s="127"/>
      <c r="T288" s="127"/>
      <c r="U288" s="127"/>
      <c r="V288" s="305" t="str">
        <f>_xlfn.IFNA(VLOOKUP(D288,ProductListTbl[],9,0),"")</f>
        <v/>
      </c>
      <c r="W288" s="305" t="str">
        <f>IFERROR(Table3[[#This Row],[Storage space per secondary packaging (cm3)]]*Table3[[#This Row],[Quantity  (vials or syringes)]]/1000,"")</f>
        <v/>
      </c>
      <c r="X288" s="305" t="str">
        <f>IFERROR(Table3[[#This Row],[Storage space per tertiary packaging (cm3)]]*Table3[[#This Row],[Quantity (doses)]]/1000,"")</f>
        <v/>
      </c>
      <c r="Y288" s="293" t="str">
        <f>IF(Table3[[#This Row],[Status]]="Ordered",(DATE(YEAR(P288),MONTH(P288),1)),IF(Table3[[#This Row],[Status]]="Received",(DATE(YEAR(Q288),MONTH(Q288),1)),""))</f>
        <v/>
      </c>
      <c r="Z288" s="304" t="str">
        <f t="shared" si="16"/>
        <v/>
      </c>
      <c r="AA288" s="48" t="str">
        <f t="shared" si="17"/>
        <v/>
      </c>
      <c r="AB288" s="48" t="str">
        <f t="shared" si="18"/>
        <v/>
      </c>
      <c r="AC288" s="292" t="str">
        <f t="shared" si="19"/>
        <v/>
      </c>
      <c r="AD288" s="48" t="str">
        <f>IF(Table3[[#This Row],[Actual Arrival date]]&gt;0,IF(Table3[[#This Row],[Expected arrival date]]&gt;0,Table3[[#This Row],[Actual Arrival date]]-Table3[[#This Row],[Expected arrival date]],""),"")</f>
        <v/>
      </c>
    </row>
    <row r="289" spans="1:30" x14ac:dyDescent="0.25">
      <c r="A289" s="303" t="str">
        <f>Start!$D$7</f>
        <v>Anyland</v>
      </c>
      <c r="B289" s="48" t="str">
        <f>_xlfn.IFNA(VLOOKUP(A289,list!B:C,2,FALSE),"")</f>
        <v>ANY</v>
      </c>
      <c r="C289" s="48"/>
      <c r="D289" s="127"/>
      <c r="E289" s="48" t="str">
        <f>_xlfn.IFNA(VLOOKUP(Table3[[#This Row],[Product]], ProductListTbl[], 3, 0), "")</f>
        <v/>
      </c>
      <c r="F289" s="303" t="str">
        <f>_xlfn.IFNA(VLOOKUP(D289,ProductListTbl[],5,0),"")</f>
        <v/>
      </c>
      <c r="G289" s="303" t="str">
        <f>_xlfn.IFNA(VLOOKUP(D289,ProductListTbl[],6,0),"")</f>
        <v/>
      </c>
      <c r="H289" s="130" t="str">
        <f>_xlfn.IFNA(VLOOKUP(D289,ProductListTbl[],7,0),"")</f>
        <v/>
      </c>
      <c r="I289" s="130" t="str">
        <f>_xlfn.IFNA(VLOOKUP(D289,ProductListTbl[],8,0),"")</f>
        <v/>
      </c>
      <c r="J289" s="127"/>
      <c r="K289" s="129"/>
      <c r="L289" s="128"/>
      <c r="M289" s="305" t="str">
        <f>IFERROR(Table3[[#This Row],[Quantity (doses)]]/Table3[[#This Row],[Doses per vial or syringe]],"")</f>
        <v/>
      </c>
      <c r="N289" s="127"/>
      <c r="O289" s="127"/>
      <c r="P289" s="381"/>
      <c r="Q289" s="129"/>
      <c r="R289" s="127"/>
      <c r="S289" s="127"/>
      <c r="T289" s="127"/>
      <c r="U289" s="127"/>
      <c r="V289" s="305" t="str">
        <f>_xlfn.IFNA(VLOOKUP(D289,ProductListTbl[],9,0),"")</f>
        <v/>
      </c>
      <c r="W289" s="305" t="str">
        <f>IFERROR(Table3[[#This Row],[Storage space per secondary packaging (cm3)]]*Table3[[#This Row],[Quantity  (vials or syringes)]]/1000,"")</f>
        <v/>
      </c>
      <c r="X289" s="305" t="str">
        <f>IFERROR(Table3[[#This Row],[Storage space per tertiary packaging (cm3)]]*Table3[[#This Row],[Quantity (doses)]]/1000,"")</f>
        <v/>
      </c>
      <c r="Y289" s="293" t="str">
        <f>IF(Table3[[#This Row],[Status]]="Ordered",(DATE(YEAR(P289),MONTH(P289),1)),IF(Table3[[#This Row],[Status]]="Received",(DATE(YEAR(Q289),MONTH(Q289),1)),""))</f>
        <v/>
      </c>
      <c r="Z289" s="304" t="str">
        <f t="shared" si="16"/>
        <v/>
      </c>
      <c r="AA289" s="48" t="str">
        <f t="shared" si="17"/>
        <v/>
      </c>
      <c r="AB289" s="48" t="str">
        <f t="shared" si="18"/>
        <v/>
      </c>
      <c r="AC289" s="292" t="str">
        <f t="shared" si="19"/>
        <v/>
      </c>
      <c r="AD289" s="48" t="str">
        <f>IF(Table3[[#This Row],[Actual Arrival date]]&gt;0,IF(Table3[[#This Row],[Expected arrival date]]&gt;0,Table3[[#This Row],[Actual Arrival date]]-Table3[[#This Row],[Expected arrival date]],""),"")</f>
        <v/>
      </c>
    </row>
    <row r="290" spans="1:30" x14ac:dyDescent="0.25">
      <c r="A290" s="303" t="str">
        <f>Start!$D$7</f>
        <v>Anyland</v>
      </c>
      <c r="B290" s="48" t="str">
        <f>_xlfn.IFNA(VLOOKUP(A290,list!B:C,2,FALSE),"")</f>
        <v>ANY</v>
      </c>
      <c r="C290" s="48"/>
      <c r="D290" s="127"/>
      <c r="E290" s="48" t="str">
        <f>_xlfn.IFNA(VLOOKUP(Table3[[#This Row],[Product]], ProductListTbl[], 3, 0), "")</f>
        <v/>
      </c>
      <c r="F290" s="303" t="str">
        <f>_xlfn.IFNA(VLOOKUP(D290,ProductListTbl[],5,0),"")</f>
        <v/>
      </c>
      <c r="G290" s="303" t="str">
        <f>_xlfn.IFNA(VLOOKUP(D290,ProductListTbl[],6,0),"")</f>
        <v/>
      </c>
      <c r="H290" s="130" t="str">
        <f>_xlfn.IFNA(VLOOKUP(D290,ProductListTbl[],7,0),"")</f>
        <v/>
      </c>
      <c r="I290" s="130" t="str">
        <f>_xlfn.IFNA(VLOOKUP(D290,ProductListTbl[],8,0),"")</f>
        <v/>
      </c>
      <c r="J290" s="127"/>
      <c r="K290" s="129"/>
      <c r="L290" s="128"/>
      <c r="M290" s="305" t="str">
        <f>IFERROR(Table3[[#This Row],[Quantity (doses)]]/Table3[[#This Row],[Doses per vial or syringe]],"")</f>
        <v/>
      </c>
      <c r="N290" s="127"/>
      <c r="O290" s="127"/>
      <c r="P290" s="381"/>
      <c r="Q290" s="129"/>
      <c r="R290" s="127"/>
      <c r="S290" s="127"/>
      <c r="T290" s="127"/>
      <c r="U290" s="127"/>
      <c r="V290" s="305" t="str">
        <f>_xlfn.IFNA(VLOOKUP(D290,ProductListTbl[],9,0),"")</f>
        <v/>
      </c>
      <c r="W290" s="305" t="str">
        <f>IFERROR(Table3[[#This Row],[Storage space per secondary packaging (cm3)]]*Table3[[#This Row],[Quantity  (vials or syringes)]]/1000,"")</f>
        <v/>
      </c>
      <c r="X290" s="305" t="str">
        <f>IFERROR(Table3[[#This Row],[Storage space per tertiary packaging (cm3)]]*Table3[[#This Row],[Quantity (doses)]]/1000,"")</f>
        <v/>
      </c>
      <c r="Y290" s="293" t="str">
        <f>IF(Table3[[#This Row],[Status]]="Ordered",(DATE(YEAR(P290),MONTH(P290),1)),IF(Table3[[#This Row],[Status]]="Received",(DATE(YEAR(Q290),MONTH(Q290),1)),""))</f>
        <v/>
      </c>
      <c r="Z290" s="304" t="str">
        <f t="shared" si="16"/>
        <v/>
      </c>
      <c r="AA290" s="48" t="str">
        <f t="shared" si="17"/>
        <v/>
      </c>
      <c r="AB290" s="48" t="str">
        <f t="shared" si="18"/>
        <v/>
      </c>
      <c r="AC290" s="292" t="str">
        <f t="shared" si="19"/>
        <v/>
      </c>
      <c r="AD290" s="48" t="str">
        <f>IF(Table3[[#This Row],[Actual Arrival date]]&gt;0,IF(Table3[[#This Row],[Expected arrival date]]&gt;0,Table3[[#This Row],[Actual Arrival date]]-Table3[[#This Row],[Expected arrival date]],""),"")</f>
        <v/>
      </c>
    </row>
    <row r="291" spans="1:30" x14ac:dyDescent="0.25">
      <c r="A291" s="303" t="str">
        <f>Start!$D$7</f>
        <v>Anyland</v>
      </c>
      <c r="B291" s="48" t="str">
        <f>_xlfn.IFNA(VLOOKUP(A291,list!B:C,2,FALSE),"")</f>
        <v>ANY</v>
      </c>
      <c r="C291" s="48"/>
      <c r="D291" s="127"/>
      <c r="E291" s="48" t="str">
        <f>_xlfn.IFNA(VLOOKUP(Table3[[#This Row],[Product]], ProductListTbl[], 3, 0), "")</f>
        <v/>
      </c>
      <c r="F291" s="303" t="str">
        <f>_xlfn.IFNA(VLOOKUP(D291,ProductListTbl[],5,0),"")</f>
        <v/>
      </c>
      <c r="G291" s="303" t="str">
        <f>_xlfn.IFNA(VLOOKUP(D291,ProductListTbl[],6,0),"")</f>
        <v/>
      </c>
      <c r="H291" s="130" t="str">
        <f>_xlfn.IFNA(VLOOKUP(D291,ProductListTbl[],7,0),"")</f>
        <v/>
      </c>
      <c r="I291" s="130" t="str">
        <f>_xlfn.IFNA(VLOOKUP(D291,ProductListTbl[],8,0),"")</f>
        <v/>
      </c>
      <c r="J291" s="127"/>
      <c r="K291" s="129"/>
      <c r="L291" s="128"/>
      <c r="M291" s="305" t="str">
        <f>IFERROR(Table3[[#This Row],[Quantity (doses)]]/Table3[[#This Row],[Doses per vial or syringe]],"")</f>
        <v/>
      </c>
      <c r="N291" s="127"/>
      <c r="O291" s="127"/>
      <c r="P291" s="381"/>
      <c r="Q291" s="129"/>
      <c r="R291" s="127"/>
      <c r="S291" s="127"/>
      <c r="T291" s="127"/>
      <c r="U291" s="127"/>
      <c r="V291" s="305" t="str">
        <f>_xlfn.IFNA(VLOOKUP(D291,ProductListTbl[],9,0),"")</f>
        <v/>
      </c>
      <c r="W291" s="305" t="str">
        <f>IFERROR(Table3[[#This Row],[Storage space per secondary packaging (cm3)]]*Table3[[#This Row],[Quantity  (vials or syringes)]]/1000,"")</f>
        <v/>
      </c>
      <c r="X291" s="305" t="str">
        <f>IFERROR(Table3[[#This Row],[Storage space per tertiary packaging (cm3)]]*Table3[[#This Row],[Quantity (doses)]]/1000,"")</f>
        <v/>
      </c>
      <c r="Y291" s="293" t="str">
        <f>IF(Table3[[#This Row],[Status]]="Ordered",(DATE(YEAR(P291),MONTH(P291),1)),IF(Table3[[#This Row],[Status]]="Received",(DATE(YEAR(Q291),MONTH(Q291),1)),""))</f>
        <v/>
      </c>
      <c r="Z291" s="304" t="str">
        <f t="shared" si="16"/>
        <v/>
      </c>
      <c r="AA291" s="48" t="str">
        <f t="shared" si="17"/>
        <v/>
      </c>
      <c r="AB291" s="48" t="str">
        <f t="shared" si="18"/>
        <v/>
      </c>
      <c r="AC291" s="292" t="str">
        <f t="shared" si="19"/>
        <v/>
      </c>
      <c r="AD291" s="48" t="str">
        <f>IF(Table3[[#This Row],[Actual Arrival date]]&gt;0,IF(Table3[[#This Row],[Expected arrival date]]&gt;0,Table3[[#This Row],[Actual Arrival date]]-Table3[[#This Row],[Expected arrival date]],""),"")</f>
        <v/>
      </c>
    </row>
    <row r="292" spans="1:30" x14ac:dyDescent="0.25">
      <c r="A292" s="303" t="str">
        <f>Start!$D$7</f>
        <v>Anyland</v>
      </c>
      <c r="B292" s="48" t="str">
        <f>_xlfn.IFNA(VLOOKUP(A292,list!B:C,2,FALSE),"")</f>
        <v>ANY</v>
      </c>
      <c r="C292" s="48"/>
      <c r="D292" s="127"/>
      <c r="E292" s="48" t="str">
        <f>_xlfn.IFNA(VLOOKUP(Table3[[#This Row],[Product]], ProductListTbl[], 3, 0), "")</f>
        <v/>
      </c>
      <c r="F292" s="303" t="str">
        <f>_xlfn.IFNA(VLOOKUP(D292,ProductListTbl[],5,0),"")</f>
        <v/>
      </c>
      <c r="G292" s="303" t="str">
        <f>_xlfn.IFNA(VLOOKUP(D292,ProductListTbl[],6,0),"")</f>
        <v/>
      </c>
      <c r="H292" s="130" t="str">
        <f>_xlfn.IFNA(VLOOKUP(D292,ProductListTbl[],7,0),"")</f>
        <v/>
      </c>
      <c r="I292" s="130" t="str">
        <f>_xlfn.IFNA(VLOOKUP(D292,ProductListTbl[],8,0),"")</f>
        <v/>
      </c>
      <c r="J292" s="127"/>
      <c r="K292" s="129"/>
      <c r="L292" s="128"/>
      <c r="M292" s="305" t="str">
        <f>IFERROR(Table3[[#This Row],[Quantity (doses)]]/Table3[[#This Row],[Doses per vial or syringe]],"")</f>
        <v/>
      </c>
      <c r="N292" s="127"/>
      <c r="O292" s="127"/>
      <c r="P292" s="381"/>
      <c r="Q292" s="129"/>
      <c r="R292" s="127"/>
      <c r="S292" s="127"/>
      <c r="T292" s="127"/>
      <c r="U292" s="127"/>
      <c r="V292" s="305" t="str">
        <f>_xlfn.IFNA(VLOOKUP(D292,ProductListTbl[],9,0),"")</f>
        <v/>
      </c>
      <c r="W292" s="305" t="str">
        <f>IFERROR(Table3[[#This Row],[Storage space per secondary packaging (cm3)]]*Table3[[#This Row],[Quantity  (vials or syringes)]]/1000,"")</f>
        <v/>
      </c>
      <c r="X292" s="305" t="str">
        <f>IFERROR(Table3[[#This Row],[Storage space per tertiary packaging (cm3)]]*Table3[[#This Row],[Quantity (doses)]]/1000,"")</f>
        <v/>
      </c>
      <c r="Y292" s="293" t="str">
        <f>IF(Table3[[#This Row],[Status]]="Ordered",(DATE(YEAR(P292),MONTH(P292),1)),IF(Table3[[#This Row],[Status]]="Received",(DATE(YEAR(Q292),MONTH(Q292),1)),""))</f>
        <v/>
      </c>
      <c r="Z292" s="304" t="str">
        <f t="shared" si="16"/>
        <v/>
      </c>
      <c r="AA292" s="48" t="str">
        <f t="shared" si="17"/>
        <v/>
      </c>
      <c r="AB292" s="48" t="str">
        <f t="shared" si="18"/>
        <v/>
      </c>
      <c r="AC292" s="292" t="str">
        <f t="shared" si="19"/>
        <v/>
      </c>
      <c r="AD292" s="48" t="str">
        <f>IF(Table3[[#This Row],[Actual Arrival date]]&gt;0,IF(Table3[[#This Row],[Expected arrival date]]&gt;0,Table3[[#This Row],[Actual Arrival date]]-Table3[[#This Row],[Expected arrival date]],""),"")</f>
        <v/>
      </c>
    </row>
    <row r="293" spans="1:30" x14ac:dyDescent="0.25">
      <c r="A293" s="303" t="str">
        <f>Start!$D$7</f>
        <v>Anyland</v>
      </c>
      <c r="B293" s="48" t="str">
        <f>_xlfn.IFNA(VLOOKUP(A293,list!B:C,2,FALSE),"")</f>
        <v>ANY</v>
      </c>
      <c r="C293" s="48"/>
      <c r="D293" s="127"/>
      <c r="E293" s="48" t="str">
        <f>_xlfn.IFNA(VLOOKUP(Table3[[#This Row],[Product]], ProductListTbl[], 3, 0), "")</f>
        <v/>
      </c>
      <c r="F293" s="303" t="str">
        <f>_xlfn.IFNA(VLOOKUP(D293,ProductListTbl[],5,0),"")</f>
        <v/>
      </c>
      <c r="G293" s="303" t="str">
        <f>_xlfn.IFNA(VLOOKUP(D293,ProductListTbl[],6,0),"")</f>
        <v/>
      </c>
      <c r="H293" s="130" t="str">
        <f>_xlfn.IFNA(VLOOKUP(D293,ProductListTbl[],7,0),"")</f>
        <v/>
      </c>
      <c r="I293" s="130" t="str">
        <f>_xlfn.IFNA(VLOOKUP(D293,ProductListTbl[],8,0),"")</f>
        <v/>
      </c>
      <c r="J293" s="127"/>
      <c r="K293" s="129"/>
      <c r="L293" s="128"/>
      <c r="M293" s="305" t="str">
        <f>IFERROR(Table3[[#This Row],[Quantity (doses)]]/Table3[[#This Row],[Doses per vial or syringe]],"")</f>
        <v/>
      </c>
      <c r="N293" s="127"/>
      <c r="O293" s="127"/>
      <c r="P293" s="381"/>
      <c r="Q293" s="129"/>
      <c r="R293" s="127"/>
      <c r="S293" s="127"/>
      <c r="T293" s="127"/>
      <c r="U293" s="127"/>
      <c r="V293" s="305" t="str">
        <f>_xlfn.IFNA(VLOOKUP(D293,ProductListTbl[],9,0),"")</f>
        <v/>
      </c>
      <c r="W293" s="305" t="str">
        <f>IFERROR(Table3[[#This Row],[Storage space per secondary packaging (cm3)]]*Table3[[#This Row],[Quantity  (vials or syringes)]]/1000,"")</f>
        <v/>
      </c>
      <c r="X293" s="305" t="str">
        <f>IFERROR(Table3[[#This Row],[Storage space per tertiary packaging (cm3)]]*Table3[[#This Row],[Quantity (doses)]]/1000,"")</f>
        <v/>
      </c>
      <c r="Y293" s="293" t="str">
        <f>IF(Table3[[#This Row],[Status]]="Ordered",(DATE(YEAR(P293),MONTH(P293),1)),IF(Table3[[#This Row],[Status]]="Received",(DATE(YEAR(Q293),MONTH(Q293),1)),""))</f>
        <v/>
      </c>
      <c r="Z293" s="304" t="str">
        <f t="shared" si="16"/>
        <v/>
      </c>
      <c r="AA293" s="48" t="str">
        <f t="shared" si="17"/>
        <v/>
      </c>
      <c r="AB293" s="48" t="str">
        <f t="shared" si="18"/>
        <v/>
      </c>
      <c r="AC293" s="292" t="str">
        <f t="shared" si="19"/>
        <v/>
      </c>
      <c r="AD293" s="48" t="str">
        <f>IF(Table3[[#This Row],[Actual Arrival date]]&gt;0,IF(Table3[[#This Row],[Expected arrival date]]&gt;0,Table3[[#This Row],[Actual Arrival date]]-Table3[[#This Row],[Expected arrival date]],""),"")</f>
        <v/>
      </c>
    </row>
    <row r="294" spans="1:30" x14ac:dyDescent="0.25">
      <c r="A294" s="303" t="str">
        <f>Start!$D$7</f>
        <v>Anyland</v>
      </c>
      <c r="B294" s="48" t="str">
        <f>_xlfn.IFNA(VLOOKUP(A294,list!B:C,2,FALSE),"")</f>
        <v>ANY</v>
      </c>
      <c r="C294" s="48"/>
      <c r="D294" s="127"/>
      <c r="E294" s="48" t="str">
        <f>_xlfn.IFNA(VLOOKUP(Table3[[#This Row],[Product]], ProductListTbl[], 3, 0), "")</f>
        <v/>
      </c>
      <c r="F294" s="303" t="str">
        <f>_xlfn.IFNA(VLOOKUP(D294,ProductListTbl[],5,0),"")</f>
        <v/>
      </c>
      <c r="G294" s="303" t="str">
        <f>_xlfn.IFNA(VLOOKUP(D294,ProductListTbl[],6,0),"")</f>
        <v/>
      </c>
      <c r="H294" s="130" t="str">
        <f>_xlfn.IFNA(VLOOKUP(D294,ProductListTbl[],7,0),"")</f>
        <v/>
      </c>
      <c r="I294" s="130" t="str">
        <f>_xlfn.IFNA(VLOOKUP(D294,ProductListTbl[],8,0),"")</f>
        <v/>
      </c>
      <c r="J294" s="127"/>
      <c r="K294" s="129"/>
      <c r="L294" s="128"/>
      <c r="M294" s="305" t="str">
        <f>IFERROR(Table3[[#This Row],[Quantity (doses)]]/Table3[[#This Row],[Doses per vial or syringe]],"")</f>
        <v/>
      </c>
      <c r="N294" s="127"/>
      <c r="O294" s="127"/>
      <c r="P294" s="381"/>
      <c r="Q294" s="129"/>
      <c r="R294" s="127"/>
      <c r="S294" s="127"/>
      <c r="T294" s="127"/>
      <c r="U294" s="127"/>
      <c r="V294" s="305" t="str">
        <f>_xlfn.IFNA(VLOOKUP(D294,ProductListTbl[],9,0),"")</f>
        <v/>
      </c>
      <c r="W294" s="305" t="str">
        <f>IFERROR(Table3[[#This Row],[Storage space per secondary packaging (cm3)]]*Table3[[#This Row],[Quantity  (vials or syringes)]]/1000,"")</f>
        <v/>
      </c>
      <c r="X294" s="305" t="str">
        <f>IFERROR(Table3[[#This Row],[Storage space per tertiary packaging (cm3)]]*Table3[[#This Row],[Quantity (doses)]]/1000,"")</f>
        <v/>
      </c>
      <c r="Y294" s="293" t="str">
        <f>IF(Table3[[#This Row],[Status]]="Ordered",(DATE(YEAR(P294),MONTH(P294),1)),IF(Table3[[#This Row],[Status]]="Received",(DATE(YEAR(Q294),MONTH(Q294),1)),""))</f>
        <v/>
      </c>
      <c r="Z294" s="304" t="str">
        <f t="shared" si="16"/>
        <v/>
      </c>
      <c r="AA294" s="48" t="str">
        <f t="shared" si="17"/>
        <v/>
      </c>
      <c r="AB294" s="48" t="str">
        <f t="shared" si="18"/>
        <v/>
      </c>
      <c r="AC294" s="292" t="str">
        <f t="shared" si="19"/>
        <v/>
      </c>
      <c r="AD294" s="48" t="str">
        <f>IF(Table3[[#This Row],[Actual Arrival date]]&gt;0,IF(Table3[[#This Row],[Expected arrival date]]&gt;0,Table3[[#This Row],[Actual Arrival date]]-Table3[[#This Row],[Expected arrival date]],""),"")</f>
        <v/>
      </c>
    </row>
    <row r="295" spans="1:30" x14ac:dyDescent="0.25">
      <c r="A295" s="303" t="str">
        <f>Start!$D$7</f>
        <v>Anyland</v>
      </c>
      <c r="B295" s="48" t="str">
        <f>_xlfn.IFNA(VLOOKUP(A295,list!B:C,2,FALSE),"")</f>
        <v>ANY</v>
      </c>
      <c r="C295" s="48"/>
      <c r="D295" s="127"/>
      <c r="E295" s="48" t="str">
        <f>_xlfn.IFNA(VLOOKUP(Table3[[#This Row],[Product]], ProductListTbl[], 3, 0), "")</f>
        <v/>
      </c>
      <c r="F295" s="303" t="str">
        <f>_xlfn.IFNA(VLOOKUP(D295,ProductListTbl[],5,0),"")</f>
        <v/>
      </c>
      <c r="G295" s="303" t="str">
        <f>_xlfn.IFNA(VLOOKUP(D295,ProductListTbl[],6,0),"")</f>
        <v/>
      </c>
      <c r="H295" s="130" t="str">
        <f>_xlfn.IFNA(VLOOKUP(D295,ProductListTbl[],7,0),"")</f>
        <v/>
      </c>
      <c r="I295" s="130" t="str">
        <f>_xlfn.IFNA(VLOOKUP(D295,ProductListTbl[],8,0),"")</f>
        <v/>
      </c>
      <c r="J295" s="127"/>
      <c r="K295" s="129"/>
      <c r="L295" s="128"/>
      <c r="M295" s="305" t="str">
        <f>IFERROR(Table3[[#This Row],[Quantity (doses)]]/Table3[[#This Row],[Doses per vial or syringe]],"")</f>
        <v/>
      </c>
      <c r="N295" s="127"/>
      <c r="O295" s="127"/>
      <c r="P295" s="381"/>
      <c r="Q295" s="129"/>
      <c r="R295" s="127"/>
      <c r="S295" s="127"/>
      <c r="T295" s="127"/>
      <c r="U295" s="127"/>
      <c r="V295" s="305" t="str">
        <f>_xlfn.IFNA(VLOOKUP(D295,ProductListTbl[],9,0),"")</f>
        <v/>
      </c>
      <c r="W295" s="305" t="str">
        <f>IFERROR(Table3[[#This Row],[Storage space per secondary packaging (cm3)]]*Table3[[#This Row],[Quantity  (vials or syringes)]]/1000,"")</f>
        <v/>
      </c>
      <c r="X295" s="305" t="str">
        <f>IFERROR(Table3[[#This Row],[Storage space per tertiary packaging (cm3)]]*Table3[[#This Row],[Quantity (doses)]]/1000,"")</f>
        <v/>
      </c>
      <c r="Y295" s="293" t="str">
        <f>IF(Table3[[#This Row],[Status]]="Ordered",(DATE(YEAR(P295),MONTH(P295),1)),IF(Table3[[#This Row],[Status]]="Received",(DATE(YEAR(Q295),MONTH(Q295),1)),""))</f>
        <v/>
      </c>
      <c r="Z295" s="304" t="str">
        <f t="shared" si="16"/>
        <v/>
      </c>
      <c r="AA295" s="48" t="str">
        <f t="shared" si="17"/>
        <v/>
      </c>
      <c r="AB295" s="48" t="str">
        <f t="shared" si="18"/>
        <v/>
      </c>
      <c r="AC295" s="292" t="str">
        <f t="shared" si="19"/>
        <v/>
      </c>
      <c r="AD295" s="48" t="str">
        <f>IF(Table3[[#This Row],[Actual Arrival date]]&gt;0,IF(Table3[[#This Row],[Expected arrival date]]&gt;0,Table3[[#This Row],[Actual Arrival date]]-Table3[[#This Row],[Expected arrival date]],""),"")</f>
        <v/>
      </c>
    </row>
    <row r="296" spans="1:30" x14ac:dyDescent="0.25">
      <c r="A296" s="303" t="str">
        <f>Start!$D$7</f>
        <v>Anyland</v>
      </c>
      <c r="B296" s="48" t="str">
        <f>_xlfn.IFNA(VLOOKUP(A296,list!B:C,2,FALSE),"")</f>
        <v>ANY</v>
      </c>
      <c r="C296" s="48"/>
      <c r="D296" s="127"/>
      <c r="E296" s="48" t="str">
        <f>_xlfn.IFNA(VLOOKUP(Table3[[#This Row],[Product]], ProductListTbl[], 3, 0), "")</f>
        <v/>
      </c>
      <c r="F296" s="303" t="str">
        <f>_xlfn.IFNA(VLOOKUP(D296,ProductListTbl[],5,0),"")</f>
        <v/>
      </c>
      <c r="G296" s="303" t="str">
        <f>_xlfn.IFNA(VLOOKUP(D296,ProductListTbl[],6,0),"")</f>
        <v/>
      </c>
      <c r="H296" s="130" t="str">
        <f>_xlfn.IFNA(VLOOKUP(D296,ProductListTbl[],7,0),"")</f>
        <v/>
      </c>
      <c r="I296" s="130" t="str">
        <f>_xlfn.IFNA(VLOOKUP(D296,ProductListTbl[],8,0),"")</f>
        <v/>
      </c>
      <c r="J296" s="127"/>
      <c r="K296" s="129"/>
      <c r="L296" s="128"/>
      <c r="M296" s="305" t="str">
        <f>IFERROR(Table3[[#This Row],[Quantity (doses)]]/Table3[[#This Row],[Doses per vial or syringe]],"")</f>
        <v/>
      </c>
      <c r="N296" s="127"/>
      <c r="O296" s="127"/>
      <c r="P296" s="381"/>
      <c r="Q296" s="129"/>
      <c r="R296" s="127"/>
      <c r="S296" s="127"/>
      <c r="T296" s="127"/>
      <c r="U296" s="127"/>
      <c r="V296" s="305" t="str">
        <f>_xlfn.IFNA(VLOOKUP(D296,ProductListTbl[],9,0),"")</f>
        <v/>
      </c>
      <c r="W296" s="305" t="str">
        <f>IFERROR(Table3[[#This Row],[Storage space per secondary packaging (cm3)]]*Table3[[#This Row],[Quantity  (vials or syringes)]]/1000,"")</f>
        <v/>
      </c>
      <c r="X296" s="305" t="str">
        <f>IFERROR(Table3[[#This Row],[Storage space per tertiary packaging (cm3)]]*Table3[[#This Row],[Quantity (doses)]]/1000,"")</f>
        <v/>
      </c>
      <c r="Y296" s="293" t="str">
        <f>IF(Table3[[#This Row],[Status]]="Ordered",(DATE(YEAR(P296),MONTH(P296),1)),IF(Table3[[#This Row],[Status]]="Received",(DATE(YEAR(Q296),MONTH(Q296),1)),""))</f>
        <v/>
      </c>
      <c r="Z296" s="304" t="str">
        <f t="shared" si="16"/>
        <v/>
      </c>
      <c r="AA296" s="48" t="str">
        <f t="shared" si="17"/>
        <v/>
      </c>
      <c r="AB296" s="48" t="str">
        <f t="shared" si="18"/>
        <v/>
      </c>
      <c r="AC296" s="292" t="str">
        <f t="shared" si="19"/>
        <v/>
      </c>
      <c r="AD296" s="48" t="str">
        <f>IF(Table3[[#This Row],[Actual Arrival date]]&gt;0,IF(Table3[[#This Row],[Expected arrival date]]&gt;0,Table3[[#This Row],[Actual Arrival date]]-Table3[[#This Row],[Expected arrival date]],""),"")</f>
        <v/>
      </c>
    </row>
    <row r="297" spans="1:30" x14ac:dyDescent="0.25">
      <c r="A297" s="303" t="str">
        <f>Start!$D$7</f>
        <v>Anyland</v>
      </c>
      <c r="B297" s="48" t="str">
        <f>_xlfn.IFNA(VLOOKUP(A297,list!B:C,2,FALSE),"")</f>
        <v>ANY</v>
      </c>
      <c r="C297" s="48"/>
      <c r="D297" s="127"/>
      <c r="E297" s="48" t="str">
        <f>_xlfn.IFNA(VLOOKUP(Table3[[#This Row],[Product]], ProductListTbl[], 3, 0), "")</f>
        <v/>
      </c>
      <c r="F297" s="303" t="str">
        <f>_xlfn.IFNA(VLOOKUP(D297,ProductListTbl[],5,0),"")</f>
        <v/>
      </c>
      <c r="G297" s="303" t="str">
        <f>_xlfn.IFNA(VLOOKUP(D297,ProductListTbl[],6,0),"")</f>
        <v/>
      </c>
      <c r="H297" s="130" t="str">
        <f>_xlfn.IFNA(VLOOKUP(D297,ProductListTbl[],7,0),"")</f>
        <v/>
      </c>
      <c r="I297" s="130" t="str">
        <f>_xlfn.IFNA(VLOOKUP(D297,ProductListTbl[],8,0),"")</f>
        <v/>
      </c>
      <c r="J297" s="127"/>
      <c r="K297" s="129"/>
      <c r="L297" s="128"/>
      <c r="M297" s="305" t="str">
        <f>IFERROR(Table3[[#This Row],[Quantity (doses)]]/Table3[[#This Row],[Doses per vial or syringe]],"")</f>
        <v/>
      </c>
      <c r="N297" s="127"/>
      <c r="O297" s="127"/>
      <c r="P297" s="381"/>
      <c r="Q297" s="129"/>
      <c r="R297" s="127"/>
      <c r="S297" s="127"/>
      <c r="T297" s="127"/>
      <c r="U297" s="127"/>
      <c r="V297" s="305" t="str">
        <f>_xlfn.IFNA(VLOOKUP(D297,ProductListTbl[],9,0),"")</f>
        <v/>
      </c>
      <c r="W297" s="305" t="str">
        <f>IFERROR(Table3[[#This Row],[Storage space per secondary packaging (cm3)]]*Table3[[#This Row],[Quantity  (vials or syringes)]]/1000,"")</f>
        <v/>
      </c>
      <c r="X297" s="305" t="str">
        <f>IFERROR(Table3[[#This Row],[Storage space per tertiary packaging (cm3)]]*Table3[[#This Row],[Quantity (doses)]]/1000,"")</f>
        <v/>
      </c>
      <c r="Y297" s="293" t="str">
        <f>IF(Table3[[#This Row],[Status]]="Ordered",(DATE(YEAR(P297),MONTH(P297),1)),IF(Table3[[#This Row],[Status]]="Received",(DATE(YEAR(Q297),MONTH(Q297),1)),""))</f>
        <v/>
      </c>
      <c r="Z297" s="304" t="str">
        <f t="shared" si="16"/>
        <v/>
      </c>
      <c r="AA297" s="48" t="str">
        <f t="shared" si="17"/>
        <v/>
      </c>
      <c r="AB297" s="48" t="str">
        <f t="shared" si="18"/>
        <v/>
      </c>
      <c r="AC297" s="292" t="str">
        <f t="shared" si="19"/>
        <v/>
      </c>
      <c r="AD297" s="48" t="str">
        <f>IF(Table3[[#This Row],[Actual Arrival date]]&gt;0,IF(Table3[[#This Row],[Expected arrival date]]&gt;0,Table3[[#This Row],[Actual Arrival date]]-Table3[[#This Row],[Expected arrival date]],""),"")</f>
        <v/>
      </c>
    </row>
    <row r="298" spans="1:30" x14ac:dyDescent="0.25">
      <c r="A298" s="303" t="str">
        <f>Start!$D$7</f>
        <v>Anyland</v>
      </c>
      <c r="B298" s="48" t="str">
        <f>_xlfn.IFNA(VLOOKUP(A298,list!B:C,2,FALSE),"")</f>
        <v>ANY</v>
      </c>
      <c r="C298" s="48"/>
      <c r="D298" s="127"/>
      <c r="E298" s="48" t="str">
        <f>_xlfn.IFNA(VLOOKUP(Table3[[#This Row],[Product]], ProductListTbl[], 3, 0), "")</f>
        <v/>
      </c>
      <c r="F298" s="303" t="str">
        <f>_xlfn.IFNA(VLOOKUP(D298,ProductListTbl[],5,0),"")</f>
        <v/>
      </c>
      <c r="G298" s="303" t="str">
        <f>_xlfn.IFNA(VLOOKUP(D298,ProductListTbl[],6,0),"")</f>
        <v/>
      </c>
      <c r="H298" s="130" t="str">
        <f>_xlfn.IFNA(VLOOKUP(D298,ProductListTbl[],7,0),"")</f>
        <v/>
      </c>
      <c r="I298" s="130" t="str">
        <f>_xlfn.IFNA(VLOOKUP(D298,ProductListTbl[],8,0),"")</f>
        <v/>
      </c>
      <c r="J298" s="127"/>
      <c r="K298" s="129"/>
      <c r="L298" s="128"/>
      <c r="M298" s="305" t="str">
        <f>IFERROR(Table3[[#This Row],[Quantity (doses)]]/Table3[[#This Row],[Doses per vial or syringe]],"")</f>
        <v/>
      </c>
      <c r="N298" s="127"/>
      <c r="O298" s="127"/>
      <c r="P298" s="381"/>
      <c r="Q298" s="129"/>
      <c r="R298" s="127"/>
      <c r="S298" s="127"/>
      <c r="T298" s="127"/>
      <c r="U298" s="127"/>
      <c r="V298" s="305" t="str">
        <f>_xlfn.IFNA(VLOOKUP(D298,ProductListTbl[],9,0),"")</f>
        <v/>
      </c>
      <c r="W298" s="305" t="str">
        <f>IFERROR(Table3[[#This Row],[Storage space per secondary packaging (cm3)]]*Table3[[#This Row],[Quantity  (vials or syringes)]]/1000,"")</f>
        <v/>
      </c>
      <c r="X298" s="305" t="str">
        <f>IFERROR(Table3[[#This Row],[Storage space per tertiary packaging (cm3)]]*Table3[[#This Row],[Quantity (doses)]]/1000,"")</f>
        <v/>
      </c>
      <c r="Y298" s="293" t="str">
        <f>IF(Table3[[#This Row],[Status]]="Ordered",(DATE(YEAR(P298),MONTH(P298),1)),IF(Table3[[#This Row],[Status]]="Received",(DATE(YEAR(Q298),MONTH(Q298),1)),""))</f>
        <v/>
      </c>
      <c r="Z298" s="304" t="str">
        <f t="shared" si="16"/>
        <v/>
      </c>
      <c r="AA298" s="48" t="str">
        <f t="shared" si="17"/>
        <v/>
      </c>
      <c r="AB298" s="48" t="str">
        <f t="shared" si="18"/>
        <v/>
      </c>
      <c r="AC298" s="292" t="str">
        <f t="shared" si="19"/>
        <v/>
      </c>
      <c r="AD298" s="48" t="str">
        <f>IF(Table3[[#This Row],[Actual Arrival date]]&gt;0,IF(Table3[[#This Row],[Expected arrival date]]&gt;0,Table3[[#This Row],[Actual Arrival date]]-Table3[[#This Row],[Expected arrival date]],""),"")</f>
        <v/>
      </c>
    </row>
    <row r="299" spans="1:30" x14ac:dyDescent="0.25">
      <c r="A299" s="303" t="str">
        <f>Start!$D$7</f>
        <v>Anyland</v>
      </c>
      <c r="B299" s="48" t="str">
        <f>_xlfn.IFNA(VLOOKUP(A299,list!B:C,2,FALSE),"")</f>
        <v>ANY</v>
      </c>
      <c r="C299" s="48"/>
      <c r="D299" s="127"/>
      <c r="E299" s="48" t="str">
        <f>_xlfn.IFNA(VLOOKUP(Table3[[#This Row],[Product]], ProductListTbl[], 3, 0), "")</f>
        <v/>
      </c>
      <c r="F299" s="303" t="str">
        <f>_xlfn.IFNA(VLOOKUP(D299,ProductListTbl[],5,0),"")</f>
        <v/>
      </c>
      <c r="G299" s="303" t="str">
        <f>_xlfn.IFNA(VLOOKUP(D299,ProductListTbl[],6,0),"")</f>
        <v/>
      </c>
      <c r="H299" s="130" t="str">
        <f>_xlfn.IFNA(VLOOKUP(D299,ProductListTbl[],7,0),"")</f>
        <v/>
      </c>
      <c r="I299" s="130" t="str">
        <f>_xlfn.IFNA(VLOOKUP(D299,ProductListTbl[],8,0),"")</f>
        <v/>
      </c>
      <c r="J299" s="127"/>
      <c r="K299" s="129"/>
      <c r="L299" s="128"/>
      <c r="M299" s="305" t="str">
        <f>IFERROR(Table3[[#This Row],[Quantity (doses)]]/Table3[[#This Row],[Doses per vial or syringe]],"")</f>
        <v/>
      </c>
      <c r="N299" s="127"/>
      <c r="O299" s="127"/>
      <c r="P299" s="381"/>
      <c r="Q299" s="129"/>
      <c r="R299" s="127"/>
      <c r="S299" s="127"/>
      <c r="T299" s="127"/>
      <c r="U299" s="127"/>
      <c r="V299" s="305" t="str">
        <f>_xlfn.IFNA(VLOOKUP(D299,ProductListTbl[],9,0),"")</f>
        <v/>
      </c>
      <c r="W299" s="305" t="str">
        <f>IFERROR(Table3[[#This Row],[Storage space per secondary packaging (cm3)]]*Table3[[#This Row],[Quantity  (vials or syringes)]]/1000,"")</f>
        <v/>
      </c>
      <c r="X299" s="305" t="str">
        <f>IFERROR(Table3[[#This Row],[Storage space per tertiary packaging (cm3)]]*Table3[[#This Row],[Quantity (doses)]]/1000,"")</f>
        <v/>
      </c>
      <c r="Y299" s="293" t="str">
        <f>IF(Table3[[#This Row],[Status]]="Ordered",(DATE(YEAR(P299),MONTH(P299),1)),IF(Table3[[#This Row],[Status]]="Received",(DATE(YEAR(Q299),MONTH(Q299),1)),""))</f>
        <v/>
      </c>
      <c r="Z299" s="304" t="str">
        <f t="shared" si="16"/>
        <v/>
      </c>
      <c r="AA299" s="48" t="str">
        <f t="shared" si="17"/>
        <v/>
      </c>
      <c r="AB299" s="48" t="str">
        <f t="shared" si="18"/>
        <v/>
      </c>
      <c r="AC299" s="292" t="str">
        <f t="shared" si="19"/>
        <v/>
      </c>
      <c r="AD299" s="48" t="str">
        <f>IF(Table3[[#This Row],[Actual Arrival date]]&gt;0,IF(Table3[[#This Row],[Expected arrival date]]&gt;0,Table3[[#This Row],[Actual Arrival date]]-Table3[[#This Row],[Expected arrival date]],""),"")</f>
        <v/>
      </c>
    </row>
    <row r="300" spans="1:30" x14ac:dyDescent="0.25">
      <c r="A300" s="303" t="str">
        <f>Start!$D$7</f>
        <v>Anyland</v>
      </c>
      <c r="B300" s="48" t="str">
        <f>_xlfn.IFNA(VLOOKUP(A300,list!B:C,2,FALSE),"")</f>
        <v>ANY</v>
      </c>
      <c r="C300" s="48"/>
      <c r="D300" s="127"/>
      <c r="E300" s="48" t="str">
        <f>_xlfn.IFNA(VLOOKUP(Table3[[#This Row],[Product]], ProductListTbl[], 3, 0), "")</f>
        <v/>
      </c>
      <c r="F300" s="303" t="str">
        <f>_xlfn.IFNA(VLOOKUP(D300,ProductListTbl[],5,0),"")</f>
        <v/>
      </c>
      <c r="G300" s="303" t="str">
        <f>_xlfn.IFNA(VLOOKUP(D300,ProductListTbl[],6,0),"")</f>
        <v/>
      </c>
      <c r="H300" s="130" t="str">
        <f>_xlfn.IFNA(VLOOKUP(D300,ProductListTbl[],7,0),"")</f>
        <v/>
      </c>
      <c r="I300" s="130" t="str">
        <f>_xlfn.IFNA(VLOOKUP(D300,ProductListTbl[],8,0),"")</f>
        <v/>
      </c>
      <c r="J300" s="127"/>
      <c r="K300" s="129"/>
      <c r="L300" s="128"/>
      <c r="M300" s="305" t="str">
        <f>IFERROR(Table3[[#This Row],[Quantity (doses)]]/Table3[[#This Row],[Doses per vial or syringe]],"")</f>
        <v/>
      </c>
      <c r="N300" s="127"/>
      <c r="O300" s="127"/>
      <c r="P300" s="381"/>
      <c r="Q300" s="129"/>
      <c r="R300" s="127"/>
      <c r="S300" s="127"/>
      <c r="T300" s="127"/>
      <c r="U300" s="127"/>
      <c r="V300" s="305" t="str">
        <f>_xlfn.IFNA(VLOOKUP(D300,ProductListTbl[],9,0),"")</f>
        <v/>
      </c>
      <c r="W300" s="305" t="str">
        <f>IFERROR(Table3[[#This Row],[Storage space per secondary packaging (cm3)]]*Table3[[#This Row],[Quantity  (vials or syringes)]]/1000,"")</f>
        <v/>
      </c>
      <c r="X300" s="305" t="str">
        <f>IFERROR(Table3[[#This Row],[Storage space per tertiary packaging (cm3)]]*Table3[[#This Row],[Quantity (doses)]]/1000,"")</f>
        <v/>
      </c>
      <c r="Y300" s="293" t="str">
        <f>IF(Table3[[#This Row],[Status]]="Ordered",(DATE(YEAR(P300),MONTH(P300),1)),IF(Table3[[#This Row],[Status]]="Received",(DATE(YEAR(Q300),MONTH(Q300),1)),""))</f>
        <v/>
      </c>
      <c r="Z300" s="304" t="str">
        <f t="shared" si="16"/>
        <v/>
      </c>
      <c r="AA300" s="48" t="str">
        <f t="shared" si="17"/>
        <v/>
      </c>
      <c r="AB300" s="48" t="str">
        <f t="shared" si="18"/>
        <v/>
      </c>
      <c r="AC300" s="292" t="str">
        <f t="shared" si="19"/>
        <v/>
      </c>
      <c r="AD300" s="48" t="str">
        <f>IF(Table3[[#This Row],[Actual Arrival date]]&gt;0,IF(Table3[[#This Row],[Expected arrival date]]&gt;0,Table3[[#This Row],[Actual Arrival date]]-Table3[[#This Row],[Expected arrival date]],""),"")</f>
        <v/>
      </c>
    </row>
    <row r="301" spans="1:30" x14ac:dyDescent="0.25">
      <c r="A301" s="303" t="str">
        <f>Start!$D$7</f>
        <v>Anyland</v>
      </c>
      <c r="B301" s="48" t="str">
        <f>_xlfn.IFNA(VLOOKUP(A301,list!B:C,2,FALSE),"")</f>
        <v>ANY</v>
      </c>
      <c r="C301" s="48"/>
      <c r="D301" s="127"/>
      <c r="E301" s="48" t="str">
        <f>_xlfn.IFNA(VLOOKUP(Table3[[#This Row],[Product]], ProductListTbl[], 3, 0), "")</f>
        <v/>
      </c>
      <c r="F301" s="303" t="str">
        <f>_xlfn.IFNA(VLOOKUP(D301,ProductListTbl[],5,0),"")</f>
        <v/>
      </c>
      <c r="G301" s="303" t="str">
        <f>_xlfn.IFNA(VLOOKUP(D301,ProductListTbl[],6,0),"")</f>
        <v/>
      </c>
      <c r="H301" s="130" t="str">
        <f>_xlfn.IFNA(VLOOKUP(D301,ProductListTbl[],7,0),"")</f>
        <v/>
      </c>
      <c r="I301" s="130" t="str">
        <f>_xlfn.IFNA(VLOOKUP(D301,ProductListTbl[],8,0),"")</f>
        <v/>
      </c>
      <c r="J301" s="127"/>
      <c r="K301" s="129"/>
      <c r="L301" s="128"/>
      <c r="M301" s="305" t="str">
        <f>IFERROR(Table3[[#This Row],[Quantity (doses)]]/Table3[[#This Row],[Doses per vial or syringe]],"")</f>
        <v/>
      </c>
      <c r="N301" s="127"/>
      <c r="O301" s="127"/>
      <c r="P301" s="381"/>
      <c r="Q301" s="129"/>
      <c r="R301" s="127"/>
      <c r="S301" s="127"/>
      <c r="T301" s="127"/>
      <c r="U301" s="127"/>
      <c r="V301" s="305" t="str">
        <f>_xlfn.IFNA(VLOOKUP(D301,ProductListTbl[],9,0),"")</f>
        <v/>
      </c>
      <c r="W301" s="305" t="str">
        <f>IFERROR(Table3[[#This Row],[Storage space per secondary packaging (cm3)]]*Table3[[#This Row],[Quantity  (vials or syringes)]]/1000,"")</f>
        <v/>
      </c>
      <c r="X301" s="305" t="str">
        <f>IFERROR(Table3[[#This Row],[Storage space per tertiary packaging (cm3)]]*Table3[[#This Row],[Quantity (doses)]]/1000,"")</f>
        <v/>
      </c>
      <c r="Y301" s="293" t="str">
        <f>IF(Table3[[#This Row],[Status]]="Ordered",(DATE(YEAR(P301),MONTH(P301),1)),IF(Table3[[#This Row],[Status]]="Received",(DATE(YEAR(Q301),MONTH(Q301),1)),""))</f>
        <v/>
      </c>
      <c r="Z301" s="304" t="str">
        <f t="shared" si="16"/>
        <v/>
      </c>
      <c r="AA301" s="48" t="str">
        <f t="shared" si="17"/>
        <v/>
      </c>
      <c r="AB301" s="48" t="str">
        <f t="shared" si="18"/>
        <v/>
      </c>
      <c r="AC301" s="292" t="str">
        <f t="shared" si="19"/>
        <v/>
      </c>
      <c r="AD301" s="48" t="str">
        <f>IF(Table3[[#This Row],[Actual Arrival date]]&gt;0,IF(Table3[[#This Row],[Expected arrival date]]&gt;0,Table3[[#This Row],[Actual Arrival date]]-Table3[[#This Row],[Expected arrival date]],""),"")</f>
        <v/>
      </c>
    </row>
    <row r="302" spans="1:30" x14ac:dyDescent="0.25">
      <c r="A302" s="303" t="str">
        <f>Start!$D$7</f>
        <v>Anyland</v>
      </c>
      <c r="B302" s="48" t="str">
        <f>_xlfn.IFNA(VLOOKUP(A302,list!B:C,2,FALSE),"")</f>
        <v>ANY</v>
      </c>
      <c r="C302" s="48"/>
      <c r="D302" s="127"/>
      <c r="E302" s="48" t="str">
        <f>_xlfn.IFNA(VLOOKUP(Table3[[#This Row],[Product]], ProductListTbl[], 3, 0), "")</f>
        <v/>
      </c>
      <c r="F302" s="303" t="str">
        <f>_xlfn.IFNA(VLOOKUP(D302,ProductListTbl[],5,0),"")</f>
        <v/>
      </c>
      <c r="G302" s="303" t="str">
        <f>_xlfn.IFNA(VLOOKUP(D302,ProductListTbl[],6,0),"")</f>
        <v/>
      </c>
      <c r="H302" s="130" t="str">
        <f>_xlfn.IFNA(VLOOKUP(D302,ProductListTbl[],7,0),"")</f>
        <v/>
      </c>
      <c r="I302" s="130" t="str">
        <f>_xlfn.IFNA(VLOOKUP(D302,ProductListTbl[],8,0),"")</f>
        <v/>
      </c>
      <c r="J302" s="127"/>
      <c r="K302" s="129"/>
      <c r="L302" s="128"/>
      <c r="M302" s="305" t="str">
        <f>IFERROR(Table3[[#This Row],[Quantity (doses)]]/Table3[[#This Row],[Doses per vial or syringe]],"")</f>
        <v/>
      </c>
      <c r="N302" s="127"/>
      <c r="O302" s="127"/>
      <c r="P302" s="381"/>
      <c r="Q302" s="129"/>
      <c r="R302" s="127"/>
      <c r="S302" s="127"/>
      <c r="T302" s="127"/>
      <c r="U302" s="127"/>
      <c r="V302" s="305" t="str">
        <f>_xlfn.IFNA(VLOOKUP(D302,ProductListTbl[],9,0),"")</f>
        <v/>
      </c>
      <c r="W302" s="305" t="str">
        <f>IFERROR(Table3[[#This Row],[Storage space per secondary packaging (cm3)]]*Table3[[#This Row],[Quantity  (vials or syringes)]]/1000,"")</f>
        <v/>
      </c>
      <c r="X302" s="305" t="str">
        <f>IFERROR(Table3[[#This Row],[Storage space per tertiary packaging (cm3)]]*Table3[[#This Row],[Quantity (doses)]]/1000,"")</f>
        <v/>
      </c>
      <c r="Y302" s="293" t="str">
        <f>IF(Table3[[#This Row],[Status]]="Ordered",(DATE(YEAR(P302),MONTH(P302),1)),IF(Table3[[#This Row],[Status]]="Received",(DATE(YEAR(Q302),MONTH(Q302),1)),""))</f>
        <v/>
      </c>
      <c r="Z302" s="304" t="str">
        <f t="shared" si="16"/>
        <v/>
      </c>
      <c r="AA302" s="48" t="str">
        <f t="shared" si="17"/>
        <v/>
      </c>
      <c r="AB302" s="48" t="str">
        <f t="shared" si="18"/>
        <v/>
      </c>
      <c r="AC302" s="292" t="str">
        <f t="shared" si="19"/>
        <v/>
      </c>
      <c r="AD302" s="48" t="str">
        <f>IF(Table3[[#This Row],[Actual Arrival date]]&gt;0,IF(Table3[[#This Row],[Expected arrival date]]&gt;0,Table3[[#This Row],[Actual Arrival date]]-Table3[[#This Row],[Expected arrival date]],""),"")</f>
        <v/>
      </c>
    </row>
    <row r="303" spans="1:30" x14ac:dyDescent="0.25">
      <c r="A303" s="303" t="str">
        <f>Start!$D$7</f>
        <v>Anyland</v>
      </c>
      <c r="B303" s="48" t="str">
        <f>_xlfn.IFNA(VLOOKUP(A303,list!B:C,2,FALSE),"")</f>
        <v>ANY</v>
      </c>
      <c r="C303" s="48"/>
      <c r="D303" s="127"/>
      <c r="E303" s="48" t="str">
        <f>_xlfn.IFNA(VLOOKUP(Table3[[#This Row],[Product]], ProductListTbl[], 3, 0), "")</f>
        <v/>
      </c>
      <c r="F303" s="303" t="str">
        <f>_xlfn.IFNA(VLOOKUP(D303,ProductListTbl[],5,0),"")</f>
        <v/>
      </c>
      <c r="G303" s="303" t="str">
        <f>_xlfn.IFNA(VLOOKUP(D303,ProductListTbl[],6,0),"")</f>
        <v/>
      </c>
      <c r="H303" s="130" t="str">
        <f>_xlfn.IFNA(VLOOKUP(D303,ProductListTbl[],7,0),"")</f>
        <v/>
      </c>
      <c r="I303" s="130" t="str">
        <f>_xlfn.IFNA(VLOOKUP(D303,ProductListTbl[],8,0),"")</f>
        <v/>
      </c>
      <c r="J303" s="127"/>
      <c r="K303" s="129"/>
      <c r="L303" s="128"/>
      <c r="M303" s="305" t="str">
        <f>IFERROR(Table3[[#This Row],[Quantity (doses)]]/Table3[[#This Row],[Doses per vial or syringe]],"")</f>
        <v/>
      </c>
      <c r="N303" s="127"/>
      <c r="O303" s="127"/>
      <c r="P303" s="381"/>
      <c r="Q303" s="129"/>
      <c r="R303" s="127"/>
      <c r="S303" s="127"/>
      <c r="T303" s="127"/>
      <c r="U303" s="127"/>
      <c r="V303" s="305" t="str">
        <f>_xlfn.IFNA(VLOOKUP(D303,ProductListTbl[],9,0),"")</f>
        <v/>
      </c>
      <c r="W303" s="305" t="str">
        <f>IFERROR(Table3[[#This Row],[Storage space per secondary packaging (cm3)]]*Table3[[#This Row],[Quantity  (vials or syringes)]]/1000,"")</f>
        <v/>
      </c>
      <c r="X303" s="305" t="str">
        <f>IFERROR(Table3[[#This Row],[Storage space per tertiary packaging (cm3)]]*Table3[[#This Row],[Quantity (doses)]]/1000,"")</f>
        <v/>
      </c>
      <c r="Y303" s="293" t="str">
        <f>IF(Table3[[#This Row],[Status]]="Ordered",(DATE(YEAR(P303),MONTH(P303),1)),IF(Table3[[#This Row],[Status]]="Received",(DATE(YEAR(Q303),MONTH(Q303),1)),""))</f>
        <v/>
      </c>
      <c r="Z303" s="304" t="str">
        <f t="shared" si="16"/>
        <v/>
      </c>
      <c r="AA303" s="48" t="str">
        <f t="shared" si="17"/>
        <v/>
      </c>
      <c r="AB303" s="48" t="str">
        <f t="shared" si="18"/>
        <v/>
      </c>
      <c r="AC303" s="292" t="str">
        <f t="shared" si="19"/>
        <v/>
      </c>
      <c r="AD303" s="48" t="str">
        <f>IF(Table3[[#This Row],[Actual Arrival date]]&gt;0,IF(Table3[[#This Row],[Expected arrival date]]&gt;0,Table3[[#This Row],[Actual Arrival date]]-Table3[[#This Row],[Expected arrival date]],""),"")</f>
        <v/>
      </c>
    </row>
    <row r="304" spans="1:30" x14ac:dyDescent="0.25">
      <c r="A304" s="303" t="str">
        <f>Start!$D$7</f>
        <v>Anyland</v>
      </c>
      <c r="B304" s="48" t="str">
        <f>_xlfn.IFNA(VLOOKUP(A304,list!B:C,2,FALSE),"")</f>
        <v>ANY</v>
      </c>
      <c r="C304" s="48"/>
      <c r="D304" s="127"/>
      <c r="E304" s="48" t="str">
        <f>_xlfn.IFNA(VLOOKUP(Table3[[#This Row],[Product]], ProductListTbl[], 3, 0), "")</f>
        <v/>
      </c>
      <c r="F304" s="303" t="str">
        <f>_xlfn.IFNA(VLOOKUP(D304,ProductListTbl[],5,0),"")</f>
        <v/>
      </c>
      <c r="G304" s="303" t="str">
        <f>_xlfn.IFNA(VLOOKUP(D304,ProductListTbl[],6,0),"")</f>
        <v/>
      </c>
      <c r="H304" s="130" t="str">
        <f>_xlfn.IFNA(VLOOKUP(D304,ProductListTbl[],7,0),"")</f>
        <v/>
      </c>
      <c r="I304" s="130" t="str">
        <f>_xlfn.IFNA(VLOOKUP(D304,ProductListTbl[],8,0),"")</f>
        <v/>
      </c>
      <c r="J304" s="127"/>
      <c r="K304" s="129"/>
      <c r="L304" s="128"/>
      <c r="M304" s="305" t="str">
        <f>IFERROR(Table3[[#This Row],[Quantity (doses)]]/Table3[[#This Row],[Doses per vial or syringe]],"")</f>
        <v/>
      </c>
      <c r="N304" s="127"/>
      <c r="O304" s="127"/>
      <c r="P304" s="381"/>
      <c r="Q304" s="129"/>
      <c r="R304" s="127"/>
      <c r="S304" s="127"/>
      <c r="T304" s="127"/>
      <c r="U304" s="127"/>
      <c r="V304" s="305" t="str">
        <f>_xlfn.IFNA(VLOOKUP(D304,ProductListTbl[],9,0),"")</f>
        <v/>
      </c>
      <c r="W304" s="305" t="str">
        <f>IFERROR(Table3[[#This Row],[Storage space per secondary packaging (cm3)]]*Table3[[#This Row],[Quantity  (vials or syringes)]]/1000,"")</f>
        <v/>
      </c>
      <c r="X304" s="305" t="str">
        <f>IFERROR(Table3[[#This Row],[Storage space per tertiary packaging (cm3)]]*Table3[[#This Row],[Quantity (doses)]]/1000,"")</f>
        <v/>
      </c>
      <c r="Y304" s="293" t="str">
        <f>IF(Table3[[#This Row],[Status]]="Ordered",(DATE(YEAR(P304),MONTH(P304),1)),IF(Table3[[#This Row],[Status]]="Received",(DATE(YEAR(Q304),MONTH(Q304),1)),""))</f>
        <v/>
      </c>
      <c r="Z304" s="304" t="str">
        <f t="shared" si="16"/>
        <v/>
      </c>
      <c r="AA304" s="48" t="str">
        <f t="shared" si="17"/>
        <v/>
      </c>
      <c r="AB304" s="48" t="str">
        <f t="shared" si="18"/>
        <v/>
      </c>
      <c r="AC304" s="292" t="str">
        <f t="shared" si="19"/>
        <v/>
      </c>
      <c r="AD304" s="48" t="str">
        <f>IF(Table3[[#This Row],[Actual Arrival date]]&gt;0,IF(Table3[[#This Row],[Expected arrival date]]&gt;0,Table3[[#This Row],[Actual Arrival date]]-Table3[[#This Row],[Expected arrival date]],""),"")</f>
        <v/>
      </c>
    </row>
    <row r="305" spans="1:30" x14ac:dyDescent="0.25">
      <c r="A305" s="303" t="str">
        <f>Start!$D$7</f>
        <v>Anyland</v>
      </c>
      <c r="B305" s="48" t="str">
        <f>_xlfn.IFNA(VLOOKUP(A305,list!B:C,2,FALSE),"")</f>
        <v>ANY</v>
      </c>
      <c r="C305" s="48"/>
      <c r="D305" s="127"/>
      <c r="E305" s="48" t="str">
        <f>_xlfn.IFNA(VLOOKUP(Table3[[#This Row],[Product]], ProductListTbl[], 3, 0), "")</f>
        <v/>
      </c>
      <c r="F305" s="303" t="str">
        <f>_xlfn.IFNA(VLOOKUP(D305,ProductListTbl[],5,0),"")</f>
        <v/>
      </c>
      <c r="G305" s="303" t="str">
        <f>_xlfn.IFNA(VLOOKUP(D305,ProductListTbl[],6,0),"")</f>
        <v/>
      </c>
      <c r="H305" s="130" t="str">
        <f>_xlfn.IFNA(VLOOKUP(D305,ProductListTbl[],7,0),"")</f>
        <v/>
      </c>
      <c r="I305" s="130" t="str">
        <f>_xlfn.IFNA(VLOOKUP(D305,ProductListTbl[],8,0),"")</f>
        <v/>
      </c>
      <c r="J305" s="127"/>
      <c r="K305" s="129"/>
      <c r="L305" s="128"/>
      <c r="M305" s="305" t="str">
        <f>IFERROR(Table3[[#This Row],[Quantity (doses)]]/Table3[[#This Row],[Doses per vial or syringe]],"")</f>
        <v/>
      </c>
      <c r="N305" s="127"/>
      <c r="O305" s="127"/>
      <c r="P305" s="381"/>
      <c r="Q305" s="129"/>
      <c r="R305" s="127"/>
      <c r="S305" s="127"/>
      <c r="T305" s="127"/>
      <c r="U305" s="127"/>
      <c r="V305" s="305" t="str">
        <f>_xlfn.IFNA(VLOOKUP(D305,ProductListTbl[],9,0),"")</f>
        <v/>
      </c>
      <c r="W305" s="305" t="str">
        <f>IFERROR(Table3[[#This Row],[Storage space per secondary packaging (cm3)]]*Table3[[#This Row],[Quantity  (vials or syringes)]]/1000,"")</f>
        <v/>
      </c>
      <c r="X305" s="305" t="str">
        <f>IFERROR(Table3[[#This Row],[Storage space per tertiary packaging (cm3)]]*Table3[[#This Row],[Quantity (doses)]]/1000,"")</f>
        <v/>
      </c>
      <c r="Y305" s="293" t="str">
        <f>IF(Table3[[#This Row],[Status]]="Ordered",(DATE(YEAR(P305),MONTH(P305),1)),IF(Table3[[#This Row],[Status]]="Received",(DATE(YEAR(Q305),MONTH(Q305),1)),""))</f>
        <v/>
      </c>
      <c r="Z305" s="304" t="str">
        <f t="shared" si="16"/>
        <v/>
      </c>
      <c r="AA305" s="48" t="str">
        <f t="shared" si="17"/>
        <v/>
      </c>
      <c r="AB305" s="48" t="str">
        <f t="shared" si="18"/>
        <v/>
      </c>
      <c r="AC305" s="292" t="str">
        <f t="shared" si="19"/>
        <v/>
      </c>
      <c r="AD305" s="48" t="str">
        <f>IF(Table3[[#This Row],[Actual Arrival date]]&gt;0,IF(Table3[[#This Row],[Expected arrival date]]&gt;0,Table3[[#This Row],[Actual Arrival date]]-Table3[[#This Row],[Expected arrival date]],""),"")</f>
        <v/>
      </c>
    </row>
    <row r="306" spans="1:30" x14ac:dyDescent="0.25">
      <c r="A306" s="303" t="str">
        <f>Start!$D$7</f>
        <v>Anyland</v>
      </c>
      <c r="B306" s="48" t="str">
        <f>_xlfn.IFNA(VLOOKUP(A306,list!B:C,2,FALSE),"")</f>
        <v>ANY</v>
      </c>
      <c r="C306" s="48"/>
      <c r="D306" s="127"/>
      <c r="E306" s="48" t="str">
        <f>_xlfn.IFNA(VLOOKUP(Table3[[#This Row],[Product]], ProductListTbl[], 3, 0), "")</f>
        <v/>
      </c>
      <c r="F306" s="303" t="str">
        <f>_xlfn.IFNA(VLOOKUP(D306,ProductListTbl[],5,0),"")</f>
        <v/>
      </c>
      <c r="G306" s="303" t="str">
        <f>_xlfn.IFNA(VLOOKUP(D306,ProductListTbl[],6,0),"")</f>
        <v/>
      </c>
      <c r="H306" s="130" t="str">
        <f>_xlfn.IFNA(VLOOKUP(D306,ProductListTbl[],7,0),"")</f>
        <v/>
      </c>
      <c r="I306" s="130" t="str">
        <f>_xlfn.IFNA(VLOOKUP(D306,ProductListTbl[],8,0),"")</f>
        <v/>
      </c>
      <c r="J306" s="127"/>
      <c r="K306" s="129"/>
      <c r="L306" s="128"/>
      <c r="M306" s="305" t="str">
        <f>IFERROR(Table3[[#This Row],[Quantity (doses)]]/Table3[[#This Row],[Doses per vial or syringe]],"")</f>
        <v/>
      </c>
      <c r="N306" s="127"/>
      <c r="O306" s="127"/>
      <c r="P306" s="381"/>
      <c r="Q306" s="129"/>
      <c r="R306" s="127"/>
      <c r="S306" s="127"/>
      <c r="T306" s="127"/>
      <c r="U306" s="127"/>
      <c r="V306" s="305" t="str">
        <f>_xlfn.IFNA(VLOOKUP(D306,ProductListTbl[],9,0),"")</f>
        <v/>
      </c>
      <c r="W306" s="305" t="str">
        <f>IFERROR(Table3[[#This Row],[Storage space per secondary packaging (cm3)]]*Table3[[#This Row],[Quantity  (vials or syringes)]]/1000,"")</f>
        <v/>
      </c>
      <c r="X306" s="305" t="str">
        <f>IFERROR(Table3[[#This Row],[Storage space per tertiary packaging (cm3)]]*Table3[[#This Row],[Quantity (doses)]]/1000,"")</f>
        <v/>
      </c>
      <c r="Y306" s="293" t="str">
        <f>IF(Table3[[#This Row],[Status]]="Ordered",(DATE(YEAR(P306),MONTH(P306),1)),IF(Table3[[#This Row],[Status]]="Received",(DATE(YEAR(Q306),MONTH(Q306),1)),""))</f>
        <v/>
      </c>
      <c r="Z306" s="304" t="str">
        <f t="shared" si="16"/>
        <v/>
      </c>
      <c r="AA306" s="48" t="str">
        <f t="shared" si="17"/>
        <v/>
      </c>
      <c r="AB306" s="48" t="str">
        <f t="shared" si="18"/>
        <v/>
      </c>
      <c r="AC306" s="292" t="str">
        <f t="shared" si="19"/>
        <v/>
      </c>
      <c r="AD306" s="48" t="str">
        <f>IF(Table3[[#This Row],[Actual Arrival date]]&gt;0,IF(Table3[[#This Row],[Expected arrival date]]&gt;0,Table3[[#This Row],[Actual Arrival date]]-Table3[[#This Row],[Expected arrival date]],""),"")</f>
        <v/>
      </c>
    </row>
    <row r="307" spans="1:30" x14ac:dyDescent="0.25">
      <c r="A307" s="303" t="str">
        <f>Start!$D$7</f>
        <v>Anyland</v>
      </c>
      <c r="B307" s="48" t="str">
        <f>_xlfn.IFNA(VLOOKUP(A307,list!B:C,2,FALSE),"")</f>
        <v>ANY</v>
      </c>
      <c r="C307" s="48"/>
      <c r="D307" s="127"/>
      <c r="E307" s="48" t="str">
        <f>_xlfn.IFNA(VLOOKUP(Table3[[#This Row],[Product]], ProductListTbl[], 3, 0), "")</f>
        <v/>
      </c>
      <c r="F307" s="303" t="str">
        <f>_xlfn.IFNA(VLOOKUP(D307,ProductListTbl[],5,0),"")</f>
        <v/>
      </c>
      <c r="G307" s="303" t="str">
        <f>_xlfn.IFNA(VLOOKUP(D307,ProductListTbl[],6,0),"")</f>
        <v/>
      </c>
      <c r="H307" s="130" t="str">
        <f>_xlfn.IFNA(VLOOKUP(D307,ProductListTbl[],7,0),"")</f>
        <v/>
      </c>
      <c r="I307" s="130" t="str">
        <f>_xlfn.IFNA(VLOOKUP(D307,ProductListTbl[],8,0),"")</f>
        <v/>
      </c>
      <c r="J307" s="127"/>
      <c r="K307" s="129"/>
      <c r="L307" s="128"/>
      <c r="M307" s="305" t="str">
        <f>IFERROR(Table3[[#This Row],[Quantity (doses)]]/Table3[[#This Row],[Doses per vial or syringe]],"")</f>
        <v/>
      </c>
      <c r="N307" s="127"/>
      <c r="O307" s="127"/>
      <c r="P307" s="381"/>
      <c r="Q307" s="129"/>
      <c r="R307" s="127"/>
      <c r="S307" s="127"/>
      <c r="T307" s="127"/>
      <c r="U307" s="127"/>
      <c r="V307" s="305" t="str">
        <f>_xlfn.IFNA(VLOOKUP(D307,ProductListTbl[],9,0),"")</f>
        <v/>
      </c>
      <c r="W307" s="305" t="str">
        <f>IFERROR(Table3[[#This Row],[Storage space per secondary packaging (cm3)]]*Table3[[#This Row],[Quantity  (vials or syringes)]]/1000,"")</f>
        <v/>
      </c>
      <c r="X307" s="305" t="str">
        <f>IFERROR(Table3[[#This Row],[Storage space per tertiary packaging (cm3)]]*Table3[[#This Row],[Quantity (doses)]]/1000,"")</f>
        <v/>
      </c>
      <c r="Y307" s="293" t="str">
        <f>IF(Table3[[#This Row],[Status]]="Ordered",(DATE(YEAR(P307),MONTH(P307),1)),IF(Table3[[#This Row],[Status]]="Received",(DATE(YEAR(Q307),MONTH(Q307),1)),""))</f>
        <v/>
      </c>
      <c r="Z307" s="304" t="str">
        <f t="shared" si="16"/>
        <v/>
      </c>
      <c r="AA307" s="48" t="str">
        <f t="shared" si="17"/>
        <v/>
      </c>
      <c r="AB307" s="48" t="str">
        <f t="shared" si="18"/>
        <v/>
      </c>
      <c r="AC307" s="292" t="str">
        <f t="shared" si="19"/>
        <v/>
      </c>
      <c r="AD307" s="48" t="str">
        <f>IF(Table3[[#This Row],[Actual Arrival date]]&gt;0,IF(Table3[[#This Row],[Expected arrival date]]&gt;0,Table3[[#This Row],[Actual Arrival date]]-Table3[[#This Row],[Expected arrival date]],""),"")</f>
        <v/>
      </c>
    </row>
    <row r="308" spans="1:30" x14ac:dyDescent="0.25">
      <c r="A308" s="303" t="str">
        <f>Start!$D$7</f>
        <v>Anyland</v>
      </c>
      <c r="B308" s="48" t="str">
        <f>_xlfn.IFNA(VLOOKUP(A308,list!B:C,2,FALSE),"")</f>
        <v>ANY</v>
      </c>
      <c r="C308" s="48"/>
      <c r="D308" s="127"/>
      <c r="E308" s="48" t="str">
        <f>_xlfn.IFNA(VLOOKUP(Table3[[#This Row],[Product]], ProductListTbl[], 3, 0), "")</f>
        <v/>
      </c>
      <c r="F308" s="303" t="str">
        <f>_xlfn.IFNA(VLOOKUP(D308,ProductListTbl[],5,0),"")</f>
        <v/>
      </c>
      <c r="G308" s="303" t="str">
        <f>_xlfn.IFNA(VLOOKUP(D308,ProductListTbl[],6,0),"")</f>
        <v/>
      </c>
      <c r="H308" s="130" t="str">
        <f>_xlfn.IFNA(VLOOKUP(D308,ProductListTbl[],7,0),"")</f>
        <v/>
      </c>
      <c r="I308" s="130" t="str">
        <f>_xlfn.IFNA(VLOOKUP(D308,ProductListTbl[],8,0),"")</f>
        <v/>
      </c>
      <c r="J308" s="127"/>
      <c r="K308" s="129"/>
      <c r="L308" s="128"/>
      <c r="M308" s="305" t="str">
        <f>IFERROR(Table3[[#This Row],[Quantity (doses)]]/Table3[[#This Row],[Doses per vial or syringe]],"")</f>
        <v/>
      </c>
      <c r="N308" s="127"/>
      <c r="O308" s="127"/>
      <c r="P308" s="381"/>
      <c r="Q308" s="129"/>
      <c r="R308" s="127"/>
      <c r="S308" s="127"/>
      <c r="T308" s="127"/>
      <c r="U308" s="127"/>
      <c r="V308" s="305" t="str">
        <f>_xlfn.IFNA(VLOOKUP(D308,ProductListTbl[],9,0),"")</f>
        <v/>
      </c>
      <c r="W308" s="305" t="str">
        <f>IFERROR(Table3[[#This Row],[Storage space per secondary packaging (cm3)]]*Table3[[#This Row],[Quantity  (vials or syringes)]]/1000,"")</f>
        <v/>
      </c>
      <c r="X308" s="305" t="str">
        <f>IFERROR(Table3[[#This Row],[Storage space per tertiary packaging (cm3)]]*Table3[[#This Row],[Quantity (doses)]]/1000,"")</f>
        <v/>
      </c>
      <c r="Y308" s="293" t="str">
        <f>IF(Table3[[#This Row],[Status]]="Ordered",(DATE(YEAR(P308),MONTH(P308),1)),IF(Table3[[#This Row],[Status]]="Received",(DATE(YEAR(Q308),MONTH(Q308),1)),""))</f>
        <v/>
      </c>
      <c r="Z308" s="304" t="str">
        <f t="shared" si="16"/>
        <v/>
      </c>
      <c r="AA308" s="48" t="str">
        <f t="shared" si="17"/>
        <v/>
      </c>
      <c r="AB308" s="48" t="str">
        <f t="shared" si="18"/>
        <v/>
      </c>
      <c r="AC308" s="292" t="str">
        <f t="shared" si="19"/>
        <v/>
      </c>
      <c r="AD308" s="48" t="str">
        <f>IF(Table3[[#This Row],[Actual Arrival date]]&gt;0,IF(Table3[[#This Row],[Expected arrival date]]&gt;0,Table3[[#This Row],[Actual Arrival date]]-Table3[[#This Row],[Expected arrival date]],""),"")</f>
        <v/>
      </c>
    </row>
    <row r="309" spans="1:30" x14ac:dyDescent="0.25">
      <c r="A309" s="303" t="str">
        <f>Start!$D$7</f>
        <v>Anyland</v>
      </c>
      <c r="B309" s="48" t="str">
        <f>_xlfn.IFNA(VLOOKUP(A309,list!B:C,2,FALSE),"")</f>
        <v>ANY</v>
      </c>
      <c r="C309" s="48"/>
      <c r="D309" s="127"/>
      <c r="E309" s="48" t="str">
        <f>_xlfn.IFNA(VLOOKUP(Table3[[#This Row],[Product]], ProductListTbl[], 3, 0), "")</f>
        <v/>
      </c>
      <c r="F309" s="303" t="str">
        <f>_xlfn.IFNA(VLOOKUP(D309,ProductListTbl[],5,0),"")</f>
        <v/>
      </c>
      <c r="G309" s="303" t="str">
        <f>_xlfn.IFNA(VLOOKUP(D309,ProductListTbl[],6,0),"")</f>
        <v/>
      </c>
      <c r="H309" s="130" t="str">
        <f>_xlfn.IFNA(VLOOKUP(D309,ProductListTbl[],7,0),"")</f>
        <v/>
      </c>
      <c r="I309" s="130" t="str">
        <f>_xlfn.IFNA(VLOOKUP(D309,ProductListTbl[],8,0),"")</f>
        <v/>
      </c>
      <c r="J309" s="127"/>
      <c r="K309" s="129"/>
      <c r="L309" s="128"/>
      <c r="M309" s="305" t="str">
        <f>IFERROR(Table3[[#This Row],[Quantity (doses)]]/Table3[[#This Row],[Doses per vial or syringe]],"")</f>
        <v/>
      </c>
      <c r="N309" s="127"/>
      <c r="O309" s="127"/>
      <c r="P309" s="381"/>
      <c r="Q309" s="129"/>
      <c r="R309" s="127"/>
      <c r="S309" s="127"/>
      <c r="T309" s="127"/>
      <c r="U309" s="127"/>
      <c r="V309" s="305" t="str">
        <f>_xlfn.IFNA(VLOOKUP(D309,ProductListTbl[],9,0),"")</f>
        <v/>
      </c>
      <c r="W309" s="305" t="str">
        <f>IFERROR(Table3[[#This Row],[Storage space per secondary packaging (cm3)]]*Table3[[#This Row],[Quantity  (vials or syringes)]]/1000,"")</f>
        <v/>
      </c>
      <c r="X309" s="305" t="str">
        <f>IFERROR(Table3[[#This Row],[Storage space per tertiary packaging (cm3)]]*Table3[[#This Row],[Quantity (doses)]]/1000,"")</f>
        <v/>
      </c>
      <c r="Y309" s="293" t="str">
        <f>IF(Table3[[#This Row],[Status]]="Ordered",(DATE(YEAR(P309),MONTH(P309),1)),IF(Table3[[#This Row],[Status]]="Received",(DATE(YEAR(Q309),MONTH(Q309),1)),""))</f>
        <v/>
      </c>
      <c r="Z309" s="304" t="str">
        <f t="shared" si="16"/>
        <v/>
      </c>
      <c r="AA309" s="48" t="str">
        <f t="shared" si="17"/>
        <v/>
      </c>
      <c r="AB309" s="48" t="str">
        <f t="shared" si="18"/>
        <v/>
      </c>
      <c r="AC309" s="292" t="str">
        <f t="shared" si="19"/>
        <v/>
      </c>
      <c r="AD309" s="48" t="str">
        <f>IF(Table3[[#This Row],[Actual Arrival date]]&gt;0,IF(Table3[[#This Row],[Expected arrival date]]&gt;0,Table3[[#This Row],[Actual Arrival date]]-Table3[[#This Row],[Expected arrival date]],""),"")</f>
        <v/>
      </c>
    </row>
    <row r="310" spans="1:30" x14ac:dyDescent="0.25">
      <c r="A310" s="303" t="str">
        <f>Start!$D$7</f>
        <v>Anyland</v>
      </c>
      <c r="B310" s="48" t="str">
        <f>_xlfn.IFNA(VLOOKUP(A310,list!B:C,2,FALSE),"")</f>
        <v>ANY</v>
      </c>
      <c r="C310" s="48"/>
      <c r="D310" s="127"/>
      <c r="E310" s="48" t="str">
        <f>_xlfn.IFNA(VLOOKUP(Table3[[#This Row],[Product]], ProductListTbl[], 3, 0), "")</f>
        <v/>
      </c>
      <c r="F310" s="303" t="str">
        <f>_xlfn.IFNA(VLOOKUP(D310,ProductListTbl[],5,0),"")</f>
        <v/>
      </c>
      <c r="G310" s="303" t="str">
        <f>_xlfn.IFNA(VLOOKUP(D310,ProductListTbl[],6,0),"")</f>
        <v/>
      </c>
      <c r="H310" s="130" t="str">
        <f>_xlfn.IFNA(VLOOKUP(D310,ProductListTbl[],7,0),"")</f>
        <v/>
      </c>
      <c r="I310" s="130" t="str">
        <f>_xlfn.IFNA(VLOOKUP(D310,ProductListTbl[],8,0),"")</f>
        <v/>
      </c>
      <c r="J310" s="127"/>
      <c r="K310" s="129"/>
      <c r="L310" s="128"/>
      <c r="M310" s="305" t="str">
        <f>IFERROR(Table3[[#This Row],[Quantity (doses)]]/Table3[[#This Row],[Doses per vial or syringe]],"")</f>
        <v/>
      </c>
      <c r="N310" s="127"/>
      <c r="O310" s="127"/>
      <c r="P310" s="381"/>
      <c r="Q310" s="129"/>
      <c r="R310" s="127"/>
      <c r="S310" s="127"/>
      <c r="T310" s="127"/>
      <c r="U310" s="127"/>
      <c r="V310" s="305" t="str">
        <f>_xlfn.IFNA(VLOOKUP(D310,ProductListTbl[],9,0),"")</f>
        <v/>
      </c>
      <c r="W310" s="305" t="str">
        <f>IFERROR(Table3[[#This Row],[Storage space per secondary packaging (cm3)]]*Table3[[#This Row],[Quantity  (vials or syringes)]]/1000,"")</f>
        <v/>
      </c>
      <c r="X310" s="305" t="str">
        <f>IFERROR(Table3[[#This Row],[Storage space per tertiary packaging (cm3)]]*Table3[[#This Row],[Quantity (doses)]]/1000,"")</f>
        <v/>
      </c>
      <c r="Y310" s="293" t="str">
        <f>IF(Table3[[#This Row],[Status]]="Ordered",(DATE(YEAR(P310),MONTH(P310),1)),IF(Table3[[#This Row],[Status]]="Received",(DATE(YEAR(Q310),MONTH(Q310),1)),""))</f>
        <v/>
      </c>
      <c r="Z310" s="304" t="str">
        <f t="shared" si="16"/>
        <v/>
      </c>
      <c r="AA310" s="48" t="str">
        <f t="shared" si="17"/>
        <v/>
      </c>
      <c r="AB310" s="48" t="str">
        <f t="shared" si="18"/>
        <v/>
      </c>
      <c r="AC310" s="292" t="str">
        <f t="shared" si="19"/>
        <v/>
      </c>
      <c r="AD310" s="48" t="str">
        <f>IF(Table3[[#This Row],[Actual Arrival date]]&gt;0,IF(Table3[[#This Row],[Expected arrival date]]&gt;0,Table3[[#This Row],[Actual Arrival date]]-Table3[[#This Row],[Expected arrival date]],""),"")</f>
        <v/>
      </c>
    </row>
    <row r="311" spans="1:30" x14ac:dyDescent="0.25">
      <c r="A311" s="303" t="str">
        <f>Start!$D$7</f>
        <v>Anyland</v>
      </c>
      <c r="B311" s="48" t="str">
        <f>_xlfn.IFNA(VLOOKUP(A311,list!B:C,2,FALSE),"")</f>
        <v>ANY</v>
      </c>
      <c r="C311" s="48"/>
      <c r="D311" s="127"/>
      <c r="E311" s="48" t="str">
        <f>_xlfn.IFNA(VLOOKUP(Table3[[#This Row],[Product]], ProductListTbl[], 3, 0), "")</f>
        <v/>
      </c>
      <c r="F311" s="303" t="str">
        <f>_xlfn.IFNA(VLOOKUP(D311,ProductListTbl[],5,0),"")</f>
        <v/>
      </c>
      <c r="G311" s="303" t="str">
        <f>_xlfn.IFNA(VLOOKUP(D311,ProductListTbl[],6,0),"")</f>
        <v/>
      </c>
      <c r="H311" s="130" t="str">
        <f>_xlfn.IFNA(VLOOKUP(D311,ProductListTbl[],7,0),"")</f>
        <v/>
      </c>
      <c r="I311" s="130" t="str">
        <f>_xlfn.IFNA(VLOOKUP(D311,ProductListTbl[],8,0),"")</f>
        <v/>
      </c>
      <c r="J311" s="127"/>
      <c r="K311" s="129"/>
      <c r="L311" s="128"/>
      <c r="M311" s="305" t="str">
        <f>IFERROR(Table3[[#This Row],[Quantity (doses)]]/Table3[[#This Row],[Doses per vial or syringe]],"")</f>
        <v/>
      </c>
      <c r="N311" s="127"/>
      <c r="O311" s="127"/>
      <c r="P311" s="381"/>
      <c r="Q311" s="129"/>
      <c r="R311" s="127"/>
      <c r="S311" s="127"/>
      <c r="T311" s="127"/>
      <c r="U311" s="127"/>
      <c r="V311" s="305" t="str">
        <f>_xlfn.IFNA(VLOOKUP(D311,ProductListTbl[],9,0),"")</f>
        <v/>
      </c>
      <c r="W311" s="305" t="str">
        <f>IFERROR(Table3[[#This Row],[Storage space per secondary packaging (cm3)]]*Table3[[#This Row],[Quantity  (vials or syringes)]]/1000,"")</f>
        <v/>
      </c>
      <c r="X311" s="305" t="str">
        <f>IFERROR(Table3[[#This Row],[Storage space per tertiary packaging (cm3)]]*Table3[[#This Row],[Quantity (doses)]]/1000,"")</f>
        <v/>
      </c>
      <c r="Y311" s="293" t="str">
        <f>IF(Table3[[#This Row],[Status]]="Ordered",(DATE(YEAR(P311),MONTH(P311),1)),IF(Table3[[#This Row],[Status]]="Received",(DATE(YEAR(Q311),MONTH(Q311),1)),""))</f>
        <v/>
      </c>
      <c r="Z311" s="304" t="str">
        <f t="shared" si="16"/>
        <v/>
      </c>
      <c r="AA311" s="48" t="str">
        <f t="shared" si="17"/>
        <v/>
      </c>
      <c r="AB311" s="48" t="str">
        <f t="shared" si="18"/>
        <v/>
      </c>
      <c r="AC311" s="292" t="str">
        <f t="shared" si="19"/>
        <v/>
      </c>
      <c r="AD311" s="48" t="str">
        <f>IF(Table3[[#This Row],[Actual Arrival date]]&gt;0,IF(Table3[[#This Row],[Expected arrival date]]&gt;0,Table3[[#This Row],[Actual Arrival date]]-Table3[[#This Row],[Expected arrival date]],""),"")</f>
        <v/>
      </c>
    </row>
    <row r="312" spans="1:30" x14ac:dyDescent="0.25">
      <c r="A312" s="303" t="str">
        <f>Start!$D$7</f>
        <v>Anyland</v>
      </c>
      <c r="B312" s="48" t="str">
        <f>_xlfn.IFNA(VLOOKUP(A312,list!B:C,2,FALSE),"")</f>
        <v>ANY</v>
      </c>
      <c r="C312" s="48"/>
      <c r="D312" s="127"/>
      <c r="E312" s="48" t="str">
        <f>_xlfn.IFNA(VLOOKUP(Table3[[#This Row],[Product]], ProductListTbl[], 3, 0), "")</f>
        <v/>
      </c>
      <c r="F312" s="303" t="str">
        <f>_xlfn.IFNA(VLOOKUP(D312,ProductListTbl[],5,0),"")</f>
        <v/>
      </c>
      <c r="G312" s="303" t="str">
        <f>_xlfn.IFNA(VLOOKUP(D312,ProductListTbl[],6,0),"")</f>
        <v/>
      </c>
      <c r="H312" s="130" t="str">
        <f>_xlfn.IFNA(VLOOKUP(D312,ProductListTbl[],7,0),"")</f>
        <v/>
      </c>
      <c r="I312" s="130" t="str">
        <f>_xlfn.IFNA(VLOOKUP(D312,ProductListTbl[],8,0),"")</f>
        <v/>
      </c>
      <c r="J312" s="127"/>
      <c r="K312" s="129"/>
      <c r="L312" s="128"/>
      <c r="M312" s="305" t="str">
        <f>IFERROR(Table3[[#This Row],[Quantity (doses)]]/Table3[[#This Row],[Doses per vial or syringe]],"")</f>
        <v/>
      </c>
      <c r="N312" s="127"/>
      <c r="O312" s="127"/>
      <c r="P312" s="381"/>
      <c r="Q312" s="129"/>
      <c r="R312" s="127"/>
      <c r="S312" s="127"/>
      <c r="T312" s="127"/>
      <c r="U312" s="127"/>
      <c r="V312" s="305" t="str">
        <f>_xlfn.IFNA(VLOOKUP(D312,ProductListTbl[],9,0),"")</f>
        <v/>
      </c>
      <c r="W312" s="305" t="str">
        <f>IFERROR(Table3[[#This Row],[Storage space per secondary packaging (cm3)]]*Table3[[#This Row],[Quantity  (vials or syringes)]]/1000,"")</f>
        <v/>
      </c>
      <c r="X312" s="305" t="str">
        <f>IFERROR(Table3[[#This Row],[Storage space per tertiary packaging (cm3)]]*Table3[[#This Row],[Quantity (doses)]]/1000,"")</f>
        <v/>
      </c>
      <c r="Y312" s="293" t="str">
        <f>IF(Table3[[#This Row],[Status]]="Ordered",(DATE(YEAR(P312),MONTH(P312),1)),IF(Table3[[#This Row],[Status]]="Received",(DATE(YEAR(Q312),MONTH(Q312),1)),""))</f>
        <v/>
      </c>
      <c r="Z312" s="304" t="str">
        <f t="shared" si="16"/>
        <v/>
      </c>
      <c r="AA312" s="48" t="str">
        <f t="shared" si="17"/>
        <v/>
      </c>
      <c r="AB312" s="48" t="str">
        <f t="shared" si="18"/>
        <v/>
      </c>
      <c r="AC312" s="292" t="str">
        <f t="shared" si="19"/>
        <v/>
      </c>
      <c r="AD312" s="48" t="str">
        <f>IF(Table3[[#This Row],[Actual Arrival date]]&gt;0,IF(Table3[[#This Row],[Expected arrival date]]&gt;0,Table3[[#This Row],[Actual Arrival date]]-Table3[[#This Row],[Expected arrival date]],""),"")</f>
        <v/>
      </c>
    </row>
    <row r="313" spans="1:30" x14ac:dyDescent="0.25">
      <c r="A313" s="303" t="str">
        <f>Start!$D$7</f>
        <v>Anyland</v>
      </c>
      <c r="B313" s="48" t="str">
        <f>_xlfn.IFNA(VLOOKUP(A313,list!B:C,2,FALSE),"")</f>
        <v>ANY</v>
      </c>
      <c r="C313" s="48"/>
      <c r="D313" s="127"/>
      <c r="E313" s="48" t="str">
        <f>_xlfn.IFNA(VLOOKUP(Table3[[#This Row],[Product]], ProductListTbl[], 3, 0), "")</f>
        <v/>
      </c>
      <c r="F313" s="303" t="str">
        <f>_xlfn.IFNA(VLOOKUP(D313,ProductListTbl[],5,0),"")</f>
        <v/>
      </c>
      <c r="G313" s="303" t="str">
        <f>_xlfn.IFNA(VLOOKUP(D313,ProductListTbl[],6,0),"")</f>
        <v/>
      </c>
      <c r="H313" s="130" t="str">
        <f>_xlfn.IFNA(VLOOKUP(D313,ProductListTbl[],7,0),"")</f>
        <v/>
      </c>
      <c r="I313" s="130" t="str">
        <f>_xlfn.IFNA(VLOOKUP(D313,ProductListTbl[],8,0),"")</f>
        <v/>
      </c>
      <c r="J313" s="127"/>
      <c r="K313" s="129"/>
      <c r="L313" s="128"/>
      <c r="M313" s="305" t="str">
        <f>IFERROR(Table3[[#This Row],[Quantity (doses)]]/Table3[[#This Row],[Doses per vial or syringe]],"")</f>
        <v/>
      </c>
      <c r="N313" s="127"/>
      <c r="O313" s="127"/>
      <c r="P313" s="381"/>
      <c r="Q313" s="129"/>
      <c r="R313" s="127"/>
      <c r="S313" s="127"/>
      <c r="T313" s="127"/>
      <c r="U313" s="127"/>
      <c r="V313" s="305" t="str">
        <f>_xlfn.IFNA(VLOOKUP(D313,ProductListTbl[],9,0),"")</f>
        <v/>
      </c>
      <c r="W313" s="305" t="str">
        <f>IFERROR(Table3[[#This Row],[Storage space per secondary packaging (cm3)]]*Table3[[#This Row],[Quantity  (vials or syringes)]]/1000,"")</f>
        <v/>
      </c>
      <c r="X313" s="305" t="str">
        <f>IFERROR(Table3[[#This Row],[Storage space per tertiary packaging (cm3)]]*Table3[[#This Row],[Quantity (doses)]]/1000,"")</f>
        <v/>
      </c>
      <c r="Y313" s="293" t="str">
        <f>IF(Table3[[#This Row],[Status]]="Ordered",(DATE(YEAR(P313),MONTH(P313),1)),IF(Table3[[#This Row],[Status]]="Received",(DATE(YEAR(Q313),MONTH(Q313),1)),""))</f>
        <v/>
      </c>
      <c r="Z313" s="304" t="str">
        <f t="shared" si="16"/>
        <v/>
      </c>
      <c r="AA313" s="48" t="str">
        <f t="shared" si="17"/>
        <v/>
      </c>
      <c r="AB313" s="48" t="str">
        <f t="shared" si="18"/>
        <v/>
      </c>
      <c r="AC313" s="292" t="str">
        <f t="shared" si="19"/>
        <v/>
      </c>
      <c r="AD313" s="48" t="str">
        <f>IF(Table3[[#This Row],[Actual Arrival date]]&gt;0,IF(Table3[[#This Row],[Expected arrival date]]&gt;0,Table3[[#This Row],[Actual Arrival date]]-Table3[[#This Row],[Expected arrival date]],""),"")</f>
        <v/>
      </c>
    </row>
    <row r="314" spans="1:30" x14ac:dyDescent="0.25">
      <c r="A314" s="303" t="str">
        <f>Start!$D$7</f>
        <v>Anyland</v>
      </c>
      <c r="B314" s="48" t="str">
        <f>_xlfn.IFNA(VLOOKUP(A314,list!B:C,2,FALSE),"")</f>
        <v>ANY</v>
      </c>
      <c r="C314" s="48"/>
      <c r="D314" s="127"/>
      <c r="E314" s="48" t="str">
        <f>_xlfn.IFNA(VLOOKUP(Table3[[#This Row],[Product]], ProductListTbl[], 3, 0), "")</f>
        <v/>
      </c>
      <c r="F314" s="303" t="str">
        <f>_xlfn.IFNA(VLOOKUP(D314,ProductListTbl[],5,0),"")</f>
        <v/>
      </c>
      <c r="G314" s="303" t="str">
        <f>_xlfn.IFNA(VLOOKUP(D314,ProductListTbl[],6,0),"")</f>
        <v/>
      </c>
      <c r="H314" s="130" t="str">
        <f>_xlfn.IFNA(VLOOKUP(D314,ProductListTbl[],7,0),"")</f>
        <v/>
      </c>
      <c r="I314" s="130" t="str">
        <f>_xlfn.IFNA(VLOOKUP(D314,ProductListTbl[],8,0),"")</f>
        <v/>
      </c>
      <c r="J314" s="127"/>
      <c r="K314" s="129"/>
      <c r="L314" s="128"/>
      <c r="M314" s="305" t="str">
        <f>IFERROR(Table3[[#This Row],[Quantity (doses)]]/Table3[[#This Row],[Doses per vial or syringe]],"")</f>
        <v/>
      </c>
      <c r="N314" s="127"/>
      <c r="O314" s="127"/>
      <c r="P314" s="381"/>
      <c r="Q314" s="129"/>
      <c r="R314" s="127"/>
      <c r="S314" s="127"/>
      <c r="T314" s="127"/>
      <c r="U314" s="127"/>
      <c r="V314" s="305" t="str">
        <f>_xlfn.IFNA(VLOOKUP(D314,ProductListTbl[],9,0),"")</f>
        <v/>
      </c>
      <c r="W314" s="305" t="str">
        <f>IFERROR(Table3[[#This Row],[Storage space per secondary packaging (cm3)]]*Table3[[#This Row],[Quantity  (vials or syringes)]]/1000,"")</f>
        <v/>
      </c>
      <c r="X314" s="305" t="str">
        <f>IFERROR(Table3[[#This Row],[Storage space per tertiary packaging (cm3)]]*Table3[[#This Row],[Quantity (doses)]]/1000,"")</f>
        <v/>
      </c>
      <c r="Y314" s="293" t="str">
        <f>IF(Table3[[#This Row],[Status]]="Ordered",(DATE(YEAR(P314),MONTH(P314),1)),IF(Table3[[#This Row],[Status]]="Received",(DATE(YEAR(Q314),MONTH(Q314),1)),""))</f>
        <v/>
      </c>
      <c r="Z314" s="304" t="str">
        <f t="shared" si="16"/>
        <v/>
      </c>
      <c r="AA314" s="48" t="str">
        <f t="shared" si="17"/>
        <v/>
      </c>
      <c r="AB314" s="48" t="str">
        <f t="shared" si="18"/>
        <v/>
      </c>
      <c r="AC314" s="292" t="str">
        <f t="shared" si="19"/>
        <v/>
      </c>
      <c r="AD314" s="48" t="str">
        <f>IF(Table3[[#This Row],[Actual Arrival date]]&gt;0,IF(Table3[[#This Row],[Expected arrival date]]&gt;0,Table3[[#This Row],[Actual Arrival date]]-Table3[[#This Row],[Expected arrival date]],""),"")</f>
        <v/>
      </c>
    </row>
    <row r="315" spans="1:30" x14ac:dyDescent="0.25">
      <c r="A315" s="303" t="str">
        <f>Start!$D$7</f>
        <v>Anyland</v>
      </c>
      <c r="B315" s="48" t="str">
        <f>_xlfn.IFNA(VLOOKUP(A315,list!B:C,2,FALSE),"")</f>
        <v>ANY</v>
      </c>
      <c r="C315" s="48"/>
      <c r="D315" s="127"/>
      <c r="E315" s="48" t="str">
        <f>_xlfn.IFNA(VLOOKUP(Table3[[#This Row],[Product]], ProductListTbl[], 3, 0), "")</f>
        <v/>
      </c>
      <c r="F315" s="303" t="str">
        <f>_xlfn.IFNA(VLOOKUP(D315,ProductListTbl[],5,0),"")</f>
        <v/>
      </c>
      <c r="G315" s="303" t="str">
        <f>_xlfn.IFNA(VLOOKUP(D315,ProductListTbl[],6,0),"")</f>
        <v/>
      </c>
      <c r="H315" s="130" t="str">
        <f>_xlfn.IFNA(VLOOKUP(D315,ProductListTbl[],7,0),"")</f>
        <v/>
      </c>
      <c r="I315" s="130" t="str">
        <f>_xlfn.IFNA(VLOOKUP(D315,ProductListTbl[],8,0),"")</f>
        <v/>
      </c>
      <c r="J315" s="127"/>
      <c r="K315" s="129"/>
      <c r="L315" s="128"/>
      <c r="M315" s="305" t="str">
        <f>IFERROR(Table3[[#This Row],[Quantity (doses)]]/Table3[[#This Row],[Doses per vial or syringe]],"")</f>
        <v/>
      </c>
      <c r="N315" s="127"/>
      <c r="O315" s="127"/>
      <c r="P315" s="381"/>
      <c r="Q315" s="129"/>
      <c r="R315" s="127"/>
      <c r="S315" s="127"/>
      <c r="T315" s="127"/>
      <c r="U315" s="127"/>
      <c r="V315" s="305" t="str">
        <f>_xlfn.IFNA(VLOOKUP(D315,ProductListTbl[],9,0),"")</f>
        <v/>
      </c>
      <c r="W315" s="305" t="str">
        <f>IFERROR(Table3[[#This Row],[Storage space per secondary packaging (cm3)]]*Table3[[#This Row],[Quantity  (vials or syringes)]]/1000,"")</f>
        <v/>
      </c>
      <c r="X315" s="305" t="str">
        <f>IFERROR(Table3[[#This Row],[Storage space per tertiary packaging (cm3)]]*Table3[[#This Row],[Quantity (doses)]]/1000,"")</f>
        <v/>
      </c>
      <c r="Y315" s="293" t="str">
        <f>IF(Table3[[#This Row],[Status]]="Ordered",(DATE(YEAR(P315),MONTH(P315),1)),IF(Table3[[#This Row],[Status]]="Received",(DATE(YEAR(Q315),MONTH(Q315),1)),""))</f>
        <v/>
      </c>
      <c r="Z315" s="304" t="str">
        <f t="shared" si="16"/>
        <v/>
      </c>
      <c r="AA315" s="48" t="str">
        <f t="shared" si="17"/>
        <v/>
      </c>
      <c r="AB315" s="48" t="str">
        <f t="shared" si="18"/>
        <v/>
      </c>
      <c r="AC315" s="292" t="str">
        <f t="shared" si="19"/>
        <v/>
      </c>
      <c r="AD315" s="48" t="str">
        <f>IF(Table3[[#This Row],[Actual Arrival date]]&gt;0,IF(Table3[[#This Row],[Expected arrival date]]&gt;0,Table3[[#This Row],[Actual Arrival date]]-Table3[[#This Row],[Expected arrival date]],""),"")</f>
        <v/>
      </c>
    </row>
    <row r="316" spans="1:30" x14ac:dyDescent="0.25">
      <c r="A316" s="303" t="str">
        <f>Start!$D$7</f>
        <v>Anyland</v>
      </c>
      <c r="B316" s="48" t="str">
        <f>_xlfn.IFNA(VLOOKUP(A316,list!B:C,2,FALSE),"")</f>
        <v>ANY</v>
      </c>
      <c r="C316" s="48"/>
      <c r="D316" s="127"/>
      <c r="E316" s="48" t="str">
        <f>_xlfn.IFNA(VLOOKUP(Table3[[#This Row],[Product]], ProductListTbl[], 3, 0), "")</f>
        <v/>
      </c>
      <c r="F316" s="303" t="str">
        <f>_xlfn.IFNA(VLOOKUP(D316,ProductListTbl[],5,0),"")</f>
        <v/>
      </c>
      <c r="G316" s="303" t="str">
        <f>_xlfn.IFNA(VLOOKUP(D316,ProductListTbl[],6,0),"")</f>
        <v/>
      </c>
      <c r="H316" s="130" t="str">
        <f>_xlfn.IFNA(VLOOKUP(D316,ProductListTbl[],7,0),"")</f>
        <v/>
      </c>
      <c r="I316" s="130" t="str">
        <f>_xlfn.IFNA(VLOOKUP(D316,ProductListTbl[],8,0),"")</f>
        <v/>
      </c>
      <c r="J316" s="127"/>
      <c r="K316" s="129"/>
      <c r="L316" s="128"/>
      <c r="M316" s="305" t="str">
        <f>IFERROR(Table3[[#This Row],[Quantity (doses)]]/Table3[[#This Row],[Doses per vial or syringe]],"")</f>
        <v/>
      </c>
      <c r="N316" s="127"/>
      <c r="O316" s="127"/>
      <c r="P316" s="381"/>
      <c r="Q316" s="129"/>
      <c r="R316" s="127"/>
      <c r="S316" s="127"/>
      <c r="T316" s="127"/>
      <c r="U316" s="127"/>
      <c r="V316" s="305" t="str">
        <f>_xlfn.IFNA(VLOOKUP(D316,ProductListTbl[],9,0),"")</f>
        <v/>
      </c>
      <c r="W316" s="305" t="str">
        <f>IFERROR(Table3[[#This Row],[Storage space per secondary packaging (cm3)]]*Table3[[#This Row],[Quantity  (vials or syringes)]]/1000,"")</f>
        <v/>
      </c>
      <c r="X316" s="305" t="str">
        <f>IFERROR(Table3[[#This Row],[Storage space per tertiary packaging (cm3)]]*Table3[[#This Row],[Quantity (doses)]]/1000,"")</f>
        <v/>
      </c>
      <c r="Y316" s="293" t="str">
        <f>IF(Table3[[#This Row],[Status]]="Ordered",(DATE(YEAR(P316),MONTH(P316),1)),IF(Table3[[#This Row],[Status]]="Received",(DATE(YEAR(Q316),MONTH(Q316),1)),""))</f>
        <v/>
      </c>
      <c r="Z316" s="304" t="str">
        <f t="shared" si="16"/>
        <v/>
      </c>
      <c r="AA316" s="48" t="str">
        <f t="shared" si="17"/>
        <v/>
      </c>
      <c r="AB316" s="48" t="str">
        <f t="shared" si="18"/>
        <v/>
      </c>
      <c r="AC316" s="292" t="str">
        <f t="shared" si="19"/>
        <v/>
      </c>
      <c r="AD316" s="48" t="str">
        <f>IF(Table3[[#This Row],[Actual Arrival date]]&gt;0,IF(Table3[[#This Row],[Expected arrival date]]&gt;0,Table3[[#This Row],[Actual Arrival date]]-Table3[[#This Row],[Expected arrival date]],""),"")</f>
        <v/>
      </c>
    </row>
    <row r="317" spans="1:30" x14ac:dyDescent="0.25">
      <c r="A317" s="303" t="str">
        <f>Start!$D$7</f>
        <v>Anyland</v>
      </c>
      <c r="B317" s="48" t="str">
        <f>_xlfn.IFNA(VLOOKUP(A317,list!B:C,2,FALSE),"")</f>
        <v>ANY</v>
      </c>
      <c r="C317" s="48"/>
      <c r="D317" s="127"/>
      <c r="E317" s="48" t="str">
        <f>_xlfn.IFNA(VLOOKUP(Table3[[#This Row],[Product]], ProductListTbl[], 3, 0), "")</f>
        <v/>
      </c>
      <c r="F317" s="303" t="str">
        <f>_xlfn.IFNA(VLOOKUP(D317,ProductListTbl[],5,0),"")</f>
        <v/>
      </c>
      <c r="G317" s="303" t="str">
        <f>_xlfn.IFNA(VLOOKUP(D317,ProductListTbl[],6,0),"")</f>
        <v/>
      </c>
      <c r="H317" s="130" t="str">
        <f>_xlfn.IFNA(VLOOKUP(D317,ProductListTbl[],7,0),"")</f>
        <v/>
      </c>
      <c r="I317" s="130" t="str">
        <f>_xlfn.IFNA(VLOOKUP(D317,ProductListTbl[],8,0),"")</f>
        <v/>
      </c>
      <c r="J317" s="127"/>
      <c r="K317" s="129"/>
      <c r="L317" s="128"/>
      <c r="M317" s="305" t="str">
        <f>IFERROR(Table3[[#This Row],[Quantity (doses)]]/Table3[[#This Row],[Doses per vial or syringe]],"")</f>
        <v/>
      </c>
      <c r="N317" s="127"/>
      <c r="O317" s="127"/>
      <c r="P317" s="381"/>
      <c r="Q317" s="129"/>
      <c r="R317" s="127"/>
      <c r="S317" s="127"/>
      <c r="T317" s="127"/>
      <c r="U317" s="127"/>
      <c r="V317" s="305" t="str">
        <f>_xlfn.IFNA(VLOOKUP(D317,ProductListTbl[],9,0),"")</f>
        <v/>
      </c>
      <c r="W317" s="305" t="str">
        <f>IFERROR(Table3[[#This Row],[Storage space per secondary packaging (cm3)]]*Table3[[#This Row],[Quantity  (vials or syringes)]]/1000,"")</f>
        <v/>
      </c>
      <c r="X317" s="305" t="str">
        <f>IFERROR(Table3[[#This Row],[Storage space per tertiary packaging (cm3)]]*Table3[[#This Row],[Quantity (doses)]]/1000,"")</f>
        <v/>
      </c>
      <c r="Y317" s="293" t="str">
        <f>IF(Table3[[#This Row],[Status]]="Ordered",(DATE(YEAR(P317),MONTH(P317),1)),IF(Table3[[#This Row],[Status]]="Received",(DATE(YEAR(Q317),MONTH(Q317),1)),""))</f>
        <v/>
      </c>
      <c r="Z317" s="304" t="str">
        <f t="shared" si="16"/>
        <v/>
      </c>
      <c r="AA317" s="48" t="str">
        <f t="shared" si="17"/>
        <v/>
      </c>
      <c r="AB317" s="48" t="str">
        <f t="shared" si="18"/>
        <v/>
      </c>
      <c r="AC317" s="292" t="str">
        <f t="shared" si="19"/>
        <v/>
      </c>
      <c r="AD317" s="48" t="str">
        <f>IF(Table3[[#This Row],[Actual Arrival date]]&gt;0,IF(Table3[[#This Row],[Expected arrival date]]&gt;0,Table3[[#This Row],[Actual Arrival date]]-Table3[[#This Row],[Expected arrival date]],""),"")</f>
        <v/>
      </c>
    </row>
    <row r="318" spans="1:30" x14ac:dyDescent="0.25">
      <c r="A318" s="303" t="str">
        <f>Start!$D$7</f>
        <v>Anyland</v>
      </c>
      <c r="B318" s="48" t="str">
        <f>_xlfn.IFNA(VLOOKUP(A318,list!B:C,2,FALSE),"")</f>
        <v>ANY</v>
      </c>
      <c r="C318" s="48"/>
      <c r="D318" s="127"/>
      <c r="E318" s="48" t="str">
        <f>_xlfn.IFNA(VLOOKUP(Table3[[#This Row],[Product]], ProductListTbl[], 3, 0), "")</f>
        <v/>
      </c>
      <c r="F318" s="303" t="str">
        <f>_xlfn.IFNA(VLOOKUP(D318,ProductListTbl[],5,0),"")</f>
        <v/>
      </c>
      <c r="G318" s="303" t="str">
        <f>_xlfn.IFNA(VLOOKUP(D318,ProductListTbl[],6,0),"")</f>
        <v/>
      </c>
      <c r="H318" s="130" t="str">
        <f>_xlfn.IFNA(VLOOKUP(D318,ProductListTbl[],7,0),"")</f>
        <v/>
      </c>
      <c r="I318" s="130" t="str">
        <f>_xlfn.IFNA(VLOOKUP(D318,ProductListTbl[],8,0),"")</f>
        <v/>
      </c>
      <c r="J318" s="127"/>
      <c r="K318" s="129"/>
      <c r="L318" s="128"/>
      <c r="M318" s="305" t="str">
        <f>IFERROR(Table3[[#This Row],[Quantity (doses)]]/Table3[[#This Row],[Doses per vial or syringe]],"")</f>
        <v/>
      </c>
      <c r="N318" s="127"/>
      <c r="O318" s="127"/>
      <c r="P318" s="381"/>
      <c r="Q318" s="129"/>
      <c r="R318" s="127"/>
      <c r="S318" s="127"/>
      <c r="T318" s="127"/>
      <c r="U318" s="127"/>
      <c r="V318" s="305" t="str">
        <f>_xlfn.IFNA(VLOOKUP(D318,ProductListTbl[],9,0),"")</f>
        <v/>
      </c>
      <c r="W318" s="305" t="str">
        <f>IFERROR(Table3[[#This Row],[Storage space per secondary packaging (cm3)]]*Table3[[#This Row],[Quantity  (vials or syringes)]]/1000,"")</f>
        <v/>
      </c>
      <c r="X318" s="305" t="str">
        <f>IFERROR(Table3[[#This Row],[Storage space per tertiary packaging (cm3)]]*Table3[[#This Row],[Quantity (doses)]]/1000,"")</f>
        <v/>
      </c>
      <c r="Y318" s="293" t="str">
        <f>IF(Table3[[#This Row],[Status]]="Ordered",(DATE(YEAR(P318),MONTH(P318),1)),IF(Table3[[#This Row],[Status]]="Received",(DATE(YEAR(Q318),MONTH(Q318),1)),""))</f>
        <v/>
      </c>
      <c r="Z318" s="304" t="str">
        <f t="shared" si="16"/>
        <v/>
      </c>
      <c r="AA318" s="48" t="str">
        <f t="shared" si="17"/>
        <v/>
      </c>
      <c r="AB318" s="48" t="str">
        <f t="shared" si="18"/>
        <v/>
      </c>
      <c r="AC318" s="292" t="str">
        <f t="shared" si="19"/>
        <v/>
      </c>
      <c r="AD318" s="48" t="str">
        <f>IF(Table3[[#This Row],[Actual Arrival date]]&gt;0,IF(Table3[[#This Row],[Expected arrival date]]&gt;0,Table3[[#This Row],[Actual Arrival date]]-Table3[[#This Row],[Expected arrival date]],""),"")</f>
        <v/>
      </c>
    </row>
    <row r="319" spans="1:30" x14ac:dyDescent="0.25">
      <c r="A319" s="303" t="str">
        <f>Start!$D$7</f>
        <v>Anyland</v>
      </c>
      <c r="B319" s="48" t="str">
        <f>_xlfn.IFNA(VLOOKUP(A319,list!B:C,2,FALSE),"")</f>
        <v>ANY</v>
      </c>
      <c r="C319" s="48"/>
      <c r="D319" s="127"/>
      <c r="E319" s="48" t="str">
        <f>_xlfn.IFNA(VLOOKUP(Table3[[#This Row],[Product]], ProductListTbl[], 3, 0), "")</f>
        <v/>
      </c>
      <c r="F319" s="303" t="str">
        <f>_xlfn.IFNA(VLOOKUP(D319,ProductListTbl[],5,0),"")</f>
        <v/>
      </c>
      <c r="G319" s="303" t="str">
        <f>_xlfn.IFNA(VLOOKUP(D319,ProductListTbl[],6,0),"")</f>
        <v/>
      </c>
      <c r="H319" s="130" t="str">
        <f>_xlfn.IFNA(VLOOKUP(D319,ProductListTbl[],7,0),"")</f>
        <v/>
      </c>
      <c r="I319" s="130" t="str">
        <f>_xlfn.IFNA(VLOOKUP(D319,ProductListTbl[],8,0),"")</f>
        <v/>
      </c>
      <c r="J319" s="127"/>
      <c r="K319" s="129"/>
      <c r="L319" s="128"/>
      <c r="M319" s="305" t="str">
        <f>IFERROR(Table3[[#This Row],[Quantity (doses)]]/Table3[[#This Row],[Doses per vial or syringe]],"")</f>
        <v/>
      </c>
      <c r="N319" s="127"/>
      <c r="O319" s="127"/>
      <c r="P319" s="381"/>
      <c r="Q319" s="129"/>
      <c r="R319" s="127"/>
      <c r="S319" s="127"/>
      <c r="T319" s="127"/>
      <c r="U319" s="127"/>
      <c r="V319" s="305" t="str">
        <f>_xlfn.IFNA(VLOOKUP(D319,ProductListTbl[],9,0),"")</f>
        <v/>
      </c>
      <c r="W319" s="305" t="str">
        <f>IFERROR(Table3[[#This Row],[Storage space per secondary packaging (cm3)]]*Table3[[#This Row],[Quantity  (vials or syringes)]]/1000,"")</f>
        <v/>
      </c>
      <c r="X319" s="305" t="str">
        <f>IFERROR(Table3[[#This Row],[Storage space per tertiary packaging (cm3)]]*Table3[[#This Row],[Quantity (doses)]]/1000,"")</f>
        <v/>
      </c>
      <c r="Y319" s="293" t="str">
        <f>IF(Table3[[#This Row],[Status]]="Ordered",(DATE(YEAR(P319),MONTH(P319),1)),IF(Table3[[#This Row],[Status]]="Received",(DATE(YEAR(Q319),MONTH(Q319),1)),""))</f>
        <v/>
      </c>
      <c r="Z319" s="304" t="str">
        <f t="shared" si="16"/>
        <v/>
      </c>
      <c r="AA319" s="48" t="str">
        <f t="shared" si="17"/>
        <v/>
      </c>
      <c r="AB319" s="48" t="str">
        <f t="shared" si="18"/>
        <v/>
      </c>
      <c r="AC319" s="292" t="str">
        <f t="shared" si="19"/>
        <v/>
      </c>
      <c r="AD319" s="48" t="str">
        <f>IF(Table3[[#This Row],[Actual Arrival date]]&gt;0,IF(Table3[[#This Row],[Expected arrival date]]&gt;0,Table3[[#This Row],[Actual Arrival date]]-Table3[[#This Row],[Expected arrival date]],""),"")</f>
        <v/>
      </c>
    </row>
    <row r="320" spans="1:30" x14ac:dyDescent="0.25">
      <c r="A320" s="303" t="str">
        <f>Start!$D$7</f>
        <v>Anyland</v>
      </c>
      <c r="B320" s="48" t="str">
        <f>_xlfn.IFNA(VLOOKUP(A320,list!B:C,2,FALSE),"")</f>
        <v>ANY</v>
      </c>
      <c r="C320" s="48"/>
      <c r="D320" s="127"/>
      <c r="E320" s="48" t="str">
        <f>_xlfn.IFNA(VLOOKUP(Table3[[#This Row],[Product]], ProductListTbl[], 3, 0), "")</f>
        <v/>
      </c>
      <c r="F320" s="303" t="str">
        <f>_xlfn.IFNA(VLOOKUP(D320,ProductListTbl[],5,0),"")</f>
        <v/>
      </c>
      <c r="G320" s="303" t="str">
        <f>_xlfn.IFNA(VLOOKUP(D320,ProductListTbl[],6,0),"")</f>
        <v/>
      </c>
      <c r="H320" s="130" t="str">
        <f>_xlfn.IFNA(VLOOKUP(D320,ProductListTbl[],7,0),"")</f>
        <v/>
      </c>
      <c r="I320" s="130" t="str">
        <f>_xlfn.IFNA(VLOOKUP(D320,ProductListTbl[],8,0),"")</f>
        <v/>
      </c>
      <c r="J320" s="127"/>
      <c r="K320" s="129"/>
      <c r="L320" s="128"/>
      <c r="M320" s="305" t="str">
        <f>IFERROR(Table3[[#This Row],[Quantity (doses)]]/Table3[[#This Row],[Doses per vial or syringe]],"")</f>
        <v/>
      </c>
      <c r="N320" s="127"/>
      <c r="O320" s="127"/>
      <c r="P320" s="381"/>
      <c r="Q320" s="129"/>
      <c r="R320" s="127"/>
      <c r="S320" s="127"/>
      <c r="T320" s="127"/>
      <c r="U320" s="127"/>
      <c r="V320" s="305" t="str">
        <f>_xlfn.IFNA(VLOOKUP(D320,ProductListTbl[],9,0),"")</f>
        <v/>
      </c>
      <c r="W320" s="305" t="str">
        <f>IFERROR(Table3[[#This Row],[Storage space per secondary packaging (cm3)]]*Table3[[#This Row],[Quantity  (vials or syringes)]]/1000,"")</f>
        <v/>
      </c>
      <c r="X320" s="305" t="str">
        <f>IFERROR(Table3[[#This Row],[Storage space per tertiary packaging (cm3)]]*Table3[[#This Row],[Quantity (doses)]]/1000,"")</f>
        <v/>
      </c>
      <c r="Y320" s="293" t="str">
        <f>IF(Table3[[#This Row],[Status]]="Ordered",(DATE(YEAR(P320),MONTH(P320),1)),IF(Table3[[#This Row],[Status]]="Received",(DATE(YEAR(Q320),MONTH(Q320),1)),""))</f>
        <v/>
      </c>
      <c r="Z320" s="304" t="str">
        <f t="shared" si="16"/>
        <v/>
      </c>
      <c r="AA320" s="48" t="str">
        <f t="shared" si="17"/>
        <v/>
      </c>
      <c r="AB320" s="48" t="str">
        <f t="shared" si="18"/>
        <v/>
      </c>
      <c r="AC320" s="292" t="str">
        <f t="shared" si="19"/>
        <v/>
      </c>
      <c r="AD320" s="48" t="str">
        <f>IF(Table3[[#This Row],[Actual Arrival date]]&gt;0,IF(Table3[[#This Row],[Expected arrival date]]&gt;0,Table3[[#This Row],[Actual Arrival date]]-Table3[[#This Row],[Expected arrival date]],""),"")</f>
        <v/>
      </c>
    </row>
    <row r="321" spans="1:30" x14ac:dyDescent="0.25">
      <c r="A321" s="303" t="str">
        <f>Start!$D$7</f>
        <v>Anyland</v>
      </c>
      <c r="B321" s="48" t="str">
        <f>_xlfn.IFNA(VLOOKUP(A321,list!B:C,2,FALSE),"")</f>
        <v>ANY</v>
      </c>
      <c r="C321" s="48"/>
      <c r="D321" s="127"/>
      <c r="E321" s="48" t="str">
        <f>_xlfn.IFNA(VLOOKUP(Table3[[#This Row],[Product]], ProductListTbl[], 3, 0), "")</f>
        <v/>
      </c>
      <c r="F321" s="303" t="str">
        <f>_xlfn.IFNA(VLOOKUP(D321,ProductListTbl[],5,0),"")</f>
        <v/>
      </c>
      <c r="G321" s="303" t="str">
        <f>_xlfn.IFNA(VLOOKUP(D321,ProductListTbl[],6,0),"")</f>
        <v/>
      </c>
      <c r="H321" s="130" t="str">
        <f>_xlfn.IFNA(VLOOKUP(D321,ProductListTbl[],7,0),"")</f>
        <v/>
      </c>
      <c r="I321" s="130" t="str">
        <f>_xlfn.IFNA(VLOOKUP(D321,ProductListTbl[],8,0),"")</f>
        <v/>
      </c>
      <c r="J321" s="127"/>
      <c r="K321" s="129"/>
      <c r="L321" s="128"/>
      <c r="M321" s="305" t="str">
        <f>IFERROR(Table3[[#This Row],[Quantity (doses)]]/Table3[[#This Row],[Doses per vial or syringe]],"")</f>
        <v/>
      </c>
      <c r="N321" s="127"/>
      <c r="O321" s="127"/>
      <c r="P321" s="381"/>
      <c r="Q321" s="129"/>
      <c r="R321" s="127"/>
      <c r="S321" s="127"/>
      <c r="T321" s="127"/>
      <c r="U321" s="127"/>
      <c r="V321" s="305" t="str">
        <f>_xlfn.IFNA(VLOOKUP(D321,ProductListTbl[],9,0),"")</f>
        <v/>
      </c>
      <c r="W321" s="305" t="str">
        <f>IFERROR(Table3[[#This Row],[Storage space per secondary packaging (cm3)]]*Table3[[#This Row],[Quantity  (vials or syringes)]]/1000,"")</f>
        <v/>
      </c>
      <c r="X321" s="305" t="str">
        <f>IFERROR(Table3[[#This Row],[Storage space per tertiary packaging (cm3)]]*Table3[[#This Row],[Quantity (doses)]]/1000,"")</f>
        <v/>
      </c>
      <c r="Y321" s="293" t="str">
        <f>IF(Table3[[#This Row],[Status]]="Ordered",(DATE(YEAR(P321),MONTH(P321),1)),IF(Table3[[#This Row],[Status]]="Received",(DATE(YEAR(Q321),MONTH(Q321),1)),""))</f>
        <v/>
      </c>
      <c r="Z321" s="304" t="str">
        <f t="shared" si="16"/>
        <v/>
      </c>
      <c r="AA321" s="48" t="str">
        <f t="shared" si="17"/>
        <v/>
      </c>
      <c r="AB321" s="48" t="str">
        <f t="shared" si="18"/>
        <v/>
      </c>
      <c r="AC321" s="292" t="str">
        <f t="shared" si="19"/>
        <v/>
      </c>
      <c r="AD321" s="48" t="str">
        <f>IF(Table3[[#This Row],[Actual Arrival date]]&gt;0,IF(Table3[[#This Row],[Expected arrival date]]&gt;0,Table3[[#This Row],[Actual Arrival date]]-Table3[[#This Row],[Expected arrival date]],""),"")</f>
        <v/>
      </c>
    </row>
    <row r="322" spans="1:30" x14ac:dyDescent="0.25">
      <c r="A322" s="303" t="str">
        <f>Start!$D$7</f>
        <v>Anyland</v>
      </c>
      <c r="B322" s="48" t="str">
        <f>_xlfn.IFNA(VLOOKUP(A322,list!B:C,2,FALSE),"")</f>
        <v>ANY</v>
      </c>
      <c r="C322" s="48"/>
      <c r="D322" s="127"/>
      <c r="E322" s="48" t="str">
        <f>_xlfn.IFNA(VLOOKUP(Table3[[#This Row],[Product]], ProductListTbl[], 3, 0), "")</f>
        <v/>
      </c>
      <c r="F322" s="303" t="str">
        <f>_xlfn.IFNA(VLOOKUP(D322,ProductListTbl[],5,0),"")</f>
        <v/>
      </c>
      <c r="G322" s="303" t="str">
        <f>_xlfn.IFNA(VLOOKUP(D322,ProductListTbl[],6,0),"")</f>
        <v/>
      </c>
      <c r="H322" s="130" t="str">
        <f>_xlfn.IFNA(VLOOKUP(D322,ProductListTbl[],7,0),"")</f>
        <v/>
      </c>
      <c r="I322" s="130" t="str">
        <f>_xlfn.IFNA(VLOOKUP(D322,ProductListTbl[],8,0),"")</f>
        <v/>
      </c>
      <c r="J322" s="127"/>
      <c r="K322" s="129"/>
      <c r="L322" s="128"/>
      <c r="M322" s="305" t="str">
        <f>IFERROR(Table3[[#This Row],[Quantity (doses)]]/Table3[[#This Row],[Doses per vial or syringe]],"")</f>
        <v/>
      </c>
      <c r="N322" s="127"/>
      <c r="O322" s="127"/>
      <c r="P322" s="381"/>
      <c r="Q322" s="129"/>
      <c r="R322" s="127"/>
      <c r="S322" s="127"/>
      <c r="T322" s="127"/>
      <c r="U322" s="127"/>
      <c r="V322" s="305" t="str">
        <f>_xlfn.IFNA(VLOOKUP(D322,ProductListTbl[],9,0),"")</f>
        <v/>
      </c>
      <c r="W322" s="305" t="str">
        <f>IFERROR(Table3[[#This Row],[Storage space per secondary packaging (cm3)]]*Table3[[#This Row],[Quantity  (vials or syringes)]]/1000,"")</f>
        <v/>
      </c>
      <c r="X322" s="305" t="str">
        <f>IFERROR(Table3[[#This Row],[Storage space per tertiary packaging (cm3)]]*Table3[[#This Row],[Quantity (doses)]]/1000,"")</f>
        <v/>
      </c>
      <c r="Y322" s="293" t="str">
        <f>IF(Table3[[#This Row],[Status]]="Ordered",(DATE(YEAR(P322),MONTH(P322),1)),IF(Table3[[#This Row],[Status]]="Received",(DATE(YEAR(Q322),MONTH(Q322),1)),""))</f>
        <v/>
      </c>
      <c r="Z322" s="304" t="str">
        <f t="shared" si="16"/>
        <v/>
      </c>
      <c r="AA322" s="48" t="str">
        <f t="shared" si="17"/>
        <v/>
      </c>
      <c r="AB322" s="48" t="str">
        <f t="shared" si="18"/>
        <v/>
      </c>
      <c r="AC322" s="292" t="str">
        <f t="shared" si="19"/>
        <v/>
      </c>
      <c r="AD322" s="48" t="str">
        <f>IF(Table3[[#This Row],[Actual Arrival date]]&gt;0,IF(Table3[[#This Row],[Expected arrival date]]&gt;0,Table3[[#This Row],[Actual Arrival date]]-Table3[[#This Row],[Expected arrival date]],""),"")</f>
        <v/>
      </c>
    </row>
    <row r="323" spans="1:30" x14ac:dyDescent="0.25">
      <c r="A323" s="303" t="str">
        <f>Start!$D$7</f>
        <v>Anyland</v>
      </c>
      <c r="B323" s="48" t="str">
        <f>_xlfn.IFNA(VLOOKUP(A323,list!B:C,2,FALSE),"")</f>
        <v>ANY</v>
      </c>
      <c r="C323" s="48"/>
      <c r="D323" s="127"/>
      <c r="E323" s="48" t="str">
        <f>_xlfn.IFNA(VLOOKUP(Table3[[#This Row],[Product]], ProductListTbl[], 3, 0), "")</f>
        <v/>
      </c>
      <c r="F323" s="303" t="str">
        <f>_xlfn.IFNA(VLOOKUP(D323,ProductListTbl[],5,0),"")</f>
        <v/>
      </c>
      <c r="G323" s="303" t="str">
        <f>_xlfn.IFNA(VLOOKUP(D323,ProductListTbl[],6,0),"")</f>
        <v/>
      </c>
      <c r="H323" s="130" t="str">
        <f>_xlfn.IFNA(VLOOKUP(D323,ProductListTbl[],7,0),"")</f>
        <v/>
      </c>
      <c r="I323" s="130" t="str">
        <f>_xlfn.IFNA(VLOOKUP(D323,ProductListTbl[],8,0),"")</f>
        <v/>
      </c>
      <c r="J323" s="127"/>
      <c r="K323" s="129"/>
      <c r="L323" s="128"/>
      <c r="M323" s="305" t="str">
        <f>IFERROR(Table3[[#This Row],[Quantity (doses)]]/Table3[[#This Row],[Doses per vial or syringe]],"")</f>
        <v/>
      </c>
      <c r="N323" s="127"/>
      <c r="O323" s="127"/>
      <c r="P323" s="381"/>
      <c r="Q323" s="129"/>
      <c r="R323" s="127"/>
      <c r="S323" s="127"/>
      <c r="T323" s="127"/>
      <c r="U323" s="127"/>
      <c r="V323" s="305" t="str">
        <f>_xlfn.IFNA(VLOOKUP(D323,ProductListTbl[],9,0),"")</f>
        <v/>
      </c>
      <c r="W323" s="305" t="str">
        <f>IFERROR(Table3[[#This Row],[Storage space per secondary packaging (cm3)]]*Table3[[#This Row],[Quantity  (vials or syringes)]]/1000,"")</f>
        <v/>
      </c>
      <c r="X323" s="305" t="str">
        <f>IFERROR(Table3[[#This Row],[Storage space per tertiary packaging (cm3)]]*Table3[[#This Row],[Quantity (doses)]]/1000,"")</f>
        <v/>
      </c>
      <c r="Y323" s="293" t="str">
        <f>IF(Table3[[#This Row],[Status]]="Ordered",(DATE(YEAR(P323),MONTH(P323),1)),IF(Table3[[#This Row],[Status]]="Received",(DATE(YEAR(Q323),MONTH(Q323),1)),""))</f>
        <v/>
      </c>
      <c r="Z323" s="304" t="str">
        <f t="shared" si="16"/>
        <v/>
      </c>
      <c r="AA323" s="48" t="str">
        <f t="shared" si="17"/>
        <v/>
      </c>
      <c r="AB323" s="48" t="str">
        <f t="shared" si="18"/>
        <v/>
      </c>
      <c r="AC323" s="292" t="str">
        <f t="shared" si="19"/>
        <v/>
      </c>
      <c r="AD323" s="48" t="str">
        <f>IF(Table3[[#This Row],[Actual Arrival date]]&gt;0,IF(Table3[[#This Row],[Expected arrival date]]&gt;0,Table3[[#This Row],[Actual Arrival date]]-Table3[[#This Row],[Expected arrival date]],""),"")</f>
        <v/>
      </c>
    </row>
    <row r="324" spans="1:30" x14ac:dyDescent="0.25">
      <c r="A324" s="303" t="str">
        <f>Start!$D$7</f>
        <v>Anyland</v>
      </c>
      <c r="B324" s="48" t="str">
        <f>_xlfn.IFNA(VLOOKUP(A324,list!B:C,2,FALSE),"")</f>
        <v>ANY</v>
      </c>
      <c r="C324" s="48"/>
      <c r="D324" s="127"/>
      <c r="E324" s="48" t="str">
        <f>_xlfn.IFNA(VLOOKUP(Table3[[#This Row],[Product]], ProductListTbl[], 3, 0), "")</f>
        <v/>
      </c>
      <c r="F324" s="303" t="str">
        <f>_xlfn.IFNA(VLOOKUP(D324,ProductListTbl[],5,0),"")</f>
        <v/>
      </c>
      <c r="G324" s="303" t="str">
        <f>_xlfn.IFNA(VLOOKUP(D324,ProductListTbl[],6,0),"")</f>
        <v/>
      </c>
      <c r="H324" s="130" t="str">
        <f>_xlfn.IFNA(VLOOKUP(D324,ProductListTbl[],7,0),"")</f>
        <v/>
      </c>
      <c r="I324" s="130" t="str">
        <f>_xlfn.IFNA(VLOOKUP(D324,ProductListTbl[],8,0),"")</f>
        <v/>
      </c>
      <c r="J324" s="127"/>
      <c r="K324" s="129"/>
      <c r="L324" s="128"/>
      <c r="M324" s="305" t="str">
        <f>IFERROR(Table3[[#This Row],[Quantity (doses)]]/Table3[[#This Row],[Doses per vial or syringe]],"")</f>
        <v/>
      </c>
      <c r="N324" s="127"/>
      <c r="O324" s="127"/>
      <c r="P324" s="381"/>
      <c r="Q324" s="129"/>
      <c r="R324" s="127"/>
      <c r="S324" s="127"/>
      <c r="T324" s="127"/>
      <c r="U324" s="127"/>
      <c r="V324" s="305" t="str">
        <f>_xlfn.IFNA(VLOOKUP(D324,ProductListTbl[],9,0),"")</f>
        <v/>
      </c>
      <c r="W324" s="305" t="str">
        <f>IFERROR(Table3[[#This Row],[Storage space per secondary packaging (cm3)]]*Table3[[#This Row],[Quantity  (vials or syringes)]]/1000,"")</f>
        <v/>
      </c>
      <c r="X324" s="305" t="str">
        <f>IFERROR(Table3[[#This Row],[Storage space per tertiary packaging (cm3)]]*Table3[[#This Row],[Quantity (doses)]]/1000,"")</f>
        <v/>
      </c>
      <c r="Y324" s="293" t="str">
        <f>IF(Table3[[#This Row],[Status]]="Ordered",(DATE(YEAR(P324),MONTH(P324),1)),IF(Table3[[#This Row],[Status]]="Received",(DATE(YEAR(Q324),MONTH(Q324),1)),""))</f>
        <v/>
      </c>
      <c r="Z324" s="304" t="str">
        <f t="shared" si="16"/>
        <v/>
      </c>
      <c r="AA324" s="48" t="str">
        <f t="shared" si="17"/>
        <v/>
      </c>
      <c r="AB324" s="48" t="str">
        <f t="shared" si="18"/>
        <v/>
      </c>
      <c r="AC324" s="292" t="str">
        <f t="shared" si="19"/>
        <v/>
      </c>
      <c r="AD324" s="48" t="str">
        <f>IF(Table3[[#This Row],[Actual Arrival date]]&gt;0,IF(Table3[[#This Row],[Expected arrival date]]&gt;0,Table3[[#This Row],[Actual Arrival date]]-Table3[[#This Row],[Expected arrival date]],""),"")</f>
        <v/>
      </c>
    </row>
    <row r="325" spans="1:30" x14ac:dyDescent="0.25">
      <c r="A325" s="303" t="str">
        <f>Start!$D$7</f>
        <v>Anyland</v>
      </c>
      <c r="B325" s="48" t="str">
        <f>_xlfn.IFNA(VLOOKUP(A325,list!B:C,2,FALSE),"")</f>
        <v>ANY</v>
      </c>
      <c r="C325" s="48"/>
      <c r="D325" s="127"/>
      <c r="E325" s="48" t="str">
        <f>_xlfn.IFNA(VLOOKUP(Table3[[#This Row],[Product]], ProductListTbl[], 3, 0), "")</f>
        <v/>
      </c>
      <c r="F325" s="303" t="str">
        <f>_xlfn.IFNA(VLOOKUP(D325,ProductListTbl[],5,0),"")</f>
        <v/>
      </c>
      <c r="G325" s="303" t="str">
        <f>_xlfn.IFNA(VLOOKUP(D325,ProductListTbl[],6,0),"")</f>
        <v/>
      </c>
      <c r="H325" s="130" t="str">
        <f>_xlfn.IFNA(VLOOKUP(D325,ProductListTbl[],7,0),"")</f>
        <v/>
      </c>
      <c r="I325" s="130" t="str">
        <f>_xlfn.IFNA(VLOOKUP(D325,ProductListTbl[],8,0),"")</f>
        <v/>
      </c>
      <c r="J325" s="127"/>
      <c r="K325" s="129"/>
      <c r="L325" s="128"/>
      <c r="M325" s="305" t="str">
        <f>IFERROR(Table3[[#This Row],[Quantity (doses)]]/Table3[[#This Row],[Doses per vial or syringe]],"")</f>
        <v/>
      </c>
      <c r="N325" s="127"/>
      <c r="O325" s="127"/>
      <c r="P325" s="381"/>
      <c r="Q325" s="129"/>
      <c r="R325" s="127"/>
      <c r="S325" s="127"/>
      <c r="T325" s="127"/>
      <c r="U325" s="127"/>
      <c r="V325" s="305" t="str">
        <f>_xlfn.IFNA(VLOOKUP(D325,ProductListTbl[],9,0),"")</f>
        <v/>
      </c>
      <c r="W325" s="305" t="str">
        <f>IFERROR(Table3[[#This Row],[Storage space per secondary packaging (cm3)]]*Table3[[#This Row],[Quantity  (vials or syringes)]]/1000,"")</f>
        <v/>
      </c>
      <c r="X325" s="305" t="str">
        <f>IFERROR(Table3[[#This Row],[Storage space per tertiary packaging (cm3)]]*Table3[[#This Row],[Quantity (doses)]]/1000,"")</f>
        <v/>
      </c>
      <c r="Y325" s="293" t="str">
        <f>IF(Table3[[#This Row],[Status]]="Ordered",(DATE(YEAR(P325),MONTH(P325),1)),IF(Table3[[#This Row],[Status]]="Received",(DATE(YEAR(Q325),MONTH(Q325),1)),""))</f>
        <v/>
      </c>
      <c r="Z325" s="304" t="str">
        <f t="shared" ref="Z325:Z388" si="20">IFERROR(IF(K325&gt;0,((K325-Q325)/(365.25/12)),""),"")</f>
        <v/>
      </c>
      <c r="AA325" s="48" t="str">
        <f t="shared" ref="AA325:AA388" si="21">IFERROR(IF(K325="","",MONTH(EOMONTH(K325,(DAY(K325)&gt;15)+0))),"")</f>
        <v/>
      </c>
      <c r="AB325" s="48" t="str">
        <f t="shared" ref="AB325:AB388" si="22">IFERROR(IF(K325="","",IF(AND(MONTH(K325)=12,AA325=1),YEAR(K325)+1,YEAR(K325))),"")</f>
        <v/>
      </c>
      <c r="AC325" s="292" t="str">
        <f t="shared" ref="AC325:AC388" si="23">IF(OR(AA325="",AB325=""),"",DATE(AB325,AA325,1))</f>
        <v/>
      </c>
      <c r="AD325" s="48" t="str">
        <f>IF(Table3[[#This Row],[Actual Arrival date]]&gt;0,IF(Table3[[#This Row],[Expected arrival date]]&gt;0,Table3[[#This Row],[Actual Arrival date]]-Table3[[#This Row],[Expected arrival date]],""),"")</f>
        <v/>
      </c>
    </row>
    <row r="326" spans="1:30" x14ac:dyDescent="0.25">
      <c r="A326" s="303" t="str">
        <f>Start!$D$7</f>
        <v>Anyland</v>
      </c>
      <c r="B326" s="48" t="str">
        <f>_xlfn.IFNA(VLOOKUP(A326,list!B:C,2,FALSE),"")</f>
        <v>ANY</v>
      </c>
      <c r="C326" s="48"/>
      <c r="D326" s="127"/>
      <c r="E326" s="48" t="str">
        <f>_xlfn.IFNA(VLOOKUP(Table3[[#This Row],[Product]], ProductListTbl[], 3, 0), "")</f>
        <v/>
      </c>
      <c r="F326" s="303" t="str">
        <f>_xlfn.IFNA(VLOOKUP(D326,ProductListTbl[],5,0),"")</f>
        <v/>
      </c>
      <c r="G326" s="303" t="str">
        <f>_xlfn.IFNA(VLOOKUP(D326,ProductListTbl[],6,0),"")</f>
        <v/>
      </c>
      <c r="H326" s="130" t="str">
        <f>_xlfn.IFNA(VLOOKUP(D326,ProductListTbl[],7,0),"")</f>
        <v/>
      </c>
      <c r="I326" s="130" t="str">
        <f>_xlfn.IFNA(VLOOKUP(D326,ProductListTbl[],8,0),"")</f>
        <v/>
      </c>
      <c r="J326" s="127"/>
      <c r="K326" s="129"/>
      <c r="L326" s="128"/>
      <c r="M326" s="305" t="str">
        <f>IFERROR(Table3[[#This Row],[Quantity (doses)]]/Table3[[#This Row],[Doses per vial or syringe]],"")</f>
        <v/>
      </c>
      <c r="N326" s="127"/>
      <c r="O326" s="127"/>
      <c r="P326" s="381"/>
      <c r="Q326" s="129"/>
      <c r="R326" s="127"/>
      <c r="S326" s="127"/>
      <c r="T326" s="127"/>
      <c r="U326" s="127"/>
      <c r="V326" s="305" t="str">
        <f>_xlfn.IFNA(VLOOKUP(D326,ProductListTbl[],9,0),"")</f>
        <v/>
      </c>
      <c r="W326" s="305" t="str">
        <f>IFERROR(Table3[[#This Row],[Storage space per secondary packaging (cm3)]]*Table3[[#This Row],[Quantity  (vials or syringes)]]/1000,"")</f>
        <v/>
      </c>
      <c r="X326" s="305" t="str">
        <f>IFERROR(Table3[[#This Row],[Storage space per tertiary packaging (cm3)]]*Table3[[#This Row],[Quantity (doses)]]/1000,"")</f>
        <v/>
      </c>
      <c r="Y326" s="293" t="str">
        <f>IF(Table3[[#This Row],[Status]]="Ordered",(DATE(YEAR(P326),MONTH(P326),1)),IF(Table3[[#This Row],[Status]]="Received",(DATE(YEAR(Q326),MONTH(Q326),1)),""))</f>
        <v/>
      </c>
      <c r="Z326" s="304" t="str">
        <f t="shared" si="20"/>
        <v/>
      </c>
      <c r="AA326" s="48" t="str">
        <f t="shared" si="21"/>
        <v/>
      </c>
      <c r="AB326" s="48" t="str">
        <f t="shared" si="22"/>
        <v/>
      </c>
      <c r="AC326" s="292" t="str">
        <f t="shared" si="23"/>
        <v/>
      </c>
      <c r="AD326" s="48" t="str">
        <f>IF(Table3[[#This Row],[Actual Arrival date]]&gt;0,IF(Table3[[#This Row],[Expected arrival date]]&gt;0,Table3[[#This Row],[Actual Arrival date]]-Table3[[#This Row],[Expected arrival date]],""),"")</f>
        <v/>
      </c>
    </row>
    <row r="327" spans="1:30" x14ac:dyDescent="0.25">
      <c r="A327" s="303" t="str">
        <f>Start!$D$7</f>
        <v>Anyland</v>
      </c>
      <c r="B327" s="48" t="str">
        <f>_xlfn.IFNA(VLOOKUP(A327,list!B:C,2,FALSE),"")</f>
        <v>ANY</v>
      </c>
      <c r="C327" s="48"/>
      <c r="D327" s="127"/>
      <c r="E327" s="48" t="str">
        <f>_xlfn.IFNA(VLOOKUP(Table3[[#This Row],[Product]], ProductListTbl[], 3, 0), "")</f>
        <v/>
      </c>
      <c r="F327" s="303" t="str">
        <f>_xlfn.IFNA(VLOOKUP(D327,ProductListTbl[],5,0),"")</f>
        <v/>
      </c>
      <c r="G327" s="303" t="str">
        <f>_xlfn.IFNA(VLOOKUP(D327,ProductListTbl[],6,0),"")</f>
        <v/>
      </c>
      <c r="H327" s="130" t="str">
        <f>_xlfn.IFNA(VLOOKUP(D327,ProductListTbl[],7,0),"")</f>
        <v/>
      </c>
      <c r="I327" s="130" t="str">
        <f>_xlfn.IFNA(VLOOKUP(D327,ProductListTbl[],8,0),"")</f>
        <v/>
      </c>
      <c r="J327" s="127"/>
      <c r="K327" s="129"/>
      <c r="L327" s="128"/>
      <c r="M327" s="305" t="str">
        <f>IFERROR(Table3[[#This Row],[Quantity (doses)]]/Table3[[#This Row],[Doses per vial or syringe]],"")</f>
        <v/>
      </c>
      <c r="N327" s="127"/>
      <c r="O327" s="127"/>
      <c r="P327" s="381"/>
      <c r="Q327" s="129"/>
      <c r="R327" s="127"/>
      <c r="S327" s="127"/>
      <c r="T327" s="127"/>
      <c r="U327" s="127"/>
      <c r="V327" s="305" t="str">
        <f>_xlfn.IFNA(VLOOKUP(D327,ProductListTbl[],9,0),"")</f>
        <v/>
      </c>
      <c r="W327" s="305" t="str">
        <f>IFERROR(Table3[[#This Row],[Storage space per secondary packaging (cm3)]]*Table3[[#This Row],[Quantity  (vials or syringes)]]/1000,"")</f>
        <v/>
      </c>
      <c r="X327" s="305" t="str">
        <f>IFERROR(Table3[[#This Row],[Storage space per tertiary packaging (cm3)]]*Table3[[#This Row],[Quantity (doses)]]/1000,"")</f>
        <v/>
      </c>
      <c r="Y327" s="293" t="str">
        <f>IF(Table3[[#This Row],[Status]]="Ordered",(DATE(YEAR(P327),MONTH(P327),1)),IF(Table3[[#This Row],[Status]]="Received",(DATE(YEAR(Q327),MONTH(Q327),1)),""))</f>
        <v/>
      </c>
      <c r="Z327" s="304" t="str">
        <f t="shared" si="20"/>
        <v/>
      </c>
      <c r="AA327" s="48" t="str">
        <f t="shared" si="21"/>
        <v/>
      </c>
      <c r="AB327" s="48" t="str">
        <f t="shared" si="22"/>
        <v/>
      </c>
      <c r="AC327" s="292" t="str">
        <f t="shared" si="23"/>
        <v/>
      </c>
      <c r="AD327" s="48" t="str">
        <f>IF(Table3[[#This Row],[Actual Arrival date]]&gt;0,IF(Table3[[#This Row],[Expected arrival date]]&gt;0,Table3[[#This Row],[Actual Arrival date]]-Table3[[#This Row],[Expected arrival date]],""),"")</f>
        <v/>
      </c>
    </row>
    <row r="328" spans="1:30" x14ac:dyDescent="0.25">
      <c r="A328" s="303" t="str">
        <f>Start!$D$7</f>
        <v>Anyland</v>
      </c>
      <c r="B328" s="48" t="str">
        <f>_xlfn.IFNA(VLOOKUP(A328,list!B:C,2,FALSE),"")</f>
        <v>ANY</v>
      </c>
      <c r="C328" s="48"/>
      <c r="D328" s="127"/>
      <c r="E328" s="48" t="str">
        <f>_xlfn.IFNA(VLOOKUP(Table3[[#This Row],[Product]], ProductListTbl[], 3, 0), "")</f>
        <v/>
      </c>
      <c r="F328" s="303" t="str">
        <f>_xlfn.IFNA(VLOOKUP(D328,ProductListTbl[],5,0),"")</f>
        <v/>
      </c>
      <c r="G328" s="303" t="str">
        <f>_xlfn.IFNA(VLOOKUP(D328,ProductListTbl[],6,0),"")</f>
        <v/>
      </c>
      <c r="H328" s="130" t="str">
        <f>_xlfn.IFNA(VLOOKUP(D328,ProductListTbl[],7,0),"")</f>
        <v/>
      </c>
      <c r="I328" s="130" t="str">
        <f>_xlfn.IFNA(VLOOKUP(D328,ProductListTbl[],8,0),"")</f>
        <v/>
      </c>
      <c r="J328" s="127"/>
      <c r="K328" s="129"/>
      <c r="L328" s="128"/>
      <c r="M328" s="305" t="str">
        <f>IFERROR(Table3[[#This Row],[Quantity (doses)]]/Table3[[#This Row],[Doses per vial or syringe]],"")</f>
        <v/>
      </c>
      <c r="N328" s="127"/>
      <c r="O328" s="127"/>
      <c r="P328" s="381"/>
      <c r="Q328" s="129"/>
      <c r="R328" s="127"/>
      <c r="S328" s="127"/>
      <c r="T328" s="127"/>
      <c r="U328" s="127"/>
      <c r="V328" s="305" t="str">
        <f>_xlfn.IFNA(VLOOKUP(D328,ProductListTbl[],9,0),"")</f>
        <v/>
      </c>
      <c r="W328" s="305" t="str">
        <f>IFERROR(Table3[[#This Row],[Storage space per secondary packaging (cm3)]]*Table3[[#This Row],[Quantity  (vials or syringes)]]/1000,"")</f>
        <v/>
      </c>
      <c r="X328" s="305" t="str">
        <f>IFERROR(Table3[[#This Row],[Storage space per tertiary packaging (cm3)]]*Table3[[#This Row],[Quantity (doses)]]/1000,"")</f>
        <v/>
      </c>
      <c r="Y328" s="293" t="str">
        <f>IF(Table3[[#This Row],[Status]]="Ordered",(DATE(YEAR(P328),MONTH(P328),1)),IF(Table3[[#This Row],[Status]]="Received",(DATE(YEAR(Q328),MONTH(Q328),1)),""))</f>
        <v/>
      </c>
      <c r="Z328" s="304" t="str">
        <f t="shared" si="20"/>
        <v/>
      </c>
      <c r="AA328" s="48" t="str">
        <f t="shared" si="21"/>
        <v/>
      </c>
      <c r="AB328" s="48" t="str">
        <f t="shared" si="22"/>
        <v/>
      </c>
      <c r="AC328" s="292" t="str">
        <f t="shared" si="23"/>
        <v/>
      </c>
      <c r="AD328" s="48" t="str">
        <f>IF(Table3[[#This Row],[Actual Arrival date]]&gt;0,IF(Table3[[#This Row],[Expected arrival date]]&gt;0,Table3[[#This Row],[Actual Arrival date]]-Table3[[#This Row],[Expected arrival date]],""),"")</f>
        <v/>
      </c>
    </row>
    <row r="329" spans="1:30" x14ac:dyDescent="0.25">
      <c r="A329" s="303" t="str">
        <f>Start!$D$7</f>
        <v>Anyland</v>
      </c>
      <c r="B329" s="48" t="str">
        <f>_xlfn.IFNA(VLOOKUP(A329,list!B:C,2,FALSE),"")</f>
        <v>ANY</v>
      </c>
      <c r="C329" s="48"/>
      <c r="D329" s="127"/>
      <c r="E329" s="48" t="str">
        <f>_xlfn.IFNA(VLOOKUP(Table3[[#This Row],[Product]], ProductListTbl[], 3, 0), "")</f>
        <v/>
      </c>
      <c r="F329" s="303" t="str">
        <f>_xlfn.IFNA(VLOOKUP(D329,ProductListTbl[],5,0),"")</f>
        <v/>
      </c>
      <c r="G329" s="303" t="str">
        <f>_xlfn.IFNA(VLOOKUP(D329,ProductListTbl[],6,0),"")</f>
        <v/>
      </c>
      <c r="H329" s="130" t="str">
        <f>_xlfn.IFNA(VLOOKUP(D329,ProductListTbl[],7,0),"")</f>
        <v/>
      </c>
      <c r="I329" s="130" t="str">
        <f>_xlfn.IFNA(VLOOKUP(D329,ProductListTbl[],8,0),"")</f>
        <v/>
      </c>
      <c r="J329" s="127"/>
      <c r="K329" s="129"/>
      <c r="L329" s="128"/>
      <c r="M329" s="305" t="str">
        <f>IFERROR(Table3[[#This Row],[Quantity (doses)]]/Table3[[#This Row],[Doses per vial or syringe]],"")</f>
        <v/>
      </c>
      <c r="N329" s="127"/>
      <c r="O329" s="127"/>
      <c r="P329" s="381"/>
      <c r="Q329" s="129"/>
      <c r="R329" s="127"/>
      <c r="S329" s="127"/>
      <c r="T329" s="127"/>
      <c r="U329" s="127"/>
      <c r="V329" s="305" t="str">
        <f>_xlfn.IFNA(VLOOKUP(D329,ProductListTbl[],9,0),"")</f>
        <v/>
      </c>
      <c r="W329" s="305" t="str">
        <f>IFERROR(Table3[[#This Row],[Storage space per secondary packaging (cm3)]]*Table3[[#This Row],[Quantity  (vials or syringes)]]/1000,"")</f>
        <v/>
      </c>
      <c r="X329" s="305" t="str">
        <f>IFERROR(Table3[[#This Row],[Storage space per tertiary packaging (cm3)]]*Table3[[#This Row],[Quantity (doses)]]/1000,"")</f>
        <v/>
      </c>
      <c r="Y329" s="293" t="str">
        <f>IF(Table3[[#This Row],[Status]]="Ordered",(DATE(YEAR(P329),MONTH(P329),1)),IF(Table3[[#This Row],[Status]]="Received",(DATE(YEAR(Q329),MONTH(Q329),1)),""))</f>
        <v/>
      </c>
      <c r="Z329" s="304" t="str">
        <f t="shared" si="20"/>
        <v/>
      </c>
      <c r="AA329" s="48" t="str">
        <f t="shared" si="21"/>
        <v/>
      </c>
      <c r="AB329" s="48" t="str">
        <f t="shared" si="22"/>
        <v/>
      </c>
      <c r="AC329" s="292" t="str">
        <f t="shared" si="23"/>
        <v/>
      </c>
      <c r="AD329" s="48" t="str">
        <f>IF(Table3[[#This Row],[Actual Arrival date]]&gt;0,IF(Table3[[#This Row],[Expected arrival date]]&gt;0,Table3[[#This Row],[Actual Arrival date]]-Table3[[#This Row],[Expected arrival date]],""),"")</f>
        <v/>
      </c>
    </row>
    <row r="330" spans="1:30" x14ac:dyDescent="0.25">
      <c r="A330" s="303" t="str">
        <f>Start!$D$7</f>
        <v>Anyland</v>
      </c>
      <c r="B330" s="48" t="str">
        <f>_xlfn.IFNA(VLOOKUP(A330,list!B:C,2,FALSE),"")</f>
        <v>ANY</v>
      </c>
      <c r="C330" s="48"/>
      <c r="D330" s="127"/>
      <c r="E330" s="48" t="str">
        <f>_xlfn.IFNA(VLOOKUP(Table3[[#This Row],[Product]], ProductListTbl[], 3, 0), "")</f>
        <v/>
      </c>
      <c r="F330" s="303" t="str">
        <f>_xlfn.IFNA(VLOOKUP(D330,ProductListTbl[],5,0),"")</f>
        <v/>
      </c>
      <c r="G330" s="303" t="str">
        <f>_xlfn.IFNA(VLOOKUP(D330,ProductListTbl[],6,0),"")</f>
        <v/>
      </c>
      <c r="H330" s="130" t="str">
        <f>_xlfn.IFNA(VLOOKUP(D330,ProductListTbl[],7,0),"")</f>
        <v/>
      </c>
      <c r="I330" s="130" t="str">
        <f>_xlfn.IFNA(VLOOKUP(D330,ProductListTbl[],8,0),"")</f>
        <v/>
      </c>
      <c r="J330" s="127"/>
      <c r="K330" s="129"/>
      <c r="L330" s="128"/>
      <c r="M330" s="305" t="str">
        <f>IFERROR(Table3[[#This Row],[Quantity (doses)]]/Table3[[#This Row],[Doses per vial or syringe]],"")</f>
        <v/>
      </c>
      <c r="N330" s="127"/>
      <c r="O330" s="127"/>
      <c r="P330" s="381"/>
      <c r="Q330" s="129"/>
      <c r="R330" s="127"/>
      <c r="S330" s="127"/>
      <c r="T330" s="127"/>
      <c r="U330" s="127"/>
      <c r="V330" s="305" t="str">
        <f>_xlfn.IFNA(VLOOKUP(D330,ProductListTbl[],9,0),"")</f>
        <v/>
      </c>
      <c r="W330" s="305" t="str">
        <f>IFERROR(Table3[[#This Row],[Storage space per secondary packaging (cm3)]]*Table3[[#This Row],[Quantity  (vials or syringes)]]/1000,"")</f>
        <v/>
      </c>
      <c r="X330" s="305" t="str">
        <f>IFERROR(Table3[[#This Row],[Storage space per tertiary packaging (cm3)]]*Table3[[#This Row],[Quantity (doses)]]/1000,"")</f>
        <v/>
      </c>
      <c r="Y330" s="293" t="str">
        <f>IF(Table3[[#This Row],[Status]]="Ordered",(DATE(YEAR(P330),MONTH(P330),1)),IF(Table3[[#This Row],[Status]]="Received",(DATE(YEAR(Q330),MONTH(Q330),1)),""))</f>
        <v/>
      </c>
      <c r="Z330" s="304" t="str">
        <f t="shared" si="20"/>
        <v/>
      </c>
      <c r="AA330" s="48" t="str">
        <f t="shared" si="21"/>
        <v/>
      </c>
      <c r="AB330" s="48" t="str">
        <f t="shared" si="22"/>
        <v/>
      </c>
      <c r="AC330" s="292" t="str">
        <f t="shared" si="23"/>
        <v/>
      </c>
      <c r="AD330" s="48" t="str">
        <f>IF(Table3[[#This Row],[Actual Arrival date]]&gt;0,IF(Table3[[#This Row],[Expected arrival date]]&gt;0,Table3[[#This Row],[Actual Arrival date]]-Table3[[#This Row],[Expected arrival date]],""),"")</f>
        <v/>
      </c>
    </row>
    <row r="331" spans="1:30" x14ac:dyDescent="0.25">
      <c r="A331" s="303" t="str">
        <f>Start!$D$7</f>
        <v>Anyland</v>
      </c>
      <c r="B331" s="48" t="str">
        <f>_xlfn.IFNA(VLOOKUP(A331,list!B:C,2,FALSE),"")</f>
        <v>ANY</v>
      </c>
      <c r="C331" s="48"/>
      <c r="D331" s="127"/>
      <c r="E331" s="48" t="str">
        <f>_xlfn.IFNA(VLOOKUP(Table3[[#This Row],[Product]], ProductListTbl[], 3, 0), "")</f>
        <v/>
      </c>
      <c r="F331" s="303" t="str">
        <f>_xlfn.IFNA(VLOOKUP(D331,ProductListTbl[],5,0),"")</f>
        <v/>
      </c>
      <c r="G331" s="303" t="str">
        <f>_xlfn.IFNA(VLOOKUP(D331,ProductListTbl[],6,0),"")</f>
        <v/>
      </c>
      <c r="H331" s="130" t="str">
        <f>_xlfn.IFNA(VLOOKUP(D331,ProductListTbl[],7,0),"")</f>
        <v/>
      </c>
      <c r="I331" s="130" t="str">
        <f>_xlfn.IFNA(VLOOKUP(D331,ProductListTbl[],8,0),"")</f>
        <v/>
      </c>
      <c r="J331" s="127"/>
      <c r="K331" s="129"/>
      <c r="L331" s="128"/>
      <c r="M331" s="305" t="str">
        <f>IFERROR(Table3[[#This Row],[Quantity (doses)]]/Table3[[#This Row],[Doses per vial or syringe]],"")</f>
        <v/>
      </c>
      <c r="N331" s="127"/>
      <c r="O331" s="127"/>
      <c r="P331" s="381"/>
      <c r="Q331" s="129"/>
      <c r="R331" s="127"/>
      <c r="S331" s="127"/>
      <c r="T331" s="127"/>
      <c r="U331" s="127"/>
      <c r="V331" s="305" t="str">
        <f>_xlfn.IFNA(VLOOKUP(D331,ProductListTbl[],9,0),"")</f>
        <v/>
      </c>
      <c r="W331" s="305" t="str">
        <f>IFERROR(Table3[[#This Row],[Storage space per secondary packaging (cm3)]]*Table3[[#This Row],[Quantity  (vials or syringes)]]/1000,"")</f>
        <v/>
      </c>
      <c r="X331" s="305" t="str">
        <f>IFERROR(Table3[[#This Row],[Storage space per tertiary packaging (cm3)]]*Table3[[#This Row],[Quantity (doses)]]/1000,"")</f>
        <v/>
      </c>
      <c r="Y331" s="293" t="str">
        <f>IF(Table3[[#This Row],[Status]]="Ordered",(DATE(YEAR(P331),MONTH(P331),1)),IF(Table3[[#This Row],[Status]]="Received",(DATE(YEAR(Q331),MONTH(Q331),1)),""))</f>
        <v/>
      </c>
      <c r="Z331" s="304" t="str">
        <f t="shared" si="20"/>
        <v/>
      </c>
      <c r="AA331" s="48" t="str">
        <f t="shared" si="21"/>
        <v/>
      </c>
      <c r="AB331" s="48" t="str">
        <f t="shared" si="22"/>
        <v/>
      </c>
      <c r="AC331" s="292" t="str">
        <f t="shared" si="23"/>
        <v/>
      </c>
      <c r="AD331" s="48" t="str">
        <f>IF(Table3[[#This Row],[Actual Arrival date]]&gt;0,IF(Table3[[#This Row],[Expected arrival date]]&gt;0,Table3[[#This Row],[Actual Arrival date]]-Table3[[#This Row],[Expected arrival date]],""),"")</f>
        <v/>
      </c>
    </row>
    <row r="332" spans="1:30" x14ac:dyDescent="0.25">
      <c r="A332" s="303" t="str">
        <f>Start!$D$7</f>
        <v>Anyland</v>
      </c>
      <c r="B332" s="48" t="str">
        <f>_xlfn.IFNA(VLOOKUP(A332,list!B:C,2,FALSE),"")</f>
        <v>ANY</v>
      </c>
      <c r="C332" s="48"/>
      <c r="D332" s="127"/>
      <c r="E332" s="48" t="str">
        <f>_xlfn.IFNA(VLOOKUP(Table3[[#This Row],[Product]], ProductListTbl[], 3, 0), "")</f>
        <v/>
      </c>
      <c r="F332" s="303" t="str">
        <f>_xlfn.IFNA(VLOOKUP(D332,ProductListTbl[],5,0),"")</f>
        <v/>
      </c>
      <c r="G332" s="303" t="str">
        <f>_xlfn.IFNA(VLOOKUP(D332,ProductListTbl[],6,0),"")</f>
        <v/>
      </c>
      <c r="H332" s="130" t="str">
        <f>_xlfn.IFNA(VLOOKUP(D332,ProductListTbl[],7,0),"")</f>
        <v/>
      </c>
      <c r="I332" s="130" t="str">
        <f>_xlfn.IFNA(VLOOKUP(D332,ProductListTbl[],8,0),"")</f>
        <v/>
      </c>
      <c r="J332" s="127"/>
      <c r="K332" s="129"/>
      <c r="L332" s="128"/>
      <c r="M332" s="305" t="str">
        <f>IFERROR(Table3[[#This Row],[Quantity (doses)]]/Table3[[#This Row],[Doses per vial or syringe]],"")</f>
        <v/>
      </c>
      <c r="N332" s="127"/>
      <c r="O332" s="127"/>
      <c r="P332" s="381"/>
      <c r="Q332" s="129"/>
      <c r="R332" s="127"/>
      <c r="S332" s="127"/>
      <c r="T332" s="127"/>
      <c r="U332" s="127"/>
      <c r="V332" s="305" t="str">
        <f>_xlfn.IFNA(VLOOKUP(D332,ProductListTbl[],9,0),"")</f>
        <v/>
      </c>
      <c r="W332" s="305" t="str">
        <f>IFERROR(Table3[[#This Row],[Storage space per secondary packaging (cm3)]]*Table3[[#This Row],[Quantity  (vials or syringes)]]/1000,"")</f>
        <v/>
      </c>
      <c r="X332" s="305" t="str">
        <f>IFERROR(Table3[[#This Row],[Storage space per tertiary packaging (cm3)]]*Table3[[#This Row],[Quantity (doses)]]/1000,"")</f>
        <v/>
      </c>
      <c r="Y332" s="293" t="str">
        <f>IF(Table3[[#This Row],[Status]]="Ordered",(DATE(YEAR(P332),MONTH(P332),1)),IF(Table3[[#This Row],[Status]]="Received",(DATE(YEAR(Q332),MONTH(Q332),1)),""))</f>
        <v/>
      </c>
      <c r="Z332" s="304" t="str">
        <f t="shared" si="20"/>
        <v/>
      </c>
      <c r="AA332" s="48" t="str">
        <f t="shared" si="21"/>
        <v/>
      </c>
      <c r="AB332" s="48" t="str">
        <f t="shared" si="22"/>
        <v/>
      </c>
      <c r="AC332" s="292" t="str">
        <f t="shared" si="23"/>
        <v/>
      </c>
      <c r="AD332" s="48" t="str">
        <f>IF(Table3[[#This Row],[Actual Arrival date]]&gt;0,IF(Table3[[#This Row],[Expected arrival date]]&gt;0,Table3[[#This Row],[Actual Arrival date]]-Table3[[#This Row],[Expected arrival date]],""),"")</f>
        <v/>
      </c>
    </row>
    <row r="333" spans="1:30" x14ac:dyDescent="0.25">
      <c r="A333" s="303" t="str">
        <f>Start!$D$7</f>
        <v>Anyland</v>
      </c>
      <c r="B333" s="48" t="str">
        <f>_xlfn.IFNA(VLOOKUP(A333,list!B:C,2,FALSE),"")</f>
        <v>ANY</v>
      </c>
      <c r="C333" s="48"/>
      <c r="D333" s="127"/>
      <c r="E333" s="48" t="str">
        <f>_xlfn.IFNA(VLOOKUP(Table3[[#This Row],[Product]], ProductListTbl[], 3, 0), "")</f>
        <v/>
      </c>
      <c r="F333" s="303" t="str">
        <f>_xlfn.IFNA(VLOOKUP(D333,ProductListTbl[],5,0),"")</f>
        <v/>
      </c>
      <c r="G333" s="303" t="str">
        <f>_xlfn.IFNA(VLOOKUP(D333,ProductListTbl[],6,0),"")</f>
        <v/>
      </c>
      <c r="H333" s="130" t="str">
        <f>_xlfn.IFNA(VLOOKUP(D333,ProductListTbl[],7,0),"")</f>
        <v/>
      </c>
      <c r="I333" s="130" t="str">
        <f>_xlfn.IFNA(VLOOKUP(D333,ProductListTbl[],8,0),"")</f>
        <v/>
      </c>
      <c r="J333" s="127"/>
      <c r="K333" s="129"/>
      <c r="L333" s="128"/>
      <c r="M333" s="305" t="str">
        <f>IFERROR(Table3[[#This Row],[Quantity (doses)]]/Table3[[#This Row],[Doses per vial or syringe]],"")</f>
        <v/>
      </c>
      <c r="N333" s="127"/>
      <c r="O333" s="127"/>
      <c r="P333" s="381"/>
      <c r="Q333" s="129"/>
      <c r="R333" s="127"/>
      <c r="S333" s="127"/>
      <c r="T333" s="127"/>
      <c r="U333" s="127"/>
      <c r="V333" s="305" t="str">
        <f>_xlfn.IFNA(VLOOKUP(D333,ProductListTbl[],9,0),"")</f>
        <v/>
      </c>
      <c r="W333" s="305" t="str">
        <f>IFERROR(Table3[[#This Row],[Storage space per secondary packaging (cm3)]]*Table3[[#This Row],[Quantity  (vials or syringes)]]/1000,"")</f>
        <v/>
      </c>
      <c r="X333" s="305" t="str">
        <f>IFERROR(Table3[[#This Row],[Storage space per tertiary packaging (cm3)]]*Table3[[#This Row],[Quantity (doses)]]/1000,"")</f>
        <v/>
      </c>
      <c r="Y333" s="293" t="str">
        <f>IF(Table3[[#This Row],[Status]]="Ordered",(DATE(YEAR(P333),MONTH(P333),1)),IF(Table3[[#This Row],[Status]]="Received",(DATE(YEAR(Q333),MONTH(Q333),1)),""))</f>
        <v/>
      </c>
      <c r="Z333" s="304" t="str">
        <f t="shared" si="20"/>
        <v/>
      </c>
      <c r="AA333" s="48" t="str">
        <f t="shared" si="21"/>
        <v/>
      </c>
      <c r="AB333" s="48" t="str">
        <f t="shared" si="22"/>
        <v/>
      </c>
      <c r="AC333" s="292" t="str">
        <f t="shared" si="23"/>
        <v/>
      </c>
      <c r="AD333" s="48" t="str">
        <f>IF(Table3[[#This Row],[Actual Arrival date]]&gt;0,IF(Table3[[#This Row],[Expected arrival date]]&gt;0,Table3[[#This Row],[Actual Arrival date]]-Table3[[#This Row],[Expected arrival date]],""),"")</f>
        <v/>
      </c>
    </row>
    <row r="334" spans="1:30" x14ac:dyDescent="0.25">
      <c r="A334" s="303" t="str">
        <f>Start!$D$7</f>
        <v>Anyland</v>
      </c>
      <c r="B334" s="48" t="str">
        <f>_xlfn.IFNA(VLOOKUP(A334,list!B:C,2,FALSE),"")</f>
        <v>ANY</v>
      </c>
      <c r="C334" s="48"/>
      <c r="D334" s="127"/>
      <c r="E334" s="48" t="str">
        <f>_xlfn.IFNA(VLOOKUP(Table3[[#This Row],[Product]], ProductListTbl[], 3, 0), "")</f>
        <v/>
      </c>
      <c r="F334" s="303" t="str">
        <f>_xlfn.IFNA(VLOOKUP(D334,ProductListTbl[],5,0),"")</f>
        <v/>
      </c>
      <c r="G334" s="303" t="str">
        <f>_xlfn.IFNA(VLOOKUP(D334,ProductListTbl[],6,0),"")</f>
        <v/>
      </c>
      <c r="H334" s="130" t="str">
        <f>_xlfn.IFNA(VLOOKUP(D334,ProductListTbl[],7,0),"")</f>
        <v/>
      </c>
      <c r="I334" s="130" t="str">
        <f>_xlfn.IFNA(VLOOKUP(D334,ProductListTbl[],8,0),"")</f>
        <v/>
      </c>
      <c r="J334" s="127"/>
      <c r="K334" s="129"/>
      <c r="L334" s="128"/>
      <c r="M334" s="305" t="str">
        <f>IFERROR(Table3[[#This Row],[Quantity (doses)]]/Table3[[#This Row],[Doses per vial or syringe]],"")</f>
        <v/>
      </c>
      <c r="N334" s="127"/>
      <c r="O334" s="127"/>
      <c r="P334" s="381"/>
      <c r="Q334" s="129"/>
      <c r="R334" s="127"/>
      <c r="S334" s="127"/>
      <c r="T334" s="127"/>
      <c r="U334" s="127"/>
      <c r="V334" s="305" t="str">
        <f>_xlfn.IFNA(VLOOKUP(D334,ProductListTbl[],9,0),"")</f>
        <v/>
      </c>
      <c r="W334" s="305" t="str">
        <f>IFERROR(Table3[[#This Row],[Storage space per secondary packaging (cm3)]]*Table3[[#This Row],[Quantity  (vials or syringes)]]/1000,"")</f>
        <v/>
      </c>
      <c r="X334" s="305" t="str">
        <f>IFERROR(Table3[[#This Row],[Storage space per tertiary packaging (cm3)]]*Table3[[#This Row],[Quantity (doses)]]/1000,"")</f>
        <v/>
      </c>
      <c r="Y334" s="293" t="str">
        <f>IF(Table3[[#This Row],[Status]]="Ordered",(DATE(YEAR(P334),MONTH(P334),1)),IF(Table3[[#This Row],[Status]]="Received",(DATE(YEAR(Q334),MONTH(Q334),1)),""))</f>
        <v/>
      </c>
      <c r="Z334" s="304" t="str">
        <f t="shared" si="20"/>
        <v/>
      </c>
      <c r="AA334" s="48" t="str">
        <f t="shared" si="21"/>
        <v/>
      </c>
      <c r="AB334" s="48" t="str">
        <f t="shared" si="22"/>
        <v/>
      </c>
      <c r="AC334" s="292" t="str">
        <f t="shared" si="23"/>
        <v/>
      </c>
      <c r="AD334" s="48" t="str">
        <f>IF(Table3[[#This Row],[Actual Arrival date]]&gt;0,IF(Table3[[#This Row],[Expected arrival date]]&gt;0,Table3[[#This Row],[Actual Arrival date]]-Table3[[#This Row],[Expected arrival date]],""),"")</f>
        <v/>
      </c>
    </row>
    <row r="335" spans="1:30" x14ac:dyDescent="0.25">
      <c r="A335" s="303" t="str">
        <f>Start!$D$7</f>
        <v>Anyland</v>
      </c>
      <c r="B335" s="48" t="str">
        <f>_xlfn.IFNA(VLOOKUP(A335,list!B:C,2,FALSE),"")</f>
        <v>ANY</v>
      </c>
      <c r="C335" s="48"/>
      <c r="D335" s="127"/>
      <c r="E335" s="48" t="str">
        <f>_xlfn.IFNA(VLOOKUP(Table3[[#This Row],[Product]], ProductListTbl[], 3, 0), "")</f>
        <v/>
      </c>
      <c r="F335" s="303" t="str">
        <f>_xlfn.IFNA(VLOOKUP(D335,ProductListTbl[],5,0),"")</f>
        <v/>
      </c>
      <c r="G335" s="303" t="str">
        <f>_xlfn.IFNA(VLOOKUP(D335,ProductListTbl[],6,0),"")</f>
        <v/>
      </c>
      <c r="H335" s="130" t="str">
        <f>_xlfn.IFNA(VLOOKUP(D335,ProductListTbl[],7,0),"")</f>
        <v/>
      </c>
      <c r="I335" s="130" t="str">
        <f>_xlfn.IFNA(VLOOKUP(D335,ProductListTbl[],8,0),"")</f>
        <v/>
      </c>
      <c r="J335" s="127"/>
      <c r="K335" s="129"/>
      <c r="L335" s="128"/>
      <c r="M335" s="305" t="str">
        <f>IFERROR(Table3[[#This Row],[Quantity (doses)]]/Table3[[#This Row],[Doses per vial or syringe]],"")</f>
        <v/>
      </c>
      <c r="N335" s="127"/>
      <c r="O335" s="127"/>
      <c r="P335" s="381"/>
      <c r="Q335" s="129"/>
      <c r="R335" s="127"/>
      <c r="S335" s="127"/>
      <c r="T335" s="127"/>
      <c r="U335" s="127"/>
      <c r="V335" s="305" t="str">
        <f>_xlfn.IFNA(VLOOKUP(D335,ProductListTbl[],9,0),"")</f>
        <v/>
      </c>
      <c r="W335" s="305" t="str">
        <f>IFERROR(Table3[[#This Row],[Storage space per secondary packaging (cm3)]]*Table3[[#This Row],[Quantity  (vials or syringes)]]/1000,"")</f>
        <v/>
      </c>
      <c r="X335" s="305" t="str">
        <f>IFERROR(Table3[[#This Row],[Storage space per tertiary packaging (cm3)]]*Table3[[#This Row],[Quantity (doses)]]/1000,"")</f>
        <v/>
      </c>
      <c r="Y335" s="293" t="str">
        <f>IF(Table3[[#This Row],[Status]]="Ordered",(DATE(YEAR(P335),MONTH(P335),1)),IF(Table3[[#This Row],[Status]]="Received",(DATE(YEAR(Q335),MONTH(Q335),1)),""))</f>
        <v/>
      </c>
      <c r="Z335" s="304" t="str">
        <f t="shared" si="20"/>
        <v/>
      </c>
      <c r="AA335" s="48" t="str">
        <f t="shared" si="21"/>
        <v/>
      </c>
      <c r="AB335" s="48" t="str">
        <f t="shared" si="22"/>
        <v/>
      </c>
      <c r="AC335" s="292" t="str">
        <f t="shared" si="23"/>
        <v/>
      </c>
      <c r="AD335" s="48" t="str">
        <f>IF(Table3[[#This Row],[Actual Arrival date]]&gt;0,IF(Table3[[#This Row],[Expected arrival date]]&gt;0,Table3[[#This Row],[Actual Arrival date]]-Table3[[#This Row],[Expected arrival date]],""),"")</f>
        <v/>
      </c>
    </row>
    <row r="336" spans="1:30" x14ac:dyDescent="0.25">
      <c r="A336" s="303" t="str">
        <f>Start!$D$7</f>
        <v>Anyland</v>
      </c>
      <c r="B336" s="48" t="str">
        <f>_xlfn.IFNA(VLOOKUP(A336,list!B:C,2,FALSE),"")</f>
        <v>ANY</v>
      </c>
      <c r="C336" s="48"/>
      <c r="D336" s="127"/>
      <c r="E336" s="48" t="str">
        <f>_xlfn.IFNA(VLOOKUP(Table3[[#This Row],[Product]], ProductListTbl[], 3, 0), "")</f>
        <v/>
      </c>
      <c r="F336" s="303" t="str">
        <f>_xlfn.IFNA(VLOOKUP(D336,ProductListTbl[],5,0),"")</f>
        <v/>
      </c>
      <c r="G336" s="303" t="str">
        <f>_xlfn.IFNA(VLOOKUP(D336,ProductListTbl[],6,0),"")</f>
        <v/>
      </c>
      <c r="H336" s="130" t="str">
        <f>_xlfn.IFNA(VLOOKUP(D336,ProductListTbl[],7,0),"")</f>
        <v/>
      </c>
      <c r="I336" s="130" t="str">
        <f>_xlfn.IFNA(VLOOKUP(D336,ProductListTbl[],8,0),"")</f>
        <v/>
      </c>
      <c r="J336" s="127"/>
      <c r="K336" s="129"/>
      <c r="L336" s="128"/>
      <c r="M336" s="305" t="str">
        <f>IFERROR(Table3[[#This Row],[Quantity (doses)]]/Table3[[#This Row],[Doses per vial or syringe]],"")</f>
        <v/>
      </c>
      <c r="N336" s="127"/>
      <c r="O336" s="127"/>
      <c r="P336" s="381"/>
      <c r="Q336" s="129"/>
      <c r="R336" s="127"/>
      <c r="S336" s="127"/>
      <c r="T336" s="127"/>
      <c r="U336" s="127"/>
      <c r="V336" s="305" t="str">
        <f>_xlfn.IFNA(VLOOKUP(D336,ProductListTbl[],9,0),"")</f>
        <v/>
      </c>
      <c r="W336" s="305" t="str">
        <f>IFERROR(Table3[[#This Row],[Storage space per secondary packaging (cm3)]]*Table3[[#This Row],[Quantity  (vials or syringes)]]/1000,"")</f>
        <v/>
      </c>
      <c r="X336" s="305" t="str">
        <f>IFERROR(Table3[[#This Row],[Storage space per tertiary packaging (cm3)]]*Table3[[#This Row],[Quantity (doses)]]/1000,"")</f>
        <v/>
      </c>
      <c r="Y336" s="293" t="str">
        <f>IF(Table3[[#This Row],[Status]]="Ordered",(DATE(YEAR(P336),MONTH(P336),1)),IF(Table3[[#This Row],[Status]]="Received",(DATE(YEAR(Q336),MONTH(Q336),1)),""))</f>
        <v/>
      </c>
      <c r="Z336" s="304" t="str">
        <f t="shared" si="20"/>
        <v/>
      </c>
      <c r="AA336" s="48" t="str">
        <f t="shared" si="21"/>
        <v/>
      </c>
      <c r="AB336" s="48" t="str">
        <f t="shared" si="22"/>
        <v/>
      </c>
      <c r="AC336" s="292" t="str">
        <f t="shared" si="23"/>
        <v/>
      </c>
      <c r="AD336" s="48" t="str">
        <f>IF(Table3[[#This Row],[Actual Arrival date]]&gt;0,IF(Table3[[#This Row],[Expected arrival date]]&gt;0,Table3[[#This Row],[Actual Arrival date]]-Table3[[#This Row],[Expected arrival date]],""),"")</f>
        <v/>
      </c>
    </row>
    <row r="337" spans="1:30" x14ac:dyDescent="0.25">
      <c r="A337" s="303" t="str">
        <f>Start!$D$7</f>
        <v>Anyland</v>
      </c>
      <c r="B337" s="48" t="str">
        <f>_xlfn.IFNA(VLOOKUP(A337,list!B:C,2,FALSE),"")</f>
        <v>ANY</v>
      </c>
      <c r="C337" s="48"/>
      <c r="D337" s="127"/>
      <c r="E337" s="48" t="str">
        <f>_xlfn.IFNA(VLOOKUP(Table3[[#This Row],[Product]], ProductListTbl[], 3, 0), "")</f>
        <v/>
      </c>
      <c r="F337" s="303" t="str">
        <f>_xlfn.IFNA(VLOOKUP(D337,ProductListTbl[],5,0),"")</f>
        <v/>
      </c>
      <c r="G337" s="303" t="str">
        <f>_xlfn.IFNA(VLOOKUP(D337,ProductListTbl[],6,0),"")</f>
        <v/>
      </c>
      <c r="H337" s="130" t="str">
        <f>_xlfn.IFNA(VLOOKUP(D337,ProductListTbl[],7,0),"")</f>
        <v/>
      </c>
      <c r="I337" s="130" t="str">
        <f>_xlfn.IFNA(VLOOKUP(D337,ProductListTbl[],8,0),"")</f>
        <v/>
      </c>
      <c r="J337" s="127"/>
      <c r="K337" s="129"/>
      <c r="L337" s="128"/>
      <c r="M337" s="305" t="str">
        <f>IFERROR(Table3[[#This Row],[Quantity (doses)]]/Table3[[#This Row],[Doses per vial or syringe]],"")</f>
        <v/>
      </c>
      <c r="N337" s="127"/>
      <c r="O337" s="127"/>
      <c r="P337" s="381"/>
      <c r="Q337" s="129"/>
      <c r="R337" s="127"/>
      <c r="S337" s="127"/>
      <c r="T337" s="127"/>
      <c r="U337" s="127"/>
      <c r="V337" s="305" t="str">
        <f>_xlfn.IFNA(VLOOKUP(D337,ProductListTbl[],9,0),"")</f>
        <v/>
      </c>
      <c r="W337" s="305" t="str">
        <f>IFERROR(Table3[[#This Row],[Storage space per secondary packaging (cm3)]]*Table3[[#This Row],[Quantity  (vials or syringes)]]/1000,"")</f>
        <v/>
      </c>
      <c r="X337" s="305" t="str">
        <f>IFERROR(Table3[[#This Row],[Storage space per tertiary packaging (cm3)]]*Table3[[#This Row],[Quantity (doses)]]/1000,"")</f>
        <v/>
      </c>
      <c r="Y337" s="293" t="str">
        <f>IF(Table3[[#This Row],[Status]]="Ordered",(DATE(YEAR(P337),MONTH(P337),1)),IF(Table3[[#This Row],[Status]]="Received",(DATE(YEAR(Q337),MONTH(Q337),1)),""))</f>
        <v/>
      </c>
      <c r="Z337" s="304" t="str">
        <f t="shared" si="20"/>
        <v/>
      </c>
      <c r="AA337" s="48" t="str">
        <f t="shared" si="21"/>
        <v/>
      </c>
      <c r="AB337" s="48" t="str">
        <f t="shared" si="22"/>
        <v/>
      </c>
      <c r="AC337" s="292" t="str">
        <f t="shared" si="23"/>
        <v/>
      </c>
      <c r="AD337" s="48" t="str">
        <f>IF(Table3[[#This Row],[Actual Arrival date]]&gt;0,IF(Table3[[#This Row],[Expected arrival date]]&gt;0,Table3[[#This Row],[Actual Arrival date]]-Table3[[#This Row],[Expected arrival date]],""),"")</f>
        <v/>
      </c>
    </row>
    <row r="338" spans="1:30" x14ac:dyDescent="0.25">
      <c r="A338" s="303" t="str">
        <f>Start!$D$7</f>
        <v>Anyland</v>
      </c>
      <c r="B338" s="48" t="str">
        <f>_xlfn.IFNA(VLOOKUP(A338,list!B:C,2,FALSE),"")</f>
        <v>ANY</v>
      </c>
      <c r="C338" s="48"/>
      <c r="D338" s="127"/>
      <c r="E338" s="48" t="str">
        <f>_xlfn.IFNA(VLOOKUP(Table3[[#This Row],[Product]], ProductListTbl[], 3, 0), "")</f>
        <v/>
      </c>
      <c r="F338" s="303" t="str">
        <f>_xlfn.IFNA(VLOOKUP(D338,ProductListTbl[],5,0),"")</f>
        <v/>
      </c>
      <c r="G338" s="303" t="str">
        <f>_xlfn.IFNA(VLOOKUP(D338,ProductListTbl[],6,0),"")</f>
        <v/>
      </c>
      <c r="H338" s="130" t="str">
        <f>_xlfn.IFNA(VLOOKUP(D338,ProductListTbl[],7,0),"")</f>
        <v/>
      </c>
      <c r="I338" s="130" t="str">
        <f>_xlfn.IFNA(VLOOKUP(D338,ProductListTbl[],8,0),"")</f>
        <v/>
      </c>
      <c r="J338" s="127"/>
      <c r="K338" s="129"/>
      <c r="L338" s="128"/>
      <c r="M338" s="305" t="str">
        <f>IFERROR(Table3[[#This Row],[Quantity (doses)]]/Table3[[#This Row],[Doses per vial or syringe]],"")</f>
        <v/>
      </c>
      <c r="N338" s="127"/>
      <c r="O338" s="127"/>
      <c r="P338" s="381"/>
      <c r="Q338" s="129"/>
      <c r="R338" s="127"/>
      <c r="S338" s="127"/>
      <c r="T338" s="127"/>
      <c r="U338" s="127"/>
      <c r="V338" s="305" t="str">
        <f>_xlfn.IFNA(VLOOKUP(D338,ProductListTbl[],9,0),"")</f>
        <v/>
      </c>
      <c r="W338" s="305" t="str">
        <f>IFERROR(Table3[[#This Row],[Storage space per secondary packaging (cm3)]]*Table3[[#This Row],[Quantity  (vials or syringes)]]/1000,"")</f>
        <v/>
      </c>
      <c r="X338" s="305" t="str">
        <f>IFERROR(Table3[[#This Row],[Storage space per tertiary packaging (cm3)]]*Table3[[#This Row],[Quantity (doses)]]/1000,"")</f>
        <v/>
      </c>
      <c r="Y338" s="293" t="str">
        <f>IF(Table3[[#This Row],[Status]]="Ordered",(DATE(YEAR(P338),MONTH(P338),1)),IF(Table3[[#This Row],[Status]]="Received",(DATE(YEAR(Q338),MONTH(Q338),1)),""))</f>
        <v/>
      </c>
      <c r="Z338" s="304" t="str">
        <f t="shared" si="20"/>
        <v/>
      </c>
      <c r="AA338" s="48" t="str">
        <f t="shared" si="21"/>
        <v/>
      </c>
      <c r="AB338" s="48" t="str">
        <f t="shared" si="22"/>
        <v/>
      </c>
      <c r="AC338" s="292" t="str">
        <f t="shared" si="23"/>
        <v/>
      </c>
      <c r="AD338" s="48" t="str">
        <f>IF(Table3[[#This Row],[Actual Arrival date]]&gt;0,IF(Table3[[#This Row],[Expected arrival date]]&gt;0,Table3[[#This Row],[Actual Arrival date]]-Table3[[#This Row],[Expected arrival date]],""),"")</f>
        <v/>
      </c>
    </row>
    <row r="339" spans="1:30" x14ac:dyDescent="0.25">
      <c r="A339" s="303" t="str">
        <f>Start!$D$7</f>
        <v>Anyland</v>
      </c>
      <c r="B339" s="48" t="str">
        <f>_xlfn.IFNA(VLOOKUP(A339,list!B:C,2,FALSE),"")</f>
        <v>ANY</v>
      </c>
      <c r="C339" s="48"/>
      <c r="D339" s="127"/>
      <c r="E339" s="48" t="str">
        <f>_xlfn.IFNA(VLOOKUP(Table3[[#This Row],[Product]], ProductListTbl[], 3, 0), "")</f>
        <v/>
      </c>
      <c r="F339" s="303" t="str">
        <f>_xlfn.IFNA(VLOOKUP(D339,ProductListTbl[],5,0),"")</f>
        <v/>
      </c>
      <c r="G339" s="303" t="str">
        <f>_xlfn.IFNA(VLOOKUP(D339,ProductListTbl[],6,0),"")</f>
        <v/>
      </c>
      <c r="H339" s="130" t="str">
        <f>_xlfn.IFNA(VLOOKUP(D339,ProductListTbl[],7,0),"")</f>
        <v/>
      </c>
      <c r="I339" s="130" t="str">
        <f>_xlfn.IFNA(VLOOKUP(D339,ProductListTbl[],8,0),"")</f>
        <v/>
      </c>
      <c r="J339" s="127"/>
      <c r="K339" s="129"/>
      <c r="L339" s="128"/>
      <c r="M339" s="305" t="str">
        <f>IFERROR(Table3[[#This Row],[Quantity (doses)]]/Table3[[#This Row],[Doses per vial or syringe]],"")</f>
        <v/>
      </c>
      <c r="N339" s="127"/>
      <c r="O339" s="127"/>
      <c r="P339" s="381"/>
      <c r="Q339" s="129"/>
      <c r="R339" s="127"/>
      <c r="S339" s="127"/>
      <c r="T339" s="127"/>
      <c r="U339" s="127"/>
      <c r="V339" s="305" t="str">
        <f>_xlfn.IFNA(VLOOKUP(D339,ProductListTbl[],9,0),"")</f>
        <v/>
      </c>
      <c r="W339" s="305" t="str">
        <f>IFERROR(Table3[[#This Row],[Storage space per secondary packaging (cm3)]]*Table3[[#This Row],[Quantity  (vials or syringes)]]/1000,"")</f>
        <v/>
      </c>
      <c r="X339" s="305" t="str">
        <f>IFERROR(Table3[[#This Row],[Storage space per tertiary packaging (cm3)]]*Table3[[#This Row],[Quantity (doses)]]/1000,"")</f>
        <v/>
      </c>
      <c r="Y339" s="293" t="str">
        <f>IF(Table3[[#This Row],[Status]]="Ordered",(DATE(YEAR(P339),MONTH(P339),1)),IF(Table3[[#This Row],[Status]]="Received",(DATE(YEAR(Q339),MONTH(Q339),1)),""))</f>
        <v/>
      </c>
      <c r="Z339" s="304" t="str">
        <f t="shared" si="20"/>
        <v/>
      </c>
      <c r="AA339" s="48" t="str">
        <f t="shared" si="21"/>
        <v/>
      </c>
      <c r="AB339" s="48" t="str">
        <f t="shared" si="22"/>
        <v/>
      </c>
      <c r="AC339" s="292" t="str">
        <f t="shared" si="23"/>
        <v/>
      </c>
      <c r="AD339" s="48" t="str">
        <f>IF(Table3[[#This Row],[Actual Arrival date]]&gt;0,IF(Table3[[#This Row],[Expected arrival date]]&gt;0,Table3[[#This Row],[Actual Arrival date]]-Table3[[#This Row],[Expected arrival date]],""),"")</f>
        <v/>
      </c>
    </row>
    <row r="340" spans="1:30" x14ac:dyDescent="0.25">
      <c r="A340" s="303" t="str">
        <f>Start!$D$7</f>
        <v>Anyland</v>
      </c>
      <c r="B340" s="48" t="str">
        <f>_xlfn.IFNA(VLOOKUP(A340,list!B:C,2,FALSE),"")</f>
        <v>ANY</v>
      </c>
      <c r="C340" s="48"/>
      <c r="D340" s="127"/>
      <c r="E340" s="48" t="str">
        <f>_xlfn.IFNA(VLOOKUP(Table3[[#This Row],[Product]], ProductListTbl[], 3, 0), "")</f>
        <v/>
      </c>
      <c r="F340" s="303" t="str">
        <f>_xlfn.IFNA(VLOOKUP(D340,ProductListTbl[],5,0),"")</f>
        <v/>
      </c>
      <c r="G340" s="303" t="str">
        <f>_xlfn.IFNA(VLOOKUP(D340,ProductListTbl[],6,0),"")</f>
        <v/>
      </c>
      <c r="H340" s="130" t="str">
        <f>_xlfn.IFNA(VLOOKUP(D340,ProductListTbl[],7,0),"")</f>
        <v/>
      </c>
      <c r="I340" s="130" t="str">
        <f>_xlfn.IFNA(VLOOKUP(D340,ProductListTbl[],8,0),"")</f>
        <v/>
      </c>
      <c r="J340" s="127"/>
      <c r="K340" s="129"/>
      <c r="L340" s="128"/>
      <c r="M340" s="305" t="str">
        <f>IFERROR(Table3[[#This Row],[Quantity (doses)]]/Table3[[#This Row],[Doses per vial or syringe]],"")</f>
        <v/>
      </c>
      <c r="N340" s="127"/>
      <c r="O340" s="127"/>
      <c r="P340" s="381"/>
      <c r="Q340" s="129"/>
      <c r="R340" s="127"/>
      <c r="S340" s="127"/>
      <c r="T340" s="127"/>
      <c r="U340" s="127"/>
      <c r="V340" s="305" t="str">
        <f>_xlfn.IFNA(VLOOKUP(D340,ProductListTbl[],9,0),"")</f>
        <v/>
      </c>
      <c r="W340" s="305" t="str">
        <f>IFERROR(Table3[[#This Row],[Storage space per secondary packaging (cm3)]]*Table3[[#This Row],[Quantity  (vials or syringes)]]/1000,"")</f>
        <v/>
      </c>
      <c r="X340" s="305" t="str">
        <f>IFERROR(Table3[[#This Row],[Storage space per tertiary packaging (cm3)]]*Table3[[#This Row],[Quantity (doses)]]/1000,"")</f>
        <v/>
      </c>
      <c r="Y340" s="293" t="str">
        <f>IF(Table3[[#This Row],[Status]]="Ordered",(DATE(YEAR(P340),MONTH(P340),1)),IF(Table3[[#This Row],[Status]]="Received",(DATE(YEAR(Q340),MONTH(Q340),1)),""))</f>
        <v/>
      </c>
      <c r="Z340" s="304" t="str">
        <f t="shared" si="20"/>
        <v/>
      </c>
      <c r="AA340" s="48" t="str">
        <f t="shared" si="21"/>
        <v/>
      </c>
      <c r="AB340" s="48" t="str">
        <f t="shared" si="22"/>
        <v/>
      </c>
      <c r="AC340" s="292" t="str">
        <f t="shared" si="23"/>
        <v/>
      </c>
      <c r="AD340" s="48" t="str">
        <f>IF(Table3[[#This Row],[Actual Arrival date]]&gt;0,IF(Table3[[#This Row],[Expected arrival date]]&gt;0,Table3[[#This Row],[Actual Arrival date]]-Table3[[#This Row],[Expected arrival date]],""),"")</f>
        <v/>
      </c>
    </row>
    <row r="341" spans="1:30" x14ac:dyDescent="0.25">
      <c r="A341" s="303" t="str">
        <f>Start!$D$7</f>
        <v>Anyland</v>
      </c>
      <c r="B341" s="48" t="str">
        <f>_xlfn.IFNA(VLOOKUP(A341,list!B:C,2,FALSE),"")</f>
        <v>ANY</v>
      </c>
      <c r="C341" s="48"/>
      <c r="D341" s="127"/>
      <c r="E341" s="48" t="str">
        <f>_xlfn.IFNA(VLOOKUP(Table3[[#This Row],[Product]], ProductListTbl[], 3, 0), "")</f>
        <v/>
      </c>
      <c r="F341" s="303" t="str">
        <f>_xlfn.IFNA(VLOOKUP(D341,ProductListTbl[],5,0),"")</f>
        <v/>
      </c>
      <c r="G341" s="303" t="str">
        <f>_xlfn.IFNA(VLOOKUP(D341,ProductListTbl[],6,0),"")</f>
        <v/>
      </c>
      <c r="H341" s="130" t="str">
        <f>_xlfn.IFNA(VLOOKUP(D341,ProductListTbl[],7,0),"")</f>
        <v/>
      </c>
      <c r="I341" s="130" t="str">
        <f>_xlfn.IFNA(VLOOKUP(D341,ProductListTbl[],8,0),"")</f>
        <v/>
      </c>
      <c r="J341" s="127"/>
      <c r="K341" s="129"/>
      <c r="L341" s="128"/>
      <c r="M341" s="305" t="str">
        <f>IFERROR(Table3[[#This Row],[Quantity (doses)]]/Table3[[#This Row],[Doses per vial or syringe]],"")</f>
        <v/>
      </c>
      <c r="N341" s="127"/>
      <c r="O341" s="127"/>
      <c r="P341" s="381"/>
      <c r="Q341" s="129"/>
      <c r="R341" s="127"/>
      <c r="S341" s="127"/>
      <c r="T341" s="127"/>
      <c r="U341" s="127"/>
      <c r="V341" s="305" t="str">
        <f>_xlfn.IFNA(VLOOKUP(D341,ProductListTbl[],9,0),"")</f>
        <v/>
      </c>
      <c r="W341" s="305" t="str">
        <f>IFERROR(Table3[[#This Row],[Storage space per secondary packaging (cm3)]]*Table3[[#This Row],[Quantity  (vials or syringes)]]/1000,"")</f>
        <v/>
      </c>
      <c r="X341" s="305" t="str">
        <f>IFERROR(Table3[[#This Row],[Storage space per tertiary packaging (cm3)]]*Table3[[#This Row],[Quantity (doses)]]/1000,"")</f>
        <v/>
      </c>
      <c r="Y341" s="293" t="str">
        <f>IF(Table3[[#This Row],[Status]]="Ordered",(DATE(YEAR(P341),MONTH(P341),1)),IF(Table3[[#This Row],[Status]]="Received",(DATE(YEAR(Q341),MONTH(Q341),1)),""))</f>
        <v/>
      </c>
      <c r="Z341" s="304" t="str">
        <f t="shared" si="20"/>
        <v/>
      </c>
      <c r="AA341" s="48" t="str">
        <f t="shared" si="21"/>
        <v/>
      </c>
      <c r="AB341" s="48" t="str">
        <f t="shared" si="22"/>
        <v/>
      </c>
      <c r="AC341" s="292" t="str">
        <f t="shared" si="23"/>
        <v/>
      </c>
      <c r="AD341" s="48" t="str">
        <f>IF(Table3[[#This Row],[Actual Arrival date]]&gt;0,IF(Table3[[#This Row],[Expected arrival date]]&gt;0,Table3[[#This Row],[Actual Arrival date]]-Table3[[#This Row],[Expected arrival date]],""),"")</f>
        <v/>
      </c>
    </row>
    <row r="342" spans="1:30" x14ac:dyDescent="0.25">
      <c r="A342" s="303" t="str">
        <f>Start!$D$7</f>
        <v>Anyland</v>
      </c>
      <c r="B342" s="48" t="str">
        <f>_xlfn.IFNA(VLOOKUP(A342,list!B:C,2,FALSE),"")</f>
        <v>ANY</v>
      </c>
      <c r="C342" s="48"/>
      <c r="D342" s="127"/>
      <c r="E342" s="48" t="str">
        <f>_xlfn.IFNA(VLOOKUP(Table3[[#This Row],[Product]], ProductListTbl[], 3, 0), "")</f>
        <v/>
      </c>
      <c r="F342" s="303" t="str">
        <f>_xlfn.IFNA(VLOOKUP(D342,ProductListTbl[],5,0),"")</f>
        <v/>
      </c>
      <c r="G342" s="303" t="str">
        <f>_xlfn.IFNA(VLOOKUP(D342,ProductListTbl[],6,0),"")</f>
        <v/>
      </c>
      <c r="H342" s="130" t="str">
        <f>_xlfn.IFNA(VLOOKUP(D342,ProductListTbl[],7,0),"")</f>
        <v/>
      </c>
      <c r="I342" s="130" t="str">
        <f>_xlfn.IFNA(VLOOKUP(D342,ProductListTbl[],8,0),"")</f>
        <v/>
      </c>
      <c r="J342" s="127"/>
      <c r="K342" s="129"/>
      <c r="L342" s="128"/>
      <c r="M342" s="305" t="str">
        <f>IFERROR(Table3[[#This Row],[Quantity (doses)]]/Table3[[#This Row],[Doses per vial or syringe]],"")</f>
        <v/>
      </c>
      <c r="N342" s="127"/>
      <c r="O342" s="127"/>
      <c r="P342" s="381"/>
      <c r="Q342" s="129"/>
      <c r="R342" s="127"/>
      <c r="S342" s="127"/>
      <c r="T342" s="127"/>
      <c r="U342" s="127"/>
      <c r="V342" s="305" t="str">
        <f>_xlfn.IFNA(VLOOKUP(D342,ProductListTbl[],9,0),"")</f>
        <v/>
      </c>
      <c r="W342" s="305" t="str">
        <f>IFERROR(Table3[[#This Row],[Storage space per secondary packaging (cm3)]]*Table3[[#This Row],[Quantity  (vials or syringes)]]/1000,"")</f>
        <v/>
      </c>
      <c r="X342" s="305" t="str">
        <f>IFERROR(Table3[[#This Row],[Storage space per tertiary packaging (cm3)]]*Table3[[#This Row],[Quantity (doses)]]/1000,"")</f>
        <v/>
      </c>
      <c r="Y342" s="293" t="str">
        <f>IF(Table3[[#This Row],[Status]]="Ordered",(DATE(YEAR(P342),MONTH(P342),1)),IF(Table3[[#This Row],[Status]]="Received",(DATE(YEAR(Q342),MONTH(Q342),1)),""))</f>
        <v/>
      </c>
      <c r="Z342" s="304" t="str">
        <f t="shared" si="20"/>
        <v/>
      </c>
      <c r="AA342" s="48" t="str">
        <f t="shared" si="21"/>
        <v/>
      </c>
      <c r="AB342" s="48" t="str">
        <f t="shared" si="22"/>
        <v/>
      </c>
      <c r="AC342" s="292" t="str">
        <f t="shared" si="23"/>
        <v/>
      </c>
      <c r="AD342" s="48" t="str">
        <f>IF(Table3[[#This Row],[Actual Arrival date]]&gt;0,IF(Table3[[#This Row],[Expected arrival date]]&gt;0,Table3[[#This Row],[Actual Arrival date]]-Table3[[#This Row],[Expected arrival date]],""),"")</f>
        <v/>
      </c>
    </row>
    <row r="343" spans="1:30" x14ac:dyDescent="0.25">
      <c r="A343" s="303" t="str">
        <f>Start!$D$7</f>
        <v>Anyland</v>
      </c>
      <c r="B343" s="48" t="str">
        <f>_xlfn.IFNA(VLOOKUP(A343,list!B:C,2,FALSE),"")</f>
        <v>ANY</v>
      </c>
      <c r="C343" s="48"/>
      <c r="D343" s="127"/>
      <c r="E343" s="48" t="str">
        <f>_xlfn.IFNA(VLOOKUP(Table3[[#This Row],[Product]], ProductListTbl[], 3, 0), "")</f>
        <v/>
      </c>
      <c r="F343" s="303" t="str">
        <f>_xlfn.IFNA(VLOOKUP(D343,ProductListTbl[],5,0),"")</f>
        <v/>
      </c>
      <c r="G343" s="303" t="str">
        <f>_xlfn.IFNA(VLOOKUP(D343,ProductListTbl[],6,0),"")</f>
        <v/>
      </c>
      <c r="H343" s="130" t="str">
        <f>_xlfn.IFNA(VLOOKUP(D343,ProductListTbl[],7,0),"")</f>
        <v/>
      </c>
      <c r="I343" s="130" t="str">
        <f>_xlfn.IFNA(VLOOKUP(D343,ProductListTbl[],8,0),"")</f>
        <v/>
      </c>
      <c r="J343" s="127"/>
      <c r="K343" s="129"/>
      <c r="L343" s="128"/>
      <c r="M343" s="305" t="str">
        <f>IFERROR(Table3[[#This Row],[Quantity (doses)]]/Table3[[#This Row],[Doses per vial or syringe]],"")</f>
        <v/>
      </c>
      <c r="N343" s="127"/>
      <c r="O343" s="127"/>
      <c r="P343" s="381"/>
      <c r="Q343" s="129"/>
      <c r="R343" s="127"/>
      <c r="S343" s="127"/>
      <c r="T343" s="127"/>
      <c r="U343" s="127"/>
      <c r="V343" s="305" t="str">
        <f>_xlfn.IFNA(VLOOKUP(D343,ProductListTbl[],9,0),"")</f>
        <v/>
      </c>
      <c r="W343" s="305" t="str">
        <f>IFERROR(Table3[[#This Row],[Storage space per secondary packaging (cm3)]]*Table3[[#This Row],[Quantity  (vials or syringes)]]/1000,"")</f>
        <v/>
      </c>
      <c r="X343" s="305" t="str">
        <f>IFERROR(Table3[[#This Row],[Storage space per tertiary packaging (cm3)]]*Table3[[#This Row],[Quantity (doses)]]/1000,"")</f>
        <v/>
      </c>
      <c r="Y343" s="293" t="str">
        <f>IF(Table3[[#This Row],[Status]]="Ordered",(DATE(YEAR(P343),MONTH(P343),1)),IF(Table3[[#This Row],[Status]]="Received",(DATE(YEAR(Q343),MONTH(Q343),1)),""))</f>
        <v/>
      </c>
      <c r="Z343" s="304" t="str">
        <f t="shared" si="20"/>
        <v/>
      </c>
      <c r="AA343" s="48" t="str">
        <f t="shared" si="21"/>
        <v/>
      </c>
      <c r="AB343" s="48" t="str">
        <f t="shared" si="22"/>
        <v/>
      </c>
      <c r="AC343" s="292" t="str">
        <f t="shared" si="23"/>
        <v/>
      </c>
      <c r="AD343" s="48" t="str">
        <f>IF(Table3[[#This Row],[Actual Arrival date]]&gt;0,IF(Table3[[#This Row],[Expected arrival date]]&gt;0,Table3[[#This Row],[Actual Arrival date]]-Table3[[#This Row],[Expected arrival date]],""),"")</f>
        <v/>
      </c>
    </row>
    <row r="344" spans="1:30" x14ac:dyDescent="0.25">
      <c r="A344" s="303" t="str">
        <f>Start!$D$7</f>
        <v>Anyland</v>
      </c>
      <c r="B344" s="48" t="str">
        <f>_xlfn.IFNA(VLOOKUP(A344,list!B:C,2,FALSE),"")</f>
        <v>ANY</v>
      </c>
      <c r="C344" s="48"/>
      <c r="D344" s="127"/>
      <c r="E344" s="48" t="str">
        <f>_xlfn.IFNA(VLOOKUP(Table3[[#This Row],[Product]], ProductListTbl[], 3, 0), "")</f>
        <v/>
      </c>
      <c r="F344" s="303" t="str">
        <f>_xlfn.IFNA(VLOOKUP(D344,ProductListTbl[],5,0),"")</f>
        <v/>
      </c>
      <c r="G344" s="303" t="str">
        <f>_xlfn.IFNA(VLOOKUP(D344,ProductListTbl[],6,0),"")</f>
        <v/>
      </c>
      <c r="H344" s="130" t="str">
        <f>_xlfn.IFNA(VLOOKUP(D344,ProductListTbl[],7,0),"")</f>
        <v/>
      </c>
      <c r="I344" s="130" t="str">
        <f>_xlfn.IFNA(VLOOKUP(D344,ProductListTbl[],8,0),"")</f>
        <v/>
      </c>
      <c r="J344" s="127"/>
      <c r="K344" s="129"/>
      <c r="L344" s="128"/>
      <c r="M344" s="305" t="str">
        <f>IFERROR(Table3[[#This Row],[Quantity (doses)]]/Table3[[#This Row],[Doses per vial or syringe]],"")</f>
        <v/>
      </c>
      <c r="N344" s="127"/>
      <c r="O344" s="127"/>
      <c r="P344" s="381"/>
      <c r="Q344" s="129"/>
      <c r="R344" s="127"/>
      <c r="S344" s="127"/>
      <c r="T344" s="127"/>
      <c r="U344" s="127"/>
      <c r="V344" s="305" t="str">
        <f>_xlfn.IFNA(VLOOKUP(D344,ProductListTbl[],9,0),"")</f>
        <v/>
      </c>
      <c r="W344" s="305" t="str">
        <f>IFERROR(Table3[[#This Row],[Storage space per secondary packaging (cm3)]]*Table3[[#This Row],[Quantity  (vials or syringes)]]/1000,"")</f>
        <v/>
      </c>
      <c r="X344" s="305" t="str">
        <f>IFERROR(Table3[[#This Row],[Storage space per tertiary packaging (cm3)]]*Table3[[#This Row],[Quantity (doses)]]/1000,"")</f>
        <v/>
      </c>
      <c r="Y344" s="293" t="str">
        <f>IF(Table3[[#This Row],[Status]]="Ordered",(DATE(YEAR(P344),MONTH(P344),1)),IF(Table3[[#This Row],[Status]]="Received",(DATE(YEAR(Q344),MONTH(Q344),1)),""))</f>
        <v/>
      </c>
      <c r="Z344" s="304" t="str">
        <f t="shared" si="20"/>
        <v/>
      </c>
      <c r="AA344" s="48" t="str">
        <f t="shared" si="21"/>
        <v/>
      </c>
      <c r="AB344" s="48" t="str">
        <f t="shared" si="22"/>
        <v/>
      </c>
      <c r="AC344" s="292" t="str">
        <f t="shared" si="23"/>
        <v/>
      </c>
      <c r="AD344" s="48" t="str">
        <f>IF(Table3[[#This Row],[Actual Arrival date]]&gt;0,IF(Table3[[#This Row],[Expected arrival date]]&gt;0,Table3[[#This Row],[Actual Arrival date]]-Table3[[#This Row],[Expected arrival date]],""),"")</f>
        <v/>
      </c>
    </row>
    <row r="345" spans="1:30" x14ac:dyDescent="0.25">
      <c r="A345" s="303" t="str">
        <f>Start!$D$7</f>
        <v>Anyland</v>
      </c>
      <c r="B345" s="48" t="str">
        <f>_xlfn.IFNA(VLOOKUP(A345,list!B:C,2,FALSE),"")</f>
        <v>ANY</v>
      </c>
      <c r="C345" s="48"/>
      <c r="D345" s="127"/>
      <c r="E345" s="48" t="str">
        <f>_xlfn.IFNA(VLOOKUP(Table3[[#This Row],[Product]], ProductListTbl[], 3, 0), "")</f>
        <v/>
      </c>
      <c r="F345" s="303" t="str">
        <f>_xlfn.IFNA(VLOOKUP(D345,ProductListTbl[],5,0),"")</f>
        <v/>
      </c>
      <c r="G345" s="303" t="str">
        <f>_xlfn.IFNA(VLOOKUP(D345,ProductListTbl[],6,0),"")</f>
        <v/>
      </c>
      <c r="H345" s="130" t="str">
        <f>_xlfn.IFNA(VLOOKUP(D345,ProductListTbl[],7,0),"")</f>
        <v/>
      </c>
      <c r="I345" s="130" t="str">
        <f>_xlfn.IFNA(VLOOKUP(D345,ProductListTbl[],8,0),"")</f>
        <v/>
      </c>
      <c r="J345" s="127"/>
      <c r="K345" s="129"/>
      <c r="L345" s="128"/>
      <c r="M345" s="305" t="str">
        <f>IFERROR(Table3[[#This Row],[Quantity (doses)]]/Table3[[#This Row],[Doses per vial or syringe]],"")</f>
        <v/>
      </c>
      <c r="N345" s="127"/>
      <c r="O345" s="127"/>
      <c r="P345" s="381"/>
      <c r="Q345" s="129"/>
      <c r="R345" s="127"/>
      <c r="S345" s="127"/>
      <c r="T345" s="127"/>
      <c r="U345" s="127"/>
      <c r="V345" s="305" t="str">
        <f>_xlfn.IFNA(VLOOKUP(D345,ProductListTbl[],9,0),"")</f>
        <v/>
      </c>
      <c r="W345" s="305" t="str">
        <f>IFERROR(Table3[[#This Row],[Storage space per secondary packaging (cm3)]]*Table3[[#This Row],[Quantity  (vials or syringes)]]/1000,"")</f>
        <v/>
      </c>
      <c r="X345" s="305" t="str">
        <f>IFERROR(Table3[[#This Row],[Storage space per tertiary packaging (cm3)]]*Table3[[#This Row],[Quantity (doses)]]/1000,"")</f>
        <v/>
      </c>
      <c r="Y345" s="293" t="str">
        <f>IF(Table3[[#This Row],[Status]]="Ordered",(DATE(YEAR(P345),MONTH(P345),1)),IF(Table3[[#This Row],[Status]]="Received",(DATE(YEAR(Q345),MONTH(Q345),1)),""))</f>
        <v/>
      </c>
      <c r="Z345" s="304" t="str">
        <f t="shared" si="20"/>
        <v/>
      </c>
      <c r="AA345" s="48" t="str">
        <f t="shared" si="21"/>
        <v/>
      </c>
      <c r="AB345" s="48" t="str">
        <f t="shared" si="22"/>
        <v/>
      </c>
      <c r="AC345" s="292" t="str">
        <f t="shared" si="23"/>
        <v/>
      </c>
      <c r="AD345" s="48" t="str">
        <f>IF(Table3[[#This Row],[Actual Arrival date]]&gt;0,IF(Table3[[#This Row],[Expected arrival date]]&gt;0,Table3[[#This Row],[Actual Arrival date]]-Table3[[#This Row],[Expected arrival date]],""),"")</f>
        <v/>
      </c>
    </row>
    <row r="346" spans="1:30" x14ac:dyDescent="0.25">
      <c r="A346" s="303" t="str">
        <f>Start!$D$7</f>
        <v>Anyland</v>
      </c>
      <c r="B346" s="48" t="str">
        <f>_xlfn.IFNA(VLOOKUP(A346,list!B:C,2,FALSE),"")</f>
        <v>ANY</v>
      </c>
      <c r="C346" s="48"/>
      <c r="D346" s="127"/>
      <c r="E346" s="48" t="str">
        <f>_xlfn.IFNA(VLOOKUP(Table3[[#This Row],[Product]], ProductListTbl[], 3, 0), "")</f>
        <v/>
      </c>
      <c r="F346" s="303" t="str">
        <f>_xlfn.IFNA(VLOOKUP(D346,ProductListTbl[],5,0),"")</f>
        <v/>
      </c>
      <c r="G346" s="303" t="str">
        <f>_xlfn.IFNA(VLOOKUP(D346,ProductListTbl[],6,0),"")</f>
        <v/>
      </c>
      <c r="H346" s="130" t="str">
        <f>_xlfn.IFNA(VLOOKUP(D346,ProductListTbl[],7,0),"")</f>
        <v/>
      </c>
      <c r="I346" s="130" t="str">
        <f>_xlfn.IFNA(VLOOKUP(D346,ProductListTbl[],8,0),"")</f>
        <v/>
      </c>
      <c r="J346" s="127"/>
      <c r="K346" s="129"/>
      <c r="L346" s="128"/>
      <c r="M346" s="305" t="str">
        <f>IFERROR(Table3[[#This Row],[Quantity (doses)]]/Table3[[#This Row],[Doses per vial or syringe]],"")</f>
        <v/>
      </c>
      <c r="N346" s="127"/>
      <c r="O346" s="127"/>
      <c r="P346" s="381"/>
      <c r="Q346" s="129"/>
      <c r="R346" s="127"/>
      <c r="S346" s="127"/>
      <c r="T346" s="127"/>
      <c r="U346" s="127"/>
      <c r="V346" s="305" t="str">
        <f>_xlfn.IFNA(VLOOKUP(D346,ProductListTbl[],9,0),"")</f>
        <v/>
      </c>
      <c r="W346" s="305" t="str">
        <f>IFERROR(Table3[[#This Row],[Storage space per secondary packaging (cm3)]]*Table3[[#This Row],[Quantity  (vials or syringes)]]/1000,"")</f>
        <v/>
      </c>
      <c r="X346" s="305" t="str">
        <f>IFERROR(Table3[[#This Row],[Storage space per tertiary packaging (cm3)]]*Table3[[#This Row],[Quantity (doses)]]/1000,"")</f>
        <v/>
      </c>
      <c r="Y346" s="293" t="str">
        <f>IF(Table3[[#This Row],[Status]]="Ordered",(DATE(YEAR(P346),MONTH(P346),1)),IF(Table3[[#This Row],[Status]]="Received",(DATE(YEAR(Q346),MONTH(Q346),1)),""))</f>
        <v/>
      </c>
      <c r="Z346" s="304" t="str">
        <f t="shared" si="20"/>
        <v/>
      </c>
      <c r="AA346" s="48" t="str">
        <f t="shared" si="21"/>
        <v/>
      </c>
      <c r="AB346" s="48" t="str">
        <f t="shared" si="22"/>
        <v/>
      </c>
      <c r="AC346" s="292" t="str">
        <f t="shared" si="23"/>
        <v/>
      </c>
      <c r="AD346" s="48" t="str">
        <f>IF(Table3[[#This Row],[Actual Arrival date]]&gt;0,IF(Table3[[#This Row],[Expected arrival date]]&gt;0,Table3[[#This Row],[Actual Arrival date]]-Table3[[#This Row],[Expected arrival date]],""),"")</f>
        <v/>
      </c>
    </row>
    <row r="347" spans="1:30" x14ac:dyDescent="0.25">
      <c r="A347" s="303" t="str">
        <f>Start!$D$7</f>
        <v>Anyland</v>
      </c>
      <c r="B347" s="48" t="str">
        <f>_xlfn.IFNA(VLOOKUP(A347,list!B:C,2,FALSE),"")</f>
        <v>ANY</v>
      </c>
      <c r="C347" s="48"/>
      <c r="D347" s="127"/>
      <c r="E347" s="48" t="str">
        <f>_xlfn.IFNA(VLOOKUP(Table3[[#This Row],[Product]], ProductListTbl[], 3, 0), "")</f>
        <v/>
      </c>
      <c r="F347" s="303" t="str">
        <f>_xlfn.IFNA(VLOOKUP(D347,ProductListTbl[],5,0),"")</f>
        <v/>
      </c>
      <c r="G347" s="303" t="str">
        <f>_xlfn.IFNA(VLOOKUP(D347,ProductListTbl[],6,0),"")</f>
        <v/>
      </c>
      <c r="H347" s="130" t="str">
        <f>_xlfn.IFNA(VLOOKUP(D347,ProductListTbl[],7,0),"")</f>
        <v/>
      </c>
      <c r="I347" s="130" t="str">
        <f>_xlfn.IFNA(VLOOKUP(D347,ProductListTbl[],8,0),"")</f>
        <v/>
      </c>
      <c r="J347" s="127"/>
      <c r="K347" s="129"/>
      <c r="L347" s="128"/>
      <c r="M347" s="305" t="str">
        <f>IFERROR(Table3[[#This Row],[Quantity (doses)]]/Table3[[#This Row],[Doses per vial or syringe]],"")</f>
        <v/>
      </c>
      <c r="N347" s="127"/>
      <c r="O347" s="127"/>
      <c r="P347" s="381"/>
      <c r="Q347" s="129"/>
      <c r="R347" s="127"/>
      <c r="S347" s="127"/>
      <c r="T347" s="127"/>
      <c r="U347" s="127"/>
      <c r="V347" s="305" t="str">
        <f>_xlfn.IFNA(VLOOKUP(D347,ProductListTbl[],9,0),"")</f>
        <v/>
      </c>
      <c r="W347" s="305" t="str">
        <f>IFERROR(Table3[[#This Row],[Storage space per secondary packaging (cm3)]]*Table3[[#This Row],[Quantity  (vials or syringes)]]/1000,"")</f>
        <v/>
      </c>
      <c r="X347" s="305" t="str">
        <f>IFERROR(Table3[[#This Row],[Storage space per tertiary packaging (cm3)]]*Table3[[#This Row],[Quantity (doses)]]/1000,"")</f>
        <v/>
      </c>
      <c r="Y347" s="293" t="str">
        <f>IF(Table3[[#This Row],[Status]]="Ordered",(DATE(YEAR(P347),MONTH(P347),1)),IF(Table3[[#This Row],[Status]]="Received",(DATE(YEAR(Q347),MONTH(Q347),1)),""))</f>
        <v/>
      </c>
      <c r="Z347" s="304" t="str">
        <f t="shared" si="20"/>
        <v/>
      </c>
      <c r="AA347" s="48" t="str">
        <f t="shared" si="21"/>
        <v/>
      </c>
      <c r="AB347" s="48" t="str">
        <f t="shared" si="22"/>
        <v/>
      </c>
      <c r="AC347" s="292" t="str">
        <f t="shared" si="23"/>
        <v/>
      </c>
      <c r="AD347" s="48" t="str">
        <f>IF(Table3[[#This Row],[Actual Arrival date]]&gt;0,IF(Table3[[#This Row],[Expected arrival date]]&gt;0,Table3[[#This Row],[Actual Arrival date]]-Table3[[#This Row],[Expected arrival date]],""),"")</f>
        <v/>
      </c>
    </row>
    <row r="348" spans="1:30" x14ac:dyDescent="0.25">
      <c r="A348" s="303" t="str">
        <f>Start!$D$7</f>
        <v>Anyland</v>
      </c>
      <c r="B348" s="48" t="str">
        <f>_xlfn.IFNA(VLOOKUP(A348,list!B:C,2,FALSE),"")</f>
        <v>ANY</v>
      </c>
      <c r="C348" s="48"/>
      <c r="D348" s="127"/>
      <c r="E348" s="48" t="str">
        <f>_xlfn.IFNA(VLOOKUP(Table3[[#This Row],[Product]], ProductListTbl[], 3, 0), "")</f>
        <v/>
      </c>
      <c r="F348" s="303" t="str">
        <f>_xlfn.IFNA(VLOOKUP(D348,ProductListTbl[],5,0),"")</f>
        <v/>
      </c>
      <c r="G348" s="303" t="str">
        <f>_xlfn.IFNA(VLOOKUP(D348,ProductListTbl[],6,0),"")</f>
        <v/>
      </c>
      <c r="H348" s="130" t="str">
        <f>_xlfn.IFNA(VLOOKUP(D348,ProductListTbl[],7,0),"")</f>
        <v/>
      </c>
      <c r="I348" s="130" t="str">
        <f>_xlfn.IFNA(VLOOKUP(D348,ProductListTbl[],8,0),"")</f>
        <v/>
      </c>
      <c r="J348" s="127"/>
      <c r="K348" s="129"/>
      <c r="L348" s="128"/>
      <c r="M348" s="305" t="str">
        <f>IFERROR(Table3[[#This Row],[Quantity (doses)]]/Table3[[#This Row],[Doses per vial or syringe]],"")</f>
        <v/>
      </c>
      <c r="N348" s="127"/>
      <c r="O348" s="127"/>
      <c r="P348" s="381"/>
      <c r="Q348" s="129"/>
      <c r="R348" s="127"/>
      <c r="S348" s="127"/>
      <c r="T348" s="127"/>
      <c r="U348" s="127"/>
      <c r="V348" s="305" t="str">
        <f>_xlfn.IFNA(VLOOKUP(D348,ProductListTbl[],9,0),"")</f>
        <v/>
      </c>
      <c r="W348" s="305" t="str">
        <f>IFERROR(Table3[[#This Row],[Storage space per secondary packaging (cm3)]]*Table3[[#This Row],[Quantity  (vials or syringes)]]/1000,"")</f>
        <v/>
      </c>
      <c r="X348" s="305" t="str">
        <f>IFERROR(Table3[[#This Row],[Storage space per tertiary packaging (cm3)]]*Table3[[#This Row],[Quantity (doses)]]/1000,"")</f>
        <v/>
      </c>
      <c r="Y348" s="293" t="str">
        <f>IF(Table3[[#This Row],[Status]]="Ordered",(DATE(YEAR(P348),MONTH(P348),1)),IF(Table3[[#This Row],[Status]]="Received",(DATE(YEAR(Q348),MONTH(Q348),1)),""))</f>
        <v/>
      </c>
      <c r="Z348" s="304" t="str">
        <f t="shared" si="20"/>
        <v/>
      </c>
      <c r="AA348" s="48" t="str">
        <f t="shared" si="21"/>
        <v/>
      </c>
      <c r="AB348" s="48" t="str">
        <f t="shared" si="22"/>
        <v/>
      </c>
      <c r="AC348" s="292" t="str">
        <f t="shared" si="23"/>
        <v/>
      </c>
      <c r="AD348" s="48" t="str">
        <f>IF(Table3[[#This Row],[Actual Arrival date]]&gt;0,IF(Table3[[#This Row],[Expected arrival date]]&gt;0,Table3[[#This Row],[Actual Arrival date]]-Table3[[#This Row],[Expected arrival date]],""),"")</f>
        <v/>
      </c>
    </row>
    <row r="349" spans="1:30" x14ac:dyDescent="0.25">
      <c r="A349" s="303" t="str">
        <f>Start!$D$7</f>
        <v>Anyland</v>
      </c>
      <c r="B349" s="48" t="str">
        <f>_xlfn.IFNA(VLOOKUP(A349,list!B:C,2,FALSE),"")</f>
        <v>ANY</v>
      </c>
      <c r="C349" s="48"/>
      <c r="D349" s="127"/>
      <c r="E349" s="48" t="str">
        <f>_xlfn.IFNA(VLOOKUP(Table3[[#This Row],[Product]], ProductListTbl[], 3, 0), "")</f>
        <v/>
      </c>
      <c r="F349" s="303" t="str">
        <f>_xlfn.IFNA(VLOOKUP(D349,ProductListTbl[],5,0),"")</f>
        <v/>
      </c>
      <c r="G349" s="303" t="str">
        <f>_xlfn.IFNA(VLOOKUP(D349,ProductListTbl[],6,0),"")</f>
        <v/>
      </c>
      <c r="H349" s="130" t="str">
        <f>_xlfn.IFNA(VLOOKUP(D349,ProductListTbl[],7,0),"")</f>
        <v/>
      </c>
      <c r="I349" s="130" t="str">
        <f>_xlfn.IFNA(VLOOKUP(D349,ProductListTbl[],8,0),"")</f>
        <v/>
      </c>
      <c r="J349" s="127"/>
      <c r="K349" s="129"/>
      <c r="L349" s="128"/>
      <c r="M349" s="305" t="str">
        <f>IFERROR(Table3[[#This Row],[Quantity (doses)]]/Table3[[#This Row],[Doses per vial or syringe]],"")</f>
        <v/>
      </c>
      <c r="N349" s="127"/>
      <c r="O349" s="127"/>
      <c r="P349" s="381"/>
      <c r="Q349" s="129"/>
      <c r="R349" s="127"/>
      <c r="S349" s="127"/>
      <c r="T349" s="127"/>
      <c r="U349" s="127"/>
      <c r="V349" s="305" t="str">
        <f>_xlfn.IFNA(VLOOKUP(D349,ProductListTbl[],9,0),"")</f>
        <v/>
      </c>
      <c r="W349" s="305" t="str">
        <f>IFERROR(Table3[[#This Row],[Storage space per secondary packaging (cm3)]]*Table3[[#This Row],[Quantity  (vials or syringes)]]/1000,"")</f>
        <v/>
      </c>
      <c r="X349" s="305" t="str">
        <f>IFERROR(Table3[[#This Row],[Storage space per tertiary packaging (cm3)]]*Table3[[#This Row],[Quantity (doses)]]/1000,"")</f>
        <v/>
      </c>
      <c r="Y349" s="293" t="str">
        <f>IF(Table3[[#This Row],[Status]]="Ordered",(DATE(YEAR(P349),MONTH(P349),1)),IF(Table3[[#This Row],[Status]]="Received",(DATE(YEAR(Q349),MONTH(Q349),1)),""))</f>
        <v/>
      </c>
      <c r="Z349" s="304" t="str">
        <f t="shared" si="20"/>
        <v/>
      </c>
      <c r="AA349" s="48" t="str">
        <f t="shared" si="21"/>
        <v/>
      </c>
      <c r="AB349" s="48" t="str">
        <f t="shared" si="22"/>
        <v/>
      </c>
      <c r="AC349" s="292" t="str">
        <f t="shared" si="23"/>
        <v/>
      </c>
      <c r="AD349" s="48" t="str">
        <f>IF(Table3[[#This Row],[Actual Arrival date]]&gt;0,IF(Table3[[#This Row],[Expected arrival date]]&gt;0,Table3[[#This Row],[Actual Arrival date]]-Table3[[#This Row],[Expected arrival date]],""),"")</f>
        <v/>
      </c>
    </row>
    <row r="350" spans="1:30" x14ac:dyDescent="0.25">
      <c r="A350" s="303" t="str">
        <f>Start!$D$7</f>
        <v>Anyland</v>
      </c>
      <c r="B350" s="48" t="str">
        <f>_xlfn.IFNA(VLOOKUP(A350,list!B:C,2,FALSE),"")</f>
        <v>ANY</v>
      </c>
      <c r="C350" s="48"/>
      <c r="D350" s="127"/>
      <c r="E350" s="48" t="str">
        <f>_xlfn.IFNA(VLOOKUP(Table3[[#This Row],[Product]], ProductListTbl[], 3, 0), "")</f>
        <v/>
      </c>
      <c r="F350" s="303" t="str">
        <f>_xlfn.IFNA(VLOOKUP(D350,ProductListTbl[],5,0),"")</f>
        <v/>
      </c>
      <c r="G350" s="303" t="str">
        <f>_xlfn.IFNA(VLOOKUP(D350,ProductListTbl[],6,0),"")</f>
        <v/>
      </c>
      <c r="H350" s="130" t="str">
        <f>_xlfn.IFNA(VLOOKUP(D350,ProductListTbl[],7,0),"")</f>
        <v/>
      </c>
      <c r="I350" s="130" t="str">
        <f>_xlfn.IFNA(VLOOKUP(D350,ProductListTbl[],8,0),"")</f>
        <v/>
      </c>
      <c r="J350" s="127"/>
      <c r="K350" s="129"/>
      <c r="L350" s="128"/>
      <c r="M350" s="305" t="str">
        <f>IFERROR(Table3[[#This Row],[Quantity (doses)]]/Table3[[#This Row],[Doses per vial or syringe]],"")</f>
        <v/>
      </c>
      <c r="N350" s="127"/>
      <c r="O350" s="127"/>
      <c r="P350" s="381"/>
      <c r="Q350" s="129"/>
      <c r="R350" s="127"/>
      <c r="S350" s="127"/>
      <c r="T350" s="127"/>
      <c r="U350" s="127"/>
      <c r="V350" s="305" t="str">
        <f>_xlfn.IFNA(VLOOKUP(D350,ProductListTbl[],9,0),"")</f>
        <v/>
      </c>
      <c r="W350" s="305" t="str">
        <f>IFERROR(Table3[[#This Row],[Storage space per secondary packaging (cm3)]]*Table3[[#This Row],[Quantity  (vials or syringes)]]/1000,"")</f>
        <v/>
      </c>
      <c r="X350" s="305" t="str">
        <f>IFERROR(Table3[[#This Row],[Storage space per tertiary packaging (cm3)]]*Table3[[#This Row],[Quantity (doses)]]/1000,"")</f>
        <v/>
      </c>
      <c r="Y350" s="293" t="str">
        <f>IF(Table3[[#This Row],[Status]]="Ordered",(DATE(YEAR(P350),MONTH(P350),1)),IF(Table3[[#This Row],[Status]]="Received",(DATE(YEAR(Q350),MONTH(Q350),1)),""))</f>
        <v/>
      </c>
      <c r="Z350" s="304" t="str">
        <f t="shared" si="20"/>
        <v/>
      </c>
      <c r="AA350" s="48" t="str">
        <f t="shared" si="21"/>
        <v/>
      </c>
      <c r="AB350" s="48" t="str">
        <f t="shared" si="22"/>
        <v/>
      </c>
      <c r="AC350" s="292" t="str">
        <f t="shared" si="23"/>
        <v/>
      </c>
      <c r="AD350" s="48" t="str">
        <f>IF(Table3[[#This Row],[Actual Arrival date]]&gt;0,IF(Table3[[#This Row],[Expected arrival date]]&gt;0,Table3[[#This Row],[Actual Arrival date]]-Table3[[#This Row],[Expected arrival date]],""),"")</f>
        <v/>
      </c>
    </row>
    <row r="351" spans="1:30" x14ac:dyDescent="0.25">
      <c r="A351" s="303" t="str">
        <f>Start!$D$7</f>
        <v>Anyland</v>
      </c>
      <c r="B351" s="48" t="str">
        <f>_xlfn.IFNA(VLOOKUP(A351,list!B:C,2,FALSE),"")</f>
        <v>ANY</v>
      </c>
      <c r="C351" s="48"/>
      <c r="D351" s="127"/>
      <c r="E351" s="48" t="str">
        <f>_xlfn.IFNA(VLOOKUP(Table3[[#This Row],[Product]], ProductListTbl[], 3, 0), "")</f>
        <v/>
      </c>
      <c r="F351" s="303" t="str">
        <f>_xlfn.IFNA(VLOOKUP(D351,ProductListTbl[],5,0),"")</f>
        <v/>
      </c>
      <c r="G351" s="303" t="str">
        <f>_xlfn.IFNA(VLOOKUP(D351,ProductListTbl[],6,0),"")</f>
        <v/>
      </c>
      <c r="H351" s="130" t="str">
        <f>_xlfn.IFNA(VLOOKUP(D351,ProductListTbl[],7,0),"")</f>
        <v/>
      </c>
      <c r="I351" s="130" t="str">
        <f>_xlfn.IFNA(VLOOKUP(D351,ProductListTbl[],8,0),"")</f>
        <v/>
      </c>
      <c r="J351" s="127"/>
      <c r="K351" s="129"/>
      <c r="L351" s="128"/>
      <c r="M351" s="305" t="str">
        <f>IFERROR(Table3[[#This Row],[Quantity (doses)]]/Table3[[#This Row],[Doses per vial or syringe]],"")</f>
        <v/>
      </c>
      <c r="N351" s="127"/>
      <c r="O351" s="127"/>
      <c r="P351" s="381"/>
      <c r="Q351" s="129"/>
      <c r="R351" s="127"/>
      <c r="S351" s="127"/>
      <c r="T351" s="127"/>
      <c r="U351" s="127"/>
      <c r="V351" s="305" t="str">
        <f>_xlfn.IFNA(VLOOKUP(D351,ProductListTbl[],9,0),"")</f>
        <v/>
      </c>
      <c r="W351" s="305" t="str">
        <f>IFERROR(Table3[[#This Row],[Storage space per secondary packaging (cm3)]]*Table3[[#This Row],[Quantity  (vials or syringes)]]/1000,"")</f>
        <v/>
      </c>
      <c r="X351" s="305" t="str">
        <f>IFERROR(Table3[[#This Row],[Storage space per tertiary packaging (cm3)]]*Table3[[#This Row],[Quantity (doses)]]/1000,"")</f>
        <v/>
      </c>
      <c r="Y351" s="293" t="str">
        <f>IF(Table3[[#This Row],[Status]]="Ordered",(DATE(YEAR(P351),MONTH(P351),1)),IF(Table3[[#This Row],[Status]]="Received",(DATE(YEAR(Q351),MONTH(Q351),1)),""))</f>
        <v/>
      </c>
      <c r="Z351" s="304" t="str">
        <f t="shared" si="20"/>
        <v/>
      </c>
      <c r="AA351" s="48" t="str">
        <f t="shared" si="21"/>
        <v/>
      </c>
      <c r="AB351" s="48" t="str">
        <f t="shared" si="22"/>
        <v/>
      </c>
      <c r="AC351" s="292" t="str">
        <f t="shared" si="23"/>
        <v/>
      </c>
      <c r="AD351" s="48" t="str">
        <f>IF(Table3[[#This Row],[Actual Arrival date]]&gt;0,IF(Table3[[#This Row],[Expected arrival date]]&gt;0,Table3[[#This Row],[Actual Arrival date]]-Table3[[#This Row],[Expected arrival date]],""),"")</f>
        <v/>
      </c>
    </row>
    <row r="352" spans="1:30" x14ac:dyDescent="0.25">
      <c r="A352" s="303" t="str">
        <f>Start!$D$7</f>
        <v>Anyland</v>
      </c>
      <c r="B352" s="48" t="str">
        <f>_xlfn.IFNA(VLOOKUP(A352,list!B:C,2,FALSE),"")</f>
        <v>ANY</v>
      </c>
      <c r="C352" s="48"/>
      <c r="D352" s="127"/>
      <c r="E352" s="48" t="str">
        <f>_xlfn.IFNA(VLOOKUP(Table3[[#This Row],[Product]], ProductListTbl[], 3, 0), "")</f>
        <v/>
      </c>
      <c r="F352" s="303" t="str">
        <f>_xlfn.IFNA(VLOOKUP(D352,ProductListTbl[],5,0),"")</f>
        <v/>
      </c>
      <c r="G352" s="303" t="str">
        <f>_xlfn.IFNA(VLOOKUP(D352,ProductListTbl[],6,0),"")</f>
        <v/>
      </c>
      <c r="H352" s="130" t="str">
        <f>_xlfn.IFNA(VLOOKUP(D352,ProductListTbl[],7,0),"")</f>
        <v/>
      </c>
      <c r="I352" s="130" t="str">
        <f>_xlfn.IFNA(VLOOKUP(D352,ProductListTbl[],8,0),"")</f>
        <v/>
      </c>
      <c r="J352" s="127"/>
      <c r="K352" s="129"/>
      <c r="L352" s="128"/>
      <c r="M352" s="305" t="str">
        <f>IFERROR(Table3[[#This Row],[Quantity (doses)]]/Table3[[#This Row],[Doses per vial or syringe]],"")</f>
        <v/>
      </c>
      <c r="N352" s="127"/>
      <c r="O352" s="127"/>
      <c r="P352" s="381"/>
      <c r="Q352" s="129"/>
      <c r="R352" s="127"/>
      <c r="S352" s="127"/>
      <c r="T352" s="127"/>
      <c r="U352" s="127"/>
      <c r="V352" s="305" t="str">
        <f>_xlfn.IFNA(VLOOKUP(D352,ProductListTbl[],9,0),"")</f>
        <v/>
      </c>
      <c r="W352" s="305" t="str">
        <f>IFERROR(Table3[[#This Row],[Storage space per secondary packaging (cm3)]]*Table3[[#This Row],[Quantity  (vials or syringes)]]/1000,"")</f>
        <v/>
      </c>
      <c r="X352" s="305" t="str">
        <f>IFERROR(Table3[[#This Row],[Storage space per tertiary packaging (cm3)]]*Table3[[#This Row],[Quantity (doses)]]/1000,"")</f>
        <v/>
      </c>
      <c r="Y352" s="293" t="str">
        <f>IF(Table3[[#This Row],[Status]]="Ordered",(DATE(YEAR(P352),MONTH(P352),1)),IF(Table3[[#This Row],[Status]]="Received",(DATE(YEAR(Q352),MONTH(Q352),1)),""))</f>
        <v/>
      </c>
      <c r="Z352" s="304" t="str">
        <f t="shared" si="20"/>
        <v/>
      </c>
      <c r="AA352" s="48" t="str">
        <f t="shared" si="21"/>
        <v/>
      </c>
      <c r="AB352" s="48" t="str">
        <f t="shared" si="22"/>
        <v/>
      </c>
      <c r="AC352" s="292" t="str">
        <f t="shared" si="23"/>
        <v/>
      </c>
      <c r="AD352" s="48" t="str">
        <f>IF(Table3[[#This Row],[Actual Arrival date]]&gt;0,IF(Table3[[#This Row],[Expected arrival date]]&gt;0,Table3[[#This Row],[Actual Arrival date]]-Table3[[#This Row],[Expected arrival date]],""),"")</f>
        <v/>
      </c>
    </row>
    <row r="353" spans="1:30" x14ac:dyDescent="0.25">
      <c r="A353" s="303" t="str">
        <f>Start!$D$7</f>
        <v>Anyland</v>
      </c>
      <c r="B353" s="48" t="str">
        <f>_xlfn.IFNA(VLOOKUP(A353,list!B:C,2,FALSE),"")</f>
        <v>ANY</v>
      </c>
      <c r="C353" s="48"/>
      <c r="D353" s="127"/>
      <c r="E353" s="48" t="str">
        <f>_xlfn.IFNA(VLOOKUP(Table3[[#This Row],[Product]], ProductListTbl[], 3, 0), "")</f>
        <v/>
      </c>
      <c r="F353" s="303" t="str">
        <f>_xlfn.IFNA(VLOOKUP(D353,ProductListTbl[],5,0),"")</f>
        <v/>
      </c>
      <c r="G353" s="303" t="str">
        <f>_xlfn.IFNA(VLOOKUP(D353,ProductListTbl[],6,0),"")</f>
        <v/>
      </c>
      <c r="H353" s="130" t="str">
        <f>_xlfn.IFNA(VLOOKUP(D353,ProductListTbl[],7,0),"")</f>
        <v/>
      </c>
      <c r="I353" s="130" t="str">
        <f>_xlfn.IFNA(VLOOKUP(D353,ProductListTbl[],8,0),"")</f>
        <v/>
      </c>
      <c r="J353" s="127"/>
      <c r="K353" s="129"/>
      <c r="L353" s="128"/>
      <c r="M353" s="305" t="str">
        <f>IFERROR(Table3[[#This Row],[Quantity (doses)]]/Table3[[#This Row],[Doses per vial or syringe]],"")</f>
        <v/>
      </c>
      <c r="N353" s="127"/>
      <c r="O353" s="127"/>
      <c r="P353" s="381"/>
      <c r="Q353" s="129"/>
      <c r="R353" s="127"/>
      <c r="S353" s="127"/>
      <c r="T353" s="127"/>
      <c r="U353" s="127"/>
      <c r="V353" s="305" t="str">
        <f>_xlfn.IFNA(VLOOKUP(D353,ProductListTbl[],9,0),"")</f>
        <v/>
      </c>
      <c r="W353" s="305" t="str">
        <f>IFERROR(Table3[[#This Row],[Storage space per secondary packaging (cm3)]]*Table3[[#This Row],[Quantity  (vials or syringes)]]/1000,"")</f>
        <v/>
      </c>
      <c r="X353" s="305" t="str">
        <f>IFERROR(Table3[[#This Row],[Storage space per tertiary packaging (cm3)]]*Table3[[#This Row],[Quantity (doses)]]/1000,"")</f>
        <v/>
      </c>
      <c r="Y353" s="293" t="str">
        <f>IF(Table3[[#This Row],[Status]]="Ordered",(DATE(YEAR(P353),MONTH(P353),1)),IF(Table3[[#This Row],[Status]]="Received",(DATE(YEAR(Q353),MONTH(Q353),1)),""))</f>
        <v/>
      </c>
      <c r="Z353" s="304" t="str">
        <f t="shared" si="20"/>
        <v/>
      </c>
      <c r="AA353" s="48" t="str">
        <f t="shared" si="21"/>
        <v/>
      </c>
      <c r="AB353" s="48" t="str">
        <f t="shared" si="22"/>
        <v/>
      </c>
      <c r="AC353" s="292" t="str">
        <f t="shared" si="23"/>
        <v/>
      </c>
      <c r="AD353" s="48" t="str">
        <f>IF(Table3[[#This Row],[Actual Arrival date]]&gt;0,IF(Table3[[#This Row],[Expected arrival date]]&gt;0,Table3[[#This Row],[Actual Arrival date]]-Table3[[#This Row],[Expected arrival date]],""),"")</f>
        <v/>
      </c>
    </row>
    <row r="354" spans="1:30" x14ac:dyDescent="0.25">
      <c r="A354" s="303" t="str">
        <f>Start!$D$7</f>
        <v>Anyland</v>
      </c>
      <c r="B354" s="48" t="str">
        <f>_xlfn.IFNA(VLOOKUP(A354,list!B:C,2,FALSE),"")</f>
        <v>ANY</v>
      </c>
      <c r="C354" s="48"/>
      <c r="D354" s="127"/>
      <c r="E354" s="48" t="str">
        <f>_xlfn.IFNA(VLOOKUP(Table3[[#This Row],[Product]], ProductListTbl[], 3, 0), "")</f>
        <v/>
      </c>
      <c r="F354" s="303" t="str">
        <f>_xlfn.IFNA(VLOOKUP(D354,ProductListTbl[],5,0),"")</f>
        <v/>
      </c>
      <c r="G354" s="303" t="str">
        <f>_xlfn.IFNA(VLOOKUP(D354,ProductListTbl[],6,0),"")</f>
        <v/>
      </c>
      <c r="H354" s="130" t="str">
        <f>_xlfn.IFNA(VLOOKUP(D354,ProductListTbl[],7,0),"")</f>
        <v/>
      </c>
      <c r="I354" s="130" t="str">
        <f>_xlfn.IFNA(VLOOKUP(D354,ProductListTbl[],8,0),"")</f>
        <v/>
      </c>
      <c r="J354" s="127"/>
      <c r="K354" s="129"/>
      <c r="L354" s="128"/>
      <c r="M354" s="305" t="str">
        <f>IFERROR(Table3[[#This Row],[Quantity (doses)]]/Table3[[#This Row],[Doses per vial or syringe]],"")</f>
        <v/>
      </c>
      <c r="N354" s="127"/>
      <c r="O354" s="127"/>
      <c r="P354" s="381"/>
      <c r="Q354" s="129"/>
      <c r="R354" s="127"/>
      <c r="S354" s="127"/>
      <c r="T354" s="127"/>
      <c r="U354" s="127"/>
      <c r="V354" s="305" t="str">
        <f>_xlfn.IFNA(VLOOKUP(D354,ProductListTbl[],9,0),"")</f>
        <v/>
      </c>
      <c r="W354" s="305" t="str">
        <f>IFERROR(Table3[[#This Row],[Storage space per secondary packaging (cm3)]]*Table3[[#This Row],[Quantity  (vials or syringes)]]/1000,"")</f>
        <v/>
      </c>
      <c r="X354" s="305" t="str">
        <f>IFERROR(Table3[[#This Row],[Storage space per tertiary packaging (cm3)]]*Table3[[#This Row],[Quantity (doses)]]/1000,"")</f>
        <v/>
      </c>
      <c r="Y354" s="293" t="str">
        <f>IF(Table3[[#This Row],[Status]]="Ordered",(DATE(YEAR(P354),MONTH(P354),1)),IF(Table3[[#This Row],[Status]]="Received",(DATE(YEAR(Q354),MONTH(Q354),1)),""))</f>
        <v/>
      </c>
      <c r="Z354" s="304" t="str">
        <f t="shared" si="20"/>
        <v/>
      </c>
      <c r="AA354" s="48" t="str">
        <f t="shared" si="21"/>
        <v/>
      </c>
      <c r="AB354" s="48" t="str">
        <f t="shared" si="22"/>
        <v/>
      </c>
      <c r="AC354" s="292" t="str">
        <f t="shared" si="23"/>
        <v/>
      </c>
      <c r="AD354" s="48" t="str">
        <f>IF(Table3[[#This Row],[Actual Arrival date]]&gt;0,IF(Table3[[#This Row],[Expected arrival date]]&gt;0,Table3[[#This Row],[Actual Arrival date]]-Table3[[#This Row],[Expected arrival date]],""),"")</f>
        <v/>
      </c>
    </row>
    <row r="355" spans="1:30" x14ac:dyDescent="0.25">
      <c r="A355" s="303" t="str">
        <f>Start!$D$7</f>
        <v>Anyland</v>
      </c>
      <c r="B355" s="48" t="str">
        <f>_xlfn.IFNA(VLOOKUP(A355,list!B:C,2,FALSE),"")</f>
        <v>ANY</v>
      </c>
      <c r="C355" s="48"/>
      <c r="D355" s="127"/>
      <c r="E355" s="48" t="str">
        <f>_xlfn.IFNA(VLOOKUP(Table3[[#This Row],[Product]], ProductListTbl[], 3, 0), "")</f>
        <v/>
      </c>
      <c r="F355" s="303" t="str">
        <f>_xlfn.IFNA(VLOOKUP(D355,ProductListTbl[],5,0),"")</f>
        <v/>
      </c>
      <c r="G355" s="303" t="str">
        <f>_xlfn.IFNA(VLOOKUP(D355,ProductListTbl[],6,0),"")</f>
        <v/>
      </c>
      <c r="H355" s="130" t="str">
        <f>_xlfn.IFNA(VLOOKUP(D355,ProductListTbl[],7,0),"")</f>
        <v/>
      </c>
      <c r="I355" s="130" t="str">
        <f>_xlfn.IFNA(VLOOKUP(D355,ProductListTbl[],8,0),"")</f>
        <v/>
      </c>
      <c r="J355" s="127"/>
      <c r="K355" s="129"/>
      <c r="L355" s="128"/>
      <c r="M355" s="305" t="str">
        <f>IFERROR(Table3[[#This Row],[Quantity (doses)]]/Table3[[#This Row],[Doses per vial or syringe]],"")</f>
        <v/>
      </c>
      <c r="N355" s="127"/>
      <c r="O355" s="127"/>
      <c r="P355" s="381"/>
      <c r="Q355" s="129"/>
      <c r="R355" s="127"/>
      <c r="S355" s="127"/>
      <c r="T355" s="127"/>
      <c r="U355" s="127"/>
      <c r="V355" s="305" t="str">
        <f>_xlfn.IFNA(VLOOKUP(D355,ProductListTbl[],9,0),"")</f>
        <v/>
      </c>
      <c r="W355" s="305" t="str">
        <f>IFERROR(Table3[[#This Row],[Storage space per secondary packaging (cm3)]]*Table3[[#This Row],[Quantity  (vials or syringes)]]/1000,"")</f>
        <v/>
      </c>
      <c r="X355" s="305" t="str">
        <f>IFERROR(Table3[[#This Row],[Storage space per tertiary packaging (cm3)]]*Table3[[#This Row],[Quantity (doses)]]/1000,"")</f>
        <v/>
      </c>
      <c r="Y355" s="293" t="str">
        <f>IF(Table3[[#This Row],[Status]]="Ordered",(DATE(YEAR(P355),MONTH(P355),1)),IF(Table3[[#This Row],[Status]]="Received",(DATE(YEAR(Q355),MONTH(Q355),1)),""))</f>
        <v/>
      </c>
      <c r="Z355" s="304" t="str">
        <f t="shared" si="20"/>
        <v/>
      </c>
      <c r="AA355" s="48" t="str">
        <f t="shared" si="21"/>
        <v/>
      </c>
      <c r="AB355" s="48" t="str">
        <f t="shared" si="22"/>
        <v/>
      </c>
      <c r="AC355" s="292" t="str">
        <f t="shared" si="23"/>
        <v/>
      </c>
      <c r="AD355" s="48" t="str">
        <f>IF(Table3[[#This Row],[Actual Arrival date]]&gt;0,IF(Table3[[#This Row],[Expected arrival date]]&gt;0,Table3[[#This Row],[Actual Arrival date]]-Table3[[#This Row],[Expected arrival date]],""),"")</f>
        <v/>
      </c>
    </row>
    <row r="356" spans="1:30" x14ac:dyDescent="0.25">
      <c r="A356" s="303" t="str">
        <f>Start!$D$7</f>
        <v>Anyland</v>
      </c>
      <c r="B356" s="48" t="str">
        <f>_xlfn.IFNA(VLOOKUP(A356,list!B:C,2,FALSE),"")</f>
        <v>ANY</v>
      </c>
      <c r="C356" s="48"/>
      <c r="D356" s="127"/>
      <c r="E356" s="48" t="str">
        <f>_xlfn.IFNA(VLOOKUP(Table3[[#This Row],[Product]], ProductListTbl[], 3, 0), "")</f>
        <v/>
      </c>
      <c r="F356" s="303" t="str">
        <f>_xlfn.IFNA(VLOOKUP(D356,ProductListTbl[],5,0),"")</f>
        <v/>
      </c>
      <c r="G356" s="303" t="str">
        <f>_xlfn.IFNA(VLOOKUP(D356,ProductListTbl[],6,0),"")</f>
        <v/>
      </c>
      <c r="H356" s="130" t="str">
        <f>_xlfn.IFNA(VLOOKUP(D356,ProductListTbl[],7,0),"")</f>
        <v/>
      </c>
      <c r="I356" s="130" t="str">
        <f>_xlfn.IFNA(VLOOKUP(D356,ProductListTbl[],8,0),"")</f>
        <v/>
      </c>
      <c r="J356" s="127"/>
      <c r="K356" s="129"/>
      <c r="L356" s="128"/>
      <c r="M356" s="305" t="str">
        <f>IFERROR(Table3[[#This Row],[Quantity (doses)]]/Table3[[#This Row],[Doses per vial or syringe]],"")</f>
        <v/>
      </c>
      <c r="N356" s="127"/>
      <c r="O356" s="127"/>
      <c r="P356" s="381"/>
      <c r="Q356" s="129"/>
      <c r="R356" s="127"/>
      <c r="S356" s="127"/>
      <c r="T356" s="127"/>
      <c r="U356" s="127"/>
      <c r="V356" s="305" t="str">
        <f>_xlfn.IFNA(VLOOKUP(D356,ProductListTbl[],9,0),"")</f>
        <v/>
      </c>
      <c r="W356" s="305" t="str">
        <f>IFERROR(Table3[[#This Row],[Storage space per secondary packaging (cm3)]]*Table3[[#This Row],[Quantity  (vials or syringes)]]/1000,"")</f>
        <v/>
      </c>
      <c r="X356" s="305" t="str">
        <f>IFERROR(Table3[[#This Row],[Storage space per tertiary packaging (cm3)]]*Table3[[#This Row],[Quantity (doses)]]/1000,"")</f>
        <v/>
      </c>
      <c r="Y356" s="293" t="str">
        <f>IF(Table3[[#This Row],[Status]]="Ordered",(DATE(YEAR(P356),MONTH(P356),1)),IF(Table3[[#This Row],[Status]]="Received",(DATE(YEAR(Q356),MONTH(Q356),1)),""))</f>
        <v/>
      </c>
      <c r="Z356" s="304" t="str">
        <f t="shared" si="20"/>
        <v/>
      </c>
      <c r="AA356" s="48" t="str">
        <f t="shared" si="21"/>
        <v/>
      </c>
      <c r="AB356" s="48" t="str">
        <f t="shared" si="22"/>
        <v/>
      </c>
      <c r="AC356" s="292" t="str">
        <f t="shared" si="23"/>
        <v/>
      </c>
      <c r="AD356" s="48" t="str">
        <f>IF(Table3[[#This Row],[Actual Arrival date]]&gt;0,IF(Table3[[#This Row],[Expected arrival date]]&gt;0,Table3[[#This Row],[Actual Arrival date]]-Table3[[#This Row],[Expected arrival date]],""),"")</f>
        <v/>
      </c>
    </row>
    <row r="357" spans="1:30" x14ac:dyDescent="0.25">
      <c r="A357" s="303" t="str">
        <f>Start!$D$7</f>
        <v>Anyland</v>
      </c>
      <c r="B357" s="48" t="str">
        <f>_xlfn.IFNA(VLOOKUP(A357,list!B:C,2,FALSE),"")</f>
        <v>ANY</v>
      </c>
      <c r="C357" s="48"/>
      <c r="D357" s="127"/>
      <c r="E357" s="48" t="str">
        <f>_xlfn.IFNA(VLOOKUP(Table3[[#This Row],[Product]], ProductListTbl[], 3, 0), "")</f>
        <v/>
      </c>
      <c r="F357" s="303" t="str">
        <f>_xlfn.IFNA(VLOOKUP(D357,ProductListTbl[],5,0),"")</f>
        <v/>
      </c>
      <c r="G357" s="303" t="str">
        <f>_xlfn.IFNA(VLOOKUP(D357,ProductListTbl[],6,0),"")</f>
        <v/>
      </c>
      <c r="H357" s="130" t="str">
        <f>_xlfn.IFNA(VLOOKUP(D357,ProductListTbl[],7,0),"")</f>
        <v/>
      </c>
      <c r="I357" s="130" t="str">
        <f>_xlfn.IFNA(VLOOKUP(D357,ProductListTbl[],8,0),"")</f>
        <v/>
      </c>
      <c r="J357" s="127"/>
      <c r="K357" s="129"/>
      <c r="L357" s="128"/>
      <c r="M357" s="305" t="str">
        <f>IFERROR(Table3[[#This Row],[Quantity (doses)]]/Table3[[#This Row],[Doses per vial or syringe]],"")</f>
        <v/>
      </c>
      <c r="N357" s="127"/>
      <c r="O357" s="127"/>
      <c r="P357" s="381"/>
      <c r="Q357" s="129"/>
      <c r="R357" s="127"/>
      <c r="S357" s="127"/>
      <c r="T357" s="127"/>
      <c r="U357" s="127"/>
      <c r="V357" s="305" t="str">
        <f>_xlfn.IFNA(VLOOKUP(D357,ProductListTbl[],9,0),"")</f>
        <v/>
      </c>
      <c r="W357" s="305" t="str">
        <f>IFERROR(Table3[[#This Row],[Storage space per secondary packaging (cm3)]]*Table3[[#This Row],[Quantity  (vials or syringes)]]/1000,"")</f>
        <v/>
      </c>
      <c r="X357" s="305" t="str">
        <f>IFERROR(Table3[[#This Row],[Storage space per tertiary packaging (cm3)]]*Table3[[#This Row],[Quantity (doses)]]/1000,"")</f>
        <v/>
      </c>
      <c r="Y357" s="293" t="str">
        <f>IF(Table3[[#This Row],[Status]]="Ordered",(DATE(YEAR(P357),MONTH(P357),1)),IF(Table3[[#This Row],[Status]]="Received",(DATE(YEAR(Q357),MONTH(Q357),1)),""))</f>
        <v/>
      </c>
      <c r="Z357" s="304" t="str">
        <f t="shared" si="20"/>
        <v/>
      </c>
      <c r="AA357" s="48" t="str">
        <f t="shared" si="21"/>
        <v/>
      </c>
      <c r="AB357" s="48" t="str">
        <f t="shared" si="22"/>
        <v/>
      </c>
      <c r="AC357" s="292" t="str">
        <f t="shared" si="23"/>
        <v/>
      </c>
      <c r="AD357" s="48" t="str">
        <f>IF(Table3[[#This Row],[Actual Arrival date]]&gt;0,IF(Table3[[#This Row],[Expected arrival date]]&gt;0,Table3[[#This Row],[Actual Arrival date]]-Table3[[#This Row],[Expected arrival date]],""),"")</f>
        <v/>
      </c>
    </row>
    <row r="358" spans="1:30" x14ac:dyDescent="0.25">
      <c r="A358" s="303" t="str">
        <f>Start!$D$7</f>
        <v>Anyland</v>
      </c>
      <c r="B358" s="48" t="str">
        <f>_xlfn.IFNA(VLOOKUP(A358,list!B:C,2,FALSE),"")</f>
        <v>ANY</v>
      </c>
      <c r="C358" s="48"/>
      <c r="D358" s="127"/>
      <c r="E358" s="48" t="str">
        <f>_xlfn.IFNA(VLOOKUP(Table3[[#This Row],[Product]], ProductListTbl[], 3, 0), "")</f>
        <v/>
      </c>
      <c r="F358" s="303" t="str">
        <f>_xlfn.IFNA(VLOOKUP(D358,ProductListTbl[],5,0),"")</f>
        <v/>
      </c>
      <c r="G358" s="303" t="str">
        <f>_xlfn.IFNA(VLOOKUP(D358,ProductListTbl[],6,0),"")</f>
        <v/>
      </c>
      <c r="H358" s="130" t="str">
        <f>_xlfn.IFNA(VLOOKUP(D358,ProductListTbl[],7,0),"")</f>
        <v/>
      </c>
      <c r="I358" s="130" t="str">
        <f>_xlfn.IFNA(VLOOKUP(D358,ProductListTbl[],8,0),"")</f>
        <v/>
      </c>
      <c r="J358" s="127"/>
      <c r="K358" s="129"/>
      <c r="L358" s="128"/>
      <c r="M358" s="305" t="str">
        <f>IFERROR(Table3[[#This Row],[Quantity (doses)]]/Table3[[#This Row],[Doses per vial or syringe]],"")</f>
        <v/>
      </c>
      <c r="N358" s="127"/>
      <c r="O358" s="127"/>
      <c r="P358" s="381"/>
      <c r="Q358" s="129"/>
      <c r="R358" s="127"/>
      <c r="S358" s="127"/>
      <c r="T358" s="127"/>
      <c r="U358" s="127"/>
      <c r="V358" s="305" t="str">
        <f>_xlfn.IFNA(VLOOKUP(D358,ProductListTbl[],9,0),"")</f>
        <v/>
      </c>
      <c r="W358" s="305" t="str">
        <f>IFERROR(Table3[[#This Row],[Storage space per secondary packaging (cm3)]]*Table3[[#This Row],[Quantity  (vials or syringes)]]/1000,"")</f>
        <v/>
      </c>
      <c r="X358" s="305" t="str">
        <f>IFERROR(Table3[[#This Row],[Storage space per tertiary packaging (cm3)]]*Table3[[#This Row],[Quantity (doses)]]/1000,"")</f>
        <v/>
      </c>
      <c r="Y358" s="293" t="str">
        <f>IF(Table3[[#This Row],[Status]]="Ordered",(DATE(YEAR(P358),MONTH(P358),1)),IF(Table3[[#This Row],[Status]]="Received",(DATE(YEAR(Q358),MONTH(Q358),1)),""))</f>
        <v/>
      </c>
      <c r="Z358" s="304" t="str">
        <f t="shared" si="20"/>
        <v/>
      </c>
      <c r="AA358" s="48" t="str">
        <f t="shared" si="21"/>
        <v/>
      </c>
      <c r="AB358" s="48" t="str">
        <f t="shared" si="22"/>
        <v/>
      </c>
      <c r="AC358" s="292" t="str">
        <f t="shared" si="23"/>
        <v/>
      </c>
      <c r="AD358" s="48" t="str">
        <f>IF(Table3[[#This Row],[Actual Arrival date]]&gt;0,IF(Table3[[#This Row],[Expected arrival date]]&gt;0,Table3[[#This Row],[Actual Arrival date]]-Table3[[#This Row],[Expected arrival date]],""),"")</f>
        <v/>
      </c>
    </row>
    <row r="359" spans="1:30" x14ac:dyDescent="0.25">
      <c r="A359" s="303" t="str">
        <f>Start!$D$7</f>
        <v>Anyland</v>
      </c>
      <c r="B359" s="48" t="str">
        <f>_xlfn.IFNA(VLOOKUP(A359,list!B:C,2,FALSE),"")</f>
        <v>ANY</v>
      </c>
      <c r="C359" s="48"/>
      <c r="D359" s="127"/>
      <c r="E359" s="48" t="str">
        <f>_xlfn.IFNA(VLOOKUP(Table3[[#This Row],[Product]], ProductListTbl[], 3, 0), "")</f>
        <v/>
      </c>
      <c r="F359" s="303" t="str">
        <f>_xlfn.IFNA(VLOOKUP(D359,ProductListTbl[],5,0),"")</f>
        <v/>
      </c>
      <c r="G359" s="303" t="str">
        <f>_xlfn.IFNA(VLOOKUP(D359,ProductListTbl[],6,0),"")</f>
        <v/>
      </c>
      <c r="H359" s="130" t="str">
        <f>_xlfn.IFNA(VLOOKUP(D359,ProductListTbl[],7,0),"")</f>
        <v/>
      </c>
      <c r="I359" s="130" t="str">
        <f>_xlfn.IFNA(VLOOKUP(D359,ProductListTbl[],8,0),"")</f>
        <v/>
      </c>
      <c r="J359" s="127"/>
      <c r="K359" s="129"/>
      <c r="L359" s="128"/>
      <c r="M359" s="305" t="str">
        <f>IFERROR(Table3[[#This Row],[Quantity (doses)]]/Table3[[#This Row],[Doses per vial or syringe]],"")</f>
        <v/>
      </c>
      <c r="N359" s="127"/>
      <c r="O359" s="127"/>
      <c r="P359" s="381"/>
      <c r="Q359" s="129"/>
      <c r="R359" s="127"/>
      <c r="S359" s="127"/>
      <c r="T359" s="127"/>
      <c r="U359" s="127"/>
      <c r="V359" s="305" t="str">
        <f>_xlfn.IFNA(VLOOKUP(D359,ProductListTbl[],9,0),"")</f>
        <v/>
      </c>
      <c r="W359" s="305" t="str">
        <f>IFERROR(Table3[[#This Row],[Storage space per secondary packaging (cm3)]]*Table3[[#This Row],[Quantity  (vials or syringes)]]/1000,"")</f>
        <v/>
      </c>
      <c r="X359" s="305" t="str">
        <f>IFERROR(Table3[[#This Row],[Storage space per tertiary packaging (cm3)]]*Table3[[#This Row],[Quantity (doses)]]/1000,"")</f>
        <v/>
      </c>
      <c r="Y359" s="293" t="str">
        <f>IF(Table3[[#This Row],[Status]]="Ordered",(DATE(YEAR(P359),MONTH(P359),1)),IF(Table3[[#This Row],[Status]]="Received",(DATE(YEAR(Q359),MONTH(Q359),1)),""))</f>
        <v/>
      </c>
      <c r="Z359" s="304" t="str">
        <f t="shared" si="20"/>
        <v/>
      </c>
      <c r="AA359" s="48" t="str">
        <f t="shared" si="21"/>
        <v/>
      </c>
      <c r="AB359" s="48" t="str">
        <f t="shared" si="22"/>
        <v/>
      </c>
      <c r="AC359" s="292" t="str">
        <f t="shared" si="23"/>
        <v/>
      </c>
      <c r="AD359" s="48" t="str">
        <f>IF(Table3[[#This Row],[Actual Arrival date]]&gt;0,IF(Table3[[#This Row],[Expected arrival date]]&gt;0,Table3[[#This Row],[Actual Arrival date]]-Table3[[#This Row],[Expected arrival date]],""),"")</f>
        <v/>
      </c>
    </row>
    <row r="360" spans="1:30" x14ac:dyDescent="0.25">
      <c r="A360" s="303" t="str">
        <f>Start!$D$7</f>
        <v>Anyland</v>
      </c>
      <c r="B360" s="48" t="str">
        <f>_xlfn.IFNA(VLOOKUP(A360,list!B:C,2,FALSE),"")</f>
        <v>ANY</v>
      </c>
      <c r="C360" s="48"/>
      <c r="D360" s="127"/>
      <c r="E360" s="48" t="str">
        <f>_xlfn.IFNA(VLOOKUP(Table3[[#This Row],[Product]], ProductListTbl[], 3, 0), "")</f>
        <v/>
      </c>
      <c r="F360" s="303" t="str">
        <f>_xlfn.IFNA(VLOOKUP(D360,ProductListTbl[],5,0),"")</f>
        <v/>
      </c>
      <c r="G360" s="303" t="str">
        <f>_xlfn.IFNA(VLOOKUP(D360,ProductListTbl[],6,0),"")</f>
        <v/>
      </c>
      <c r="H360" s="130" t="str">
        <f>_xlfn.IFNA(VLOOKUP(D360,ProductListTbl[],7,0),"")</f>
        <v/>
      </c>
      <c r="I360" s="130" t="str">
        <f>_xlfn.IFNA(VLOOKUP(D360,ProductListTbl[],8,0),"")</f>
        <v/>
      </c>
      <c r="J360" s="127"/>
      <c r="K360" s="129"/>
      <c r="L360" s="128"/>
      <c r="M360" s="305" t="str">
        <f>IFERROR(Table3[[#This Row],[Quantity (doses)]]/Table3[[#This Row],[Doses per vial or syringe]],"")</f>
        <v/>
      </c>
      <c r="N360" s="127"/>
      <c r="O360" s="127"/>
      <c r="P360" s="381"/>
      <c r="Q360" s="129"/>
      <c r="R360" s="127"/>
      <c r="S360" s="127"/>
      <c r="T360" s="127"/>
      <c r="U360" s="127"/>
      <c r="V360" s="305" t="str">
        <f>_xlfn.IFNA(VLOOKUP(D360,ProductListTbl[],9,0),"")</f>
        <v/>
      </c>
      <c r="W360" s="305" t="str">
        <f>IFERROR(Table3[[#This Row],[Storage space per secondary packaging (cm3)]]*Table3[[#This Row],[Quantity  (vials or syringes)]]/1000,"")</f>
        <v/>
      </c>
      <c r="X360" s="305" t="str">
        <f>IFERROR(Table3[[#This Row],[Storage space per tertiary packaging (cm3)]]*Table3[[#This Row],[Quantity (doses)]]/1000,"")</f>
        <v/>
      </c>
      <c r="Y360" s="293" t="str">
        <f>IF(Table3[[#This Row],[Status]]="Ordered",(DATE(YEAR(P360),MONTH(P360),1)),IF(Table3[[#This Row],[Status]]="Received",(DATE(YEAR(Q360),MONTH(Q360),1)),""))</f>
        <v/>
      </c>
      <c r="Z360" s="304" t="str">
        <f t="shared" si="20"/>
        <v/>
      </c>
      <c r="AA360" s="48" t="str">
        <f t="shared" si="21"/>
        <v/>
      </c>
      <c r="AB360" s="48" t="str">
        <f t="shared" si="22"/>
        <v/>
      </c>
      <c r="AC360" s="292" t="str">
        <f t="shared" si="23"/>
        <v/>
      </c>
      <c r="AD360" s="48" t="str">
        <f>IF(Table3[[#This Row],[Actual Arrival date]]&gt;0,IF(Table3[[#This Row],[Expected arrival date]]&gt;0,Table3[[#This Row],[Actual Arrival date]]-Table3[[#This Row],[Expected arrival date]],""),"")</f>
        <v/>
      </c>
    </row>
    <row r="361" spans="1:30" x14ac:dyDescent="0.25">
      <c r="A361" s="303" t="str">
        <f>Start!$D$7</f>
        <v>Anyland</v>
      </c>
      <c r="B361" s="48" t="str">
        <f>_xlfn.IFNA(VLOOKUP(A361,list!B:C,2,FALSE),"")</f>
        <v>ANY</v>
      </c>
      <c r="C361" s="48"/>
      <c r="D361" s="127"/>
      <c r="E361" s="48" t="str">
        <f>_xlfn.IFNA(VLOOKUP(Table3[[#This Row],[Product]], ProductListTbl[], 3, 0), "")</f>
        <v/>
      </c>
      <c r="F361" s="303" t="str">
        <f>_xlfn.IFNA(VLOOKUP(D361,ProductListTbl[],5,0),"")</f>
        <v/>
      </c>
      <c r="G361" s="303" t="str">
        <f>_xlfn.IFNA(VLOOKUP(D361,ProductListTbl[],6,0),"")</f>
        <v/>
      </c>
      <c r="H361" s="130" t="str">
        <f>_xlfn.IFNA(VLOOKUP(D361,ProductListTbl[],7,0),"")</f>
        <v/>
      </c>
      <c r="I361" s="130" t="str">
        <f>_xlfn.IFNA(VLOOKUP(D361,ProductListTbl[],8,0),"")</f>
        <v/>
      </c>
      <c r="J361" s="127"/>
      <c r="K361" s="129"/>
      <c r="L361" s="128"/>
      <c r="M361" s="305" t="str">
        <f>IFERROR(Table3[[#This Row],[Quantity (doses)]]/Table3[[#This Row],[Doses per vial or syringe]],"")</f>
        <v/>
      </c>
      <c r="N361" s="127"/>
      <c r="O361" s="127"/>
      <c r="P361" s="381"/>
      <c r="Q361" s="129"/>
      <c r="R361" s="127"/>
      <c r="S361" s="127"/>
      <c r="T361" s="127"/>
      <c r="U361" s="127"/>
      <c r="V361" s="305" t="str">
        <f>_xlfn.IFNA(VLOOKUP(D361,ProductListTbl[],9,0),"")</f>
        <v/>
      </c>
      <c r="W361" s="305" t="str">
        <f>IFERROR(Table3[[#This Row],[Storage space per secondary packaging (cm3)]]*Table3[[#This Row],[Quantity  (vials or syringes)]]/1000,"")</f>
        <v/>
      </c>
      <c r="X361" s="305" t="str">
        <f>IFERROR(Table3[[#This Row],[Storage space per tertiary packaging (cm3)]]*Table3[[#This Row],[Quantity (doses)]]/1000,"")</f>
        <v/>
      </c>
      <c r="Y361" s="293" t="str">
        <f>IF(Table3[[#This Row],[Status]]="Ordered",(DATE(YEAR(P361),MONTH(P361),1)),IF(Table3[[#This Row],[Status]]="Received",(DATE(YEAR(Q361),MONTH(Q361),1)),""))</f>
        <v/>
      </c>
      <c r="Z361" s="304" t="str">
        <f t="shared" si="20"/>
        <v/>
      </c>
      <c r="AA361" s="48" t="str">
        <f t="shared" si="21"/>
        <v/>
      </c>
      <c r="AB361" s="48" t="str">
        <f t="shared" si="22"/>
        <v/>
      </c>
      <c r="AC361" s="292" t="str">
        <f t="shared" si="23"/>
        <v/>
      </c>
      <c r="AD361" s="48" t="str">
        <f>IF(Table3[[#This Row],[Actual Arrival date]]&gt;0,IF(Table3[[#This Row],[Expected arrival date]]&gt;0,Table3[[#This Row],[Actual Arrival date]]-Table3[[#This Row],[Expected arrival date]],""),"")</f>
        <v/>
      </c>
    </row>
    <row r="362" spans="1:30" x14ac:dyDescent="0.25">
      <c r="A362" s="303" t="str">
        <f>Start!$D$7</f>
        <v>Anyland</v>
      </c>
      <c r="B362" s="48" t="str">
        <f>_xlfn.IFNA(VLOOKUP(A362,list!B:C,2,FALSE),"")</f>
        <v>ANY</v>
      </c>
      <c r="C362" s="48"/>
      <c r="D362" s="127"/>
      <c r="E362" s="48" t="str">
        <f>_xlfn.IFNA(VLOOKUP(Table3[[#This Row],[Product]], ProductListTbl[], 3, 0), "")</f>
        <v/>
      </c>
      <c r="F362" s="303" t="str">
        <f>_xlfn.IFNA(VLOOKUP(D362,ProductListTbl[],5,0),"")</f>
        <v/>
      </c>
      <c r="G362" s="303" t="str">
        <f>_xlfn.IFNA(VLOOKUP(D362,ProductListTbl[],6,0),"")</f>
        <v/>
      </c>
      <c r="H362" s="130" t="str">
        <f>_xlfn.IFNA(VLOOKUP(D362,ProductListTbl[],7,0),"")</f>
        <v/>
      </c>
      <c r="I362" s="130" t="str">
        <f>_xlfn.IFNA(VLOOKUP(D362,ProductListTbl[],8,0),"")</f>
        <v/>
      </c>
      <c r="J362" s="127"/>
      <c r="K362" s="129"/>
      <c r="L362" s="128"/>
      <c r="M362" s="305" t="str">
        <f>IFERROR(Table3[[#This Row],[Quantity (doses)]]/Table3[[#This Row],[Doses per vial or syringe]],"")</f>
        <v/>
      </c>
      <c r="N362" s="127"/>
      <c r="O362" s="127"/>
      <c r="P362" s="381"/>
      <c r="Q362" s="129"/>
      <c r="R362" s="127"/>
      <c r="S362" s="127"/>
      <c r="T362" s="127"/>
      <c r="U362" s="127"/>
      <c r="V362" s="305" t="str">
        <f>_xlfn.IFNA(VLOOKUP(D362,ProductListTbl[],9,0),"")</f>
        <v/>
      </c>
      <c r="W362" s="305" t="str">
        <f>IFERROR(Table3[[#This Row],[Storage space per secondary packaging (cm3)]]*Table3[[#This Row],[Quantity  (vials or syringes)]]/1000,"")</f>
        <v/>
      </c>
      <c r="X362" s="305" t="str">
        <f>IFERROR(Table3[[#This Row],[Storage space per tertiary packaging (cm3)]]*Table3[[#This Row],[Quantity (doses)]]/1000,"")</f>
        <v/>
      </c>
      <c r="Y362" s="293" t="str">
        <f>IF(Table3[[#This Row],[Status]]="Ordered",(DATE(YEAR(P362),MONTH(P362),1)),IF(Table3[[#This Row],[Status]]="Received",(DATE(YEAR(Q362),MONTH(Q362),1)),""))</f>
        <v/>
      </c>
      <c r="Z362" s="304" t="str">
        <f t="shared" si="20"/>
        <v/>
      </c>
      <c r="AA362" s="48" t="str">
        <f t="shared" si="21"/>
        <v/>
      </c>
      <c r="AB362" s="48" t="str">
        <f t="shared" si="22"/>
        <v/>
      </c>
      <c r="AC362" s="292" t="str">
        <f t="shared" si="23"/>
        <v/>
      </c>
      <c r="AD362" s="48" t="str">
        <f>IF(Table3[[#This Row],[Actual Arrival date]]&gt;0,IF(Table3[[#This Row],[Expected arrival date]]&gt;0,Table3[[#This Row],[Actual Arrival date]]-Table3[[#This Row],[Expected arrival date]],""),"")</f>
        <v/>
      </c>
    </row>
    <row r="363" spans="1:30" x14ac:dyDescent="0.25">
      <c r="A363" s="303" t="str">
        <f>Start!$D$7</f>
        <v>Anyland</v>
      </c>
      <c r="B363" s="48" t="str">
        <f>_xlfn.IFNA(VLOOKUP(A363,list!B:C,2,FALSE),"")</f>
        <v>ANY</v>
      </c>
      <c r="C363" s="48"/>
      <c r="D363" s="127"/>
      <c r="E363" s="48" t="str">
        <f>_xlfn.IFNA(VLOOKUP(Table3[[#This Row],[Product]], ProductListTbl[], 3, 0), "")</f>
        <v/>
      </c>
      <c r="F363" s="303" t="str">
        <f>_xlfn.IFNA(VLOOKUP(D363,ProductListTbl[],5,0),"")</f>
        <v/>
      </c>
      <c r="G363" s="303" t="str">
        <f>_xlfn.IFNA(VLOOKUP(D363,ProductListTbl[],6,0),"")</f>
        <v/>
      </c>
      <c r="H363" s="130" t="str">
        <f>_xlfn.IFNA(VLOOKUP(D363,ProductListTbl[],7,0),"")</f>
        <v/>
      </c>
      <c r="I363" s="130" t="str">
        <f>_xlfn.IFNA(VLOOKUP(D363,ProductListTbl[],8,0),"")</f>
        <v/>
      </c>
      <c r="J363" s="127"/>
      <c r="K363" s="129"/>
      <c r="L363" s="128"/>
      <c r="M363" s="305" t="str">
        <f>IFERROR(Table3[[#This Row],[Quantity (doses)]]/Table3[[#This Row],[Doses per vial or syringe]],"")</f>
        <v/>
      </c>
      <c r="N363" s="127"/>
      <c r="O363" s="127"/>
      <c r="P363" s="381"/>
      <c r="Q363" s="129"/>
      <c r="R363" s="127"/>
      <c r="S363" s="127"/>
      <c r="T363" s="127"/>
      <c r="U363" s="127"/>
      <c r="V363" s="305" t="str">
        <f>_xlfn.IFNA(VLOOKUP(D363,ProductListTbl[],9,0),"")</f>
        <v/>
      </c>
      <c r="W363" s="305" t="str">
        <f>IFERROR(Table3[[#This Row],[Storage space per secondary packaging (cm3)]]*Table3[[#This Row],[Quantity  (vials or syringes)]]/1000,"")</f>
        <v/>
      </c>
      <c r="X363" s="305" t="str">
        <f>IFERROR(Table3[[#This Row],[Storage space per tertiary packaging (cm3)]]*Table3[[#This Row],[Quantity (doses)]]/1000,"")</f>
        <v/>
      </c>
      <c r="Y363" s="293" t="str">
        <f>IF(Table3[[#This Row],[Status]]="Ordered",(DATE(YEAR(P363),MONTH(P363),1)),IF(Table3[[#This Row],[Status]]="Received",(DATE(YEAR(Q363),MONTH(Q363),1)),""))</f>
        <v/>
      </c>
      <c r="Z363" s="304" t="str">
        <f t="shared" si="20"/>
        <v/>
      </c>
      <c r="AA363" s="48" t="str">
        <f t="shared" si="21"/>
        <v/>
      </c>
      <c r="AB363" s="48" t="str">
        <f t="shared" si="22"/>
        <v/>
      </c>
      <c r="AC363" s="292" t="str">
        <f t="shared" si="23"/>
        <v/>
      </c>
      <c r="AD363" s="48" t="str">
        <f>IF(Table3[[#This Row],[Actual Arrival date]]&gt;0,IF(Table3[[#This Row],[Expected arrival date]]&gt;0,Table3[[#This Row],[Actual Arrival date]]-Table3[[#This Row],[Expected arrival date]],""),"")</f>
        <v/>
      </c>
    </row>
    <row r="364" spans="1:30" x14ac:dyDescent="0.25">
      <c r="A364" s="303" t="str">
        <f>Start!$D$7</f>
        <v>Anyland</v>
      </c>
      <c r="B364" s="48" t="str">
        <f>_xlfn.IFNA(VLOOKUP(A364,list!B:C,2,FALSE),"")</f>
        <v>ANY</v>
      </c>
      <c r="C364" s="48"/>
      <c r="D364" s="127"/>
      <c r="E364" s="48" t="str">
        <f>_xlfn.IFNA(VLOOKUP(Table3[[#This Row],[Product]], ProductListTbl[], 3, 0), "")</f>
        <v/>
      </c>
      <c r="F364" s="303" t="str">
        <f>_xlfn.IFNA(VLOOKUP(D364,ProductListTbl[],5,0),"")</f>
        <v/>
      </c>
      <c r="G364" s="303" t="str">
        <f>_xlfn.IFNA(VLOOKUP(D364,ProductListTbl[],6,0),"")</f>
        <v/>
      </c>
      <c r="H364" s="130" t="str">
        <f>_xlfn.IFNA(VLOOKUP(D364,ProductListTbl[],7,0),"")</f>
        <v/>
      </c>
      <c r="I364" s="130" t="str">
        <f>_xlfn.IFNA(VLOOKUP(D364,ProductListTbl[],8,0),"")</f>
        <v/>
      </c>
      <c r="J364" s="127"/>
      <c r="K364" s="129"/>
      <c r="L364" s="128"/>
      <c r="M364" s="305" t="str">
        <f>IFERROR(Table3[[#This Row],[Quantity (doses)]]/Table3[[#This Row],[Doses per vial or syringe]],"")</f>
        <v/>
      </c>
      <c r="N364" s="127"/>
      <c r="O364" s="127"/>
      <c r="P364" s="381"/>
      <c r="Q364" s="129"/>
      <c r="R364" s="127"/>
      <c r="S364" s="127"/>
      <c r="T364" s="127"/>
      <c r="U364" s="127"/>
      <c r="V364" s="305" t="str">
        <f>_xlfn.IFNA(VLOOKUP(D364,ProductListTbl[],9,0),"")</f>
        <v/>
      </c>
      <c r="W364" s="305" t="str">
        <f>IFERROR(Table3[[#This Row],[Storage space per secondary packaging (cm3)]]*Table3[[#This Row],[Quantity  (vials or syringes)]]/1000,"")</f>
        <v/>
      </c>
      <c r="X364" s="305" t="str">
        <f>IFERROR(Table3[[#This Row],[Storage space per tertiary packaging (cm3)]]*Table3[[#This Row],[Quantity (doses)]]/1000,"")</f>
        <v/>
      </c>
      <c r="Y364" s="293" t="str">
        <f>IF(Table3[[#This Row],[Status]]="Ordered",(DATE(YEAR(P364),MONTH(P364),1)),IF(Table3[[#This Row],[Status]]="Received",(DATE(YEAR(Q364),MONTH(Q364),1)),""))</f>
        <v/>
      </c>
      <c r="Z364" s="304" t="str">
        <f t="shared" si="20"/>
        <v/>
      </c>
      <c r="AA364" s="48" t="str">
        <f t="shared" si="21"/>
        <v/>
      </c>
      <c r="AB364" s="48" t="str">
        <f t="shared" si="22"/>
        <v/>
      </c>
      <c r="AC364" s="292" t="str">
        <f t="shared" si="23"/>
        <v/>
      </c>
      <c r="AD364" s="48" t="str">
        <f>IF(Table3[[#This Row],[Actual Arrival date]]&gt;0,IF(Table3[[#This Row],[Expected arrival date]]&gt;0,Table3[[#This Row],[Actual Arrival date]]-Table3[[#This Row],[Expected arrival date]],""),"")</f>
        <v/>
      </c>
    </row>
    <row r="365" spans="1:30" x14ac:dyDescent="0.25">
      <c r="A365" s="303" t="str">
        <f>Start!$D$7</f>
        <v>Anyland</v>
      </c>
      <c r="B365" s="48" t="str">
        <f>_xlfn.IFNA(VLOOKUP(A365,list!B:C,2,FALSE),"")</f>
        <v>ANY</v>
      </c>
      <c r="C365" s="48"/>
      <c r="D365" s="127"/>
      <c r="E365" s="48" t="str">
        <f>_xlfn.IFNA(VLOOKUP(Table3[[#This Row],[Product]], ProductListTbl[], 3, 0), "")</f>
        <v/>
      </c>
      <c r="F365" s="303" t="str">
        <f>_xlfn.IFNA(VLOOKUP(D365,ProductListTbl[],5,0),"")</f>
        <v/>
      </c>
      <c r="G365" s="303" t="str">
        <f>_xlfn.IFNA(VLOOKUP(D365,ProductListTbl[],6,0),"")</f>
        <v/>
      </c>
      <c r="H365" s="130" t="str">
        <f>_xlfn.IFNA(VLOOKUP(D365,ProductListTbl[],7,0),"")</f>
        <v/>
      </c>
      <c r="I365" s="130" t="str">
        <f>_xlfn.IFNA(VLOOKUP(D365,ProductListTbl[],8,0),"")</f>
        <v/>
      </c>
      <c r="J365" s="127"/>
      <c r="K365" s="129"/>
      <c r="L365" s="128"/>
      <c r="M365" s="305" t="str">
        <f>IFERROR(Table3[[#This Row],[Quantity (doses)]]/Table3[[#This Row],[Doses per vial or syringe]],"")</f>
        <v/>
      </c>
      <c r="N365" s="127"/>
      <c r="O365" s="127"/>
      <c r="P365" s="381"/>
      <c r="Q365" s="129"/>
      <c r="R365" s="127"/>
      <c r="S365" s="127"/>
      <c r="T365" s="127"/>
      <c r="U365" s="127"/>
      <c r="V365" s="305" t="str">
        <f>_xlfn.IFNA(VLOOKUP(D365,ProductListTbl[],9,0),"")</f>
        <v/>
      </c>
      <c r="W365" s="305" t="str">
        <f>IFERROR(Table3[[#This Row],[Storage space per secondary packaging (cm3)]]*Table3[[#This Row],[Quantity  (vials or syringes)]]/1000,"")</f>
        <v/>
      </c>
      <c r="X365" s="305" t="str">
        <f>IFERROR(Table3[[#This Row],[Storage space per tertiary packaging (cm3)]]*Table3[[#This Row],[Quantity (doses)]]/1000,"")</f>
        <v/>
      </c>
      <c r="Y365" s="293" t="str">
        <f>IF(Table3[[#This Row],[Status]]="Ordered",(DATE(YEAR(P365),MONTH(P365),1)),IF(Table3[[#This Row],[Status]]="Received",(DATE(YEAR(Q365),MONTH(Q365),1)),""))</f>
        <v/>
      </c>
      <c r="Z365" s="304" t="str">
        <f t="shared" si="20"/>
        <v/>
      </c>
      <c r="AA365" s="48" t="str">
        <f t="shared" si="21"/>
        <v/>
      </c>
      <c r="AB365" s="48" t="str">
        <f t="shared" si="22"/>
        <v/>
      </c>
      <c r="AC365" s="292" t="str">
        <f t="shared" si="23"/>
        <v/>
      </c>
      <c r="AD365" s="48" t="str">
        <f>IF(Table3[[#This Row],[Actual Arrival date]]&gt;0,IF(Table3[[#This Row],[Expected arrival date]]&gt;0,Table3[[#This Row],[Actual Arrival date]]-Table3[[#This Row],[Expected arrival date]],""),"")</f>
        <v/>
      </c>
    </row>
    <row r="366" spans="1:30" x14ac:dyDescent="0.25">
      <c r="A366" s="303" t="str">
        <f>Start!$D$7</f>
        <v>Anyland</v>
      </c>
      <c r="B366" s="48" t="str">
        <f>_xlfn.IFNA(VLOOKUP(A366,list!B:C,2,FALSE),"")</f>
        <v>ANY</v>
      </c>
      <c r="C366" s="48"/>
      <c r="D366" s="127"/>
      <c r="E366" s="48" t="str">
        <f>_xlfn.IFNA(VLOOKUP(Table3[[#This Row],[Product]], ProductListTbl[], 3, 0), "")</f>
        <v/>
      </c>
      <c r="F366" s="303" t="str">
        <f>_xlfn.IFNA(VLOOKUP(D366,ProductListTbl[],5,0),"")</f>
        <v/>
      </c>
      <c r="G366" s="303" t="str">
        <f>_xlfn.IFNA(VLOOKUP(D366,ProductListTbl[],6,0),"")</f>
        <v/>
      </c>
      <c r="H366" s="130" t="str">
        <f>_xlfn.IFNA(VLOOKUP(D366,ProductListTbl[],7,0),"")</f>
        <v/>
      </c>
      <c r="I366" s="130" t="str">
        <f>_xlfn.IFNA(VLOOKUP(D366,ProductListTbl[],8,0),"")</f>
        <v/>
      </c>
      <c r="J366" s="127"/>
      <c r="K366" s="129"/>
      <c r="L366" s="128"/>
      <c r="M366" s="305" t="str">
        <f>IFERROR(Table3[[#This Row],[Quantity (doses)]]/Table3[[#This Row],[Doses per vial or syringe]],"")</f>
        <v/>
      </c>
      <c r="N366" s="127"/>
      <c r="O366" s="127"/>
      <c r="P366" s="381"/>
      <c r="Q366" s="129"/>
      <c r="R366" s="127"/>
      <c r="S366" s="127"/>
      <c r="T366" s="127"/>
      <c r="U366" s="127"/>
      <c r="V366" s="305" t="str">
        <f>_xlfn.IFNA(VLOOKUP(D366,ProductListTbl[],9,0),"")</f>
        <v/>
      </c>
      <c r="W366" s="305" t="str">
        <f>IFERROR(Table3[[#This Row],[Storage space per secondary packaging (cm3)]]*Table3[[#This Row],[Quantity  (vials or syringes)]]/1000,"")</f>
        <v/>
      </c>
      <c r="X366" s="305" t="str">
        <f>IFERROR(Table3[[#This Row],[Storage space per tertiary packaging (cm3)]]*Table3[[#This Row],[Quantity (doses)]]/1000,"")</f>
        <v/>
      </c>
      <c r="Y366" s="293" t="str">
        <f>IF(Table3[[#This Row],[Status]]="Ordered",(DATE(YEAR(P366),MONTH(P366),1)),IF(Table3[[#This Row],[Status]]="Received",(DATE(YEAR(Q366),MONTH(Q366),1)),""))</f>
        <v/>
      </c>
      <c r="Z366" s="304" t="str">
        <f t="shared" si="20"/>
        <v/>
      </c>
      <c r="AA366" s="48" t="str">
        <f t="shared" si="21"/>
        <v/>
      </c>
      <c r="AB366" s="48" t="str">
        <f t="shared" si="22"/>
        <v/>
      </c>
      <c r="AC366" s="292" t="str">
        <f t="shared" si="23"/>
        <v/>
      </c>
      <c r="AD366" s="48" t="str">
        <f>IF(Table3[[#This Row],[Actual Arrival date]]&gt;0,IF(Table3[[#This Row],[Expected arrival date]]&gt;0,Table3[[#This Row],[Actual Arrival date]]-Table3[[#This Row],[Expected arrival date]],""),"")</f>
        <v/>
      </c>
    </row>
    <row r="367" spans="1:30" x14ac:dyDescent="0.25">
      <c r="A367" s="303" t="str">
        <f>Start!$D$7</f>
        <v>Anyland</v>
      </c>
      <c r="B367" s="48" t="str">
        <f>_xlfn.IFNA(VLOOKUP(A367,list!B:C,2,FALSE),"")</f>
        <v>ANY</v>
      </c>
      <c r="C367" s="48"/>
      <c r="D367" s="127"/>
      <c r="E367" s="48" t="str">
        <f>_xlfn.IFNA(VLOOKUP(Table3[[#This Row],[Product]], ProductListTbl[], 3, 0), "")</f>
        <v/>
      </c>
      <c r="F367" s="303" t="str">
        <f>_xlfn.IFNA(VLOOKUP(D367,ProductListTbl[],5,0),"")</f>
        <v/>
      </c>
      <c r="G367" s="303" t="str">
        <f>_xlfn.IFNA(VLOOKUP(D367,ProductListTbl[],6,0),"")</f>
        <v/>
      </c>
      <c r="H367" s="130" t="str">
        <f>_xlfn.IFNA(VLOOKUP(D367,ProductListTbl[],7,0),"")</f>
        <v/>
      </c>
      <c r="I367" s="130" t="str">
        <f>_xlfn.IFNA(VLOOKUP(D367,ProductListTbl[],8,0),"")</f>
        <v/>
      </c>
      <c r="J367" s="127"/>
      <c r="K367" s="129"/>
      <c r="L367" s="128"/>
      <c r="M367" s="305" t="str">
        <f>IFERROR(Table3[[#This Row],[Quantity (doses)]]/Table3[[#This Row],[Doses per vial or syringe]],"")</f>
        <v/>
      </c>
      <c r="N367" s="127"/>
      <c r="O367" s="127"/>
      <c r="P367" s="381"/>
      <c r="Q367" s="129"/>
      <c r="R367" s="127"/>
      <c r="S367" s="127"/>
      <c r="T367" s="127"/>
      <c r="U367" s="127"/>
      <c r="V367" s="305" t="str">
        <f>_xlfn.IFNA(VLOOKUP(D367,ProductListTbl[],9,0),"")</f>
        <v/>
      </c>
      <c r="W367" s="305" t="str">
        <f>IFERROR(Table3[[#This Row],[Storage space per secondary packaging (cm3)]]*Table3[[#This Row],[Quantity  (vials or syringes)]]/1000,"")</f>
        <v/>
      </c>
      <c r="X367" s="305" t="str">
        <f>IFERROR(Table3[[#This Row],[Storage space per tertiary packaging (cm3)]]*Table3[[#This Row],[Quantity (doses)]]/1000,"")</f>
        <v/>
      </c>
      <c r="Y367" s="293" t="str">
        <f>IF(Table3[[#This Row],[Status]]="Ordered",(DATE(YEAR(P367),MONTH(P367),1)),IF(Table3[[#This Row],[Status]]="Received",(DATE(YEAR(Q367),MONTH(Q367),1)),""))</f>
        <v/>
      </c>
      <c r="Z367" s="304" t="str">
        <f t="shared" si="20"/>
        <v/>
      </c>
      <c r="AA367" s="48" t="str">
        <f t="shared" si="21"/>
        <v/>
      </c>
      <c r="AB367" s="48" t="str">
        <f t="shared" si="22"/>
        <v/>
      </c>
      <c r="AC367" s="292" t="str">
        <f t="shared" si="23"/>
        <v/>
      </c>
      <c r="AD367" s="48" t="str">
        <f>IF(Table3[[#This Row],[Actual Arrival date]]&gt;0,IF(Table3[[#This Row],[Expected arrival date]]&gt;0,Table3[[#This Row],[Actual Arrival date]]-Table3[[#This Row],[Expected arrival date]],""),"")</f>
        <v/>
      </c>
    </row>
    <row r="368" spans="1:30" x14ac:dyDescent="0.25">
      <c r="A368" s="303" t="str">
        <f>Start!$D$7</f>
        <v>Anyland</v>
      </c>
      <c r="B368" s="48" t="str">
        <f>_xlfn.IFNA(VLOOKUP(A368,list!B:C,2,FALSE),"")</f>
        <v>ANY</v>
      </c>
      <c r="C368" s="48"/>
      <c r="D368" s="127"/>
      <c r="E368" s="48" t="str">
        <f>_xlfn.IFNA(VLOOKUP(Table3[[#This Row],[Product]], ProductListTbl[], 3, 0), "")</f>
        <v/>
      </c>
      <c r="F368" s="303" t="str">
        <f>_xlfn.IFNA(VLOOKUP(D368,ProductListTbl[],5,0),"")</f>
        <v/>
      </c>
      <c r="G368" s="303" t="str">
        <f>_xlfn.IFNA(VLOOKUP(D368,ProductListTbl[],6,0),"")</f>
        <v/>
      </c>
      <c r="H368" s="130" t="str">
        <f>_xlfn.IFNA(VLOOKUP(D368,ProductListTbl[],7,0),"")</f>
        <v/>
      </c>
      <c r="I368" s="130" t="str">
        <f>_xlfn.IFNA(VLOOKUP(D368,ProductListTbl[],8,0),"")</f>
        <v/>
      </c>
      <c r="J368" s="127"/>
      <c r="K368" s="129"/>
      <c r="L368" s="128"/>
      <c r="M368" s="305" t="str">
        <f>IFERROR(Table3[[#This Row],[Quantity (doses)]]/Table3[[#This Row],[Doses per vial or syringe]],"")</f>
        <v/>
      </c>
      <c r="N368" s="127"/>
      <c r="O368" s="127"/>
      <c r="P368" s="381"/>
      <c r="Q368" s="129"/>
      <c r="R368" s="127"/>
      <c r="S368" s="127"/>
      <c r="T368" s="127"/>
      <c r="U368" s="127"/>
      <c r="V368" s="305" t="str">
        <f>_xlfn.IFNA(VLOOKUP(D368,ProductListTbl[],9,0),"")</f>
        <v/>
      </c>
      <c r="W368" s="305" t="str">
        <f>IFERROR(Table3[[#This Row],[Storage space per secondary packaging (cm3)]]*Table3[[#This Row],[Quantity  (vials or syringes)]]/1000,"")</f>
        <v/>
      </c>
      <c r="X368" s="305" t="str">
        <f>IFERROR(Table3[[#This Row],[Storage space per tertiary packaging (cm3)]]*Table3[[#This Row],[Quantity (doses)]]/1000,"")</f>
        <v/>
      </c>
      <c r="Y368" s="293" t="str">
        <f>IF(Table3[[#This Row],[Status]]="Ordered",(DATE(YEAR(P368),MONTH(P368),1)),IF(Table3[[#This Row],[Status]]="Received",(DATE(YEAR(Q368),MONTH(Q368),1)),""))</f>
        <v/>
      </c>
      <c r="Z368" s="304" t="str">
        <f t="shared" si="20"/>
        <v/>
      </c>
      <c r="AA368" s="48" t="str">
        <f t="shared" si="21"/>
        <v/>
      </c>
      <c r="AB368" s="48" t="str">
        <f t="shared" si="22"/>
        <v/>
      </c>
      <c r="AC368" s="292" t="str">
        <f t="shared" si="23"/>
        <v/>
      </c>
      <c r="AD368" s="48" t="str">
        <f>IF(Table3[[#This Row],[Actual Arrival date]]&gt;0,IF(Table3[[#This Row],[Expected arrival date]]&gt;0,Table3[[#This Row],[Actual Arrival date]]-Table3[[#This Row],[Expected arrival date]],""),"")</f>
        <v/>
      </c>
    </row>
    <row r="369" spans="1:30" x14ac:dyDescent="0.25">
      <c r="A369" s="303" t="str">
        <f>Start!$D$7</f>
        <v>Anyland</v>
      </c>
      <c r="B369" s="48" t="str">
        <f>_xlfn.IFNA(VLOOKUP(A369,list!B:C,2,FALSE),"")</f>
        <v>ANY</v>
      </c>
      <c r="C369" s="48"/>
      <c r="D369" s="127"/>
      <c r="E369" s="48" t="str">
        <f>_xlfn.IFNA(VLOOKUP(Table3[[#This Row],[Product]], ProductListTbl[], 3, 0), "")</f>
        <v/>
      </c>
      <c r="F369" s="303" t="str">
        <f>_xlfn.IFNA(VLOOKUP(D369,ProductListTbl[],5,0),"")</f>
        <v/>
      </c>
      <c r="G369" s="303" t="str">
        <f>_xlfn.IFNA(VLOOKUP(D369,ProductListTbl[],6,0),"")</f>
        <v/>
      </c>
      <c r="H369" s="130" t="str">
        <f>_xlfn.IFNA(VLOOKUP(D369,ProductListTbl[],7,0),"")</f>
        <v/>
      </c>
      <c r="I369" s="130" t="str">
        <f>_xlfn.IFNA(VLOOKUP(D369,ProductListTbl[],8,0),"")</f>
        <v/>
      </c>
      <c r="J369" s="127"/>
      <c r="K369" s="129"/>
      <c r="L369" s="128"/>
      <c r="M369" s="305" t="str">
        <f>IFERROR(Table3[[#This Row],[Quantity (doses)]]/Table3[[#This Row],[Doses per vial or syringe]],"")</f>
        <v/>
      </c>
      <c r="N369" s="127"/>
      <c r="O369" s="127"/>
      <c r="P369" s="381"/>
      <c r="Q369" s="129"/>
      <c r="R369" s="127"/>
      <c r="S369" s="127"/>
      <c r="T369" s="127"/>
      <c r="U369" s="127"/>
      <c r="V369" s="305" t="str">
        <f>_xlfn.IFNA(VLOOKUP(D369,ProductListTbl[],9,0),"")</f>
        <v/>
      </c>
      <c r="W369" s="305" t="str">
        <f>IFERROR(Table3[[#This Row],[Storage space per secondary packaging (cm3)]]*Table3[[#This Row],[Quantity  (vials or syringes)]]/1000,"")</f>
        <v/>
      </c>
      <c r="X369" s="305" t="str">
        <f>IFERROR(Table3[[#This Row],[Storage space per tertiary packaging (cm3)]]*Table3[[#This Row],[Quantity (doses)]]/1000,"")</f>
        <v/>
      </c>
      <c r="Y369" s="293" t="str">
        <f>IF(Table3[[#This Row],[Status]]="Ordered",(DATE(YEAR(P369),MONTH(P369),1)),IF(Table3[[#This Row],[Status]]="Received",(DATE(YEAR(Q369),MONTH(Q369),1)),""))</f>
        <v/>
      </c>
      <c r="Z369" s="304" t="str">
        <f t="shared" si="20"/>
        <v/>
      </c>
      <c r="AA369" s="48" t="str">
        <f t="shared" si="21"/>
        <v/>
      </c>
      <c r="AB369" s="48" t="str">
        <f t="shared" si="22"/>
        <v/>
      </c>
      <c r="AC369" s="292" t="str">
        <f t="shared" si="23"/>
        <v/>
      </c>
      <c r="AD369" s="48" t="str">
        <f>IF(Table3[[#This Row],[Actual Arrival date]]&gt;0,IF(Table3[[#This Row],[Expected arrival date]]&gt;0,Table3[[#This Row],[Actual Arrival date]]-Table3[[#This Row],[Expected arrival date]],""),"")</f>
        <v/>
      </c>
    </row>
    <row r="370" spans="1:30" x14ac:dyDescent="0.25">
      <c r="A370" s="303" t="str">
        <f>Start!$D$7</f>
        <v>Anyland</v>
      </c>
      <c r="B370" s="48" t="str">
        <f>_xlfn.IFNA(VLOOKUP(A370,list!B:C,2,FALSE),"")</f>
        <v>ANY</v>
      </c>
      <c r="C370" s="48"/>
      <c r="D370" s="127"/>
      <c r="E370" s="48" t="str">
        <f>_xlfn.IFNA(VLOOKUP(Table3[[#This Row],[Product]], ProductListTbl[], 3, 0), "")</f>
        <v/>
      </c>
      <c r="F370" s="303" t="str">
        <f>_xlfn.IFNA(VLOOKUP(D370,ProductListTbl[],5,0),"")</f>
        <v/>
      </c>
      <c r="G370" s="303" t="str">
        <f>_xlfn.IFNA(VLOOKUP(D370,ProductListTbl[],6,0),"")</f>
        <v/>
      </c>
      <c r="H370" s="130" t="str">
        <f>_xlfn.IFNA(VLOOKUP(D370,ProductListTbl[],7,0),"")</f>
        <v/>
      </c>
      <c r="I370" s="130" t="str">
        <f>_xlfn.IFNA(VLOOKUP(D370,ProductListTbl[],8,0),"")</f>
        <v/>
      </c>
      <c r="J370" s="127"/>
      <c r="K370" s="129"/>
      <c r="L370" s="128"/>
      <c r="M370" s="305" t="str">
        <f>IFERROR(Table3[[#This Row],[Quantity (doses)]]/Table3[[#This Row],[Doses per vial or syringe]],"")</f>
        <v/>
      </c>
      <c r="N370" s="127"/>
      <c r="O370" s="127"/>
      <c r="P370" s="381"/>
      <c r="Q370" s="129"/>
      <c r="R370" s="127"/>
      <c r="S370" s="127"/>
      <c r="T370" s="127"/>
      <c r="U370" s="127"/>
      <c r="V370" s="305" t="str">
        <f>_xlfn.IFNA(VLOOKUP(D370,ProductListTbl[],9,0),"")</f>
        <v/>
      </c>
      <c r="W370" s="305" t="str">
        <f>IFERROR(Table3[[#This Row],[Storage space per secondary packaging (cm3)]]*Table3[[#This Row],[Quantity  (vials or syringes)]]/1000,"")</f>
        <v/>
      </c>
      <c r="X370" s="305" t="str">
        <f>IFERROR(Table3[[#This Row],[Storage space per tertiary packaging (cm3)]]*Table3[[#This Row],[Quantity (doses)]]/1000,"")</f>
        <v/>
      </c>
      <c r="Y370" s="293" t="str">
        <f>IF(Table3[[#This Row],[Status]]="Ordered",(DATE(YEAR(P370),MONTH(P370),1)),IF(Table3[[#This Row],[Status]]="Received",(DATE(YEAR(Q370),MONTH(Q370),1)),""))</f>
        <v/>
      </c>
      <c r="Z370" s="304" t="str">
        <f t="shared" si="20"/>
        <v/>
      </c>
      <c r="AA370" s="48" t="str">
        <f t="shared" si="21"/>
        <v/>
      </c>
      <c r="AB370" s="48" t="str">
        <f t="shared" si="22"/>
        <v/>
      </c>
      <c r="AC370" s="292" t="str">
        <f t="shared" si="23"/>
        <v/>
      </c>
      <c r="AD370" s="48" t="str">
        <f>IF(Table3[[#This Row],[Actual Arrival date]]&gt;0,IF(Table3[[#This Row],[Expected arrival date]]&gt;0,Table3[[#This Row],[Actual Arrival date]]-Table3[[#This Row],[Expected arrival date]],""),"")</f>
        <v/>
      </c>
    </row>
    <row r="371" spans="1:30" x14ac:dyDescent="0.25">
      <c r="A371" s="303" t="str">
        <f>Start!$D$7</f>
        <v>Anyland</v>
      </c>
      <c r="B371" s="48" t="str">
        <f>_xlfn.IFNA(VLOOKUP(A371,list!B:C,2,FALSE),"")</f>
        <v>ANY</v>
      </c>
      <c r="C371" s="48"/>
      <c r="D371" s="127"/>
      <c r="E371" s="48" t="str">
        <f>_xlfn.IFNA(VLOOKUP(Table3[[#This Row],[Product]], ProductListTbl[], 3, 0), "")</f>
        <v/>
      </c>
      <c r="F371" s="303" t="str">
        <f>_xlfn.IFNA(VLOOKUP(D371,ProductListTbl[],5,0),"")</f>
        <v/>
      </c>
      <c r="G371" s="303" t="str">
        <f>_xlfn.IFNA(VLOOKUP(D371,ProductListTbl[],6,0),"")</f>
        <v/>
      </c>
      <c r="H371" s="130" t="str">
        <f>_xlfn.IFNA(VLOOKUP(D371,ProductListTbl[],7,0),"")</f>
        <v/>
      </c>
      <c r="I371" s="130" t="str">
        <f>_xlfn.IFNA(VLOOKUP(D371,ProductListTbl[],8,0),"")</f>
        <v/>
      </c>
      <c r="J371" s="127"/>
      <c r="K371" s="129"/>
      <c r="L371" s="128"/>
      <c r="M371" s="305" t="str">
        <f>IFERROR(Table3[[#This Row],[Quantity (doses)]]/Table3[[#This Row],[Doses per vial or syringe]],"")</f>
        <v/>
      </c>
      <c r="N371" s="127"/>
      <c r="O371" s="127"/>
      <c r="P371" s="381"/>
      <c r="Q371" s="129"/>
      <c r="R371" s="127"/>
      <c r="S371" s="127"/>
      <c r="T371" s="127"/>
      <c r="U371" s="127"/>
      <c r="V371" s="305" t="str">
        <f>_xlfn.IFNA(VLOOKUP(D371,ProductListTbl[],9,0),"")</f>
        <v/>
      </c>
      <c r="W371" s="305" t="str">
        <f>IFERROR(Table3[[#This Row],[Storage space per secondary packaging (cm3)]]*Table3[[#This Row],[Quantity  (vials or syringes)]]/1000,"")</f>
        <v/>
      </c>
      <c r="X371" s="305" t="str">
        <f>IFERROR(Table3[[#This Row],[Storage space per tertiary packaging (cm3)]]*Table3[[#This Row],[Quantity (doses)]]/1000,"")</f>
        <v/>
      </c>
      <c r="Y371" s="293" t="str">
        <f>IF(Table3[[#This Row],[Status]]="Ordered",(DATE(YEAR(P371),MONTH(P371),1)),IF(Table3[[#This Row],[Status]]="Received",(DATE(YEAR(Q371),MONTH(Q371),1)),""))</f>
        <v/>
      </c>
      <c r="Z371" s="304" t="str">
        <f t="shared" si="20"/>
        <v/>
      </c>
      <c r="AA371" s="48" t="str">
        <f t="shared" si="21"/>
        <v/>
      </c>
      <c r="AB371" s="48" t="str">
        <f t="shared" si="22"/>
        <v/>
      </c>
      <c r="AC371" s="292" t="str">
        <f t="shared" si="23"/>
        <v/>
      </c>
      <c r="AD371" s="48" t="str">
        <f>IF(Table3[[#This Row],[Actual Arrival date]]&gt;0,IF(Table3[[#This Row],[Expected arrival date]]&gt;0,Table3[[#This Row],[Actual Arrival date]]-Table3[[#This Row],[Expected arrival date]],""),"")</f>
        <v/>
      </c>
    </row>
    <row r="372" spans="1:30" x14ac:dyDescent="0.25">
      <c r="A372" s="303" t="str">
        <f>Start!$D$7</f>
        <v>Anyland</v>
      </c>
      <c r="B372" s="48" t="str">
        <f>_xlfn.IFNA(VLOOKUP(A372,list!B:C,2,FALSE),"")</f>
        <v>ANY</v>
      </c>
      <c r="C372" s="48"/>
      <c r="D372" s="127"/>
      <c r="E372" s="48" t="str">
        <f>_xlfn.IFNA(VLOOKUP(Table3[[#This Row],[Product]], ProductListTbl[], 3, 0), "")</f>
        <v/>
      </c>
      <c r="F372" s="303" t="str">
        <f>_xlfn.IFNA(VLOOKUP(D372,ProductListTbl[],5,0),"")</f>
        <v/>
      </c>
      <c r="G372" s="303" t="str">
        <f>_xlfn.IFNA(VLOOKUP(D372,ProductListTbl[],6,0),"")</f>
        <v/>
      </c>
      <c r="H372" s="130" t="str">
        <f>_xlfn.IFNA(VLOOKUP(D372,ProductListTbl[],7,0),"")</f>
        <v/>
      </c>
      <c r="I372" s="130" t="str">
        <f>_xlfn.IFNA(VLOOKUP(D372,ProductListTbl[],8,0),"")</f>
        <v/>
      </c>
      <c r="J372" s="127"/>
      <c r="K372" s="129"/>
      <c r="L372" s="128"/>
      <c r="M372" s="305" t="str">
        <f>IFERROR(Table3[[#This Row],[Quantity (doses)]]/Table3[[#This Row],[Doses per vial or syringe]],"")</f>
        <v/>
      </c>
      <c r="N372" s="127"/>
      <c r="O372" s="127"/>
      <c r="P372" s="381"/>
      <c r="Q372" s="129"/>
      <c r="R372" s="127"/>
      <c r="S372" s="127"/>
      <c r="T372" s="127"/>
      <c r="U372" s="127"/>
      <c r="V372" s="305" t="str">
        <f>_xlfn.IFNA(VLOOKUP(D372,ProductListTbl[],9,0),"")</f>
        <v/>
      </c>
      <c r="W372" s="305" t="str">
        <f>IFERROR(Table3[[#This Row],[Storage space per secondary packaging (cm3)]]*Table3[[#This Row],[Quantity  (vials or syringes)]]/1000,"")</f>
        <v/>
      </c>
      <c r="X372" s="305" t="str">
        <f>IFERROR(Table3[[#This Row],[Storage space per tertiary packaging (cm3)]]*Table3[[#This Row],[Quantity (doses)]]/1000,"")</f>
        <v/>
      </c>
      <c r="Y372" s="293" t="str">
        <f>IF(Table3[[#This Row],[Status]]="Ordered",(DATE(YEAR(P372),MONTH(P372),1)),IF(Table3[[#This Row],[Status]]="Received",(DATE(YEAR(Q372),MONTH(Q372),1)),""))</f>
        <v/>
      </c>
      <c r="Z372" s="304" t="str">
        <f t="shared" si="20"/>
        <v/>
      </c>
      <c r="AA372" s="48" t="str">
        <f t="shared" si="21"/>
        <v/>
      </c>
      <c r="AB372" s="48" t="str">
        <f t="shared" si="22"/>
        <v/>
      </c>
      <c r="AC372" s="292" t="str">
        <f t="shared" si="23"/>
        <v/>
      </c>
      <c r="AD372" s="48" t="str">
        <f>IF(Table3[[#This Row],[Actual Arrival date]]&gt;0,IF(Table3[[#This Row],[Expected arrival date]]&gt;0,Table3[[#This Row],[Actual Arrival date]]-Table3[[#This Row],[Expected arrival date]],""),"")</f>
        <v/>
      </c>
    </row>
    <row r="373" spans="1:30" x14ac:dyDescent="0.25">
      <c r="A373" s="303" t="str">
        <f>Start!$D$7</f>
        <v>Anyland</v>
      </c>
      <c r="B373" s="48" t="str">
        <f>_xlfn.IFNA(VLOOKUP(A373,list!B:C,2,FALSE),"")</f>
        <v>ANY</v>
      </c>
      <c r="C373" s="48"/>
      <c r="D373" s="127"/>
      <c r="E373" s="48" t="str">
        <f>_xlfn.IFNA(VLOOKUP(Table3[[#This Row],[Product]], ProductListTbl[], 3, 0), "")</f>
        <v/>
      </c>
      <c r="F373" s="303" t="str">
        <f>_xlfn.IFNA(VLOOKUP(D373,ProductListTbl[],5,0),"")</f>
        <v/>
      </c>
      <c r="G373" s="303" t="str">
        <f>_xlfn.IFNA(VLOOKUP(D373,ProductListTbl[],6,0),"")</f>
        <v/>
      </c>
      <c r="H373" s="130" t="str">
        <f>_xlfn.IFNA(VLOOKUP(D373,ProductListTbl[],7,0),"")</f>
        <v/>
      </c>
      <c r="I373" s="130" t="str">
        <f>_xlfn.IFNA(VLOOKUP(D373,ProductListTbl[],8,0),"")</f>
        <v/>
      </c>
      <c r="J373" s="127"/>
      <c r="K373" s="129"/>
      <c r="L373" s="128"/>
      <c r="M373" s="305" t="str">
        <f>IFERROR(Table3[[#This Row],[Quantity (doses)]]/Table3[[#This Row],[Doses per vial or syringe]],"")</f>
        <v/>
      </c>
      <c r="N373" s="127"/>
      <c r="O373" s="127"/>
      <c r="P373" s="381"/>
      <c r="Q373" s="129"/>
      <c r="R373" s="127"/>
      <c r="S373" s="127"/>
      <c r="T373" s="127"/>
      <c r="U373" s="127"/>
      <c r="V373" s="305" t="str">
        <f>_xlfn.IFNA(VLOOKUP(D373,ProductListTbl[],9,0),"")</f>
        <v/>
      </c>
      <c r="W373" s="305" t="str">
        <f>IFERROR(Table3[[#This Row],[Storage space per secondary packaging (cm3)]]*Table3[[#This Row],[Quantity  (vials or syringes)]]/1000,"")</f>
        <v/>
      </c>
      <c r="X373" s="305" t="str">
        <f>IFERROR(Table3[[#This Row],[Storage space per tertiary packaging (cm3)]]*Table3[[#This Row],[Quantity (doses)]]/1000,"")</f>
        <v/>
      </c>
      <c r="Y373" s="293" t="str">
        <f>IF(Table3[[#This Row],[Status]]="Ordered",(DATE(YEAR(P373),MONTH(P373),1)),IF(Table3[[#This Row],[Status]]="Received",(DATE(YEAR(Q373),MONTH(Q373),1)),""))</f>
        <v/>
      </c>
      <c r="Z373" s="304" t="str">
        <f t="shared" si="20"/>
        <v/>
      </c>
      <c r="AA373" s="48" t="str">
        <f t="shared" si="21"/>
        <v/>
      </c>
      <c r="AB373" s="48" t="str">
        <f t="shared" si="22"/>
        <v/>
      </c>
      <c r="AC373" s="292" t="str">
        <f t="shared" si="23"/>
        <v/>
      </c>
      <c r="AD373" s="48" t="str">
        <f>IF(Table3[[#This Row],[Actual Arrival date]]&gt;0,IF(Table3[[#This Row],[Expected arrival date]]&gt;0,Table3[[#This Row],[Actual Arrival date]]-Table3[[#This Row],[Expected arrival date]],""),"")</f>
        <v/>
      </c>
    </row>
    <row r="374" spans="1:30" x14ac:dyDescent="0.25">
      <c r="A374" s="303" t="str">
        <f>Start!$D$7</f>
        <v>Anyland</v>
      </c>
      <c r="B374" s="48" t="str">
        <f>_xlfn.IFNA(VLOOKUP(A374,list!B:C,2,FALSE),"")</f>
        <v>ANY</v>
      </c>
      <c r="C374" s="48"/>
      <c r="D374" s="127"/>
      <c r="E374" s="48" t="str">
        <f>_xlfn.IFNA(VLOOKUP(Table3[[#This Row],[Product]], ProductListTbl[], 3, 0), "")</f>
        <v/>
      </c>
      <c r="F374" s="303" t="str">
        <f>_xlfn.IFNA(VLOOKUP(D374,ProductListTbl[],5,0),"")</f>
        <v/>
      </c>
      <c r="G374" s="303" t="str">
        <f>_xlfn.IFNA(VLOOKUP(D374,ProductListTbl[],6,0),"")</f>
        <v/>
      </c>
      <c r="H374" s="130" t="str">
        <f>_xlfn.IFNA(VLOOKUP(D374,ProductListTbl[],7,0),"")</f>
        <v/>
      </c>
      <c r="I374" s="130" t="str">
        <f>_xlfn.IFNA(VLOOKUP(D374,ProductListTbl[],8,0),"")</f>
        <v/>
      </c>
      <c r="J374" s="127"/>
      <c r="K374" s="129"/>
      <c r="L374" s="128"/>
      <c r="M374" s="305" t="str">
        <f>IFERROR(Table3[[#This Row],[Quantity (doses)]]/Table3[[#This Row],[Doses per vial or syringe]],"")</f>
        <v/>
      </c>
      <c r="N374" s="127"/>
      <c r="O374" s="127"/>
      <c r="P374" s="381"/>
      <c r="Q374" s="129"/>
      <c r="R374" s="127"/>
      <c r="S374" s="127"/>
      <c r="T374" s="127"/>
      <c r="U374" s="127"/>
      <c r="V374" s="305" t="str">
        <f>_xlfn.IFNA(VLOOKUP(D374,ProductListTbl[],9,0),"")</f>
        <v/>
      </c>
      <c r="W374" s="305" t="str">
        <f>IFERROR(Table3[[#This Row],[Storage space per secondary packaging (cm3)]]*Table3[[#This Row],[Quantity  (vials or syringes)]]/1000,"")</f>
        <v/>
      </c>
      <c r="X374" s="305" t="str">
        <f>IFERROR(Table3[[#This Row],[Storage space per tertiary packaging (cm3)]]*Table3[[#This Row],[Quantity (doses)]]/1000,"")</f>
        <v/>
      </c>
      <c r="Y374" s="293" t="str">
        <f>IF(Table3[[#This Row],[Status]]="Ordered",(DATE(YEAR(P374),MONTH(P374),1)),IF(Table3[[#This Row],[Status]]="Received",(DATE(YEAR(Q374),MONTH(Q374),1)),""))</f>
        <v/>
      </c>
      <c r="Z374" s="304" t="str">
        <f t="shared" si="20"/>
        <v/>
      </c>
      <c r="AA374" s="48" t="str">
        <f t="shared" si="21"/>
        <v/>
      </c>
      <c r="AB374" s="48" t="str">
        <f t="shared" si="22"/>
        <v/>
      </c>
      <c r="AC374" s="292" t="str">
        <f t="shared" si="23"/>
        <v/>
      </c>
      <c r="AD374" s="48" t="str">
        <f>IF(Table3[[#This Row],[Actual Arrival date]]&gt;0,IF(Table3[[#This Row],[Expected arrival date]]&gt;0,Table3[[#This Row],[Actual Arrival date]]-Table3[[#This Row],[Expected arrival date]],""),"")</f>
        <v/>
      </c>
    </row>
    <row r="375" spans="1:30" x14ac:dyDescent="0.25">
      <c r="A375" s="303" t="str">
        <f>Start!$D$7</f>
        <v>Anyland</v>
      </c>
      <c r="B375" s="48" t="str">
        <f>_xlfn.IFNA(VLOOKUP(A375,list!B:C,2,FALSE),"")</f>
        <v>ANY</v>
      </c>
      <c r="C375" s="48"/>
      <c r="D375" s="127"/>
      <c r="E375" s="48" t="str">
        <f>_xlfn.IFNA(VLOOKUP(Table3[[#This Row],[Product]], ProductListTbl[], 3, 0), "")</f>
        <v/>
      </c>
      <c r="F375" s="303" t="str">
        <f>_xlfn.IFNA(VLOOKUP(D375,ProductListTbl[],5,0),"")</f>
        <v/>
      </c>
      <c r="G375" s="303" t="str">
        <f>_xlfn.IFNA(VLOOKUP(D375,ProductListTbl[],6,0),"")</f>
        <v/>
      </c>
      <c r="H375" s="130" t="str">
        <f>_xlfn.IFNA(VLOOKUP(D375,ProductListTbl[],7,0),"")</f>
        <v/>
      </c>
      <c r="I375" s="130" t="str">
        <f>_xlfn.IFNA(VLOOKUP(D375,ProductListTbl[],8,0),"")</f>
        <v/>
      </c>
      <c r="J375" s="127"/>
      <c r="K375" s="129"/>
      <c r="L375" s="128"/>
      <c r="M375" s="305" t="str">
        <f>IFERROR(Table3[[#This Row],[Quantity (doses)]]/Table3[[#This Row],[Doses per vial or syringe]],"")</f>
        <v/>
      </c>
      <c r="N375" s="127"/>
      <c r="O375" s="127"/>
      <c r="P375" s="381"/>
      <c r="Q375" s="129"/>
      <c r="R375" s="127"/>
      <c r="S375" s="127"/>
      <c r="T375" s="127"/>
      <c r="U375" s="127"/>
      <c r="V375" s="305" t="str">
        <f>_xlfn.IFNA(VLOOKUP(D375,ProductListTbl[],9,0),"")</f>
        <v/>
      </c>
      <c r="W375" s="305" t="str">
        <f>IFERROR(Table3[[#This Row],[Storage space per secondary packaging (cm3)]]*Table3[[#This Row],[Quantity  (vials or syringes)]]/1000,"")</f>
        <v/>
      </c>
      <c r="X375" s="305" t="str">
        <f>IFERROR(Table3[[#This Row],[Storage space per tertiary packaging (cm3)]]*Table3[[#This Row],[Quantity (doses)]]/1000,"")</f>
        <v/>
      </c>
      <c r="Y375" s="293" t="str">
        <f>IF(Table3[[#This Row],[Status]]="Ordered",(DATE(YEAR(P375),MONTH(P375),1)),IF(Table3[[#This Row],[Status]]="Received",(DATE(YEAR(Q375),MONTH(Q375),1)),""))</f>
        <v/>
      </c>
      <c r="Z375" s="304" t="str">
        <f t="shared" si="20"/>
        <v/>
      </c>
      <c r="AA375" s="48" t="str">
        <f t="shared" si="21"/>
        <v/>
      </c>
      <c r="AB375" s="48" t="str">
        <f t="shared" si="22"/>
        <v/>
      </c>
      <c r="AC375" s="292" t="str">
        <f t="shared" si="23"/>
        <v/>
      </c>
      <c r="AD375" s="48" t="str">
        <f>IF(Table3[[#This Row],[Actual Arrival date]]&gt;0,IF(Table3[[#This Row],[Expected arrival date]]&gt;0,Table3[[#This Row],[Actual Arrival date]]-Table3[[#This Row],[Expected arrival date]],""),"")</f>
        <v/>
      </c>
    </row>
    <row r="376" spans="1:30" x14ac:dyDescent="0.25">
      <c r="A376" s="303" t="str">
        <f>Start!$D$7</f>
        <v>Anyland</v>
      </c>
      <c r="B376" s="48" t="str">
        <f>_xlfn.IFNA(VLOOKUP(A376,list!B:C,2,FALSE),"")</f>
        <v>ANY</v>
      </c>
      <c r="C376" s="48"/>
      <c r="D376" s="127"/>
      <c r="E376" s="48" t="str">
        <f>_xlfn.IFNA(VLOOKUP(Table3[[#This Row],[Product]], ProductListTbl[], 3, 0), "")</f>
        <v/>
      </c>
      <c r="F376" s="303" t="str">
        <f>_xlfn.IFNA(VLOOKUP(D376,ProductListTbl[],5,0),"")</f>
        <v/>
      </c>
      <c r="G376" s="303" t="str">
        <f>_xlfn.IFNA(VLOOKUP(D376,ProductListTbl[],6,0),"")</f>
        <v/>
      </c>
      <c r="H376" s="130" t="str">
        <f>_xlfn.IFNA(VLOOKUP(D376,ProductListTbl[],7,0),"")</f>
        <v/>
      </c>
      <c r="I376" s="130" t="str">
        <f>_xlfn.IFNA(VLOOKUP(D376,ProductListTbl[],8,0),"")</f>
        <v/>
      </c>
      <c r="J376" s="127"/>
      <c r="K376" s="129"/>
      <c r="L376" s="128"/>
      <c r="M376" s="305" t="str">
        <f>IFERROR(Table3[[#This Row],[Quantity (doses)]]/Table3[[#This Row],[Doses per vial or syringe]],"")</f>
        <v/>
      </c>
      <c r="N376" s="127"/>
      <c r="O376" s="127"/>
      <c r="P376" s="381"/>
      <c r="Q376" s="129"/>
      <c r="R376" s="127"/>
      <c r="S376" s="127"/>
      <c r="T376" s="127"/>
      <c r="U376" s="127"/>
      <c r="V376" s="305" t="str">
        <f>_xlfn.IFNA(VLOOKUP(D376,ProductListTbl[],9,0),"")</f>
        <v/>
      </c>
      <c r="W376" s="305" t="str">
        <f>IFERROR(Table3[[#This Row],[Storage space per secondary packaging (cm3)]]*Table3[[#This Row],[Quantity  (vials or syringes)]]/1000,"")</f>
        <v/>
      </c>
      <c r="X376" s="305" t="str">
        <f>IFERROR(Table3[[#This Row],[Storage space per tertiary packaging (cm3)]]*Table3[[#This Row],[Quantity (doses)]]/1000,"")</f>
        <v/>
      </c>
      <c r="Y376" s="293" t="str">
        <f>IF(Table3[[#This Row],[Status]]="Ordered",(DATE(YEAR(P376),MONTH(P376),1)),IF(Table3[[#This Row],[Status]]="Received",(DATE(YEAR(Q376),MONTH(Q376),1)),""))</f>
        <v/>
      </c>
      <c r="Z376" s="304" t="str">
        <f t="shared" si="20"/>
        <v/>
      </c>
      <c r="AA376" s="48" t="str">
        <f t="shared" si="21"/>
        <v/>
      </c>
      <c r="AB376" s="48" t="str">
        <f t="shared" si="22"/>
        <v/>
      </c>
      <c r="AC376" s="292" t="str">
        <f t="shared" si="23"/>
        <v/>
      </c>
      <c r="AD376" s="48" t="str">
        <f>IF(Table3[[#This Row],[Actual Arrival date]]&gt;0,IF(Table3[[#This Row],[Expected arrival date]]&gt;0,Table3[[#This Row],[Actual Arrival date]]-Table3[[#This Row],[Expected arrival date]],""),"")</f>
        <v/>
      </c>
    </row>
    <row r="377" spans="1:30" x14ac:dyDescent="0.25">
      <c r="A377" s="303" t="str">
        <f>Start!$D$7</f>
        <v>Anyland</v>
      </c>
      <c r="B377" s="48" t="str">
        <f>_xlfn.IFNA(VLOOKUP(A377,list!B:C,2,FALSE),"")</f>
        <v>ANY</v>
      </c>
      <c r="C377" s="48"/>
      <c r="D377" s="127"/>
      <c r="E377" s="48" t="str">
        <f>_xlfn.IFNA(VLOOKUP(Table3[[#This Row],[Product]], ProductListTbl[], 3, 0), "")</f>
        <v/>
      </c>
      <c r="F377" s="303" t="str">
        <f>_xlfn.IFNA(VLOOKUP(D377,ProductListTbl[],5,0),"")</f>
        <v/>
      </c>
      <c r="G377" s="303" t="str">
        <f>_xlfn.IFNA(VLOOKUP(D377,ProductListTbl[],6,0),"")</f>
        <v/>
      </c>
      <c r="H377" s="130" t="str">
        <f>_xlfn.IFNA(VLOOKUP(D377,ProductListTbl[],7,0),"")</f>
        <v/>
      </c>
      <c r="I377" s="130" t="str">
        <f>_xlfn.IFNA(VLOOKUP(D377,ProductListTbl[],8,0),"")</f>
        <v/>
      </c>
      <c r="J377" s="127"/>
      <c r="K377" s="129"/>
      <c r="L377" s="128"/>
      <c r="M377" s="305" t="str">
        <f>IFERROR(Table3[[#This Row],[Quantity (doses)]]/Table3[[#This Row],[Doses per vial or syringe]],"")</f>
        <v/>
      </c>
      <c r="N377" s="127"/>
      <c r="O377" s="127"/>
      <c r="P377" s="381"/>
      <c r="Q377" s="129"/>
      <c r="R377" s="127"/>
      <c r="S377" s="127"/>
      <c r="T377" s="127"/>
      <c r="U377" s="127"/>
      <c r="V377" s="305" t="str">
        <f>_xlfn.IFNA(VLOOKUP(D377,ProductListTbl[],9,0),"")</f>
        <v/>
      </c>
      <c r="W377" s="305" t="str">
        <f>IFERROR(Table3[[#This Row],[Storage space per secondary packaging (cm3)]]*Table3[[#This Row],[Quantity  (vials or syringes)]]/1000,"")</f>
        <v/>
      </c>
      <c r="X377" s="305" t="str">
        <f>IFERROR(Table3[[#This Row],[Storage space per tertiary packaging (cm3)]]*Table3[[#This Row],[Quantity (doses)]]/1000,"")</f>
        <v/>
      </c>
      <c r="Y377" s="293" t="str">
        <f>IF(Table3[[#This Row],[Status]]="Ordered",(DATE(YEAR(P377),MONTH(P377),1)),IF(Table3[[#This Row],[Status]]="Received",(DATE(YEAR(Q377),MONTH(Q377),1)),""))</f>
        <v/>
      </c>
      <c r="Z377" s="304" t="str">
        <f t="shared" si="20"/>
        <v/>
      </c>
      <c r="AA377" s="48" t="str">
        <f t="shared" si="21"/>
        <v/>
      </c>
      <c r="AB377" s="48" t="str">
        <f t="shared" si="22"/>
        <v/>
      </c>
      <c r="AC377" s="292" t="str">
        <f t="shared" si="23"/>
        <v/>
      </c>
      <c r="AD377" s="48" t="str">
        <f>IF(Table3[[#This Row],[Actual Arrival date]]&gt;0,IF(Table3[[#This Row],[Expected arrival date]]&gt;0,Table3[[#This Row],[Actual Arrival date]]-Table3[[#This Row],[Expected arrival date]],""),"")</f>
        <v/>
      </c>
    </row>
    <row r="378" spans="1:30" x14ac:dyDescent="0.25">
      <c r="A378" s="303" t="str">
        <f>Start!$D$7</f>
        <v>Anyland</v>
      </c>
      <c r="B378" s="48" t="str">
        <f>_xlfn.IFNA(VLOOKUP(A378,list!B:C,2,FALSE),"")</f>
        <v>ANY</v>
      </c>
      <c r="C378" s="48"/>
      <c r="D378" s="127"/>
      <c r="E378" s="48" t="str">
        <f>_xlfn.IFNA(VLOOKUP(Table3[[#This Row],[Product]], ProductListTbl[], 3, 0), "")</f>
        <v/>
      </c>
      <c r="F378" s="303" t="str">
        <f>_xlfn.IFNA(VLOOKUP(D378,ProductListTbl[],5,0),"")</f>
        <v/>
      </c>
      <c r="G378" s="303" t="str">
        <f>_xlfn.IFNA(VLOOKUP(D378,ProductListTbl[],6,0),"")</f>
        <v/>
      </c>
      <c r="H378" s="130" t="str">
        <f>_xlfn.IFNA(VLOOKUP(D378,ProductListTbl[],7,0),"")</f>
        <v/>
      </c>
      <c r="I378" s="130" t="str">
        <f>_xlfn.IFNA(VLOOKUP(D378,ProductListTbl[],8,0),"")</f>
        <v/>
      </c>
      <c r="J378" s="127"/>
      <c r="K378" s="129"/>
      <c r="L378" s="128"/>
      <c r="M378" s="305" t="str">
        <f>IFERROR(Table3[[#This Row],[Quantity (doses)]]/Table3[[#This Row],[Doses per vial or syringe]],"")</f>
        <v/>
      </c>
      <c r="N378" s="127"/>
      <c r="O378" s="127"/>
      <c r="P378" s="381"/>
      <c r="Q378" s="129"/>
      <c r="R378" s="127"/>
      <c r="S378" s="127"/>
      <c r="T378" s="127"/>
      <c r="U378" s="127"/>
      <c r="V378" s="305" t="str">
        <f>_xlfn.IFNA(VLOOKUP(D378,ProductListTbl[],9,0),"")</f>
        <v/>
      </c>
      <c r="W378" s="305" t="str">
        <f>IFERROR(Table3[[#This Row],[Storage space per secondary packaging (cm3)]]*Table3[[#This Row],[Quantity  (vials or syringes)]]/1000,"")</f>
        <v/>
      </c>
      <c r="X378" s="305" t="str">
        <f>IFERROR(Table3[[#This Row],[Storage space per tertiary packaging (cm3)]]*Table3[[#This Row],[Quantity (doses)]]/1000,"")</f>
        <v/>
      </c>
      <c r="Y378" s="293" t="str">
        <f>IF(Table3[[#This Row],[Status]]="Ordered",(DATE(YEAR(P378),MONTH(P378),1)),IF(Table3[[#This Row],[Status]]="Received",(DATE(YEAR(Q378),MONTH(Q378),1)),""))</f>
        <v/>
      </c>
      <c r="Z378" s="304" t="str">
        <f t="shared" si="20"/>
        <v/>
      </c>
      <c r="AA378" s="48" t="str">
        <f t="shared" si="21"/>
        <v/>
      </c>
      <c r="AB378" s="48" t="str">
        <f t="shared" si="22"/>
        <v/>
      </c>
      <c r="AC378" s="292" t="str">
        <f t="shared" si="23"/>
        <v/>
      </c>
      <c r="AD378" s="48" t="str">
        <f>IF(Table3[[#This Row],[Actual Arrival date]]&gt;0,IF(Table3[[#This Row],[Expected arrival date]]&gt;0,Table3[[#This Row],[Actual Arrival date]]-Table3[[#This Row],[Expected arrival date]],""),"")</f>
        <v/>
      </c>
    </row>
    <row r="379" spans="1:30" x14ac:dyDescent="0.25">
      <c r="A379" s="303" t="str">
        <f>Start!$D$7</f>
        <v>Anyland</v>
      </c>
      <c r="B379" s="48" t="str">
        <f>_xlfn.IFNA(VLOOKUP(A379,list!B:C,2,FALSE),"")</f>
        <v>ANY</v>
      </c>
      <c r="C379" s="48"/>
      <c r="D379" s="127"/>
      <c r="E379" s="48" t="str">
        <f>_xlfn.IFNA(VLOOKUP(Table3[[#This Row],[Product]], ProductListTbl[], 3, 0), "")</f>
        <v/>
      </c>
      <c r="F379" s="303" t="str">
        <f>_xlfn.IFNA(VLOOKUP(D379,ProductListTbl[],5,0),"")</f>
        <v/>
      </c>
      <c r="G379" s="303" t="str">
        <f>_xlfn.IFNA(VLOOKUP(D379,ProductListTbl[],6,0),"")</f>
        <v/>
      </c>
      <c r="H379" s="130" t="str">
        <f>_xlfn.IFNA(VLOOKUP(D379,ProductListTbl[],7,0),"")</f>
        <v/>
      </c>
      <c r="I379" s="130" t="str">
        <f>_xlfn.IFNA(VLOOKUP(D379,ProductListTbl[],8,0),"")</f>
        <v/>
      </c>
      <c r="J379" s="127"/>
      <c r="K379" s="129"/>
      <c r="L379" s="128"/>
      <c r="M379" s="305" t="str">
        <f>IFERROR(Table3[[#This Row],[Quantity (doses)]]/Table3[[#This Row],[Doses per vial or syringe]],"")</f>
        <v/>
      </c>
      <c r="N379" s="127"/>
      <c r="O379" s="127"/>
      <c r="P379" s="381"/>
      <c r="Q379" s="129"/>
      <c r="R379" s="127"/>
      <c r="S379" s="127"/>
      <c r="T379" s="127"/>
      <c r="U379" s="127"/>
      <c r="V379" s="305" t="str">
        <f>_xlfn.IFNA(VLOOKUP(D379,ProductListTbl[],9,0),"")</f>
        <v/>
      </c>
      <c r="W379" s="305" t="str">
        <f>IFERROR(Table3[[#This Row],[Storage space per secondary packaging (cm3)]]*Table3[[#This Row],[Quantity  (vials or syringes)]]/1000,"")</f>
        <v/>
      </c>
      <c r="X379" s="305" t="str">
        <f>IFERROR(Table3[[#This Row],[Storage space per tertiary packaging (cm3)]]*Table3[[#This Row],[Quantity (doses)]]/1000,"")</f>
        <v/>
      </c>
      <c r="Y379" s="293" t="str">
        <f>IF(Table3[[#This Row],[Status]]="Ordered",(DATE(YEAR(P379),MONTH(P379),1)),IF(Table3[[#This Row],[Status]]="Received",(DATE(YEAR(Q379),MONTH(Q379),1)),""))</f>
        <v/>
      </c>
      <c r="Z379" s="304" t="str">
        <f t="shared" si="20"/>
        <v/>
      </c>
      <c r="AA379" s="48" t="str">
        <f t="shared" si="21"/>
        <v/>
      </c>
      <c r="AB379" s="48" t="str">
        <f t="shared" si="22"/>
        <v/>
      </c>
      <c r="AC379" s="292" t="str">
        <f t="shared" si="23"/>
        <v/>
      </c>
      <c r="AD379" s="48" t="str">
        <f>IF(Table3[[#This Row],[Actual Arrival date]]&gt;0,IF(Table3[[#This Row],[Expected arrival date]]&gt;0,Table3[[#This Row],[Actual Arrival date]]-Table3[[#This Row],[Expected arrival date]],""),"")</f>
        <v/>
      </c>
    </row>
    <row r="380" spans="1:30" x14ac:dyDescent="0.25">
      <c r="A380" s="303" t="str">
        <f>Start!$D$7</f>
        <v>Anyland</v>
      </c>
      <c r="B380" s="48" t="str">
        <f>_xlfn.IFNA(VLOOKUP(A380,list!B:C,2,FALSE),"")</f>
        <v>ANY</v>
      </c>
      <c r="C380" s="48"/>
      <c r="D380" s="127"/>
      <c r="E380" s="48" t="str">
        <f>_xlfn.IFNA(VLOOKUP(Table3[[#This Row],[Product]], ProductListTbl[], 3, 0), "")</f>
        <v/>
      </c>
      <c r="F380" s="303" t="str">
        <f>_xlfn.IFNA(VLOOKUP(D380,ProductListTbl[],5,0),"")</f>
        <v/>
      </c>
      <c r="G380" s="303" t="str">
        <f>_xlfn.IFNA(VLOOKUP(D380,ProductListTbl[],6,0),"")</f>
        <v/>
      </c>
      <c r="H380" s="130" t="str">
        <f>_xlfn.IFNA(VLOOKUP(D380,ProductListTbl[],7,0),"")</f>
        <v/>
      </c>
      <c r="I380" s="130" t="str">
        <f>_xlfn.IFNA(VLOOKUP(D380,ProductListTbl[],8,0),"")</f>
        <v/>
      </c>
      <c r="J380" s="127"/>
      <c r="K380" s="129"/>
      <c r="L380" s="128"/>
      <c r="M380" s="305" t="str">
        <f>IFERROR(Table3[[#This Row],[Quantity (doses)]]/Table3[[#This Row],[Doses per vial or syringe]],"")</f>
        <v/>
      </c>
      <c r="N380" s="127"/>
      <c r="O380" s="127"/>
      <c r="P380" s="381"/>
      <c r="Q380" s="129"/>
      <c r="R380" s="127"/>
      <c r="S380" s="127"/>
      <c r="T380" s="127"/>
      <c r="U380" s="127"/>
      <c r="V380" s="305" t="str">
        <f>_xlfn.IFNA(VLOOKUP(D380,ProductListTbl[],9,0),"")</f>
        <v/>
      </c>
      <c r="W380" s="305" t="str">
        <f>IFERROR(Table3[[#This Row],[Storage space per secondary packaging (cm3)]]*Table3[[#This Row],[Quantity  (vials or syringes)]]/1000,"")</f>
        <v/>
      </c>
      <c r="X380" s="305" t="str">
        <f>IFERROR(Table3[[#This Row],[Storage space per tertiary packaging (cm3)]]*Table3[[#This Row],[Quantity (doses)]]/1000,"")</f>
        <v/>
      </c>
      <c r="Y380" s="293" t="str">
        <f>IF(Table3[[#This Row],[Status]]="Ordered",(DATE(YEAR(P380),MONTH(P380),1)),IF(Table3[[#This Row],[Status]]="Received",(DATE(YEAR(Q380),MONTH(Q380),1)),""))</f>
        <v/>
      </c>
      <c r="Z380" s="304" t="str">
        <f t="shared" si="20"/>
        <v/>
      </c>
      <c r="AA380" s="48" t="str">
        <f t="shared" si="21"/>
        <v/>
      </c>
      <c r="AB380" s="48" t="str">
        <f t="shared" si="22"/>
        <v/>
      </c>
      <c r="AC380" s="292" t="str">
        <f t="shared" si="23"/>
        <v/>
      </c>
      <c r="AD380" s="48" t="str">
        <f>IF(Table3[[#This Row],[Actual Arrival date]]&gt;0,IF(Table3[[#This Row],[Expected arrival date]]&gt;0,Table3[[#This Row],[Actual Arrival date]]-Table3[[#This Row],[Expected arrival date]],""),"")</f>
        <v/>
      </c>
    </row>
    <row r="381" spans="1:30" x14ac:dyDescent="0.25">
      <c r="A381" s="303" t="str">
        <f>Start!$D$7</f>
        <v>Anyland</v>
      </c>
      <c r="B381" s="48" t="str">
        <f>_xlfn.IFNA(VLOOKUP(A381,list!B:C,2,FALSE),"")</f>
        <v>ANY</v>
      </c>
      <c r="C381" s="48"/>
      <c r="D381" s="127"/>
      <c r="E381" s="48" t="str">
        <f>_xlfn.IFNA(VLOOKUP(Table3[[#This Row],[Product]], ProductListTbl[], 3, 0), "")</f>
        <v/>
      </c>
      <c r="F381" s="303" t="str">
        <f>_xlfn.IFNA(VLOOKUP(D381,ProductListTbl[],5,0),"")</f>
        <v/>
      </c>
      <c r="G381" s="303" t="str">
        <f>_xlfn.IFNA(VLOOKUP(D381,ProductListTbl[],6,0),"")</f>
        <v/>
      </c>
      <c r="H381" s="130" t="str">
        <f>_xlfn.IFNA(VLOOKUP(D381,ProductListTbl[],7,0),"")</f>
        <v/>
      </c>
      <c r="I381" s="130" t="str">
        <f>_xlfn.IFNA(VLOOKUP(D381,ProductListTbl[],8,0),"")</f>
        <v/>
      </c>
      <c r="J381" s="127"/>
      <c r="K381" s="129"/>
      <c r="L381" s="128"/>
      <c r="M381" s="305" t="str">
        <f>IFERROR(Table3[[#This Row],[Quantity (doses)]]/Table3[[#This Row],[Doses per vial or syringe]],"")</f>
        <v/>
      </c>
      <c r="N381" s="127"/>
      <c r="O381" s="127"/>
      <c r="P381" s="381"/>
      <c r="Q381" s="129"/>
      <c r="R381" s="127"/>
      <c r="S381" s="127"/>
      <c r="T381" s="127"/>
      <c r="U381" s="127"/>
      <c r="V381" s="305" t="str">
        <f>_xlfn.IFNA(VLOOKUP(D381,ProductListTbl[],9,0),"")</f>
        <v/>
      </c>
      <c r="W381" s="305" t="str">
        <f>IFERROR(Table3[[#This Row],[Storage space per secondary packaging (cm3)]]*Table3[[#This Row],[Quantity  (vials or syringes)]]/1000,"")</f>
        <v/>
      </c>
      <c r="X381" s="305" t="str">
        <f>IFERROR(Table3[[#This Row],[Storage space per tertiary packaging (cm3)]]*Table3[[#This Row],[Quantity (doses)]]/1000,"")</f>
        <v/>
      </c>
      <c r="Y381" s="293" t="str">
        <f>IF(Table3[[#This Row],[Status]]="Ordered",(DATE(YEAR(P381),MONTH(P381),1)),IF(Table3[[#This Row],[Status]]="Received",(DATE(YEAR(Q381),MONTH(Q381),1)),""))</f>
        <v/>
      </c>
      <c r="Z381" s="304" t="str">
        <f t="shared" si="20"/>
        <v/>
      </c>
      <c r="AA381" s="48" t="str">
        <f t="shared" si="21"/>
        <v/>
      </c>
      <c r="AB381" s="48" t="str">
        <f t="shared" si="22"/>
        <v/>
      </c>
      <c r="AC381" s="292" t="str">
        <f t="shared" si="23"/>
        <v/>
      </c>
      <c r="AD381" s="48" t="str">
        <f>IF(Table3[[#This Row],[Actual Arrival date]]&gt;0,IF(Table3[[#This Row],[Expected arrival date]]&gt;0,Table3[[#This Row],[Actual Arrival date]]-Table3[[#This Row],[Expected arrival date]],""),"")</f>
        <v/>
      </c>
    </row>
    <row r="382" spans="1:30" x14ac:dyDescent="0.25">
      <c r="A382" s="303" t="str">
        <f>Start!$D$7</f>
        <v>Anyland</v>
      </c>
      <c r="B382" s="48" t="str">
        <f>_xlfn.IFNA(VLOOKUP(A382,list!B:C,2,FALSE),"")</f>
        <v>ANY</v>
      </c>
      <c r="C382" s="48"/>
      <c r="D382" s="127"/>
      <c r="E382" s="48" t="str">
        <f>_xlfn.IFNA(VLOOKUP(Table3[[#This Row],[Product]], ProductListTbl[], 3, 0), "")</f>
        <v/>
      </c>
      <c r="F382" s="303" t="str">
        <f>_xlfn.IFNA(VLOOKUP(D382,ProductListTbl[],5,0),"")</f>
        <v/>
      </c>
      <c r="G382" s="303" t="str">
        <f>_xlfn.IFNA(VLOOKUP(D382,ProductListTbl[],6,0),"")</f>
        <v/>
      </c>
      <c r="H382" s="130" t="str">
        <f>_xlfn.IFNA(VLOOKUP(D382,ProductListTbl[],7,0),"")</f>
        <v/>
      </c>
      <c r="I382" s="130" t="str">
        <f>_xlfn.IFNA(VLOOKUP(D382,ProductListTbl[],8,0),"")</f>
        <v/>
      </c>
      <c r="J382" s="127"/>
      <c r="K382" s="129"/>
      <c r="L382" s="128"/>
      <c r="M382" s="305" t="str">
        <f>IFERROR(Table3[[#This Row],[Quantity (doses)]]/Table3[[#This Row],[Doses per vial or syringe]],"")</f>
        <v/>
      </c>
      <c r="N382" s="127"/>
      <c r="O382" s="127"/>
      <c r="P382" s="381"/>
      <c r="Q382" s="129"/>
      <c r="R382" s="127"/>
      <c r="S382" s="127"/>
      <c r="T382" s="127"/>
      <c r="U382" s="127"/>
      <c r="V382" s="305" t="str">
        <f>_xlfn.IFNA(VLOOKUP(D382,ProductListTbl[],9,0),"")</f>
        <v/>
      </c>
      <c r="W382" s="305" t="str">
        <f>IFERROR(Table3[[#This Row],[Storage space per secondary packaging (cm3)]]*Table3[[#This Row],[Quantity  (vials or syringes)]]/1000,"")</f>
        <v/>
      </c>
      <c r="X382" s="305" t="str">
        <f>IFERROR(Table3[[#This Row],[Storage space per tertiary packaging (cm3)]]*Table3[[#This Row],[Quantity (doses)]]/1000,"")</f>
        <v/>
      </c>
      <c r="Y382" s="293" t="str">
        <f>IF(Table3[[#This Row],[Status]]="Ordered",(DATE(YEAR(P382),MONTH(P382),1)),IF(Table3[[#This Row],[Status]]="Received",(DATE(YEAR(Q382),MONTH(Q382),1)),""))</f>
        <v/>
      </c>
      <c r="Z382" s="304" t="str">
        <f t="shared" si="20"/>
        <v/>
      </c>
      <c r="AA382" s="48" t="str">
        <f t="shared" si="21"/>
        <v/>
      </c>
      <c r="AB382" s="48" t="str">
        <f t="shared" si="22"/>
        <v/>
      </c>
      <c r="AC382" s="292" t="str">
        <f t="shared" si="23"/>
        <v/>
      </c>
      <c r="AD382" s="48" t="str">
        <f>IF(Table3[[#This Row],[Actual Arrival date]]&gt;0,IF(Table3[[#This Row],[Expected arrival date]]&gt;0,Table3[[#This Row],[Actual Arrival date]]-Table3[[#This Row],[Expected arrival date]],""),"")</f>
        <v/>
      </c>
    </row>
    <row r="383" spans="1:30" x14ac:dyDescent="0.25">
      <c r="A383" s="303" t="str">
        <f>Start!$D$7</f>
        <v>Anyland</v>
      </c>
      <c r="B383" s="48" t="str">
        <f>_xlfn.IFNA(VLOOKUP(A383,list!B:C,2,FALSE),"")</f>
        <v>ANY</v>
      </c>
      <c r="C383" s="48"/>
      <c r="D383" s="127"/>
      <c r="E383" s="48" t="str">
        <f>_xlfn.IFNA(VLOOKUP(Table3[[#This Row],[Product]], ProductListTbl[], 3, 0), "")</f>
        <v/>
      </c>
      <c r="F383" s="303" t="str">
        <f>_xlfn.IFNA(VLOOKUP(D383,ProductListTbl[],5,0),"")</f>
        <v/>
      </c>
      <c r="G383" s="303" t="str">
        <f>_xlfn.IFNA(VLOOKUP(D383,ProductListTbl[],6,0),"")</f>
        <v/>
      </c>
      <c r="H383" s="130" t="str">
        <f>_xlfn.IFNA(VLOOKUP(D383,ProductListTbl[],7,0),"")</f>
        <v/>
      </c>
      <c r="I383" s="130" t="str">
        <f>_xlfn.IFNA(VLOOKUP(D383,ProductListTbl[],8,0),"")</f>
        <v/>
      </c>
      <c r="J383" s="127"/>
      <c r="K383" s="129"/>
      <c r="L383" s="128"/>
      <c r="M383" s="305" t="str">
        <f>IFERROR(Table3[[#This Row],[Quantity (doses)]]/Table3[[#This Row],[Doses per vial or syringe]],"")</f>
        <v/>
      </c>
      <c r="N383" s="127"/>
      <c r="O383" s="127"/>
      <c r="P383" s="381"/>
      <c r="Q383" s="129"/>
      <c r="R383" s="127"/>
      <c r="S383" s="127"/>
      <c r="T383" s="127"/>
      <c r="U383" s="127"/>
      <c r="V383" s="305" t="str">
        <f>_xlfn.IFNA(VLOOKUP(D383,ProductListTbl[],9,0),"")</f>
        <v/>
      </c>
      <c r="W383" s="305" t="str">
        <f>IFERROR(Table3[[#This Row],[Storage space per secondary packaging (cm3)]]*Table3[[#This Row],[Quantity  (vials or syringes)]]/1000,"")</f>
        <v/>
      </c>
      <c r="X383" s="305" t="str">
        <f>IFERROR(Table3[[#This Row],[Storage space per tertiary packaging (cm3)]]*Table3[[#This Row],[Quantity (doses)]]/1000,"")</f>
        <v/>
      </c>
      <c r="Y383" s="293" t="str">
        <f>IF(Table3[[#This Row],[Status]]="Ordered",(DATE(YEAR(P383),MONTH(P383),1)),IF(Table3[[#This Row],[Status]]="Received",(DATE(YEAR(Q383),MONTH(Q383),1)),""))</f>
        <v/>
      </c>
      <c r="Z383" s="304" t="str">
        <f t="shared" si="20"/>
        <v/>
      </c>
      <c r="AA383" s="48" t="str">
        <f t="shared" si="21"/>
        <v/>
      </c>
      <c r="AB383" s="48" t="str">
        <f t="shared" si="22"/>
        <v/>
      </c>
      <c r="AC383" s="292" t="str">
        <f t="shared" si="23"/>
        <v/>
      </c>
      <c r="AD383" s="48" t="str">
        <f>IF(Table3[[#This Row],[Actual Arrival date]]&gt;0,IF(Table3[[#This Row],[Expected arrival date]]&gt;0,Table3[[#This Row],[Actual Arrival date]]-Table3[[#This Row],[Expected arrival date]],""),"")</f>
        <v/>
      </c>
    </row>
    <row r="384" spans="1:30" x14ac:dyDescent="0.25">
      <c r="A384" s="303" t="str">
        <f>Start!$D$7</f>
        <v>Anyland</v>
      </c>
      <c r="B384" s="48" t="str">
        <f>_xlfn.IFNA(VLOOKUP(A384,list!B:C,2,FALSE),"")</f>
        <v>ANY</v>
      </c>
      <c r="C384" s="48"/>
      <c r="D384" s="127"/>
      <c r="E384" s="48" t="str">
        <f>_xlfn.IFNA(VLOOKUP(Table3[[#This Row],[Product]], ProductListTbl[], 3, 0), "")</f>
        <v/>
      </c>
      <c r="F384" s="303" t="str">
        <f>_xlfn.IFNA(VLOOKUP(D384,ProductListTbl[],5,0),"")</f>
        <v/>
      </c>
      <c r="G384" s="303" t="str">
        <f>_xlfn.IFNA(VLOOKUP(D384,ProductListTbl[],6,0),"")</f>
        <v/>
      </c>
      <c r="H384" s="130" t="str">
        <f>_xlfn.IFNA(VLOOKUP(D384,ProductListTbl[],7,0),"")</f>
        <v/>
      </c>
      <c r="I384" s="130" t="str">
        <f>_xlfn.IFNA(VLOOKUP(D384,ProductListTbl[],8,0),"")</f>
        <v/>
      </c>
      <c r="J384" s="127"/>
      <c r="K384" s="129"/>
      <c r="L384" s="128"/>
      <c r="M384" s="305" t="str">
        <f>IFERROR(Table3[[#This Row],[Quantity (doses)]]/Table3[[#This Row],[Doses per vial or syringe]],"")</f>
        <v/>
      </c>
      <c r="N384" s="127"/>
      <c r="O384" s="127"/>
      <c r="P384" s="381"/>
      <c r="Q384" s="129"/>
      <c r="R384" s="127"/>
      <c r="S384" s="127"/>
      <c r="T384" s="127"/>
      <c r="U384" s="127"/>
      <c r="V384" s="305" t="str">
        <f>_xlfn.IFNA(VLOOKUP(D384,ProductListTbl[],9,0),"")</f>
        <v/>
      </c>
      <c r="W384" s="305" t="str">
        <f>IFERROR(Table3[[#This Row],[Storage space per secondary packaging (cm3)]]*Table3[[#This Row],[Quantity  (vials or syringes)]]/1000,"")</f>
        <v/>
      </c>
      <c r="X384" s="305" t="str">
        <f>IFERROR(Table3[[#This Row],[Storage space per tertiary packaging (cm3)]]*Table3[[#This Row],[Quantity (doses)]]/1000,"")</f>
        <v/>
      </c>
      <c r="Y384" s="293" t="str">
        <f>IF(Table3[[#This Row],[Status]]="Ordered",(DATE(YEAR(P384),MONTH(P384),1)),IF(Table3[[#This Row],[Status]]="Received",(DATE(YEAR(Q384),MONTH(Q384),1)),""))</f>
        <v/>
      </c>
      <c r="Z384" s="304" t="str">
        <f t="shared" si="20"/>
        <v/>
      </c>
      <c r="AA384" s="48" t="str">
        <f t="shared" si="21"/>
        <v/>
      </c>
      <c r="AB384" s="48" t="str">
        <f t="shared" si="22"/>
        <v/>
      </c>
      <c r="AC384" s="292" t="str">
        <f t="shared" si="23"/>
        <v/>
      </c>
      <c r="AD384" s="48" t="str">
        <f>IF(Table3[[#This Row],[Actual Arrival date]]&gt;0,IF(Table3[[#This Row],[Expected arrival date]]&gt;0,Table3[[#This Row],[Actual Arrival date]]-Table3[[#This Row],[Expected arrival date]],""),"")</f>
        <v/>
      </c>
    </row>
    <row r="385" spans="1:30" x14ac:dyDescent="0.25">
      <c r="A385" s="303" t="str">
        <f>Start!$D$7</f>
        <v>Anyland</v>
      </c>
      <c r="B385" s="48" t="str">
        <f>_xlfn.IFNA(VLOOKUP(A385,list!B:C,2,FALSE),"")</f>
        <v>ANY</v>
      </c>
      <c r="C385" s="48"/>
      <c r="D385" s="127"/>
      <c r="E385" s="48" t="str">
        <f>_xlfn.IFNA(VLOOKUP(Table3[[#This Row],[Product]], ProductListTbl[], 3, 0), "")</f>
        <v/>
      </c>
      <c r="F385" s="303" t="str">
        <f>_xlfn.IFNA(VLOOKUP(D385,ProductListTbl[],5,0),"")</f>
        <v/>
      </c>
      <c r="G385" s="303" t="str">
        <f>_xlfn.IFNA(VLOOKUP(D385,ProductListTbl[],6,0),"")</f>
        <v/>
      </c>
      <c r="H385" s="130" t="str">
        <f>_xlfn.IFNA(VLOOKUP(D385,ProductListTbl[],7,0),"")</f>
        <v/>
      </c>
      <c r="I385" s="130" t="str">
        <f>_xlfn.IFNA(VLOOKUP(D385,ProductListTbl[],8,0),"")</f>
        <v/>
      </c>
      <c r="J385" s="127"/>
      <c r="K385" s="129"/>
      <c r="L385" s="128"/>
      <c r="M385" s="305" t="str">
        <f>IFERROR(Table3[[#This Row],[Quantity (doses)]]/Table3[[#This Row],[Doses per vial or syringe]],"")</f>
        <v/>
      </c>
      <c r="N385" s="127"/>
      <c r="O385" s="127"/>
      <c r="P385" s="381"/>
      <c r="Q385" s="129"/>
      <c r="R385" s="127"/>
      <c r="S385" s="127"/>
      <c r="T385" s="127"/>
      <c r="U385" s="127"/>
      <c r="V385" s="305" t="str">
        <f>_xlfn.IFNA(VLOOKUP(D385,ProductListTbl[],9,0),"")</f>
        <v/>
      </c>
      <c r="W385" s="305" t="str">
        <f>IFERROR(Table3[[#This Row],[Storage space per secondary packaging (cm3)]]*Table3[[#This Row],[Quantity  (vials or syringes)]]/1000,"")</f>
        <v/>
      </c>
      <c r="X385" s="305" t="str">
        <f>IFERROR(Table3[[#This Row],[Storage space per tertiary packaging (cm3)]]*Table3[[#This Row],[Quantity (doses)]]/1000,"")</f>
        <v/>
      </c>
      <c r="Y385" s="293" t="str">
        <f>IF(Table3[[#This Row],[Status]]="Ordered",(DATE(YEAR(P385),MONTH(P385),1)),IF(Table3[[#This Row],[Status]]="Received",(DATE(YEAR(Q385),MONTH(Q385),1)),""))</f>
        <v/>
      </c>
      <c r="Z385" s="304" t="str">
        <f t="shared" si="20"/>
        <v/>
      </c>
      <c r="AA385" s="48" t="str">
        <f t="shared" si="21"/>
        <v/>
      </c>
      <c r="AB385" s="48" t="str">
        <f t="shared" si="22"/>
        <v/>
      </c>
      <c r="AC385" s="292" t="str">
        <f t="shared" si="23"/>
        <v/>
      </c>
      <c r="AD385" s="48" t="str">
        <f>IF(Table3[[#This Row],[Actual Arrival date]]&gt;0,IF(Table3[[#This Row],[Expected arrival date]]&gt;0,Table3[[#This Row],[Actual Arrival date]]-Table3[[#This Row],[Expected arrival date]],""),"")</f>
        <v/>
      </c>
    </row>
    <row r="386" spans="1:30" x14ac:dyDescent="0.25">
      <c r="A386" s="303" t="str">
        <f>Start!$D$7</f>
        <v>Anyland</v>
      </c>
      <c r="B386" s="48" t="str">
        <f>_xlfn.IFNA(VLOOKUP(A386,list!B:C,2,FALSE),"")</f>
        <v>ANY</v>
      </c>
      <c r="C386" s="48"/>
      <c r="D386" s="127"/>
      <c r="E386" s="48" t="str">
        <f>_xlfn.IFNA(VLOOKUP(Table3[[#This Row],[Product]], ProductListTbl[], 3, 0), "")</f>
        <v/>
      </c>
      <c r="F386" s="303" t="str">
        <f>_xlfn.IFNA(VLOOKUP(D386,ProductListTbl[],5,0),"")</f>
        <v/>
      </c>
      <c r="G386" s="303" t="str">
        <f>_xlfn.IFNA(VLOOKUP(D386,ProductListTbl[],6,0),"")</f>
        <v/>
      </c>
      <c r="H386" s="130" t="str">
        <f>_xlfn.IFNA(VLOOKUP(D386,ProductListTbl[],7,0),"")</f>
        <v/>
      </c>
      <c r="I386" s="130" t="str">
        <f>_xlfn.IFNA(VLOOKUP(D386,ProductListTbl[],8,0),"")</f>
        <v/>
      </c>
      <c r="J386" s="127"/>
      <c r="K386" s="129"/>
      <c r="L386" s="128"/>
      <c r="M386" s="305" t="str">
        <f>IFERROR(Table3[[#This Row],[Quantity (doses)]]/Table3[[#This Row],[Doses per vial or syringe]],"")</f>
        <v/>
      </c>
      <c r="N386" s="127"/>
      <c r="O386" s="127"/>
      <c r="P386" s="381"/>
      <c r="Q386" s="129"/>
      <c r="R386" s="127"/>
      <c r="S386" s="127"/>
      <c r="T386" s="127"/>
      <c r="U386" s="127"/>
      <c r="V386" s="305" t="str">
        <f>_xlfn.IFNA(VLOOKUP(D386,ProductListTbl[],9,0),"")</f>
        <v/>
      </c>
      <c r="W386" s="305" t="str">
        <f>IFERROR(Table3[[#This Row],[Storage space per secondary packaging (cm3)]]*Table3[[#This Row],[Quantity  (vials or syringes)]]/1000,"")</f>
        <v/>
      </c>
      <c r="X386" s="305" t="str">
        <f>IFERROR(Table3[[#This Row],[Storage space per tertiary packaging (cm3)]]*Table3[[#This Row],[Quantity (doses)]]/1000,"")</f>
        <v/>
      </c>
      <c r="Y386" s="293" t="str">
        <f>IF(Table3[[#This Row],[Status]]="Ordered",(DATE(YEAR(P386),MONTH(P386),1)),IF(Table3[[#This Row],[Status]]="Received",(DATE(YEAR(Q386),MONTH(Q386),1)),""))</f>
        <v/>
      </c>
      <c r="Z386" s="304" t="str">
        <f t="shared" si="20"/>
        <v/>
      </c>
      <c r="AA386" s="48" t="str">
        <f t="shared" si="21"/>
        <v/>
      </c>
      <c r="AB386" s="48" t="str">
        <f t="shared" si="22"/>
        <v/>
      </c>
      <c r="AC386" s="292" t="str">
        <f t="shared" si="23"/>
        <v/>
      </c>
      <c r="AD386" s="48" t="str">
        <f>IF(Table3[[#This Row],[Actual Arrival date]]&gt;0,IF(Table3[[#This Row],[Expected arrival date]]&gt;0,Table3[[#This Row],[Actual Arrival date]]-Table3[[#This Row],[Expected arrival date]],""),"")</f>
        <v/>
      </c>
    </row>
    <row r="387" spans="1:30" x14ac:dyDescent="0.25">
      <c r="A387" s="303" t="str">
        <f>Start!$D$7</f>
        <v>Anyland</v>
      </c>
      <c r="B387" s="48" t="str">
        <f>_xlfn.IFNA(VLOOKUP(A387,list!B:C,2,FALSE),"")</f>
        <v>ANY</v>
      </c>
      <c r="C387" s="48"/>
      <c r="D387" s="127"/>
      <c r="E387" s="48" t="str">
        <f>_xlfn.IFNA(VLOOKUP(Table3[[#This Row],[Product]], ProductListTbl[], 3, 0), "")</f>
        <v/>
      </c>
      <c r="F387" s="303" t="str">
        <f>_xlfn.IFNA(VLOOKUP(D387,ProductListTbl[],5,0),"")</f>
        <v/>
      </c>
      <c r="G387" s="303" t="str">
        <f>_xlfn.IFNA(VLOOKUP(D387,ProductListTbl[],6,0),"")</f>
        <v/>
      </c>
      <c r="H387" s="130" t="str">
        <f>_xlfn.IFNA(VLOOKUP(D387,ProductListTbl[],7,0),"")</f>
        <v/>
      </c>
      <c r="I387" s="130" t="str">
        <f>_xlfn.IFNA(VLOOKUP(D387,ProductListTbl[],8,0),"")</f>
        <v/>
      </c>
      <c r="J387" s="127"/>
      <c r="K387" s="129"/>
      <c r="L387" s="128"/>
      <c r="M387" s="305" t="str">
        <f>IFERROR(Table3[[#This Row],[Quantity (doses)]]/Table3[[#This Row],[Doses per vial or syringe]],"")</f>
        <v/>
      </c>
      <c r="N387" s="127"/>
      <c r="O387" s="127"/>
      <c r="P387" s="381"/>
      <c r="Q387" s="129"/>
      <c r="R387" s="127"/>
      <c r="S387" s="127"/>
      <c r="T387" s="127"/>
      <c r="U387" s="127"/>
      <c r="V387" s="305" t="str">
        <f>_xlfn.IFNA(VLOOKUP(D387,ProductListTbl[],9,0),"")</f>
        <v/>
      </c>
      <c r="W387" s="305" t="str">
        <f>IFERROR(Table3[[#This Row],[Storage space per secondary packaging (cm3)]]*Table3[[#This Row],[Quantity  (vials or syringes)]]/1000,"")</f>
        <v/>
      </c>
      <c r="X387" s="305" t="str">
        <f>IFERROR(Table3[[#This Row],[Storage space per tertiary packaging (cm3)]]*Table3[[#This Row],[Quantity (doses)]]/1000,"")</f>
        <v/>
      </c>
      <c r="Y387" s="293" t="str">
        <f>IF(Table3[[#This Row],[Status]]="Ordered",(DATE(YEAR(P387),MONTH(P387),1)),IF(Table3[[#This Row],[Status]]="Received",(DATE(YEAR(Q387),MONTH(Q387),1)),""))</f>
        <v/>
      </c>
      <c r="Z387" s="304" t="str">
        <f t="shared" si="20"/>
        <v/>
      </c>
      <c r="AA387" s="48" t="str">
        <f t="shared" si="21"/>
        <v/>
      </c>
      <c r="AB387" s="48" t="str">
        <f t="shared" si="22"/>
        <v/>
      </c>
      <c r="AC387" s="292" t="str">
        <f t="shared" si="23"/>
        <v/>
      </c>
      <c r="AD387" s="48" t="str">
        <f>IF(Table3[[#This Row],[Actual Arrival date]]&gt;0,IF(Table3[[#This Row],[Expected arrival date]]&gt;0,Table3[[#This Row],[Actual Arrival date]]-Table3[[#This Row],[Expected arrival date]],""),"")</f>
        <v/>
      </c>
    </row>
    <row r="388" spans="1:30" x14ac:dyDescent="0.25">
      <c r="A388" s="303" t="str">
        <f>Start!$D$7</f>
        <v>Anyland</v>
      </c>
      <c r="B388" s="48" t="str">
        <f>_xlfn.IFNA(VLOOKUP(A388,list!B:C,2,FALSE),"")</f>
        <v>ANY</v>
      </c>
      <c r="C388" s="48"/>
      <c r="D388" s="127"/>
      <c r="E388" s="48" t="str">
        <f>_xlfn.IFNA(VLOOKUP(Table3[[#This Row],[Product]], ProductListTbl[], 3, 0), "")</f>
        <v/>
      </c>
      <c r="F388" s="303" t="str">
        <f>_xlfn.IFNA(VLOOKUP(D388,ProductListTbl[],5,0),"")</f>
        <v/>
      </c>
      <c r="G388" s="303" t="str">
        <f>_xlfn.IFNA(VLOOKUP(D388,ProductListTbl[],6,0),"")</f>
        <v/>
      </c>
      <c r="H388" s="130" t="str">
        <f>_xlfn.IFNA(VLOOKUP(D388,ProductListTbl[],7,0),"")</f>
        <v/>
      </c>
      <c r="I388" s="130" t="str">
        <f>_xlfn.IFNA(VLOOKUP(D388,ProductListTbl[],8,0),"")</f>
        <v/>
      </c>
      <c r="J388" s="127"/>
      <c r="K388" s="129"/>
      <c r="L388" s="128"/>
      <c r="M388" s="305" t="str">
        <f>IFERROR(Table3[[#This Row],[Quantity (doses)]]/Table3[[#This Row],[Doses per vial or syringe]],"")</f>
        <v/>
      </c>
      <c r="N388" s="127"/>
      <c r="O388" s="127"/>
      <c r="P388" s="381"/>
      <c r="Q388" s="129"/>
      <c r="R388" s="127"/>
      <c r="S388" s="127"/>
      <c r="T388" s="127"/>
      <c r="U388" s="127"/>
      <c r="V388" s="305" t="str">
        <f>_xlfn.IFNA(VLOOKUP(D388,ProductListTbl[],9,0),"")</f>
        <v/>
      </c>
      <c r="W388" s="305" t="str">
        <f>IFERROR(Table3[[#This Row],[Storage space per secondary packaging (cm3)]]*Table3[[#This Row],[Quantity  (vials or syringes)]]/1000,"")</f>
        <v/>
      </c>
      <c r="X388" s="305" t="str">
        <f>IFERROR(Table3[[#This Row],[Storage space per tertiary packaging (cm3)]]*Table3[[#This Row],[Quantity (doses)]]/1000,"")</f>
        <v/>
      </c>
      <c r="Y388" s="293" t="str">
        <f>IF(Table3[[#This Row],[Status]]="Ordered",(DATE(YEAR(P388),MONTH(P388),1)),IF(Table3[[#This Row],[Status]]="Received",(DATE(YEAR(Q388),MONTH(Q388),1)),""))</f>
        <v/>
      </c>
      <c r="Z388" s="304" t="str">
        <f t="shared" si="20"/>
        <v/>
      </c>
      <c r="AA388" s="48" t="str">
        <f t="shared" si="21"/>
        <v/>
      </c>
      <c r="AB388" s="48" t="str">
        <f t="shared" si="22"/>
        <v/>
      </c>
      <c r="AC388" s="292" t="str">
        <f t="shared" si="23"/>
        <v/>
      </c>
      <c r="AD388" s="48" t="str">
        <f>IF(Table3[[#This Row],[Actual Arrival date]]&gt;0,IF(Table3[[#This Row],[Expected arrival date]]&gt;0,Table3[[#This Row],[Actual Arrival date]]-Table3[[#This Row],[Expected arrival date]],""),"")</f>
        <v/>
      </c>
    </row>
    <row r="389" spans="1:30" x14ac:dyDescent="0.25">
      <c r="A389" s="303" t="str">
        <f>Start!$D$7</f>
        <v>Anyland</v>
      </c>
      <c r="B389" s="48" t="str">
        <f>_xlfn.IFNA(VLOOKUP(A389,list!B:C,2,FALSE),"")</f>
        <v>ANY</v>
      </c>
      <c r="C389" s="48"/>
      <c r="D389" s="127"/>
      <c r="E389" s="48" t="str">
        <f>_xlfn.IFNA(VLOOKUP(Table3[[#This Row],[Product]], ProductListTbl[], 3, 0), "")</f>
        <v/>
      </c>
      <c r="F389" s="303" t="str">
        <f>_xlfn.IFNA(VLOOKUP(D389,ProductListTbl[],5,0),"")</f>
        <v/>
      </c>
      <c r="G389" s="303" t="str">
        <f>_xlfn.IFNA(VLOOKUP(D389,ProductListTbl[],6,0),"")</f>
        <v/>
      </c>
      <c r="H389" s="130" t="str">
        <f>_xlfn.IFNA(VLOOKUP(D389,ProductListTbl[],7,0),"")</f>
        <v/>
      </c>
      <c r="I389" s="130" t="str">
        <f>_xlfn.IFNA(VLOOKUP(D389,ProductListTbl[],8,0),"")</f>
        <v/>
      </c>
      <c r="J389" s="127"/>
      <c r="K389" s="129"/>
      <c r="L389" s="128"/>
      <c r="M389" s="305" t="str">
        <f>IFERROR(Table3[[#This Row],[Quantity (doses)]]/Table3[[#This Row],[Doses per vial or syringe]],"")</f>
        <v/>
      </c>
      <c r="N389" s="127"/>
      <c r="O389" s="127"/>
      <c r="P389" s="381"/>
      <c r="Q389" s="129"/>
      <c r="R389" s="127"/>
      <c r="S389" s="127"/>
      <c r="T389" s="127"/>
      <c r="U389" s="127"/>
      <c r="V389" s="305" t="str">
        <f>_xlfn.IFNA(VLOOKUP(D389,ProductListTbl[],9,0),"")</f>
        <v/>
      </c>
      <c r="W389" s="305" t="str">
        <f>IFERROR(Table3[[#This Row],[Storage space per secondary packaging (cm3)]]*Table3[[#This Row],[Quantity  (vials or syringes)]]/1000,"")</f>
        <v/>
      </c>
      <c r="X389" s="305" t="str">
        <f>IFERROR(Table3[[#This Row],[Storage space per tertiary packaging (cm3)]]*Table3[[#This Row],[Quantity (doses)]]/1000,"")</f>
        <v/>
      </c>
      <c r="Y389" s="293" t="str">
        <f>IF(Table3[[#This Row],[Status]]="Ordered",(DATE(YEAR(P389),MONTH(P389),1)),IF(Table3[[#This Row],[Status]]="Received",(DATE(YEAR(Q389),MONTH(Q389),1)),""))</f>
        <v/>
      </c>
      <c r="Z389" s="304" t="str">
        <f t="shared" ref="Z389:Z452" si="24">IFERROR(IF(K389&gt;0,((K389-Q389)/(365.25/12)),""),"")</f>
        <v/>
      </c>
      <c r="AA389" s="48" t="str">
        <f t="shared" ref="AA389:AA452" si="25">IFERROR(IF(K389="","",MONTH(EOMONTH(K389,(DAY(K389)&gt;15)+0))),"")</f>
        <v/>
      </c>
      <c r="AB389" s="48" t="str">
        <f t="shared" ref="AB389:AB452" si="26">IFERROR(IF(K389="","",IF(AND(MONTH(K389)=12,AA389=1),YEAR(K389)+1,YEAR(K389))),"")</f>
        <v/>
      </c>
      <c r="AC389" s="292" t="str">
        <f t="shared" ref="AC389:AC452" si="27">IF(OR(AA389="",AB389=""),"",DATE(AB389,AA389,1))</f>
        <v/>
      </c>
      <c r="AD389" s="48" t="str">
        <f>IF(Table3[[#This Row],[Actual Arrival date]]&gt;0,IF(Table3[[#This Row],[Expected arrival date]]&gt;0,Table3[[#This Row],[Actual Arrival date]]-Table3[[#This Row],[Expected arrival date]],""),"")</f>
        <v/>
      </c>
    </row>
    <row r="390" spans="1:30" x14ac:dyDescent="0.25">
      <c r="A390" s="303" t="str">
        <f>Start!$D$7</f>
        <v>Anyland</v>
      </c>
      <c r="B390" s="48" t="str">
        <f>_xlfn.IFNA(VLOOKUP(A390,list!B:C,2,FALSE),"")</f>
        <v>ANY</v>
      </c>
      <c r="C390" s="48"/>
      <c r="D390" s="127"/>
      <c r="E390" s="48" t="str">
        <f>_xlfn.IFNA(VLOOKUP(Table3[[#This Row],[Product]], ProductListTbl[], 3, 0), "")</f>
        <v/>
      </c>
      <c r="F390" s="303" t="str">
        <f>_xlfn.IFNA(VLOOKUP(D390,ProductListTbl[],5,0),"")</f>
        <v/>
      </c>
      <c r="G390" s="303" t="str">
        <f>_xlfn.IFNA(VLOOKUP(D390,ProductListTbl[],6,0),"")</f>
        <v/>
      </c>
      <c r="H390" s="130" t="str">
        <f>_xlfn.IFNA(VLOOKUP(D390,ProductListTbl[],7,0),"")</f>
        <v/>
      </c>
      <c r="I390" s="130" t="str">
        <f>_xlfn.IFNA(VLOOKUP(D390,ProductListTbl[],8,0),"")</f>
        <v/>
      </c>
      <c r="J390" s="127"/>
      <c r="K390" s="129"/>
      <c r="L390" s="128"/>
      <c r="M390" s="305" t="str">
        <f>IFERROR(Table3[[#This Row],[Quantity (doses)]]/Table3[[#This Row],[Doses per vial or syringe]],"")</f>
        <v/>
      </c>
      <c r="N390" s="127"/>
      <c r="O390" s="127"/>
      <c r="P390" s="381"/>
      <c r="Q390" s="129"/>
      <c r="R390" s="127"/>
      <c r="S390" s="127"/>
      <c r="T390" s="127"/>
      <c r="U390" s="127"/>
      <c r="V390" s="305" t="str">
        <f>_xlfn.IFNA(VLOOKUP(D390,ProductListTbl[],9,0),"")</f>
        <v/>
      </c>
      <c r="W390" s="305" t="str">
        <f>IFERROR(Table3[[#This Row],[Storage space per secondary packaging (cm3)]]*Table3[[#This Row],[Quantity  (vials or syringes)]]/1000,"")</f>
        <v/>
      </c>
      <c r="X390" s="305" t="str">
        <f>IFERROR(Table3[[#This Row],[Storage space per tertiary packaging (cm3)]]*Table3[[#This Row],[Quantity (doses)]]/1000,"")</f>
        <v/>
      </c>
      <c r="Y390" s="293" t="str">
        <f>IF(Table3[[#This Row],[Status]]="Ordered",(DATE(YEAR(P390),MONTH(P390),1)),IF(Table3[[#This Row],[Status]]="Received",(DATE(YEAR(Q390),MONTH(Q390),1)),""))</f>
        <v/>
      </c>
      <c r="Z390" s="304" t="str">
        <f t="shared" si="24"/>
        <v/>
      </c>
      <c r="AA390" s="48" t="str">
        <f t="shared" si="25"/>
        <v/>
      </c>
      <c r="AB390" s="48" t="str">
        <f t="shared" si="26"/>
        <v/>
      </c>
      <c r="AC390" s="292" t="str">
        <f t="shared" si="27"/>
        <v/>
      </c>
      <c r="AD390" s="48" t="str">
        <f>IF(Table3[[#This Row],[Actual Arrival date]]&gt;0,IF(Table3[[#This Row],[Expected arrival date]]&gt;0,Table3[[#This Row],[Actual Arrival date]]-Table3[[#This Row],[Expected arrival date]],""),"")</f>
        <v/>
      </c>
    </row>
    <row r="391" spans="1:30" x14ac:dyDescent="0.25">
      <c r="A391" s="303" t="str">
        <f>Start!$D$7</f>
        <v>Anyland</v>
      </c>
      <c r="B391" s="48" t="str">
        <f>_xlfn.IFNA(VLOOKUP(A391,list!B:C,2,FALSE),"")</f>
        <v>ANY</v>
      </c>
      <c r="C391" s="48"/>
      <c r="D391" s="127"/>
      <c r="E391" s="48" t="str">
        <f>_xlfn.IFNA(VLOOKUP(Table3[[#This Row],[Product]], ProductListTbl[], 3, 0), "")</f>
        <v/>
      </c>
      <c r="F391" s="303" t="str">
        <f>_xlfn.IFNA(VLOOKUP(D391,ProductListTbl[],5,0),"")</f>
        <v/>
      </c>
      <c r="G391" s="303" t="str">
        <f>_xlfn.IFNA(VLOOKUP(D391,ProductListTbl[],6,0),"")</f>
        <v/>
      </c>
      <c r="H391" s="130" t="str">
        <f>_xlfn.IFNA(VLOOKUP(D391,ProductListTbl[],7,0),"")</f>
        <v/>
      </c>
      <c r="I391" s="130" t="str">
        <f>_xlfn.IFNA(VLOOKUP(D391,ProductListTbl[],8,0),"")</f>
        <v/>
      </c>
      <c r="J391" s="127"/>
      <c r="K391" s="129"/>
      <c r="L391" s="128"/>
      <c r="M391" s="305" t="str">
        <f>IFERROR(Table3[[#This Row],[Quantity (doses)]]/Table3[[#This Row],[Doses per vial or syringe]],"")</f>
        <v/>
      </c>
      <c r="N391" s="127"/>
      <c r="O391" s="127"/>
      <c r="P391" s="381"/>
      <c r="Q391" s="129"/>
      <c r="R391" s="127"/>
      <c r="S391" s="127"/>
      <c r="T391" s="127"/>
      <c r="U391" s="127"/>
      <c r="V391" s="305" t="str">
        <f>_xlfn.IFNA(VLOOKUP(D391,ProductListTbl[],9,0),"")</f>
        <v/>
      </c>
      <c r="W391" s="305" t="str">
        <f>IFERROR(Table3[[#This Row],[Storage space per secondary packaging (cm3)]]*Table3[[#This Row],[Quantity  (vials or syringes)]]/1000,"")</f>
        <v/>
      </c>
      <c r="X391" s="305" t="str">
        <f>IFERROR(Table3[[#This Row],[Storage space per tertiary packaging (cm3)]]*Table3[[#This Row],[Quantity (doses)]]/1000,"")</f>
        <v/>
      </c>
      <c r="Y391" s="293" t="str">
        <f>IF(Table3[[#This Row],[Status]]="Ordered",(DATE(YEAR(P391),MONTH(P391),1)),IF(Table3[[#This Row],[Status]]="Received",(DATE(YEAR(Q391),MONTH(Q391),1)),""))</f>
        <v/>
      </c>
      <c r="Z391" s="304" t="str">
        <f t="shared" si="24"/>
        <v/>
      </c>
      <c r="AA391" s="48" t="str">
        <f t="shared" si="25"/>
        <v/>
      </c>
      <c r="AB391" s="48" t="str">
        <f t="shared" si="26"/>
        <v/>
      </c>
      <c r="AC391" s="292" t="str">
        <f t="shared" si="27"/>
        <v/>
      </c>
      <c r="AD391" s="48" t="str">
        <f>IF(Table3[[#This Row],[Actual Arrival date]]&gt;0,IF(Table3[[#This Row],[Expected arrival date]]&gt;0,Table3[[#This Row],[Actual Arrival date]]-Table3[[#This Row],[Expected arrival date]],""),"")</f>
        <v/>
      </c>
    </row>
    <row r="392" spans="1:30" x14ac:dyDescent="0.25">
      <c r="A392" s="303" t="str">
        <f>Start!$D$7</f>
        <v>Anyland</v>
      </c>
      <c r="B392" s="48" t="str">
        <f>_xlfn.IFNA(VLOOKUP(A392,list!B:C,2,FALSE),"")</f>
        <v>ANY</v>
      </c>
      <c r="C392" s="48"/>
      <c r="D392" s="127"/>
      <c r="E392" s="48" t="str">
        <f>_xlfn.IFNA(VLOOKUP(Table3[[#This Row],[Product]], ProductListTbl[], 3, 0), "")</f>
        <v/>
      </c>
      <c r="F392" s="303" t="str">
        <f>_xlfn.IFNA(VLOOKUP(D392,ProductListTbl[],5,0),"")</f>
        <v/>
      </c>
      <c r="G392" s="303" t="str">
        <f>_xlfn.IFNA(VLOOKUP(D392,ProductListTbl[],6,0),"")</f>
        <v/>
      </c>
      <c r="H392" s="130" t="str">
        <f>_xlfn.IFNA(VLOOKUP(D392,ProductListTbl[],7,0),"")</f>
        <v/>
      </c>
      <c r="I392" s="130" t="str">
        <f>_xlfn.IFNA(VLOOKUP(D392,ProductListTbl[],8,0),"")</f>
        <v/>
      </c>
      <c r="J392" s="127"/>
      <c r="K392" s="129"/>
      <c r="L392" s="128"/>
      <c r="M392" s="305" t="str">
        <f>IFERROR(Table3[[#This Row],[Quantity (doses)]]/Table3[[#This Row],[Doses per vial or syringe]],"")</f>
        <v/>
      </c>
      <c r="N392" s="127"/>
      <c r="O392" s="127"/>
      <c r="P392" s="381"/>
      <c r="Q392" s="129"/>
      <c r="R392" s="127"/>
      <c r="S392" s="127"/>
      <c r="T392" s="127"/>
      <c r="U392" s="127"/>
      <c r="V392" s="305" t="str">
        <f>_xlfn.IFNA(VLOOKUP(D392,ProductListTbl[],9,0),"")</f>
        <v/>
      </c>
      <c r="W392" s="305" t="str">
        <f>IFERROR(Table3[[#This Row],[Storage space per secondary packaging (cm3)]]*Table3[[#This Row],[Quantity  (vials or syringes)]]/1000,"")</f>
        <v/>
      </c>
      <c r="X392" s="305" t="str">
        <f>IFERROR(Table3[[#This Row],[Storage space per tertiary packaging (cm3)]]*Table3[[#This Row],[Quantity (doses)]]/1000,"")</f>
        <v/>
      </c>
      <c r="Y392" s="293" t="str">
        <f>IF(Table3[[#This Row],[Status]]="Ordered",(DATE(YEAR(P392),MONTH(P392),1)),IF(Table3[[#This Row],[Status]]="Received",(DATE(YEAR(Q392),MONTH(Q392),1)),""))</f>
        <v/>
      </c>
      <c r="Z392" s="304" t="str">
        <f t="shared" si="24"/>
        <v/>
      </c>
      <c r="AA392" s="48" t="str">
        <f t="shared" si="25"/>
        <v/>
      </c>
      <c r="AB392" s="48" t="str">
        <f t="shared" si="26"/>
        <v/>
      </c>
      <c r="AC392" s="292" t="str">
        <f t="shared" si="27"/>
        <v/>
      </c>
      <c r="AD392" s="48" t="str">
        <f>IF(Table3[[#This Row],[Actual Arrival date]]&gt;0,IF(Table3[[#This Row],[Expected arrival date]]&gt;0,Table3[[#This Row],[Actual Arrival date]]-Table3[[#This Row],[Expected arrival date]],""),"")</f>
        <v/>
      </c>
    </row>
    <row r="393" spans="1:30" x14ac:dyDescent="0.25">
      <c r="A393" s="303" t="str">
        <f>Start!$D$7</f>
        <v>Anyland</v>
      </c>
      <c r="B393" s="48" t="str">
        <f>_xlfn.IFNA(VLOOKUP(A393,list!B:C,2,FALSE),"")</f>
        <v>ANY</v>
      </c>
      <c r="C393" s="48"/>
      <c r="D393" s="127"/>
      <c r="E393" s="48" t="str">
        <f>_xlfn.IFNA(VLOOKUP(Table3[[#This Row],[Product]], ProductListTbl[], 3, 0), "")</f>
        <v/>
      </c>
      <c r="F393" s="303" t="str">
        <f>_xlfn.IFNA(VLOOKUP(D393,ProductListTbl[],5,0),"")</f>
        <v/>
      </c>
      <c r="G393" s="303" t="str">
        <f>_xlfn.IFNA(VLOOKUP(D393,ProductListTbl[],6,0),"")</f>
        <v/>
      </c>
      <c r="H393" s="130" t="str">
        <f>_xlfn.IFNA(VLOOKUP(D393,ProductListTbl[],7,0),"")</f>
        <v/>
      </c>
      <c r="I393" s="130" t="str">
        <f>_xlfn.IFNA(VLOOKUP(D393,ProductListTbl[],8,0),"")</f>
        <v/>
      </c>
      <c r="J393" s="127"/>
      <c r="K393" s="129"/>
      <c r="L393" s="128"/>
      <c r="M393" s="305" t="str">
        <f>IFERROR(Table3[[#This Row],[Quantity (doses)]]/Table3[[#This Row],[Doses per vial or syringe]],"")</f>
        <v/>
      </c>
      <c r="N393" s="127"/>
      <c r="O393" s="127"/>
      <c r="P393" s="381"/>
      <c r="Q393" s="129"/>
      <c r="R393" s="127"/>
      <c r="S393" s="127"/>
      <c r="T393" s="127"/>
      <c r="U393" s="127"/>
      <c r="V393" s="305" t="str">
        <f>_xlfn.IFNA(VLOOKUP(D393,ProductListTbl[],9,0),"")</f>
        <v/>
      </c>
      <c r="W393" s="305" t="str">
        <f>IFERROR(Table3[[#This Row],[Storage space per secondary packaging (cm3)]]*Table3[[#This Row],[Quantity  (vials or syringes)]]/1000,"")</f>
        <v/>
      </c>
      <c r="X393" s="305" t="str">
        <f>IFERROR(Table3[[#This Row],[Storage space per tertiary packaging (cm3)]]*Table3[[#This Row],[Quantity (doses)]]/1000,"")</f>
        <v/>
      </c>
      <c r="Y393" s="293" t="str">
        <f>IF(Table3[[#This Row],[Status]]="Ordered",(DATE(YEAR(P393),MONTH(P393),1)),IF(Table3[[#This Row],[Status]]="Received",(DATE(YEAR(Q393),MONTH(Q393),1)),""))</f>
        <v/>
      </c>
      <c r="Z393" s="304" t="str">
        <f t="shared" si="24"/>
        <v/>
      </c>
      <c r="AA393" s="48" t="str">
        <f t="shared" si="25"/>
        <v/>
      </c>
      <c r="AB393" s="48" t="str">
        <f t="shared" si="26"/>
        <v/>
      </c>
      <c r="AC393" s="292" t="str">
        <f t="shared" si="27"/>
        <v/>
      </c>
      <c r="AD393" s="48" t="str">
        <f>IF(Table3[[#This Row],[Actual Arrival date]]&gt;0,IF(Table3[[#This Row],[Expected arrival date]]&gt;0,Table3[[#This Row],[Actual Arrival date]]-Table3[[#This Row],[Expected arrival date]],""),"")</f>
        <v/>
      </c>
    </row>
    <row r="394" spans="1:30" x14ac:dyDescent="0.25">
      <c r="A394" s="303" t="str">
        <f>Start!$D$7</f>
        <v>Anyland</v>
      </c>
      <c r="B394" s="48" t="str">
        <f>_xlfn.IFNA(VLOOKUP(A394,list!B:C,2,FALSE),"")</f>
        <v>ANY</v>
      </c>
      <c r="C394" s="48"/>
      <c r="D394" s="127"/>
      <c r="E394" s="48" t="str">
        <f>_xlfn.IFNA(VLOOKUP(Table3[[#This Row],[Product]], ProductListTbl[], 3, 0), "")</f>
        <v/>
      </c>
      <c r="F394" s="303" t="str">
        <f>_xlfn.IFNA(VLOOKUP(D394,ProductListTbl[],5,0),"")</f>
        <v/>
      </c>
      <c r="G394" s="303" t="str">
        <f>_xlfn.IFNA(VLOOKUP(D394,ProductListTbl[],6,0),"")</f>
        <v/>
      </c>
      <c r="H394" s="130" t="str">
        <f>_xlfn.IFNA(VLOOKUP(D394,ProductListTbl[],7,0),"")</f>
        <v/>
      </c>
      <c r="I394" s="130" t="str">
        <f>_xlfn.IFNA(VLOOKUP(D394,ProductListTbl[],8,0),"")</f>
        <v/>
      </c>
      <c r="J394" s="127"/>
      <c r="K394" s="129"/>
      <c r="L394" s="128"/>
      <c r="M394" s="305" t="str">
        <f>IFERROR(Table3[[#This Row],[Quantity (doses)]]/Table3[[#This Row],[Doses per vial or syringe]],"")</f>
        <v/>
      </c>
      <c r="N394" s="127"/>
      <c r="O394" s="127"/>
      <c r="P394" s="381"/>
      <c r="Q394" s="129"/>
      <c r="R394" s="127"/>
      <c r="S394" s="127"/>
      <c r="T394" s="127"/>
      <c r="U394" s="127"/>
      <c r="V394" s="305" t="str">
        <f>_xlfn.IFNA(VLOOKUP(D394,ProductListTbl[],9,0),"")</f>
        <v/>
      </c>
      <c r="W394" s="305" t="str">
        <f>IFERROR(Table3[[#This Row],[Storage space per secondary packaging (cm3)]]*Table3[[#This Row],[Quantity  (vials or syringes)]]/1000,"")</f>
        <v/>
      </c>
      <c r="X394" s="305" t="str">
        <f>IFERROR(Table3[[#This Row],[Storage space per tertiary packaging (cm3)]]*Table3[[#This Row],[Quantity (doses)]]/1000,"")</f>
        <v/>
      </c>
      <c r="Y394" s="293" t="str">
        <f>IF(Table3[[#This Row],[Status]]="Ordered",(DATE(YEAR(P394),MONTH(P394),1)),IF(Table3[[#This Row],[Status]]="Received",(DATE(YEAR(Q394),MONTH(Q394),1)),""))</f>
        <v/>
      </c>
      <c r="Z394" s="304" t="str">
        <f t="shared" si="24"/>
        <v/>
      </c>
      <c r="AA394" s="48" t="str">
        <f t="shared" si="25"/>
        <v/>
      </c>
      <c r="AB394" s="48" t="str">
        <f t="shared" si="26"/>
        <v/>
      </c>
      <c r="AC394" s="292" t="str">
        <f t="shared" si="27"/>
        <v/>
      </c>
      <c r="AD394" s="48" t="str">
        <f>IF(Table3[[#This Row],[Actual Arrival date]]&gt;0,IF(Table3[[#This Row],[Expected arrival date]]&gt;0,Table3[[#This Row],[Actual Arrival date]]-Table3[[#This Row],[Expected arrival date]],""),"")</f>
        <v/>
      </c>
    </row>
    <row r="395" spans="1:30" x14ac:dyDescent="0.25">
      <c r="A395" s="303" t="str">
        <f>Start!$D$7</f>
        <v>Anyland</v>
      </c>
      <c r="B395" s="48" t="str">
        <f>_xlfn.IFNA(VLOOKUP(A395,list!B:C,2,FALSE),"")</f>
        <v>ANY</v>
      </c>
      <c r="C395" s="48"/>
      <c r="D395" s="127"/>
      <c r="E395" s="48" t="str">
        <f>_xlfn.IFNA(VLOOKUP(Table3[[#This Row],[Product]], ProductListTbl[], 3, 0), "")</f>
        <v/>
      </c>
      <c r="F395" s="303" t="str">
        <f>_xlfn.IFNA(VLOOKUP(D395,ProductListTbl[],5,0),"")</f>
        <v/>
      </c>
      <c r="G395" s="303" t="str">
        <f>_xlfn.IFNA(VLOOKUP(D395,ProductListTbl[],6,0),"")</f>
        <v/>
      </c>
      <c r="H395" s="130" t="str">
        <f>_xlfn.IFNA(VLOOKUP(D395,ProductListTbl[],7,0),"")</f>
        <v/>
      </c>
      <c r="I395" s="130" t="str">
        <f>_xlfn.IFNA(VLOOKUP(D395,ProductListTbl[],8,0),"")</f>
        <v/>
      </c>
      <c r="J395" s="127"/>
      <c r="K395" s="129"/>
      <c r="L395" s="128"/>
      <c r="M395" s="305" t="str">
        <f>IFERROR(Table3[[#This Row],[Quantity (doses)]]/Table3[[#This Row],[Doses per vial or syringe]],"")</f>
        <v/>
      </c>
      <c r="N395" s="127"/>
      <c r="O395" s="127"/>
      <c r="P395" s="381"/>
      <c r="Q395" s="129"/>
      <c r="R395" s="127"/>
      <c r="S395" s="127"/>
      <c r="T395" s="127"/>
      <c r="U395" s="127"/>
      <c r="V395" s="305" t="str">
        <f>_xlfn.IFNA(VLOOKUP(D395,ProductListTbl[],9,0),"")</f>
        <v/>
      </c>
      <c r="W395" s="305" t="str">
        <f>IFERROR(Table3[[#This Row],[Storage space per secondary packaging (cm3)]]*Table3[[#This Row],[Quantity  (vials or syringes)]]/1000,"")</f>
        <v/>
      </c>
      <c r="X395" s="305" t="str">
        <f>IFERROR(Table3[[#This Row],[Storage space per tertiary packaging (cm3)]]*Table3[[#This Row],[Quantity (doses)]]/1000,"")</f>
        <v/>
      </c>
      <c r="Y395" s="293" t="str">
        <f>IF(Table3[[#This Row],[Status]]="Ordered",(DATE(YEAR(P395),MONTH(P395),1)),IF(Table3[[#This Row],[Status]]="Received",(DATE(YEAR(Q395),MONTH(Q395),1)),""))</f>
        <v/>
      </c>
      <c r="Z395" s="304" t="str">
        <f t="shared" si="24"/>
        <v/>
      </c>
      <c r="AA395" s="48" t="str">
        <f t="shared" si="25"/>
        <v/>
      </c>
      <c r="AB395" s="48" t="str">
        <f t="shared" si="26"/>
        <v/>
      </c>
      <c r="AC395" s="292" t="str">
        <f t="shared" si="27"/>
        <v/>
      </c>
      <c r="AD395" s="48" t="str">
        <f>IF(Table3[[#This Row],[Actual Arrival date]]&gt;0,IF(Table3[[#This Row],[Expected arrival date]]&gt;0,Table3[[#This Row],[Actual Arrival date]]-Table3[[#This Row],[Expected arrival date]],""),"")</f>
        <v/>
      </c>
    </row>
    <row r="396" spans="1:30" x14ac:dyDescent="0.25">
      <c r="A396" s="303" t="str">
        <f>Start!$D$7</f>
        <v>Anyland</v>
      </c>
      <c r="B396" s="48" t="str">
        <f>_xlfn.IFNA(VLOOKUP(A396,list!B:C,2,FALSE),"")</f>
        <v>ANY</v>
      </c>
      <c r="C396" s="48"/>
      <c r="D396" s="127"/>
      <c r="E396" s="48" t="str">
        <f>_xlfn.IFNA(VLOOKUP(Table3[[#This Row],[Product]], ProductListTbl[], 3, 0), "")</f>
        <v/>
      </c>
      <c r="F396" s="303" t="str">
        <f>_xlfn.IFNA(VLOOKUP(D396,ProductListTbl[],5,0),"")</f>
        <v/>
      </c>
      <c r="G396" s="303" t="str">
        <f>_xlfn.IFNA(VLOOKUP(D396,ProductListTbl[],6,0),"")</f>
        <v/>
      </c>
      <c r="H396" s="130" t="str">
        <f>_xlfn.IFNA(VLOOKUP(D396,ProductListTbl[],7,0),"")</f>
        <v/>
      </c>
      <c r="I396" s="130" t="str">
        <f>_xlfn.IFNA(VLOOKUP(D396,ProductListTbl[],8,0),"")</f>
        <v/>
      </c>
      <c r="J396" s="127"/>
      <c r="K396" s="129"/>
      <c r="L396" s="128"/>
      <c r="M396" s="305" t="str">
        <f>IFERROR(Table3[[#This Row],[Quantity (doses)]]/Table3[[#This Row],[Doses per vial or syringe]],"")</f>
        <v/>
      </c>
      <c r="N396" s="127"/>
      <c r="O396" s="127"/>
      <c r="P396" s="381"/>
      <c r="Q396" s="129"/>
      <c r="R396" s="127"/>
      <c r="S396" s="127"/>
      <c r="T396" s="127"/>
      <c r="U396" s="127"/>
      <c r="V396" s="305" t="str">
        <f>_xlfn.IFNA(VLOOKUP(D396,ProductListTbl[],9,0),"")</f>
        <v/>
      </c>
      <c r="W396" s="305" t="str">
        <f>IFERROR(Table3[[#This Row],[Storage space per secondary packaging (cm3)]]*Table3[[#This Row],[Quantity  (vials or syringes)]]/1000,"")</f>
        <v/>
      </c>
      <c r="X396" s="305" t="str">
        <f>IFERROR(Table3[[#This Row],[Storage space per tertiary packaging (cm3)]]*Table3[[#This Row],[Quantity (doses)]]/1000,"")</f>
        <v/>
      </c>
      <c r="Y396" s="293" t="str">
        <f>IF(Table3[[#This Row],[Status]]="Ordered",(DATE(YEAR(P396),MONTH(P396),1)),IF(Table3[[#This Row],[Status]]="Received",(DATE(YEAR(Q396),MONTH(Q396),1)),""))</f>
        <v/>
      </c>
      <c r="Z396" s="304" t="str">
        <f t="shared" si="24"/>
        <v/>
      </c>
      <c r="AA396" s="48" t="str">
        <f t="shared" si="25"/>
        <v/>
      </c>
      <c r="AB396" s="48" t="str">
        <f t="shared" si="26"/>
        <v/>
      </c>
      <c r="AC396" s="292" t="str">
        <f t="shared" si="27"/>
        <v/>
      </c>
      <c r="AD396" s="48" t="str">
        <f>IF(Table3[[#This Row],[Actual Arrival date]]&gt;0,IF(Table3[[#This Row],[Expected arrival date]]&gt;0,Table3[[#This Row],[Actual Arrival date]]-Table3[[#This Row],[Expected arrival date]],""),"")</f>
        <v/>
      </c>
    </row>
    <row r="397" spans="1:30" x14ac:dyDescent="0.25">
      <c r="A397" s="303" t="str">
        <f>Start!$D$7</f>
        <v>Anyland</v>
      </c>
      <c r="B397" s="48" t="str">
        <f>_xlfn.IFNA(VLOOKUP(A397,list!B:C,2,FALSE),"")</f>
        <v>ANY</v>
      </c>
      <c r="C397" s="48"/>
      <c r="D397" s="127"/>
      <c r="E397" s="48" t="str">
        <f>_xlfn.IFNA(VLOOKUP(Table3[[#This Row],[Product]], ProductListTbl[], 3, 0), "")</f>
        <v/>
      </c>
      <c r="F397" s="303" t="str">
        <f>_xlfn.IFNA(VLOOKUP(D397,ProductListTbl[],5,0),"")</f>
        <v/>
      </c>
      <c r="G397" s="303" t="str">
        <f>_xlfn.IFNA(VLOOKUP(D397,ProductListTbl[],6,0),"")</f>
        <v/>
      </c>
      <c r="H397" s="130" t="str">
        <f>_xlfn.IFNA(VLOOKUP(D397,ProductListTbl[],7,0),"")</f>
        <v/>
      </c>
      <c r="I397" s="130" t="str">
        <f>_xlfn.IFNA(VLOOKUP(D397,ProductListTbl[],8,0),"")</f>
        <v/>
      </c>
      <c r="J397" s="127"/>
      <c r="K397" s="129"/>
      <c r="L397" s="128"/>
      <c r="M397" s="305" t="str">
        <f>IFERROR(Table3[[#This Row],[Quantity (doses)]]/Table3[[#This Row],[Doses per vial or syringe]],"")</f>
        <v/>
      </c>
      <c r="N397" s="127"/>
      <c r="O397" s="127"/>
      <c r="P397" s="381"/>
      <c r="Q397" s="129"/>
      <c r="R397" s="127"/>
      <c r="S397" s="127"/>
      <c r="T397" s="127"/>
      <c r="U397" s="127"/>
      <c r="V397" s="305" t="str">
        <f>_xlfn.IFNA(VLOOKUP(D397,ProductListTbl[],9,0),"")</f>
        <v/>
      </c>
      <c r="W397" s="305" t="str">
        <f>IFERROR(Table3[[#This Row],[Storage space per secondary packaging (cm3)]]*Table3[[#This Row],[Quantity  (vials or syringes)]]/1000,"")</f>
        <v/>
      </c>
      <c r="X397" s="305" t="str">
        <f>IFERROR(Table3[[#This Row],[Storage space per tertiary packaging (cm3)]]*Table3[[#This Row],[Quantity (doses)]]/1000,"")</f>
        <v/>
      </c>
      <c r="Y397" s="293" t="str">
        <f>IF(Table3[[#This Row],[Status]]="Ordered",(DATE(YEAR(P397),MONTH(P397),1)),IF(Table3[[#This Row],[Status]]="Received",(DATE(YEAR(Q397),MONTH(Q397),1)),""))</f>
        <v/>
      </c>
      <c r="Z397" s="304" t="str">
        <f t="shared" si="24"/>
        <v/>
      </c>
      <c r="AA397" s="48" t="str">
        <f t="shared" si="25"/>
        <v/>
      </c>
      <c r="AB397" s="48" t="str">
        <f t="shared" si="26"/>
        <v/>
      </c>
      <c r="AC397" s="292" t="str">
        <f t="shared" si="27"/>
        <v/>
      </c>
      <c r="AD397" s="48" t="str">
        <f>IF(Table3[[#This Row],[Actual Arrival date]]&gt;0,IF(Table3[[#This Row],[Expected arrival date]]&gt;0,Table3[[#This Row],[Actual Arrival date]]-Table3[[#This Row],[Expected arrival date]],""),"")</f>
        <v/>
      </c>
    </row>
    <row r="398" spans="1:30" x14ac:dyDescent="0.25">
      <c r="A398" s="303" t="str">
        <f>Start!$D$7</f>
        <v>Anyland</v>
      </c>
      <c r="B398" s="48" t="str">
        <f>_xlfn.IFNA(VLOOKUP(A398,list!B:C,2,FALSE),"")</f>
        <v>ANY</v>
      </c>
      <c r="C398" s="48"/>
      <c r="D398" s="127"/>
      <c r="E398" s="48" t="str">
        <f>_xlfn.IFNA(VLOOKUP(Table3[[#This Row],[Product]], ProductListTbl[], 3, 0), "")</f>
        <v/>
      </c>
      <c r="F398" s="303" t="str">
        <f>_xlfn.IFNA(VLOOKUP(D398,ProductListTbl[],5,0),"")</f>
        <v/>
      </c>
      <c r="G398" s="303" t="str">
        <f>_xlfn.IFNA(VLOOKUP(D398,ProductListTbl[],6,0),"")</f>
        <v/>
      </c>
      <c r="H398" s="130" t="str">
        <f>_xlfn.IFNA(VLOOKUP(D398,ProductListTbl[],7,0),"")</f>
        <v/>
      </c>
      <c r="I398" s="130" t="str">
        <f>_xlfn.IFNA(VLOOKUP(D398,ProductListTbl[],8,0),"")</f>
        <v/>
      </c>
      <c r="J398" s="127"/>
      <c r="K398" s="129"/>
      <c r="L398" s="128"/>
      <c r="M398" s="305" t="str">
        <f>IFERROR(Table3[[#This Row],[Quantity (doses)]]/Table3[[#This Row],[Doses per vial or syringe]],"")</f>
        <v/>
      </c>
      <c r="N398" s="127"/>
      <c r="O398" s="127"/>
      <c r="P398" s="381"/>
      <c r="Q398" s="129"/>
      <c r="R398" s="127"/>
      <c r="S398" s="127"/>
      <c r="T398" s="127"/>
      <c r="U398" s="127"/>
      <c r="V398" s="305" t="str">
        <f>_xlfn.IFNA(VLOOKUP(D398,ProductListTbl[],9,0),"")</f>
        <v/>
      </c>
      <c r="W398" s="305" t="str">
        <f>IFERROR(Table3[[#This Row],[Storage space per secondary packaging (cm3)]]*Table3[[#This Row],[Quantity  (vials or syringes)]]/1000,"")</f>
        <v/>
      </c>
      <c r="X398" s="305" t="str">
        <f>IFERROR(Table3[[#This Row],[Storage space per tertiary packaging (cm3)]]*Table3[[#This Row],[Quantity (doses)]]/1000,"")</f>
        <v/>
      </c>
      <c r="Y398" s="293" t="str">
        <f>IF(Table3[[#This Row],[Status]]="Ordered",(DATE(YEAR(P398),MONTH(P398),1)),IF(Table3[[#This Row],[Status]]="Received",(DATE(YEAR(Q398),MONTH(Q398),1)),""))</f>
        <v/>
      </c>
      <c r="Z398" s="304" t="str">
        <f t="shared" si="24"/>
        <v/>
      </c>
      <c r="AA398" s="48" t="str">
        <f t="shared" si="25"/>
        <v/>
      </c>
      <c r="AB398" s="48" t="str">
        <f t="shared" si="26"/>
        <v/>
      </c>
      <c r="AC398" s="292" t="str">
        <f t="shared" si="27"/>
        <v/>
      </c>
      <c r="AD398" s="48" t="str">
        <f>IF(Table3[[#This Row],[Actual Arrival date]]&gt;0,IF(Table3[[#This Row],[Expected arrival date]]&gt;0,Table3[[#This Row],[Actual Arrival date]]-Table3[[#This Row],[Expected arrival date]],""),"")</f>
        <v/>
      </c>
    </row>
    <row r="399" spans="1:30" x14ac:dyDescent="0.25">
      <c r="A399" s="303" t="str">
        <f>Start!$D$7</f>
        <v>Anyland</v>
      </c>
      <c r="B399" s="48" t="str">
        <f>_xlfn.IFNA(VLOOKUP(A399,list!B:C,2,FALSE),"")</f>
        <v>ANY</v>
      </c>
      <c r="C399" s="48"/>
      <c r="D399" s="127"/>
      <c r="E399" s="48" t="str">
        <f>_xlfn.IFNA(VLOOKUP(Table3[[#This Row],[Product]], ProductListTbl[], 3, 0), "")</f>
        <v/>
      </c>
      <c r="F399" s="303" t="str">
        <f>_xlfn.IFNA(VLOOKUP(D399,ProductListTbl[],5,0),"")</f>
        <v/>
      </c>
      <c r="G399" s="303" t="str">
        <f>_xlfn.IFNA(VLOOKUP(D399,ProductListTbl[],6,0),"")</f>
        <v/>
      </c>
      <c r="H399" s="130" t="str">
        <f>_xlfn.IFNA(VLOOKUP(D399,ProductListTbl[],7,0),"")</f>
        <v/>
      </c>
      <c r="I399" s="130" t="str">
        <f>_xlfn.IFNA(VLOOKUP(D399,ProductListTbl[],8,0),"")</f>
        <v/>
      </c>
      <c r="J399" s="127"/>
      <c r="K399" s="129"/>
      <c r="L399" s="128"/>
      <c r="M399" s="305" t="str">
        <f>IFERROR(Table3[[#This Row],[Quantity (doses)]]/Table3[[#This Row],[Doses per vial or syringe]],"")</f>
        <v/>
      </c>
      <c r="N399" s="127"/>
      <c r="O399" s="127"/>
      <c r="P399" s="381"/>
      <c r="Q399" s="129"/>
      <c r="R399" s="127"/>
      <c r="S399" s="127"/>
      <c r="T399" s="127"/>
      <c r="U399" s="127"/>
      <c r="V399" s="305" t="str">
        <f>_xlfn.IFNA(VLOOKUP(D399,ProductListTbl[],9,0),"")</f>
        <v/>
      </c>
      <c r="W399" s="305" t="str">
        <f>IFERROR(Table3[[#This Row],[Storage space per secondary packaging (cm3)]]*Table3[[#This Row],[Quantity  (vials or syringes)]]/1000,"")</f>
        <v/>
      </c>
      <c r="X399" s="305" t="str">
        <f>IFERROR(Table3[[#This Row],[Storage space per tertiary packaging (cm3)]]*Table3[[#This Row],[Quantity (doses)]]/1000,"")</f>
        <v/>
      </c>
      <c r="Y399" s="293" t="str">
        <f>IF(Table3[[#This Row],[Status]]="Ordered",(DATE(YEAR(P399),MONTH(P399),1)),IF(Table3[[#This Row],[Status]]="Received",(DATE(YEAR(Q399),MONTH(Q399),1)),""))</f>
        <v/>
      </c>
      <c r="Z399" s="304" t="str">
        <f t="shared" si="24"/>
        <v/>
      </c>
      <c r="AA399" s="48" t="str">
        <f t="shared" si="25"/>
        <v/>
      </c>
      <c r="AB399" s="48" t="str">
        <f t="shared" si="26"/>
        <v/>
      </c>
      <c r="AC399" s="292" t="str">
        <f t="shared" si="27"/>
        <v/>
      </c>
      <c r="AD399" s="48" t="str">
        <f>IF(Table3[[#This Row],[Actual Arrival date]]&gt;0,IF(Table3[[#This Row],[Expected arrival date]]&gt;0,Table3[[#This Row],[Actual Arrival date]]-Table3[[#This Row],[Expected arrival date]],""),"")</f>
        <v/>
      </c>
    </row>
    <row r="400" spans="1:30" x14ac:dyDescent="0.25">
      <c r="A400" s="303" t="str">
        <f>Start!$D$7</f>
        <v>Anyland</v>
      </c>
      <c r="B400" s="48" t="str">
        <f>_xlfn.IFNA(VLOOKUP(A400,list!B:C,2,FALSE),"")</f>
        <v>ANY</v>
      </c>
      <c r="C400" s="48"/>
      <c r="D400" s="127"/>
      <c r="E400" s="48" t="str">
        <f>_xlfn.IFNA(VLOOKUP(Table3[[#This Row],[Product]], ProductListTbl[], 3, 0), "")</f>
        <v/>
      </c>
      <c r="F400" s="303" t="str">
        <f>_xlfn.IFNA(VLOOKUP(D400,ProductListTbl[],5,0),"")</f>
        <v/>
      </c>
      <c r="G400" s="303" t="str">
        <f>_xlfn.IFNA(VLOOKUP(D400,ProductListTbl[],6,0),"")</f>
        <v/>
      </c>
      <c r="H400" s="130" t="str">
        <f>_xlfn.IFNA(VLOOKUP(D400,ProductListTbl[],7,0),"")</f>
        <v/>
      </c>
      <c r="I400" s="130" t="str">
        <f>_xlfn.IFNA(VLOOKUP(D400,ProductListTbl[],8,0),"")</f>
        <v/>
      </c>
      <c r="J400" s="127"/>
      <c r="K400" s="129"/>
      <c r="L400" s="128"/>
      <c r="M400" s="305" t="str">
        <f>IFERROR(Table3[[#This Row],[Quantity (doses)]]/Table3[[#This Row],[Doses per vial or syringe]],"")</f>
        <v/>
      </c>
      <c r="N400" s="127"/>
      <c r="O400" s="127"/>
      <c r="P400" s="381"/>
      <c r="Q400" s="129"/>
      <c r="R400" s="127"/>
      <c r="S400" s="127"/>
      <c r="T400" s="127"/>
      <c r="U400" s="127"/>
      <c r="V400" s="305" t="str">
        <f>_xlfn.IFNA(VLOOKUP(D400,ProductListTbl[],9,0),"")</f>
        <v/>
      </c>
      <c r="W400" s="305" t="str">
        <f>IFERROR(Table3[[#This Row],[Storage space per secondary packaging (cm3)]]*Table3[[#This Row],[Quantity  (vials or syringes)]]/1000,"")</f>
        <v/>
      </c>
      <c r="X400" s="305" t="str">
        <f>IFERROR(Table3[[#This Row],[Storage space per tertiary packaging (cm3)]]*Table3[[#This Row],[Quantity (doses)]]/1000,"")</f>
        <v/>
      </c>
      <c r="Y400" s="293" t="str">
        <f>IF(Table3[[#This Row],[Status]]="Ordered",(DATE(YEAR(P400),MONTH(P400),1)),IF(Table3[[#This Row],[Status]]="Received",(DATE(YEAR(Q400),MONTH(Q400),1)),""))</f>
        <v/>
      </c>
      <c r="Z400" s="304" t="str">
        <f t="shared" si="24"/>
        <v/>
      </c>
      <c r="AA400" s="48" t="str">
        <f t="shared" si="25"/>
        <v/>
      </c>
      <c r="AB400" s="48" t="str">
        <f t="shared" si="26"/>
        <v/>
      </c>
      <c r="AC400" s="292" t="str">
        <f t="shared" si="27"/>
        <v/>
      </c>
      <c r="AD400" s="48" t="str">
        <f>IF(Table3[[#This Row],[Actual Arrival date]]&gt;0,IF(Table3[[#This Row],[Expected arrival date]]&gt;0,Table3[[#This Row],[Actual Arrival date]]-Table3[[#This Row],[Expected arrival date]],""),"")</f>
        <v/>
      </c>
    </row>
    <row r="401" spans="1:30" x14ac:dyDescent="0.25">
      <c r="A401" s="303" t="str">
        <f>Start!$D$7</f>
        <v>Anyland</v>
      </c>
      <c r="B401" s="48" t="str">
        <f>_xlfn.IFNA(VLOOKUP(A401,list!B:C,2,FALSE),"")</f>
        <v>ANY</v>
      </c>
      <c r="C401" s="48"/>
      <c r="D401" s="127"/>
      <c r="E401" s="48" t="str">
        <f>_xlfn.IFNA(VLOOKUP(Table3[[#This Row],[Product]], ProductListTbl[], 3, 0), "")</f>
        <v/>
      </c>
      <c r="F401" s="303" t="str">
        <f>_xlfn.IFNA(VLOOKUP(D401,ProductListTbl[],5,0),"")</f>
        <v/>
      </c>
      <c r="G401" s="303" t="str">
        <f>_xlfn.IFNA(VLOOKUP(D401,ProductListTbl[],6,0),"")</f>
        <v/>
      </c>
      <c r="H401" s="130" t="str">
        <f>_xlfn.IFNA(VLOOKUP(D401,ProductListTbl[],7,0),"")</f>
        <v/>
      </c>
      <c r="I401" s="130" t="str">
        <f>_xlfn.IFNA(VLOOKUP(D401,ProductListTbl[],8,0),"")</f>
        <v/>
      </c>
      <c r="J401" s="127"/>
      <c r="K401" s="129"/>
      <c r="L401" s="128"/>
      <c r="M401" s="305" t="str">
        <f>IFERROR(Table3[[#This Row],[Quantity (doses)]]/Table3[[#This Row],[Doses per vial or syringe]],"")</f>
        <v/>
      </c>
      <c r="N401" s="127"/>
      <c r="O401" s="127"/>
      <c r="P401" s="381"/>
      <c r="Q401" s="129"/>
      <c r="R401" s="127"/>
      <c r="S401" s="127"/>
      <c r="T401" s="127"/>
      <c r="U401" s="127"/>
      <c r="V401" s="305" t="str">
        <f>_xlfn.IFNA(VLOOKUP(D401,ProductListTbl[],9,0),"")</f>
        <v/>
      </c>
      <c r="W401" s="305" t="str">
        <f>IFERROR(Table3[[#This Row],[Storage space per secondary packaging (cm3)]]*Table3[[#This Row],[Quantity  (vials or syringes)]]/1000,"")</f>
        <v/>
      </c>
      <c r="X401" s="305" t="str">
        <f>IFERROR(Table3[[#This Row],[Storage space per tertiary packaging (cm3)]]*Table3[[#This Row],[Quantity (doses)]]/1000,"")</f>
        <v/>
      </c>
      <c r="Y401" s="293" t="str">
        <f>IF(Table3[[#This Row],[Status]]="Ordered",(DATE(YEAR(P401),MONTH(P401),1)),IF(Table3[[#This Row],[Status]]="Received",(DATE(YEAR(Q401),MONTH(Q401),1)),""))</f>
        <v/>
      </c>
      <c r="Z401" s="304" t="str">
        <f t="shared" si="24"/>
        <v/>
      </c>
      <c r="AA401" s="48" t="str">
        <f t="shared" si="25"/>
        <v/>
      </c>
      <c r="AB401" s="48" t="str">
        <f t="shared" si="26"/>
        <v/>
      </c>
      <c r="AC401" s="292" t="str">
        <f t="shared" si="27"/>
        <v/>
      </c>
      <c r="AD401" s="48" t="str">
        <f>IF(Table3[[#This Row],[Actual Arrival date]]&gt;0,IF(Table3[[#This Row],[Expected arrival date]]&gt;0,Table3[[#This Row],[Actual Arrival date]]-Table3[[#This Row],[Expected arrival date]],""),"")</f>
        <v/>
      </c>
    </row>
    <row r="402" spans="1:30" x14ac:dyDescent="0.25">
      <c r="A402" s="303" t="str">
        <f>Start!$D$7</f>
        <v>Anyland</v>
      </c>
      <c r="B402" s="48" t="str">
        <f>_xlfn.IFNA(VLOOKUP(A402,list!B:C,2,FALSE),"")</f>
        <v>ANY</v>
      </c>
      <c r="C402" s="48"/>
      <c r="D402" s="127"/>
      <c r="E402" s="48" t="str">
        <f>_xlfn.IFNA(VLOOKUP(Table3[[#This Row],[Product]], ProductListTbl[], 3, 0), "")</f>
        <v/>
      </c>
      <c r="F402" s="303" t="str">
        <f>_xlfn.IFNA(VLOOKUP(D402,ProductListTbl[],5,0),"")</f>
        <v/>
      </c>
      <c r="G402" s="303" t="str">
        <f>_xlfn.IFNA(VLOOKUP(D402,ProductListTbl[],6,0),"")</f>
        <v/>
      </c>
      <c r="H402" s="130" t="str">
        <f>_xlfn.IFNA(VLOOKUP(D402,ProductListTbl[],7,0),"")</f>
        <v/>
      </c>
      <c r="I402" s="130" t="str">
        <f>_xlfn.IFNA(VLOOKUP(D402,ProductListTbl[],8,0),"")</f>
        <v/>
      </c>
      <c r="J402" s="127"/>
      <c r="K402" s="129"/>
      <c r="L402" s="128"/>
      <c r="M402" s="305" t="str">
        <f>IFERROR(Table3[[#This Row],[Quantity (doses)]]/Table3[[#This Row],[Doses per vial or syringe]],"")</f>
        <v/>
      </c>
      <c r="N402" s="127"/>
      <c r="O402" s="127"/>
      <c r="P402" s="381"/>
      <c r="Q402" s="129"/>
      <c r="R402" s="127"/>
      <c r="S402" s="127"/>
      <c r="T402" s="127"/>
      <c r="U402" s="127"/>
      <c r="V402" s="305" t="str">
        <f>_xlfn.IFNA(VLOOKUP(D402,ProductListTbl[],9,0),"")</f>
        <v/>
      </c>
      <c r="W402" s="305" t="str">
        <f>IFERROR(Table3[[#This Row],[Storage space per secondary packaging (cm3)]]*Table3[[#This Row],[Quantity  (vials or syringes)]]/1000,"")</f>
        <v/>
      </c>
      <c r="X402" s="305" t="str">
        <f>IFERROR(Table3[[#This Row],[Storage space per tertiary packaging (cm3)]]*Table3[[#This Row],[Quantity (doses)]]/1000,"")</f>
        <v/>
      </c>
      <c r="Y402" s="293" t="str">
        <f>IF(Table3[[#This Row],[Status]]="Ordered",(DATE(YEAR(P402),MONTH(P402),1)),IF(Table3[[#This Row],[Status]]="Received",(DATE(YEAR(Q402),MONTH(Q402),1)),""))</f>
        <v/>
      </c>
      <c r="Z402" s="304" t="str">
        <f t="shared" si="24"/>
        <v/>
      </c>
      <c r="AA402" s="48" t="str">
        <f t="shared" si="25"/>
        <v/>
      </c>
      <c r="AB402" s="48" t="str">
        <f t="shared" si="26"/>
        <v/>
      </c>
      <c r="AC402" s="292" t="str">
        <f t="shared" si="27"/>
        <v/>
      </c>
      <c r="AD402" s="48" t="str">
        <f>IF(Table3[[#This Row],[Actual Arrival date]]&gt;0,IF(Table3[[#This Row],[Expected arrival date]]&gt;0,Table3[[#This Row],[Actual Arrival date]]-Table3[[#This Row],[Expected arrival date]],""),"")</f>
        <v/>
      </c>
    </row>
    <row r="403" spans="1:30" x14ac:dyDescent="0.25">
      <c r="A403" s="303" t="str">
        <f>Start!$D$7</f>
        <v>Anyland</v>
      </c>
      <c r="B403" s="48" t="str">
        <f>_xlfn.IFNA(VLOOKUP(A403,list!B:C,2,FALSE),"")</f>
        <v>ANY</v>
      </c>
      <c r="C403" s="48"/>
      <c r="D403" s="127"/>
      <c r="E403" s="48" t="str">
        <f>_xlfn.IFNA(VLOOKUP(Table3[[#This Row],[Product]], ProductListTbl[], 3, 0), "")</f>
        <v/>
      </c>
      <c r="F403" s="303" t="str">
        <f>_xlfn.IFNA(VLOOKUP(D403,ProductListTbl[],5,0),"")</f>
        <v/>
      </c>
      <c r="G403" s="303" t="str">
        <f>_xlfn.IFNA(VLOOKUP(D403,ProductListTbl[],6,0),"")</f>
        <v/>
      </c>
      <c r="H403" s="130" t="str">
        <f>_xlfn.IFNA(VLOOKUP(D403,ProductListTbl[],7,0),"")</f>
        <v/>
      </c>
      <c r="I403" s="130" t="str">
        <f>_xlfn.IFNA(VLOOKUP(D403,ProductListTbl[],8,0),"")</f>
        <v/>
      </c>
      <c r="J403" s="127"/>
      <c r="K403" s="129"/>
      <c r="L403" s="128"/>
      <c r="M403" s="305" t="str">
        <f>IFERROR(Table3[[#This Row],[Quantity (doses)]]/Table3[[#This Row],[Doses per vial or syringe]],"")</f>
        <v/>
      </c>
      <c r="N403" s="127"/>
      <c r="O403" s="127"/>
      <c r="P403" s="381"/>
      <c r="Q403" s="129"/>
      <c r="R403" s="127"/>
      <c r="S403" s="127"/>
      <c r="T403" s="127"/>
      <c r="U403" s="127"/>
      <c r="V403" s="305" t="str">
        <f>_xlfn.IFNA(VLOOKUP(D403,ProductListTbl[],9,0),"")</f>
        <v/>
      </c>
      <c r="W403" s="305" t="str">
        <f>IFERROR(Table3[[#This Row],[Storage space per secondary packaging (cm3)]]*Table3[[#This Row],[Quantity  (vials or syringes)]]/1000,"")</f>
        <v/>
      </c>
      <c r="X403" s="305" t="str">
        <f>IFERROR(Table3[[#This Row],[Storage space per tertiary packaging (cm3)]]*Table3[[#This Row],[Quantity (doses)]]/1000,"")</f>
        <v/>
      </c>
      <c r="Y403" s="293" t="str">
        <f>IF(Table3[[#This Row],[Status]]="Ordered",(DATE(YEAR(P403),MONTH(P403),1)),IF(Table3[[#This Row],[Status]]="Received",(DATE(YEAR(Q403),MONTH(Q403),1)),""))</f>
        <v/>
      </c>
      <c r="Z403" s="304" t="str">
        <f t="shared" si="24"/>
        <v/>
      </c>
      <c r="AA403" s="48" t="str">
        <f t="shared" si="25"/>
        <v/>
      </c>
      <c r="AB403" s="48" t="str">
        <f t="shared" si="26"/>
        <v/>
      </c>
      <c r="AC403" s="292" t="str">
        <f t="shared" si="27"/>
        <v/>
      </c>
      <c r="AD403" s="48" t="str">
        <f>IF(Table3[[#This Row],[Actual Arrival date]]&gt;0,IF(Table3[[#This Row],[Expected arrival date]]&gt;0,Table3[[#This Row],[Actual Arrival date]]-Table3[[#This Row],[Expected arrival date]],""),"")</f>
        <v/>
      </c>
    </row>
    <row r="404" spans="1:30" x14ac:dyDescent="0.25">
      <c r="A404" s="303" t="str">
        <f>Start!$D$7</f>
        <v>Anyland</v>
      </c>
      <c r="B404" s="48" t="str">
        <f>_xlfn.IFNA(VLOOKUP(A404,list!B:C,2,FALSE),"")</f>
        <v>ANY</v>
      </c>
      <c r="C404" s="48"/>
      <c r="D404" s="127"/>
      <c r="E404" s="48" t="str">
        <f>_xlfn.IFNA(VLOOKUP(Table3[[#This Row],[Product]], ProductListTbl[], 3, 0), "")</f>
        <v/>
      </c>
      <c r="F404" s="303" t="str">
        <f>_xlfn.IFNA(VLOOKUP(D404,ProductListTbl[],5,0),"")</f>
        <v/>
      </c>
      <c r="G404" s="303" t="str">
        <f>_xlfn.IFNA(VLOOKUP(D404,ProductListTbl[],6,0),"")</f>
        <v/>
      </c>
      <c r="H404" s="130" t="str">
        <f>_xlfn.IFNA(VLOOKUP(D404,ProductListTbl[],7,0),"")</f>
        <v/>
      </c>
      <c r="I404" s="130" t="str">
        <f>_xlfn.IFNA(VLOOKUP(D404,ProductListTbl[],8,0),"")</f>
        <v/>
      </c>
      <c r="J404" s="127"/>
      <c r="K404" s="129"/>
      <c r="L404" s="128"/>
      <c r="M404" s="305" t="str">
        <f>IFERROR(Table3[[#This Row],[Quantity (doses)]]/Table3[[#This Row],[Doses per vial or syringe]],"")</f>
        <v/>
      </c>
      <c r="N404" s="127"/>
      <c r="O404" s="127"/>
      <c r="P404" s="381"/>
      <c r="Q404" s="129"/>
      <c r="R404" s="127"/>
      <c r="S404" s="127"/>
      <c r="T404" s="127"/>
      <c r="U404" s="127"/>
      <c r="V404" s="305" t="str">
        <f>_xlfn.IFNA(VLOOKUP(D404,ProductListTbl[],9,0),"")</f>
        <v/>
      </c>
      <c r="W404" s="305" t="str">
        <f>IFERROR(Table3[[#This Row],[Storage space per secondary packaging (cm3)]]*Table3[[#This Row],[Quantity  (vials or syringes)]]/1000,"")</f>
        <v/>
      </c>
      <c r="X404" s="305" t="str">
        <f>IFERROR(Table3[[#This Row],[Storage space per tertiary packaging (cm3)]]*Table3[[#This Row],[Quantity (doses)]]/1000,"")</f>
        <v/>
      </c>
      <c r="Y404" s="293" t="str">
        <f>IF(Table3[[#This Row],[Status]]="Ordered",(DATE(YEAR(P404),MONTH(P404),1)),IF(Table3[[#This Row],[Status]]="Received",(DATE(YEAR(Q404),MONTH(Q404),1)),""))</f>
        <v/>
      </c>
      <c r="Z404" s="304" t="str">
        <f t="shared" si="24"/>
        <v/>
      </c>
      <c r="AA404" s="48" t="str">
        <f t="shared" si="25"/>
        <v/>
      </c>
      <c r="AB404" s="48" t="str">
        <f t="shared" si="26"/>
        <v/>
      </c>
      <c r="AC404" s="292" t="str">
        <f t="shared" si="27"/>
        <v/>
      </c>
      <c r="AD404" s="48" t="str">
        <f>IF(Table3[[#This Row],[Actual Arrival date]]&gt;0,IF(Table3[[#This Row],[Expected arrival date]]&gt;0,Table3[[#This Row],[Actual Arrival date]]-Table3[[#This Row],[Expected arrival date]],""),"")</f>
        <v/>
      </c>
    </row>
    <row r="405" spans="1:30" x14ac:dyDescent="0.25">
      <c r="A405" s="303" t="str">
        <f>Start!$D$7</f>
        <v>Anyland</v>
      </c>
      <c r="B405" s="48" t="str">
        <f>_xlfn.IFNA(VLOOKUP(A405,list!B:C,2,FALSE),"")</f>
        <v>ANY</v>
      </c>
      <c r="C405" s="48"/>
      <c r="D405" s="127"/>
      <c r="E405" s="48" t="str">
        <f>_xlfn.IFNA(VLOOKUP(Table3[[#This Row],[Product]], ProductListTbl[], 3, 0), "")</f>
        <v/>
      </c>
      <c r="F405" s="303" t="str">
        <f>_xlfn.IFNA(VLOOKUP(D405,ProductListTbl[],5,0),"")</f>
        <v/>
      </c>
      <c r="G405" s="303" t="str">
        <f>_xlfn.IFNA(VLOOKUP(D405,ProductListTbl[],6,0),"")</f>
        <v/>
      </c>
      <c r="H405" s="130" t="str">
        <f>_xlfn.IFNA(VLOOKUP(D405,ProductListTbl[],7,0),"")</f>
        <v/>
      </c>
      <c r="I405" s="130" t="str">
        <f>_xlfn.IFNA(VLOOKUP(D405,ProductListTbl[],8,0),"")</f>
        <v/>
      </c>
      <c r="J405" s="127"/>
      <c r="K405" s="129"/>
      <c r="L405" s="128"/>
      <c r="M405" s="305" t="str">
        <f>IFERROR(Table3[[#This Row],[Quantity (doses)]]/Table3[[#This Row],[Doses per vial or syringe]],"")</f>
        <v/>
      </c>
      <c r="N405" s="127"/>
      <c r="O405" s="127"/>
      <c r="P405" s="381"/>
      <c r="Q405" s="129"/>
      <c r="R405" s="127"/>
      <c r="S405" s="127"/>
      <c r="T405" s="127"/>
      <c r="U405" s="127"/>
      <c r="V405" s="305" t="str">
        <f>_xlfn.IFNA(VLOOKUP(D405,ProductListTbl[],9,0),"")</f>
        <v/>
      </c>
      <c r="W405" s="305" t="str">
        <f>IFERROR(Table3[[#This Row],[Storage space per secondary packaging (cm3)]]*Table3[[#This Row],[Quantity  (vials or syringes)]]/1000,"")</f>
        <v/>
      </c>
      <c r="X405" s="305" t="str">
        <f>IFERROR(Table3[[#This Row],[Storage space per tertiary packaging (cm3)]]*Table3[[#This Row],[Quantity (doses)]]/1000,"")</f>
        <v/>
      </c>
      <c r="Y405" s="293" t="str">
        <f>IF(Table3[[#This Row],[Status]]="Ordered",(DATE(YEAR(P405),MONTH(P405),1)),IF(Table3[[#This Row],[Status]]="Received",(DATE(YEAR(Q405),MONTH(Q405),1)),""))</f>
        <v/>
      </c>
      <c r="Z405" s="304" t="str">
        <f t="shared" si="24"/>
        <v/>
      </c>
      <c r="AA405" s="48" t="str">
        <f t="shared" si="25"/>
        <v/>
      </c>
      <c r="AB405" s="48" t="str">
        <f t="shared" si="26"/>
        <v/>
      </c>
      <c r="AC405" s="292" t="str">
        <f t="shared" si="27"/>
        <v/>
      </c>
      <c r="AD405" s="48" t="str">
        <f>IF(Table3[[#This Row],[Actual Arrival date]]&gt;0,IF(Table3[[#This Row],[Expected arrival date]]&gt;0,Table3[[#This Row],[Actual Arrival date]]-Table3[[#This Row],[Expected arrival date]],""),"")</f>
        <v/>
      </c>
    </row>
    <row r="406" spans="1:30" x14ac:dyDescent="0.25">
      <c r="A406" s="303" t="str">
        <f>Start!$D$7</f>
        <v>Anyland</v>
      </c>
      <c r="B406" s="48" t="str">
        <f>_xlfn.IFNA(VLOOKUP(A406,list!B:C,2,FALSE),"")</f>
        <v>ANY</v>
      </c>
      <c r="C406" s="48"/>
      <c r="D406" s="127"/>
      <c r="E406" s="48" t="str">
        <f>_xlfn.IFNA(VLOOKUP(Table3[[#This Row],[Product]], ProductListTbl[], 3, 0), "")</f>
        <v/>
      </c>
      <c r="F406" s="303" t="str">
        <f>_xlfn.IFNA(VLOOKUP(D406,ProductListTbl[],5,0),"")</f>
        <v/>
      </c>
      <c r="G406" s="303" t="str">
        <f>_xlfn.IFNA(VLOOKUP(D406,ProductListTbl[],6,0),"")</f>
        <v/>
      </c>
      <c r="H406" s="130" t="str">
        <f>_xlfn.IFNA(VLOOKUP(D406,ProductListTbl[],7,0),"")</f>
        <v/>
      </c>
      <c r="I406" s="130" t="str">
        <f>_xlfn.IFNA(VLOOKUP(D406,ProductListTbl[],8,0),"")</f>
        <v/>
      </c>
      <c r="J406" s="127"/>
      <c r="K406" s="129"/>
      <c r="L406" s="128"/>
      <c r="M406" s="305" t="str">
        <f>IFERROR(Table3[[#This Row],[Quantity (doses)]]/Table3[[#This Row],[Doses per vial or syringe]],"")</f>
        <v/>
      </c>
      <c r="N406" s="127"/>
      <c r="O406" s="127"/>
      <c r="P406" s="381"/>
      <c r="Q406" s="129"/>
      <c r="R406" s="127"/>
      <c r="S406" s="127"/>
      <c r="T406" s="127"/>
      <c r="U406" s="127"/>
      <c r="V406" s="305" t="str">
        <f>_xlfn.IFNA(VLOOKUP(D406,ProductListTbl[],9,0),"")</f>
        <v/>
      </c>
      <c r="W406" s="305" t="str">
        <f>IFERROR(Table3[[#This Row],[Storage space per secondary packaging (cm3)]]*Table3[[#This Row],[Quantity  (vials or syringes)]]/1000,"")</f>
        <v/>
      </c>
      <c r="X406" s="305" t="str">
        <f>IFERROR(Table3[[#This Row],[Storage space per tertiary packaging (cm3)]]*Table3[[#This Row],[Quantity (doses)]]/1000,"")</f>
        <v/>
      </c>
      <c r="Y406" s="293" t="str">
        <f>IF(Table3[[#This Row],[Status]]="Ordered",(DATE(YEAR(P406),MONTH(P406),1)),IF(Table3[[#This Row],[Status]]="Received",(DATE(YEAR(Q406),MONTH(Q406),1)),""))</f>
        <v/>
      </c>
      <c r="Z406" s="304" t="str">
        <f t="shared" si="24"/>
        <v/>
      </c>
      <c r="AA406" s="48" t="str">
        <f t="shared" si="25"/>
        <v/>
      </c>
      <c r="AB406" s="48" t="str">
        <f t="shared" si="26"/>
        <v/>
      </c>
      <c r="AC406" s="292" t="str">
        <f t="shared" si="27"/>
        <v/>
      </c>
      <c r="AD406" s="48" t="str">
        <f>IF(Table3[[#This Row],[Actual Arrival date]]&gt;0,IF(Table3[[#This Row],[Expected arrival date]]&gt;0,Table3[[#This Row],[Actual Arrival date]]-Table3[[#This Row],[Expected arrival date]],""),"")</f>
        <v/>
      </c>
    </row>
    <row r="407" spans="1:30" x14ac:dyDescent="0.25">
      <c r="A407" s="303" t="str">
        <f>Start!$D$7</f>
        <v>Anyland</v>
      </c>
      <c r="B407" s="48" t="str">
        <f>_xlfn.IFNA(VLOOKUP(A407,list!B:C,2,FALSE),"")</f>
        <v>ANY</v>
      </c>
      <c r="C407" s="48"/>
      <c r="D407" s="127"/>
      <c r="E407" s="48" t="str">
        <f>_xlfn.IFNA(VLOOKUP(Table3[[#This Row],[Product]], ProductListTbl[], 3, 0), "")</f>
        <v/>
      </c>
      <c r="F407" s="303" t="str">
        <f>_xlfn.IFNA(VLOOKUP(D407,ProductListTbl[],5,0),"")</f>
        <v/>
      </c>
      <c r="G407" s="303" t="str">
        <f>_xlfn.IFNA(VLOOKUP(D407,ProductListTbl[],6,0),"")</f>
        <v/>
      </c>
      <c r="H407" s="130" t="str">
        <f>_xlfn.IFNA(VLOOKUP(D407,ProductListTbl[],7,0),"")</f>
        <v/>
      </c>
      <c r="I407" s="130" t="str">
        <f>_xlfn.IFNA(VLOOKUP(D407,ProductListTbl[],8,0),"")</f>
        <v/>
      </c>
      <c r="J407" s="127"/>
      <c r="K407" s="129"/>
      <c r="L407" s="128"/>
      <c r="M407" s="305" t="str">
        <f>IFERROR(Table3[[#This Row],[Quantity (doses)]]/Table3[[#This Row],[Doses per vial or syringe]],"")</f>
        <v/>
      </c>
      <c r="N407" s="127"/>
      <c r="O407" s="127"/>
      <c r="P407" s="381"/>
      <c r="Q407" s="129"/>
      <c r="R407" s="127"/>
      <c r="S407" s="127"/>
      <c r="T407" s="127"/>
      <c r="U407" s="127"/>
      <c r="V407" s="305" t="str">
        <f>_xlfn.IFNA(VLOOKUP(D407,ProductListTbl[],9,0),"")</f>
        <v/>
      </c>
      <c r="W407" s="305" t="str">
        <f>IFERROR(Table3[[#This Row],[Storage space per secondary packaging (cm3)]]*Table3[[#This Row],[Quantity  (vials or syringes)]]/1000,"")</f>
        <v/>
      </c>
      <c r="X407" s="305" t="str">
        <f>IFERROR(Table3[[#This Row],[Storage space per tertiary packaging (cm3)]]*Table3[[#This Row],[Quantity (doses)]]/1000,"")</f>
        <v/>
      </c>
      <c r="Y407" s="293" t="str">
        <f>IF(Table3[[#This Row],[Status]]="Ordered",(DATE(YEAR(P407),MONTH(P407),1)),IF(Table3[[#This Row],[Status]]="Received",(DATE(YEAR(Q407),MONTH(Q407),1)),""))</f>
        <v/>
      </c>
      <c r="Z407" s="304" t="str">
        <f t="shared" si="24"/>
        <v/>
      </c>
      <c r="AA407" s="48" t="str">
        <f t="shared" si="25"/>
        <v/>
      </c>
      <c r="AB407" s="48" t="str">
        <f t="shared" si="26"/>
        <v/>
      </c>
      <c r="AC407" s="292" t="str">
        <f t="shared" si="27"/>
        <v/>
      </c>
      <c r="AD407" s="48" t="str">
        <f>IF(Table3[[#This Row],[Actual Arrival date]]&gt;0,IF(Table3[[#This Row],[Expected arrival date]]&gt;0,Table3[[#This Row],[Actual Arrival date]]-Table3[[#This Row],[Expected arrival date]],""),"")</f>
        <v/>
      </c>
    </row>
    <row r="408" spans="1:30" x14ac:dyDescent="0.25">
      <c r="A408" s="303" t="str">
        <f>Start!$D$7</f>
        <v>Anyland</v>
      </c>
      <c r="B408" s="48" t="str">
        <f>_xlfn.IFNA(VLOOKUP(A408,list!B:C,2,FALSE),"")</f>
        <v>ANY</v>
      </c>
      <c r="C408" s="48"/>
      <c r="D408" s="127"/>
      <c r="E408" s="48" t="str">
        <f>_xlfn.IFNA(VLOOKUP(Table3[[#This Row],[Product]], ProductListTbl[], 3, 0), "")</f>
        <v/>
      </c>
      <c r="F408" s="303" t="str">
        <f>_xlfn.IFNA(VLOOKUP(D408,ProductListTbl[],5,0),"")</f>
        <v/>
      </c>
      <c r="G408" s="303" t="str">
        <f>_xlfn.IFNA(VLOOKUP(D408,ProductListTbl[],6,0),"")</f>
        <v/>
      </c>
      <c r="H408" s="130" t="str">
        <f>_xlfn.IFNA(VLOOKUP(D408,ProductListTbl[],7,0),"")</f>
        <v/>
      </c>
      <c r="I408" s="130" t="str">
        <f>_xlfn.IFNA(VLOOKUP(D408,ProductListTbl[],8,0),"")</f>
        <v/>
      </c>
      <c r="J408" s="127"/>
      <c r="K408" s="129"/>
      <c r="L408" s="128"/>
      <c r="M408" s="305" t="str">
        <f>IFERROR(Table3[[#This Row],[Quantity (doses)]]/Table3[[#This Row],[Doses per vial or syringe]],"")</f>
        <v/>
      </c>
      <c r="N408" s="127"/>
      <c r="O408" s="127"/>
      <c r="P408" s="381"/>
      <c r="Q408" s="129"/>
      <c r="R408" s="127"/>
      <c r="S408" s="127"/>
      <c r="T408" s="127"/>
      <c r="U408" s="127"/>
      <c r="V408" s="305" t="str">
        <f>_xlfn.IFNA(VLOOKUP(D408,ProductListTbl[],9,0),"")</f>
        <v/>
      </c>
      <c r="W408" s="305" t="str">
        <f>IFERROR(Table3[[#This Row],[Storage space per secondary packaging (cm3)]]*Table3[[#This Row],[Quantity  (vials or syringes)]]/1000,"")</f>
        <v/>
      </c>
      <c r="X408" s="305" t="str">
        <f>IFERROR(Table3[[#This Row],[Storage space per tertiary packaging (cm3)]]*Table3[[#This Row],[Quantity (doses)]]/1000,"")</f>
        <v/>
      </c>
      <c r="Y408" s="293" t="str">
        <f>IF(Table3[[#This Row],[Status]]="Ordered",(DATE(YEAR(P408),MONTH(P408),1)),IF(Table3[[#This Row],[Status]]="Received",(DATE(YEAR(Q408),MONTH(Q408),1)),""))</f>
        <v/>
      </c>
      <c r="Z408" s="304" t="str">
        <f t="shared" si="24"/>
        <v/>
      </c>
      <c r="AA408" s="48" t="str">
        <f t="shared" si="25"/>
        <v/>
      </c>
      <c r="AB408" s="48" t="str">
        <f t="shared" si="26"/>
        <v/>
      </c>
      <c r="AC408" s="292" t="str">
        <f t="shared" si="27"/>
        <v/>
      </c>
      <c r="AD408" s="48" t="str">
        <f>IF(Table3[[#This Row],[Actual Arrival date]]&gt;0,IF(Table3[[#This Row],[Expected arrival date]]&gt;0,Table3[[#This Row],[Actual Arrival date]]-Table3[[#This Row],[Expected arrival date]],""),"")</f>
        <v/>
      </c>
    </row>
    <row r="409" spans="1:30" x14ac:dyDescent="0.25">
      <c r="A409" s="303" t="str">
        <f>Start!$D$7</f>
        <v>Anyland</v>
      </c>
      <c r="B409" s="48" t="str">
        <f>_xlfn.IFNA(VLOOKUP(A409,list!B:C,2,FALSE),"")</f>
        <v>ANY</v>
      </c>
      <c r="C409" s="48"/>
      <c r="D409" s="127"/>
      <c r="E409" s="48" t="str">
        <f>_xlfn.IFNA(VLOOKUP(Table3[[#This Row],[Product]], ProductListTbl[], 3, 0), "")</f>
        <v/>
      </c>
      <c r="F409" s="303" t="str">
        <f>_xlfn.IFNA(VLOOKUP(D409,ProductListTbl[],5,0),"")</f>
        <v/>
      </c>
      <c r="G409" s="303" t="str">
        <f>_xlfn.IFNA(VLOOKUP(D409,ProductListTbl[],6,0),"")</f>
        <v/>
      </c>
      <c r="H409" s="130" t="str">
        <f>_xlfn.IFNA(VLOOKUP(D409,ProductListTbl[],7,0),"")</f>
        <v/>
      </c>
      <c r="I409" s="130" t="str">
        <f>_xlfn.IFNA(VLOOKUP(D409,ProductListTbl[],8,0),"")</f>
        <v/>
      </c>
      <c r="J409" s="127"/>
      <c r="K409" s="129"/>
      <c r="L409" s="128"/>
      <c r="M409" s="305" t="str">
        <f>IFERROR(Table3[[#This Row],[Quantity (doses)]]/Table3[[#This Row],[Doses per vial or syringe]],"")</f>
        <v/>
      </c>
      <c r="N409" s="127"/>
      <c r="O409" s="127"/>
      <c r="P409" s="381"/>
      <c r="Q409" s="129"/>
      <c r="R409" s="127"/>
      <c r="S409" s="127"/>
      <c r="T409" s="127"/>
      <c r="U409" s="127"/>
      <c r="V409" s="305" t="str">
        <f>_xlfn.IFNA(VLOOKUP(D409,ProductListTbl[],9,0),"")</f>
        <v/>
      </c>
      <c r="W409" s="305" t="str">
        <f>IFERROR(Table3[[#This Row],[Storage space per secondary packaging (cm3)]]*Table3[[#This Row],[Quantity  (vials or syringes)]]/1000,"")</f>
        <v/>
      </c>
      <c r="X409" s="305" t="str">
        <f>IFERROR(Table3[[#This Row],[Storage space per tertiary packaging (cm3)]]*Table3[[#This Row],[Quantity (doses)]]/1000,"")</f>
        <v/>
      </c>
      <c r="Y409" s="293" t="str">
        <f>IF(Table3[[#This Row],[Status]]="Ordered",(DATE(YEAR(P409),MONTH(P409),1)),IF(Table3[[#This Row],[Status]]="Received",(DATE(YEAR(Q409),MONTH(Q409),1)),""))</f>
        <v/>
      </c>
      <c r="Z409" s="304" t="str">
        <f t="shared" si="24"/>
        <v/>
      </c>
      <c r="AA409" s="48" t="str">
        <f t="shared" si="25"/>
        <v/>
      </c>
      <c r="AB409" s="48" t="str">
        <f t="shared" si="26"/>
        <v/>
      </c>
      <c r="AC409" s="292" t="str">
        <f t="shared" si="27"/>
        <v/>
      </c>
      <c r="AD409" s="48" t="str">
        <f>IF(Table3[[#This Row],[Actual Arrival date]]&gt;0,IF(Table3[[#This Row],[Expected arrival date]]&gt;0,Table3[[#This Row],[Actual Arrival date]]-Table3[[#This Row],[Expected arrival date]],""),"")</f>
        <v/>
      </c>
    </row>
    <row r="410" spans="1:30" x14ac:dyDescent="0.25">
      <c r="A410" s="303" t="str">
        <f>Start!$D$7</f>
        <v>Anyland</v>
      </c>
      <c r="B410" s="48" t="str">
        <f>_xlfn.IFNA(VLOOKUP(A410,list!B:C,2,FALSE),"")</f>
        <v>ANY</v>
      </c>
      <c r="C410" s="48"/>
      <c r="D410" s="127"/>
      <c r="E410" s="48" t="str">
        <f>_xlfn.IFNA(VLOOKUP(Table3[[#This Row],[Product]], ProductListTbl[], 3, 0), "")</f>
        <v/>
      </c>
      <c r="F410" s="303" t="str">
        <f>_xlfn.IFNA(VLOOKUP(D410,ProductListTbl[],5,0),"")</f>
        <v/>
      </c>
      <c r="G410" s="303" t="str">
        <f>_xlfn.IFNA(VLOOKUP(D410,ProductListTbl[],6,0),"")</f>
        <v/>
      </c>
      <c r="H410" s="130" t="str">
        <f>_xlfn.IFNA(VLOOKUP(D410,ProductListTbl[],7,0),"")</f>
        <v/>
      </c>
      <c r="I410" s="130" t="str">
        <f>_xlfn.IFNA(VLOOKUP(D410,ProductListTbl[],8,0),"")</f>
        <v/>
      </c>
      <c r="J410" s="127"/>
      <c r="K410" s="129"/>
      <c r="L410" s="128"/>
      <c r="M410" s="305" t="str">
        <f>IFERROR(Table3[[#This Row],[Quantity (doses)]]/Table3[[#This Row],[Doses per vial or syringe]],"")</f>
        <v/>
      </c>
      <c r="N410" s="127"/>
      <c r="O410" s="127"/>
      <c r="P410" s="381"/>
      <c r="Q410" s="129"/>
      <c r="R410" s="127"/>
      <c r="S410" s="127"/>
      <c r="T410" s="127"/>
      <c r="U410" s="127"/>
      <c r="V410" s="305" t="str">
        <f>_xlfn.IFNA(VLOOKUP(D410,ProductListTbl[],9,0),"")</f>
        <v/>
      </c>
      <c r="W410" s="305" t="str">
        <f>IFERROR(Table3[[#This Row],[Storage space per secondary packaging (cm3)]]*Table3[[#This Row],[Quantity  (vials or syringes)]]/1000,"")</f>
        <v/>
      </c>
      <c r="X410" s="305" t="str">
        <f>IFERROR(Table3[[#This Row],[Storage space per tertiary packaging (cm3)]]*Table3[[#This Row],[Quantity (doses)]]/1000,"")</f>
        <v/>
      </c>
      <c r="Y410" s="293" t="str">
        <f>IF(Table3[[#This Row],[Status]]="Ordered",(DATE(YEAR(P410),MONTH(P410),1)),IF(Table3[[#This Row],[Status]]="Received",(DATE(YEAR(Q410),MONTH(Q410),1)),""))</f>
        <v/>
      </c>
      <c r="Z410" s="304" t="str">
        <f t="shared" si="24"/>
        <v/>
      </c>
      <c r="AA410" s="48" t="str">
        <f t="shared" si="25"/>
        <v/>
      </c>
      <c r="AB410" s="48" t="str">
        <f t="shared" si="26"/>
        <v/>
      </c>
      <c r="AC410" s="292" t="str">
        <f t="shared" si="27"/>
        <v/>
      </c>
      <c r="AD410" s="48" t="str">
        <f>IF(Table3[[#This Row],[Actual Arrival date]]&gt;0,IF(Table3[[#This Row],[Expected arrival date]]&gt;0,Table3[[#This Row],[Actual Arrival date]]-Table3[[#This Row],[Expected arrival date]],""),"")</f>
        <v/>
      </c>
    </row>
    <row r="411" spans="1:30" x14ac:dyDescent="0.25">
      <c r="A411" s="303" t="str">
        <f>Start!$D$7</f>
        <v>Anyland</v>
      </c>
      <c r="B411" s="48" t="str">
        <f>_xlfn.IFNA(VLOOKUP(A411,list!B:C,2,FALSE),"")</f>
        <v>ANY</v>
      </c>
      <c r="C411" s="48"/>
      <c r="D411" s="127"/>
      <c r="E411" s="48" t="str">
        <f>_xlfn.IFNA(VLOOKUP(Table3[[#This Row],[Product]], ProductListTbl[], 3, 0), "")</f>
        <v/>
      </c>
      <c r="F411" s="303" t="str">
        <f>_xlfn.IFNA(VLOOKUP(D411,ProductListTbl[],5,0),"")</f>
        <v/>
      </c>
      <c r="G411" s="303" t="str">
        <f>_xlfn.IFNA(VLOOKUP(D411,ProductListTbl[],6,0),"")</f>
        <v/>
      </c>
      <c r="H411" s="130" t="str">
        <f>_xlfn.IFNA(VLOOKUP(D411,ProductListTbl[],7,0),"")</f>
        <v/>
      </c>
      <c r="I411" s="130" t="str">
        <f>_xlfn.IFNA(VLOOKUP(D411,ProductListTbl[],8,0),"")</f>
        <v/>
      </c>
      <c r="J411" s="127"/>
      <c r="K411" s="129"/>
      <c r="L411" s="128"/>
      <c r="M411" s="305" t="str">
        <f>IFERROR(Table3[[#This Row],[Quantity (doses)]]/Table3[[#This Row],[Doses per vial or syringe]],"")</f>
        <v/>
      </c>
      <c r="N411" s="127"/>
      <c r="O411" s="127"/>
      <c r="P411" s="381"/>
      <c r="Q411" s="129"/>
      <c r="R411" s="127"/>
      <c r="S411" s="127"/>
      <c r="T411" s="127"/>
      <c r="U411" s="127"/>
      <c r="V411" s="305" t="str">
        <f>_xlfn.IFNA(VLOOKUP(D411,ProductListTbl[],9,0),"")</f>
        <v/>
      </c>
      <c r="W411" s="305" t="str">
        <f>IFERROR(Table3[[#This Row],[Storage space per secondary packaging (cm3)]]*Table3[[#This Row],[Quantity  (vials or syringes)]]/1000,"")</f>
        <v/>
      </c>
      <c r="X411" s="305" t="str">
        <f>IFERROR(Table3[[#This Row],[Storage space per tertiary packaging (cm3)]]*Table3[[#This Row],[Quantity (doses)]]/1000,"")</f>
        <v/>
      </c>
      <c r="Y411" s="293" t="str">
        <f>IF(Table3[[#This Row],[Status]]="Ordered",(DATE(YEAR(P411),MONTH(P411),1)),IF(Table3[[#This Row],[Status]]="Received",(DATE(YEAR(Q411),MONTH(Q411),1)),""))</f>
        <v/>
      </c>
      <c r="Z411" s="304" t="str">
        <f t="shared" si="24"/>
        <v/>
      </c>
      <c r="AA411" s="48" t="str">
        <f t="shared" si="25"/>
        <v/>
      </c>
      <c r="AB411" s="48" t="str">
        <f t="shared" si="26"/>
        <v/>
      </c>
      <c r="AC411" s="292" t="str">
        <f t="shared" si="27"/>
        <v/>
      </c>
      <c r="AD411" s="48" t="str">
        <f>IF(Table3[[#This Row],[Actual Arrival date]]&gt;0,IF(Table3[[#This Row],[Expected arrival date]]&gt;0,Table3[[#This Row],[Actual Arrival date]]-Table3[[#This Row],[Expected arrival date]],""),"")</f>
        <v/>
      </c>
    </row>
    <row r="412" spans="1:30" x14ac:dyDescent="0.25">
      <c r="A412" s="303" t="str">
        <f>Start!$D$7</f>
        <v>Anyland</v>
      </c>
      <c r="B412" s="48" t="str">
        <f>_xlfn.IFNA(VLOOKUP(A412,list!B:C,2,FALSE),"")</f>
        <v>ANY</v>
      </c>
      <c r="C412" s="48"/>
      <c r="D412" s="127"/>
      <c r="E412" s="48" t="str">
        <f>_xlfn.IFNA(VLOOKUP(Table3[[#This Row],[Product]], ProductListTbl[], 3, 0), "")</f>
        <v/>
      </c>
      <c r="F412" s="303" t="str">
        <f>_xlfn.IFNA(VLOOKUP(D412,ProductListTbl[],5,0),"")</f>
        <v/>
      </c>
      <c r="G412" s="303" t="str">
        <f>_xlfn.IFNA(VLOOKUP(D412,ProductListTbl[],6,0),"")</f>
        <v/>
      </c>
      <c r="H412" s="130" t="str">
        <f>_xlfn.IFNA(VLOOKUP(D412,ProductListTbl[],7,0),"")</f>
        <v/>
      </c>
      <c r="I412" s="130" t="str">
        <f>_xlfn.IFNA(VLOOKUP(D412,ProductListTbl[],8,0),"")</f>
        <v/>
      </c>
      <c r="J412" s="127"/>
      <c r="K412" s="129"/>
      <c r="L412" s="128"/>
      <c r="M412" s="305" t="str">
        <f>IFERROR(Table3[[#This Row],[Quantity (doses)]]/Table3[[#This Row],[Doses per vial or syringe]],"")</f>
        <v/>
      </c>
      <c r="N412" s="127"/>
      <c r="O412" s="127"/>
      <c r="P412" s="381"/>
      <c r="Q412" s="129"/>
      <c r="R412" s="127"/>
      <c r="S412" s="127"/>
      <c r="T412" s="127"/>
      <c r="U412" s="127"/>
      <c r="V412" s="305" t="str">
        <f>_xlfn.IFNA(VLOOKUP(D412,ProductListTbl[],9,0),"")</f>
        <v/>
      </c>
      <c r="W412" s="305" t="str">
        <f>IFERROR(Table3[[#This Row],[Storage space per secondary packaging (cm3)]]*Table3[[#This Row],[Quantity  (vials or syringes)]]/1000,"")</f>
        <v/>
      </c>
      <c r="X412" s="305" t="str">
        <f>IFERROR(Table3[[#This Row],[Storage space per tertiary packaging (cm3)]]*Table3[[#This Row],[Quantity (doses)]]/1000,"")</f>
        <v/>
      </c>
      <c r="Y412" s="293" t="str">
        <f>IF(Table3[[#This Row],[Status]]="Ordered",(DATE(YEAR(P412),MONTH(P412),1)),IF(Table3[[#This Row],[Status]]="Received",(DATE(YEAR(Q412),MONTH(Q412),1)),""))</f>
        <v/>
      </c>
      <c r="Z412" s="304" t="str">
        <f t="shared" si="24"/>
        <v/>
      </c>
      <c r="AA412" s="48" t="str">
        <f t="shared" si="25"/>
        <v/>
      </c>
      <c r="AB412" s="48" t="str">
        <f t="shared" si="26"/>
        <v/>
      </c>
      <c r="AC412" s="292" t="str">
        <f t="shared" si="27"/>
        <v/>
      </c>
      <c r="AD412" s="48" t="str">
        <f>IF(Table3[[#This Row],[Actual Arrival date]]&gt;0,IF(Table3[[#This Row],[Expected arrival date]]&gt;0,Table3[[#This Row],[Actual Arrival date]]-Table3[[#This Row],[Expected arrival date]],""),"")</f>
        <v/>
      </c>
    </row>
    <row r="413" spans="1:30" x14ac:dyDescent="0.25">
      <c r="A413" s="303" t="str">
        <f>Start!$D$7</f>
        <v>Anyland</v>
      </c>
      <c r="B413" s="48" t="str">
        <f>_xlfn.IFNA(VLOOKUP(A413,list!B:C,2,FALSE),"")</f>
        <v>ANY</v>
      </c>
      <c r="C413" s="48"/>
      <c r="D413" s="127"/>
      <c r="E413" s="48" t="str">
        <f>_xlfn.IFNA(VLOOKUP(Table3[[#This Row],[Product]], ProductListTbl[], 3, 0), "")</f>
        <v/>
      </c>
      <c r="F413" s="303" t="str">
        <f>_xlfn.IFNA(VLOOKUP(D413,ProductListTbl[],5,0),"")</f>
        <v/>
      </c>
      <c r="G413" s="303" t="str">
        <f>_xlfn.IFNA(VLOOKUP(D413,ProductListTbl[],6,0),"")</f>
        <v/>
      </c>
      <c r="H413" s="130" t="str">
        <f>_xlfn.IFNA(VLOOKUP(D413,ProductListTbl[],7,0),"")</f>
        <v/>
      </c>
      <c r="I413" s="130" t="str">
        <f>_xlfn.IFNA(VLOOKUP(D413,ProductListTbl[],8,0),"")</f>
        <v/>
      </c>
      <c r="J413" s="127"/>
      <c r="K413" s="129"/>
      <c r="L413" s="128"/>
      <c r="M413" s="305" t="str">
        <f>IFERROR(Table3[[#This Row],[Quantity (doses)]]/Table3[[#This Row],[Doses per vial or syringe]],"")</f>
        <v/>
      </c>
      <c r="N413" s="127"/>
      <c r="O413" s="127"/>
      <c r="P413" s="381"/>
      <c r="Q413" s="129"/>
      <c r="R413" s="127"/>
      <c r="S413" s="127"/>
      <c r="T413" s="127"/>
      <c r="U413" s="127"/>
      <c r="V413" s="305" t="str">
        <f>_xlfn.IFNA(VLOOKUP(D413,ProductListTbl[],9,0),"")</f>
        <v/>
      </c>
      <c r="W413" s="305" t="str">
        <f>IFERROR(Table3[[#This Row],[Storage space per secondary packaging (cm3)]]*Table3[[#This Row],[Quantity  (vials or syringes)]]/1000,"")</f>
        <v/>
      </c>
      <c r="X413" s="305" t="str">
        <f>IFERROR(Table3[[#This Row],[Storage space per tertiary packaging (cm3)]]*Table3[[#This Row],[Quantity (doses)]]/1000,"")</f>
        <v/>
      </c>
      <c r="Y413" s="293" t="str">
        <f>IF(Table3[[#This Row],[Status]]="Ordered",(DATE(YEAR(P413),MONTH(P413),1)),IF(Table3[[#This Row],[Status]]="Received",(DATE(YEAR(Q413),MONTH(Q413),1)),""))</f>
        <v/>
      </c>
      <c r="Z413" s="304" t="str">
        <f t="shared" si="24"/>
        <v/>
      </c>
      <c r="AA413" s="48" t="str">
        <f t="shared" si="25"/>
        <v/>
      </c>
      <c r="AB413" s="48" t="str">
        <f t="shared" si="26"/>
        <v/>
      </c>
      <c r="AC413" s="292" t="str">
        <f t="shared" si="27"/>
        <v/>
      </c>
      <c r="AD413" s="48" t="str">
        <f>IF(Table3[[#This Row],[Actual Arrival date]]&gt;0,IF(Table3[[#This Row],[Expected arrival date]]&gt;0,Table3[[#This Row],[Actual Arrival date]]-Table3[[#This Row],[Expected arrival date]],""),"")</f>
        <v/>
      </c>
    </row>
    <row r="414" spans="1:30" x14ac:dyDescent="0.25">
      <c r="A414" s="303" t="str">
        <f>Start!$D$7</f>
        <v>Anyland</v>
      </c>
      <c r="B414" s="48" t="str">
        <f>_xlfn.IFNA(VLOOKUP(A414,list!B:C,2,FALSE),"")</f>
        <v>ANY</v>
      </c>
      <c r="C414" s="48"/>
      <c r="D414" s="127"/>
      <c r="E414" s="48" t="str">
        <f>_xlfn.IFNA(VLOOKUP(Table3[[#This Row],[Product]], ProductListTbl[], 3, 0), "")</f>
        <v/>
      </c>
      <c r="F414" s="303" t="str">
        <f>_xlfn.IFNA(VLOOKUP(D414,ProductListTbl[],5,0),"")</f>
        <v/>
      </c>
      <c r="G414" s="303" t="str">
        <f>_xlfn.IFNA(VLOOKUP(D414,ProductListTbl[],6,0),"")</f>
        <v/>
      </c>
      <c r="H414" s="130" t="str">
        <f>_xlfn.IFNA(VLOOKUP(D414,ProductListTbl[],7,0),"")</f>
        <v/>
      </c>
      <c r="I414" s="130" t="str">
        <f>_xlfn.IFNA(VLOOKUP(D414,ProductListTbl[],8,0),"")</f>
        <v/>
      </c>
      <c r="J414" s="127"/>
      <c r="K414" s="129"/>
      <c r="L414" s="128"/>
      <c r="M414" s="305" t="str">
        <f>IFERROR(Table3[[#This Row],[Quantity (doses)]]/Table3[[#This Row],[Doses per vial or syringe]],"")</f>
        <v/>
      </c>
      <c r="N414" s="127"/>
      <c r="O414" s="127"/>
      <c r="P414" s="381"/>
      <c r="Q414" s="129"/>
      <c r="R414" s="127"/>
      <c r="S414" s="127"/>
      <c r="T414" s="127"/>
      <c r="U414" s="127"/>
      <c r="V414" s="305" t="str">
        <f>_xlfn.IFNA(VLOOKUP(D414,ProductListTbl[],9,0),"")</f>
        <v/>
      </c>
      <c r="W414" s="305" t="str">
        <f>IFERROR(Table3[[#This Row],[Storage space per secondary packaging (cm3)]]*Table3[[#This Row],[Quantity  (vials or syringes)]]/1000,"")</f>
        <v/>
      </c>
      <c r="X414" s="305" t="str">
        <f>IFERROR(Table3[[#This Row],[Storage space per tertiary packaging (cm3)]]*Table3[[#This Row],[Quantity (doses)]]/1000,"")</f>
        <v/>
      </c>
      <c r="Y414" s="293" t="str">
        <f>IF(Table3[[#This Row],[Status]]="Ordered",(DATE(YEAR(P414),MONTH(P414),1)),IF(Table3[[#This Row],[Status]]="Received",(DATE(YEAR(Q414),MONTH(Q414),1)),""))</f>
        <v/>
      </c>
      <c r="Z414" s="304" t="str">
        <f t="shared" si="24"/>
        <v/>
      </c>
      <c r="AA414" s="48" t="str">
        <f t="shared" si="25"/>
        <v/>
      </c>
      <c r="AB414" s="48" t="str">
        <f t="shared" si="26"/>
        <v/>
      </c>
      <c r="AC414" s="292" t="str">
        <f t="shared" si="27"/>
        <v/>
      </c>
      <c r="AD414" s="48" t="str">
        <f>IF(Table3[[#This Row],[Actual Arrival date]]&gt;0,IF(Table3[[#This Row],[Expected arrival date]]&gt;0,Table3[[#This Row],[Actual Arrival date]]-Table3[[#This Row],[Expected arrival date]],""),"")</f>
        <v/>
      </c>
    </row>
    <row r="415" spans="1:30" x14ac:dyDescent="0.25">
      <c r="A415" s="303" t="str">
        <f>Start!$D$7</f>
        <v>Anyland</v>
      </c>
      <c r="B415" s="48" t="str">
        <f>_xlfn.IFNA(VLOOKUP(A415,list!B:C,2,FALSE),"")</f>
        <v>ANY</v>
      </c>
      <c r="C415" s="48"/>
      <c r="D415" s="127"/>
      <c r="E415" s="48" t="str">
        <f>_xlfn.IFNA(VLOOKUP(Table3[[#This Row],[Product]], ProductListTbl[], 3, 0), "")</f>
        <v/>
      </c>
      <c r="F415" s="303" t="str">
        <f>_xlfn.IFNA(VLOOKUP(D415,ProductListTbl[],5,0),"")</f>
        <v/>
      </c>
      <c r="G415" s="303" t="str">
        <f>_xlfn.IFNA(VLOOKUP(D415,ProductListTbl[],6,0),"")</f>
        <v/>
      </c>
      <c r="H415" s="130" t="str">
        <f>_xlfn.IFNA(VLOOKUP(D415,ProductListTbl[],7,0),"")</f>
        <v/>
      </c>
      <c r="I415" s="130" t="str">
        <f>_xlfn.IFNA(VLOOKUP(D415,ProductListTbl[],8,0),"")</f>
        <v/>
      </c>
      <c r="J415" s="127"/>
      <c r="K415" s="129"/>
      <c r="L415" s="128"/>
      <c r="M415" s="305" t="str">
        <f>IFERROR(Table3[[#This Row],[Quantity (doses)]]/Table3[[#This Row],[Doses per vial or syringe]],"")</f>
        <v/>
      </c>
      <c r="N415" s="127"/>
      <c r="O415" s="127"/>
      <c r="P415" s="381"/>
      <c r="Q415" s="129"/>
      <c r="R415" s="127"/>
      <c r="S415" s="127"/>
      <c r="T415" s="127"/>
      <c r="U415" s="127"/>
      <c r="V415" s="305" t="str">
        <f>_xlfn.IFNA(VLOOKUP(D415,ProductListTbl[],9,0),"")</f>
        <v/>
      </c>
      <c r="W415" s="305" t="str">
        <f>IFERROR(Table3[[#This Row],[Storage space per secondary packaging (cm3)]]*Table3[[#This Row],[Quantity  (vials or syringes)]]/1000,"")</f>
        <v/>
      </c>
      <c r="X415" s="305" t="str">
        <f>IFERROR(Table3[[#This Row],[Storage space per tertiary packaging (cm3)]]*Table3[[#This Row],[Quantity (doses)]]/1000,"")</f>
        <v/>
      </c>
      <c r="Y415" s="293" t="str">
        <f>IF(Table3[[#This Row],[Status]]="Ordered",(DATE(YEAR(P415),MONTH(P415),1)),IF(Table3[[#This Row],[Status]]="Received",(DATE(YEAR(Q415),MONTH(Q415),1)),""))</f>
        <v/>
      </c>
      <c r="Z415" s="304" t="str">
        <f t="shared" si="24"/>
        <v/>
      </c>
      <c r="AA415" s="48" t="str">
        <f t="shared" si="25"/>
        <v/>
      </c>
      <c r="AB415" s="48" t="str">
        <f t="shared" si="26"/>
        <v/>
      </c>
      <c r="AC415" s="292" t="str">
        <f t="shared" si="27"/>
        <v/>
      </c>
      <c r="AD415" s="48" t="str">
        <f>IF(Table3[[#This Row],[Actual Arrival date]]&gt;0,IF(Table3[[#This Row],[Expected arrival date]]&gt;0,Table3[[#This Row],[Actual Arrival date]]-Table3[[#This Row],[Expected arrival date]],""),"")</f>
        <v/>
      </c>
    </row>
    <row r="416" spans="1:30" x14ac:dyDescent="0.25">
      <c r="A416" s="303" t="str">
        <f>Start!$D$7</f>
        <v>Anyland</v>
      </c>
      <c r="B416" s="48" t="str">
        <f>_xlfn.IFNA(VLOOKUP(A416,list!B:C,2,FALSE),"")</f>
        <v>ANY</v>
      </c>
      <c r="C416" s="48"/>
      <c r="D416" s="127"/>
      <c r="E416" s="48" t="str">
        <f>_xlfn.IFNA(VLOOKUP(Table3[[#This Row],[Product]], ProductListTbl[], 3, 0), "")</f>
        <v/>
      </c>
      <c r="F416" s="303" t="str">
        <f>_xlfn.IFNA(VLOOKUP(D416,ProductListTbl[],5,0),"")</f>
        <v/>
      </c>
      <c r="G416" s="303" t="str">
        <f>_xlfn.IFNA(VLOOKUP(D416,ProductListTbl[],6,0),"")</f>
        <v/>
      </c>
      <c r="H416" s="130" t="str">
        <f>_xlfn.IFNA(VLOOKUP(D416,ProductListTbl[],7,0),"")</f>
        <v/>
      </c>
      <c r="I416" s="130" t="str">
        <f>_xlfn.IFNA(VLOOKUP(D416,ProductListTbl[],8,0),"")</f>
        <v/>
      </c>
      <c r="J416" s="127"/>
      <c r="K416" s="129"/>
      <c r="L416" s="128"/>
      <c r="M416" s="305" t="str">
        <f>IFERROR(Table3[[#This Row],[Quantity (doses)]]/Table3[[#This Row],[Doses per vial or syringe]],"")</f>
        <v/>
      </c>
      <c r="N416" s="127"/>
      <c r="O416" s="127"/>
      <c r="P416" s="381"/>
      <c r="Q416" s="129"/>
      <c r="R416" s="127"/>
      <c r="S416" s="127"/>
      <c r="T416" s="127"/>
      <c r="U416" s="127"/>
      <c r="V416" s="305" t="str">
        <f>_xlfn.IFNA(VLOOKUP(D416,ProductListTbl[],9,0),"")</f>
        <v/>
      </c>
      <c r="W416" s="305" t="str">
        <f>IFERROR(Table3[[#This Row],[Storage space per secondary packaging (cm3)]]*Table3[[#This Row],[Quantity  (vials or syringes)]]/1000,"")</f>
        <v/>
      </c>
      <c r="X416" s="305" t="str">
        <f>IFERROR(Table3[[#This Row],[Storage space per tertiary packaging (cm3)]]*Table3[[#This Row],[Quantity (doses)]]/1000,"")</f>
        <v/>
      </c>
      <c r="Y416" s="293" t="str">
        <f>IF(Table3[[#This Row],[Status]]="Ordered",(DATE(YEAR(P416),MONTH(P416),1)),IF(Table3[[#This Row],[Status]]="Received",(DATE(YEAR(Q416),MONTH(Q416),1)),""))</f>
        <v/>
      </c>
      <c r="Z416" s="304" t="str">
        <f t="shared" si="24"/>
        <v/>
      </c>
      <c r="AA416" s="48" t="str">
        <f t="shared" si="25"/>
        <v/>
      </c>
      <c r="AB416" s="48" t="str">
        <f t="shared" si="26"/>
        <v/>
      </c>
      <c r="AC416" s="292" t="str">
        <f t="shared" si="27"/>
        <v/>
      </c>
      <c r="AD416" s="48" t="str">
        <f>IF(Table3[[#This Row],[Actual Arrival date]]&gt;0,IF(Table3[[#This Row],[Expected arrival date]]&gt;0,Table3[[#This Row],[Actual Arrival date]]-Table3[[#This Row],[Expected arrival date]],""),"")</f>
        <v/>
      </c>
    </row>
    <row r="417" spans="1:30" x14ac:dyDescent="0.25">
      <c r="A417" s="303" t="str">
        <f>Start!$D$7</f>
        <v>Anyland</v>
      </c>
      <c r="B417" s="48" t="str">
        <f>_xlfn.IFNA(VLOOKUP(A417,list!B:C,2,FALSE),"")</f>
        <v>ANY</v>
      </c>
      <c r="C417" s="48"/>
      <c r="D417" s="127"/>
      <c r="E417" s="48" t="str">
        <f>_xlfn.IFNA(VLOOKUP(Table3[[#This Row],[Product]], ProductListTbl[], 3, 0), "")</f>
        <v/>
      </c>
      <c r="F417" s="303" t="str">
        <f>_xlfn.IFNA(VLOOKUP(D417,ProductListTbl[],5,0),"")</f>
        <v/>
      </c>
      <c r="G417" s="303" t="str">
        <f>_xlfn.IFNA(VLOOKUP(D417,ProductListTbl[],6,0),"")</f>
        <v/>
      </c>
      <c r="H417" s="130" t="str">
        <f>_xlfn.IFNA(VLOOKUP(D417,ProductListTbl[],7,0),"")</f>
        <v/>
      </c>
      <c r="I417" s="130" t="str">
        <f>_xlfn.IFNA(VLOOKUP(D417,ProductListTbl[],8,0),"")</f>
        <v/>
      </c>
      <c r="J417" s="127"/>
      <c r="K417" s="129"/>
      <c r="L417" s="128"/>
      <c r="M417" s="305" t="str">
        <f>IFERROR(Table3[[#This Row],[Quantity (doses)]]/Table3[[#This Row],[Doses per vial or syringe]],"")</f>
        <v/>
      </c>
      <c r="N417" s="127"/>
      <c r="O417" s="127"/>
      <c r="P417" s="381"/>
      <c r="Q417" s="129"/>
      <c r="R417" s="127"/>
      <c r="S417" s="127"/>
      <c r="T417" s="127"/>
      <c r="U417" s="127"/>
      <c r="V417" s="305" t="str">
        <f>_xlfn.IFNA(VLOOKUP(D417,ProductListTbl[],9,0),"")</f>
        <v/>
      </c>
      <c r="W417" s="305" t="str">
        <f>IFERROR(Table3[[#This Row],[Storage space per secondary packaging (cm3)]]*Table3[[#This Row],[Quantity  (vials or syringes)]]/1000,"")</f>
        <v/>
      </c>
      <c r="X417" s="305" t="str">
        <f>IFERROR(Table3[[#This Row],[Storage space per tertiary packaging (cm3)]]*Table3[[#This Row],[Quantity (doses)]]/1000,"")</f>
        <v/>
      </c>
      <c r="Y417" s="293" t="str">
        <f>IF(Table3[[#This Row],[Status]]="Ordered",(DATE(YEAR(P417),MONTH(P417),1)),IF(Table3[[#This Row],[Status]]="Received",(DATE(YEAR(Q417),MONTH(Q417),1)),""))</f>
        <v/>
      </c>
      <c r="Z417" s="304" t="str">
        <f t="shared" si="24"/>
        <v/>
      </c>
      <c r="AA417" s="48" t="str">
        <f t="shared" si="25"/>
        <v/>
      </c>
      <c r="AB417" s="48" t="str">
        <f t="shared" si="26"/>
        <v/>
      </c>
      <c r="AC417" s="292" t="str">
        <f t="shared" si="27"/>
        <v/>
      </c>
      <c r="AD417" s="48" t="str">
        <f>IF(Table3[[#This Row],[Actual Arrival date]]&gt;0,IF(Table3[[#This Row],[Expected arrival date]]&gt;0,Table3[[#This Row],[Actual Arrival date]]-Table3[[#This Row],[Expected arrival date]],""),"")</f>
        <v/>
      </c>
    </row>
    <row r="418" spans="1:30" x14ac:dyDescent="0.25">
      <c r="A418" s="303" t="str">
        <f>Start!$D$7</f>
        <v>Anyland</v>
      </c>
      <c r="B418" s="48" t="str">
        <f>_xlfn.IFNA(VLOOKUP(A418,list!B:C,2,FALSE),"")</f>
        <v>ANY</v>
      </c>
      <c r="C418" s="48"/>
      <c r="D418" s="127"/>
      <c r="E418" s="48" t="str">
        <f>_xlfn.IFNA(VLOOKUP(Table3[[#This Row],[Product]], ProductListTbl[], 3, 0), "")</f>
        <v/>
      </c>
      <c r="F418" s="303" t="str">
        <f>_xlfn.IFNA(VLOOKUP(D418,ProductListTbl[],5,0),"")</f>
        <v/>
      </c>
      <c r="G418" s="303" t="str">
        <f>_xlfn.IFNA(VLOOKUP(D418,ProductListTbl[],6,0),"")</f>
        <v/>
      </c>
      <c r="H418" s="130" t="str">
        <f>_xlfn.IFNA(VLOOKUP(D418,ProductListTbl[],7,0),"")</f>
        <v/>
      </c>
      <c r="I418" s="130" t="str">
        <f>_xlfn.IFNA(VLOOKUP(D418,ProductListTbl[],8,0),"")</f>
        <v/>
      </c>
      <c r="J418" s="127"/>
      <c r="K418" s="129"/>
      <c r="L418" s="128"/>
      <c r="M418" s="305" t="str">
        <f>IFERROR(Table3[[#This Row],[Quantity (doses)]]/Table3[[#This Row],[Doses per vial or syringe]],"")</f>
        <v/>
      </c>
      <c r="N418" s="127"/>
      <c r="O418" s="127"/>
      <c r="P418" s="381"/>
      <c r="Q418" s="129"/>
      <c r="R418" s="127"/>
      <c r="S418" s="127"/>
      <c r="T418" s="127"/>
      <c r="U418" s="127"/>
      <c r="V418" s="305" t="str">
        <f>_xlfn.IFNA(VLOOKUP(D418,ProductListTbl[],9,0),"")</f>
        <v/>
      </c>
      <c r="W418" s="305" t="str">
        <f>IFERROR(Table3[[#This Row],[Storage space per secondary packaging (cm3)]]*Table3[[#This Row],[Quantity  (vials or syringes)]]/1000,"")</f>
        <v/>
      </c>
      <c r="X418" s="305" t="str">
        <f>IFERROR(Table3[[#This Row],[Storage space per tertiary packaging (cm3)]]*Table3[[#This Row],[Quantity (doses)]]/1000,"")</f>
        <v/>
      </c>
      <c r="Y418" s="293" t="str">
        <f>IF(Table3[[#This Row],[Status]]="Ordered",(DATE(YEAR(P418),MONTH(P418),1)),IF(Table3[[#This Row],[Status]]="Received",(DATE(YEAR(Q418),MONTH(Q418),1)),""))</f>
        <v/>
      </c>
      <c r="Z418" s="304" t="str">
        <f t="shared" si="24"/>
        <v/>
      </c>
      <c r="AA418" s="48" t="str">
        <f t="shared" si="25"/>
        <v/>
      </c>
      <c r="AB418" s="48" t="str">
        <f t="shared" si="26"/>
        <v/>
      </c>
      <c r="AC418" s="292" t="str">
        <f t="shared" si="27"/>
        <v/>
      </c>
      <c r="AD418" s="48" t="str">
        <f>IF(Table3[[#This Row],[Actual Arrival date]]&gt;0,IF(Table3[[#This Row],[Expected arrival date]]&gt;0,Table3[[#This Row],[Actual Arrival date]]-Table3[[#This Row],[Expected arrival date]],""),"")</f>
        <v/>
      </c>
    </row>
    <row r="419" spans="1:30" x14ac:dyDescent="0.25">
      <c r="A419" s="303" t="str">
        <f>Start!$D$7</f>
        <v>Anyland</v>
      </c>
      <c r="B419" s="48" t="str">
        <f>_xlfn.IFNA(VLOOKUP(A419,list!B:C,2,FALSE),"")</f>
        <v>ANY</v>
      </c>
      <c r="C419" s="48"/>
      <c r="D419" s="127"/>
      <c r="E419" s="48" t="str">
        <f>_xlfn.IFNA(VLOOKUP(Table3[[#This Row],[Product]], ProductListTbl[], 3, 0), "")</f>
        <v/>
      </c>
      <c r="F419" s="303" t="str">
        <f>_xlfn.IFNA(VLOOKUP(D419,ProductListTbl[],5,0),"")</f>
        <v/>
      </c>
      <c r="G419" s="303" t="str">
        <f>_xlfn.IFNA(VLOOKUP(D419,ProductListTbl[],6,0),"")</f>
        <v/>
      </c>
      <c r="H419" s="130" t="str">
        <f>_xlfn.IFNA(VLOOKUP(D419,ProductListTbl[],7,0),"")</f>
        <v/>
      </c>
      <c r="I419" s="130" t="str">
        <f>_xlfn.IFNA(VLOOKUP(D419,ProductListTbl[],8,0),"")</f>
        <v/>
      </c>
      <c r="J419" s="127"/>
      <c r="K419" s="129"/>
      <c r="L419" s="128"/>
      <c r="M419" s="305" t="str">
        <f>IFERROR(Table3[[#This Row],[Quantity (doses)]]/Table3[[#This Row],[Doses per vial or syringe]],"")</f>
        <v/>
      </c>
      <c r="N419" s="127"/>
      <c r="O419" s="127"/>
      <c r="P419" s="381"/>
      <c r="Q419" s="129"/>
      <c r="R419" s="127"/>
      <c r="S419" s="127"/>
      <c r="T419" s="127"/>
      <c r="U419" s="127"/>
      <c r="V419" s="305" t="str">
        <f>_xlfn.IFNA(VLOOKUP(D419,ProductListTbl[],9,0),"")</f>
        <v/>
      </c>
      <c r="W419" s="305" t="str">
        <f>IFERROR(Table3[[#This Row],[Storage space per secondary packaging (cm3)]]*Table3[[#This Row],[Quantity  (vials or syringes)]]/1000,"")</f>
        <v/>
      </c>
      <c r="X419" s="305" t="str">
        <f>IFERROR(Table3[[#This Row],[Storage space per tertiary packaging (cm3)]]*Table3[[#This Row],[Quantity (doses)]]/1000,"")</f>
        <v/>
      </c>
      <c r="Y419" s="293" t="str">
        <f>IF(Table3[[#This Row],[Status]]="Ordered",(DATE(YEAR(P419),MONTH(P419),1)),IF(Table3[[#This Row],[Status]]="Received",(DATE(YEAR(Q419),MONTH(Q419),1)),""))</f>
        <v/>
      </c>
      <c r="Z419" s="304" t="str">
        <f t="shared" si="24"/>
        <v/>
      </c>
      <c r="AA419" s="48" t="str">
        <f t="shared" si="25"/>
        <v/>
      </c>
      <c r="AB419" s="48" t="str">
        <f t="shared" si="26"/>
        <v/>
      </c>
      <c r="AC419" s="292" t="str">
        <f t="shared" si="27"/>
        <v/>
      </c>
      <c r="AD419" s="48" t="str">
        <f>IF(Table3[[#This Row],[Actual Arrival date]]&gt;0,IF(Table3[[#This Row],[Expected arrival date]]&gt;0,Table3[[#This Row],[Actual Arrival date]]-Table3[[#This Row],[Expected arrival date]],""),"")</f>
        <v/>
      </c>
    </row>
    <row r="420" spans="1:30" x14ac:dyDescent="0.25">
      <c r="A420" s="303" t="str">
        <f>Start!$D$7</f>
        <v>Anyland</v>
      </c>
      <c r="B420" s="48" t="str">
        <f>_xlfn.IFNA(VLOOKUP(A420,list!B:C,2,FALSE),"")</f>
        <v>ANY</v>
      </c>
      <c r="C420" s="48"/>
      <c r="D420" s="127"/>
      <c r="E420" s="48" t="str">
        <f>_xlfn.IFNA(VLOOKUP(Table3[[#This Row],[Product]], ProductListTbl[], 3, 0), "")</f>
        <v/>
      </c>
      <c r="F420" s="303" t="str">
        <f>_xlfn.IFNA(VLOOKUP(D420,ProductListTbl[],5,0),"")</f>
        <v/>
      </c>
      <c r="G420" s="303" t="str">
        <f>_xlfn.IFNA(VLOOKUP(D420,ProductListTbl[],6,0),"")</f>
        <v/>
      </c>
      <c r="H420" s="130" t="str">
        <f>_xlfn.IFNA(VLOOKUP(D420,ProductListTbl[],7,0),"")</f>
        <v/>
      </c>
      <c r="I420" s="130" t="str">
        <f>_xlfn.IFNA(VLOOKUP(D420,ProductListTbl[],8,0),"")</f>
        <v/>
      </c>
      <c r="J420" s="127"/>
      <c r="K420" s="129"/>
      <c r="L420" s="128"/>
      <c r="M420" s="305" t="str">
        <f>IFERROR(Table3[[#This Row],[Quantity (doses)]]/Table3[[#This Row],[Doses per vial or syringe]],"")</f>
        <v/>
      </c>
      <c r="N420" s="127"/>
      <c r="O420" s="127"/>
      <c r="P420" s="381"/>
      <c r="Q420" s="129"/>
      <c r="R420" s="127"/>
      <c r="S420" s="127"/>
      <c r="T420" s="127"/>
      <c r="U420" s="127"/>
      <c r="V420" s="305" t="str">
        <f>_xlfn.IFNA(VLOOKUP(D420,ProductListTbl[],9,0),"")</f>
        <v/>
      </c>
      <c r="W420" s="305" t="str">
        <f>IFERROR(Table3[[#This Row],[Storage space per secondary packaging (cm3)]]*Table3[[#This Row],[Quantity  (vials or syringes)]]/1000,"")</f>
        <v/>
      </c>
      <c r="X420" s="305" t="str">
        <f>IFERROR(Table3[[#This Row],[Storage space per tertiary packaging (cm3)]]*Table3[[#This Row],[Quantity (doses)]]/1000,"")</f>
        <v/>
      </c>
      <c r="Y420" s="293" t="str">
        <f>IF(Table3[[#This Row],[Status]]="Ordered",(DATE(YEAR(P420),MONTH(P420),1)),IF(Table3[[#This Row],[Status]]="Received",(DATE(YEAR(Q420),MONTH(Q420),1)),""))</f>
        <v/>
      </c>
      <c r="Z420" s="304" t="str">
        <f t="shared" si="24"/>
        <v/>
      </c>
      <c r="AA420" s="48" t="str">
        <f t="shared" si="25"/>
        <v/>
      </c>
      <c r="AB420" s="48" t="str">
        <f t="shared" si="26"/>
        <v/>
      </c>
      <c r="AC420" s="292" t="str">
        <f t="shared" si="27"/>
        <v/>
      </c>
      <c r="AD420" s="48" t="str">
        <f>IF(Table3[[#This Row],[Actual Arrival date]]&gt;0,IF(Table3[[#This Row],[Expected arrival date]]&gt;0,Table3[[#This Row],[Actual Arrival date]]-Table3[[#This Row],[Expected arrival date]],""),"")</f>
        <v/>
      </c>
    </row>
    <row r="421" spans="1:30" x14ac:dyDescent="0.25">
      <c r="A421" s="303" t="str">
        <f>Start!$D$7</f>
        <v>Anyland</v>
      </c>
      <c r="B421" s="48" t="str">
        <f>_xlfn.IFNA(VLOOKUP(A421,list!B:C,2,FALSE),"")</f>
        <v>ANY</v>
      </c>
      <c r="C421" s="48"/>
      <c r="D421" s="127"/>
      <c r="E421" s="48" t="str">
        <f>_xlfn.IFNA(VLOOKUP(Table3[[#This Row],[Product]], ProductListTbl[], 3, 0), "")</f>
        <v/>
      </c>
      <c r="F421" s="303" t="str">
        <f>_xlfn.IFNA(VLOOKUP(D421,ProductListTbl[],5,0),"")</f>
        <v/>
      </c>
      <c r="G421" s="303" t="str">
        <f>_xlfn.IFNA(VLOOKUP(D421,ProductListTbl[],6,0),"")</f>
        <v/>
      </c>
      <c r="H421" s="130" t="str">
        <f>_xlfn.IFNA(VLOOKUP(D421,ProductListTbl[],7,0),"")</f>
        <v/>
      </c>
      <c r="I421" s="130" t="str">
        <f>_xlfn.IFNA(VLOOKUP(D421,ProductListTbl[],8,0),"")</f>
        <v/>
      </c>
      <c r="J421" s="127"/>
      <c r="K421" s="129"/>
      <c r="L421" s="128"/>
      <c r="M421" s="305" t="str">
        <f>IFERROR(Table3[[#This Row],[Quantity (doses)]]/Table3[[#This Row],[Doses per vial or syringe]],"")</f>
        <v/>
      </c>
      <c r="N421" s="127"/>
      <c r="O421" s="127"/>
      <c r="P421" s="381"/>
      <c r="Q421" s="129"/>
      <c r="R421" s="127"/>
      <c r="S421" s="127"/>
      <c r="T421" s="127"/>
      <c r="U421" s="127"/>
      <c r="V421" s="305" t="str">
        <f>_xlfn.IFNA(VLOOKUP(D421,ProductListTbl[],9,0),"")</f>
        <v/>
      </c>
      <c r="W421" s="305" t="str">
        <f>IFERROR(Table3[[#This Row],[Storage space per secondary packaging (cm3)]]*Table3[[#This Row],[Quantity  (vials or syringes)]]/1000,"")</f>
        <v/>
      </c>
      <c r="X421" s="305" t="str">
        <f>IFERROR(Table3[[#This Row],[Storage space per tertiary packaging (cm3)]]*Table3[[#This Row],[Quantity (doses)]]/1000,"")</f>
        <v/>
      </c>
      <c r="Y421" s="293" t="str">
        <f>IF(Table3[[#This Row],[Status]]="Ordered",(DATE(YEAR(P421),MONTH(P421),1)),IF(Table3[[#This Row],[Status]]="Received",(DATE(YEAR(Q421),MONTH(Q421),1)),""))</f>
        <v/>
      </c>
      <c r="Z421" s="304" t="str">
        <f t="shared" si="24"/>
        <v/>
      </c>
      <c r="AA421" s="48" t="str">
        <f t="shared" si="25"/>
        <v/>
      </c>
      <c r="AB421" s="48" t="str">
        <f t="shared" si="26"/>
        <v/>
      </c>
      <c r="AC421" s="292" t="str">
        <f t="shared" si="27"/>
        <v/>
      </c>
      <c r="AD421" s="48" t="str">
        <f>IF(Table3[[#This Row],[Actual Arrival date]]&gt;0,IF(Table3[[#This Row],[Expected arrival date]]&gt;0,Table3[[#This Row],[Actual Arrival date]]-Table3[[#This Row],[Expected arrival date]],""),"")</f>
        <v/>
      </c>
    </row>
    <row r="422" spans="1:30" x14ac:dyDescent="0.25">
      <c r="A422" s="303" t="str">
        <f>Start!$D$7</f>
        <v>Anyland</v>
      </c>
      <c r="B422" s="48" t="str">
        <f>_xlfn.IFNA(VLOOKUP(A422,list!B:C,2,FALSE),"")</f>
        <v>ANY</v>
      </c>
      <c r="C422" s="48"/>
      <c r="D422" s="127"/>
      <c r="E422" s="48" t="str">
        <f>_xlfn.IFNA(VLOOKUP(Table3[[#This Row],[Product]], ProductListTbl[], 3, 0), "")</f>
        <v/>
      </c>
      <c r="F422" s="303" t="str">
        <f>_xlfn.IFNA(VLOOKUP(D422,ProductListTbl[],5,0),"")</f>
        <v/>
      </c>
      <c r="G422" s="303" t="str">
        <f>_xlfn.IFNA(VLOOKUP(D422,ProductListTbl[],6,0),"")</f>
        <v/>
      </c>
      <c r="H422" s="130" t="str">
        <f>_xlfn.IFNA(VLOOKUP(D422,ProductListTbl[],7,0),"")</f>
        <v/>
      </c>
      <c r="I422" s="130" t="str">
        <f>_xlfn.IFNA(VLOOKUP(D422,ProductListTbl[],8,0),"")</f>
        <v/>
      </c>
      <c r="J422" s="127"/>
      <c r="K422" s="129"/>
      <c r="L422" s="128"/>
      <c r="M422" s="305" t="str">
        <f>IFERROR(Table3[[#This Row],[Quantity (doses)]]/Table3[[#This Row],[Doses per vial or syringe]],"")</f>
        <v/>
      </c>
      <c r="N422" s="127"/>
      <c r="O422" s="127"/>
      <c r="P422" s="381"/>
      <c r="Q422" s="129"/>
      <c r="R422" s="127"/>
      <c r="S422" s="127"/>
      <c r="T422" s="127"/>
      <c r="U422" s="127"/>
      <c r="V422" s="305" t="str">
        <f>_xlfn.IFNA(VLOOKUP(D422,ProductListTbl[],9,0),"")</f>
        <v/>
      </c>
      <c r="W422" s="305" t="str">
        <f>IFERROR(Table3[[#This Row],[Storage space per secondary packaging (cm3)]]*Table3[[#This Row],[Quantity  (vials or syringes)]]/1000,"")</f>
        <v/>
      </c>
      <c r="X422" s="305" t="str">
        <f>IFERROR(Table3[[#This Row],[Storage space per tertiary packaging (cm3)]]*Table3[[#This Row],[Quantity (doses)]]/1000,"")</f>
        <v/>
      </c>
      <c r="Y422" s="293" t="str">
        <f>IF(Table3[[#This Row],[Status]]="Ordered",(DATE(YEAR(P422),MONTH(P422),1)),IF(Table3[[#This Row],[Status]]="Received",(DATE(YEAR(Q422),MONTH(Q422),1)),""))</f>
        <v/>
      </c>
      <c r="Z422" s="304" t="str">
        <f t="shared" si="24"/>
        <v/>
      </c>
      <c r="AA422" s="48" t="str">
        <f t="shared" si="25"/>
        <v/>
      </c>
      <c r="AB422" s="48" t="str">
        <f t="shared" si="26"/>
        <v/>
      </c>
      <c r="AC422" s="292" t="str">
        <f t="shared" si="27"/>
        <v/>
      </c>
      <c r="AD422" s="48" t="str">
        <f>IF(Table3[[#This Row],[Actual Arrival date]]&gt;0,IF(Table3[[#This Row],[Expected arrival date]]&gt;0,Table3[[#This Row],[Actual Arrival date]]-Table3[[#This Row],[Expected arrival date]],""),"")</f>
        <v/>
      </c>
    </row>
    <row r="423" spans="1:30" x14ac:dyDescent="0.25">
      <c r="A423" s="303" t="str">
        <f>Start!$D$7</f>
        <v>Anyland</v>
      </c>
      <c r="B423" s="48" t="str">
        <f>_xlfn.IFNA(VLOOKUP(A423,list!B:C,2,FALSE),"")</f>
        <v>ANY</v>
      </c>
      <c r="C423" s="48"/>
      <c r="D423" s="127"/>
      <c r="E423" s="48" t="str">
        <f>_xlfn.IFNA(VLOOKUP(Table3[[#This Row],[Product]], ProductListTbl[], 3, 0), "")</f>
        <v/>
      </c>
      <c r="F423" s="303" t="str">
        <f>_xlfn.IFNA(VLOOKUP(D423,ProductListTbl[],5,0),"")</f>
        <v/>
      </c>
      <c r="G423" s="303" t="str">
        <f>_xlfn.IFNA(VLOOKUP(D423,ProductListTbl[],6,0),"")</f>
        <v/>
      </c>
      <c r="H423" s="130" t="str">
        <f>_xlfn.IFNA(VLOOKUP(D423,ProductListTbl[],7,0),"")</f>
        <v/>
      </c>
      <c r="I423" s="130" t="str">
        <f>_xlfn.IFNA(VLOOKUP(D423,ProductListTbl[],8,0),"")</f>
        <v/>
      </c>
      <c r="J423" s="127"/>
      <c r="K423" s="129"/>
      <c r="L423" s="128"/>
      <c r="M423" s="305" t="str">
        <f>IFERROR(Table3[[#This Row],[Quantity (doses)]]/Table3[[#This Row],[Doses per vial or syringe]],"")</f>
        <v/>
      </c>
      <c r="N423" s="127"/>
      <c r="O423" s="127"/>
      <c r="P423" s="381"/>
      <c r="Q423" s="129"/>
      <c r="R423" s="127"/>
      <c r="S423" s="127"/>
      <c r="T423" s="127"/>
      <c r="U423" s="127"/>
      <c r="V423" s="305" t="str">
        <f>_xlfn.IFNA(VLOOKUP(D423,ProductListTbl[],9,0),"")</f>
        <v/>
      </c>
      <c r="W423" s="305" t="str">
        <f>IFERROR(Table3[[#This Row],[Storage space per secondary packaging (cm3)]]*Table3[[#This Row],[Quantity  (vials or syringes)]]/1000,"")</f>
        <v/>
      </c>
      <c r="X423" s="305" t="str">
        <f>IFERROR(Table3[[#This Row],[Storage space per tertiary packaging (cm3)]]*Table3[[#This Row],[Quantity (doses)]]/1000,"")</f>
        <v/>
      </c>
      <c r="Y423" s="293" t="str">
        <f>IF(Table3[[#This Row],[Status]]="Ordered",(DATE(YEAR(P423),MONTH(P423),1)),IF(Table3[[#This Row],[Status]]="Received",(DATE(YEAR(Q423),MONTH(Q423),1)),""))</f>
        <v/>
      </c>
      <c r="Z423" s="304" t="str">
        <f t="shared" si="24"/>
        <v/>
      </c>
      <c r="AA423" s="48" t="str">
        <f t="shared" si="25"/>
        <v/>
      </c>
      <c r="AB423" s="48" t="str">
        <f t="shared" si="26"/>
        <v/>
      </c>
      <c r="AC423" s="292" t="str">
        <f t="shared" si="27"/>
        <v/>
      </c>
      <c r="AD423" s="48" t="str">
        <f>IF(Table3[[#This Row],[Actual Arrival date]]&gt;0,IF(Table3[[#This Row],[Expected arrival date]]&gt;0,Table3[[#This Row],[Actual Arrival date]]-Table3[[#This Row],[Expected arrival date]],""),"")</f>
        <v/>
      </c>
    </row>
    <row r="424" spans="1:30" x14ac:dyDescent="0.25">
      <c r="A424" s="303" t="str">
        <f>Start!$D$7</f>
        <v>Anyland</v>
      </c>
      <c r="B424" s="48" t="str">
        <f>_xlfn.IFNA(VLOOKUP(A424,list!B:C,2,FALSE),"")</f>
        <v>ANY</v>
      </c>
      <c r="C424" s="48"/>
      <c r="D424" s="127"/>
      <c r="E424" s="48" t="str">
        <f>_xlfn.IFNA(VLOOKUP(Table3[[#This Row],[Product]], ProductListTbl[], 3, 0), "")</f>
        <v/>
      </c>
      <c r="F424" s="303" t="str">
        <f>_xlfn.IFNA(VLOOKUP(D424,ProductListTbl[],5,0),"")</f>
        <v/>
      </c>
      <c r="G424" s="303" t="str">
        <f>_xlfn.IFNA(VLOOKUP(D424,ProductListTbl[],6,0),"")</f>
        <v/>
      </c>
      <c r="H424" s="130" t="str">
        <f>_xlfn.IFNA(VLOOKUP(D424,ProductListTbl[],7,0),"")</f>
        <v/>
      </c>
      <c r="I424" s="130" t="str">
        <f>_xlfn.IFNA(VLOOKUP(D424,ProductListTbl[],8,0),"")</f>
        <v/>
      </c>
      <c r="J424" s="127"/>
      <c r="K424" s="129"/>
      <c r="L424" s="128"/>
      <c r="M424" s="305" t="str">
        <f>IFERROR(Table3[[#This Row],[Quantity (doses)]]/Table3[[#This Row],[Doses per vial or syringe]],"")</f>
        <v/>
      </c>
      <c r="N424" s="127"/>
      <c r="O424" s="127"/>
      <c r="P424" s="381"/>
      <c r="Q424" s="129"/>
      <c r="R424" s="127"/>
      <c r="S424" s="127"/>
      <c r="T424" s="127"/>
      <c r="U424" s="127"/>
      <c r="V424" s="305" t="str">
        <f>_xlfn.IFNA(VLOOKUP(D424,ProductListTbl[],9,0),"")</f>
        <v/>
      </c>
      <c r="W424" s="305" t="str">
        <f>IFERROR(Table3[[#This Row],[Storage space per secondary packaging (cm3)]]*Table3[[#This Row],[Quantity  (vials or syringes)]]/1000,"")</f>
        <v/>
      </c>
      <c r="X424" s="305" t="str">
        <f>IFERROR(Table3[[#This Row],[Storage space per tertiary packaging (cm3)]]*Table3[[#This Row],[Quantity (doses)]]/1000,"")</f>
        <v/>
      </c>
      <c r="Y424" s="293" t="str">
        <f>IF(Table3[[#This Row],[Status]]="Ordered",(DATE(YEAR(P424),MONTH(P424),1)),IF(Table3[[#This Row],[Status]]="Received",(DATE(YEAR(Q424),MONTH(Q424),1)),""))</f>
        <v/>
      </c>
      <c r="Z424" s="304" t="str">
        <f t="shared" si="24"/>
        <v/>
      </c>
      <c r="AA424" s="48" t="str">
        <f t="shared" si="25"/>
        <v/>
      </c>
      <c r="AB424" s="48" t="str">
        <f t="shared" si="26"/>
        <v/>
      </c>
      <c r="AC424" s="292" t="str">
        <f t="shared" si="27"/>
        <v/>
      </c>
      <c r="AD424" s="48" t="str">
        <f>IF(Table3[[#This Row],[Actual Arrival date]]&gt;0,IF(Table3[[#This Row],[Expected arrival date]]&gt;0,Table3[[#This Row],[Actual Arrival date]]-Table3[[#This Row],[Expected arrival date]],""),"")</f>
        <v/>
      </c>
    </row>
    <row r="425" spans="1:30" x14ac:dyDescent="0.25">
      <c r="A425" s="303" t="str">
        <f>Start!$D$7</f>
        <v>Anyland</v>
      </c>
      <c r="B425" s="48" t="str">
        <f>_xlfn.IFNA(VLOOKUP(A425,list!B:C,2,FALSE),"")</f>
        <v>ANY</v>
      </c>
      <c r="C425" s="48"/>
      <c r="D425" s="127"/>
      <c r="E425" s="48" t="str">
        <f>_xlfn.IFNA(VLOOKUP(Table3[[#This Row],[Product]], ProductListTbl[], 3, 0), "")</f>
        <v/>
      </c>
      <c r="F425" s="303" t="str">
        <f>_xlfn.IFNA(VLOOKUP(D425,ProductListTbl[],5,0),"")</f>
        <v/>
      </c>
      <c r="G425" s="303" t="str">
        <f>_xlfn.IFNA(VLOOKUP(D425,ProductListTbl[],6,0),"")</f>
        <v/>
      </c>
      <c r="H425" s="130" t="str">
        <f>_xlfn.IFNA(VLOOKUP(D425,ProductListTbl[],7,0),"")</f>
        <v/>
      </c>
      <c r="I425" s="130" t="str">
        <f>_xlfn.IFNA(VLOOKUP(D425,ProductListTbl[],8,0),"")</f>
        <v/>
      </c>
      <c r="J425" s="127"/>
      <c r="K425" s="129"/>
      <c r="L425" s="128"/>
      <c r="M425" s="305" t="str">
        <f>IFERROR(Table3[[#This Row],[Quantity (doses)]]/Table3[[#This Row],[Doses per vial or syringe]],"")</f>
        <v/>
      </c>
      <c r="N425" s="127"/>
      <c r="O425" s="127"/>
      <c r="P425" s="381"/>
      <c r="Q425" s="129"/>
      <c r="R425" s="127"/>
      <c r="S425" s="127"/>
      <c r="T425" s="127"/>
      <c r="U425" s="127"/>
      <c r="V425" s="305" t="str">
        <f>_xlfn.IFNA(VLOOKUP(D425,ProductListTbl[],9,0),"")</f>
        <v/>
      </c>
      <c r="W425" s="305" t="str">
        <f>IFERROR(Table3[[#This Row],[Storage space per secondary packaging (cm3)]]*Table3[[#This Row],[Quantity  (vials or syringes)]]/1000,"")</f>
        <v/>
      </c>
      <c r="X425" s="305" t="str">
        <f>IFERROR(Table3[[#This Row],[Storage space per tertiary packaging (cm3)]]*Table3[[#This Row],[Quantity (doses)]]/1000,"")</f>
        <v/>
      </c>
      <c r="Y425" s="293" t="str">
        <f>IF(Table3[[#This Row],[Status]]="Ordered",(DATE(YEAR(P425),MONTH(P425),1)),IF(Table3[[#This Row],[Status]]="Received",(DATE(YEAR(Q425),MONTH(Q425),1)),""))</f>
        <v/>
      </c>
      <c r="Z425" s="304" t="str">
        <f t="shared" si="24"/>
        <v/>
      </c>
      <c r="AA425" s="48" t="str">
        <f t="shared" si="25"/>
        <v/>
      </c>
      <c r="AB425" s="48" t="str">
        <f t="shared" si="26"/>
        <v/>
      </c>
      <c r="AC425" s="292" t="str">
        <f t="shared" si="27"/>
        <v/>
      </c>
      <c r="AD425" s="48" t="str">
        <f>IF(Table3[[#This Row],[Actual Arrival date]]&gt;0,IF(Table3[[#This Row],[Expected arrival date]]&gt;0,Table3[[#This Row],[Actual Arrival date]]-Table3[[#This Row],[Expected arrival date]],""),"")</f>
        <v/>
      </c>
    </row>
    <row r="426" spans="1:30" x14ac:dyDescent="0.25">
      <c r="A426" s="303" t="str">
        <f>Start!$D$7</f>
        <v>Anyland</v>
      </c>
      <c r="B426" s="48" t="str">
        <f>_xlfn.IFNA(VLOOKUP(A426,list!B:C,2,FALSE),"")</f>
        <v>ANY</v>
      </c>
      <c r="C426" s="48"/>
      <c r="D426" s="127"/>
      <c r="E426" s="48" t="str">
        <f>_xlfn.IFNA(VLOOKUP(Table3[[#This Row],[Product]], ProductListTbl[], 3, 0), "")</f>
        <v/>
      </c>
      <c r="F426" s="303" t="str">
        <f>_xlfn.IFNA(VLOOKUP(D426,ProductListTbl[],5,0),"")</f>
        <v/>
      </c>
      <c r="G426" s="303" t="str">
        <f>_xlfn.IFNA(VLOOKUP(D426,ProductListTbl[],6,0),"")</f>
        <v/>
      </c>
      <c r="H426" s="130" t="str">
        <f>_xlfn.IFNA(VLOOKUP(D426,ProductListTbl[],7,0),"")</f>
        <v/>
      </c>
      <c r="I426" s="130" t="str">
        <f>_xlfn.IFNA(VLOOKUP(D426,ProductListTbl[],8,0),"")</f>
        <v/>
      </c>
      <c r="J426" s="127"/>
      <c r="K426" s="129"/>
      <c r="L426" s="128"/>
      <c r="M426" s="305" t="str">
        <f>IFERROR(Table3[[#This Row],[Quantity (doses)]]/Table3[[#This Row],[Doses per vial or syringe]],"")</f>
        <v/>
      </c>
      <c r="N426" s="127"/>
      <c r="O426" s="127"/>
      <c r="P426" s="381"/>
      <c r="Q426" s="129"/>
      <c r="R426" s="127"/>
      <c r="S426" s="127"/>
      <c r="T426" s="127"/>
      <c r="U426" s="127"/>
      <c r="V426" s="305" t="str">
        <f>_xlfn.IFNA(VLOOKUP(D426,ProductListTbl[],9,0),"")</f>
        <v/>
      </c>
      <c r="W426" s="305" t="str">
        <f>IFERROR(Table3[[#This Row],[Storage space per secondary packaging (cm3)]]*Table3[[#This Row],[Quantity  (vials or syringes)]]/1000,"")</f>
        <v/>
      </c>
      <c r="X426" s="305" t="str">
        <f>IFERROR(Table3[[#This Row],[Storage space per tertiary packaging (cm3)]]*Table3[[#This Row],[Quantity (doses)]]/1000,"")</f>
        <v/>
      </c>
      <c r="Y426" s="293" t="str">
        <f>IF(Table3[[#This Row],[Status]]="Ordered",(DATE(YEAR(P426),MONTH(P426),1)),IF(Table3[[#This Row],[Status]]="Received",(DATE(YEAR(Q426),MONTH(Q426),1)),""))</f>
        <v/>
      </c>
      <c r="Z426" s="304" t="str">
        <f t="shared" si="24"/>
        <v/>
      </c>
      <c r="AA426" s="48" t="str">
        <f t="shared" si="25"/>
        <v/>
      </c>
      <c r="AB426" s="48" t="str">
        <f t="shared" si="26"/>
        <v/>
      </c>
      <c r="AC426" s="292" t="str">
        <f t="shared" si="27"/>
        <v/>
      </c>
      <c r="AD426" s="48" t="str">
        <f>IF(Table3[[#This Row],[Actual Arrival date]]&gt;0,IF(Table3[[#This Row],[Expected arrival date]]&gt;0,Table3[[#This Row],[Actual Arrival date]]-Table3[[#This Row],[Expected arrival date]],""),"")</f>
        <v/>
      </c>
    </row>
    <row r="427" spans="1:30" x14ac:dyDescent="0.25">
      <c r="A427" s="303" t="str">
        <f>Start!$D$7</f>
        <v>Anyland</v>
      </c>
      <c r="B427" s="48" t="str">
        <f>_xlfn.IFNA(VLOOKUP(A427,list!B:C,2,FALSE),"")</f>
        <v>ANY</v>
      </c>
      <c r="C427" s="48"/>
      <c r="D427" s="127"/>
      <c r="E427" s="48" t="str">
        <f>_xlfn.IFNA(VLOOKUP(Table3[[#This Row],[Product]], ProductListTbl[], 3, 0), "")</f>
        <v/>
      </c>
      <c r="F427" s="303" t="str">
        <f>_xlfn.IFNA(VLOOKUP(D427,ProductListTbl[],5,0),"")</f>
        <v/>
      </c>
      <c r="G427" s="303" t="str">
        <f>_xlfn.IFNA(VLOOKUP(D427,ProductListTbl[],6,0),"")</f>
        <v/>
      </c>
      <c r="H427" s="130" t="str">
        <f>_xlfn.IFNA(VLOOKUP(D427,ProductListTbl[],7,0),"")</f>
        <v/>
      </c>
      <c r="I427" s="130" t="str">
        <f>_xlfn.IFNA(VLOOKUP(D427,ProductListTbl[],8,0),"")</f>
        <v/>
      </c>
      <c r="J427" s="127"/>
      <c r="K427" s="129"/>
      <c r="L427" s="128"/>
      <c r="M427" s="305" t="str">
        <f>IFERROR(Table3[[#This Row],[Quantity (doses)]]/Table3[[#This Row],[Doses per vial or syringe]],"")</f>
        <v/>
      </c>
      <c r="N427" s="127"/>
      <c r="O427" s="127"/>
      <c r="P427" s="381"/>
      <c r="Q427" s="129"/>
      <c r="R427" s="127"/>
      <c r="S427" s="127"/>
      <c r="T427" s="127"/>
      <c r="U427" s="127"/>
      <c r="V427" s="305" t="str">
        <f>_xlfn.IFNA(VLOOKUP(D427,ProductListTbl[],9,0),"")</f>
        <v/>
      </c>
      <c r="W427" s="305" t="str">
        <f>IFERROR(Table3[[#This Row],[Storage space per secondary packaging (cm3)]]*Table3[[#This Row],[Quantity  (vials or syringes)]]/1000,"")</f>
        <v/>
      </c>
      <c r="X427" s="305" t="str">
        <f>IFERROR(Table3[[#This Row],[Storage space per tertiary packaging (cm3)]]*Table3[[#This Row],[Quantity (doses)]]/1000,"")</f>
        <v/>
      </c>
      <c r="Y427" s="293" t="str">
        <f>IF(Table3[[#This Row],[Status]]="Ordered",(DATE(YEAR(P427),MONTH(P427),1)),IF(Table3[[#This Row],[Status]]="Received",(DATE(YEAR(Q427),MONTH(Q427),1)),""))</f>
        <v/>
      </c>
      <c r="Z427" s="304" t="str">
        <f t="shared" si="24"/>
        <v/>
      </c>
      <c r="AA427" s="48" t="str">
        <f t="shared" si="25"/>
        <v/>
      </c>
      <c r="AB427" s="48" t="str">
        <f t="shared" si="26"/>
        <v/>
      </c>
      <c r="AC427" s="292" t="str">
        <f t="shared" si="27"/>
        <v/>
      </c>
      <c r="AD427" s="48" t="str">
        <f>IF(Table3[[#This Row],[Actual Arrival date]]&gt;0,IF(Table3[[#This Row],[Expected arrival date]]&gt;0,Table3[[#This Row],[Actual Arrival date]]-Table3[[#This Row],[Expected arrival date]],""),"")</f>
        <v/>
      </c>
    </row>
    <row r="428" spans="1:30" x14ac:dyDescent="0.25">
      <c r="A428" s="303" t="str">
        <f>Start!$D$7</f>
        <v>Anyland</v>
      </c>
      <c r="B428" s="48" t="str">
        <f>_xlfn.IFNA(VLOOKUP(A428,list!B:C,2,FALSE),"")</f>
        <v>ANY</v>
      </c>
      <c r="C428" s="48"/>
      <c r="D428" s="127"/>
      <c r="E428" s="48" t="str">
        <f>_xlfn.IFNA(VLOOKUP(Table3[[#This Row],[Product]], ProductListTbl[], 3, 0), "")</f>
        <v/>
      </c>
      <c r="F428" s="303" t="str">
        <f>_xlfn.IFNA(VLOOKUP(D428,ProductListTbl[],5,0),"")</f>
        <v/>
      </c>
      <c r="G428" s="303" t="str">
        <f>_xlfn.IFNA(VLOOKUP(D428,ProductListTbl[],6,0),"")</f>
        <v/>
      </c>
      <c r="H428" s="130" t="str">
        <f>_xlfn.IFNA(VLOOKUP(D428,ProductListTbl[],7,0),"")</f>
        <v/>
      </c>
      <c r="I428" s="130" t="str">
        <f>_xlfn.IFNA(VLOOKUP(D428,ProductListTbl[],8,0),"")</f>
        <v/>
      </c>
      <c r="J428" s="127"/>
      <c r="K428" s="129"/>
      <c r="L428" s="128"/>
      <c r="M428" s="305" t="str">
        <f>IFERROR(Table3[[#This Row],[Quantity (doses)]]/Table3[[#This Row],[Doses per vial or syringe]],"")</f>
        <v/>
      </c>
      <c r="N428" s="127"/>
      <c r="O428" s="127"/>
      <c r="P428" s="381"/>
      <c r="Q428" s="129"/>
      <c r="R428" s="127"/>
      <c r="S428" s="127"/>
      <c r="T428" s="127"/>
      <c r="U428" s="127"/>
      <c r="V428" s="305" t="str">
        <f>_xlfn.IFNA(VLOOKUP(D428,ProductListTbl[],9,0),"")</f>
        <v/>
      </c>
      <c r="W428" s="305" t="str">
        <f>IFERROR(Table3[[#This Row],[Storage space per secondary packaging (cm3)]]*Table3[[#This Row],[Quantity  (vials or syringes)]]/1000,"")</f>
        <v/>
      </c>
      <c r="X428" s="305" t="str">
        <f>IFERROR(Table3[[#This Row],[Storage space per tertiary packaging (cm3)]]*Table3[[#This Row],[Quantity (doses)]]/1000,"")</f>
        <v/>
      </c>
      <c r="Y428" s="293" t="str">
        <f>IF(Table3[[#This Row],[Status]]="Ordered",(DATE(YEAR(P428),MONTH(P428),1)),IF(Table3[[#This Row],[Status]]="Received",(DATE(YEAR(Q428),MONTH(Q428),1)),""))</f>
        <v/>
      </c>
      <c r="Z428" s="304" t="str">
        <f t="shared" si="24"/>
        <v/>
      </c>
      <c r="AA428" s="48" t="str">
        <f t="shared" si="25"/>
        <v/>
      </c>
      <c r="AB428" s="48" t="str">
        <f t="shared" si="26"/>
        <v/>
      </c>
      <c r="AC428" s="292" t="str">
        <f t="shared" si="27"/>
        <v/>
      </c>
      <c r="AD428" s="48" t="str">
        <f>IF(Table3[[#This Row],[Actual Arrival date]]&gt;0,IF(Table3[[#This Row],[Expected arrival date]]&gt;0,Table3[[#This Row],[Actual Arrival date]]-Table3[[#This Row],[Expected arrival date]],""),"")</f>
        <v/>
      </c>
    </row>
    <row r="429" spans="1:30" x14ac:dyDescent="0.25">
      <c r="A429" s="303" t="str">
        <f>Start!$D$7</f>
        <v>Anyland</v>
      </c>
      <c r="B429" s="48" t="str">
        <f>_xlfn.IFNA(VLOOKUP(A429,list!B:C,2,FALSE),"")</f>
        <v>ANY</v>
      </c>
      <c r="C429" s="48"/>
      <c r="D429" s="127"/>
      <c r="E429" s="48" t="str">
        <f>_xlfn.IFNA(VLOOKUP(Table3[[#This Row],[Product]], ProductListTbl[], 3, 0), "")</f>
        <v/>
      </c>
      <c r="F429" s="303" t="str">
        <f>_xlfn.IFNA(VLOOKUP(D429,ProductListTbl[],5,0),"")</f>
        <v/>
      </c>
      <c r="G429" s="303" t="str">
        <f>_xlfn.IFNA(VLOOKUP(D429,ProductListTbl[],6,0),"")</f>
        <v/>
      </c>
      <c r="H429" s="130" t="str">
        <f>_xlfn.IFNA(VLOOKUP(D429,ProductListTbl[],7,0),"")</f>
        <v/>
      </c>
      <c r="I429" s="130" t="str">
        <f>_xlfn.IFNA(VLOOKUP(D429,ProductListTbl[],8,0),"")</f>
        <v/>
      </c>
      <c r="J429" s="127"/>
      <c r="K429" s="129"/>
      <c r="L429" s="128"/>
      <c r="M429" s="305" t="str">
        <f>IFERROR(Table3[[#This Row],[Quantity (doses)]]/Table3[[#This Row],[Doses per vial or syringe]],"")</f>
        <v/>
      </c>
      <c r="N429" s="127"/>
      <c r="O429" s="127"/>
      <c r="P429" s="381"/>
      <c r="Q429" s="129"/>
      <c r="R429" s="127"/>
      <c r="S429" s="127"/>
      <c r="T429" s="127"/>
      <c r="U429" s="127"/>
      <c r="V429" s="305" t="str">
        <f>_xlfn.IFNA(VLOOKUP(D429,ProductListTbl[],9,0),"")</f>
        <v/>
      </c>
      <c r="W429" s="305" t="str">
        <f>IFERROR(Table3[[#This Row],[Storage space per secondary packaging (cm3)]]*Table3[[#This Row],[Quantity  (vials or syringes)]]/1000,"")</f>
        <v/>
      </c>
      <c r="X429" s="305" t="str">
        <f>IFERROR(Table3[[#This Row],[Storage space per tertiary packaging (cm3)]]*Table3[[#This Row],[Quantity (doses)]]/1000,"")</f>
        <v/>
      </c>
      <c r="Y429" s="293" t="str">
        <f>IF(Table3[[#This Row],[Status]]="Ordered",(DATE(YEAR(P429),MONTH(P429),1)),IF(Table3[[#This Row],[Status]]="Received",(DATE(YEAR(Q429),MONTH(Q429),1)),""))</f>
        <v/>
      </c>
      <c r="Z429" s="304" t="str">
        <f t="shared" si="24"/>
        <v/>
      </c>
      <c r="AA429" s="48" t="str">
        <f t="shared" si="25"/>
        <v/>
      </c>
      <c r="AB429" s="48" t="str">
        <f t="shared" si="26"/>
        <v/>
      </c>
      <c r="AC429" s="292" t="str">
        <f t="shared" si="27"/>
        <v/>
      </c>
      <c r="AD429" s="48" t="str">
        <f>IF(Table3[[#This Row],[Actual Arrival date]]&gt;0,IF(Table3[[#This Row],[Expected arrival date]]&gt;0,Table3[[#This Row],[Actual Arrival date]]-Table3[[#This Row],[Expected arrival date]],""),"")</f>
        <v/>
      </c>
    </row>
    <row r="430" spans="1:30" x14ac:dyDescent="0.25">
      <c r="A430" s="303" t="str">
        <f>Start!$D$7</f>
        <v>Anyland</v>
      </c>
      <c r="B430" s="48" t="str">
        <f>_xlfn.IFNA(VLOOKUP(A430,list!B:C,2,FALSE),"")</f>
        <v>ANY</v>
      </c>
      <c r="C430" s="48"/>
      <c r="D430" s="127"/>
      <c r="E430" s="48" t="str">
        <f>_xlfn.IFNA(VLOOKUP(Table3[[#This Row],[Product]], ProductListTbl[], 3, 0), "")</f>
        <v/>
      </c>
      <c r="F430" s="303" t="str">
        <f>_xlfn.IFNA(VLOOKUP(D430,ProductListTbl[],5,0),"")</f>
        <v/>
      </c>
      <c r="G430" s="303" t="str">
        <f>_xlfn.IFNA(VLOOKUP(D430,ProductListTbl[],6,0),"")</f>
        <v/>
      </c>
      <c r="H430" s="130" t="str">
        <f>_xlfn.IFNA(VLOOKUP(D430,ProductListTbl[],7,0),"")</f>
        <v/>
      </c>
      <c r="I430" s="130" t="str">
        <f>_xlfn.IFNA(VLOOKUP(D430,ProductListTbl[],8,0),"")</f>
        <v/>
      </c>
      <c r="J430" s="127"/>
      <c r="K430" s="129"/>
      <c r="L430" s="128"/>
      <c r="M430" s="305" t="str">
        <f>IFERROR(Table3[[#This Row],[Quantity (doses)]]/Table3[[#This Row],[Doses per vial or syringe]],"")</f>
        <v/>
      </c>
      <c r="N430" s="127"/>
      <c r="O430" s="127"/>
      <c r="P430" s="381"/>
      <c r="Q430" s="129"/>
      <c r="R430" s="127"/>
      <c r="S430" s="127"/>
      <c r="T430" s="127"/>
      <c r="U430" s="127"/>
      <c r="V430" s="305" t="str">
        <f>_xlfn.IFNA(VLOOKUP(D430,ProductListTbl[],9,0),"")</f>
        <v/>
      </c>
      <c r="W430" s="305" t="str">
        <f>IFERROR(Table3[[#This Row],[Storage space per secondary packaging (cm3)]]*Table3[[#This Row],[Quantity  (vials or syringes)]]/1000,"")</f>
        <v/>
      </c>
      <c r="X430" s="305" t="str">
        <f>IFERROR(Table3[[#This Row],[Storage space per tertiary packaging (cm3)]]*Table3[[#This Row],[Quantity (doses)]]/1000,"")</f>
        <v/>
      </c>
      <c r="Y430" s="293" t="str">
        <f>IF(Table3[[#This Row],[Status]]="Ordered",(DATE(YEAR(P430),MONTH(P430),1)),IF(Table3[[#This Row],[Status]]="Received",(DATE(YEAR(Q430),MONTH(Q430),1)),""))</f>
        <v/>
      </c>
      <c r="Z430" s="304" t="str">
        <f t="shared" si="24"/>
        <v/>
      </c>
      <c r="AA430" s="48" t="str">
        <f t="shared" si="25"/>
        <v/>
      </c>
      <c r="AB430" s="48" t="str">
        <f t="shared" si="26"/>
        <v/>
      </c>
      <c r="AC430" s="292" t="str">
        <f t="shared" si="27"/>
        <v/>
      </c>
      <c r="AD430" s="48" t="str">
        <f>IF(Table3[[#This Row],[Actual Arrival date]]&gt;0,IF(Table3[[#This Row],[Expected arrival date]]&gt;0,Table3[[#This Row],[Actual Arrival date]]-Table3[[#This Row],[Expected arrival date]],""),"")</f>
        <v/>
      </c>
    </row>
    <row r="431" spans="1:30" x14ac:dyDescent="0.25">
      <c r="A431" s="303" t="str">
        <f>Start!$D$7</f>
        <v>Anyland</v>
      </c>
      <c r="B431" s="48" t="str">
        <f>_xlfn.IFNA(VLOOKUP(A431,list!B:C,2,FALSE),"")</f>
        <v>ANY</v>
      </c>
      <c r="C431" s="48"/>
      <c r="D431" s="127"/>
      <c r="E431" s="48" t="str">
        <f>_xlfn.IFNA(VLOOKUP(Table3[[#This Row],[Product]], ProductListTbl[], 3, 0), "")</f>
        <v/>
      </c>
      <c r="F431" s="303" t="str">
        <f>_xlfn.IFNA(VLOOKUP(D431,ProductListTbl[],5,0),"")</f>
        <v/>
      </c>
      <c r="G431" s="303" t="str">
        <f>_xlfn.IFNA(VLOOKUP(D431,ProductListTbl[],6,0),"")</f>
        <v/>
      </c>
      <c r="H431" s="130" t="str">
        <f>_xlfn.IFNA(VLOOKUP(D431,ProductListTbl[],7,0),"")</f>
        <v/>
      </c>
      <c r="I431" s="130" t="str">
        <f>_xlfn.IFNA(VLOOKUP(D431,ProductListTbl[],8,0),"")</f>
        <v/>
      </c>
      <c r="J431" s="127"/>
      <c r="K431" s="129"/>
      <c r="L431" s="128"/>
      <c r="M431" s="305" t="str">
        <f>IFERROR(Table3[[#This Row],[Quantity (doses)]]/Table3[[#This Row],[Doses per vial or syringe]],"")</f>
        <v/>
      </c>
      <c r="N431" s="127"/>
      <c r="O431" s="127"/>
      <c r="P431" s="381"/>
      <c r="Q431" s="129"/>
      <c r="R431" s="127"/>
      <c r="S431" s="127"/>
      <c r="T431" s="127"/>
      <c r="U431" s="127"/>
      <c r="V431" s="305" t="str">
        <f>_xlfn.IFNA(VLOOKUP(D431,ProductListTbl[],9,0),"")</f>
        <v/>
      </c>
      <c r="W431" s="305" t="str">
        <f>IFERROR(Table3[[#This Row],[Storage space per secondary packaging (cm3)]]*Table3[[#This Row],[Quantity  (vials or syringes)]]/1000,"")</f>
        <v/>
      </c>
      <c r="X431" s="305" t="str">
        <f>IFERROR(Table3[[#This Row],[Storage space per tertiary packaging (cm3)]]*Table3[[#This Row],[Quantity (doses)]]/1000,"")</f>
        <v/>
      </c>
      <c r="Y431" s="293" t="str">
        <f>IF(Table3[[#This Row],[Status]]="Ordered",(DATE(YEAR(P431),MONTH(P431),1)),IF(Table3[[#This Row],[Status]]="Received",(DATE(YEAR(Q431),MONTH(Q431),1)),""))</f>
        <v/>
      </c>
      <c r="Z431" s="304" t="str">
        <f t="shared" si="24"/>
        <v/>
      </c>
      <c r="AA431" s="48" t="str">
        <f t="shared" si="25"/>
        <v/>
      </c>
      <c r="AB431" s="48" t="str">
        <f t="shared" si="26"/>
        <v/>
      </c>
      <c r="AC431" s="292" t="str">
        <f t="shared" si="27"/>
        <v/>
      </c>
      <c r="AD431" s="48" t="str">
        <f>IF(Table3[[#This Row],[Actual Arrival date]]&gt;0,IF(Table3[[#This Row],[Expected arrival date]]&gt;0,Table3[[#This Row],[Actual Arrival date]]-Table3[[#This Row],[Expected arrival date]],""),"")</f>
        <v/>
      </c>
    </row>
    <row r="432" spans="1:30" x14ac:dyDescent="0.25">
      <c r="A432" s="303" t="str">
        <f>Start!$D$7</f>
        <v>Anyland</v>
      </c>
      <c r="B432" s="48" t="str">
        <f>_xlfn.IFNA(VLOOKUP(A432,list!B:C,2,FALSE),"")</f>
        <v>ANY</v>
      </c>
      <c r="C432" s="48"/>
      <c r="D432" s="127"/>
      <c r="E432" s="48" t="str">
        <f>_xlfn.IFNA(VLOOKUP(Table3[[#This Row],[Product]], ProductListTbl[], 3, 0), "")</f>
        <v/>
      </c>
      <c r="F432" s="303" t="str">
        <f>_xlfn.IFNA(VLOOKUP(D432,ProductListTbl[],5,0),"")</f>
        <v/>
      </c>
      <c r="G432" s="303" t="str">
        <f>_xlfn.IFNA(VLOOKUP(D432,ProductListTbl[],6,0),"")</f>
        <v/>
      </c>
      <c r="H432" s="130" t="str">
        <f>_xlfn.IFNA(VLOOKUP(D432,ProductListTbl[],7,0),"")</f>
        <v/>
      </c>
      <c r="I432" s="130" t="str">
        <f>_xlfn.IFNA(VLOOKUP(D432,ProductListTbl[],8,0),"")</f>
        <v/>
      </c>
      <c r="J432" s="127"/>
      <c r="K432" s="129"/>
      <c r="L432" s="128"/>
      <c r="M432" s="305" t="str">
        <f>IFERROR(Table3[[#This Row],[Quantity (doses)]]/Table3[[#This Row],[Doses per vial or syringe]],"")</f>
        <v/>
      </c>
      <c r="N432" s="127"/>
      <c r="O432" s="127"/>
      <c r="P432" s="381"/>
      <c r="Q432" s="129"/>
      <c r="R432" s="127"/>
      <c r="S432" s="127"/>
      <c r="T432" s="127"/>
      <c r="U432" s="127"/>
      <c r="V432" s="305" t="str">
        <f>_xlfn.IFNA(VLOOKUP(D432,ProductListTbl[],9,0),"")</f>
        <v/>
      </c>
      <c r="W432" s="305" t="str">
        <f>IFERROR(Table3[[#This Row],[Storage space per secondary packaging (cm3)]]*Table3[[#This Row],[Quantity  (vials or syringes)]]/1000,"")</f>
        <v/>
      </c>
      <c r="X432" s="305" t="str">
        <f>IFERROR(Table3[[#This Row],[Storage space per tertiary packaging (cm3)]]*Table3[[#This Row],[Quantity (doses)]]/1000,"")</f>
        <v/>
      </c>
      <c r="Y432" s="293" t="str">
        <f>IF(Table3[[#This Row],[Status]]="Ordered",(DATE(YEAR(P432),MONTH(P432),1)),IF(Table3[[#This Row],[Status]]="Received",(DATE(YEAR(Q432),MONTH(Q432),1)),""))</f>
        <v/>
      </c>
      <c r="Z432" s="304" t="str">
        <f t="shared" si="24"/>
        <v/>
      </c>
      <c r="AA432" s="48" t="str">
        <f t="shared" si="25"/>
        <v/>
      </c>
      <c r="AB432" s="48" t="str">
        <f t="shared" si="26"/>
        <v/>
      </c>
      <c r="AC432" s="292" t="str">
        <f t="shared" si="27"/>
        <v/>
      </c>
      <c r="AD432" s="48" t="str">
        <f>IF(Table3[[#This Row],[Actual Arrival date]]&gt;0,IF(Table3[[#This Row],[Expected arrival date]]&gt;0,Table3[[#This Row],[Actual Arrival date]]-Table3[[#This Row],[Expected arrival date]],""),"")</f>
        <v/>
      </c>
    </row>
    <row r="433" spans="1:30" x14ac:dyDescent="0.25">
      <c r="A433" s="303" t="str">
        <f>Start!$D$7</f>
        <v>Anyland</v>
      </c>
      <c r="B433" s="48" t="str">
        <f>_xlfn.IFNA(VLOOKUP(A433,list!B:C,2,FALSE),"")</f>
        <v>ANY</v>
      </c>
      <c r="C433" s="48"/>
      <c r="D433" s="127"/>
      <c r="E433" s="48" t="str">
        <f>_xlfn.IFNA(VLOOKUP(Table3[[#This Row],[Product]], ProductListTbl[], 3, 0), "")</f>
        <v/>
      </c>
      <c r="F433" s="303" t="str">
        <f>_xlfn.IFNA(VLOOKUP(D433,ProductListTbl[],5,0),"")</f>
        <v/>
      </c>
      <c r="G433" s="303" t="str">
        <f>_xlfn.IFNA(VLOOKUP(D433,ProductListTbl[],6,0),"")</f>
        <v/>
      </c>
      <c r="H433" s="130" t="str">
        <f>_xlfn.IFNA(VLOOKUP(D433,ProductListTbl[],7,0),"")</f>
        <v/>
      </c>
      <c r="I433" s="130" t="str">
        <f>_xlfn.IFNA(VLOOKUP(D433,ProductListTbl[],8,0),"")</f>
        <v/>
      </c>
      <c r="J433" s="127"/>
      <c r="K433" s="129"/>
      <c r="L433" s="128"/>
      <c r="M433" s="305" t="str">
        <f>IFERROR(Table3[[#This Row],[Quantity (doses)]]/Table3[[#This Row],[Doses per vial or syringe]],"")</f>
        <v/>
      </c>
      <c r="N433" s="127"/>
      <c r="O433" s="127"/>
      <c r="P433" s="381"/>
      <c r="Q433" s="129"/>
      <c r="R433" s="127"/>
      <c r="S433" s="127"/>
      <c r="T433" s="127"/>
      <c r="U433" s="127"/>
      <c r="V433" s="305" t="str">
        <f>_xlfn.IFNA(VLOOKUP(D433,ProductListTbl[],9,0),"")</f>
        <v/>
      </c>
      <c r="W433" s="305" t="str">
        <f>IFERROR(Table3[[#This Row],[Storage space per secondary packaging (cm3)]]*Table3[[#This Row],[Quantity  (vials or syringes)]]/1000,"")</f>
        <v/>
      </c>
      <c r="X433" s="305" t="str">
        <f>IFERROR(Table3[[#This Row],[Storage space per tertiary packaging (cm3)]]*Table3[[#This Row],[Quantity (doses)]]/1000,"")</f>
        <v/>
      </c>
      <c r="Y433" s="293" t="str">
        <f>IF(Table3[[#This Row],[Status]]="Ordered",(DATE(YEAR(P433),MONTH(P433),1)),IF(Table3[[#This Row],[Status]]="Received",(DATE(YEAR(Q433),MONTH(Q433),1)),""))</f>
        <v/>
      </c>
      <c r="Z433" s="304" t="str">
        <f t="shared" si="24"/>
        <v/>
      </c>
      <c r="AA433" s="48" t="str">
        <f t="shared" si="25"/>
        <v/>
      </c>
      <c r="AB433" s="48" t="str">
        <f t="shared" si="26"/>
        <v/>
      </c>
      <c r="AC433" s="292" t="str">
        <f t="shared" si="27"/>
        <v/>
      </c>
      <c r="AD433" s="48" t="str">
        <f>IF(Table3[[#This Row],[Actual Arrival date]]&gt;0,IF(Table3[[#This Row],[Expected arrival date]]&gt;0,Table3[[#This Row],[Actual Arrival date]]-Table3[[#This Row],[Expected arrival date]],""),"")</f>
        <v/>
      </c>
    </row>
    <row r="434" spans="1:30" x14ac:dyDescent="0.25">
      <c r="A434" s="303" t="str">
        <f>Start!$D$7</f>
        <v>Anyland</v>
      </c>
      <c r="B434" s="48" t="str">
        <f>_xlfn.IFNA(VLOOKUP(A434,list!B:C,2,FALSE),"")</f>
        <v>ANY</v>
      </c>
      <c r="C434" s="48"/>
      <c r="D434" s="127"/>
      <c r="E434" s="48" t="str">
        <f>_xlfn.IFNA(VLOOKUP(Table3[[#This Row],[Product]], ProductListTbl[], 3, 0), "")</f>
        <v/>
      </c>
      <c r="F434" s="303" t="str">
        <f>_xlfn.IFNA(VLOOKUP(D434,ProductListTbl[],5,0),"")</f>
        <v/>
      </c>
      <c r="G434" s="303" t="str">
        <f>_xlfn.IFNA(VLOOKUP(D434,ProductListTbl[],6,0),"")</f>
        <v/>
      </c>
      <c r="H434" s="130" t="str">
        <f>_xlfn.IFNA(VLOOKUP(D434,ProductListTbl[],7,0),"")</f>
        <v/>
      </c>
      <c r="I434" s="130" t="str">
        <f>_xlfn.IFNA(VLOOKUP(D434,ProductListTbl[],8,0),"")</f>
        <v/>
      </c>
      <c r="J434" s="127"/>
      <c r="K434" s="129"/>
      <c r="L434" s="128"/>
      <c r="M434" s="305" t="str">
        <f>IFERROR(Table3[[#This Row],[Quantity (doses)]]/Table3[[#This Row],[Doses per vial or syringe]],"")</f>
        <v/>
      </c>
      <c r="N434" s="127"/>
      <c r="O434" s="127"/>
      <c r="P434" s="381"/>
      <c r="Q434" s="129"/>
      <c r="R434" s="127"/>
      <c r="S434" s="127"/>
      <c r="T434" s="127"/>
      <c r="U434" s="127"/>
      <c r="V434" s="305" t="str">
        <f>_xlfn.IFNA(VLOOKUP(D434,ProductListTbl[],9,0),"")</f>
        <v/>
      </c>
      <c r="W434" s="305" t="str">
        <f>IFERROR(Table3[[#This Row],[Storage space per secondary packaging (cm3)]]*Table3[[#This Row],[Quantity  (vials or syringes)]]/1000,"")</f>
        <v/>
      </c>
      <c r="X434" s="305" t="str">
        <f>IFERROR(Table3[[#This Row],[Storage space per tertiary packaging (cm3)]]*Table3[[#This Row],[Quantity (doses)]]/1000,"")</f>
        <v/>
      </c>
      <c r="Y434" s="293" t="str">
        <f>IF(Table3[[#This Row],[Status]]="Ordered",(DATE(YEAR(P434),MONTH(P434),1)),IF(Table3[[#This Row],[Status]]="Received",(DATE(YEAR(Q434),MONTH(Q434),1)),""))</f>
        <v/>
      </c>
      <c r="Z434" s="304" t="str">
        <f t="shared" si="24"/>
        <v/>
      </c>
      <c r="AA434" s="48" t="str">
        <f t="shared" si="25"/>
        <v/>
      </c>
      <c r="AB434" s="48" t="str">
        <f t="shared" si="26"/>
        <v/>
      </c>
      <c r="AC434" s="292" t="str">
        <f t="shared" si="27"/>
        <v/>
      </c>
      <c r="AD434" s="48" t="str">
        <f>IF(Table3[[#This Row],[Actual Arrival date]]&gt;0,IF(Table3[[#This Row],[Expected arrival date]]&gt;0,Table3[[#This Row],[Actual Arrival date]]-Table3[[#This Row],[Expected arrival date]],""),"")</f>
        <v/>
      </c>
    </row>
    <row r="435" spans="1:30" x14ac:dyDescent="0.25">
      <c r="A435" s="303" t="str">
        <f>Start!$D$7</f>
        <v>Anyland</v>
      </c>
      <c r="B435" s="48" t="str">
        <f>_xlfn.IFNA(VLOOKUP(A435,list!B:C,2,FALSE),"")</f>
        <v>ANY</v>
      </c>
      <c r="C435" s="48"/>
      <c r="D435" s="127"/>
      <c r="E435" s="48" t="str">
        <f>_xlfn.IFNA(VLOOKUP(Table3[[#This Row],[Product]], ProductListTbl[], 3, 0), "")</f>
        <v/>
      </c>
      <c r="F435" s="303" t="str">
        <f>_xlfn.IFNA(VLOOKUP(D435,ProductListTbl[],5,0),"")</f>
        <v/>
      </c>
      <c r="G435" s="303" t="str">
        <f>_xlfn.IFNA(VLOOKUP(D435,ProductListTbl[],6,0),"")</f>
        <v/>
      </c>
      <c r="H435" s="130" t="str">
        <f>_xlfn.IFNA(VLOOKUP(D435,ProductListTbl[],7,0),"")</f>
        <v/>
      </c>
      <c r="I435" s="130" t="str">
        <f>_xlfn.IFNA(VLOOKUP(D435,ProductListTbl[],8,0),"")</f>
        <v/>
      </c>
      <c r="J435" s="127"/>
      <c r="K435" s="129"/>
      <c r="L435" s="128"/>
      <c r="M435" s="305" t="str">
        <f>IFERROR(Table3[[#This Row],[Quantity (doses)]]/Table3[[#This Row],[Doses per vial or syringe]],"")</f>
        <v/>
      </c>
      <c r="N435" s="127"/>
      <c r="O435" s="127"/>
      <c r="P435" s="381"/>
      <c r="Q435" s="129"/>
      <c r="R435" s="127"/>
      <c r="S435" s="127"/>
      <c r="T435" s="127"/>
      <c r="U435" s="127"/>
      <c r="V435" s="305" t="str">
        <f>_xlfn.IFNA(VLOOKUP(D435,ProductListTbl[],9,0),"")</f>
        <v/>
      </c>
      <c r="W435" s="305" t="str">
        <f>IFERROR(Table3[[#This Row],[Storage space per secondary packaging (cm3)]]*Table3[[#This Row],[Quantity  (vials or syringes)]]/1000,"")</f>
        <v/>
      </c>
      <c r="X435" s="305" t="str">
        <f>IFERROR(Table3[[#This Row],[Storage space per tertiary packaging (cm3)]]*Table3[[#This Row],[Quantity (doses)]]/1000,"")</f>
        <v/>
      </c>
      <c r="Y435" s="293" t="str">
        <f>IF(Table3[[#This Row],[Status]]="Ordered",(DATE(YEAR(P435),MONTH(P435),1)),IF(Table3[[#This Row],[Status]]="Received",(DATE(YEAR(Q435),MONTH(Q435),1)),""))</f>
        <v/>
      </c>
      <c r="Z435" s="304" t="str">
        <f t="shared" si="24"/>
        <v/>
      </c>
      <c r="AA435" s="48" t="str">
        <f t="shared" si="25"/>
        <v/>
      </c>
      <c r="AB435" s="48" t="str">
        <f t="shared" si="26"/>
        <v/>
      </c>
      <c r="AC435" s="292" t="str">
        <f t="shared" si="27"/>
        <v/>
      </c>
      <c r="AD435" s="48" t="str">
        <f>IF(Table3[[#This Row],[Actual Arrival date]]&gt;0,IF(Table3[[#This Row],[Expected arrival date]]&gt;0,Table3[[#This Row],[Actual Arrival date]]-Table3[[#This Row],[Expected arrival date]],""),"")</f>
        <v/>
      </c>
    </row>
    <row r="436" spans="1:30" x14ac:dyDescent="0.25">
      <c r="A436" s="303" t="str">
        <f>Start!$D$7</f>
        <v>Anyland</v>
      </c>
      <c r="B436" s="48" t="str">
        <f>_xlfn.IFNA(VLOOKUP(A436,list!B:C,2,FALSE),"")</f>
        <v>ANY</v>
      </c>
      <c r="C436" s="48"/>
      <c r="D436" s="127"/>
      <c r="E436" s="48" t="str">
        <f>_xlfn.IFNA(VLOOKUP(Table3[[#This Row],[Product]], ProductListTbl[], 3, 0), "")</f>
        <v/>
      </c>
      <c r="F436" s="303" t="str">
        <f>_xlfn.IFNA(VLOOKUP(D436,ProductListTbl[],5,0),"")</f>
        <v/>
      </c>
      <c r="G436" s="303" t="str">
        <f>_xlfn.IFNA(VLOOKUP(D436,ProductListTbl[],6,0),"")</f>
        <v/>
      </c>
      <c r="H436" s="130" t="str">
        <f>_xlfn.IFNA(VLOOKUP(D436,ProductListTbl[],7,0),"")</f>
        <v/>
      </c>
      <c r="I436" s="130" t="str">
        <f>_xlfn.IFNA(VLOOKUP(D436,ProductListTbl[],8,0),"")</f>
        <v/>
      </c>
      <c r="J436" s="127"/>
      <c r="K436" s="129"/>
      <c r="L436" s="128"/>
      <c r="M436" s="305" t="str">
        <f>IFERROR(Table3[[#This Row],[Quantity (doses)]]/Table3[[#This Row],[Doses per vial or syringe]],"")</f>
        <v/>
      </c>
      <c r="N436" s="127"/>
      <c r="O436" s="127"/>
      <c r="P436" s="381"/>
      <c r="Q436" s="129"/>
      <c r="R436" s="127"/>
      <c r="S436" s="127"/>
      <c r="T436" s="127"/>
      <c r="U436" s="127"/>
      <c r="V436" s="305" t="str">
        <f>_xlfn.IFNA(VLOOKUP(D436,ProductListTbl[],9,0),"")</f>
        <v/>
      </c>
      <c r="W436" s="305" t="str">
        <f>IFERROR(Table3[[#This Row],[Storage space per secondary packaging (cm3)]]*Table3[[#This Row],[Quantity  (vials or syringes)]]/1000,"")</f>
        <v/>
      </c>
      <c r="X436" s="305" t="str">
        <f>IFERROR(Table3[[#This Row],[Storage space per tertiary packaging (cm3)]]*Table3[[#This Row],[Quantity (doses)]]/1000,"")</f>
        <v/>
      </c>
      <c r="Y436" s="293" t="str">
        <f>IF(Table3[[#This Row],[Status]]="Ordered",(DATE(YEAR(P436),MONTH(P436),1)),IF(Table3[[#This Row],[Status]]="Received",(DATE(YEAR(Q436),MONTH(Q436),1)),""))</f>
        <v/>
      </c>
      <c r="Z436" s="304" t="str">
        <f t="shared" si="24"/>
        <v/>
      </c>
      <c r="AA436" s="48" t="str">
        <f t="shared" si="25"/>
        <v/>
      </c>
      <c r="AB436" s="48" t="str">
        <f t="shared" si="26"/>
        <v/>
      </c>
      <c r="AC436" s="292" t="str">
        <f t="shared" si="27"/>
        <v/>
      </c>
      <c r="AD436" s="48" t="str">
        <f>IF(Table3[[#This Row],[Actual Arrival date]]&gt;0,IF(Table3[[#This Row],[Expected arrival date]]&gt;0,Table3[[#This Row],[Actual Arrival date]]-Table3[[#This Row],[Expected arrival date]],""),"")</f>
        <v/>
      </c>
    </row>
    <row r="437" spans="1:30" x14ac:dyDescent="0.25">
      <c r="A437" s="303" t="str">
        <f>Start!$D$7</f>
        <v>Anyland</v>
      </c>
      <c r="B437" s="48" t="str">
        <f>_xlfn.IFNA(VLOOKUP(A437,list!B:C,2,FALSE),"")</f>
        <v>ANY</v>
      </c>
      <c r="C437" s="48"/>
      <c r="D437" s="127"/>
      <c r="E437" s="48" t="str">
        <f>_xlfn.IFNA(VLOOKUP(Table3[[#This Row],[Product]], ProductListTbl[], 3, 0), "")</f>
        <v/>
      </c>
      <c r="F437" s="303" t="str">
        <f>_xlfn.IFNA(VLOOKUP(D437,ProductListTbl[],5,0),"")</f>
        <v/>
      </c>
      <c r="G437" s="303" t="str">
        <f>_xlfn.IFNA(VLOOKUP(D437,ProductListTbl[],6,0),"")</f>
        <v/>
      </c>
      <c r="H437" s="130" t="str">
        <f>_xlfn.IFNA(VLOOKUP(D437,ProductListTbl[],7,0),"")</f>
        <v/>
      </c>
      <c r="I437" s="130" t="str">
        <f>_xlfn.IFNA(VLOOKUP(D437,ProductListTbl[],8,0),"")</f>
        <v/>
      </c>
      <c r="J437" s="127"/>
      <c r="K437" s="129"/>
      <c r="L437" s="128"/>
      <c r="M437" s="305" t="str">
        <f>IFERROR(Table3[[#This Row],[Quantity (doses)]]/Table3[[#This Row],[Doses per vial or syringe]],"")</f>
        <v/>
      </c>
      <c r="N437" s="127"/>
      <c r="O437" s="127"/>
      <c r="P437" s="381"/>
      <c r="Q437" s="129"/>
      <c r="R437" s="127"/>
      <c r="S437" s="127"/>
      <c r="T437" s="127"/>
      <c r="U437" s="127"/>
      <c r="V437" s="305" t="str">
        <f>_xlfn.IFNA(VLOOKUP(D437,ProductListTbl[],9,0),"")</f>
        <v/>
      </c>
      <c r="W437" s="305" t="str">
        <f>IFERROR(Table3[[#This Row],[Storage space per secondary packaging (cm3)]]*Table3[[#This Row],[Quantity  (vials or syringes)]]/1000,"")</f>
        <v/>
      </c>
      <c r="X437" s="305" t="str">
        <f>IFERROR(Table3[[#This Row],[Storage space per tertiary packaging (cm3)]]*Table3[[#This Row],[Quantity (doses)]]/1000,"")</f>
        <v/>
      </c>
      <c r="Y437" s="293" t="str">
        <f>IF(Table3[[#This Row],[Status]]="Ordered",(DATE(YEAR(P437),MONTH(P437),1)),IF(Table3[[#This Row],[Status]]="Received",(DATE(YEAR(Q437),MONTH(Q437),1)),""))</f>
        <v/>
      </c>
      <c r="Z437" s="304" t="str">
        <f t="shared" si="24"/>
        <v/>
      </c>
      <c r="AA437" s="48" t="str">
        <f t="shared" si="25"/>
        <v/>
      </c>
      <c r="AB437" s="48" t="str">
        <f t="shared" si="26"/>
        <v/>
      </c>
      <c r="AC437" s="292" t="str">
        <f t="shared" si="27"/>
        <v/>
      </c>
      <c r="AD437" s="48" t="str">
        <f>IF(Table3[[#This Row],[Actual Arrival date]]&gt;0,IF(Table3[[#This Row],[Expected arrival date]]&gt;0,Table3[[#This Row],[Actual Arrival date]]-Table3[[#This Row],[Expected arrival date]],""),"")</f>
        <v/>
      </c>
    </row>
    <row r="438" spans="1:30" x14ac:dyDescent="0.25">
      <c r="A438" s="303" t="str">
        <f>Start!$D$7</f>
        <v>Anyland</v>
      </c>
      <c r="B438" s="48" t="str">
        <f>_xlfn.IFNA(VLOOKUP(A438,list!B:C,2,FALSE),"")</f>
        <v>ANY</v>
      </c>
      <c r="C438" s="48"/>
      <c r="D438" s="127"/>
      <c r="E438" s="48" t="str">
        <f>_xlfn.IFNA(VLOOKUP(Table3[[#This Row],[Product]], ProductListTbl[], 3, 0), "")</f>
        <v/>
      </c>
      <c r="F438" s="303" t="str">
        <f>_xlfn.IFNA(VLOOKUP(D438,ProductListTbl[],5,0),"")</f>
        <v/>
      </c>
      <c r="G438" s="303" t="str">
        <f>_xlfn.IFNA(VLOOKUP(D438,ProductListTbl[],6,0),"")</f>
        <v/>
      </c>
      <c r="H438" s="130" t="str">
        <f>_xlfn.IFNA(VLOOKUP(D438,ProductListTbl[],7,0),"")</f>
        <v/>
      </c>
      <c r="I438" s="130" t="str">
        <f>_xlfn.IFNA(VLOOKUP(D438,ProductListTbl[],8,0),"")</f>
        <v/>
      </c>
      <c r="J438" s="127"/>
      <c r="K438" s="129"/>
      <c r="L438" s="128"/>
      <c r="M438" s="305" t="str">
        <f>IFERROR(Table3[[#This Row],[Quantity (doses)]]/Table3[[#This Row],[Doses per vial or syringe]],"")</f>
        <v/>
      </c>
      <c r="N438" s="127"/>
      <c r="O438" s="127"/>
      <c r="P438" s="381"/>
      <c r="Q438" s="129"/>
      <c r="R438" s="127"/>
      <c r="S438" s="127"/>
      <c r="T438" s="127"/>
      <c r="U438" s="127"/>
      <c r="V438" s="305" t="str">
        <f>_xlfn.IFNA(VLOOKUP(D438,ProductListTbl[],9,0),"")</f>
        <v/>
      </c>
      <c r="W438" s="305" t="str">
        <f>IFERROR(Table3[[#This Row],[Storage space per secondary packaging (cm3)]]*Table3[[#This Row],[Quantity  (vials or syringes)]]/1000,"")</f>
        <v/>
      </c>
      <c r="X438" s="305" t="str">
        <f>IFERROR(Table3[[#This Row],[Storage space per tertiary packaging (cm3)]]*Table3[[#This Row],[Quantity (doses)]]/1000,"")</f>
        <v/>
      </c>
      <c r="Y438" s="293" t="str">
        <f>IF(Table3[[#This Row],[Status]]="Ordered",(DATE(YEAR(P438),MONTH(P438),1)),IF(Table3[[#This Row],[Status]]="Received",(DATE(YEAR(Q438),MONTH(Q438),1)),""))</f>
        <v/>
      </c>
      <c r="Z438" s="304" t="str">
        <f t="shared" si="24"/>
        <v/>
      </c>
      <c r="AA438" s="48" t="str">
        <f t="shared" si="25"/>
        <v/>
      </c>
      <c r="AB438" s="48" t="str">
        <f t="shared" si="26"/>
        <v/>
      </c>
      <c r="AC438" s="292" t="str">
        <f t="shared" si="27"/>
        <v/>
      </c>
      <c r="AD438" s="48" t="str">
        <f>IF(Table3[[#This Row],[Actual Arrival date]]&gt;0,IF(Table3[[#This Row],[Expected arrival date]]&gt;0,Table3[[#This Row],[Actual Arrival date]]-Table3[[#This Row],[Expected arrival date]],""),"")</f>
        <v/>
      </c>
    </row>
    <row r="439" spans="1:30" x14ac:dyDescent="0.25">
      <c r="A439" s="303" t="str">
        <f>Start!$D$7</f>
        <v>Anyland</v>
      </c>
      <c r="B439" s="48" t="str">
        <f>_xlfn.IFNA(VLOOKUP(A439,list!B:C,2,FALSE),"")</f>
        <v>ANY</v>
      </c>
      <c r="C439" s="48"/>
      <c r="D439" s="127"/>
      <c r="E439" s="48" t="str">
        <f>_xlfn.IFNA(VLOOKUP(Table3[[#This Row],[Product]], ProductListTbl[], 3, 0), "")</f>
        <v/>
      </c>
      <c r="F439" s="303" t="str">
        <f>_xlfn.IFNA(VLOOKUP(D439,ProductListTbl[],5,0),"")</f>
        <v/>
      </c>
      <c r="G439" s="303" t="str">
        <f>_xlfn.IFNA(VLOOKUP(D439,ProductListTbl[],6,0),"")</f>
        <v/>
      </c>
      <c r="H439" s="130" t="str">
        <f>_xlfn.IFNA(VLOOKUP(D439,ProductListTbl[],7,0),"")</f>
        <v/>
      </c>
      <c r="I439" s="130" t="str">
        <f>_xlfn.IFNA(VLOOKUP(D439,ProductListTbl[],8,0),"")</f>
        <v/>
      </c>
      <c r="J439" s="127"/>
      <c r="K439" s="129"/>
      <c r="L439" s="128"/>
      <c r="M439" s="305" t="str">
        <f>IFERROR(Table3[[#This Row],[Quantity (doses)]]/Table3[[#This Row],[Doses per vial or syringe]],"")</f>
        <v/>
      </c>
      <c r="N439" s="127"/>
      <c r="O439" s="127"/>
      <c r="P439" s="381"/>
      <c r="Q439" s="129"/>
      <c r="R439" s="127"/>
      <c r="S439" s="127"/>
      <c r="T439" s="127"/>
      <c r="U439" s="127"/>
      <c r="V439" s="305" t="str">
        <f>_xlfn.IFNA(VLOOKUP(D439,ProductListTbl[],9,0),"")</f>
        <v/>
      </c>
      <c r="W439" s="305" t="str">
        <f>IFERROR(Table3[[#This Row],[Storage space per secondary packaging (cm3)]]*Table3[[#This Row],[Quantity  (vials or syringes)]]/1000,"")</f>
        <v/>
      </c>
      <c r="X439" s="305" t="str">
        <f>IFERROR(Table3[[#This Row],[Storage space per tertiary packaging (cm3)]]*Table3[[#This Row],[Quantity (doses)]]/1000,"")</f>
        <v/>
      </c>
      <c r="Y439" s="293" t="str">
        <f>IF(Table3[[#This Row],[Status]]="Ordered",(DATE(YEAR(P439),MONTH(P439),1)),IF(Table3[[#This Row],[Status]]="Received",(DATE(YEAR(Q439),MONTH(Q439),1)),""))</f>
        <v/>
      </c>
      <c r="Z439" s="304" t="str">
        <f t="shared" si="24"/>
        <v/>
      </c>
      <c r="AA439" s="48" t="str">
        <f t="shared" si="25"/>
        <v/>
      </c>
      <c r="AB439" s="48" t="str">
        <f t="shared" si="26"/>
        <v/>
      </c>
      <c r="AC439" s="292" t="str">
        <f t="shared" si="27"/>
        <v/>
      </c>
      <c r="AD439" s="48" t="str">
        <f>IF(Table3[[#This Row],[Actual Arrival date]]&gt;0,IF(Table3[[#This Row],[Expected arrival date]]&gt;0,Table3[[#This Row],[Actual Arrival date]]-Table3[[#This Row],[Expected arrival date]],""),"")</f>
        <v/>
      </c>
    </row>
    <row r="440" spans="1:30" x14ac:dyDescent="0.25">
      <c r="A440" s="303" t="str">
        <f>Start!$D$7</f>
        <v>Anyland</v>
      </c>
      <c r="B440" s="48" t="str">
        <f>_xlfn.IFNA(VLOOKUP(A440,list!B:C,2,FALSE),"")</f>
        <v>ANY</v>
      </c>
      <c r="C440" s="48"/>
      <c r="D440" s="127"/>
      <c r="E440" s="48" t="str">
        <f>_xlfn.IFNA(VLOOKUP(Table3[[#This Row],[Product]], ProductListTbl[], 3, 0), "")</f>
        <v/>
      </c>
      <c r="F440" s="303" t="str">
        <f>_xlfn.IFNA(VLOOKUP(D440,ProductListTbl[],5,0),"")</f>
        <v/>
      </c>
      <c r="G440" s="303" t="str">
        <f>_xlfn.IFNA(VLOOKUP(D440,ProductListTbl[],6,0),"")</f>
        <v/>
      </c>
      <c r="H440" s="130" t="str">
        <f>_xlfn.IFNA(VLOOKUP(D440,ProductListTbl[],7,0),"")</f>
        <v/>
      </c>
      <c r="I440" s="130" t="str">
        <f>_xlfn.IFNA(VLOOKUP(D440,ProductListTbl[],8,0),"")</f>
        <v/>
      </c>
      <c r="J440" s="127"/>
      <c r="K440" s="129"/>
      <c r="L440" s="128"/>
      <c r="M440" s="305" t="str">
        <f>IFERROR(Table3[[#This Row],[Quantity (doses)]]/Table3[[#This Row],[Doses per vial or syringe]],"")</f>
        <v/>
      </c>
      <c r="N440" s="127"/>
      <c r="O440" s="127"/>
      <c r="P440" s="381"/>
      <c r="Q440" s="129"/>
      <c r="R440" s="127"/>
      <c r="S440" s="127"/>
      <c r="T440" s="127"/>
      <c r="U440" s="127"/>
      <c r="V440" s="305" t="str">
        <f>_xlfn.IFNA(VLOOKUP(D440,ProductListTbl[],9,0),"")</f>
        <v/>
      </c>
      <c r="W440" s="305" t="str">
        <f>IFERROR(Table3[[#This Row],[Storage space per secondary packaging (cm3)]]*Table3[[#This Row],[Quantity  (vials or syringes)]]/1000,"")</f>
        <v/>
      </c>
      <c r="X440" s="305" t="str">
        <f>IFERROR(Table3[[#This Row],[Storage space per tertiary packaging (cm3)]]*Table3[[#This Row],[Quantity (doses)]]/1000,"")</f>
        <v/>
      </c>
      <c r="Y440" s="293" t="str">
        <f>IF(Table3[[#This Row],[Status]]="Ordered",(DATE(YEAR(P440),MONTH(P440),1)),IF(Table3[[#This Row],[Status]]="Received",(DATE(YEAR(Q440),MONTH(Q440),1)),""))</f>
        <v/>
      </c>
      <c r="Z440" s="304" t="str">
        <f t="shared" si="24"/>
        <v/>
      </c>
      <c r="AA440" s="48" t="str">
        <f t="shared" si="25"/>
        <v/>
      </c>
      <c r="AB440" s="48" t="str">
        <f t="shared" si="26"/>
        <v/>
      </c>
      <c r="AC440" s="292" t="str">
        <f t="shared" si="27"/>
        <v/>
      </c>
      <c r="AD440" s="48" t="str">
        <f>IF(Table3[[#This Row],[Actual Arrival date]]&gt;0,IF(Table3[[#This Row],[Expected arrival date]]&gt;0,Table3[[#This Row],[Actual Arrival date]]-Table3[[#This Row],[Expected arrival date]],""),"")</f>
        <v/>
      </c>
    </row>
    <row r="441" spans="1:30" x14ac:dyDescent="0.25">
      <c r="A441" s="303" t="str">
        <f>Start!$D$7</f>
        <v>Anyland</v>
      </c>
      <c r="B441" s="48" t="str">
        <f>_xlfn.IFNA(VLOOKUP(A441,list!B:C,2,FALSE),"")</f>
        <v>ANY</v>
      </c>
      <c r="C441" s="48"/>
      <c r="D441" s="127"/>
      <c r="E441" s="48" t="str">
        <f>_xlfn.IFNA(VLOOKUP(Table3[[#This Row],[Product]], ProductListTbl[], 3, 0), "")</f>
        <v/>
      </c>
      <c r="F441" s="303" t="str">
        <f>_xlfn.IFNA(VLOOKUP(D441,ProductListTbl[],5,0),"")</f>
        <v/>
      </c>
      <c r="G441" s="303" t="str">
        <f>_xlfn.IFNA(VLOOKUP(D441,ProductListTbl[],6,0),"")</f>
        <v/>
      </c>
      <c r="H441" s="130" t="str">
        <f>_xlfn.IFNA(VLOOKUP(D441,ProductListTbl[],7,0),"")</f>
        <v/>
      </c>
      <c r="I441" s="130" t="str">
        <f>_xlfn.IFNA(VLOOKUP(D441,ProductListTbl[],8,0),"")</f>
        <v/>
      </c>
      <c r="J441" s="127"/>
      <c r="K441" s="129"/>
      <c r="L441" s="128"/>
      <c r="M441" s="305" t="str">
        <f>IFERROR(Table3[[#This Row],[Quantity (doses)]]/Table3[[#This Row],[Doses per vial or syringe]],"")</f>
        <v/>
      </c>
      <c r="N441" s="127"/>
      <c r="O441" s="127"/>
      <c r="P441" s="381"/>
      <c r="Q441" s="129"/>
      <c r="R441" s="127"/>
      <c r="S441" s="127"/>
      <c r="T441" s="127"/>
      <c r="U441" s="127"/>
      <c r="V441" s="305" t="str">
        <f>_xlfn.IFNA(VLOOKUP(D441,ProductListTbl[],9,0),"")</f>
        <v/>
      </c>
      <c r="W441" s="305" t="str">
        <f>IFERROR(Table3[[#This Row],[Storage space per secondary packaging (cm3)]]*Table3[[#This Row],[Quantity  (vials or syringes)]]/1000,"")</f>
        <v/>
      </c>
      <c r="X441" s="305" t="str">
        <f>IFERROR(Table3[[#This Row],[Storage space per tertiary packaging (cm3)]]*Table3[[#This Row],[Quantity (doses)]]/1000,"")</f>
        <v/>
      </c>
      <c r="Y441" s="293" t="str">
        <f>IF(Table3[[#This Row],[Status]]="Ordered",(DATE(YEAR(P441),MONTH(P441),1)),IF(Table3[[#This Row],[Status]]="Received",(DATE(YEAR(Q441),MONTH(Q441),1)),""))</f>
        <v/>
      </c>
      <c r="Z441" s="304" t="str">
        <f t="shared" si="24"/>
        <v/>
      </c>
      <c r="AA441" s="48" t="str">
        <f t="shared" si="25"/>
        <v/>
      </c>
      <c r="AB441" s="48" t="str">
        <f t="shared" si="26"/>
        <v/>
      </c>
      <c r="AC441" s="292" t="str">
        <f t="shared" si="27"/>
        <v/>
      </c>
      <c r="AD441" s="48" t="str">
        <f>IF(Table3[[#This Row],[Actual Arrival date]]&gt;0,IF(Table3[[#This Row],[Expected arrival date]]&gt;0,Table3[[#This Row],[Actual Arrival date]]-Table3[[#This Row],[Expected arrival date]],""),"")</f>
        <v/>
      </c>
    </row>
    <row r="442" spans="1:30" x14ac:dyDescent="0.25">
      <c r="A442" s="303" t="str">
        <f>Start!$D$7</f>
        <v>Anyland</v>
      </c>
      <c r="B442" s="48" t="str">
        <f>_xlfn.IFNA(VLOOKUP(A442,list!B:C,2,FALSE),"")</f>
        <v>ANY</v>
      </c>
      <c r="C442" s="48"/>
      <c r="D442" s="127"/>
      <c r="E442" s="48" t="str">
        <f>_xlfn.IFNA(VLOOKUP(Table3[[#This Row],[Product]], ProductListTbl[], 3, 0), "")</f>
        <v/>
      </c>
      <c r="F442" s="303" t="str">
        <f>_xlfn.IFNA(VLOOKUP(D442,ProductListTbl[],5,0),"")</f>
        <v/>
      </c>
      <c r="G442" s="303" t="str">
        <f>_xlfn.IFNA(VLOOKUP(D442,ProductListTbl[],6,0),"")</f>
        <v/>
      </c>
      <c r="H442" s="130" t="str">
        <f>_xlfn.IFNA(VLOOKUP(D442,ProductListTbl[],7,0),"")</f>
        <v/>
      </c>
      <c r="I442" s="130" t="str">
        <f>_xlfn.IFNA(VLOOKUP(D442,ProductListTbl[],8,0),"")</f>
        <v/>
      </c>
      <c r="J442" s="127"/>
      <c r="K442" s="129"/>
      <c r="L442" s="128"/>
      <c r="M442" s="305" t="str">
        <f>IFERROR(Table3[[#This Row],[Quantity (doses)]]/Table3[[#This Row],[Doses per vial or syringe]],"")</f>
        <v/>
      </c>
      <c r="N442" s="127"/>
      <c r="O442" s="127"/>
      <c r="P442" s="381"/>
      <c r="Q442" s="129"/>
      <c r="R442" s="127"/>
      <c r="S442" s="127"/>
      <c r="T442" s="127"/>
      <c r="U442" s="127"/>
      <c r="V442" s="305" t="str">
        <f>_xlfn.IFNA(VLOOKUP(D442,ProductListTbl[],9,0),"")</f>
        <v/>
      </c>
      <c r="W442" s="305" t="str">
        <f>IFERROR(Table3[[#This Row],[Storage space per secondary packaging (cm3)]]*Table3[[#This Row],[Quantity  (vials or syringes)]]/1000,"")</f>
        <v/>
      </c>
      <c r="X442" s="305" t="str">
        <f>IFERROR(Table3[[#This Row],[Storage space per tertiary packaging (cm3)]]*Table3[[#This Row],[Quantity (doses)]]/1000,"")</f>
        <v/>
      </c>
      <c r="Y442" s="293" t="str">
        <f>IF(Table3[[#This Row],[Status]]="Ordered",(DATE(YEAR(P442),MONTH(P442),1)),IF(Table3[[#This Row],[Status]]="Received",(DATE(YEAR(Q442),MONTH(Q442),1)),""))</f>
        <v/>
      </c>
      <c r="Z442" s="304" t="str">
        <f t="shared" si="24"/>
        <v/>
      </c>
      <c r="AA442" s="48" t="str">
        <f t="shared" si="25"/>
        <v/>
      </c>
      <c r="AB442" s="48" t="str">
        <f t="shared" si="26"/>
        <v/>
      </c>
      <c r="AC442" s="292" t="str">
        <f t="shared" si="27"/>
        <v/>
      </c>
      <c r="AD442" s="48" t="str">
        <f>IF(Table3[[#This Row],[Actual Arrival date]]&gt;0,IF(Table3[[#This Row],[Expected arrival date]]&gt;0,Table3[[#This Row],[Actual Arrival date]]-Table3[[#This Row],[Expected arrival date]],""),"")</f>
        <v/>
      </c>
    </row>
    <row r="443" spans="1:30" x14ac:dyDescent="0.25">
      <c r="A443" s="303" t="str">
        <f>Start!$D$7</f>
        <v>Anyland</v>
      </c>
      <c r="B443" s="48" t="str">
        <f>_xlfn.IFNA(VLOOKUP(A443,list!B:C,2,FALSE),"")</f>
        <v>ANY</v>
      </c>
      <c r="C443" s="48"/>
      <c r="D443" s="127"/>
      <c r="E443" s="48" t="str">
        <f>_xlfn.IFNA(VLOOKUP(Table3[[#This Row],[Product]], ProductListTbl[], 3, 0), "")</f>
        <v/>
      </c>
      <c r="F443" s="303" t="str">
        <f>_xlfn.IFNA(VLOOKUP(D443,ProductListTbl[],5,0),"")</f>
        <v/>
      </c>
      <c r="G443" s="303" t="str">
        <f>_xlfn.IFNA(VLOOKUP(D443,ProductListTbl[],6,0),"")</f>
        <v/>
      </c>
      <c r="H443" s="130" t="str">
        <f>_xlfn.IFNA(VLOOKUP(D443,ProductListTbl[],7,0),"")</f>
        <v/>
      </c>
      <c r="I443" s="130" t="str">
        <f>_xlfn.IFNA(VLOOKUP(D443,ProductListTbl[],8,0),"")</f>
        <v/>
      </c>
      <c r="J443" s="127"/>
      <c r="K443" s="129"/>
      <c r="L443" s="128"/>
      <c r="M443" s="305" t="str">
        <f>IFERROR(Table3[[#This Row],[Quantity (doses)]]/Table3[[#This Row],[Doses per vial or syringe]],"")</f>
        <v/>
      </c>
      <c r="N443" s="127"/>
      <c r="O443" s="127"/>
      <c r="P443" s="381"/>
      <c r="Q443" s="129"/>
      <c r="R443" s="127"/>
      <c r="S443" s="127"/>
      <c r="T443" s="127"/>
      <c r="U443" s="127"/>
      <c r="V443" s="305" t="str">
        <f>_xlfn.IFNA(VLOOKUP(D443,ProductListTbl[],9,0),"")</f>
        <v/>
      </c>
      <c r="W443" s="305" t="str">
        <f>IFERROR(Table3[[#This Row],[Storage space per secondary packaging (cm3)]]*Table3[[#This Row],[Quantity  (vials or syringes)]]/1000,"")</f>
        <v/>
      </c>
      <c r="X443" s="305" t="str">
        <f>IFERROR(Table3[[#This Row],[Storage space per tertiary packaging (cm3)]]*Table3[[#This Row],[Quantity (doses)]]/1000,"")</f>
        <v/>
      </c>
      <c r="Y443" s="293" t="str">
        <f>IF(Table3[[#This Row],[Status]]="Ordered",(DATE(YEAR(P443),MONTH(P443),1)),IF(Table3[[#This Row],[Status]]="Received",(DATE(YEAR(Q443),MONTH(Q443),1)),""))</f>
        <v/>
      </c>
      <c r="Z443" s="304" t="str">
        <f t="shared" si="24"/>
        <v/>
      </c>
      <c r="AA443" s="48" t="str">
        <f t="shared" si="25"/>
        <v/>
      </c>
      <c r="AB443" s="48" t="str">
        <f t="shared" si="26"/>
        <v/>
      </c>
      <c r="AC443" s="292" t="str">
        <f t="shared" si="27"/>
        <v/>
      </c>
      <c r="AD443" s="48" t="str">
        <f>IF(Table3[[#This Row],[Actual Arrival date]]&gt;0,IF(Table3[[#This Row],[Expected arrival date]]&gt;0,Table3[[#This Row],[Actual Arrival date]]-Table3[[#This Row],[Expected arrival date]],""),"")</f>
        <v/>
      </c>
    </row>
    <row r="444" spans="1:30" x14ac:dyDescent="0.25">
      <c r="A444" s="303" t="str">
        <f>Start!$D$7</f>
        <v>Anyland</v>
      </c>
      <c r="B444" s="48" t="str">
        <f>_xlfn.IFNA(VLOOKUP(A444,list!B:C,2,FALSE),"")</f>
        <v>ANY</v>
      </c>
      <c r="C444" s="48"/>
      <c r="D444" s="127"/>
      <c r="E444" s="48" t="str">
        <f>_xlfn.IFNA(VLOOKUP(Table3[[#This Row],[Product]], ProductListTbl[], 3, 0), "")</f>
        <v/>
      </c>
      <c r="F444" s="303" t="str">
        <f>_xlfn.IFNA(VLOOKUP(D444,ProductListTbl[],5,0),"")</f>
        <v/>
      </c>
      <c r="G444" s="303" t="str">
        <f>_xlfn.IFNA(VLOOKUP(D444,ProductListTbl[],6,0),"")</f>
        <v/>
      </c>
      <c r="H444" s="130" t="str">
        <f>_xlfn.IFNA(VLOOKUP(D444,ProductListTbl[],7,0),"")</f>
        <v/>
      </c>
      <c r="I444" s="130" t="str">
        <f>_xlfn.IFNA(VLOOKUP(D444,ProductListTbl[],8,0),"")</f>
        <v/>
      </c>
      <c r="J444" s="127"/>
      <c r="K444" s="129"/>
      <c r="L444" s="128"/>
      <c r="M444" s="305" t="str">
        <f>IFERROR(Table3[[#This Row],[Quantity (doses)]]/Table3[[#This Row],[Doses per vial or syringe]],"")</f>
        <v/>
      </c>
      <c r="N444" s="127"/>
      <c r="O444" s="127"/>
      <c r="P444" s="381"/>
      <c r="Q444" s="129"/>
      <c r="R444" s="127"/>
      <c r="S444" s="127"/>
      <c r="T444" s="127"/>
      <c r="U444" s="127"/>
      <c r="V444" s="305" t="str">
        <f>_xlfn.IFNA(VLOOKUP(D444,ProductListTbl[],9,0),"")</f>
        <v/>
      </c>
      <c r="W444" s="305" t="str">
        <f>IFERROR(Table3[[#This Row],[Storage space per secondary packaging (cm3)]]*Table3[[#This Row],[Quantity  (vials or syringes)]]/1000,"")</f>
        <v/>
      </c>
      <c r="X444" s="305" t="str">
        <f>IFERROR(Table3[[#This Row],[Storage space per tertiary packaging (cm3)]]*Table3[[#This Row],[Quantity (doses)]]/1000,"")</f>
        <v/>
      </c>
      <c r="Y444" s="293" t="str">
        <f>IF(Table3[[#This Row],[Status]]="Ordered",(DATE(YEAR(P444),MONTH(P444),1)),IF(Table3[[#This Row],[Status]]="Received",(DATE(YEAR(Q444),MONTH(Q444),1)),""))</f>
        <v/>
      </c>
      <c r="Z444" s="304" t="str">
        <f t="shared" si="24"/>
        <v/>
      </c>
      <c r="AA444" s="48" t="str">
        <f t="shared" si="25"/>
        <v/>
      </c>
      <c r="AB444" s="48" t="str">
        <f t="shared" si="26"/>
        <v/>
      </c>
      <c r="AC444" s="292" t="str">
        <f t="shared" si="27"/>
        <v/>
      </c>
      <c r="AD444" s="48" t="str">
        <f>IF(Table3[[#This Row],[Actual Arrival date]]&gt;0,IF(Table3[[#This Row],[Expected arrival date]]&gt;0,Table3[[#This Row],[Actual Arrival date]]-Table3[[#This Row],[Expected arrival date]],""),"")</f>
        <v/>
      </c>
    </row>
    <row r="445" spans="1:30" x14ac:dyDescent="0.25">
      <c r="A445" s="303" t="str">
        <f>Start!$D$7</f>
        <v>Anyland</v>
      </c>
      <c r="B445" s="48" t="str">
        <f>_xlfn.IFNA(VLOOKUP(A445,list!B:C,2,FALSE),"")</f>
        <v>ANY</v>
      </c>
      <c r="C445" s="48"/>
      <c r="D445" s="127"/>
      <c r="E445" s="48" t="str">
        <f>_xlfn.IFNA(VLOOKUP(Table3[[#This Row],[Product]], ProductListTbl[], 3, 0), "")</f>
        <v/>
      </c>
      <c r="F445" s="303" t="str">
        <f>_xlfn.IFNA(VLOOKUP(D445,ProductListTbl[],5,0),"")</f>
        <v/>
      </c>
      <c r="G445" s="303" t="str">
        <f>_xlfn.IFNA(VLOOKUP(D445,ProductListTbl[],6,0),"")</f>
        <v/>
      </c>
      <c r="H445" s="130" t="str">
        <f>_xlfn.IFNA(VLOOKUP(D445,ProductListTbl[],7,0),"")</f>
        <v/>
      </c>
      <c r="I445" s="130" t="str">
        <f>_xlfn.IFNA(VLOOKUP(D445,ProductListTbl[],8,0),"")</f>
        <v/>
      </c>
      <c r="J445" s="127"/>
      <c r="K445" s="129"/>
      <c r="L445" s="128"/>
      <c r="M445" s="305" t="str">
        <f>IFERROR(Table3[[#This Row],[Quantity (doses)]]/Table3[[#This Row],[Doses per vial or syringe]],"")</f>
        <v/>
      </c>
      <c r="N445" s="127"/>
      <c r="O445" s="127"/>
      <c r="P445" s="381"/>
      <c r="Q445" s="129"/>
      <c r="R445" s="127"/>
      <c r="S445" s="127"/>
      <c r="T445" s="127"/>
      <c r="U445" s="127"/>
      <c r="V445" s="305" t="str">
        <f>_xlfn.IFNA(VLOOKUP(D445,ProductListTbl[],9,0),"")</f>
        <v/>
      </c>
      <c r="W445" s="305" t="str">
        <f>IFERROR(Table3[[#This Row],[Storage space per secondary packaging (cm3)]]*Table3[[#This Row],[Quantity  (vials or syringes)]]/1000,"")</f>
        <v/>
      </c>
      <c r="X445" s="305" t="str">
        <f>IFERROR(Table3[[#This Row],[Storage space per tertiary packaging (cm3)]]*Table3[[#This Row],[Quantity (doses)]]/1000,"")</f>
        <v/>
      </c>
      <c r="Y445" s="293" t="str">
        <f>IF(Table3[[#This Row],[Status]]="Ordered",(DATE(YEAR(P445),MONTH(P445),1)),IF(Table3[[#This Row],[Status]]="Received",(DATE(YEAR(Q445),MONTH(Q445),1)),""))</f>
        <v/>
      </c>
      <c r="Z445" s="304" t="str">
        <f t="shared" si="24"/>
        <v/>
      </c>
      <c r="AA445" s="48" t="str">
        <f t="shared" si="25"/>
        <v/>
      </c>
      <c r="AB445" s="48" t="str">
        <f t="shared" si="26"/>
        <v/>
      </c>
      <c r="AC445" s="292" t="str">
        <f t="shared" si="27"/>
        <v/>
      </c>
      <c r="AD445" s="48" t="str">
        <f>IF(Table3[[#This Row],[Actual Arrival date]]&gt;0,IF(Table3[[#This Row],[Expected arrival date]]&gt;0,Table3[[#This Row],[Actual Arrival date]]-Table3[[#This Row],[Expected arrival date]],""),"")</f>
        <v/>
      </c>
    </row>
    <row r="446" spans="1:30" x14ac:dyDescent="0.25">
      <c r="A446" s="303" t="str">
        <f>Start!$D$7</f>
        <v>Anyland</v>
      </c>
      <c r="B446" s="48" t="str">
        <f>_xlfn.IFNA(VLOOKUP(A446,list!B:C,2,FALSE),"")</f>
        <v>ANY</v>
      </c>
      <c r="C446" s="48"/>
      <c r="D446" s="127"/>
      <c r="E446" s="48" t="str">
        <f>_xlfn.IFNA(VLOOKUP(Table3[[#This Row],[Product]], ProductListTbl[], 3, 0), "")</f>
        <v/>
      </c>
      <c r="F446" s="303" t="str">
        <f>_xlfn.IFNA(VLOOKUP(D446,ProductListTbl[],5,0),"")</f>
        <v/>
      </c>
      <c r="G446" s="303" t="str">
        <f>_xlfn.IFNA(VLOOKUP(D446,ProductListTbl[],6,0),"")</f>
        <v/>
      </c>
      <c r="H446" s="130" t="str">
        <f>_xlfn.IFNA(VLOOKUP(D446,ProductListTbl[],7,0),"")</f>
        <v/>
      </c>
      <c r="I446" s="130" t="str">
        <f>_xlfn.IFNA(VLOOKUP(D446,ProductListTbl[],8,0),"")</f>
        <v/>
      </c>
      <c r="J446" s="127"/>
      <c r="K446" s="129"/>
      <c r="L446" s="128"/>
      <c r="M446" s="305" t="str">
        <f>IFERROR(Table3[[#This Row],[Quantity (doses)]]/Table3[[#This Row],[Doses per vial or syringe]],"")</f>
        <v/>
      </c>
      <c r="N446" s="127"/>
      <c r="O446" s="127"/>
      <c r="P446" s="381"/>
      <c r="Q446" s="129"/>
      <c r="R446" s="127"/>
      <c r="S446" s="127"/>
      <c r="T446" s="127"/>
      <c r="U446" s="127"/>
      <c r="V446" s="305" t="str">
        <f>_xlfn.IFNA(VLOOKUP(D446,ProductListTbl[],9,0),"")</f>
        <v/>
      </c>
      <c r="W446" s="305" t="str">
        <f>IFERROR(Table3[[#This Row],[Storage space per secondary packaging (cm3)]]*Table3[[#This Row],[Quantity  (vials or syringes)]]/1000,"")</f>
        <v/>
      </c>
      <c r="X446" s="305" t="str">
        <f>IFERROR(Table3[[#This Row],[Storage space per tertiary packaging (cm3)]]*Table3[[#This Row],[Quantity (doses)]]/1000,"")</f>
        <v/>
      </c>
      <c r="Y446" s="293" t="str">
        <f>IF(Table3[[#This Row],[Status]]="Ordered",(DATE(YEAR(P446),MONTH(P446),1)),IF(Table3[[#This Row],[Status]]="Received",(DATE(YEAR(Q446),MONTH(Q446),1)),""))</f>
        <v/>
      </c>
      <c r="Z446" s="304" t="str">
        <f t="shared" si="24"/>
        <v/>
      </c>
      <c r="AA446" s="48" t="str">
        <f t="shared" si="25"/>
        <v/>
      </c>
      <c r="AB446" s="48" t="str">
        <f t="shared" si="26"/>
        <v/>
      </c>
      <c r="AC446" s="292" t="str">
        <f t="shared" si="27"/>
        <v/>
      </c>
      <c r="AD446" s="48" t="str">
        <f>IF(Table3[[#This Row],[Actual Arrival date]]&gt;0,IF(Table3[[#This Row],[Expected arrival date]]&gt;0,Table3[[#This Row],[Actual Arrival date]]-Table3[[#This Row],[Expected arrival date]],""),"")</f>
        <v/>
      </c>
    </row>
    <row r="447" spans="1:30" x14ac:dyDescent="0.25">
      <c r="A447" s="303" t="str">
        <f>Start!$D$7</f>
        <v>Anyland</v>
      </c>
      <c r="B447" s="48" t="str">
        <f>_xlfn.IFNA(VLOOKUP(A447,list!B:C,2,FALSE),"")</f>
        <v>ANY</v>
      </c>
      <c r="C447" s="48"/>
      <c r="D447" s="127"/>
      <c r="E447" s="48" t="str">
        <f>_xlfn.IFNA(VLOOKUP(Table3[[#This Row],[Product]], ProductListTbl[], 3, 0), "")</f>
        <v/>
      </c>
      <c r="F447" s="303" t="str">
        <f>_xlfn.IFNA(VLOOKUP(D447,ProductListTbl[],5,0),"")</f>
        <v/>
      </c>
      <c r="G447" s="303" t="str">
        <f>_xlfn.IFNA(VLOOKUP(D447,ProductListTbl[],6,0),"")</f>
        <v/>
      </c>
      <c r="H447" s="130" t="str">
        <f>_xlfn.IFNA(VLOOKUP(D447,ProductListTbl[],7,0),"")</f>
        <v/>
      </c>
      <c r="I447" s="130" t="str">
        <f>_xlfn.IFNA(VLOOKUP(D447,ProductListTbl[],8,0),"")</f>
        <v/>
      </c>
      <c r="J447" s="127"/>
      <c r="K447" s="129"/>
      <c r="L447" s="128"/>
      <c r="M447" s="305" t="str">
        <f>IFERROR(Table3[[#This Row],[Quantity (doses)]]/Table3[[#This Row],[Doses per vial or syringe]],"")</f>
        <v/>
      </c>
      <c r="N447" s="127"/>
      <c r="O447" s="127"/>
      <c r="P447" s="381"/>
      <c r="Q447" s="129"/>
      <c r="R447" s="127"/>
      <c r="S447" s="127"/>
      <c r="T447" s="127"/>
      <c r="U447" s="127"/>
      <c r="V447" s="305" t="str">
        <f>_xlfn.IFNA(VLOOKUP(D447,ProductListTbl[],9,0),"")</f>
        <v/>
      </c>
      <c r="W447" s="305" t="str">
        <f>IFERROR(Table3[[#This Row],[Storage space per secondary packaging (cm3)]]*Table3[[#This Row],[Quantity  (vials or syringes)]]/1000,"")</f>
        <v/>
      </c>
      <c r="X447" s="305" t="str">
        <f>IFERROR(Table3[[#This Row],[Storage space per tertiary packaging (cm3)]]*Table3[[#This Row],[Quantity (doses)]]/1000,"")</f>
        <v/>
      </c>
      <c r="Y447" s="293" t="str">
        <f>IF(Table3[[#This Row],[Status]]="Ordered",(DATE(YEAR(P447),MONTH(P447),1)),IF(Table3[[#This Row],[Status]]="Received",(DATE(YEAR(Q447),MONTH(Q447),1)),""))</f>
        <v/>
      </c>
      <c r="Z447" s="304" t="str">
        <f t="shared" si="24"/>
        <v/>
      </c>
      <c r="AA447" s="48" t="str">
        <f t="shared" si="25"/>
        <v/>
      </c>
      <c r="AB447" s="48" t="str">
        <f t="shared" si="26"/>
        <v/>
      </c>
      <c r="AC447" s="292" t="str">
        <f t="shared" si="27"/>
        <v/>
      </c>
      <c r="AD447" s="48" t="str">
        <f>IF(Table3[[#This Row],[Actual Arrival date]]&gt;0,IF(Table3[[#This Row],[Expected arrival date]]&gt;0,Table3[[#This Row],[Actual Arrival date]]-Table3[[#This Row],[Expected arrival date]],""),"")</f>
        <v/>
      </c>
    </row>
    <row r="448" spans="1:30" x14ac:dyDescent="0.25">
      <c r="A448" s="303" t="str">
        <f>Start!$D$7</f>
        <v>Anyland</v>
      </c>
      <c r="B448" s="48" t="str">
        <f>_xlfn.IFNA(VLOOKUP(A448,list!B:C,2,FALSE),"")</f>
        <v>ANY</v>
      </c>
      <c r="C448" s="48"/>
      <c r="D448" s="127"/>
      <c r="E448" s="48" t="str">
        <f>_xlfn.IFNA(VLOOKUP(Table3[[#This Row],[Product]], ProductListTbl[], 3, 0), "")</f>
        <v/>
      </c>
      <c r="F448" s="303" t="str">
        <f>_xlfn.IFNA(VLOOKUP(D448,ProductListTbl[],5,0),"")</f>
        <v/>
      </c>
      <c r="G448" s="303" t="str">
        <f>_xlfn.IFNA(VLOOKUP(D448,ProductListTbl[],6,0),"")</f>
        <v/>
      </c>
      <c r="H448" s="130" t="str">
        <f>_xlfn.IFNA(VLOOKUP(D448,ProductListTbl[],7,0),"")</f>
        <v/>
      </c>
      <c r="I448" s="130" t="str">
        <f>_xlfn.IFNA(VLOOKUP(D448,ProductListTbl[],8,0),"")</f>
        <v/>
      </c>
      <c r="J448" s="127"/>
      <c r="K448" s="129"/>
      <c r="L448" s="128"/>
      <c r="M448" s="305" t="str">
        <f>IFERROR(Table3[[#This Row],[Quantity (doses)]]/Table3[[#This Row],[Doses per vial or syringe]],"")</f>
        <v/>
      </c>
      <c r="N448" s="127"/>
      <c r="O448" s="127"/>
      <c r="P448" s="381"/>
      <c r="Q448" s="129"/>
      <c r="R448" s="127"/>
      <c r="S448" s="127"/>
      <c r="T448" s="127"/>
      <c r="U448" s="127"/>
      <c r="V448" s="305" t="str">
        <f>_xlfn.IFNA(VLOOKUP(D448,ProductListTbl[],9,0),"")</f>
        <v/>
      </c>
      <c r="W448" s="305" t="str">
        <f>IFERROR(Table3[[#This Row],[Storage space per secondary packaging (cm3)]]*Table3[[#This Row],[Quantity  (vials or syringes)]]/1000,"")</f>
        <v/>
      </c>
      <c r="X448" s="305" t="str">
        <f>IFERROR(Table3[[#This Row],[Storage space per tertiary packaging (cm3)]]*Table3[[#This Row],[Quantity (doses)]]/1000,"")</f>
        <v/>
      </c>
      <c r="Y448" s="293" t="str">
        <f>IF(Table3[[#This Row],[Status]]="Ordered",(DATE(YEAR(P448),MONTH(P448),1)),IF(Table3[[#This Row],[Status]]="Received",(DATE(YEAR(Q448),MONTH(Q448),1)),""))</f>
        <v/>
      </c>
      <c r="Z448" s="304" t="str">
        <f t="shared" si="24"/>
        <v/>
      </c>
      <c r="AA448" s="48" t="str">
        <f t="shared" si="25"/>
        <v/>
      </c>
      <c r="AB448" s="48" t="str">
        <f t="shared" si="26"/>
        <v/>
      </c>
      <c r="AC448" s="292" t="str">
        <f t="shared" si="27"/>
        <v/>
      </c>
      <c r="AD448" s="48" t="str">
        <f>IF(Table3[[#This Row],[Actual Arrival date]]&gt;0,IF(Table3[[#This Row],[Expected arrival date]]&gt;0,Table3[[#This Row],[Actual Arrival date]]-Table3[[#This Row],[Expected arrival date]],""),"")</f>
        <v/>
      </c>
    </row>
    <row r="449" spans="1:30" x14ac:dyDescent="0.25">
      <c r="A449" s="303" t="str">
        <f>Start!$D$7</f>
        <v>Anyland</v>
      </c>
      <c r="B449" s="48" t="str">
        <f>_xlfn.IFNA(VLOOKUP(A449,list!B:C,2,FALSE),"")</f>
        <v>ANY</v>
      </c>
      <c r="C449" s="48"/>
      <c r="D449" s="127"/>
      <c r="E449" s="48" t="str">
        <f>_xlfn.IFNA(VLOOKUP(Table3[[#This Row],[Product]], ProductListTbl[], 3, 0), "")</f>
        <v/>
      </c>
      <c r="F449" s="303" t="str">
        <f>_xlfn.IFNA(VLOOKUP(D449,ProductListTbl[],5,0),"")</f>
        <v/>
      </c>
      <c r="G449" s="303" t="str">
        <f>_xlfn.IFNA(VLOOKUP(D449,ProductListTbl[],6,0),"")</f>
        <v/>
      </c>
      <c r="H449" s="130" t="str">
        <f>_xlfn.IFNA(VLOOKUP(D449,ProductListTbl[],7,0),"")</f>
        <v/>
      </c>
      <c r="I449" s="130" t="str">
        <f>_xlfn.IFNA(VLOOKUP(D449,ProductListTbl[],8,0),"")</f>
        <v/>
      </c>
      <c r="J449" s="127"/>
      <c r="K449" s="129"/>
      <c r="L449" s="128"/>
      <c r="M449" s="305" t="str">
        <f>IFERROR(Table3[[#This Row],[Quantity (doses)]]/Table3[[#This Row],[Doses per vial or syringe]],"")</f>
        <v/>
      </c>
      <c r="N449" s="127"/>
      <c r="O449" s="127"/>
      <c r="P449" s="381"/>
      <c r="Q449" s="129"/>
      <c r="R449" s="127"/>
      <c r="S449" s="127"/>
      <c r="T449" s="127"/>
      <c r="U449" s="127"/>
      <c r="V449" s="305" t="str">
        <f>_xlfn.IFNA(VLOOKUP(D449,ProductListTbl[],9,0),"")</f>
        <v/>
      </c>
      <c r="W449" s="305" t="str">
        <f>IFERROR(Table3[[#This Row],[Storage space per secondary packaging (cm3)]]*Table3[[#This Row],[Quantity  (vials or syringes)]]/1000,"")</f>
        <v/>
      </c>
      <c r="X449" s="305" t="str">
        <f>IFERROR(Table3[[#This Row],[Storage space per tertiary packaging (cm3)]]*Table3[[#This Row],[Quantity (doses)]]/1000,"")</f>
        <v/>
      </c>
      <c r="Y449" s="293" t="str">
        <f>IF(Table3[[#This Row],[Status]]="Ordered",(DATE(YEAR(P449),MONTH(P449),1)),IF(Table3[[#This Row],[Status]]="Received",(DATE(YEAR(Q449),MONTH(Q449),1)),""))</f>
        <v/>
      </c>
      <c r="Z449" s="304" t="str">
        <f t="shared" si="24"/>
        <v/>
      </c>
      <c r="AA449" s="48" t="str">
        <f t="shared" si="25"/>
        <v/>
      </c>
      <c r="AB449" s="48" t="str">
        <f t="shared" si="26"/>
        <v/>
      </c>
      <c r="AC449" s="292" t="str">
        <f t="shared" si="27"/>
        <v/>
      </c>
      <c r="AD449" s="48" t="str">
        <f>IF(Table3[[#This Row],[Actual Arrival date]]&gt;0,IF(Table3[[#This Row],[Expected arrival date]]&gt;0,Table3[[#This Row],[Actual Arrival date]]-Table3[[#This Row],[Expected arrival date]],""),"")</f>
        <v/>
      </c>
    </row>
    <row r="450" spans="1:30" x14ac:dyDescent="0.25">
      <c r="A450" s="303" t="str">
        <f>Start!$D$7</f>
        <v>Anyland</v>
      </c>
      <c r="B450" s="48" t="str">
        <f>_xlfn.IFNA(VLOOKUP(A450,list!B:C,2,FALSE),"")</f>
        <v>ANY</v>
      </c>
      <c r="C450" s="48"/>
      <c r="D450" s="127"/>
      <c r="E450" s="48" t="str">
        <f>_xlfn.IFNA(VLOOKUP(Table3[[#This Row],[Product]], ProductListTbl[], 3, 0), "")</f>
        <v/>
      </c>
      <c r="F450" s="303" t="str">
        <f>_xlfn.IFNA(VLOOKUP(D450,ProductListTbl[],5,0),"")</f>
        <v/>
      </c>
      <c r="G450" s="303" t="str">
        <f>_xlfn.IFNA(VLOOKUP(D450,ProductListTbl[],6,0),"")</f>
        <v/>
      </c>
      <c r="H450" s="130" t="str">
        <f>_xlfn.IFNA(VLOOKUP(D450,ProductListTbl[],7,0),"")</f>
        <v/>
      </c>
      <c r="I450" s="130" t="str">
        <f>_xlfn.IFNA(VLOOKUP(D450,ProductListTbl[],8,0),"")</f>
        <v/>
      </c>
      <c r="J450" s="127"/>
      <c r="K450" s="129"/>
      <c r="L450" s="128"/>
      <c r="M450" s="305" t="str">
        <f>IFERROR(Table3[[#This Row],[Quantity (doses)]]/Table3[[#This Row],[Doses per vial or syringe]],"")</f>
        <v/>
      </c>
      <c r="N450" s="127"/>
      <c r="O450" s="127"/>
      <c r="P450" s="381"/>
      <c r="Q450" s="129"/>
      <c r="R450" s="127"/>
      <c r="S450" s="127"/>
      <c r="T450" s="127"/>
      <c r="U450" s="127"/>
      <c r="V450" s="305" t="str">
        <f>_xlfn.IFNA(VLOOKUP(D450,ProductListTbl[],9,0),"")</f>
        <v/>
      </c>
      <c r="W450" s="305" t="str">
        <f>IFERROR(Table3[[#This Row],[Storage space per secondary packaging (cm3)]]*Table3[[#This Row],[Quantity  (vials or syringes)]]/1000,"")</f>
        <v/>
      </c>
      <c r="X450" s="305" t="str">
        <f>IFERROR(Table3[[#This Row],[Storage space per tertiary packaging (cm3)]]*Table3[[#This Row],[Quantity (doses)]]/1000,"")</f>
        <v/>
      </c>
      <c r="Y450" s="293" t="str">
        <f>IF(Table3[[#This Row],[Status]]="Ordered",(DATE(YEAR(P450),MONTH(P450),1)),IF(Table3[[#This Row],[Status]]="Received",(DATE(YEAR(Q450),MONTH(Q450),1)),""))</f>
        <v/>
      </c>
      <c r="Z450" s="304" t="str">
        <f t="shared" si="24"/>
        <v/>
      </c>
      <c r="AA450" s="48" t="str">
        <f t="shared" si="25"/>
        <v/>
      </c>
      <c r="AB450" s="48" t="str">
        <f t="shared" si="26"/>
        <v/>
      </c>
      <c r="AC450" s="292" t="str">
        <f t="shared" si="27"/>
        <v/>
      </c>
      <c r="AD450" s="48" t="str">
        <f>IF(Table3[[#This Row],[Actual Arrival date]]&gt;0,IF(Table3[[#This Row],[Expected arrival date]]&gt;0,Table3[[#This Row],[Actual Arrival date]]-Table3[[#This Row],[Expected arrival date]],""),"")</f>
        <v/>
      </c>
    </row>
    <row r="451" spans="1:30" x14ac:dyDescent="0.25">
      <c r="A451" s="303" t="str">
        <f>Start!$D$7</f>
        <v>Anyland</v>
      </c>
      <c r="B451" s="48" t="str">
        <f>_xlfn.IFNA(VLOOKUP(A451,list!B:C,2,FALSE),"")</f>
        <v>ANY</v>
      </c>
      <c r="C451" s="48"/>
      <c r="D451" s="127"/>
      <c r="E451" s="48" t="str">
        <f>_xlfn.IFNA(VLOOKUP(Table3[[#This Row],[Product]], ProductListTbl[], 3, 0), "")</f>
        <v/>
      </c>
      <c r="F451" s="303" t="str">
        <f>_xlfn.IFNA(VLOOKUP(D451,ProductListTbl[],5,0),"")</f>
        <v/>
      </c>
      <c r="G451" s="303" t="str">
        <f>_xlfn.IFNA(VLOOKUP(D451,ProductListTbl[],6,0),"")</f>
        <v/>
      </c>
      <c r="H451" s="130" t="str">
        <f>_xlfn.IFNA(VLOOKUP(D451,ProductListTbl[],7,0),"")</f>
        <v/>
      </c>
      <c r="I451" s="130" t="str">
        <f>_xlfn.IFNA(VLOOKUP(D451,ProductListTbl[],8,0),"")</f>
        <v/>
      </c>
      <c r="J451" s="127"/>
      <c r="K451" s="129"/>
      <c r="L451" s="128"/>
      <c r="M451" s="305" t="str">
        <f>IFERROR(Table3[[#This Row],[Quantity (doses)]]/Table3[[#This Row],[Doses per vial or syringe]],"")</f>
        <v/>
      </c>
      <c r="N451" s="127"/>
      <c r="O451" s="127"/>
      <c r="P451" s="381"/>
      <c r="Q451" s="129"/>
      <c r="R451" s="127"/>
      <c r="S451" s="127"/>
      <c r="T451" s="127"/>
      <c r="U451" s="127"/>
      <c r="V451" s="305" t="str">
        <f>_xlfn.IFNA(VLOOKUP(D451,ProductListTbl[],9,0),"")</f>
        <v/>
      </c>
      <c r="W451" s="305" t="str">
        <f>IFERROR(Table3[[#This Row],[Storage space per secondary packaging (cm3)]]*Table3[[#This Row],[Quantity  (vials or syringes)]]/1000,"")</f>
        <v/>
      </c>
      <c r="X451" s="305" t="str">
        <f>IFERROR(Table3[[#This Row],[Storage space per tertiary packaging (cm3)]]*Table3[[#This Row],[Quantity (doses)]]/1000,"")</f>
        <v/>
      </c>
      <c r="Y451" s="293" t="str">
        <f>IF(Table3[[#This Row],[Status]]="Ordered",(DATE(YEAR(P451),MONTH(P451),1)),IF(Table3[[#This Row],[Status]]="Received",(DATE(YEAR(Q451),MONTH(Q451),1)),""))</f>
        <v/>
      </c>
      <c r="Z451" s="304" t="str">
        <f t="shared" si="24"/>
        <v/>
      </c>
      <c r="AA451" s="48" t="str">
        <f t="shared" si="25"/>
        <v/>
      </c>
      <c r="AB451" s="48" t="str">
        <f t="shared" si="26"/>
        <v/>
      </c>
      <c r="AC451" s="292" t="str">
        <f t="shared" si="27"/>
        <v/>
      </c>
      <c r="AD451" s="48" t="str">
        <f>IF(Table3[[#This Row],[Actual Arrival date]]&gt;0,IF(Table3[[#This Row],[Expected arrival date]]&gt;0,Table3[[#This Row],[Actual Arrival date]]-Table3[[#This Row],[Expected arrival date]],""),"")</f>
        <v/>
      </c>
    </row>
    <row r="452" spans="1:30" x14ac:dyDescent="0.25">
      <c r="A452" s="303" t="str">
        <f>Start!$D$7</f>
        <v>Anyland</v>
      </c>
      <c r="B452" s="48" t="str">
        <f>_xlfn.IFNA(VLOOKUP(A452,list!B:C,2,FALSE),"")</f>
        <v>ANY</v>
      </c>
      <c r="C452" s="48"/>
      <c r="D452" s="127"/>
      <c r="E452" s="48" t="str">
        <f>_xlfn.IFNA(VLOOKUP(Table3[[#This Row],[Product]], ProductListTbl[], 3, 0), "")</f>
        <v/>
      </c>
      <c r="F452" s="303" t="str">
        <f>_xlfn.IFNA(VLOOKUP(D452,ProductListTbl[],5,0),"")</f>
        <v/>
      </c>
      <c r="G452" s="303" t="str">
        <f>_xlfn.IFNA(VLOOKUP(D452,ProductListTbl[],6,0),"")</f>
        <v/>
      </c>
      <c r="H452" s="130" t="str">
        <f>_xlfn.IFNA(VLOOKUP(D452,ProductListTbl[],7,0),"")</f>
        <v/>
      </c>
      <c r="I452" s="130" t="str">
        <f>_xlfn.IFNA(VLOOKUP(D452,ProductListTbl[],8,0),"")</f>
        <v/>
      </c>
      <c r="J452" s="127"/>
      <c r="K452" s="129"/>
      <c r="L452" s="128"/>
      <c r="M452" s="305" t="str">
        <f>IFERROR(Table3[[#This Row],[Quantity (doses)]]/Table3[[#This Row],[Doses per vial or syringe]],"")</f>
        <v/>
      </c>
      <c r="N452" s="127"/>
      <c r="O452" s="127"/>
      <c r="P452" s="381"/>
      <c r="Q452" s="129"/>
      <c r="R452" s="127"/>
      <c r="S452" s="127"/>
      <c r="T452" s="127"/>
      <c r="U452" s="127"/>
      <c r="V452" s="305" t="str">
        <f>_xlfn.IFNA(VLOOKUP(D452,ProductListTbl[],9,0),"")</f>
        <v/>
      </c>
      <c r="W452" s="305" t="str">
        <f>IFERROR(Table3[[#This Row],[Storage space per secondary packaging (cm3)]]*Table3[[#This Row],[Quantity  (vials or syringes)]]/1000,"")</f>
        <v/>
      </c>
      <c r="X452" s="305" t="str">
        <f>IFERROR(Table3[[#This Row],[Storage space per tertiary packaging (cm3)]]*Table3[[#This Row],[Quantity (doses)]]/1000,"")</f>
        <v/>
      </c>
      <c r="Y452" s="293" t="str">
        <f>IF(Table3[[#This Row],[Status]]="Ordered",(DATE(YEAR(P452),MONTH(P452),1)),IF(Table3[[#This Row],[Status]]="Received",(DATE(YEAR(Q452),MONTH(Q452),1)),""))</f>
        <v/>
      </c>
      <c r="Z452" s="304" t="str">
        <f t="shared" si="24"/>
        <v/>
      </c>
      <c r="AA452" s="48" t="str">
        <f t="shared" si="25"/>
        <v/>
      </c>
      <c r="AB452" s="48" t="str">
        <f t="shared" si="26"/>
        <v/>
      </c>
      <c r="AC452" s="292" t="str">
        <f t="shared" si="27"/>
        <v/>
      </c>
      <c r="AD452" s="48" t="str">
        <f>IF(Table3[[#This Row],[Actual Arrival date]]&gt;0,IF(Table3[[#This Row],[Expected arrival date]]&gt;0,Table3[[#This Row],[Actual Arrival date]]-Table3[[#This Row],[Expected arrival date]],""),"")</f>
        <v/>
      </c>
    </row>
    <row r="453" spans="1:30" x14ac:dyDescent="0.25">
      <c r="A453" s="303" t="str">
        <f>Start!$D$7</f>
        <v>Anyland</v>
      </c>
      <c r="B453" s="48" t="str">
        <f>_xlfn.IFNA(VLOOKUP(A453,list!B:C,2,FALSE),"")</f>
        <v>ANY</v>
      </c>
      <c r="C453" s="48"/>
      <c r="D453" s="127"/>
      <c r="E453" s="48" t="str">
        <f>_xlfn.IFNA(VLOOKUP(Table3[[#This Row],[Product]], ProductListTbl[], 3, 0), "")</f>
        <v/>
      </c>
      <c r="F453" s="303" t="str">
        <f>_xlfn.IFNA(VLOOKUP(D453,ProductListTbl[],5,0),"")</f>
        <v/>
      </c>
      <c r="G453" s="303" t="str">
        <f>_xlfn.IFNA(VLOOKUP(D453,ProductListTbl[],6,0),"")</f>
        <v/>
      </c>
      <c r="H453" s="130" t="str">
        <f>_xlfn.IFNA(VLOOKUP(D453,ProductListTbl[],7,0),"")</f>
        <v/>
      </c>
      <c r="I453" s="130" t="str">
        <f>_xlfn.IFNA(VLOOKUP(D453,ProductListTbl[],8,0),"")</f>
        <v/>
      </c>
      <c r="J453" s="127"/>
      <c r="K453" s="129"/>
      <c r="L453" s="128"/>
      <c r="M453" s="305" t="str">
        <f>IFERROR(Table3[[#This Row],[Quantity (doses)]]/Table3[[#This Row],[Doses per vial or syringe]],"")</f>
        <v/>
      </c>
      <c r="N453" s="127"/>
      <c r="O453" s="127"/>
      <c r="P453" s="381"/>
      <c r="Q453" s="129"/>
      <c r="R453" s="127"/>
      <c r="S453" s="127"/>
      <c r="T453" s="127"/>
      <c r="U453" s="127"/>
      <c r="V453" s="305" t="str">
        <f>_xlfn.IFNA(VLOOKUP(D453,ProductListTbl[],9,0),"")</f>
        <v/>
      </c>
      <c r="W453" s="305" t="str">
        <f>IFERROR(Table3[[#This Row],[Storage space per secondary packaging (cm3)]]*Table3[[#This Row],[Quantity  (vials or syringes)]]/1000,"")</f>
        <v/>
      </c>
      <c r="X453" s="305" t="str">
        <f>IFERROR(Table3[[#This Row],[Storage space per tertiary packaging (cm3)]]*Table3[[#This Row],[Quantity (doses)]]/1000,"")</f>
        <v/>
      </c>
      <c r="Y453" s="293" t="str">
        <f>IF(Table3[[#This Row],[Status]]="Ordered",(DATE(YEAR(P453),MONTH(P453),1)),IF(Table3[[#This Row],[Status]]="Received",(DATE(YEAR(Q453),MONTH(Q453),1)),""))</f>
        <v/>
      </c>
      <c r="Z453" s="304" t="str">
        <f t="shared" ref="Z453:Z516" si="28">IFERROR(IF(K453&gt;0,((K453-Q453)/(365.25/12)),""),"")</f>
        <v/>
      </c>
      <c r="AA453" s="48" t="str">
        <f t="shared" ref="AA453:AA516" si="29">IFERROR(IF(K453="","",MONTH(EOMONTH(K453,(DAY(K453)&gt;15)+0))),"")</f>
        <v/>
      </c>
      <c r="AB453" s="48" t="str">
        <f t="shared" ref="AB453:AB516" si="30">IFERROR(IF(K453="","",IF(AND(MONTH(K453)=12,AA453=1),YEAR(K453)+1,YEAR(K453))),"")</f>
        <v/>
      </c>
      <c r="AC453" s="292" t="str">
        <f t="shared" ref="AC453:AC516" si="31">IF(OR(AA453="",AB453=""),"",DATE(AB453,AA453,1))</f>
        <v/>
      </c>
      <c r="AD453" s="48" t="str">
        <f>IF(Table3[[#This Row],[Actual Arrival date]]&gt;0,IF(Table3[[#This Row],[Expected arrival date]]&gt;0,Table3[[#This Row],[Actual Arrival date]]-Table3[[#This Row],[Expected arrival date]],""),"")</f>
        <v/>
      </c>
    </row>
    <row r="454" spans="1:30" x14ac:dyDescent="0.25">
      <c r="A454" s="303" t="str">
        <f>Start!$D$7</f>
        <v>Anyland</v>
      </c>
      <c r="B454" s="48" t="str">
        <f>_xlfn.IFNA(VLOOKUP(A454,list!B:C,2,FALSE),"")</f>
        <v>ANY</v>
      </c>
      <c r="C454" s="48"/>
      <c r="D454" s="127"/>
      <c r="E454" s="48" t="str">
        <f>_xlfn.IFNA(VLOOKUP(Table3[[#This Row],[Product]], ProductListTbl[], 3, 0), "")</f>
        <v/>
      </c>
      <c r="F454" s="303" t="str">
        <f>_xlfn.IFNA(VLOOKUP(D454,ProductListTbl[],5,0),"")</f>
        <v/>
      </c>
      <c r="G454" s="303" t="str">
        <f>_xlfn.IFNA(VLOOKUP(D454,ProductListTbl[],6,0),"")</f>
        <v/>
      </c>
      <c r="H454" s="130" t="str">
        <f>_xlfn.IFNA(VLOOKUP(D454,ProductListTbl[],7,0),"")</f>
        <v/>
      </c>
      <c r="I454" s="130" t="str">
        <f>_xlfn.IFNA(VLOOKUP(D454,ProductListTbl[],8,0),"")</f>
        <v/>
      </c>
      <c r="J454" s="127"/>
      <c r="K454" s="129"/>
      <c r="L454" s="128"/>
      <c r="M454" s="305" t="str">
        <f>IFERROR(Table3[[#This Row],[Quantity (doses)]]/Table3[[#This Row],[Doses per vial or syringe]],"")</f>
        <v/>
      </c>
      <c r="N454" s="127"/>
      <c r="O454" s="127"/>
      <c r="P454" s="381"/>
      <c r="Q454" s="129"/>
      <c r="R454" s="127"/>
      <c r="S454" s="127"/>
      <c r="T454" s="127"/>
      <c r="U454" s="127"/>
      <c r="V454" s="305" t="str">
        <f>_xlfn.IFNA(VLOOKUP(D454,ProductListTbl[],9,0),"")</f>
        <v/>
      </c>
      <c r="W454" s="305" t="str">
        <f>IFERROR(Table3[[#This Row],[Storage space per secondary packaging (cm3)]]*Table3[[#This Row],[Quantity  (vials or syringes)]]/1000,"")</f>
        <v/>
      </c>
      <c r="X454" s="305" t="str">
        <f>IFERROR(Table3[[#This Row],[Storage space per tertiary packaging (cm3)]]*Table3[[#This Row],[Quantity (doses)]]/1000,"")</f>
        <v/>
      </c>
      <c r="Y454" s="293" t="str">
        <f>IF(Table3[[#This Row],[Status]]="Ordered",(DATE(YEAR(P454),MONTH(P454),1)),IF(Table3[[#This Row],[Status]]="Received",(DATE(YEAR(Q454),MONTH(Q454),1)),""))</f>
        <v/>
      </c>
      <c r="Z454" s="304" t="str">
        <f t="shared" si="28"/>
        <v/>
      </c>
      <c r="AA454" s="48" t="str">
        <f t="shared" si="29"/>
        <v/>
      </c>
      <c r="AB454" s="48" t="str">
        <f t="shared" si="30"/>
        <v/>
      </c>
      <c r="AC454" s="292" t="str">
        <f t="shared" si="31"/>
        <v/>
      </c>
      <c r="AD454" s="48" t="str">
        <f>IF(Table3[[#This Row],[Actual Arrival date]]&gt;0,IF(Table3[[#This Row],[Expected arrival date]]&gt;0,Table3[[#This Row],[Actual Arrival date]]-Table3[[#This Row],[Expected arrival date]],""),"")</f>
        <v/>
      </c>
    </row>
    <row r="455" spans="1:30" x14ac:dyDescent="0.25">
      <c r="A455" s="303" t="str">
        <f>Start!$D$7</f>
        <v>Anyland</v>
      </c>
      <c r="B455" s="48" t="str">
        <f>_xlfn.IFNA(VLOOKUP(A455,list!B:C,2,FALSE),"")</f>
        <v>ANY</v>
      </c>
      <c r="C455" s="48"/>
      <c r="D455" s="127"/>
      <c r="E455" s="48" t="str">
        <f>_xlfn.IFNA(VLOOKUP(Table3[[#This Row],[Product]], ProductListTbl[], 3, 0), "")</f>
        <v/>
      </c>
      <c r="F455" s="303" t="str">
        <f>_xlfn.IFNA(VLOOKUP(D455,ProductListTbl[],5,0),"")</f>
        <v/>
      </c>
      <c r="G455" s="303" t="str">
        <f>_xlfn.IFNA(VLOOKUP(D455,ProductListTbl[],6,0),"")</f>
        <v/>
      </c>
      <c r="H455" s="130" t="str">
        <f>_xlfn.IFNA(VLOOKUP(D455,ProductListTbl[],7,0),"")</f>
        <v/>
      </c>
      <c r="I455" s="130" t="str">
        <f>_xlfn.IFNA(VLOOKUP(D455,ProductListTbl[],8,0),"")</f>
        <v/>
      </c>
      <c r="J455" s="127"/>
      <c r="K455" s="129"/>
      <c r="L455" s="128"/>
      <c r="M455" s="305" t="str">
        <f>IFERROR(Table3[[#This Row],[Quantity (doses)]]/Table3[[#This Row],[Doses per vial or syringe]],"")</f>
        <v/>
      </c>
      <c r="N455" s="127"/>
      <c r="O455" s="127"/>
      <c r="P455" s="381"/>
      <c r="Q455" s="129"/>
      <c r="R455" s="127"/>
      <c r="S455" s="127"/>
      <c r="T455" s="127"/>
      <c r="U455" s="127"/>
      <c r="V455" s="305" t="str">
        <f>_xlfn.IFNA(VLOOKUP(D455,ProductListTbl[],9,0),"")</f>
        <v/>
      </c>
      <c r="W455" s="305" t="str">
        <f>IFERROR(Table3[[#This Row],[Storage space per secondary packaging (cm3)]]*Table3[[#This Row],[Quantity  (vials or syringes)]]/1000,"")</f>
        <v/>
      </c>
      <c r="X455" s="305" t="str">
        <f>IFERROR(Table3[[#This Row],[Storage space per tertiary packaging (cm3)]]*Table3[[#This Row],[Quantity (doses)]]/1000,"")</f>
        <v/>
      </c>
      <c r="Y455" s="293" t="str">
        <f>IF(Table3[[#This Row],[Status]]="Ordered",(DATE(YEAR(P455),MONTH(P455),1)),IF(Table3[[#This Row],[Status]]="Received",(DATE(YEAR(Q455),MONTH(Q455),1)),""))</f>
        <v/>
      </c>
      <c r="Z455" s="304" t="str">
        <f t="shared" si="28"/>
        <v/>
      </c>
      <c r="AA455" s="48" t="str">
        <f t="shared" si="29"/>
        <v/>
      </c>
      <c r="AB455" s="48" t="str">
        <f t="shared" si="30"/>
        <v/>
      </c>
      <c r="AC455" s="292" t="str">
        <f t="shared" si="31"/>
        <v/>
      </c>
      <c r="AD455" s="48" t="str">
        <f>IF(Table3[[#This Row],[Actual Arrival date]]&gt;0,IF(Table3[[#This Row],[Expected arrival date]]&gt;0,Table3[[#This Row],[Actual Arrival date]]-Table3[[#This Row],[Expected arrival date]],""),"")</f>
        <v/>
      </c>
    </row>
    <row r="456" spans="1:30" x14ac:dyDescent="0.25">
      <c r="A456" s="303" t="str">
        <f>Start!$D$7</f>
        <v>Anyland</v>
      </c>
      <c r="B456" s="48" t="str">
        <f>_xlfn.IFNA(VLOOKUP(A456,list!B:C,2,FALSE),"")</f>
        <v>ANY</v>
      </c>
      <c r="C456" s="48"/>
      <c r="D456" s="127"/>
      <c r="E456" s="48" t="str">
        <f>_xlfn.IFNA(VLOOKUP(Table3[[#This Row],[Product]], ProductListTbl[], 3, 0), "")</f>
        <v/>
      </c>
      <c r="F456" s="303" t="str">
        <f>_xlfn.IFNA(VLOOKUP(D456,ProductListTbl[],5,0),"")</f>
        <v/>
      </c>
      <c r="G456" s="303" t="str">
        <f>_xlfn.IFNA(VLOOKUP(D456,ProductListTbl[],6,0),"")</f>
        <v/>
      </c>
      <c r="H456" s="130" t="str">
        <f>_xlfn.IFNA(VLOOKUP(D456,ProductListTbl[],7,0),"")</f>
        <v/>
      </c>
      <c r="I456" s="130" t="str">
        <f>_xlfn.IFNA(VLOOKUP(D456,ProductListTbl[],8,0),"")</f>
        <v/>
      </c>
      <c r="J456" s="127"/>
      <c r="K456" s="129"/>
      <c r="L456" s="128"/>
      <c r="M456" s="305" t="str">
        <f>IFERROR(Table3[[#This Row],[Quantity (doses)]]/Table3[[#This Row],[Doses per vial or syringe]],"")</f>
        <v/>
      </c>
      <c r="N456" s="127"/>
      <c r="O456" s="127"/>
      <c r="P456" s="381"/>
      <c r="Q456" s="129"/>
      <c r="R456" s="127"/>
      <c r="S456" s="127"/>
      <c r="T456" s="127"/>
      <c r="U456" s="127"/>
      <c r="V456" s="305" t="str">
        <f>_xlfn.IFNA(VLOOKUP(D456,ProductListTbl[],9,0),"")</f>
        <v/>
      </c>
      <c r="W456" s="305" t="str">
        <f>IFERROR(Table3[[#This Row],[Storage space per secondary packaging (cm3)]]*Table3[[#This Row],[Quantity  (vials or syringes)]]/1000,"")</f>
        <v/>
      </c>
      <c r="X456" s="305" t="str">
        <f>IFERROR(Table3[[#This Row],[Storage space per tertiary packaging (cm3)]]*Table3[[#This Row],[Quantity (doses)]]/1000,"")</f>
        <v/>
      </c>
      <c r="Y456" s="293" t="str">
        <f>IF(Table3[[#This Row],[Status]]="Ordered",(DATE(YEAR(P456),MONTH(P456),1)),IF(Table3[[#This Row],[Status]]="Received",(DATE(YEAR(Q456),MONTH(Q456),1)),""))</f>
        <v/>
      </c>
      <c r="Z456" s="304" t="str">
        <f t="shared" si="28"/>
        <v/>
      </c>
      <c r="AA456" s="48" t="str">
        <f t="shared" si="29"/>
        <v/>
      </c>
      <c r="AB456" s="48" t="str">
        <f t="shared" si="30"/>
        <v/>
      </c>
      <c r="AC456" s="292" t="str">
        <f t="shared" si="31"/>
        <v/>
      </c>
      <c r="AD456" s="48" t="str">
        <f>IF(Table3[[#This Row],[Actual Arrival date]]&gt;0,IF(Table3[[#This Row],[Expected arrival date]]&gt;0,Table3[[#This Row],[Actual Arrival date]]-Table3[[#This Row],[Expected arrival date]],""),"")</f>
        <v/>
      </c>
    </row>
    <row r="457" spans="1:30" x14ac:dyDescent="0.25">
      <c r="A457" s="303" t="str">
        <f>Start!$D$7</f>
        <v>Anyland</v>
      </c>
      <c r="B457" s="48" t="str">
        <f>_xlfn.IFNA(VLOOKUP(A457,list!B:C,2,FALSE),"")</f>
        <v>ANY</v>
      </c>
      <c r="C457" s="48"/>
      <c r="D457" s="127"/>
      <c r="E457" s="48" t="str">
        <f>_xlfn.IFNA(VLOOKUP(Table3[[#This Row],[Product]], ProductListTbl[], 3, 0), "")</f>
        <v/>
      </c>
      <c r="F457" s="303" t="str">
        <f>_xlfn.IFNA(VLOOKUP(D457,ProductListTbl[],5,0),"")</f>
        <v/>
      </c>
      <c r="G457" s="303" t="str">
        <f>_xlfn.IFNA(VLOOKUP(D457,ProductListTbl[],6,0),"")</f>
        <v/>
      </c>
      <c r="H457" s="130" t="str">
        <f>_xlfn.IFNA(VLOOKUP(D457,ProductListTbl[],7,0),"")</f>
        <v/>
      </c>
      <c r="I457" s="130" t="str">
        <f>_xlfn.IFNA(VLOOKUP(D457,ProductListTbl[],8,0),"")</f>
        <v/>
      </c>
      <c r="J457" s="127"/>
      <c r="K457" s="129"/>
      <c r="L457" s="128"/>
      <c r="M457" s="305" t="str">
        <f>IFERROR(Table3[[#This Row],[Quantity (doses)]]/Table3[[#This Row],[Doses per vial or syringe]],"")</f>
        <v/>
      </c>
      <c r="N457" s="127"/>
      <c r="O457" s="127"/>
      <c r="P457" s="381"/>
      <c r="Q457" s="129"/>
      <c r="R457" s="127"/>
      <c r="S457" s="127"/>
      <c r="T457" s="127"/>
      <c r="U457" s="127"/>
      <c r="V457" s="305" t="str">
        <f>_xlfn.IFNA(VLOOKUP(D457,ProductListTbl[],9,0),"")</f>
        <v/>
      </c>
      <c r="W457" s="305" t="str">
        <f>IFERROR(Table3[[#This Row],[Storage space per secondary packaging (cm3)]]*Table3[[#This Row],[Quantity  (vials or syringes)]]/1000,"")</f>
        <v/>
      </c>
      <c r="X457" s="305" t="str">
        <f>IFERROR(Table3[[#This Row],[Storage space per tertiary packaging (cm3)]]*Table3[[#This Row],[Quantity (doses)]]/1000,"")</f>
        <v/>
      </c>
      <c r="Y457" s="293" t="str">
        <f>IF(Table3[[#This Row],[Status]]="Ordered",(DATE(YEAR(P457),MONTH(P457),1)),IF(Table3[[#This Row],[Status]]="Received",(DATE(YEAR(Q457),MONTH(Q457),1)),""))</f>
        <v/>
      </c>
      <c r="Z457" s="304" t="str">
        <f t="shared" si="28"/>
        <v/>
      </c>
      <c r="AA457" s="48" t="str">
        <f t="shared" si="29"/>
        <v/>
      </c>
      <c r="AB457" s="48" t="str">
        <f t="shared" si="30"/>
        <v/>
      </c>
      <c r="AC457" s="292" t="str">
        <f t="shared" si="31"/>
        <v/>
      </c>
      <c r="AD457" s="48" t="str">
        <f>IF(Table3[[#This Row],[Actual Arrival date]]&gt;0,IF(Table3[[#This Row],[Expected arrival date]]&gt;0,Table3[[#This Row],[Actual Arrival date]]-Table3[[#This Row],[Expected arrival date]],""),"")</f>
        <v/>
      </c>
    </row>
    <row r="458" spans="1:30" x14ac:dyDescent="0.25">
      <c r="A458" s="303" t="str">
        <f>Start!$D$7</f>
        <v>Anyland</v>
      </c>
      <c r="B458" s="48" t="str">
        <f>_xlfn.IFNA(VLOOKUP(A458,list!B:C,2,FALSE),"")</f>
        <v>ANY</v>
      </c>
      <c r="C458" s="48"/>
      <c r="D458" s="127"/>
      <c r="E458" s="48" t="str">
        <f>_xlfn.IFNA(VLOOKUP(Table3[[#This Row],[Product]], ProductListTbl[], 3, 0), "")</f>
        <v/>
      </c>
      <c r="F458" s="303" t="str">
        <f>_xlfn.IFNA(VLOOKUP(D458,ProductListTbl[],5,0),"")</f>
        <v/>
      </c>
      <c r="G458" s="303" t="str">
        <f>_xlfn.IFNA(VLOOKUP(D458,ProductListTbl[],6,0),"")</f>
        <v/>
      </c>
      <c r="H458" s="130" t="str">
        <f>_xlfn.IFNA(VLOOKUP(D458,ProductListTbl[],7,0),"")</f>
        <v/>
      </c>
      <c r="I458" s="130" t="str">
        <f>_xlfn.IFNA(VLOOKUP(D458,ProductListTbl[],8,0),"")</f>
        <v/>
      </c>
      <c r="J458" s="127"/>
      <c r="K458" s="129"/>
      <c r="L458" s="128"/>
      <c r="M458" s="305" t="str">
        <f>IFERROR(Table3[[#This Row],[Quantity (doses)]]/Table3[[#This Row],[Doses per vial or syringe]],"")</f>
        <v/>
      </c>
      <c r="N458" s="127"/>
      <c r="O458" s="127"/>
      <c r="P458" s="381"/>
      <c r="Q458" s="129"/>
      <c r="R458" s="127"/>
      <c r="S458" s="127"/>
      <c r="T458" s="127"/>
      <c r="U458" s="127"/>
      <c r="V458" s="305" t="str">
        <f>_xlfn.IFNA(VLOOKUP(D458,ProductListTbl[],9,0),"")</f>
        <v/>
      </c>
      <c r="W458" s="305" t="str">
        <f>IFERROR(Table3[[#This Row],[Storage space per secondary packaging (cm3)]]*Table3[[#This Row],[Quantity  (vials or syringes)]]/1000,"")</f>
        <v/>
      </c>
      <c r="X458" s="305" t="str">
        <f>IFERROR(Table3[[#This Row],[Storage space per tertiary packaging (cm3)]]*Table3[[#This Row],[Quantity (doses)]]/1000,"")</f>
        <v/>
      </c>
      <c r="Y458" s="293" t="str">
        <f>IF(Table3[[#This Row],[Status]]="Ordered",(DATE(YEAR(P458),MONTH(P458),1)),IF(Table3[[#This Row],[Status]]="Received",(DATE(YEAR(Q458),MONTH(Q458),1)),""))</f>
        <v/>
      </c>
      <c r="Z458" s="304" t="str">
        <f t="shared" si="28"/>
        <v/>
      </c>
      <c r="AA458" s="48" t="str">
        <f t="shared" si="29"/>
        <v/>
      </c>
      <c r="AB458" s="48" t="str">
        <f t="shared" si="30"/>
        <v/>
      </c>
      <c r="AC458" s="292" t="str">
        <f t="shared" si="31"/>
        <v/>
      </c>
      <c r="AD458" s="48" t="str">
        <f>IF(Table3[[#This Row],[Actual Arrival date]]&gt;0,IF(Table3[[#This Row],[Expected arrival date]]&gt;0,Table3[[#This Row],[Actual Arrival date]]-Table3[[#This Row],[Expected arrival date]],""),"")</f>
        <v/>
      </c>
    </row>
    <row r="459" spans="1:30" x14ac:dyDescent="0.25">
      <c r="A459" s="303" t="str">
        <f>Start!$D$7</f>
        <v>Anyland</v>
      </c>
      <c r="B459" s="48" t="str">
        <f>_xlfn.IFNA(VLOOKUP(A459,list!B:C,2,FALSE),"")</f>
        <v>ANY</v>
      </c>
      <c r="C459" s="48"/>
      <c r="D459" s="127"/>
      <c r="E459" s="48" t="str">
        <f>_xlfn.IFNA(VLOOKUP(Table3[[#This Row],[Product]], ProductListTbl[], 3, 0), "")</f>
        <v/>
      </c>
      <c r="F459" s="303" t="str">
        <f>_xlfn.IFNA(VLOOKUP(D459,ProductListTbl[],5,0),"")</f>
        <v/>
      </c>
      <c r="G459" s="303" t="str">
        <f>_xlfn.IFNA(VLOOKUP(D459,ProductListTbl[],6,0),"")</f>
        <v/>
      </c>
      <c r="H459" s="130" t="str">
        <f>_xlfn.IFNA(VLOOKUP(D459,ProductListTbl[],7,0),"")</f>
        <v/>
      </c>
      <c r="I459" s="130" t="str">
        <f>_xlfn.IFNA(VLOOKUP(D459,ProductListTbl[],8,0),"")</f>
        <v/>
      </c>
      <c r="J459" s="127"/>
      <c r="K459" s="129"/>
      <c r="L459" s="128"/>
      <c r="M459" s="305" t="str">
        <f>IFERROR(Table3[[#This Row],[Quantity (doses)]]/Table3[[#This Row],[Doses per vial or syringe]],"")</f>
        <v/>
      </c>
      <c r="N459" s="127"/>
      <c r="O459" s="127"/>
      <c r="P459" s="381"/>
      <c r="Q459" s="129"/>
      <c r="R459" s="127"/>
      <c r="S459" s="127"/>
      <c r="T459" s="127"/>
      <c r="U459" s="127"/>
      <c r="V459" s="305" t="str">
        <f>_xlfn.IFNA(VLOOKUP(D459,ProductListTbl[],9,0),"")</f>
        <v/>
      </c>
      <c r="W459" s="305" t="str">
        <f>IFERROR(Table3[[#This Row],[Storage space per secondary packaging (cm3)]]*Table3[[#This Row],[Quantity  (vials or syringes)]]/1000,"")</f>
        <v/>
      </c>
      <c r="X459" s="305" t="str">
        <f>IFERROR(Table3[[#This Row],[Storage space per tertiary packaging (cm3)]]*Table3[[#This Row],[Quantity (doses)]]/1000,"")</f>
        <v/>
      </c>
      <c r="Y459" s="293" t="str">
        <f>IF(Table3[[#This Row],[Status]]="Ordered",(DATE(YEAR(P459),MONTH(P459),1)),IF(Table3[[#This Row],[Status]]="Received",(DATE(YEAR(Q459),MONTH(Q459),1)),""))</f>
        <v/>
      </c>
      <c r="Z459" s="304" t="str">
        <f t="shared" si="28"/>
        <v/>
      </c>
      <c r="AA459" s="48" t="str">
        <f t="shared" si="29"/>
        <v/>
      </c>
      <c r="AB459" s="48" t="str">
        <f t="shared" si="30"/>
        <v/>
      </c>
      <c r="AC459" s="292" t="str">
        <f t="shared" si="31"/>
        <v/>
      </c>
      <c r="AD459" s="48" t="str">
        <f>IF(Table3[[#This Row],[Actual Arrival date]]&gt;0,IF(Table3[[#This Row],[Expected arrival date]]&gt;0,Table3[[#This Row],[Actual Arrival date]]-Table3[[#This Row],[Expected arrival date]],""),"")</f>
        <v/>
      </c>
    </row>
    <row r="460" spans="1:30" x14ac:dyDescent="0.25">
      <c r="A460" s="303" t="str">
        <f>Start!$D$7</f>
        <v>Anyland</v>
      </c>
      <c r="B460" s="48" t="str">
        <f>_xlfn.IFNA(VLOOKUP(A460,list!B:C,2,FALSE),"")</f>
        <v>ANY</v>
      </c>
      <c r="C460" s="48"/>
      <c r="D460" s="127"/>
      <c r="E460" s="48" t="str">
        <f>_xlfn.IFNA(VLOOKUP(Table3[[#This Row],[Product]], ProductListTbl[], 3, 0), "")</f>
        <v/>
      </c>
      <c r="F460" s="303" t="str">
        <f>_xlfn.IFNA(VLOOKUP(D460,ProductListTbl[],5,0),"")</f>
        <v/>
      </c>
      <c r="G460" s="303" t="str">
        <f>_xlfn.IFNA(VLOOKUP(D460,ProductListTbl[],6,0),"")</f>
        <v/>
      </c>
      <c r="H460" s="130" t="str">
        <f>_xlfn.IFNA(VLOOKUP(D460,ProductListTbl[],7,0),"")</f>
        <v/>
      </c>
      <c r="I460" s="130" t="str">
        <f>_xlfn.IFNA(VLOOKUP(D460,ProductListTbl[],8,0),"")</f>
        <v/>
      </c>
      <c r="J460" s="127"/>
      <c r="K460" s="129"/>
      <c r="L460" s="128"/>
      <c r="M460" s="305" t="str">
        <f>IFERROR(Table3[[#This Row],[Quantity (doses)]]/Table3[[#This Row],[Doses per vial or syringe]],"")</f>
        <v/>
      </c>
      <c r="N460" s="127"/>
      <c r="O460" s="127"/>
      <c r="P460" s="381"/>
      <c r="Q460" s="129"/>
      <c r="R460" s="127"/>
      <c r="S460" s="127"/>
      <c r="T460" s="127"/>
      <c r="U460" s="127"/>
      <c r="V460" s="305" t="str">
        <f>_xlfn.IFNA(VLOOKUP(D460,ProductListTbl[],9,0),"")</f>
        <v/>
      </c>
      <c r="W460" s="305" t="str">
        <f>IFERROR(Table3[[#This Row],[Storage space per secondary packaging (cm3)]]*Table3[[#This Row],[Quantity  (vials or syringes)]]/1000,"")</f>
        <v/>
      </c>
      <c r="X460" s="305" t="str">
        <f>IFERROR(Table3[[#This Row],[Storage space per tertiary packaging (cm3)]]*Table3[[#This Row],[Quantity (doses)]]/1000,"")</f>
        <v/>
      </c>
      <c r="Y460" s="293" t="str">
        <f>IF(Table3[[#This Row],[Status]]="Ordered",(DATE(YEAR(P460),MONTH(P460),1)),IF(Table3[[#This Row],[Status]]="Received",(DATE(YEAR(Q460),MONTH(Q460),1)),""))</f>
        <v/>
      </c>
      <c r="Z460" s="304" t="str">
        <f t="shared" si="28"/>
        <v/>
      </c>
      <c r="AA460" s="48" t="str">
        <f t="shared" si="29"/>
        <v/>
      </c>
      <c r="AB460" s="48" t="str">
        <f t="shared" si="30"/>
        <v/>
      </c>
      <c r="AC460" s="292" t="str">
        <f t="shared" si="31"/>
        <v/>
      </c>
      <c r="AD460" s="48" t="str">
        <f>IF(Table3[[#This Row],[Actual Arrival date]]&gt;0,IF(Table3[[#This Row],[Expected arrival date]]&gt;0,Table3[[#This Row],[Actual Arrival date]]-Table3[[#This Row],[Expected arrival date]],""),"")</f>
        <v/>
      </c>
    </row>
    <row r="461" spans="1:30" x14ac:dyDescent="0.25">
      <c r="A461" s="303" t="str">
        <f>Start!$D$7</f>
        <v>Anyland</v>
      </c>
      <c r="B461" s="48" t="str">
        <f>_xlfn.IFNA(VLOOKUP(A461,list!B:C,2,FALSE),"")</f>
        <v>ANY</v>
      </c>
      <c r="C461" s="48"/>
      <c r="D461" s="127"/>
      <c r="E461" s="48" t="str">
        <f>_xlfn.IFNA(VLOOKUP(Table3[[#This Row],[Product]], ProductListTbl[], 3, 0), "")</f>
        <v/>
      </c>
      <c r="F461" s="303" t="str">
        <f>_xlfn.IFNA(VLOOKUP(D461,ProductListTbl[],5,0),"")</f>
        <v/>
      </c>
      <c r="G461" s="303" t="str">
        <f>_xlfn.IFNA(VLOOKUP(D461,ProductListTbl[],6,0),"")</f>
        <v/>
      </c>
      <c r="H461" s="130" t="str">
        <f>_xlfn.IFNA(VLOOKUP(D461,ProductListTbl[],7,0),"")</f>
        <v/>
      </c>
      <c r="I461" s="130" t="str">
        <f>_xlfn.IFNA(VLOOKUP(D461,ProductListTbl[],8,0),"")</f>
        <v/>
      </c>
      <c r="J461" s="127"/>
      <c r="K461" s="129"/>
      <c r="L461" s="128"/>
      <c r="M461" s="305" t="str">
        <f>IFERROR(Table3[[#This Row],[Quantity (doses)]]/Table3[[#This Row],[Doses per vial or syringe]],"")</f>
        <v/>
      </c>
      <c r="N461" s="127"/>
      <c r="O461" s="127"/>
      <c r="P461" s="381"/>
      <c r="Q461" s="129"/>
      <c r="R461" s="127"/>
      <c r="S461" s="127"/>
      <c r="T461" s="127"/>
      <c r="U461" s="127"/>
      <c r="V461" s="305" t="str">
        <f>_xlfn.IFNA(VLOOKUP(D461,ProductListTbl[],9,0),"")</f>
        <v/>
      </c>
      <c r="W461" s="305" t="str">
        <f>IFERROR(Table3[[#This Row],[Storage space per secondary packaging (cm3)]]*Table3[[#This Row],[Quantity  (vials or syringes)]]/1000,"")</f>
        <v/>
      </c>
      <c r="X461" s="305" t="str">
        <f>IFERROR(Table3[[#This Row],[Storage space per tertiary packaging (cm3)]]*Table3[[#This Row],[Quantity (doses)]]/1000,"")</f>
        <v/>
      </c>
      <c r="Y461" s="293" t="str">
        <f>IF(Table3[[#This Row],[Status]]="Ordered",(DATE(YEAR(P461),MONTH(P461),1)),IF(Table3[[#This Row],[Status]]="Received",(DATE(YEAR(Q461),MONTH(Q461),1)),""))</f>
        <v/>
      </c>
      <c r="Z461" s="304" t="str">
        <f t="shared" si="28"/>
        <v/>
      </c>
      <c r="AA461" s="48" t="str">
        <f t="shared" si="29"/>
        <v/>
      </c>
      <c r="AB461" s="48" t="str">
        <f t="shared" si="30"/>
        <v/>
      </c>
      <c r="AC461" s="292" t="str">
        <f t="shared" si="31"/>
        <v/>
      </c>
      <c r="AD461" s="48" t="str">
        <f>IF(Table3[[#This Row],[Actual Arrival date]]&gt;0,IF(Table3[[#This Row],[Expected arrival date]]&gt;0,Table3[[#This Row],[Actual Arrival date]]-Table3[[#This Row],[Expected arrival date]],""),"")</f>
        <v/>
      </c>
    </row>
    <row r="462" spans="1:30" x14ac:dyDescent="0.25">
      <c r="A462" s="303" t="str">
        <f>Start!$D$7</f>
        <v>Anyland</v>
      </c>
      <c r="B462" s="48" t="str">
        <f>_xlfn.IFNA(VLOOKUP(A462,list!B:C,2,FALSE),"")</f>
        <v>ANY</v>
      </c>
      <c r="C462" s="48"/>
      <c r="D462" s="127"/>
      <c r="E462" s="48" t="str">
        <f>_xlfn.IFNA(VLOOKUP(Table3[[#This Row],[Product]], ProductListTbl[], 3, 0), "")</f>
        <v/>
      </c>
      <c r="F462" s="303" t="str">
        <f>_xlfn.IFNA(VLOOKUP(D462,ProductListTbl[],5,0),"")</f>
        <v/>
      </c>
      <c r="G462" s="303" t="str">
        <f>_xlfn.IFNA(VLOOKUP(D462,ProductListTbl[],6,0),"")</f>
        <v/>
      </c>
      <c r="H462" s="130" t="str">
        <f>_xlfn.IFNA(VLOOKUP(D462,ProductListTbl[],7,0),"")</f>
        <v/>
      </c>
      <c r="I462" s="130" t="str">
        <f>_xlfn.IFNA(VLOOKUP(D462,ProductListTbl[],8,0),"")</f>
        <v/>
      </c>
      <c r="J462" s="127"/>
      <c r="K462" s="129"/>
      <c r="L462" s="128"/>
      <c r="M462" s="305" t="str">
        <f>IFERROR(Table3[[#This Row],[Quantity (doses)]]/Table3[[#This Row],[Doses per vial or syringe]],"")</f>
        <v/>
      </c>
      <c r="N462" s="127"/>
      <c r="O462" s="127"/>
      <c r="P462" s="381"/>
      <c r="Q462" s="129"/>
      <c r="R462" s="127"/>
      <c r="S462" s="127"/>
      <c r="T462" s="127"/>
      <c r="U462" s="127"/>
      <c r="V462" s="305" t="str">
        <f>_xlfn.IFNA(VLOOKUP(D462,ProductListTbl[],9,0),"")</f>
        <v/>
      </c>
      <c r="W462" s="305" t="str">
        <f>IFERROR(Table3[[#This Row],[Storage space per secondary packaging (cm3)]]*Table3[[#This Row],[Quantity  (vials or syringes)]]/1000,"")</f>
        <v/>
      </c>
      <c r="X462" s="305" t="str">
        <f>IFERROR(Table3[[#This Row],[Storage space per tertiary packaging (cm3)]]*Table3[[#This Row],[Quantity (doses)]]/1000,"")</f>
        <v/>
      </c>
      <c r="Y462" s="293" t="str">
        <f>IF(Table3[[#This Row],[Status]]="Ordered",(DATE(YEAR(P462),MONTH(P462),1)),IF(Table3[[#This Row],[Status]]="Received",(DATE(YEAR(Q462),MONTH(Q462),1)),""))</f>
        <v/>
      </c>
      <c r="Z462" s="304" t="str">
        <f t="shared" si="28"/>
        <v/>
      </c>
      <c r="AA462" s="48" t="str">
        <f t="shared" si="29"/>
        <v/>
      </c>
      <c r="AB462" s="48" t="str">
        <f t="shared" si="30"/>
        <v/>
      </c>
      <c r="AC462" s="292" t="str">
        <f t="shared" si="31"/>
        <v/>
      </c>
      <c r="AD462" s="48" t="str">
        <f>IF(Table3[[#This Row],[Actual Arrival date]]&gt;0,IF(Table3[[#This Row],[Expected arrival date]]&gt;0,Table3[[#This Row],[Actual Arrival date]]-Table3[[#This Row],[Expected arrival date]],""),"")</f>
        <v/>
      </c>
    </row>
    <row r="463" spans="1:30" x14ac:dyDescent="0.25">
      <c r="A463" s="303" t="str">
        <f>Start!$D$7</f>
        <v>Anyland</v>
      </c>
      <c r="B463" s="48" t="str">
        <f>_xlfn.IFNA(VLOOKUP(A463,list!B:C,2,FALSE),"")</f>
        <v>ANY</v>
      </c>
      <c r="C463" s="48"/>
      <c r="D463" s="127"/>
      <c r="E463" s="48" t="str">
        <f>_xlfn.IFNA(VLOOKUP(Table3[[#This Row],[Product]], ProductListTbl[], 3, 0), "")</f>
        <v/>
      </c>
      <c r="F463" s="303" t="str">
        <f>_xlfn.IFNA(VLOOKUP(D463,ProductListTbl[],5,0),"")</f>
        <v/>
      </c>
      <c r="G463" s="303" t="str">
        <f>_xlfn.IFNA(VLOOKUP(D463,ProductListTbl[],6,0),"")</f>
        <v/>
      </c>
      <c r="H463" s="130" t="str">
        <f>_xlfn.IFNA(VLOOKUP(D463,ProductListTbl[],7,0),"")</f>
        <v/>
      </c>
      <c r="I463" s="130" t="str">
        <f>_xlfn.IFNA(VLOOKUP(D463,ProductListTbl[],8,0),"")</f>
        <v/>
      </c>
      <c r="J463" s="127"/>
      <c r="K463" s="129"/>
      <c r="L463" s="128"/>
      <c r="M463" s="305" t="str">
        <f>IFERROR(Table3[[#This Row],[Quantity (doses)]]/Table3[[#This Row],[Doses per vial or syringe]],"")</f>
        <v/>
      </c>
      <c r="N463" s="127"/>
      <c r="O463" s="127"/>
      <c r="P463" s="381"/>
      <c r="Q463" s="129"/>
      <c r="R463" s="127"/>
      <c r="S463" s="127"/>
      <c r="T463" s="127"/>
      <c r="U463" s="127"/>
      <c r="V463" s="305" t="str">
        <f>_xlfn.IFNA(VLOOKUP(D463,ProductListTbl[],9,0),"")</f>
        <v/>
      </c>
      <c r="W463" s="305" t="str">
        <f>IFERROR(Table3[[#This Row],[Storage space per secondary packaging (cm3)]]*Table3[[#This Row],[Quantity  (vials or syringes)]]/1000,"")</f>
        <v/>
      </c>
      <c r="X463" s="305" t="str">
        <f>IFERROR(Table3[[#This Row],[Storage space per tertiary packaging (cm3)]]*Table3[[#This Row],[Quantity (doses)]]/1000,"")</f>
        <v/>
      </c>
      <c r="Y463" s="293" t="str">
        <f>IF(Table3[[#This Row],[Status]]="Ordered",(DATE(YEAR(P463),MONTH(P463),1)),IF(Table3[[#This Row],[Status]]="Received",(DATE(YEAR(Q463),MONTH(Q463),1)),""))</f>
        <v/>
      </c>
      <c r="Z463" s="304" t="str">
        <f t="shared" si="28"/>
        <v/>
      </c>
      <c r="AA463" s="48" t="str">
        <f t="shared" si="29"/>
        <v/>
      </c>
      <c r="AB463" s="48" t="str">
        <f t="shared" si="30"/>
        <v/>
      </c>
      <c r="AC463" s="292" t="str">
        <f t="shared" si="31"/>
        <v/>
      </c>
      <c r="AD463" s="48" t="str">
        <f>IF(Table3[[#This Row],[Actual Arrival date]]&gt;0,IF(Table3[[#This Row],[Expected arrival date]]&gt;0,Table3[[#This Row],[Actual Arrival date]]-Table3[[#This Row],[Expected arrival date]],""),"")</f>
        <v/>
      </c>
    </row>
    <row r="464" spans="1:30" x14ac:dyDescent="0.25">
      <c r="A464" s="303" t="str">
        <f>Start!$D$7</f>
        <v>Anyland</v>
      </c>
      <c r="B464" s="48" t="str">
        <f>_xlfn.IFNA(VLOOKUP(A464,list!B:C,2,FALSE),"")</f>
        <v>ANY</v>
      </c>
      <c r="C464" s="48"/>
      <c r="D464" s="127"/>
      <c r="E464" s="48" t="str">
        <f>_xlfn.IFNA(VLOOKUP(Table3[[#This Row],[Product]], ProductListTbl[], 3, 0), "")</f>
        <v/>
      </c>
      <c r="F464" s="303" t="str">
        <f>_xlfn.IFNA(VLOOKUP(D464,ProductListTbl[],5,0),"")</f>
        <v/>
      </c>
      <c r="G464" s="303" t="str">
        <f>_xlfn.IFNA(VLOOKUP(D464,ProductListTbl[],6,0),"")</f>
        <v/>
      </c>
      <c r="H464" s="130" t="str">
        <f>_xlfn.IFNA(VLOOKUP(D464,ProductListTbl[],7,0),"")</f>
        <v/>
      </c>
      <c r="I464" s="130" t="str">
        <f>_xlfn.IFNA(VLOOKUP(D464,ProductListTbl[],8,0),"")</f>
        <v/>
      </c>
      <c r="J464" s="127"/>
      <c r="K464" s="129"/>
      <c r="L464" s="128"/>
      <c r="M464" s="305" t="str">
        <f>IFERROR(Table3[[#This Row],[Quantity (doses)]]/Table3[[#This Row],[Doses per vial or syringe]],"")</f>
        <v/>
      </c>
      <c r="N464" s="127"/>
      <c r="O464" s="127"/>
      <c r="P464" s="381"/>
      <c r="Q464" s="129"/>
      <c r="R464" s="127"/>
      <c r="S464" s="127"/>
      <c r="T464" s="127"/>
      <c r="U464" s="127"/>
      <c r="V464" s="305" t="str">
        <f>_xlfn.IFNA(VLOOKUP(D464,ProductListTbl[],9,0),"")</f>
        <v/>
      </c>
      <c r="W464" s="305" t="str">
        <f>IFERROR(Table3[[#This Row],[Storage space per secondary packaging (cm3)]]*Table3[[#This Row],[Quantity  (vials or syringes)]]/1000,"")</f>
        <v/>
      </c>
      <c r="X464" s="305" t="str">
        <f>IFERROR(Table3[[#This Row],[Storage space per tertiary packaging (cm3)]]*Table3[[#This Row],[Quantity (doses)]]/1000,"")</f>
        <v/>
      </c>
      <c r="Y464" s="293" t="str">
        <f>IF(Table3[[#This Row],[Status]]="Ordered",(DATE(YEAR(P464),MONTH(P464),1)),IF(Table3[[#This Row],[Status]]="Received",(DATE(YEAR(Q464),MONTH(Q464),1)),""))</f>
        <v/>
      </c>
      <c r="Z464" s="304" t="str">
        <f t="shared" si="28"/>
        <v/>
      </c>
      <c r="AA464" s="48" t="str">
        <f t="shared" si="29"/>
        <v/>
      </c>
      <c r="AB464" s="48" t="str">
        <f t="shared" si="30"/>
        <v/>
      </c>
      <c r="AC464" s="292" t="str">
        <f t="shared" si="31"/>
        <v/>
      </c>
      <c r="AD464" s="48" t="str">
        <f>IF(Table3[[#This Row],[Actual Arrival date]]&gt;0,IF(Table3[[#This Row],[Expected arrival date]]&gt;0,Table3[[#This Row],[Actual Arrival date]]-Table3[[#This Row],[Expected arrival date]],""),"")</f>
        <v/>
      </c>
    </row>
    <row r="465" spans="1:30" x14ac:dyDescent="0.25">
      <c r="A465" s="303" t="str">
        <f>Start!$D$7</f>
        <v>Anyland</v>
      </c>
      <c r="B465" s="48" t="str">
        <f>_xlfn.IFNA(VLOOKUP(A465,list!B:C,2,FALSE),"")</f>
        <v>ANY</v>
      </c>
      <c r="C465" s="48"/>
      <c r="D465" s="127"/>
      <c r="E465" s="48" t="str">
        <f>_xlfn.IFNA(VLOOKUP(Table3[[#This Row],[Product]], ProductListTbl[], 3, 0), "")</f>
        <v/>
      </c>
      <c r="F465" s="303" t="str">
        <f>_xlfn.IFNA(VLOOKUP(D465,ProductListTbl[],5,0),"")</f>
        <v/>
      </c>
      <c r="G465" s="303" t="str">
        <f>_xlfn.IFNA(VLOOKUP(D465,ProductListTbl[],6,0),"")</f>
        <v/>
      </c>
      <c r="H465" s="130" t="str">
        <f>_xlfn.IFNA(VLOOKUP(D465,ProductListTbl[],7,0),"")</f>
        <v/>
      </c>
      <c r="I465" s="130" t="str">
        <f>_xlfn.IFNA(VLOOKUP(D465,ProductListTbl[],8,0),"")</f>
        <v/>
      </c>
      <c r="J465" s="127"/>
      <c r="K465" s="129"/>
      <c r="L465" s="128"/>
      <c r="M465" s="305" t="str">
        <f>IFERROR(Table3[[#This Row],[Quantity (doses)]]/Table3[[#This Row],[Doses per vial or syringe]],"")</f>
        <v/>
      </c>
      <c r="N465" s="127"/>
      <c r="O465" s="127"/>
      <c r="P465" s="381"/>
      <c r="Q465" s="129"/>
      <c r="R465" s="127"/>
      <c r="S465" s="127"/>
      <c r="T465" s="127"/>
      <c r="U465" s="127"/>
      <c r="V465" s="305" t="str">
        <f>_xlfn.IFNA(VLOOKUP(D465,ProductListTbl[],9,0),"")</f>
        <v/>
      </c>
      <c r="W465" s="305" t="str">
        <f>IFERROR(Table3[[#This Row],[Storage space per secondary packaging (cm3)]]*Table3[[#This Row],[Quantity  (vials or syringes)]]/1000,"")</f>
        <v/>
      </c>
      <c r="X465" s="305" t="str">
        <f>IFERROR(Table3[[#This Row],[Storage space per tertiary packaging (cm3)]]*Table3[[#This Row],[Quantity (doses)]]/1000,"")</f>
        <v/>
      </c>
      <c r="Y465" s="293" t="str">
        <f>IF(Table3[[#This Row],[Status]]="Ordered",(DATE(YEAR(P465),MONTH(P465),1)),IF(Table3[[#This Row],[Status]]="Received",(DATE(YEAR(Q465),MONTH(Q465),1)),""))</f>
        <v/>
      </c>
      <c r="Z465" s="304" t="str">
        <f t="shared" si="28"/>
        <v/>
      </c>
      <c r="AA465" s="48" t="str">
        <f t="shared" si="29"/>
        <v/>
      </c>
      <c r="AB465" s="48" t="str">
        <f t="shared" si="30"/>
        <v/>
      </c>
      <c r="AC465" s="292" t="str">
        <f t="shared" si="31"/>
        <v/>
      </c>
      <c r="AD465" s="48" t="str">
        <f>IF(Table3[[#This Row],[Actual Arrival date]]&gt;0,IF(Table3[[#This Row],[Expected arrival date]]&gt;0,Table3[[#This Row],[Actual Arrival date]]-Table3[[#This Row],[Expected arrival date]],""),"")</f>
        <v/>
      </c>
    </row>
    <row r="466" spans="1:30" x14ac:dyDescent="0.25">
      <c r="A466" s="303" t="str">
        <f>Start!$D$7</f>
        <v>Anyland</v>
      </c>
      <c r="B466" s="48" t="str">
        <f>_xlfn.IFNA(VLOOKUP(A466,list!B:C,2,FALSE),"")</f>
        <v>ANY</v>
      </c>
      <c r="C466" s="48"/>
      <c r="D466" s="127"/>
      <c r="E466" s="48" t="str">
        <f>_xlfn.IFNA(VLOOKUP(Table3[[#This Row],[Product]], ProductListTbl[], 3, 0), "")</f>
        <v/>
      </c>
      <c r="F466" s="303" t="str">
        <f>_xlfn.IFNA(VLOOKUP(D466,ProductListTbl[],5,0),"")</f>
        <v/>
      </c>
      <c r="G466" s="303" t="str">
        <f>_xlfn.IFNA(VLOOKUP(D466,ProductListTbl[],6,0),"")</f>
        <v/>
      </c>
      <c r="H466" s="130" t="str">
        <f>_xlfn.IFNA(VLOOKUP(D466,ProductListTbl[],7,0),"")</f>
        <v/>
      </c>
      <c r="I466" s="130" t="str">
        <f>_xlfn.IFNA(VLOOKUP(D466,ProductListTbl[],8,0),"")</f>
        <v/>
      </c>
      <c r="J466" s="127"/>
      <c r="K466" s="129"/>
      <c r="L466" s="128"/>
      <c r="M466" s="305" t="str">
        <f>IFERROR(Table3[[#This Row],[Quantity (doses)]]/Table3[[#This Row],[Doses per vial or syringe]],"")</f>
        <v/>
      </c>
      <c r="N466" s="127"/>
      <c r="O466" s="127"/>
      <c r="P466" s="381"/>
      <c r="Q466" s="129"/>
      <c r="R466" s="127"/>
      <c r="S466" s="127"/>
      <c r="T466" s="127"/>
      <c r="U466" s="127"/>
      <c r="V466" s="305" t="str">
        <f>_xlfn.IFNA(VLOOKUP(D466,ProductListTbl[],9,0),"")</f>
        <v/>
      </c>
      <c r="W466" s="305" t="str">
        <f>IFERROR(Table3[[#This Row],[Storage space per secondary packaging (cm3)]]*Table3[[#This Row],[Quantity  (vials or syringes)]]/1000,"")</f>
        <v/>
      </c>
      <c r="X466" s="305" t="str">
        <f>IFERROR(Table3[[#This Row],[Storage space per tertiary packaging (cm3)]]*Table3[[#This Row],[Quantity (doses)]]/1000,"")</f>
        <v/>
      </c>
      <c r="Y466" s="293" t="str">
        <f>IF(Table3[[#This Row],[Status]]="Ordered",(DATE(YEAR(P466),MONTH(P466),1)),IF(Table3[[#This Row],[Status]]="Received",(DATE(YEAR(Q466),MONTH(Q466),1)),""))</f>
        <v/>
      </c>
      <c r="Z466" s="304" t="str">
        <f t="shared" si="28"/>
        <v/>
      </c>
      <c r="AA466" s="48" t="str">
        <f t="shared" si="29"/>
        <v/>
      </c>
      <c r="AB466" s="48" t="str">
        <f t="shared" si="30"/>
        <v/>
      </c>
      <c r="AC466" s="292" t="str">
        <f t="shared" si="31"/>
        <v/>
      </c>
      <c r="AD466" s="48" t="str">
        <f>IF(Table3[[#This Row],[Actual Arrival date]]&gt;0,IF(Table3[[#This Row],[Expected arrival date]]&gt;0,Table3[[#This Row],[Actual Arrival date]]-Table3[[#This Row],[Expected arrival date]],""),"")</f>
        <v/>
      </c>
    </row>
    <row r="467" spans="1:30" x14ac:dyDescent="0.25">
      <c r="A467" s="303" t="str">
        <f>Start!$D$7</f>
        <v>Anyland</v>
      </c>
      <c r="B467" s="48" t="str">
        <f>_xlfn.IFNA(VLOOKUP(A467,list!B:C,2,FALSE),"")</f>
        <v>ANY</v>
      </c>
      <c r="C467" s="48"/>
      <c r="D467" s="127"/>
      <c r="E467" s="48" t="str">
        <f>_xlfn.IFNA(VLOOKUP(Table3[[#This Row],[Product]], ProductListTbl[], 3, 0), "")</f>
        <v/>
      </c>
      <c r="F467" s="303" t="str">
        <f>_xlfn.IFNA(VLOOKUP(D467,ProductListTbl[],5,0),"")</f>
        <v/>
      </c>
      <c r="G467" s="303" t="str">
        <f>_xlfn.IFNA(VLOOKUP(D467,ProductListTbl[],6,0),"")</f>
        <v/>
      </c>
      <c r="H467" s="130" t="str">
        <f>_xlfn.IFNA(VLOOKUP(D467,ProductListTbl[],7,0),"")</f>
        <v/>
      </c>
      <c r="I467" s="130" t="str">
        <f>_xlfn.IFNA(VLOOKUP(D467,ProductListTbl[],8,0),"")</f>
        <v/>
      </c>
      <c r="J467" s="127"/>
      <c r="K467" s="129"/>
      <c r="L467" s="128"/>
      <c r="M467" s="305" t="str">
        <f>IFERROR(Table3[[#This Row],[Quantity (doses)]]/Table3[[#This Row],[Doses per vial or syringe]],"")</f>
        <v/>
      </c>
      <c r="N467" s="127"/>
      <c r="O467" s="127"/>
      <c r="P467" s="381"/>
      <c r="Q467" s="129"/>
      <c r="R467" s="127"/>
      <c r="S467" s="127"/>
      <c r="T467" s="127"/>
      <c r="U467" s="127"/>
      <c r="V467" s="305" t="str">
        <f>_xlfn.IFNA(VLOOKUP(D467,ProductListTbl[],9,0),"")</f>
        <v/>
      </c>
      <c r="W467" s="305" t="str">
        <f>IFERROR(Table3[[#This Row],[Storage space per secondary packaging (cm3)]]*Table3[[#This Row],[Quantity  (vials or syringes)]]/1000,"")</f>
        <v/>
      </c>
      <c r="X467" s="305" t="str">
        <f>IFERROR(Table3[[#This Row],[Storage space per tertiary packaging (cm3)]]*Table3[[#This Row],[Quantity (doses)]]/1000,"")</f>
        <v/>
      </c>
      <c r="Y467" s="293" t="str">
        <f>IF(Table3[[#This Row],[Status]]="Ordered",(DATE(YEAR(P467),MONTH(P467),1)),IF(Table3[[#This Row],[Status]]="Received",(DATE(YEAR(Q467),MONTH(Q467),1)),""))</f>
        <v/>
      </c>
      <c r="Z467" s="304" t="str">
        <f t="shared" si="28"/>
        <v/>
      </c>
      <c r="AA467" s="48" t="str">
        <f t="shared" si="29"/>
        <v/>
      </c>
      <c r="AB467" s="48" t="str">
        <f t="shared" si="30"/>
        <v/>
      </c>
      <c r="AC467" s="292" t="str">
        <f t="shared" si="31"/>
        <v/>
      </c>
      <c r="AD467" s="48" t="str">
        <f>IF(Table3[[#This Row],[Actual Arrival date]]&gt;0,IF(Table3[[#This Row],[Expected arrival date]]&gt;0,Table3[[#This Row],[Actual Arrival date]]-Table3[[#This Row],[Expected arrival date]],""),"")</f>
        <v/>
      </c>
    </row>
    <row r="468" spans="1:30" x14ac:dyDescent="0.25">
      <c r="A468" s="303" t="str">
        <f>Start!$D$7</f>
        <v>Anyland</v>
      </c>
      <c r="B468" s="48" t="str">
        <f>_xlfn.IFNA(VLOOKUP(A468,list!B:C,2,FALSE),"")</f>
        <v>ANY</v>
      </c>
      <c r="C468" s="48"/>
      <c r="D468" s="127"/>
      <c r="E468" s="48" t="str">
        <f>_xlfn.IFNA(VLOOKUP(Table3[[#This Row],[Product]], ProductListTbl[], 3, 0), "")</f>
        <v/>
      </c>
      <c r="F468" s="303" t="str">
        <f>_xlfn.IFNA(VLOOKUP(D468,ProductListTbl[],5,0),"")</f>
        <v/>
      </c>
      <c r="G468" s="303" t="str">
        <f>_xlfn.IFNA(VLOOKUP(D468,ProductListTbl[],6,0),"")</f>
        <v/>
      </c>
      <c r="H468" s="130" t="str">
        <f>_xlfn.IFNA(VLOOKUP(D468,ProductListTbl[],7,0),"")</f>
        <v/>
      </c>
      <c r="I468" s="130" t="str">
        <f>_xlfn.IFNA(VLOOKUP(D468,ProductListTbl[],8,0),"")</f>
        <v/>
      </c>
      <c r="J468" s="127"/>
      <c r="K468" s="129"/>
      <c r="L468" s="128"/>
      <c r="M468" s="305" t="str">
        <f>IFERROR(Table3[[#This Row],[Quantity (doses)]]/Table3[[#This Row],[Doses per vial or syringe]],"")</f>
        <v/>
      </c>
      <c r="N468" s="127"/>
      <c r="O468" s="127"/>
      <c r="P468" s="381"/>
      <c r="Q468" s="129"/>
      <c r="R468" s="127"/>
      <c r="S468" s="127"/>
      <c r="T468" s="127"/>
      <c r="U468" s="127"/>
      <c r="V468" s="305" t="str">
        <f>_xlfn.IFNA(VLOOKUP(D468,ProductListTbl[],9,0),"")</f>
        <v/>
      </c>
      <c r="W468" s="305" t="str">
        <f>IFERROR(Table3[[#This Row],[Storage space per secondary packaging (cm3)]]*Table3[[#This Row],[Quantity  (vials or syringes)]]/1000,"")</f>
        <v/>
      </c>
      <c r="X468" s="305" t="str">
        <f>IFERROR(Table3[[#This Row],[Storage space per tertiary packaging (cm3)]]*Table3[[#This Row],[Quantity (doses)]]/1000,"")</f>
        <v/>
      </c>
      <c r="Y468" s="293" t="str">
        <f>IF(Table3[[#This Row],[Status]]="Ordered",(DATE(YEAR(P468),MONTH(P468),1)),IF(Table3[[#This Row],[Status]]="Received",(DATE(YEAR(Q468),MONTH(Q468),1)),""))</f>
        <v/>
      </c>
      <c r="Z468" s="304" t="str">
        <f t="shared" si="28"/>
        <v/>
      </c>
      <c r="AA468" s="48" t="str">
        <f t="shared" si="29"/>
        <v/>
      </c>
      <c r="AB468" s="48" t="str">
        <f t="shared" si="30"/>
        <v/>
      </c>
      <c r="AC468" s="292" t="str">
        <f t="shared" si="31"/>
        <v/>
      </c>
      <c r="AD468" s="48" t="str">
        <f>IF(Table3[[#This Row],[Actual Arrival date]]&gt;0,IF(Table3[[#This Row],[Expected arrival date]]&gt;0,Table3[[#This Row],[Actual Arrival date]]-Table3[[#This Row],[Expected arrival date]],""),"")</f>
        <v/>
      </c>
    </row>
    <row r="469" spans="1:30" x14ac:dyDescent="0.25">
      <c r="A469" s="303" t="str">
        <f>Start!$D$7</f>
        <v>Anyland</v>
      </c>
      <c r="B469" s="48" t="str">
        <f>_xlfn.IFNA(VLOOKUP(A469,list!B:C,2,FALSE),"")</f>
        <v>ANY</v>
      </c>
      <c r="C469" s="48"/>
      <c r="D469" s="127"/>
      <c r="E469" s="48" t="str">
        <f>_xlfn.IFNA(VLOOKUP(Table3[[#This Row],[Product]], ProductListTbl[], 3, 0), "")</f>
        <v/>
      </c>
      <c r="F469" s="303" t="str">
        <f>_xlfn.IFNA(VLOOKUP(D469,ProductListTbl[],5,0),"")</f>
        <v/>
      </c>
      <c r="G469" s="303" t="str">
        <f>_xlfn.IFNA(VLOOKUP(D469,ProductListTbl[],6,0),"")</f>
        <v/>
      </c>
      <c r="H469" s="130" t="str">
        <f>_xlfn.IFNA(VLOOKUP(D469,ProductListTbl[],7,0),"")</f>
        <v/>
      </c>
      <c r="I469" s="130" t="str">
        <f>_xlfn.IFNA(VLOOKUP(D469,ProductListTbl[],8,0),"")</f>
        <v/>
      </c>
      <c r="J469" s="127"/>
      <c r="K469" s="129"/>
      <c r="L469" s="128"/>
      <c r="M469" s="305" t="str">
        <f>IFERROR(Table3[[#This Row],[Quantity (doses)]]/Table3[[#This Row],[Doses per vial or syringe]],"")</f>
        <v/>
      </c>
      <c r="N469" s="127"/>
      <c r="O469" s="127"/>
      <c r="P469" s="381"/>
      <c r="Q469" s="129"/>
      <c r="R469" s="127"/>
      <c r="S469" s="127"/>
      <c r="T469" s="127"/>
      <c r="U469" s="127"/>
      <c r="V469" s="305" t="str">
        <f>_xlfn.IFNA(VLOOKUP(D469,ProductListTbl[],9,0),"")</f>
        <v/>
      </c>
      <c r="W469" s="305" t="str">
        <f>IFERROR(Table3[[#This Row],[Storage space per secondary packaging (cm3)]]*Table3[[#This Row],[Quantity  (vials or syringes)]]/1000,"")</f>
        <v/>
      </c>
      <c r="X469" s="305" t="str">
        <f>IFERROR(Table3[[#This Row],[Storage space per tertiary packaging (cm3)]]*Table3[[#This Row],[Quantity (doses)]]/1000,"")</f>
        <v/>
      </c>
      <c r="Y469" s="293" t="str">
        <f>IF(Table3[[#This Row],[Status]]="Ordered",(DATE(YEAR(P469),MONTH(P469),1)),IF(Table3[[#This Row],[Status]]="Received",(DATE(YEAR(Q469),MONTH(Q469),1)),""))</f>
        <v/>
      </c>
      <c r="Z469" s="304" t="str">
        <f t="shared" si="28"/>
        <v/>
      </c>
      <c r="AA469" s="48" t="str">
        <f t="shared" si="29"/>
        <v/>
      </c>
      <c r="AB469" s="48" t="str">
        <f t="shared" si="30"/>
        <v/>
      </c>
      <c r="AC469" s="292" t="str">
        <f t="shared" si="31"/>
        <v/>
      </c>
      <c r="AD469" s="48" t="str">
        <f>IF(Table3[[#This Row],[Actual Arrival date]]&gt;0,IF(Table3[[#This Row],[Expected arrival date]]&gt;0,Table3[[#This Row],[Actual Arrival date]]-Table3[[#This Row],[Expected arrival date]],""),"")</f>
        <v/>
      </c>
    </row>
    <row r="470" spans="1:30" x14ac:dyDescent="0.25">
      <c r="A470" s="303" t="str">
        <f>Start!$D$7</f>
        <v>Anyland</v>
      </c>
      <c r="B470" s="48" t="str">
        <f>_xlfn.IFNA(VLOOKUP(A470,list!B:C,2,FALSE),"")</f>
        <v>ANY</v>
      </c>
      <c r="C470" s="48"/>
      <c r="D470" s="127"/>
      <c r="E470" s="48" t="str">
        <f>_xlfn.IFNA(VLOOKUP(Table3[[#This Row],[Product]], ProductListTbl[], 3, 0), "")</f>
        <v/>
      </c>
      <c r="F470" s="303" t="str">
        <f>_xlfn.IFNA(VLOOKUP(D470,ProductListTbl[],5,0),"")</f>
        <v/>
      </c>
      <c r="G470" s="303" t="str">
        <f>_xlfn.IFNA(VLOOKUP(D470,ProductListTbl[],6,0),"")</f>
        <v/>
      </c>
      <c r="H470" s="130" t="str">
        <f>_xlfn.IFNA(VLOOKUP(D470,ProductListTbl[],7,0),"")</f>
        <v/>
      </c>
      <c r="I470" s="130" t="str">
        <f>_xlfn.IFNA(VLOOKUP(D470,ProductListTbl[],8,0),"")</f>
        <v/>
      </c>
      <c r="J470" s="127"/>
      <c r="K470" s="129"/>
      <c r="L470" s="128"/>
      <c r="M470" s="305" t="str">
        <f>IFERROR(Table3[[#This Row],[Quantity (doses)]]/Table3[[#This Row],[Doses per vial or syringe]],"")</f>
        <v/>
      </c>
      <c r="N470" s="127"/>
      <c r="O470" s="127"/>
      <c r="P470" s="381"/>
      <c r="Q470" s="129"/>
      <c r="R470" s="127"/>
      <c r="S470" s="127"/>
      <c r="T470" s="127"/>
      <c r="U470" s="127"/>
      <c r="V470" s="305" t="str">
        <f>_xlfn.IFNA(VLOOKUP(D470,ProductListTbl[],9,0),"")</f>
        <v/>
      </c>
      <c r="W470" s="305" t="str">
        <f>IFERROR(Table3[[#This Row],[Storage space per secondary packaging (cm3)]]*Table3[[#This Row],[Quantity  (vials or syringes)]]/1000,"")</f>
        <v/>
      </c>
      <c r="X470" s="305" t="str">
        <f>IFERROR(Table3[[#This Row],[Storage space per tertiary packaging (cm3)]]*Table3[[#This Row],[Quantity (doses)]]/1000,"")</f>
        <v/>
      </c>
      <c r="Y470" s="293" t="str">
        <f>IF(Table3[[#This Row],[Status]]="Ordered",(DATE(YEAR(P470),MONTH(P470),1)),IF(Table3[[#This Row],[Status]]="Received",(DATE(YEAR(Q470),MONTH(Q470),1)),""))</f>
        <v/>
      </c>
      <c r="Z470" s="304" t="str">
        <f t="shared" si="28"/>
        <v/>
      </c>
      <c r="AA470" s="48" t="str">
        <f t="shared" si="29"/>
        <v/>
      </c>
      <c r="AB470" s="48" t="str">
        <f t="shared" si="30"/>
        <v/>
      </c>
      <c r="AC470" s="292" t="str">
        <f t="shared" si="31"/>
        <v/>
      </c>
      <c r="AD470" s="48" t="str">
        <f>IF(Table3[[#This Row],[Actual Arrival date]]&gt;0,IF(Table3[[#This Row],[Expected arrival date]]&gt;0,Table3[[#This Row],[Actual Arrival date]]-Table3[[#This Row],[Expected arrival date]],""),"")</f>
        <v/>
      </c>
    </row>
    <row r="471" spans="1:30" x14ac:dyDescent="0.25">
      <c r="A471" s="303" t="str">
        <f>Start!$D$7</f>
        <v>Anyland</v>
      </c>
      <c r="B471" s="48" t="str">
        <f>_xlfn.IFNA(VLOOKUP(A471,list!B:C,2,FALSE),"")</f>
        <v>ANY</v>
      </c>
      <c r="C471" s="48"/>
      <c r="D471" s="127"/>
      <c r="E471" s="48" t="str">
        <f>_xlfn.IFNA(VLOOKUP(Table3[[#This Row],[Product]], ProductListTbl[], 3, 0), "")</f>
        <v/>
      </c>
      <c r="F471" s="303" t="str">
        <f>_xlfn.IFNA(VLOOKUP(D471,ProductListTbl[],5,0),"")</f>
        <v/>
      </c>
      <c r="G471" s="303" t="str">
        <f>_xlfn.IFNA(VLOOKUP(D471,ProductListTbl[],6,0),"")</f>
        <v/>
      </c>
      <c r="H471" s="130" t="str">
        <f>_xlfn.IFNA(VLOOKUP(D471,ProductListTbl[],7,0),"")</f>
        <v/>
      </c>
      <c r="I471" s="130" t="str">
        <f>_xlfn.IFNA(VLOOKUP(D471,ProductListTbl[],8,0),"")</f>
        <v/>
      </c>
      <c r="J471" s="127"/>
      <c r="K471" s="129"/>
      <c r="L471" s="128"/>
      <c r="M471" s="305" t="str">
        <f>IFERROR(Table3[[#This Row],[Quantity (doses)]]/Table3[[#This Row],[Doses per vial or syringe]],"")</f>
        <v/>
      </c>
      <c r="N471" s="127"/>
      <c r="O471" s="127"/>
      <c r="P471" s="381"/>
      <c r="Q471" s="129"/>
      <c r="R471" s="127"/>
      <c r="S471" s="127"/>
      <c r="T471" s="127"/>
      <c r="U471" s="127"/>
      <c r="V471" s="305" t="str">
        <f>_xlfn.IFNA(VLOOKUP(D471,ProductListTbl[],9,0),"")</f>
        <v/>
      </c>
      <c r="W471" s="305" t="str">
        <f>IFERROR(Table3[[#This Row],[Storage space per secondary packaging (cm3)]]*Table3[[#This Row],[Quantity  (vials or syringes)]]/1000,"")</f>
        <v/>
      </c>
      <c r="X471" s="305" t="str">
        <f>IFERROR(Table3[[#This Row],[Storage space per tertiary packaging (cm3)]]*Table3[[#This Row],[Quantity (doses)]]/1000,"")</f>
        <v/>
      </c>
      <c r="Y471" s="293" t="str">
        <f>IF(Table3[[#This Row],[Status]]="Ordered",(DATE(YEAR(P471),MONTH(P471),1)),IF(Table3[[#This Row],[Status]]="Received",(DATE(YEAR(Q471),MONTH(Q471),1)),""))</f>
        <v/>
      </c>
      <c r="Z471" s="304" t="str">
        <f t="shared" si="28"/>
        <v/>
      </c>
      <c r="AA471" s="48" t="str">
        <f t="shared" si="29"/>
        <v/>
      </c>
      <c r="AB471" s="48" t="str">
        <f t="shared" si="30"/>
        <v/>
      </c>
      <c r="AC471" s="292" t="str">
        <f t="shared" si="31"/>
        <v/>
      </c>
      <c r="AD471" s="48" t="str">
        <f>IF(Table3[[#This Row],[Actual Arrival date]]&gt;0,IF(Table3[[#This Row],[Expected arrival date]]&gt;0,Table3[[#This Row],[Actual Arrival date]]-Table3[[#This Row],[Expected arrival date]],""),"")</f>
        <v/>
      </c>
    </row>
    <row r="472" spans="1:30" x14ac:dyDescent="0.25">
      <c r="A472" s="303" t="str">
        <f>Start!$D$7</f>
        <v>Anyland</v>
      </c>
      <c r="B472" s="48" t="str">
        <f>_xlfn.IFNA(VLOOKUP(A472,list!B:C,2,FALSE),"")</f>
        <v>ANY</v>
      </c>
      <c r="C472" s="48"/>
      <c r="D472" s="127"/>
      <c r="E472" s="48" t="str">
        <f>_xlfn.IFNA(VLOOKUP(Table3[[#This Row],[Product]], ProductListTbl[], 3, 0), "")</f>
        <v/>
      </c>
      <c r="F472" s="303" t="str">
        <f>_xlfn.IFNA(VLOOKUP(D472,ProductListTbl[],5,0),"")</f>
        <v/>
      </c>
      <c r="G472" s="303" t="str">
        <f>_xlfn.IFNA(VLOOKUP(D472,ProductListTbl[],6,0),"")</f>
        <v/>
      </c>
      <c r="H472" s="130" t="str">
        <f>_xlfn.IFNA(VLOOKUP(D472,ProductListTbl[],7,0),"")</f>
        <v/>
      </c>
      <c r="I472" s="130" t="str">
        <f>_xlfn.IFNA(VLOOKUP(D472,ProductListTbl[],8,0),"")</f>
        <v/>
      </c>
      <c r="J472" s="127"/>
      <c r="K472" s="129"/>
      <c r="L472" s="128"/>
      <c r="M472" s="305" t="str">
        <f>IFERROR(Table3[[#This Row],[Quantity (doses)]]/Table3[[#This Row],[Doses per vial or syringe]],"")</f>
        <v/>
      </c>
      <c r="N472" s="127"/>
      <c r="O472" s="127"/>
      <c r="P472" s="381"/>
      <c r="Q472" s="129"/>
      <c r="R472" s="127"/>
      <c r="S472" s="127"/>
      <c r="T472" s="127"/>
      <c r="U472" s="127"/>
      <c r="V472" s="305" t="str">
        <f>_xlfn.IFNA(VLOOKUP(D472,ProductListTbl[],9,0),"")</f>
        <v/>
      </c>
      <c r="W472" s="305" t="str">
        <f>IFERROR(Table3[[#This Row],[Storage space per secondary packaging (cm3)]]*Table3[[#This Row],[Quantity  (vials or syringes)]]/1000,"")</f>
        <v/>
      </c>
      <c r="X472" s="305" t="str">
        <f>IFERROR(Table3[[#This Row],[Storage space per tertiary packaging (cm3)]]*Table3[[#This Row],[Quantity (doses)]]/1000,"")</f>
        <v/>
      </c>
      <c r="Y472" s="293" t="str">
        <f>IF(Table3[[#This Row],[Status]]="Ordered",(DATE(YEAR(P472),MONTH(P472),1)),IF(Table3[[#This Row],[Status]]="Received",(DATE(YEAR(Q472),MONTH(Q472),1)),""))</f>
        <v/>
      </c>
      <c r="Z472" s="304" t="str">
        <f t="shared" si="28"/>
        <v/>
      </c>
      <c r="AA472" s="48" t="str">
        <f t="shared" si="29"/>
        <v/>
      </c>
      <c r="AB472" s="48" t="str">
        <f t="shared" si="30"/>
        <v/>
      </c>
      <c r="AC472" s="292" t="str">
        <f t="shared" si="31"/>
        <v/>
      </c>
      <c r="AD472" s="48" t="str">
        <f>IF(Table3[[#This Row],[Actual Arrival date]]&gt;0,IF(Table3[[#This Row],[Expected arrival date]]&gt;0,Table3[[#This Row],[Actual Arrival date]]-Table3[[#This Row],[Expected arrival date]],""),"")</f>
        <v/>
      </c>
    </row>
    <row r="473" spans="1:30" x14ac:dyDescent="0.25">
      <c r="A473" s="303" t="str">
        <f>Start!$D$7</f>
        <v>Anyland</v>
      </c>
      <c r="B473" s="48" t="str">
        <f>_xlfn.IFNA(VLOOKUP(A473,list!B:C,2,FALSE),"")</f>
        <v>ANY</v>
      </c>
      <c r="C473" s="48"/>
      <c r="D473" s="127"/>
      <c r="E473" s="48" t="str">
        <f>_xlfn.IFNA(VLOOKUP(Table3[[#This Row],[Product]], ProductListTbl[], 3, 0), "")</f>
        <v/>
      </c>
      <c r="F473" s="303" t="str">
        <f>_xlfn.IFNA(VLOOKUP(D473,ProductListTbl[],5,0),"")</f>
        <v/>
      </c>
      <c r="G473" s="303" t="str">
        <f>_xlfn.IFNA(VLOOKUP(D473,ProductListTbl[],6,0),"")</f>
        <v/>
      </c>
      <c r="H473" s="130" t="str">
        <f>_xlfn.IFNA(VLOOKUP(D473,ProductListTbl[],7,0),"")</f>
        <v/>
      </c>
      <c r="I473" s="130" t="str">
        <f>_xlfn.IFNA(VLOOKUP(D473,ProductListTbl[],8,0),"")</f>
        <v/>
      </c>
      <c r="J473" s="127"/>
      <c r="K473" s="129"/>
      <c r="L473" s="128"/>
      <c r="M473" s="305" t="str">
        <f>IFERROR(Table3[[#This Row],[Quantity (doses)]]/Table3[[#This Row],[Doses per vial or syringe]],"")</f>
        <v/>
      </c>
      <c r="N473" s="127"/>
      <c r="O473" s="127"/>
      <c r="P473" s="381"/>
      <c r="Q473" s="129"/>
      <c r="R473" s="127"/>
      <c r="S473" s="127"/>
      <c r="T473" s="127"/>
      <c r="U473" s="127"/>
      <c r="V473" s="305" t="str">
        <f>_xlfn.IFNA(VLOOKUP(D473,ProductListTbl[],9,0),"")</f>
        <v/>
      </c>
      <c r="W473" s="305" t="str">
        <f>IFERROR(Table3[[#This Row],[Storage space per secondary packaging (cm3)]]*Table3[[#This Row],[Quantity  (vials or syringes)]]/1000,"")</f>
        <v/>
      </c>
      <c r="X473" s="305" t="str">
        <f>IFERROR(Table3[[#This Row],[Storage space per tertiary packaging (cm3)]]*Table3[[#This Row],[Quantity (doses)]]/1000,"")</f>
        <v/>
      </c>
      <c r="Y473" s="293" t="str">
        <f>IF(Table3[[#This Row],[Status]]="Ordered",(DATE(YEAR(P473),MONTH(P473),1)),IF(Table3[[#This Row],[Status]]="Received",(DATE(YEAR(Q473),MONTH(Q473),1)),""))</f>
        <v/>
      </c>
      <c r="Z473" s="304" t="str">
        <f t="shared" si="28"/>
        <v/>
      </c>
      <c r="AA473" s="48" t="str">
        <f t="shared" si="29"/>
        <v/>
      </c>
      <c r="AB473" s="48" t="str">
        <f t="shared" si="30"/>
        <v/>
      </c>
      <c r="AC473" s="292" t="str">
        <f t="shared" si="31"/>
        <v/>
      </c>
      <c r="AD473" s="48" t="str">
        <f>IF(Table3[[#This Row],[Actual Arrival date]]&gt;0,IF(Table3[[#This Row],[Expected arrival date]]&gt;0,Table3[[#This Row],[Actual Arrival date]]-Table3[[#This Row],[Expected arrival date]],""),"")</f>
        <v/>
      </c>
    </row>
    <row r="474" spans="1:30" x14ac:dyDescent="0.25">
      <c r="A474" s="303" t="str">
        <f>Start!$D$7</f>
        <v>Anyland</v>
      </c>
      <c r="B474" s="48" t="str">
        <f>_xlfn.IFNA(VLOOKUP(A474,list!B:C,2,FALSE),"")</f>
        <v>ANY</v>
      </c>
      <c r="C474" s="48"/>
      <c r="D474" s="127"/>
      <c r="E474" s="48" t="str">
        <f>_xlfn.IFNA(VLOOKUP(Table3[[#This Row],[Product]], ProductListTbl[], 3, 0), "")</f>
        <v/>
      </c>
      <c r="F474" s="303" t="str">
        <f>_xlfn.IFNA(VLOOKUP(D474,ProductListTbl[],5,0),"")</f>
        <v/>
      </c>
      <c r="G474" s="303" t="str">
        <f>_xlfn.IFNA(VLOOKUP(D474,ProductListTbl[],6,0),"")</f>
        <v/>
      </c>
      <c r="H474" s="130" t="str">
        <f>_xlfn.IFNA(VLOOKUP(D474,ProductListTbl[],7,0),"")</f>
        <v/>
      </c>
      <c r="I474" s="130" t="str">
        <f>_xlfn.IFNA(VLOOKUP(D474,ProductListTbl[],8,0),"")</f>
        <v/>
      </c>
      <c r="J474" s="127"/>
      <c r="K474" s="129"/>
      <c r="L474" s="128"/>
      <c r="M474" s="305" t="str">
        <f>IFERROR(Table3[[#This Row],[Quantity (doses)]]/Table3[[#This Row],[Doses per vial or syringe]],"")</f>
        <v/>
      </c>
      <c r="N474" s="127"/>
      <c r="O474" s="127"/>
      <c r="P474" s="381"/>
      <c r="Q474" s="129"/>
      <c r="R474" s="127"/>
      <c r="S474" s="127"/>
      <c r="T474" s="127"/>
      <c r="U474" s="127"/>
      <c r="V474" s="305" t="str">
        <f>_xlfn.IFNA(VLOOKUP(D474,ProductListTbl[],9,0),"")</f>
        <v/>
      </c>
      <c r="W474" s="305" t="str">
        <f>IFERROR(Table3[[#This Row],[Storage space per secondary packaging (cm3)]]*Table3[[#This Row],[Quantity  (vials or syringes)]]/1000,"")</f>
        <v/>
      </c>
      <c r="X474" s="305" t="str">
        <f>IFERROR(Table3[[#This Row],[Storage space per tertiary packaging (cm3)]]*Table3[[#This Row],[Quantity (doses)]]/1000,"")</f>
        <v/>
      </c>
      <c r="Y474" s="293" t="str">
        <f>IF(Table3[[#This Row],[Status]]="Ordered",(DATE(YEAR(P474),MONTH(P474),1)),IF(Table3[[#This Row],[Status]]="Received",(DATE(YEAR(Q474),MONTH(Q474),1)),""))</f>
        <v/>
      </c>
      <c r="Z474" s="304" t="str">
        <f t="shared" si="28"/>
        <v/>
      </c>
      <c r="AA474" s="48" t="str">
        <f t="shared" si="29"/>
        <v/>
      </c>
      <c r="AB474" s="48" t="str">
        <f t="shared" si="30"/>
        <v/>
      </c>
      <c r="AC474" s="292" t="str">
        <f t="shared" si="31"/>
        <v/>
      </c>
      <c r="AD474" s="48" t="str">
        <f>IF(Table3[[#This Row],[Actual Arrival date]]&gt;0,IF(Table3[[#This Row],[Expected arrival date]]&gt;0,Table3[[#This Row],[Actual Arrival date]]-Table3[[#This Row],[Expected arrival date]],""),"")</f>
        <v/>
      </c>
    </row>
    <row r="475" spans="1:30" x14ac:dyDescent="0.25">
      <c r="A475" s="303" t="str">
        <f>Start!$D$7</f>
        <v>Anyland</v>
      </c>
      <c r="B475" s="48" t="str">
        <f>_xlfn.IFNA(VLOOKUP(A475,list!B:C,2,FALSE),"")</f>
        <v>ANY</v>
      </c>
      <c r="C475" s="48"/>
      <c r="D475" s="127"/>
      <c r="E475" s="48" t="str">
        <f>_xlfn.IFNA(VLOOKUP(Table3[[#This Row],[Product]], ProductListTbl[], 3, 0), "")</f>
        <v/>
      </c>
      <c r="F475" s="303" t="str">
        <f>_xlfn.IFNA(VLOOKUP(D475,ProductListTbl[],5,0),"")</f>
        <v/>
      </c>
      <c r="G475" s="303" t="str">
        <f>_xlfn.IFNA(VLOOKUP(D475,ProductListTbl[],6,0),"")</f>
        <v/>
      </c>
      <c r="H475" s="130" t="str">
        <f>_xlfn.IFNA(VLOOKUP(D475,ProductListTbl[],7,0),"")</f>
        <v/>
      </c>
      <c r="I475" s="130" t="str">
        <f>_xlfn.IFNA(VLOOKUP(D475,ProductListTbl[],8,0),"")</f>
        <v/>
      </c>
      <c r="J475" s="127"/>
      <c r="K475" s="129"/>
      <c r="L475" s="128"/>
      <c r="M475" s="305" t="str">
        <f>IFERROR(Table3[[#This Row],[Quantity (doses)]]/Table3[[#This Row],[Doses per vial or syringe]],"")</f>
        <v/>
      </c>
      <c r="N475" s="127"/>
      <c r="O475" s="127"/>
      <c r="P475" s="381"/>
      <c r="Q475" s="129"/>
      <c r="R475" s="127"/>
      <c r="S475" s="127"/>
      <c r="T475" s="127"/>
      <c r="U475" s="127"/>
      <c r="V475" s="305" t="str">
        <f>_xlfn.IFNA(VLOOKUP(D475,ProductListTbl[],9,0),"")</f>
        <v/>
      </c>
      <c r="W475" s="305" t="str">
        <f>IFERROR(Table3[[#This Row],[Storage space per secondary packaging (cm3)]]*Table3[[#This Row],[Quantity  (vials or syringes)]]/1000,"")</f>
        <v/>
      </c>
      <c r="X475" s="305" t="str">
        <f>IFERROR(Table3[[#This Row],[Storage space per tertiary packaging (cm3)]]*Table3[[#This Row],[Quantity (doses)]]/1000,"")</f>
        <v/>
      </c>
      <c r="Y475" s="293" t="str">
        <f>IF(Table3[[#This Row],[Status]]="Ordered",(DATE(YEAR(P475),MONTH(P475),1)),IF(Table3[[#This Row],[Status]]="Received",(DATE(YEAR(Q475),MONTH(Q475),1)),""))</f>
        <v/>
      </c>
      <c r="Z475" s="304" t="str">
        <f t="shared" si="28"/>
        <v/>
      </c>
      <c r="AA475" s="48" t="str">
        <f t="shared" si="29"/>
        <v/>
      </c>
      <c r="AB475" s="48" t="str">
        <f t="shared" si="30"/>
        <v/>
      </c>
      <c r="AC475" s="292" t="str">
        <f t="shared" si="31"/>
        <v/>
      </c>
      <c r="AD475" s="48" t="str">
        <f>IF(Table3[[#This Row],[Actual Arrival date]]&gt;0,IF(Table3[[#This Row],[Expected arrival date]]&gt;0,Table3[[#This Row],[Actual Arrival date]]-Table3[[#This Row],[Expected arrival date]],""),"")</f>
        <v/>
      </c>
    </row>
    <row r="476" spans="1:30" x14ac:dyDescent="0.25">
      <c r="A476" s="303" t="str">
        <f>Start!$D$7</f>
        <v>Anyland</v>
      </c>
      <c r="B476" s="48" t="str">
        <f>_xlfn.IFNA(VLOOKUP(A476,list!B:C,2,FALSE),"")</f>
        <v>ANY</v>
      </c>
      <c r="C476" s="48"/>
      <c r="D476" s="127"/>
      <c r="E476" s="48" t="str">
        <f>_xlfn.IFNA(VLOOKUP(Table3[[#This Row],[Product]], ProductListTbl[], 3, 0), "")</f>
        <v/>
      </c>
      <c r="F476" s="303" t="str">
        <f>_xlfn.IFNA(VLOOKUP(D476,ProductListTbl[],5,0),"")</f>
        <v/>
      </c>
      <c r="G476" s="303" t="str">
        <f>_xlfn.IFNA(VLOOKUP(D476,ProductListTbl[],6,0),"")</f>
        <v/>
      </c>
      <c r="H476" s="130" t="str">
        <f>_xlfn.IFNA(VLOOKUP(D476,ProductListTbl[],7,0),"")</f>
        <v/>
      </c>
      <c r="I476" s="130" t="str">
        <f>_xlfn.IFNA(VLOOKUP(D476,ProductListTbl[],8,0),"")</f>
        <v/>
      </c>
      <c r="J476" s="127"/>
      <c r="K476" s="129"/>
      <c r="L476" s="128"/>
      <c r="M476" s="305" t="str">
        <f>IFERROR(Table3[[#This Row],[Quantity (doses)]]/Table3[[#This Row],[Doses per vial or syringe]],"")</f>
        <v/>
      </c>
      <c r="N476" s="127"/>
      <c r="O476" s="127"/>
      <c r="P476" s="381"/>
      <c r="Q476" s="129"/>
      <c r="R476" s="127"/>
      <c r="S476" s="127"/>
      <c r="T476" s="127"/>
      <c r="U476" s="127"/>
      <c r="V476" s="305" t="str">
        <f>_xlfn.IFNA(VLOOKUP(D476,ProductListTbl[],9,0),"")</f>
        <v/>
      </c>
      <c r="W476" s="305" t="str">
        <f>IFERROR(Table3[[#This Row],[Storage space per secondary packaging (cm3)]]*Table3[[#This Row],[Quantity  (vials or syringes)]]/1000,"")</f>
        <v/>
      </c>
      <c r="X476" s="305" t="str">
        <f>IFERROR(Table3[[#This Row],[Storage space per tertiary packaging (cm3)]]*Table3[[#This Row],[Quantity (doses)]]/1000,"")</f>
        <v/>
      </c>
      <c r="Y476" s="293" t="str">
        <f>IF(Table3[[#This Row],[Status]]="Ordered",(DATE(YEAR(P476),MONTH(P476),1)),IF(Table3[[#This Row],[Status]]="Received",(DATE(YEAR(Q476),MONTH(Q476),1)),""))</f>
        <v/>
      </c>
      <c r="Z476" s="304" t="str">
        <f t="shared" si="28"/>
        <v/>
      </c>
      <c r="AA476" s="48" t="str">
        <f t="shared" si="29"/>
        <v/>
      </c>
      <c r="AB476" s="48" t="str">
        <f t="shared" si="30"/>
        <v/>
      </c>
      <c r="AC476" s="292" t="str">
        <f t="shared" si="31"/>
        <v/>
      </c>
      <c r="AD476" s="48" t="str">
        <f>IF(Table3[[#This Row],[Actual Arrival date]]&gt;0,IF(Table3[[#This Row],[Expected arrival date]]&gt;0,Table3[[#This Row],[Actual Arrival date]]-Table3[[#This Row],[Expected arrival date]],""),"")</f>
        <v/>
      </c>
    </row>
    <row r="477" spans="1:30" x14ac:dyDescent="0.25">
      <c r="A477" s="303" t="str">
        <f>Start!$D$7</f>
        <v>Anyland</v>
      </c>
      <c r="B477" s="48" t="str">
        <f>_xlfn.IFNA(VLOOKUP(A477,list!B:C,2,FALSE),"")</f>
        <v>ANY</v>
      </c>
      <c r="C477" s="48"/>
      <c r="D477" s="127"/>
      <c r="E477" s="48" t="str">
        <f>_xlfn.IFNA(VLOOKUP(Table3[[#This Row],[Product]], ProductListTbl[], 3, 0), "")</f>
        <v/>
      </c>
      <c r="F477" s="303" t="str">
        <f>_xlfn.IFNA(VLOOKUP(D477,ProductListTbl[],5,0),"")</f>
        <v/>
      </c>
      <c r="G477" s="303" t="str">
        <f>_xlfn.IFNA(VLOOKUP(D477,ProductListTbl[],6,0),"")</f>
        <v/>
      </c>
      <c r="H477" s="130" t="str">
        <f>_xlfn.IFNA(VLOOKUP(D477,ProductListTbl[],7,0),"")</f>
        <v/>
      </c>
      <c r="I477" s="130" t="str">
        <f>_xlfn.IFNA(VLOOKUP(D477,ProductListTbl[],8,0),"")</f>
        <v/>
      </c>
      <c r="J477" s="127"/>
      <c r="K477" s="129"/>
      <c r="L477" s="128"/>
      <c r="M477" s="305" t="str">
        <f>IFERROR(Table3[[#This Row],[Quantity (doses)]]/Table3[[#This Row],[Doses per vial or syringe]],"")</f>
        <v/>
      </c>
      <c r="N477" s="127"/>
      <c r="O477" s="127"/>
      <c r="P477" s="381"/>
      <c r="Q477" s="129"/>
      <c r="R477" s="127"/>
      <c r="S477" s="127"/>
      <c r="T477" s="127"/>
      <c r="U477" s="127"/>
      <c r="V477" s="305" t="str">
        <f>_xlfn.IFNA(VLOOKUP(D477,ProductListTbl[],9,0),"")</f>
        <v/>
      </c>
      <c r="W477" s="305" t="str">
        <f>IFERROR(Table3[[#This Row],[Storage space per secondary packaging (cm3)]]*Table3[[#This Row],[Quantity  (vials or syringes)]]/1000,"")</f>
        <v/>
      </c>
      <c r="X477" s="305" t="str">
        <f>IFERROR(Table3[[#This Row],[Storage space per tertiary packaging (cm3)]]*Table3[[#This Row],[Quantity (doses)]]/1000,"")</f>
        <v/>
      </c>
      <c r="Y477" s="293" t="str">
        <f>IF(Table3[[#This Row],[Status]]="Ordered",(DATE(YEAR(P477),MONTH(P477),1)),IF(Table3[[#This Row],[Status]]="Received",(DATE(YEAR(Q477),MONTH(Q477),1)),""))</f>
        <v/>
      </c>
      <c r="Z477" s="304" t="str">
        <f t="shared" si="28"/>
        <v/>
      </c>
      <c r="AA477" s="48" t="str">
        <f t="shared" si="29"/>
        <v/>
      </c>
      <c r="AB477" s="48" t="str">
        <f t="shared" si="30"/>
        <v/>
      </c>
      <c r="AC477" s="292" t="str">
        <f t="shared" si="31"/>
        <v/>
      </c>
      <c r="AD477" s="48" t="str">
        <f>IF(Table3[[#This Row],[Actual Arrival date]]&gt;0,IF(Table3[[#This Row],[Expected arrival date]]&gt;0,Table3[[#This Row],[Actual Arrival date]]-Table3[[#This Row],[Expected arrival date]],""),"")</f>
        <v/>
      </c>
    </row>
    <row r="478" spans="1:30" x14ac:dyDescent="0.25">
      <c r="A478" s="303" t="str">
        <f>Start!$D$7</f>
        <v>Anyland</v>
      </c>
      <c r="B478" s="48" t="str">
        <f>_xlfn.IFNA(VLOOKUP(A478,list!B:C,2,FALSE),"")</f>
        <v>ANY</v>
      </c>
      <c r="C478" s="48"/>
      <c r="D478" s="127"/>
      <c r="E478" s="48" t="str">
        <f>_xlfn.IFNA(VLOOKUP(Table3[[#This Row],[Product]], ProductListTbl[], 3, 0), "")</f>
        <v/>
      </c>
      <c r="F478" s="303" t="str">
        <f>_xlfn.IFNA(VLOOKUP(D478,ProductListTbl[],5,0),"")</f>
        <v/>
      </c>
      <c r="G478" s="303" t="str">
        <f>_xlfn.IFNA(VLOOKUP(D478,ProductListTbl[],6,0),"")</f>
        <v/>
      </c>
      <c r="H478" s="130" t="str">
        <f>_xlfn.IFNA(VLOOKUP(D478,ProductListTbl[],7,0),"")</f>
        <v/>
      </c>
      <c r="I478" s="130" t="str">
        <f>_xlfn.IFNA(VLOOKUP(D478,ProductListTbl[],8,0),"")</f>
        <v/>
      </c>
      <c r="J478" s="127"/>
      <c r="K478" s="129"/>
      <c r="L478" s="128"/>
      <c r="M478" s="305" t="str">
        <f>IFERROR(Table3[[#This Row],[Quantity (doses)]]/Table3[[#This Row],[Doses per vial or syringe]],"")</f>
        <v/>
      </c>
      <c r="N478" s="127"/>
      <c r="O478" s="127"/>
      <c r="P478" s="381"/>
      <c r="Q478" s="129"/>
      <c r="R478" s="127"/>
      <c r="S478" s="127"/>
      <c r="T478" s="127"/>
      <c r="U478" s="127"/>
      <c r="V478" s="305" t="str">
        <f>_xlfn.IFNA(VLOOKUP(D478,ProductListTbl[],9,0),"")</f>
        <v/>
      </c>
      <c r="W478" s="305" t="str">
        <f>IFERROR(Table3[[#This Row],[Storage space per secondary packaging (cm3)]]*Table3[[#This Row],[Quantity  (vials or syringes)]]/1000,"")</f>
        <v/>
      </c>
      <c r="X478" s="305" t="str">
        <f>IFERROR(Table3[[#This Row],[Storage space per tertiary packaging (cm3)]]*Table3[[#This Row],[Quantity (doses)]]/1000,"")</f>
        <v/>
      </c>
      <c r="Y478" s="293" t="str">
        <f>IF(Table3[[#This Row],[Status]]="Ordered",(DATE(YEAR(P478),MONTH(P478),1)),IF(Table3[[#This Row],[Status]]="Received",(DATE(YEAR(Q478),MONTH(Q478),1)),""))</f>
        <v/>
      </c>
      <c r="Z478" s="304" t="str">
        <f t="shared" si="28"/>
        <v/>
      </c>
      <c r="AA478" s="48" t="str">
        <f t="shared" si="29"/>
        <v/>
      </c>
      <c r="AB478" s="48" t="str">
        <f t="shared" si="30"/>
        <v/>
      </c>
      <c r="AC478" s="292" t="str">
        <f t="shared" si="31"/>
        <v/>
      </c>
      <c r="AD478" s="48" t="str">
        <f>IF(Table3[[#This Row],[Actual Arrival date]]&gt;0,IF(Table3[[#This Row],[Expected arrival date]]&gt;0,Table3[[#This Row],[Actual Arrival date]]-Table3[[#This Row],[Expected arrival date]],""),"")</f>
        <v/>
      </c>
    </row>
    <row r="479" spans="1:30" x14ac:dyDescent="0.25">
      <c r="A479" s="303" t="str">
        <f>Start!$D$7</f>
        <v>Anyland</v>
      </c>
      <c r="B479" s="48" t="str">
        <f>_xlfn.IFNA(VLOOKUP(A479,list!B:C,2,FALSE),"")</f>
        <v>ANY</v>
      </c>
      <c r="C479" s="48"/>
      <c r="D479" s="127"/>
      <c r="E479" s="48" t="str">
        <f>_xlfn.IFNA(VLOOKUP(Table3[[#This Row],[Product]], ProductListTbl[], 3, 0), "")</f>
        <v/>
      </c>
      <c r="F479" s="303" t="str">
        <f>_xlfn.IFNA(VLOOKUP(D479,ProductListTbl[],5,0),"")</f>
        <v/>
      </c>
      <c r="G479" s="303" t="str">
        <f>_xlfn.IFNA(VLOOKUP(D479,ProductListTbl[],6,0),"")</f>
        <v/>
      </c>
      <c r="H479" s="130" t="str">
        <f>_xlfn.IFNA(VLOOKUP(D479,ProductListTbl[],7,0),"")</f>
        <v/>
      </c>
      <c r="I479" s="130" t="str">
        <f>_xlfn.IFNA(VLOOKUP(D479,ProductListTbl[],8,0),"")</f>
        <v/>
      </c>
      <c r="J479" s="127"/>
      <c r="K479" s="129"/>
      <c r="L479" s="128"/>
      <c r="M479" s="305" t="str">
        <f>IFERROR(Table3[[#This Row],[Quantity (doses)]]/Table3[[#This Row],[Doses per vial or syringe]],"")</f>
        <v/>
      </c>
      <c r="N479" s="127"/>
      <c r="O479" s="127"/>
      <c r="P479" s="381"/>
      <c r="Q479" s="129"/>
      <c r="R479" s="127"/>
      <c r="S479" s="127"/>
      <c r="T479" s="127"/>
      <c r="U479" s="127"/>
      <c r="V479" s="305" t="str">
        <f>_xlfn.IFNA(VLOOKUP(D479,ProductListTbl[],9,0),"")</f>
        <v/>
      </c>
      <c r="W479" s="305" t="str">
        <f>IFERROR(Table3[[#This Row],[Storage space per secondary packaging (cm3)]]*Table3[[#This Row],[Quantity  (vials or syringes)]]/1000,"")</f>
        <v/>
      </c>
      <c r="X479" s="305" t="str">
        <f>IFERROR(Table3[[#This Row],[Storage space per tertiary packaging (cm3)]]*Table3[[#This Row],[Quantity (doses)]]/1000,"")</f>
        <v/>
      </c>
      <c r="Y479" s="293" t="str">
        <f>IF(Table3[[#This Row],[Status]]="Ordered",(DATE(YEAR(P479),MONTH(P479),1)),IF(Table3[[#This Row],[Status]]="Received",(DATE(YEAR(Q479),MONTH(Q479),1)),""))</f>
        <v/>
      </c>
      <c r="Z479" s="304" t="str">
        <f t="shared" si="28"/>
        <v/>
      </c>
      <c r="AA479" s="48" t="str">
        <f t="shared" si="29"/>
        <v/>
      </c>
      <c r="AB479" s="48" t="str">
        <f t="shared" si="30"/>
        <v/>
      </c>
      <c r="AC479" s="292" t="str">
        <f t="shared" si="31"/>
        <v/>
      </c>
      <c r="AD479" s="48" t="str">
        <f>IF(Table3[[#This Row],[Actual Arrival date]]&gt;0,IF(Table3[[#This Row],[Expected arrival date]]&gt;0,Table3[[#This Row],[Actual Arrival date]]-Table3[[#This Row],[Expected arrival date]],""),"")</f>
        <v/>
      </c>
    </row>
    <row r="480" spans="1:30" x14ac:dyDescent="0.25">
      <c r="A480" s="303" t="str">
        <f>Start!$D$7</f>
        <v>Anyland</v>
      </c>
      <c r="B480" s="48" t="str">
        <f>_xlfn.IFNA(VLOOKUP(A480,list!B:C,2,FALSE),"")</f>
        <v>ANY</v>
      </c>
      <c r="C480" s="48"/>
      <c r="D480" s="127"/>
      <c r="E480" s="48" t="str">
        <f>_xlfn.IFNA(VLOOKUP(Table3[[#This Row],[Product]], ProductListTbl[], 3, 0), "")</f>
        <v/>
      </c>
      <c r="F480" s="303" t="str">
        <f>_xlfn.IFNA(VLOOKUP(D480,ProductListTbl[],5,0),"")</f>
        <v/>
      </c>
      <c r="G480" s="303" t="str">
        <f>_xlfn.IFNA(VLOOKUP(D480,ProductListTbl[],6,0),"")</f>
        <v/>
      </c>
      <c r="H480" s="130" t="str">
        <f>_xlfn.IFNA(VLOOKUP(D480,ProductListTbl[],7,0),"")</f>
        <v/>
      </c>
      <c r="I480" s="130" t="str">
        <f>_xlfn.IFNA(VLOOKUP(D480,ProductListTbl[],8,0),"")</f>
        <v/>
      </c>
      <c r="J480" s="127"/>
      <c r="K480" s="129"/>
      <c r="L480" s="128"/>
      <c r="M480" s="305" t="str">
        <f>IFERROR(Table3[[#This Row],[Quantity (doses)]]/Table3[[#This Row],[Doses per vial or syringe]],"")</f>
        <v/>
      </c>
      <c r="N480" s="127"/>
      <c r="O480" s="127"/>
      <c r="P480" s="381"/>
      <c r="Q480" s="129"/>
      <c r="R480" s="127"/>
      <c r="S480" s="127"/>
      <c r="T480" s="127"/>
      <c r="U480" s="127"/>
      <c r="V480" s="305" t="str">
        <f>_xlfn.IFNA(VLOOKUP(D480,ProductListTbl[],9,0),"")</f>
        <v/>
      </c>
      <c r="W480" s="305" t="str">
        <f>IFERROR(Table3[[#This Row],[Storage space per secondary packaging (cm3)]]*Table3[[#This Row],[Quantity  (vials or syringes)]]/1000,"")</f>
        <v/>
      </c>
      <c r="X480" s="305" t="str">
        <f>IFERROR(Table3[[#This Row],[Storage space per tertiary packaging (cm3)]]*Table3[[#This Row],[Quantity (doses)]]/1000,"")</f>
        <v/>
      </c>
      <c r="Y480" s="293" t="str">
        <f>IF(Table3[[#This Row],[Status]]="Ordered",(DATE(YEAR(P480),MONTH(P480),1)),IF(Table3[[#This Row],[Status]]="Received",(DATE(YEAR(Q480),MONTH(Q480),1)),""))</f>
        <v/>
      </c>
      <c r="Z480" s="304" t="str">
        <f t="shared" si="28"/>
        <v/>
      </c>
      <c r="AA480" s="48" t="str">
        <f t="shared" si="29"/>
        <v/>
      </c>
      <c r="AB480" s="48" t="str">
        <f t="shared" si="30"/>
        <v/>
      </c>
      <c r="AC480" s="292" t="str">
        <f t="shared" si="31"/>
        <v/>
      </c>
      <c r="AD480" s="48" t="str">
        <f>IF(Table3[[#This Row],[Actual Arrival date]]&gt;0,IF(Table3[[#This Row],[Expected arrival date]]&gt;0,Table3[[#This Row],[Actual Arrival date]]-Table3[[#This Row],[Expected arrival date]],""),"")</f>
        <v/>
      </c>
    </row>
    <row r="481" spans="1:30" x14ac:dyDescent="0.25">
      <c r="A481" s="303" t="str">
        <f>Start!$D$7</f>
        <v>Anyland</v>
      </c>
      <c r="B481" s="48" t="str">
        <f>_xlfn.IFNA(VLOOKUP(A481,list!B:C,2,FALSE),"")</f>
        <v>ANY</v>
      </c>
      <c r="C481" s="48"/>
      <c r="D481" s="127"/>
      <c r="E481" s="48" t="str">
        <f>_xlfn.IFNA(VLOOKUP(Table3[[#This Row],[Product]], ProductListTbl[], 3, 0), "")</f>
        <v/>
      </c>
      <c r="F481" s="303" t="str">
        <f>_xlfn.IFNA(VLOOKUP(D481,ProductListTbl[],5,0),"")</f>
        <v/>
      </c>
      <c r="G481" s="303" t="str">
        <f>_xlfn.IFNA(VLOOKUP(D481,ProductListTbl[],6,0),"")</f>
        <v/>
      </c>
      <c r="H481" s="130" t="str">
        <f>_xlfn.IFNA(VLOOKUP(D481,ProductListTbl[],7,0),"")</f>
        <v/>
      </c>
      <c r="I481" s="130" t="str">
        <f>_xlfn.IFNA(VLOOKUP(D481,ProductListTbl[],8,0),"")</f>
        <v/>
      </c>
      <c r="J481" s="127"/>
      <c r="K481" s="129"/>
      <c r="L481" s="128"/>
      <c r="M481" s="305" t="str">
        <f>IFERROR(Table3[[#This Row],[Quantity (doses)]]/Table3[[#This Row],[Doses per vial or syringe]],"")</f>
        <v/>
      </c>
      <c r="N481" s="127"/>
      <c r="O481" s="127"/>
      <c r="P481" s="381"/>
      <c r="Q481" s="129"/>
      <c r="R481" s="127"/>
      <c r="S481" s="127"/>
      <c r="T481" s="127"/>
      <c r="U481" s="127"/>
      <c r="V481" s="305" t="str">
        <f>_xlfn.IFNA(VLOOKUP(D481,ProductListTbl[],9,0),"")</f>
        <v/>
      </c>
      <c r="W481" s="305" t="str">
        <f>IFERROR(Table3[[#This Row],[Storage space per secondary packaging (cm3)]]*Table3[[#This Row],[Quantity  (vials or syringes)]]/1000,"")</f>
        <v/>
      </c>
      <c r="X481" s="305" t="str">
        <f>IFERROR(Table3[[#This Row],[Storage space per tertiary packaging (cm3)]]*Table3[[#This Row],[Quantity (doses)]]/1000,"")</f>
        <v/>
      </c>
      <c r="Y481" s="293" t="str">
        <f>IF(Table3[[#This Row],[Status]]="Ordered",(DATE(YEAR(P481),MONTH(P481),1)),IF(Table3[[#This Row],[Status]]="Received",(DATE(YEAR(Q481),MONTH(Q481),1)),""))</f>
        <v/>
      </c>
      <c r="Z481" s="304" t="str">
        <f t="shared" si="28"/>
        <v/>
      </c>
      <c r="AA481" s="48" t="str">
        <f t="shared" si="29"/>
        <v/>
      </c>
      <c r="AB481" s="48" t="str">
        <f t="shared" si="30"/>
        <v/>
      </c>
      <c r="AC481" s="292" t="str">
        <f t="shared" si="31"/>
        <v/>
      </c>
      <c r="AD481" s="48" t="str">
        <f>IF(Table3[[#This Row],[Actual Arrival date]]&gt;0,IF(Table3[[#This Row],[Expected arrival date]]&gt;0,Table3[[#This Row],[Actual Arrival date]]-Table3[[#This Row],[Expected arrival date]],""),"")</f>
        <v/>
      </c>
    </row>
    <row r="482" spans="1:30" x14ac:dyDescent="0.25">
      <c r="A482" s="303" t="str">
        <f>Start!$D$7</f>
        <v>Anyland</v>
      </c>
      <c r="B482" s="48" t="str">
        <f>_xlfn.IFNA(VLOOKUP(A482,list!B:C,2,FALSE),"")</f>
        <v>ANY</v>
      </c>
      <c r="C482" s="48"/>
      <c r="D482" s="127"/>
      <c r="E482" s="48" t="str">
        <f>_xlfn.IFNA(VLOOKUP(Table3[[#This Row],[Product]], ProductListTbl[], 3, 0), "")</f>
        <v/>
      </c>
      <c r="F482" s="303" t="str">
        <f>_xlfn.IFNA(VLOOKUP(D482,ProductListTbl[],5,0),"")</f>
        <v/>
      </c>
      <c r="G482" s="303" t="str">
        <f>_xlfn.IFNA(VLOOKUP(D482,ProductListTbl[],6,0),"")</f>
        <v/>
      </c>
      <c r="H482" s="130" t="str">
        <f>_xlfn.IFNA(VLOOKUP(D482,ProductListTbl[],7,0),"")</f>
        <v/>
      </c>
      <c r="I482" s="130" t="str">
        <f>_xlfn.IFNA(VLOOKUP(D482,ProductListTbl[],8,0),"")</f>
        <v/>
      </c>
      <c r="J482" s="127"/>
      <c r="K482" s="129"/>
      <c r="L482" s="128"/>
      <c r="M482" s="305" t="str">
        <f>IFERROR(Table3[[#This Row],[Quantity (doses)]]/Table3[[#This Row],[Doses per vial or syringe]],"")</f>
        <v/>
      </c>
      <c r="N482" s="127"/>
      <c r="O482" s="127"/>
      <c r="P482" s="381"/>
      <c r="Q482" s="129"/>
      <c r="R482" s="127"/>
      <c r="S482" s="127"/>
      <c r="T482" s="127"/>
      <c r="U482" s="127"/>
      <c r="V482" s="305" t="str">
        <f>_xlfn.IFNA(VLOOKUP(D482,ProductListTbl[],9,0),"")</f>
        <v/>
      </c>
      <c r="W482" s="305" t="str">
        <f>IFERROR(Table3[[#This Row],[Storage space per secondary packaging (cm3)]]*Table3[[#This Row],[Quantity  (vials or syringes)]]/1000,"")</f>
        <v/>
      </c>
      <c r="X482" s="305" t="str">
        <f>IFERROR(Table3[[#This Row],[Storage space per tertiary packaging (cm3)]]*Table3[[#This Row],[Quantity (doses)]]/1000,"")</f>
        <v/>
      </c>
      <c r="Y482" s="293" t="str">
        <f>IF(Table3[[#This Row],[Status]]="Ordered",(DATE(YEAR(P482),MONTH(P482),1)),IF(Table3[[#This Row],[Status]]="Received",(DATE(YEAR(Q482),MONTH(Q482),1)),""))</f>
        <v/>
      </c>
      <c r="Z482" s="304" t="str">
        <f t="shared" si="28"/>
        <v/>
      </c>
      <c r="AA482" s="48" t="str">
        <f t="shared" si="29"/>
        <v/>
      </c>
      <c r="AB482" s="48" t="str">
        <f t="shared" si="30"/>
        <v/>
      </c>
      <c r="AC482" s="292" t="str">
        <f t="shared" si="31"/>
        <v/>
      </c>
      <c r="AD482" s="48" t="str">
        <f>IF(Table3[[#This Row],[Actual Arrival date]]&gt;0,IF(Table3[[#This Row],[Expected arrival date]]&gt;0,Table3[[#This Row],[Actual Arrival date]]-Table3[[#This Row],[Expected arrival date]],""),"")</f>
        <v/>
      </c>
    </row>
    <row r="483" spans="1:30" x14ac:dyDescent="0.25">
      <c r="A483" s="303" t="str">
        <f>Start!$D$7</f>
        <v>Anyland</v>
      </c>
      <c r="B483" s="48" t="str">
        <f>_xlfn.IFNA(VLOOKUP(A483,list!B:C,2,FALSE),"")</f>
        <v>ANY</v>
      </c>
      <c r="C483" s="48"/>
      <c r="D483" s="127"/>
      <c r="E483" s="48" t="str">
        <f>_xlfn.IFNA(VLOOKUP(Table3[[#This Row],[Product]], ProductListTbl[], 3, 0), "")</f>
        <v/>
      </c>
      <c r="F483" s="303" t="str">
        <f>_xlfn.IFNA(VLOOKUP(D483,ProductListTbl[],5,0),"")</f>
        <v/>
      </c>
      <c r="G483" s="303" t="str">
        <f>_xlfn.IFNA(VLOOKUP(D483,ProductListTbl[],6,0),"")</f>
        <v/>
      </c>
      <c r="H483" s="130" t="str">
        <f>_xlfn.IFNA(VLOOKUP(D483,ProductListTbl[],7,0),"")</f>
        <v/>
      </c>
      <c r="I483" s="130" t="str">
        <f>_xlfn.IFNA(VLOOKUP(D483,ProductListTbl[],8,0),"")</f>
        <v/>
      </c>
      <c r="J483" s="127"/>
      <c r="K483" s="129"/>
      <c r="L483" s="128"/>
      <c r="M483" s="305" t="str">
        <f>IFERROR(Table3[[#This Row],[Quantity (doses)]]/Table3[[#This Row],[Doses per vial or syringe]],"")</f>
        <v/>
      </c>
      <c r="N483" s="127"/>
      <c r="O483" s="127"/>
      <c r="P483" s="381"/>
      <c r="Q483" s="129"/>
      <c r="R483" s="127"/>
      <c r="S483" s="127"/>
      <c r="T483" s="127"/>
      <c r="U483" s="127"/>
      <c r="V483" s="305" t="str">
        <f>_xlfn.IFNA(VLOOKUP(D483,ProductListTbl[],9,0),"")</f>
        <v/>
      </c>
      <c r="W483" s="305" t="str">
        <f>IFERROR(Table3[[#This Row],[Storage space per secondary packaging (cm3)]]*Table3[[#This Row],[Quantity  (vials or syringes)]]/1000,"")</f>
        <v/>
      </c>
      <c r="X483" s="305" t="str">
        <f>IFERROR(Table3[[#This Row],[Storage space per tertiary packaging (cm3)]]*Table3[[#This Row],[Quantity (doses)]]/1000,"")</f>
        <v/>
      </c>
      <c r="Y483" s="293" t="str">
        <f>IF(Table3[[#This Row],[Status]]="Ordered",(DATE(YEAR(P483),MONTH(P483),1)),IF(Table3[[#This Row],[Status]]="Received",(DATE(YEAR(Q483),MONTH(Q483),1)),""))</f>
        <v/>
      </c>
      <c r="Z483" s="304" t="str">
        <f t="shared" si="28"/>
        <v/>
      </c>
      <c r="AA483" s="48" t="str">
        <f t="shared" si="29"/>
        <v/>
      </c>
      <c r="AB483" s="48" t="str">
        <f t="shared" si="30"/>
        <v/>
      </c>
      <c r="AC483" s="292" t="str">
        <f t="shared" si="31"/>
        <v/>
      </c>
      <c r="AD483" s="48" t="str">
        <f>IF(Table3[[#This Row],[Actual Arrival date]]&gt;0,IF(Table3[[#This Row],[Expected arrival date]]&gt;0,Table3[[#This Row],[Actual Arrival date]]-Table3[[#This Row],[Expected arrival date]],""),"")</f>
        <v/>
      </c>
    </row>
    <row r="484" spans="1:30" x14ac:dyDescent="0.25">
      <c r="A484" s="303" t="str">
        <f>Start!$D$7</f>
        <v>Anyland</v>
      </c>
      <c r="B484" s="48" t="str">
        <f>_xlfn.IFNA(VLOOKUP(A484,list!B:C,2,FALSE),"")</f>
        <v>ANY</v>
      </c>
      <c r="C484" s="48"/>
      <c r="D484" s="127"/>
      <c r="E484" s="48" t="str">
        <f>_xlfn.IFNA(VLOOKUP(Table3[[#This Row],[Product]], ProductListTbl[], 3, 0), "")</f>
        <v/>
      </c>
      <c r="F484" s="303" t="str">
        <f>_xlfn.IFNA(VLOOKUP(D484,ProductListTbl[],5,0),"")</f>
        <v/>
      </c>
      <c r="G484" s="303" t="str">
        <f>_xlfn.IFNA(VLOOKUP(D484,ProductListTbl[],6,0),"")</f>
        <v/>
      </c>
      <c r="H484" s="130" t="str">
        <f>_xlfn.IFNA(VLOOKUP(D484,ProductListTbl[],7,0),"")</f>
        <v/>
      </c>
      <c r="I484" s="130" t="str">
        <f>_xlfn.IFNA(VLOOKUP(D484,ProductListTbl[],8,0),"")</f>
        <v/>
      </c>
      <c r="J484" s="127"/>
      <c r="K484" s="129"/>
      <c r="L484" s="128"/>
      <c r="M484" s="305" t="str">
        <f>IFERROR(Table3[[#This Row],[Quantity (doses)]]/Table3[[#This Row],[Doses per vial or syringe]],"")</f>
        <v/>
      </c>
      <c r="N484" s="127"/>
      <c r="O484" s="127"/>
      <c r="P484" s="381"/>
      <c r="Q484" s="129"/>
      <c r="R484" s="127"/>
      <c r="S484" s="127"/>
      <c r="T484" s="127"/>
      <c r="U484" s="127"/>
      <c r="V484" s="305" t="str">
        <f>_xlfn.IFNA(VLOOKUP(D484,ProductListTbl[],9,0),"")</f>
        <v/>
      </c>
      <c r="W484" s="305" t="str">
        <f>IFERROR(Table3[[#This Row],[Storage space per secondary packaging (cm3)]]*Table3[[#This Row],[Quantity  (vials or syringes)]]/1000,"")</f>
        <v/>
      </c>
      <c r="X484" s="305" t="str">
        <f>IFERROR(Table3[[#This Row],[Storage space per tertiary packaging (cm3)]]*Table3[[#This Row],[Quantity (doses)]]/1000,"")</f>
        <v/>
      </c>
      <c r="Y484" s="293" t="str">
        <f>IF(Table3[[#This Row],[Status]]="Ordered",(DATE(YEAR(P484),MONTH(P484),1)),IF(Table3[[#This Row],[Status]]="Received",(DATE(YEAR(Q484),MONTH(Q484),1)),""))</f>
        <v/>
      </c>
      <c r="Z484" s="304" t="str">
        <f t="shared" si="28"/>
        <v/>
      </c>
      <c r="AA484" s="48" t="str">
        <f t="shared" si="29"/>
        <v/>
      </c>
      <c r="AB484" s="48" t="str">
        <f t="shared" si="30"/>
        <v/>
      </c>
      <c r="AC484" s="292" t="str">
        <f t="shared" si="31"/>
        <v/>
      </c>
      <c r="AD484" s="48" t="str">
        <f>IF(Table3[[#This Row],[Actual Arrival date]]&gt;0,IF(Table3[[#This Row],[Expected arrival date]]&gt;0,Table3[[#This Row],[Actual Arrival date]]-Table3[[#This Row],[Expected arrival date]],""),"")</f>
        <v/>
      </c>
    </row>
    <row r="485" spans="1:30" x14ac:dyDescent="0.25">
      <c r="A485" s="303" t="str">
        <f>Start!$D$7</f>
        <v>Anyland</v>
      </c>
      <c r="B485" s="48" t="str">
        <f>_xlfn.IFNA(VLOOKUP(A485,list!B:C,2,FALSE),"")</f>
        <v>ANY</v>
      </c>
      <c r="C485" s="48"/>
      <c r="D485" s="127"/>
      <c r="E485" s="48" t="str">
        <f>_xlfn.IFNA(VLOOKUP(Table3[[#This Row],[Product]], ProductListTbl[], 3, 0), "")</f>
        <v/>
      </c>
      <c r="F485" s="303" t="str">
        <f>_xlfn.IFNA(VLOOKUP(D485,ProductListTbl[],5,0),"")</f>
        <v/>
      </c>
      <c r="G485" s="303" t="str">
        <f>_xlfn.IFNA(VLOOKUP(D485,ProductListTbl[],6,0),"")</f>
        <v/>
      </c>
      <c r="H485" s="130" t="str">
        <f>_xlfn.IFNA(VLOOKUP(D485,ProductListTbl[],7,0),"")</f>
        <v/>
      </c>
      <c r="I485" s="130" t="str">
        <f>_xlfn.IFNA(VLOOKUP(D485,ProductListTbl[],8,0),"")</f>
        <v/>
      </c>
      <c r="J485" s="127"/>
      <c r="K485" s="129"/>
      <c r="L485" s="128"/>
      <c r="M485" s="305" t="str">
        <f>IFERROR(Table3[[#This Row],[Quantity (doses)]]/Table3[[#This Row],[Doses per vial or syringe]],"")</f>
        <v/>
      </c>
      <c r="N485" s="127"/>
      <c r="O485" s="127"/>
      <c r="P485" s="381"/>
      <c r="Q485" s="129"/>
      <c r="R485" s="127"/>
      <c r="S485" s="127"/>
      <c r="T485" s="127"/>
      <c r="U485" s="127"/>
      <c r="V485" s="305" t="str">
        <f>_xlfn.IFNA(VLOOKUP(D485,ProductListTbl[],9,0),"")</f>
        <v/>
      </c>
      <c r="W485" s="305" t="str">
        <f>IFERROR(Table3[[#This Row],[Storage space per secondary packaging (cm3)]]*Table3[[#This Row],[Quantity  (vials or syringes)]]/1000,"")</f>
        <v/>
      </c>
      <c r="X485" s="305" t="str">
        <f>IFERROR(Table3[[#This Row],[Storage space per tertiary packaging (cm3)]]*Table3[[#This Row],[Quantity (doses)]]/1000,"")</f>
        <v/>
      </c>
      <c r="Y485" s="293" t="str">
        <f>IF(Table3[[#This Row],[Status]]="Ordered",(DATE(YEAR(P485),MONTH(P485),1)),IF(Table3[[#This Row],[Status]]="Received",(DATE(YEAR(Q485),MONTH(Q485),1)),""))</f>
        <v/>
      </c>
      <c r="Z485" s="304" t="str">
        <f t="shared" si="28"/>
        <v/>
      </c>
      <c r="AA485" s="48" t="str">
        <f t="shared" si="29"/>
        <v/>
      </c>
      <c r="AB485" s="48" t="str">
        <f t="shared" si="30"/>
        <v/>
      </c>
      <c r="AC485" s="292" t="str">
        <f t="shared" si="31"/>
        <v/>
      </c>
      <c r="AD485" s="48" t="str">
        <f>IF(Table3[[#This Row],[Actual Arrival date]]&gt;0,IF(Table3[[#This Row],[Expected arrival date]]&gt;0,Table3[[#This Row],[Actual Arrival date]]-Table3[[#This Row],[Expected arrival date]],""),"")</f>
        <v/>
      </c>
    </row>
    <row r="486" spans="1:30" x14ac:dyDescent="0.25">
      <c r="A486" s="303" t="str">
        <f>Start!$D$7</f>
        <v>Anyland</v>
      </c>
      <c r="B486" s="48" t="str">
        <f>_xlfn.IFNA(VLOOKUP(A486,list!B:C,2,FALSE),"")</f>
        <v>ANY</v>
      </c>
      <c r="C486" s="48"/>
      <c r="D486" s="127"/>
      <c r="E486" s="48" t="str">
        <f>_xlfn.IFNA(VLOOKUP(Table3[[#This Row],[Product]], ProductListTbl[], 3, 0), "")</f>
        <v/>
      </c>
      <c r="F486" s="303" t="str">
        <f>_xlfn.IFNA(VLOOKUP(D486,ProductListTbl[],5,0),"")</f>
        <v/>
      </c>
      <c r="G486" s="303" t="str">
        <f>_xlfn.IFNA(VLOOKUP(D486,ProductListTbl[],6,0),"")</f>
        <v/>
      </c>
      <c r="H486" s="130" t="str">
        <f>_xlfn.IFNA(VLOOKUP(D486,ProductListTbl[],7,0),"")</f>
        <v/>
      </c>
      <c r="I486" s="130" t="str">
        <f>_xlfn.IFNA(VLOOKUP(D486,ProductListTbl[],8,0),"")</f>
        <v/>
      </c>
      <c r="J486" s="127"/>
      <c r="K486" s="129"/>
      <c r="L486" s="128"/>
      <c r="M486" s="305" t="str">
        <f>IFERROR(Table3[[#This Row],[Quantity (doses)]]/Table3[[#This Row],[Doses per vial or syringe]],"")</f>
        <v/>
      </c>
      <c r="N486" s="127"/>
      <c r="O486" s="127"/>
      <c r="P486" s="381"/>
      <c r="Q486" s="129"/>
      <c r="R486" s="127"/>
      <c r="S486" s="127"/>
      <c r="T486" s="127"/>
      <c r="U486" s="127"/>
      <c r="V486" s="305" t="str">
        <f>_xlfn.IFNA(VLOOKUP(D486,ProductListTbl[],9,0),"")</f>
        <v/>
      </c>
      <c r="W486" s="305" t="str">
        <f>IFERROR(Table3[[#This Row],[Storage space per secondary packaging (cm3)]]*Table3[[#This Row],[Quantity  (vials or syringes)]]/1000,"")</f>
        <v/>
      </c>
      <c r="X486" s="305" t="str">
        <f>IFERROR(Table3[[#This Row],[Storage space per tertiary packaging (cm3)]]*Table3[[#This Row],[Quantity (doses)]]/1000,"")</f>
        <v/>
      </c>
      <c r="Y486" s="293" t="str">
        <f>IF(Table3[[#This Row],[Status]]="Ordered",(DATE(YEAR(P486),MONTH(P486),1)),IF(Table3[[#This Row],[Status]]="Received",(DATE(YEAR(Q486),MONTH(Q486),1)),""))</f>
        <v/>
      </c>
      <c r="Z486" s="304" t="str">
        <f t="shared" si="28"/>
        <v/>
      </c>
      <c r="AA486" s="48" t="str">
        <f t="shared" si="29"/>
        <v/>
      </c>
      <c r="AB486" s="48" t="str">
        <f t="shared" si="30"/>
        <v/>
      </c>
      <c r="AC486" s="292" t="str">
        <f t="shared" si="31"/>
        <v/>
      </c>
      <c r="AD486" s="48" t="str">
        <f>IF(Table3[[#This Row],[Actual Arrival date]]&gt;0,IF(Table3[[#This Row],[Expected arrival date]]&gt;0,Table3[[#This Row],[Actual Arrival date]]-Table3[[#This Row],[Expected arrival date]],""),"")</f>
        <v/>
      </c>
    </row>
    <row r="487" spans="1:30" x14ac:dyDescent="0.25">
      <c r="A487" s="303" t="str">
        <f>Start!$D$7</f>
        <v>Anyland</v>
      </c>
      <c r="B487" s="48" t="str">
        <f>_xlfn.IFNA(VLOOKUP(A487,list!B:C,2,FALSE),"")</f>
        <v>ANY</v>
      </c>
      <c r="C487" s="48"/>
      <c r="D487" s="127"/>
      <c r="E487" s="48" t="str">
        <f>_xlfn.IFNA(VLOOKUP(Table3[[#This Row],[Product]], ProductListTbl[], 3, 0), "")</f>
        <v/>
      </c>
      <c r="F487" s="303" t="str">
        <f>_xlfn.IFNA(VLOOKUP(D487,ProductListTbl[],5,0),"")</f>
        <v/>
      </c>
      <c r="G487" s="303" t="str">
        <f>_xlfn.IFNA(VLOOKUP(D487,ProductListTbl[],6,0),"")</f>
        <v/>
      </c>
      <c r="H487" s="130" t="str">
        <f>_xlfn.IFNA(VLOOKUP(D487,ProductListTbl[],7,0),"")</f>
        <v/>
      </c>
      <c r="I487" s="130" t="str">
        <f>_xlfn.IFNA(VLOOKUP(D487,ProductListTbl[],8,0),"")</f>
        <v/>
      </c>
      <c r="J487" s="127"/>
      <c r="K487" s="129"/>
      <c r="L487" s="128"/>
      <c r="M487" s="305" t="str">
        <f>IFERROR(Table3[[#This Row],[Quantity (doses)]]/Table3[[#This Row],[Doses per vial or syringe]],"")</f>
        <v/>
      </c>
      <c r="N487" s="127"/>
      <c r="O487" s="127"/>
      <c r="P487" s="381"/>
      <c r="Q487" s="129"/>
      <c r="R487" s="127"/>
      <c r="S487" s="127"/>
      <c r="T487" s="127"/>
      <c r="U487" s="127"/>
      <c r="V487" s="305" t="str">
        <f>_xlfn.IFNA(VLOOKUP(D487,ProductListTbl[],9,0),"")</f>
        <v/>
      </c>
      <c r="W487" s="305" t="str">
        <f>IFERROR(Table3[[#This Row],[Storage space per secondary packaging (cm3)]]*Table3[[#This Row],[Quantity  (vials or syringes)]]/1000,"")</f>
        <v/>
      </c>
      <c r="X487" s="305" t="str">
        <f>IFERROR(Table3[[#This Row],[Storage space per tertiary packaging (cm3)]]*Table3[[#This Row],[Quantity (doses)]]/1000,"")</f>
        <v/>
      </c>
      <c r="Y487" s="293" t="str">
        <f>IF(Table3[[#This Row],[Status]]="Ordered",(DATE(YEAR(P487),MONTH(P487),1)),IF(Table3[[#This Row],[Status]]="Received",(DATE(YEAR(Q487),MONTH(Q487),1)),""))</f>
        <v/>
      </c>
      <c r="Z487" s="304" t="str">
        <f t="shared" si="28"/>
        <v/>
      </c>
      <c r="AA487" s="48" t="str">
        <f t="shared" si="29"/>
        <v/>
      </c>
      <c r="AB487" s="48" t="str">
        <f t="shared" si="30"/>
        <v/>
      </c>
      <c r="AC487" s="292" t="str">
        <f t="shared" si="31"/>
        <v/>
      </c>
      <c r="AD487" s="48" t="str">
        <f>IF(Table3[[#This Row],[Actual Arrival date]]&gt;0,IF(Table3[[#This Row],[Expected arrival date]]&gt;0,Table3[[#This Row],[Actual Arrival date]]-Table3[[#This Row],[Expected arrival date]],""),"")</f>
        <v/>
      </c>
    </row>
    <row r="488" spans="1:30" x14ac:dyDescent="0.25">
      <c r="A488" s="303" t="str">
        <f>Start!$D$7</f>
        <v>Anyland</v>
      </c>
      <c r="B488" s="48" t="str">
        <f>_xlfn.IFNA(VLOOKUP(A488,list!B:C,2,FALSE),"")</f>
        <v>ANY</v>
      </c>
      <c r="C488" s="48"/>
      <c r="D488" s="127"/>
      <c r="E488" s="48" t="str">
        <f>_xlfn.IFNA(VLOOKUP(Table3[[#This Row],[Product]], ProductListTbl[], 3, 0), "")</f>
        <v/>
      </c>
      <c r="F488" s="303" t="str">
        <f>_xlfn.IFNA(VLOOKUP(D488,ProductListTbl[],5,0),"")</f>
        <v/>
      </c>
      <c r="G488" s="303" t="str">
        <f>_xlfn.IFNA(VLOOKUP(D488,ProductListTbl[],6,0),"")</f>
        <v/>
      </c>
      <c r="H488" s="130" t="str">
        <f>_xlfn.IFNA(VLOOKUP(D488,ProductListTbl[],7,0),"")</f>
        <v/>
      </c>
      <c r="I488" s="130" t="str">
        <f>_xlfn.IFNA(VLOOKUP(D488,ProductListTbl[],8,0),"")</f>
        <v/>
      </c>
      <c r="J488" s="127"/>
      <c r="K488" s="129"/>
      <c r="L488" s="128"/>
      <c r="M488" s="305" t="str">
        <f>IFERROR(Table3[[#This Row],[Quantity (doses)]]/Table3[[#This Row],[Doses per vial or syringe]],"")</f>
        <v/>
      </c>
      <c r="N488" s="127"/>
      <c r="O488" s="127"/>
      <c r="P488" s="381"/>
      <c r="Q488" s="129"/>
      <c r="R488" s="127"/>
      <c r="S488" s="127"/>
      <c r="T488" s="127"/>
      <c r="U488" s="127"/>
      <c r="V488" s="305" t="str">
        <f>_xlfn.IFNA(VLOOKUP(D488,ProductListTbl[],9,0),"")</f>
        <v/>
      </c>
      <c r="W488" s="305" t="str">
        <f>IFERROR(Table3[[#This Row],[Storage space per secondary packaging (cm3)]]*Table3[[#This Row],[Quantity  (vials or syringes)]]/1000,"")</f>
        <v/>
      </c>
      <c r="X488" s="305" t="str">
        <f>IFERROR(Table3[[#This Row],[Storage space per tertiary packaging (cm3)]]*Table3[[#This Row],[Quantity (doses)]]/1000,"")</f>
        <v/>
      </c>
      <c r="Y488" s="293" t="str">
        <f>IF(Table3[[#This Row],[Status]]="Ordered",(DATE(YEAR(P488),MONTH(P488),1)),IF(Table3[[#This Row],[Status]]="Received",(DATE(YEAR(Q488),MONTH(Q488),1)),""))</f>
        <v/>
      </c>
      <c r="Z488" s="304" t="str">
        <f t="shared" si="28"/>
        <v/>
      </c>
      <c r="AA488" s="48" t="str">
        <f t="shared" si="29"/>
        <v/>
      </c>
      <c r="AB488" s="48" t="str">
        <f t="shared" si="30"/>
        <v/>
      </c>
      <c r="AC488" s="292" t="str">
        <f t="shared" si="31"/>
        <v/>
      </c>
      <c r="AD488" s="48" t="str">
        <f>IF(Table3[[#This Row],[Actual Arrival date]]&gt;0,IF(Table3[[#This Row],[Expected arrival date]]&gt;0,Table3[[#This Row],[Actual Arrival date]]-Table3[[#This Row],[Expected arrival date]],""),"")</f>
        <v/>
      </c>
    </row>
    <row r="489" spans="1:30" x14ac:dyDescent="0.25">
      <c r="A489" s="303" t="str">
        <f>Start!$D$7</f>
        <v>Anyland</v>
      </c>
      <c r="B489" s="48" t="str">
        <f>_xlfn.IFNA(VLOOKUP(A489,list!B:C,2,FALSE),"")</f>
        <v>ANY</v>
      </c>
      <c r="C489" s="48"/>
      <c r="D489" s="127"/>
      <c r="E489" s="48" t="str">
        <f>_xlfn.IFNA(VLOOKUP(Table3[[#This Row],[Product]], ProductListTbl[], 3, 0), "")</f>
        <v/>
      </c>
      <c r="F489" s="303" t="str">
        <f>_xlfn.IFNA(VLOOKUP(D489,ProductListTbl[],5,0),"")</f>
        <v/>
      </c>
      <c r="G489" s="303" t="str">
        <f>_xlfn.IFNA(VLOOKUP(D489,ProductListTbl[],6,0),"")</f>
        <v/>
      </c>
      <c r="H489" s="130" t="str">
        <f>_xlfn.IFNA(VLOOKUP(D489,ProductListTbl[],7,0),"")</f>
        <v/>
      </c>
      <c r="I489" s="130" t="str">
        <f>_xlfn.IFNA(VLOOKUP(D489,ProductListTbl[],8,0),"")</f>
        <v/>
      </c>
      <c r="J489" s="127"/>
      <c r="K489" s="129"/>
      <c r="L489" s="128"/>
      <c r="M489" s="305" t="str">
        <f>IFERROR(Table3[[#This Row],[Quantity (doses)]]/Table3[[#This Row],[Doses per vial or syringe]],"")</f>
        <v/>
      </c>
      <c r="N489" s="127"/>
      <c r="O489" s="127"/>
      <c r="P489" s="381"/>
      <c r="Q489" s="129"/>
      <c r="R489" s="127"/>
      <c r="S489" s="127"/>
      <c r="T489" s="127"/>
      <c r="U489" s="127"/>
      <c r="V489" s="305" t="str">
        <f>_xlfn.IFNA(VLOOKUP(D489,ProductListTbl[],9,0),"")</f>
        <v/>
      </c>
      <c r="W489" s="305" t="str">
        <f>IFERROR(Table3[[#This Row],[Storage space per secondary packaging (cm3)]]*Table3[[#This Row],[Quantity  (vials or syringes)]]/1000,"")</f>
        <v/>
      </c>
      <c r="X489" s="305" t="str">
        <f>IFERROR(Table3[[#This Row],[Storage space per tertiary packaging (cm3)]]*Table3[[#This Row],[Quantity (doses)]]/1000,"")</f>
        <v/>
      </c>
      <c r="Y489" s="293" t="str">
        <f>IF(Table3[[#This Row],[Status]]="Ordered",(DATE(YEAR(P489),MONTH(P489),1)),IF(Table3[[#This Row],[Status]]="Received",(DATE(YEAR(Q489),MONTH(Q489),1)),""))</f>
        <v/>
      </c>
      <c r="Z489" s="304" t="str">
        <f t="shared" si="28"/>
        <v/>
      </c>
      <c r="AA489" s="48" t="str">
        <f t="shared" si="29"/>
        <v/>
      </c>
      <c r="AB489" s="48" t="str">
        <f t="shared" si="30"/>
        <v/>
      </c>
      <c r="AC489" s="292" t="str">
        <f t="shared" si="31"/>
        <v/>
      </c>
      <c r="AD489" s="48" t="str">
        <f>IF(Table3[[#This Row],[Actual Arrival date]]&gt;0,IF(Table3[[#This Row],[Expected arrival date]]&gt;0,Table3[[#This Row],[Actual Arrival date]]-Table3[[#This Row],[Expected arrival date]],""),"")</f>
        <v/>
      </c>
    </row>
    <row r="490" spans="1:30" x14ac:dyDescent="0.25">
      <c r="A490" s="303" t="str">
        <f>Start!$D$7</f>
        <v>Anyland</v>
      </c>
      <c r="B490" s="48" t="str">
        <f>_xlfn.IFNA(VLOOKUP(A490,list!B:C,2,FALSE),"")</f>
        <v>ANY</v>
      </c>
      <c r="C490" s="48"/>
      <c r="D490" s="127"/>
      <c r="E490" s="48" t="str">
        <f>_xlfn.IFNA(VLOOKUP(Table3[[#This Row],[Product]], ProductListTbl[], 3, 0), "")</f>
        <v/>
      </c>
      <c r="F490" s="303" t="str">
        <f>_xlfn.IFNA(VLOOKUP(D490,ProductListTbl[],5,0),"")</f>
        <v/>
      </c>
      <c r="G490" s="303" t="str">
        <f>_xlfn.IFNA(VLOOKUP(D490,ProductListTbl[],6,0),"")</f>
        <v/>
      </c>
      <c r="H490" s="130" t="str">
        <f>_xlfn.IFNA(VLOOKUP(D490,ProductListTbl[],7,0),"")</f>
        <v/>
      </c>
      <c r="I490" s="130" t="str">
        <f>_xlfn.IFNA(VLOOKUP(D490,ProductListTbl[],8,0),"")</f>
        <v/>
      </c>
      <c r="J490" s="127"/>
      <c r="K490" s="129"/>
      <c r="L490" s="128"/>
      <c r="M490" s="305" t="str">
        <f>IFERROR(Table3[[#This Row],[Quantity (doses)]]/Table3[[#This Row],[Doses per vial or syringe]],"")</f>
        <v/>
      </c>
      <c r="N490" s="127"/>
      <c r="O490" s="127"/>
      <c r="P490" s="381"/>
      <c r="Q490" s="129"/>
      <c r="R490" s="127"/>
      <c r="S490" s="127"/>
      <c r="T490" s="127"/>
      <c r="U490" s="127"/>
      <c r="V490" s="305" t="str">
        <f>_xlfn.IFNA(VLOOKUP(D490,ProductListTbl[],9,0),"")</f>
        <v/>
      </c>
      <c r="W490" s="305" t="str">
        <f>IFERROR(Table3[[#This Row],[Storage space per secondary packaging (cm3)]]*Table3[[#This Row],[Quantity  (vials or syringes)]]/1000,"")</f>
        <v/>
      </c>
      <c r="X490" s="305" t="str">
        <f>IFERROR(Table3[[#This Row],[Storage space per tertiary packaging (cm3)]]*Table3[[#This Row],[Quantity (doses)]]/1000,"")</f>
        <v/>
      </c>
      <c r="Y490" s="293" t="str">
        <f>IF(Table3[[#This Row],[Status]]="Ordered",(DATE(YEAR(P490),MONTH(P490),1)),IF(Table3[[#This Row],[Status]]="Received",(DATE(YEAR(Q490),MONTH(Q490),1)),""))</f>
        <v/>
      </c>
      <c r="Z490" s="304" t="str">
        <f t="shared" si="28"/>
        <v/>
      </c>
      <c r="AA490" s="48" t="str">
        <f t="shared" si="29"/>
        <v/>
      </c>
      <c r="AB490" s="48" t="str">
        <f t="shared" si="30"/>
        <v/>
      </c>
      <c r="AC490" s="292" t="str">
        <f t="shared" si="31"/>
        <v/>
      </c>
      <c r="AD490" s="48" t="str">
        <f>IF(Table3[[#This Row],[Actual Arrival date]]&gt;0,IF(Table3[[#This Row],[Expected arrival date]]&gt;0,Table3[[#This Row],[Actual Arrival date]]-Table3[[#This Row],[Expected arrival date]],""),"")</f>
        <v/>
      </c>
    </row>
    <row r="491" spans="1:30" x14ac:dyDescent="0.25">
      <c r="A491" s="303" t="str">
        <f>Start!$D$7</f>
        <v>Anyland</v>
      </c>
      <c r="B491" s="48" t="str">
        <f>_xlfn.IFNA(VLOOKUP(A491,list!B:C,2,FALSE),"")</f>
        <v>ANY</v>
      </c>
      <c r="C491" s="48"/>
      <c r="D491" s="127"/>
      <c r="E491" s="48" t="str">
        <f>_xlfn.IFNA(VLOOKUP(Table3[[#This Row],[Product]], ProductListTbl[], 3, 0), "")</f>
        <v/>
      </c>
      <c r="F491" s="303" t="str">
        <f>_xlfn.IFNA(VLOOKUP(D491,ProductListTbl[],5,0),"")</f>
        <v/>
      </c>
      <c r="G491" s="303" t="str">
        <f>_xlfn.IFNA(VLOOKUP(D491,ProductListTbl[],6,0),"")</f>
        <v/>
      </c>
      <c r="H491" s="130" t="str">
        <f>_xlfn.IFNA(VLOOKUP(D491,ProductListTbl[],7,0),"")</f>
        <v/>
      </c>
      <c r="I491" s="130" t="str">
        <f>_xlfn.IFNA(VLOOKUP(D491,ProductListTbl[],8,0),"")</f>
        <v/>
      </c>
      <c r="J491" s="127"/>
      <c r="K491" s="129"/>
      <c r="L491" s="128"/>
      <c r="M491" s="305" t="str">
        <f>IFERROR(Table3[[#This Row],[Quantity (doses)]]/Table3[[#This Row],[Doses per vial or syringe]],"")</f>
        <v/>
      </c>
      <c r="N491" s="127"/>
      <c r="O491" s="127"/>
      <c r="P491" s="381"/>
      <c r="Q491" s="129"/>
      <c r="R491" s="127"/>
      <c r="S491" s="127"/>
      <c r="T491" s="127"/>
      <c r="U491" s="127"/>
      <c r="V491" s="305" t="str">
        <f>_xlfn.IFNA(VLOOKUP(D491,ProductListTbl[],9,0),"")</f>
        <v/>
      </c>
      <c r="W491" s="305" t="str">
        <f>IFERROR(Table3[[#This Row],[Storage space per secondary packaging (cm3)]]*Table3[[#This Row],[Quantity  (vials or syringes)]]/1000,"")</f>
        <v/>
      </c>
      <c r="X491" s="305" t="str">
        <f>IFERROR(Table3[[#This Row],[Storage space per tertiary packaging (cm3)]]*Table3[[#This Row],[Quantity (doses)]]/1000,"")</f>
        <v/>
      </c>
      <c r="Y491" s="293" t="str">
        <f>IF(Table3[[#This Row],[Status]]="Ordered",(DATE(YEAR(P491),MONTH(P491),1)),IF(Table3[[#This Row],[Status]]="Received",(DATE(YEAR(Q491),MONTH(Q491),1)),""))</f>
        <v/>
      </c>
      <c r="Z491" s="304" t="str">
        <f t="shared" si="28"/>
        <v/>
      </c>
      <c r="AA491" s="48" t="str">
        <f t="shared" si="29"/>
        <v/>
      </c>
      <c r="AB491" s="48" t="str">
        <f t="shared" si="30"/>
        <v/>
      </c>
      <c r="AC491" s="292" t="str">
        <f t="shared" si="31"/>
        <v/>
      </c>
      <c r="AD491" s="48" t="str">
        <f>IF(Table3[[#This Row],[Actual Arrival date]]&gt;0,IF(Table3[[#This Row],[Expected arrival date]]&gt;0,Table3[[#This Row],[Actual Arrival date]]-Table3[[#This Row],[Expected arrival date]],""),"")</f>
        <v/>
      </c>
    </row>
    <row r="492" spans="1:30" x14ac:dyDescent="0.25">
      <c r="A492" s="303" t="str">
        <f>Start!$D$7</f>
        <v>Anyland</v>
      </c>
      <c r="B492" s="48" t="str">
        <f>_xlfn.IFNA(VLOOKUP(A492,list!B:C,2,FALSE),"")</f>
        <v>ANY</v>
      </c>
      <c r="C492" s="48"/>
      <c r="D492" s="127"/>
      <c r="E492" s="48" t="str">
        <f>_xlfn.IFNA(VLOOKUP(Table3[[#This Row],[Product]], ProductListTbl[], 3, 0), "")</f>
        <v/>
      </c>
      <c r="F492" s="303" t="str">
        <f>_xlfn.IFNA(VLOOKUP(D492,ProductListTbl[],5,0),"")</f>
        <v/>
      </c>
      <c r="G492" s="303" t="str">
        <f>_xlfn.IFNA(VLOOKUP(D492,ProductListTbl[],6,0),"")</f>
        <v/>
      </c>
      <c r="H492" s="130" t="str">
        <f>_xlfn.IFNA(VLOOKUP(D492,ProductListTbl[],7,0),"")</f>
        <v/>
      </c>
      <c r="I492" s="130" t="str">
        <f>_xlfn.IFNA(VLOOKUP(D492,ProductListTbl[],8,0),"")</f>
        <v/>
      </c>
      <c r="J492" s="127"/>
      <c r="K492" s="129"/>
      <c r="L492" s="128"/>
      <c r="M492" s="305" t="str">
        <f>IFERROR(Table3[[#This Row],[Quantity (doses)]]/Table3[[#This Row],[Doses per vial or syringe]],"")</f>
        <v/>
      </c>
      <c r="N492" s="127"/>
      <c r="O492" s="127"/>
      <c r="P492" s="381"/>
      <c r="Q492" s="129"/>
      <c r="R492" s="127"/>
      <c r="S492" s="127"/>
      <c r="T492" s="127"/>
      <c r="U492" s="127"/>
      <c r="V492" s="305" t="str">
        <f>_xlfn.IFNA(VLOOKUP(D492,ProductListTbl[],9,0),"")</f>
        <v/>
      </c>
      <c r="W492" s="305" t="str">
        <f>IFERROR(Table3[[#This Row],[Storage space per secondary packaging (cm3)]]*Table3[[#This Row],[Quantity  (vials or syringes)]]/1000,"")</f>
        <v/>
      </c>
      <c r="X492" s="305" t="str">
        <f>IFERROR(Table3[[#This Row],[Storage space per tertiary packaging (cm3)]]*Table3[[#This Row],[Quantity (doses)]]/1000,"")</f>
        <v/>
      </c>
      <c r="Y492" s="293" t="str">
        <f>IF(Table3[[#This Row],[Status]]="Ordered",(DATE(YEAR(P492),MONTH(P492),1)),IF(Table3[[#This Row],[Status]]="Received",(DATE(YEAR(Q492),MONTH(Q492),1)),""))</f>
        <v/>
      </c>
      <c r="Z492" s="304" t="str">
        <f t="shared" si="28"/>
        <v/>
      </c>
      <c r="AA492" s="48" t="str">
        <f t="shared" si="29"/>
        <v/>
      </c>
      <c r="AB492" s="48" t="str">
        <f t="shared" si="30"/>
        <v/>
      </c>
      <c r="AC492" s="292" t="str">
        <f t="shared" si="31"/>
        <v/>
      </c>
      <c r="AD492" s="48" t="str">
        <f>IF(Table3[[#This Row],[Actual Arrival date]]&gt;0,IF(Table3[[#This Row],[Expected arrival date]]&gt;0,Table3[[#This Row],[Actual Arrival date]]-Table3[[#This Row],[Expected arrival date]],""),"")</f>
        <v/>
      </c>
    </row>
    <row r="493" spans="1:30" x14ac:dyDescent="0.25">
      <c r="A493" s="303" t="str">
        <f>Start!$D$7</f>
        <v>Anyland</v>
      </c>
      <c r="B493" s="48" t="str">
        <f>_xlfn.IFNA(VLOOKUP(A493,list!B:C,2,FALSE),"")</f>
        <v>ANY</v>
      </c>
      <c r="C493" s="48"/>
      <c r="D493" s="127"/>
      <c r="E493" s="48" t="str">
        <f>_xlfn.IFNA(VLOOKUP(Table3[[#This Row],[Product]], ProductListTbl[], 3, 0), "")</f>
        <v/>
      </c>
      <c r="F493" s="303" t="str">
        <f>_xlfn.IFNA(VLOOKUP(D493,ProductListTbl[],5,0),"")</f>
        <v/>
      </c>
      <c r="G493" s="303" t="str">
        <f>_xlfn.IFNA(VLOOKUP(D493,ProductListTbl[],6,0),"")</f>
        <v/>
      </c>
      <c r="H493" s="130" t="str">
        <f>_xlfn.IFNA(VLOOKUP(D493,ProductListTbl[],7,0),"")</f>
        <v/>
      </c>
      <c r="I493" s="130" t="str">
        <f>_xlfn.IFNA(VLOOKUP(D493,ProductListTbl[],8,0),"")</f>
        <v/>
      </c>
      <c r="J493" s="127"/>
      <c r="K493" s="129"/>
      <c r="L493" s="128"/>
      <c r="M493" s="305" t="str">
        <f>IFERROR(Table3[[#This Row],[Quantity (doses)]]/Table3[[#This Row],[Doses per vial or syringe]],"")</f>
        <v/>
      </c>
      <c r="N493" s="127"/>
      <c r="O493" s="127"/>
      <c r="P493" s="381"/>
      <c r="Q493" s="129"/>
      <c r="R493" s="127"/>
      <c r="S493" s="127"/>
      <c r="T493" s="127"/>
      <c r="U493" s="127"/>
      <c r="V493" s="305" t="str">
        <f>_xlfn.IFNA(VLOOKUP(D493,ProductListTbl[],9,0),"")</f>
        <v/>
      </c>
      <c r="W493" s="305" t="str">
        <f>IFERROR(Table3[[#This Row],[Storage space per secondary packaging (cm3)]]*Table3[[#This Row],[Quantity  (vials or syringes)]]/1000,"")</f>
        <v/>
      </c>
      <c r="X493" s="305" t="str">
        <f>IFERROR(Table3[[#This Row],[Storage space per tertiary packaging (cm3)]]*Table3[[#This Row],[Quantity (doses)]]/1000,"")</f>
        <v/>
      </c>
      <c r="Y493" s="293" t="str">
        <f>IF(Table3[[#This Row],[Status]]="Ordered",(DATE(YEAR(P493),MONTH(P493),1)),IF(Table3[[#This Row],[Status]]="Received",(DATE(YEAR(Q493),MONTH(Q493),1)),""))</f>
        <v/>
      </c>
      <c r="Z493" s="304" t="str">
        <f t="shared" si="28"/>
        <v/>
      </c>
      <c r="AA493" s="48" t="str">
        <f t="shared" si="29"/>
        <v/>
      </c>
      <c r="AB493" s="48" t="str">
        <f t="shared" si="30"/>
        <v/>
      </c>
      <c r="AC493" s="292" t="str">
        <f t="shared" si="31"/>
        <v/>
      </c>
      <c r="AD493" s="48" t="str">
        <f>IF(Table3[[#This Row],[Actual Arrival date]]&gt;0,IF(Table3[[#This Row],[Expected arrival date]]&gt;0,Table3[[#This Row],[Actual Arrival date]]-Table3[[#This Row],[Expected arrival date]],""),"")</f>
        <v/>
      </c>
    </row>
    <row r="494" spans="1:30" x14ac:dyDescent="0.25">
      <c r="A494" s="303" t="str">
        <f>Start!$D$7</f>
        <v>Anyland</v>
      </c>
      <c r="B494" s="48" t="str">
        <f>_xlfn.IFNA(VLOOKUP(A494,list!B:C,2,FALSE),"")</f>
        <v>ANY</v>
      </c>
      <c r="C494" s="48"/>
      <c r="D494" s="127"/>
      <c r="E494" s="48" t="str">
        <f>_xlfn.IFNA(VLOOKUP(Table3[[#This Row],[Product]], ProductListTbl[], 3, 0), "")</f>
        <v/>
      </c>
      <c r="F494" s="303" t="str">
        <f>_xlfn.IFNA(VLOOKUP(D494,ProductListTbl[],5,0),"")</f>
        <v/>
      </c>
      <c r="G494" s="303" t="str">
        <f>_xlfn.IFNA(VLOOKUP(D494,ProductListTbl[],6,0),"")</f>
        <v/>
      </c>
      <c r="H494" s="130" t="str">
        <f>_xlfn.IFNA(VLOOKUP(D494,ProductListTbl[],7,0),"")</f>
        <v/>
      </c>
      <c r="I494" s="130" t="str">
        <f>_xlfn.IFNA(VLOOKUP(D494,ProductListTbl[],8,0),"")</f>
        <v/>
      </c>
      <c r="J494" s="127"/>
      <c r="K494" s="129"/>
      <c r="L494" s="128"/>
      <c r="M494" s="305" t="str">
        <f>IFERROR(Table3[[#This Row],[Quantity (doses)]]/Table3[[#This Row],[Doses per vial or syringe]],"")</f>
        <v/>
      </c>
      <c r="N494" s="127"/>
      <c r="O494" s="127"/>
      <c r="P494" s="381"/>
      <c r="Q494" s="129"/>
      <c r="R494" s="127"/>
      <c r="S494" s="127"/>
      <c r="T494" s="127"/>
      <c r="U494" s="127"/>
      <c r="V494" s="305" t="str">
        <f>_xlfn.IFNA(VLOOKUP(D494,ProductListTbl[],9,0),"")</f>
        <v/>
      </c>
      <c r="W494" s="305" t="str">
        <f>IFERROR(Table3[[#This Row],[Storage space per secondary packaging (cm3)]]*Table3[[#This Row],[Quantity  (vials or syringes)]]/1000,"")</f>
        <v/>
      </c>
      <c r="X494" s="305" t="str">
        <f>IFERROR(Table3[[#This Row],[Storage space per tertiary packaging (cm3)]]*Table3[[#This Row],[Quantity (doses)]]/1000,"")</f>
        <v/>
      </c>
      <c r="Y494" s="293" t="str">
        <f>IF(Table3[[#This Row],[Status]]="Ordered",(DATE(YEAR(P494),MONTH(P494),1)),IF(Table3[[#This Row],[Status]]="Received",(DATE(YEAR(Q494),MONTH(Q494),1)),""))</f>
        <v/>
      </c>
      <c r="Z494" s="304" t="str">
        <f t="shared" si="28"/>
        <v/>
      </c>
      <c r="AA494" s="48" t="str">
        <f t="shared" si="29"/>
        <v/>
      </c>
      <c r="AB494" s="48" t="str">
        <f t="shared" si="30"/>
        <v/>
      </c>
      <c r="AC494" s="292" t="str">
        <f t="shared" si="31"/>
        <v/>
      </c>
      <c r="AD494" s="48" t="str">
        <f>IF(Table3[[#This Row],[Actual Arrival date]]&gt;0,IF(Table3[[#This Row],[Expected arrival date]]&gt;0,Table3[[#This Row],[Actual Arrival date]]-Table3[[#This Row],[Expected arrival date]],""),"")</f>
        <v/>
      </c>
    </row>
    <row r="495" spans="1:30" x14ac:dyDescent="0.25">
      <c r="A495" s="303" t="str">
        <f>Start!$D$7</f>
        <v>Anyland</v>
      </c>
      <c r="B495" s="48" t="str">
        <f>_xlfn.IFNA(VLOOKUP(A495,list!B:C,2,FALSE),"")</f>
        <v>ANY</v>
      </c>
      <c r="C495" s="48"/>
      <c r="D495" s="127"/>
      <c r="E495" s="48" t="str">
        <f>_xlfn.IFNA(VLOOKUP(Table3[[#This Row],[Product]], ProductListTbl[], 3, 0), "")</f>
        <v/>
      </c>
      <c r="F495" s="303" t="str">
        <f>_xlfn.IFNA(VLOOKUP(D495,ProductListTbl[],5,0),"")</f>
        <v/>
      </c>
      <c r="G495" s="303" t="str">
        <f>_xlfn.IFNA(VLOOKUP(D495,ProductListTbl[],6,0),"")</f>
        <v/>
      </c>
      <c r="H495" s="130" t="str">
        <f>_xlfn.IFNA(VLOOKUP(D495,ProductListTbl[],7,0),"")</f>
        <v/>
      </c>
      <c r="I495" s="130" t="str">
        <f>_xlfn.IFNA(VLOOKUP(D495,ProductListTbl[],8,0),"")</f>
        <v/>
      </c>
      <c r="J495" s="127"/>
      <c r="K495" s="129"/>
      <c r="L495" s="128"/>
      <c r="M495" s="305" t="str">
        <f>IFERROR(Table3[[#This Row],[Quantity (doses)]]/Table3[[#This Row],[Doses per vial or syringe]],"")</f>
        <v/>
      </c>
      <c r="N495" s="127"/>
      <c r="O495" s="127"/>
      <c r="P495" s="381"/>
      <c r="Q495" s="129"/>
      <c r="R495" s="127"/>
      <c r="S495" s="127"/>
      <c r="T495" s="127"/>
      <c r="U495" s="127"/>
      <c r="V495" s="305" t="str">
        <f>_xlfn.IFNA(VLOOKUP(D495,ProductListTbl[],9,0),"")</f>
        <v/>
      </c>
      <c r="W495" s="305" t="str">
        <f>IFERROR(Table3[[#This Row],[Storage space per secondary packaging (cm3)]]*Table3[[#This Row],[Quantity  (vials or syringes)]]/1000,"")</f>
        <v/>
      </c>
      <c r="X495" s="305" t="str">
        <f>IFERROR(Table3[[#This Row],[Storage space per tertiary packaging (cm3)]]*Table3[[#This Row],[Quantity (doses)]]/1000,"")</f>
        <v/>
      </c>
      <c r="Y495" s="293" t="str">
        <f>IF(Table3[[#This Row],[Status]]="Ordered",(DATE(YEAR(P495),MONTH(P495),1)),IF(Table3[[#This Row],[Status]]="Received",(DATE(YEAR(Q495),MONTH(Q495),1)),""))</f>
        <v/>
      </c>
      <c r="Z495" s="304" t="str">
        <f t="shared" si="28"/>
        <v/>
      </c>
      <c r="AA495" s="48" t="str">
        <f t="shared" si="29"/>
        <v/>
      </c>
      <c r="AB495" s="48" t="str">
        <f t="shared" si="30"/>
        <v/>
      </c>
      <c r="AC495" s="292" t="str">
        <f t="shared" si="31"/>
        <v/>
      </c>
      <c r="AD495" s="48" t="str">
        <f>IF(Table3[[#This Row],[Actual Arrival date]]&gt;0,IF(Table3[[#This Row],[Expected arrival date]]&gt;0,Table3[[#This Row],[Actual Arrival date]]-Table3[[#This Row],[Expected arrival date]],""),"")</f>
        <v/>
      </c>
    </row>
    <row r="496" spans="1:30" x14ac:dyDescent="0.25">
      <c r="A496" s="303" t="str">
        <f>Start!$D$7</f>
        <v>Anyland</v>
      </c>
      <c r="B496" s="48" t="str">
        <f>_xlfn.IFNA(VLOOKUP(A496,list!B:C,2,FALSE),"")</f>
        <v>ANY</v>
      </c>
      <c r="C496" s="48"/>
      <c r="D496" s="127"/>
      <c r="E496" s="48" t="str">
        <f>_xlfn.IFNA(VLOOKUP(Table3[[#This Row],[Product]], ProductListTbl[], 3, 0), "")</f>
        <v/>
      </c>
      <c r="F496" s="303" t="str">
        <f>_xlfn.IFNA(VLOOKUP(D496,ProductListTbl[],5,0),"")</f>
        <v/>
      </c>
      <c r="G496" s="303" t="str">
        <f>_xlfn.IFNA(VLOOKUP(D496,ProductListTbl[],6,0),"")</f>
        <v/>
      </c>
      <c r="H496" s="130" t="str">
        <f>_xlfn.IFNA(VLOOKUP(D496,ProductListTbl[],7,0),"")</f>
        <v/>
      </c>
      <c r="I496" s="130" t="str">
        <f>_xlfn.IFNA(VLOOKUP(D496,ProductListTbl[],8,0),"")</f>
        <v/>
      </c>
      <c r="J496" s="127"/>
      <c r="K496" s="129"/>
      <c r="L496" s="128"/>
      <c r="M496" s="305" t="str">
        <f>IFERROR(Table3[[#This Row],[Quantity (doses)]]/Table3[[#This Row],[Doses per vial or syringe]],"")</f>
        <v/>
      </c>
      <c r="N496" s="127"/>
      <c r="O496" s="127"/>
      <c r="P496" s="381"/>
      <c r="Q496" s="129"/>
      <c r="R496" s="127"/>
      <c r="S496" s="127"/>
      <c r="T496" s="127"/>
      <c r="U496" s="127"/>
      <c r="V496" s="305" t="str">
        <f>_xlfn.IFNA(VLOOKUP(D496,ProductListTbl[],9,0),"")</f>
        <v/>
      </c>
      <c r="W496" s="305" t="str">
        <f>IFERROR(Table3[[#This Row],[Storage space per secondary packaging (cm3)]]*Table3[[#This Row],[Quantity  (vials or syringes)]]/1000,"")</f>
        <v/>
      </c>
      <c r="X496" s="305" t="str">
        <f>IFERROR(Table3[[#This Row],[Storage space per tertiary packaging (cm3)]]*Table3[[#This Row],[Quantity (doses)]]/1000,"")</f>
        <v/>
      </c>
      <c r="Y496" s="293" t="str">
        <f>IF(Table3[[#This Row],[Status]]="Ordered",(DATE(YEAR(P496),MONTH(P496),1)),IF(Table3[[#This Row],[Status]]="Received",(DATE(YEAR(Q496),MONTH(Q496),1)),""))</f>
        <v/>
      </c>
      <c r="Z496" s="304" t="str">
        <f t="shared" si="28"/>
        <v/>
      </c>
      <c r="AA496" s="48" t="str">
        <f t="shared" si="29"/>
        <v/>
      </c>
      <c r="AB496" s="48" t="str">
        <f t="shared" si="30"/>
        <v/>
      </c>
      <c r="AC496" s="292" t="str">
        <f t="shared" si="31"/>
        <v/>
      </c>
      <c r="AD496" s="48" t="str">
        <f>IF(Table3[[#This Row],[Actual Arrival date]]&gt;0,IF(Table3[[#This Row],[Expected arrival date]]&gt;0,Table3[[#This Row],[Actual Arrival date]]-Table3[[#This Row],[Expected arrival date]],""),"")</f>
        <v/>
      </c>
    </row>
    <row r="497" spans="1:30" x14ac:dyDescent="0.25">
      <c r="A497" s="303" t="str">
        <f>Start!$D$7</f>
        <v>Anyland</v>
      </c>
      <c r="B497" s="48" t="str">
        <f>_xlfn.IFNA(VLOOKUP(A497,list!B:C,2,FALSE),"")</f>
        <v>ANY</v>
      </c>
      <c r="C497" s="48"/>
      <c r="D497" s="127"/>
      <c r="E497" s="48" t="str">
        <f>_xlfn.IFNA(VLOOKUP(Table3[[#This Row],[Product]], ProductListTbl[], 3, 0), "")</f>
        <v/>
      </c>
      <c r="F497" s="303" t="str">
        <f>_xlfn.IFNA(VLOOKUP(D497,ProductListTbl[],5,0),"")</f>
        <v/>
      </c>
      <c r="G497" s="303" t="str">
        <f>_xlfn.IFNA(VLOOKUP(D497,ProductListTbl[],6,0),"")</f>
        <v/>
      </c>
      <c r="H497" s="130" t="str">
        <f>_xlfn.IFNA(VLOOKUP(D497,ProductListTbl[],7,0),"")</f>
        <v/>
      </c>
      <c r="I497" s="130" t="str">
        <f>_xlfn.IFNA(VLOOKUP(D497,ProductListTbl[],8,0),"")</f>
        <v/>
      </c>
      <c r="J497" s="127"/>
      <c r="K497" s="129"/>
      <c r="L497" s="128"/>
      <c r="M497" s="305" t="str">
        <f>IFERROR(Table3[[#This Row],[Quantity (doses)]]/Table3[[#This Row],[Doses per vial or syringe]],"")</f>
        <v/>
      </c>
      <c r="N497" s="127"/>
      <c r="O497" s="127"/>
      <c r="P497" s="381"/>
      <c r="Q497" s="129"/>
      <c r="R497" s="127"/>
      <c r="S497" s="127"/>
      <c r="T497" s="127"/>
      <c r="U497" s="127"/>
      <c r="V497" s="305" t="str">
        <f>_xlfn.IFNA(VLOOKUP(D497,ProductListTbl[],9,0),"")</f>
        <v/>
      </c>
      <c r="W497" s="305" t="str">
        <f>IFERROR(Table3[[#This Row],[Storage space per secondary packaging (cm3)]]*Table3[[#This Row],[Quantity  (vials or syringes)]]/1000,"")</f>
        <v/>
      </c>
      <c r="X497" s="305" t="str">
        <f>IFERROR(Table3[[#This Row],[Storage space per tertiary packaging (cm3)]]*Table3[[#This Row],[Quantity (doses)]]/1000,"")</f>
        <v/>
      </c>
      <c r="Y497" s="293" t="str">
        <f>IF(Table3[[#This Row],[Status]]="Ordered",(DATE(YEAR(P497),MONTH(P497),1)),IF(Table3[[#This Row],[Status]]="Received",(DATE(YEAR(Q497),MONTH(Q497),1)),""))</f>
        <v/>
      </c>
      <c r="Z497" s="304" t="str">
        <f t="shared" si="28"/>
        <v/>
      </c>
      <c r="AA497" s="48" t="str">
        <f t="shared" si="29"/>
        <v/>
      </c>
      <c r="AB497" s="48" t="str">
        <f t="shared" si="30"/>
        <v/>
      </c>
      <c r="AC497" s="292" t="str">
        <f t="shared" si="31"/>
        <v/>
      </c>
      <c r="AD497" s="48" t="str">
        <f>IF(Table3[[#This Row],[Actual Arrival date]]&gt;0,IF(Table3[[#This Row],[Expected arrival date]]&gt;0,Table3[[#This Row],[Actual Arrival date]]-Table3[[#This Row],[Expected arrival date]],""),"")</f>
        <v/>
      </c>
    </row>
    <row r="498" spans="1:30" x14ac:dyDescent="0.25">
      <c r="A498" s="303" t="str">
        <f>Start!$D$7</f>
        <v>Anyland</v>
      </c>
      <c r="B498" s="48" t="str">
        <f>_xlfn.IFNA(VLOOKUP(A498,list!B:C,2,FALSE),"")</f>
        <v>ANY</v>
      </c>
      <c r="C498" s="48"/>
      <c r="D498" s="127"/>
      <c r="E498" s="48" t="str">
        <f>_xlfn.IFNA(VLOOKUP(Table3[[#This Row],[Product]], ProductListTbl[], 3, 0), "")</f>
        <v/>
      </c>
      <c r="F498" s="303" t="str">
        <f>_xlfn.IFNA(VLOOKUP(D498,ProductListTbl[],5,0),"")</f>
        <v/>
      </c>
      <c r="G498" s="303" t="str">
        <f>_xlfn.IFNA(VLOOKUP(D498,ProductListTbl[],6,0),"")</f>
        <v/>
      </c>
      <c r="H498" s="130" t="str">
        <f>_xlfn.IFNA(VLOOKUP(D498,ProductListTbl[],7,0),"")</f>
        <v/>
      </c>
      <c r="I498" s="130" t="str">
        <f>_xlfn.IFNA(VLOOKUP(D498,ProductListTbl[],8,0),"")</f>
        <v/>
      </c>
      <c r="J498" s="127"/>
      <c r="K498" s="129"/>
      <c r="L498" s="128"/>
      <c r="M498" s="305" t="str">
        <f>IFERROR(Table3[[#This Row],[Quantity (doses)]]/Table3[[#This Row],[Doses per vial or syringe]],"")</f>
        <v/>
      </c>
      <c r="N498" s="127"/>
      <c r="O498" s="127"/>
      <c r="P498" s="381"/>
      <c r="Q498" s="129"/>
      <c r="R498" s="127"/>
      <c r="S498" s="127"/>
      <c r="T498" s="127"/>
      <c r="U498" s="127"/>
      <c r="V498" s="305" t="str">
        <f>_xlfn.IFNA(VLOOKUP(D498,ProductListTbl[],9,0),"")</f>
        <v/>
      </c>
      <c r="W498" s="305" t="str">
        <f>IFERROR(Table3[[#This Row],[Storage space per secondary packaging (cm3)]]*Table3[[#This Row],[Quantity  (vials or syringes)]]/1000,"")</f>
        <v/>
      </c>
      <c r="X498" s="305" t="str">
        <f>IFERROR(Table3[[#This Row],[Storage space per tertiary packaging (cm3)]]*Table3[[#This Row],[Quantity (doses)]]/1000,"")</f>
        <v/>
      </c>
      <c r="Y498" s="293" t="str">
        <f>IF(Table3[[#This Row],[Status]]="Ordered",(DATE(YEAR(P498),MONTH(P498),1)),IF(Table3[[#This Row],[Status]]="Received",(DATE(YEAR(Q498),MONTH(Q498),1)),""))</f>
        <v/>
      </c>
      <c r="Z498" s="304" t="str">
        <f t="shared" si="28"/>
        <v/>
      </c>
      <c r="AA498" s="48" t="str">
        <f t="shared" si="29"/>
        <v/>
      </c>
      <c r="AB498" s="48" t="str">
        <f t="shared" si="30"/>
        <v/>
      </c>
      <c r="AC498" s="292" t="str">
        <f t="shared" si="31"/>
        <v/>
      </c>
      <c r="AD498" s="48" t="str">
        <f>IF(Table3[[#This Row],[Actual Arrival date]]&gt;0,IF(Table3[[#This Row],[Expected arrival date]]&gt;0,Table3[[#This Row],[Actual Arrival date]]-Table3[[#This Row],[Expected arrival date]],""),"")</f>
        <v/>
      </c>
    </row>
    <row r="499" spans="1:30" x14ac:dyDescent="0.25">
      <c r="A499" s="303" t="str">
        <f>Start!$D$7</f>
        <v>Anyland</v>
      </c>
      <c r="B499" s="48" t="str">
        <f>_xlfn.IFNA(VLOOKUP(A499,list!B:C,2,FALSE),"")</f>
        <v>ANY</v>
      </c>
      <c r="C499" s="48"/>
      <c r="D499" s="127"/>
      <c r="E499" s="48" t="str">
        <f>_xlfn.IFNA(VLOOKUP(Table3[[#This Row],[Product]], ProductListTbl[], 3, 0), "")</f>
        <v/>
      </c>
      <c r="F499" s="303" t="str">
        <f>_xlfn.IFNA(VLOOKUP(D499,ProductListTbl[],5,0),"")</f>
        <v/>
      </c>
      <c r="G499" s="303" t="str">
        <f>_xlfn.IFNA(VLOOKUP(D499,ProductListTbl[],6,0),"")</f>
        <v/>
      </c>
      <c r="H499" s="130" t="str">
        <f>_xlfn.IFNA(VLOOKUP(D499,ProductListTbl[],7,0),"")</f>
        <v/>
      </c>
      <c r="I499" s="130" t="str">
        <f>_xlfn.IFNA(VLOOKUP(D499,ProductListTbl[],8,0),"")</f>
        <v/>
      </c>
      <c r="J499" s="127"/>
      <c r="K499" s="129"/>
      <c r="L499" s="128"/>
      <c r="M499" s="305" t="str">
        <f>IFERROR(Table3[[#This Row],[Quantity (doses)]]/Table3[[#This Row],[Doses per vial or syringe]],"")</f>
        <v/>
      </c>
      <c r="N499" s="127"/>
      <c r="O499" s="127"/>
      <c r="P499" s="381"/>
      <c r="Q499" s="129"/>
      <c r="R499" s="127"/>
      <c r="S499" s="127"/>
      <c r="T499" s="127"/>
      <c r="U499" s="127"/>
      <c r="V499" s="305" t="str">
        <f>_xlfn.IFNA(VLOOKUP(D499,ProductListTbl[],9,0),"")</f>
        <v/>
      </c>
      <c r="W499" s="305" t="str">
        <f>IFERROR(Table3[[#This Row],[Storage space per secondary packaging (cm3)]]*Table3[[#This Row],[Quantity  (vials or syringes)]]/1000,"")</f>
        <v/>
      </c>
      <c r="X499" s="305" t="str">
        <f>IFERROR(Table3[[#This Row],[Storage space per tertiary packaging (cm3)]]*Table3[[#This Row],[Quantity (doses)]]/1000,"")</f>
        <v/>
      </c>
      <c r="Y499" s="293" t="str">
        <f>IF(Table3[[#This Row],[Status]]="Ordered",(DATE(YEAR(P499),MONTH(P499),1)),IF(Table3[[#This Row],[Status]]="Received",(DATE(YEAR(Q499),MONTH(Q499),1)),""))</f>
        <v/>
      </c>
      <c r="Z499" s="304" t="str">
        <f t="shared" si="28"/>
        <v/>
      </c>
      <c r="AA499" s="48" t="str">
        <f t="shared" si="29"/>
        <v/>
      </c>
      <c r="AB499" s="48" t="str">
        <f t="shared" si="30"/>
        <v/>
      </c>
      <c r="AC499" s="292" t="str">
        <f t="shared" si="31"/>
        <v/>
      </c>
      <c r="AD499" s="48" t="str">
        <f>IF(Table3[[#This Row],[Actual Arrival date]]&gt;0,IF(Table3[[#This Row],[Expected arrival date]]&gt;0,Table3[[#This Row],[Actual Arrival date]]-Table3[[#This Row],[Expected arrival date]],""),"")</f>
        <v/>
      </c>
    </row>
    <row r="500" spans="1:30" x14ac:dyDescent="0.25">
      <c r="A500" s="303" t="str">
        <f>Start!$D$7</f>
        <v>Anyland</v>
      </c>
      <c r="B500" s="48" t="str">
        <f>_xlfn.IFNA(VLOOKUP(A500,list!B:C,2,FALSE),"")</f>
        <v>ANY</v>
      </c>
      <c r="C500" s="48"/>
      <c r="D500" s="127"/>
      <c r="E500" s="48" t="str">
        <f>_xlfn.IFNA(VLOOKUP(Table3[[#This Row],[Product]], ProductListTbl[], 3, 0), "")</f>
        <v/>
      </c>
      <c r="F500" s="303" t="str">
        <f>_xlfn.IFNA(VLOOKUP(D500,ProductListTbl[],5,0),"")</f>
        <v/>
      </c>
      <c r="G500" s="303" t="str">
        <f>_xlfn.IFNA(VLOOKUP(D500,ProductListTbl[],6,0),"")</f>
        <v/>
      </c>
      <c r="H500" s="130" t="str">
        <f>_xlfn.IFNA(VLOOKUP(D500,ProductListTbl[],7,0),"")</f>
        <v/>
      </c>
      <c r="I500" s="130" t="str">
        <f>_xlfn.IFNA(VLOOKUP(D500,ProductListTbl[],8,0),"")</f>
        <v/>
      </c>
      <c r="J500" s="127"/>
      <c r="K500" s="129"/>
      <c r="L500" s="128"/>
      <c r="M500" s="305" t="str">
        <f>IFERROR(Table3[[#This Row],[Quantity (doses)]]/Table3[[#This Row],[Doses per vial or syringe]],"")</f>
        <v/>
      </c>
      <c r="N500" s="127"/>
      <c r="O500" s="127"/>
      <c r="P500" s="381"/>
      <c r="Q500" s="129"/>
      <c r="R500" s="127"/>
      <c r="S500" s="127"/>
      <c r="T500" s="127"/>
      <c r="U500" s="127"/>
      <c r="V500" s="305" t="str">
        <f>_xlfn.IFNA(VLOOKUP(D500,ProductListTbl[],9,0),"")</f>
        <v/>
      </c>
      <c r="W500" s="305" t="str">
        <f>IFERROR(Table3[[#This Row],[Storage space per secondary packaging (cm3)]]*Table3[[#This Row],[Quantity  (vials or syringes)]]/1000,"")</f>
        <v/>
      </c>
      <c r="X500" s="305" t="str">
        <f>IFERROR(Table3[[#This Row],[Storage space per tertiary packaging (cm3)]]*Table3[[#This Row],[Quantity (doses)]]/1000,"")</f>
        <v/>
      </c>
      <c r="Y500" s="293" t="str">
        <f>IF(Table3[[#This Row],[Status]]="Ordered",(DATE(YEAR(P500),MONTH(P500),1)),IF(Table3[[#This Row],[Status]]="Received",(DATE(YEAR(Q500),MONTH(Q500),1)),""))</f>
        <v/>
      </c>
      <c r="Z500" s="304" t="str">
        <f t="shared" si="28"/>
        <v/>
      </c>
      <c r="AA500" s="48" t="str">
        <f t="shared" si="29"/>
        <v/>
      </c>
      <c r="AB500" s="48" t="str">
        <f t="shared" si="30"/>
        <v/>
      </c>
      <c r="AC500" s="292" t="str">
        <f t="shared" si="31"/>
        <v/>
      </c>
      <c r="AD500" s="48" t="str">
        <f>IF(Table3[[#This Row],[Actual Arrival date]]&gt;0,IF(Table3[[#This Row],[Expected arrival date]]&gt;0,Table3[[#This Row],[Actual Arrival date]]-Table3[[#This Row],[Expected arrival date]],""),"")</f>
        <v/>
      </c>
    </row>
    <row r="501" spans="1:30" x14ac:dyDescent="0.25">
      <c r="A501" s="303" t="str">
        <f>Start!$D$7</f>
        <v>Anyland</v>
      </c>
      <c r="B501" s="48" t="str">
        <f>_xlfn.IFNA(VLOOKUP(A501,list!B:C,2,FALSE),"")</f>
        <v>ANY</v>
      </c>
      <c r="C501" s="48"/>
      <c r="D501" s="127"/>
      <c r="E501" s="48" t="str">
        <f>_xlfn.IFNA(VLOOKUP(Table3[[#This Row],[Product]], ProductListTbl[], 3, 0), "")</f>
        <v/>
      </c>
      <c r="F501" s="303" t="str">
        <f>_xlfn.IFNA(VLOOKUP(D501,ProductListTbl[],5,0),"")</f>
        <v/>
      </c>
      <c r="G501" s="303" t="str">
        <f>_xlfn.IFNA(VLOOKUP(D501,ProductListTbl[],6,0),"")</f>
        <v/>
      </c>
      <c r="H501" s="130" t="str">
        <f>_xlfn.IFNA(VLOOKUP(D501,ProductListTbl[],7,0),"")</f>
        <v/>
      </c>
      <c r="I501" s="130" t="str">
        <f>_xlfn.IFNA(VLOOKUP(D501,ProductListTbl[],8,0),"")</f>
        <v/>
      </c>
      <c r="J501" s="127"/>
      <c r="K501" s="129"/>
      <c r="L501" s="128"/>
      <c r="M501" s="305" t="str">
        <f>IFERROR(Table3[[#This Row],[Quantity (doses)]]/Table3[[#This Row],[Doses per vial or syringe]],"")</f>
        <v/>
      </c>
      <c r="N501" s="127"/>
      <c r="O501" s="127"/>
      <c r="P501" s="381"/>
      <c r="Q501" s="129"/>
      <c r="R501" s="127"/>
      <c r="S501" s="127"/>
      <c r="T501" s="127"/>
      <c r="U501" s="127"/>
      <c r="V501" s="305" t="str">
        <f>_xlfn.IFNA(VLOOKUP(D501,ProductListTbl[],9,0),"")</f>
        <v/>
      </c>
      <c r="W501" s="305" t="str">
        <f>IFERROR(Table3[[#This Row],[Storage space per secondary packaging (cm3)]]*Table3[[#This Row],[Quantity  (vials or syringes)]]/1000,"")</f>
        <v/>
      </c>
      <c r="X501" s="305" t="str">
        <f>IFERROR(Table3[[#This Row],[Storage space per tertiary packaging (cm3)]]*Table3[[#This Row],[Quantity (doses)]]/1000,"")</f>
        <v/>
      </c>
      <c r="Y501" s="293" t="str">
        <f>IF(Table3[[#This Row],[Status]]="Ordered",(DATE(YEAR(P501),MONTH(P501),1)),IF(Table3[[#This Row],[Status]]="Received",(DATE(YEAR(Q501),MONTH(Q501),1)),""))</f>
        <v/>
      </c>
      <c r="Z501" s="304" t="str">
        <f t="shared" si="28"/>
        <v/>
      </c>
      <c r="AA501" s="48" t="str">
        <f t="shared" si="29"/>
        <v/>
      </c>
      <c r="AB501" s="48" t="str">
        <f t="shared" si="30"/>
        <v/>
      </c>
      <c r="AC501" s="292" t="str">
        <f t="shared" si="31"/>
        <v/>
      </c>
      <c r="AD501" s="48" t="str">
        <f>IF(Table3[[#This Row],[Actual Arrival date]]&gt;0,IF(Table3[[#This Row],[Expected arrival date]]&gt;0,Table3[[#This Row],[Actual Arrival date]]-Table3[[#This Row],[Expected arrival date]],""),"")</f>
        <v/>
      </c>
    </row>
    <row r="502" spans="1:30" x14ac:dyDescent="0.25">
      <c r="A502" s="303" t="str">
        <f>Start!$D$7</f>
        <v>Anyland</v>
      </c>
      <c r="B502" s="48" t="str">
        <f>_xlfn.IFNA(VLOOKUP(A502,list!B:C,2,FALSE),"")</f>
        <v>ANY</v>
      </c>
      <c r="C502" s="48"/>
      <c r="D502" s="127"/>
      <c r="E502" s="48" t="str">
        <f>_xlfn.IFNA(VLOOKUP(Table3[[#This Row],[Product]], ProductListTbl[], 3, 0), "")</f>
        <v/>
      </c>
      <c r="F502" s="303" t="str">
        <f>_xlfn.IFNA(VLOOKUP(D502,ProductListTbl[],5,0),"")</f>
        <v/>
      </c>
      <c r="G502" s="303" t="str">
        <f>_xlfn.IFNA(VLOOKUP(D502,ProductListTbl[],6,0),"")</f>
        <v/>
      </c>
      <c r="H502" s="130" t="str">
        <f>_xlfn.IFNA(VLOOKUP(D502,ProductListTbl[],7,0),"")</f>
        <v/>
      </c>
      <c r="I502" s="130" t="str">
        <f>_xlfn.IFNA(VLOOKUP(D502,ProductListTbl[],8,0),"")</f>
        <v/>
      </c>
      <c r="J502" s="127"/>
      <c r="K502" s="129"/>
      <c r="L502" s="128"/>
      <c r="M502" s="305" t="str">
        <f>IFERROR(Table3[[#This Row],[Quantity (doses)]]/Table3[[#This Row],[Doses per vial or syringe]],"")</f>
        <v/>
      </c>
      <c r="N502" s="127"/>
      <c r="O502" s="127"/>
      <c r="P502" s="381"/>
      <c r="Q502" s="129"/>
      <c r="R502" s="127"/>
      <c r="S502" s="127"/>
      <c r="T502" s="127"/>
      <c r="U502" s="127"/>
      <c r="V502" s="305" t="str">
        <f>_xlfn.IFNA(VLOOKUP(D502,ProductListTbl[],9,0),"")</f>
        <v/>
      </c>
      <c r="W502" s="305" t="str">
        <f>IFERROR(Table3[[#This Row],[Storage space per secondary packaging (cm3)]]*Table3[[#This Row],[Quantity  (vials or syringes)]]/1000,"")</f>
        <v/>
      </c>
      <c r="X502" s="305" t="str">
        <f>IFERROR(Table3[[#This Row],[Storage space per tertiary packaging (cm3)]]*Table3[[#This Row],[Quantity (doses)]]/1000,"")</f>
        <v/>
      </c>
      <c r="Y502" s="293" t="str">
        <f>IF(Table3[[#This Row],[Status]]="Ordered",(DATE(YEAR(P502),MONTH(P502),1)),IF(Table3[[#This Row],[Status]]="Received",(DATE(YEAR(Q502),MONTH(Q502),1)),""))</f>
        <v/>
      </c>
      <c r="Z502" s="304" t="str">
        <f t="shared" si="28"/>
        <v/>
      </c>
      <c r="AA502" s="48" t="str">
        <f t="shared" si="29"/>
        <v/>
      </c>
      <c r="AB502" s="48" t="str">
        <f t="shared" si="30"/>
        <v/>
      </c>
      <c r="AC502" s="292" t="str">
        <f t="shared" si="31"/>
        <v/>
      </c>
      <c r="AD502" s="48" t="str">
        <f>IF(Table3[[#This Row],[Actual Arrival date]]&gt;0,IF(Table3[[#This Row],[Expected arrival date]]&gt;0,Table3[[#This Row],[Actual Arrival date]]-Table3[[#This Row],[Expected arrival date]],""),"")</f>
        <v/>
      </c>
    </row>
    <row r="503" spans="1:30" x14ac:dyDescent="0.25">
      <c r="A503" s="303" t="str">
        <f>Start!$D$7</f>
        <v>Anyland</v>
      </c>
      <c r="B503" s="48" t="str">
        <f>_xlfn.IFNA(VLOOKUP(A503,list!B:C,2,FALSE),"")</f>
        <v>ANY</v>
      </c>
      <c r="C503" s="48"/>
      <c r="D503" s="127"/>
      <c r="E503" s="48" t="str">
        <f>_xlfn.IFNA(VLOOKUP(Table3[[#This Row],[Product]], ProductListTbl[], 3, 0), "")</f>
        <v/>
      </c>
      <c r="F503" s="303" t="str">
        <f>_xlfn.IFNA(VLOOKUP(D503,ProductListTbl[],5,0),"")</f>
        <v/>
      </c>
      <c r="G503" s="303" t="str">
        <f>_xlfn.IFNA(VLOOKUP(D503,ProductListTbl[],6,0),"")</f>
        <v/>
      </c>
      <c r="H503" s="130" t="str">
        <f>_xlfn.IFNA(VLOOKUP(D503,ProductListTbl[],7,0),"")</f>
        <v/>
      </c>
      <c r="I503" s="130" t="str">
        <f>_xlfn.IFNA(VLOOKUP(D503,ProductListTbl[],8,0),"")</f>
        <v/>
      </c>
      <c r="J503" s="127"/>
      <c r="K503" s="129"/>
      <c r="L503" s="128"/>
      <c r="M503" s="305" t="str">
        <f>IFERROR(Table3[[#This Row],[Quantity (doses)]]/Table3[[#This Row],[Doses per vial or syringe]],"")</f>
        <v/>
      </c>
      <c r="N503" s="127"/>
      <c r="O503" s="127"/>
      <c r="P503" s="381"/>
      <c r="Q503" s="129"/>
      <c r="R503" s="127"/>
      <c r="S503" s="127"/>
      <c r="T503" s="127"/>
      <c r="U503" s="127"/>
      <c r="V503" s="305" t="str">
        <f>_xlfn.IFNA(VLOOKUP(D503,ProductListTbl[],9,0),"")</f>
        <v/>
      </c>
      <c r="W503" s="305" t="str">
        <f>IFERROR(Table3[[#This Row],[Storage space per secondary packaging (cm3)]]*Table3[[#This Row],[Quantity  (vials or syringes)]]/1000,"")</f>
        <v/>
      </c>
      <c r="X503" s="305" t="str">
        <f>IFERROR(Table3[[#This Row],[Storage space per tertiary packaging (cm3)]]*Table3[[#This Row],[Quantity (doses)]]/1000,"")</f>
        <v/>
      </c>
      <c r="Y503" s="293" t="str">
        <f>IF(Table3[[#This Row],[Status]]="Ordered",(DATE(YEAR(P503),MONTH(P503),1)),IF(Table3[[#This Row],[Status]]="Received",(DATE(YEAR(Q503),MONTH(Q503),1)),""))</f>
        <v/>
      </c>
      <c r="Z503" s="304" t="str">
        <f t="shared" si="28"/>
        <v/>
      </c>
      <c r="AA503" s="48" t="str">
        <f t="shared" si="29"/>
        <v/>
      </c>
      <c r="AB503" s="48" t="str">
        <f t="shared" si="30"/>
        <v/>
      </c>
      <c r="AC503" s="292" t="str">
        <f t="shared" si="31"/>
        <v/>
      </c>
      <c r="AD503" s="48" t="str">
        <f>IF(Table3[[#This Row],[Actual Arrival date]]&gt;0,IF(Table3[[#This Row],[Expected arrival date]]&gt;0,Table3[[#This Row],[Actual Arrival date]]-Table3[[#This Row],[Expected arrival date]],""),"")</f>
        <v/>
      </c>
    </row>
    <row r="504" spans="1:30" x14ac:dyDescent="0.25">
      <c r="A504" s="303" t="str">
        <f>Start!$D$7</f>
        <v>Anyland</v>
      </c>
      <c r="B504" s="48" t="str">
        <f>_xlfn.IFNA(VLOOKUP(A504,list!B:C,2,FALSE),"")</f>
        <v>ANY</v>
      </c>
      <c r="C504" s="48"/>
      <c r="D504" s="127"/>
      <c r="E504" s="48" t="str">
        <f>_xlfn.IFNA(VLOOKUP(Table3[[#This Row],[Product]], ProductListTbl[], 3, 0), "")</f>
        <v/>
      </c>
      <c r="F504" s="303" t="str">
        <f>_xlfn.IFNA(VLOOKUP(D504,ProductListTbl[],5,0),"")</f>
        <v/>
      </c>
      <c r="G504" s="303" t="str">
        <f>_xlfn.IFNA(VLOOKUP(D504,ProductListTbl[],6,0),"")</f>
        <v/>
      </c>
      <c r="H504" s="130" t="str">
        <f>_xlfn.IFNA(VLOOKUP(D504,ProductListTbl[],7,0),"")</f>
        <v/>
      </c>
      <c r="I504" s="130" t="str">
        <f>_xlfn.IFNA(VLOOKUP(D504,ProductListTbl[],8,0),"")</f>
        <v/>
      </c>
      <c r="J504" s="127"/>
      <c r="K504" s="129"/>
      <c r="L504" s="128"/>
      <c r="M504" s="305" t="str">
        <f>IFERROR(Table3[[#This Row],[Quantity (doses)]]/Table3[[#This Row],[Doses per vial or syringe]],"")</f>
        <v/>
      </c>
      <c r="N504" s="127"/>
      <c r="O504" s="127"/>
      <c r="P504" s="381"/>
      <c r="Q504" s="129"/>
      <c r="R504" s="127"/>
      <c r="S504" s="127"/>
      <c r="T504" s="127"/>
      <c r="U504" s="127"/>
      <c r="V504" s="305" t="str">
        <f>_xlfn.IFNA(VLOOKUP(D504,ProductListTbl[],9,0),"")</f>
        <v/>
      </c>
      <c r="W504" s="305" t="str">
        <f>IFERROR(Table3[[#This Row],[Storage space per secondary packaging (cm3)]]*Table3[[#This Row],[Quantity  (vials or syringes)]]/1000,"")</f>
        <v/>
      </c>
      <c r="X504" s="305" t="str">
        <f>IFERROR(Table3[[#This Row],[Storage space per tertiary packaging (cm3)]]*Table3[[#This Row],[Quantity (doses)]]/1000,"")</f>
        <v/>
      </c>
      <c r="Y504" s="293" t="str">
        <f>IF(Table3[[#This Row],[Status]]="Ordered",(DATE(YEAR(P504),MONTH(P504),1)),IF(Table3[[#This Row],[Status]]="Received",(DATE(YEAR(Q504),MONTH(Q504),1)),""))</f>
        <v/>
      </c>
      <c r="Z504" s="304" t="str">
        <f t="shared" si="28"/>
        <v/>
      </c>
      <c r="AA504" s="48" t="str">
        <f t="shared" si="29"/>
        <v/>
      </c>
      <c r="AB504" s="48" t="str">
        <f t="shared" si="30"/>
        <v/>
      </c>
      <c r="AC504" s="292" t="str">
        <f t="shared" si="31"/>
        <v/>
      </c>
      <c r="AD504" s="48" t="str">
        <f>IF(Table3[[#This Row],[Actual Arrival date]]&gt;0,IF(Table3[[#This Row],[Expected arrival date]]&gt;0,Table3[[#This Row],[Actual Arrival date]]-Table3[[#This Row],[Expected arrival date]],""),"")</f>
        <v/>
      </c>
    </row>
    <row r="505" spans="1:30" x14ac:dyDescent="0.25">
      <c r="A505" s="303" t="str">
        <f>Start!$D$7</f>
        <v>Anyland</v>
      </c>
      <c r="B505" s="48" t="str">
        <f>_xlfn.IFNA(VLOOKUP(A505,list!B:C,2,FALSE),"")</f>
        <v>ANY</v>
      </c>
      <c r="C505" s="48"/>
      <c r="D505" s="127"/>
      <c r="E505" s="48" t="str">
        <f>_xlfn.IFNA(VLOOKUP(Table3[[#This Row],[Product]], ProductListTbl[], 3, 0), "")</f>
        <v/>
      </c>
      <c r="F505" s="303" t="str">
        <f>_xlfn.IFNA(VLOOKUP(D505,ProductListTbl[],5,0),"")</f>
        <v/>
      </c>
      <c r="G505" s="303" t="str">
        <f>_xlfn.IFNA(VLOOKUP(D505,ProductListTbl[],6,0),"")</f>
        <v/>
      </c>
      <c r="H505" s="130" t="str">
        <f>_xlfn.IFNA(VLOOKUP(D505,ProductListTbl[],7,0),"")</f>
        <v/>
      </c>
      <c r="I505" s="130" t="str">
        <f>_xlfn.IFNA(VLOOKUP(D505,ProductListTbl[],8,0),"")</f>
        <v/>
      </c>
      <c r="J505" s="127"/>
      <c r="K505" s="129"/>
      <c r="L505" s="128"/>
      <c r="M505" s="305" t="str">
        <f>IFERROR(Table3[[#This Row],[Quantity (doses)]]/Table3[[#This Row],[Doses per vial or syringe]],"")</f>
        <v/>
      </c>
      <c r="N505" s="127"/>
      <c r="O505" s="127"/>
      <c r="P505" s="381"/>
      <c r="Q505" s="129"/>
      <c r="R505" s="127"/>
      <c r="S505" s="127"/>
      <c r="T505" s="127"/>
      <c r="U505" s="127"/>
      <c r="V505" s="305" t="str">
        <f>_xlfn.IFNA(VLOOKUP(D505,ProductListTbl[],9,0),"")</f>
        <v/>
      </c>
      <c r="W505" s="305" t="str">
        <f>IFERROR(Table3[[#This Row],[Storage space per secondary packaging (cm3)]]*Table3[[#This Row],[Quantity  (vials or syringes)]]/1000,"")</f>
        <v/>
      </c>
      <c r="X505" s="305" t="str">
        <f>IFERROR(Table3[[#This Row],[Storage space per tertiary packaging (cm3)]]*Table3[[#This Row],[Quantity (doses)]]/1000,"")</f>
        <v/>
      </c>
      <c r="Y505" s="293" t="str">
        <f>IF(Table3[[#This Row],[Status]]="Ordered",(DATE(YEAR(P505),MONTH(P505),1)),IF(Table3[[#This Row],[Status]]="Received",(DATE(YEAR(Q505),MONTH(Q505),1)),""))</f>
        <v/>
      </c>
      <c r="Z505" s="304" t="str">
        <f t="shared" si="28"/>
        <v/>
      </c>
      <c r="AA505" s="48" t="str">
        <f t="shared" si="29"/>
        <v/>
      </c>
      <c r="AB505" s="48" t="str">
        <f t="shared" si="30"/>
        <v/>
      </c>
      <c r="AC505" s="292" t="str">
        <f t="shared" si="31"/>
        <v/>
      </c>
      <c r="AD505" s="48" t="str">
        <f>IF(Table3[[#This Row],[Actual Arrival date]]&gt;0,IF(Table3[[#This Row],[Expected arrival date]]&gt;0,Table3[[#This Row],[Actual Arrival date]]-Table3[[#This Row],[Expected arrival date]],""),"")</f>
        <v/>
      </c>
    </row>
    <row r="506" spans="1:30" x14ac:dyDescent="0.25">
      <c r="A506" s="303" t="str">
        <f>Start!$D$7</f>
        <v>Anyland</v>
      </c>
      <c r="B506" s="48" t="str">
        <f>_xlfn.IFNA(VLOOKUP(A506,list!B:C,2,FALSE),"")</f>
        <v>ANY</v>
      </c>
      <c r="C506" s="48"/>
      <c r="D506" s="127"/>
      <c r="E506" s="48" t="str">
        <f>_xlfn.IFNA(VLOOKUP(Table3[[#This Row],[Product]], ProductListTbl[], 3, 0), "")</f>
        <v/>
      </c>
      <c r="F506" s="303" t="str">
        <f>_xlfn.IFNA(VLOOKUP(D506,ProductListTbl[],5,0),"")</f>
        <v/>
      </c>
      <c r="G506" s="303" t="str">
        <f>_xlfn.IFNA(VLOOKUP(D506,ProductListTbl[],6,0),"")</f>
        <v/>
      </c>
      <c r="H506" s="130" t="str">
        <f>_xlfn.IFNA(VLOOKUP(D506,ProductListTbl[],7,0),"")</f>
        <v/>
      </c>
      <c r="I506" s="130" t="str">
        <f>_xlfn.IFNA(VLOOKUP(D506,ProductListTbl[],8,0),"")</f>
        <v/>
      </c>
      <c r="J506" s="127"/>
      <c r="K506" s="129"/>
      <c r="L506" s="128"/>
      <c r="M506" s="305" t="str">
        <f>IFERROR(Table3[[#This Row],[Quantity (doses)]]/Table3[[#This Row],[Doses per vial or syringe]],"")</f>
        <v/>
      </c>
      <c r="N506" s="127"/>
      <c r="O506" s="127"/>
      <c r="P506" s="381"/>
      <c r="Q506" s="129"/>
      <c r="R506" s="127"/>
      <c r="S506" s="127"/>
      <c r="T506" s="127"/>
      <c r="U506" s="127"/>
      <c r="V506" s="305" t="str">
        <f>_xlfn.IFNA(VLOOKUP(D506,ProductListTbl[],9,0),"")</f>
        <v/>
      </c>
      <c r="W506" s="305" t="str">
        <f>IFERROR(Table3[[#This Row],[Storage space per secondary packaging (cm3)]]*Table3[[#This Row],[Quantity  (vials or syringes)]]/1000,"")</f>
        <v/>
      </c>
      <c r="X506" s="305" t="str">
        <f>IFERROR(Table3[[#This Row],[Storage space per tertiary packaging (cm3)]]*Table3[[#This Row],[Quantity (doses)]]/1000,"")</f>
        <v/>
      </c>
      <c r="Y506" s="293" t="str">
        <f>IF(Table3[[#This Row],[Status]]="Ordered",(DATE(YEAR(P506),MONTH(P506),1)),IF(Table3[[#This Row],[Status]]="Received",(DATE(YEAR(Q506),MONTH(Q506),1)),""))</f>
        <v/>
      </c>
      <c r="Z506" s="304" t="str">
        <f t="shared" si="28"/>
        <v/>
      </c>
      <c r="AA506" s="48" t="str">
        <f t="shared" si="29"/>
        <v/>
      </c>
      <c r="AB506" s="48" t="str">
        <f t="shared" si="30"/>
        <v/>
      </c>
      <c r="AC506" s="292" t="str">
        <f t="shared" si="31"/>
        <v/>
      </c>
      <c r="AD506" s="48" t="str">
        <f>IF(Table3[[#This Row],[Actual Arrival date]]&gt;0,IF(Table3[[#This Row],[Expected arrival date]]&gt;0,Table3[[#This Row],[Actual Arrival date]]-Table3[[#This Row],[Expected arrival date]],""),"")</f>
        <v/>
      </c>
    </row>
    <row r="507" spans="1:30" x14ac:dyDescent="0.25">
      <c r="A507" s="303" t="str">
        <f>Start!$D$7</f>
        <v>Anyland</v>
      </c>
      <c r="B507" s="48" t="str">
        <f>_xlfn.IFNA(VLOOKUP(A507,list!B:C,2,FALSE),"")</f>
        <v>ANY</v>
      </c>
      <c r="C507" s="48"/>
      <c r="D507" s="127"/>
      <c r="E507" s="48" t="str">
        <f>_xlfn.IFNA(VLOOKUP(Table3[[#This Row],[Product]], ProductListTbl[], 3, 0), "")</f>
        <v/>
      </c>
      <c r="F507" s="303" t="str">
        <f>_xlfn.IFNA(VLOOKUP(D507,ProductListTbl[],5,0),"")</f>
        <v/>
      </c>
      <c r="G507" s="303" t="str">
        <f>_xlfn.IFNA(VLOOKUP(D507,ProductListTbl[],6,0),"")</f>
        <v/>
      </c>
      <c r="H507" s="130" t="str">
        <f>_xlfn.IFNA(VLOOKUP(D507,ProductListTbl[],7,0),"")</f>
        <v/>
      </c>
      <c r="I507" s="130" t="str">
        <f>_xlfn.IFNA(VLOOKUP(D507,ProductListTbl[],8,0),"")</f>
        <v/>
      </c>
      <c r="J507" s="127"/>
      <c r="K507" s="129"/>
      <c r="L507" s="128"/>
      <c r="M507" s="305" t="str">
        <f>IFERROR(Table3[[#This Row],[Quantity (doses)]]/Table3[[#This Row],[Doses per vial or syringe]],"")</f>
        <v/>
      </c>
      <c r="N507" s="127"/>
      <c r="O507" s="127"/>
      <c r="P507" s="381"/>
      <c r="Q507" s="129"/>
      <c r="R507" s="127"/>
      <c r="S507" s="127"/>
      <c r="T507" s="127"/>
      <c r="U507" s="127"/>
      <c r="V507" s="305" t="str">
        <f>_xlfn.IFNA(VLOOKUP(D507,ProductListTbl[],9,0),"")</f>
        <v/>
      </c>
      <c r="W507" s="305" t="str">
        <f>IFERROR(Table3[[#This Row],[Storage space per secondary packaging (cm3)]]*Table3[[#This Row],[Quantity  (vials or syringes)]]/1000,"")</f>
        <v/>
      </c>
      <c r="X507" s="305" t="str">
        <f>IFERROR(Table3[[#This Row],[Storage space per tertiary packaging (cm3)]]*Table3[[#This Row],[Quantity (doses)]]/1000,"")</f>
        <v/>
      </c>
      <c r="Y507" s="293" t="str">
        <f>IF(Table3[[#This Row],[Status]]="Ordered",(DATE(YEAR(P507),MONTH(P507),1)),IF(Table3[[#This Row],[Status]]="Received",(DATE(YEAR(Q507),MONTH(Q507),1)),""))</f>
        <v/>
      </c>
      <c r="Z507" s="304" t="str">
        <f t="shared" si="28"/>
        <v/>
      </c>
      <c r="AA507" s="48" t="str">
        <f t="shared" si="29"/>
        <v/>
      </c>
      <c r="AB507" s="48" t="str">
        <f t="shared" si="30"/>
        <v/>
      </c>
      <c r="AC507" s="292" t="str">
        <f t="shared" si="31"/>
        <v/>
      </c>
      <c r="AD507" s="48" t="str">
        <f>IF(Table3[[#This Row],[Actual Arrival date]]&gt;0,IF(Table3[[#This Row],[Expected arrival date]]&gt;0,Table3[[#This Row],[Actual Arrival date]]-Table3[[#This Row],[Expected arrival date]],""),"")</f>
        <v/>
      </c>
    </row>
    <row r="508" spans="1:30" x14ac:dyDescent="0.25">
      <c r="A508" s="303" t="str">
        <f>Start!$D$7</f>
        <v>Anyland</v>
      </c>
      <c r="B508" s="48" t="str">
        <f>_xlfn.IFNA(VLOOKUP(A508,list!B:C,2,FALSE),"")</f>
        <v>ANY</v>
      </c>
      <c r="C508" s="48"/>
      <c r="D508" s="127"/>
      <c r="E508" s="48" t="str">
        <f>_xlfn.IFNA(VLOOKUP(Table3[[#This Row],[Product]], ProductListTbl[], 3, 0), "")</f>
        <v/>
      </c>
      <c r="F508" s="303" t="str">
        <f>_xlfn.IFNA(VLOOKUP(D508,ProductListTbl[],5,0),"")</f>
        <v/>
      </c>
      <c r="G508" s="303" t="str">
        <f>_xlfn.IFNA(VLOOKUP(D508,ProductListTbl[],6,0),"")</f>
        <v/>
      </c>
      <c r="H508" s="130" t="str">
        <f>_xlfn.IFNA(VLOOKUP(D508,ProductListTbl[],7,0),"")</f>
        <v/>
      </c>
      <c r="I508" s="130" t="str">
        <f>_xlfn.IFNA(VLOOKUP(D508,ProductListTbl[],8,0),"")</f>
        <v/>
      </c>
      <c r="J508" s="127"/>
      <c r="K508" s="129"/>
      <c r="L508" s="128"/>
      <c r="M508" s="305" t="str">
        <f>IFERROR(Table3[[#This Row],[Quantity (doses)]]/Table3[[#This Row],[Doses per vial or syringe]],"")</f>
        <v/>
      </c>
      <c r="N508" s="127"/>
      <c r="O508" s="127"/>
      <c r="P508" s="381"/>
      <c r="Q508" s="129"/>
      <c r="R508" s="127"/>
      <c r="S508" s="127"/>
      <c r="T508" s="127"/>
      <c r="U508" s="127"/>
      <c r="V508" s="305" t="str">
        <f>_xlfn.IFNA(VLOOKUP(D508,ProductListTbl[],9,0),"")</f>
        <v/>
      </c>
      <c r="W508" s="305" t="str">
        <f>IFERROR(Table3[[#This Row],[Storage space per secondary packaging (cm3)]]*Table3[[#This Row],[Quantity  (vials or syringes)]]/1000,"")</f>
        <v/>
      </c>
      <c r="X508" s="305" t="str">
        <f>IFERROR(Table3[[#This Row],[Storage space per tertiary packaging (cm3)]]*Table3[[#This Row],[Quantity (doses)]]/1000,"")</f>
        <v/>
      </c>
      <c r="Y508" s="293" t="str">
        <f>IF(Table3[[#This Row],[Status]]="Ordered",(DATE(YEAR(P508),MONTH(P508),1)),IF(Table3[[#This Row],[Status]]="Received",(DATE(YEAR(Q508),MONTH(Q508),1)),""))</f>
        <v/>
      </c>
      <c r="Z508" s="304" t="str">
        <f t="shared" si="28"/>
        <v/>
      </c>
      <c r="AA508" s="48" t="str">
        <f t="shared" si="29"/>
        <v/>
      </c>
      <c r="AB508" s="48" t="str">
        <f t="shared" si="30"/>
        <v/>
      </c>
      <c r="AC508" s="292" t="str">
        <f t="shared" si="31"/>
        <v/>
      </c>
      <c r="AD508" s="48" t="str">
        <f>IF(Table3[[#This Row],[Actual Arrival date]]&gt;0,IF(Table3[[#This Row],[Expected arrival date]]&gt;0,Table3[[#This Row],[Actual Arrival date]]-Table3[[#This Row],[Expected arrival date]],""),"")</f>
        <v/>
      </c>
    </row>
    <row r="509" spans="1:30" x14ac:dyDescent="0.25">
      <c r="A509" s="303" t="str">
        <f>Start!$D$7</f>
        <v>Anyland</v>
      </c>
      <c r="B509" s="48" t="str">
        <f>_xlfn.IFNA(VLOOKUP(A509,list!B:C,2,FALSE),"")</f>
        <v>ANY</v>
      </c>
      <c r="C509" s="48"/>
      <c r="D509" s="127"/>
      <c r="E509" s="48" t="str">
        <f>_xlfn.IFNA(VLOOKUP(Table3[[#This Row],[Product]], ProductListTbl[], 3, 0), "")</f>
        <v/>
      </c>
      <c r="F509" s="303" t="str">
        <f>_xlfn.IFNA(VLOOKUP(D509,ProductListTbl[],5,0),"")</f>
        <v/>
      </c>
      <c r="G509" s="303" t="str">
        <f>_xlfn.IFNA(VLOOKUP(D509,ProductListTbl[],6,0),"")</f>
        <v/>
      </c>
      <c r="H509" s="130" t="str">
        <f>_xlfn.IFNA(VLOOKUP(D509,ProductListTbl[],7,0),"")</f>
        <v/>
      </c>
      <c r="I509" s="130" t="str">
        <f>_xlfn.IFNA(VLOOKUP(D509,ProductListTbl[],8,0),"")</f>
        <v/>
      </c>
      <c r="J509" s="127"/>
      <c r="K509" s="129"/>
      <c r="L509" s="128"/>
      <c r="M509" s="305" t="str">
        <f>IFERROR(Table3[[#This Row],[Quantity (doses)]]/Table3[[#This Row],[Doses per vial or syringe]],"")</f>
        <v/>
      </c>
      <c r="N509" s="127"/>
      <c r="O509" s="127"/>
      <c r="P509" s="381"/>
      <c r="Q509" s="129"/>
      <c r="R509" s="127"/>
      <c r="S509" s="127"/>
      <c r="T509" s="127"/>
      <c r="U509" s="127"/>
      <c r="V509" s="305" t="str">
        <f>_xlfn.IFNA(VLOOKUP(D509,ProductListTbl[],9,0),"")</f>
        <v/>
      </c>
      <c r="W509" s="305" t="str">
        <f>IFERROR(Table3[[#This Row],[Storage space per secondary packaging (cm3)]]*Table3[[#This Row],[Quantity  (vials or syringes)]]/1000,"")</f>
        <v/>
      </c>
      <c r="X509" s="305" t="str">
        <f>IFERROR(Table3[[#This Row],[Storage space per tertiary packaging (cm3)]]*Table3[[#This Row],[Quantity (doses)]]/1000,"")</f>
        <v/>
      </c>
      <c r="Y509" s="293" t="str">
        <f>IF(Table3[[#This Row],[Status]]="Ordered",(DATE(YEAR(P509),MONTH(P509),1)),IF(Table3[[#This Row],[Status]]="Received",(DATE(YEAR(Q509),MONTH(Q509),1)),""))</f>
        <v/>
      </c>
      <c r="Z509" s="304" t="str">
        <f t="shared" si="28"/>
        <v/>
      </c>
      <c r="AA509" s="48" t="str">
        <f t="shared" si="29"/>
        <v/>
      </c>
      <c r="AB509" s="48" t="str">
        <f t="shared" si="30"/>
        <v/>
      </c>
      <c r="AC509" s="292" t="str">
        <f t="shared" si="31"/>
        <v/>
      </c>
      <c r="AD509" s="48" t="str">
        <f>IF(Table3[[#This Row],[Actual Arrival date]]&gt;0,IF(Table3[[#This Row],[Expected arrival date]]&gt;0,Table3[[#This Row],[Actual Arrival date]]-Table3[[#This Row],[Expected arrival date]],""),"")</f>
        <v/>
      </c>
    </row>
    <row r="510" spans="1:30" x14ac:dyDescent="0.25">
      <c r="A510" s="303" t="str">
        <f>Start!$D$7</f>
        <v>Anyland</v>
      </c>
      <c r="B510" s="48" t="str">
        <f>_xlfn.IFNA(VLOOKUP(A510,list!B:C,2,FALSE),"")</f>
        <v>ANY</v>
      </c>
      <c r="C510" s="48"/>
      <c r="D510" s="127"/>
      <c r="E510" s="48" t="str">
        <f>_xlfn.IFNA(VLOOKUP(Table3[[#This Row],[Product]], ProductListTbl[], 3, 0), "")</f>
        <v/>
      </c>
      <c r="F510" s="303" t="str">
        <f>_xlfn.IFNA(VLOOKUP(D510,ProductListTbl[],5,0),"")</f>
        <v/>
      </c>
      <c r="G510" s="303" t="str">
        <f>_xlfn.IFNA(VLOOKUP(D510,ProductListTbl[],6,0),"")</f>
        <v/>
      </c>
      <c r="H510" s="130" t="str">
        <f>_xlfn.IFNA(VLOOKUP(D510,ProductListTbl[],7,0),"")</f>
        <v/>
      </c>
      <c r="I510" s="130" t="str">
        <f>_xlfn.IFNA(VLOOKUP(D510,ProductListTbl[],8,0),"")</f>
        <v/>
      </c>
      <c r="J510" s="127"/>
      <c r="K510" s="129"/>
      <c r="L510" s="128"/>
      <c r="M510" s="305" t="str">
        <f>IFERROR(Table3[[#This Row],[Quantity (doses)]]/Table3[[#This Row],[Doses per vial or syringe]],"")</f>
        <v/>
      </c>
      <c r="N510" s="127"/>
      <c r="O510" s="127"/>
      <c r="P510" s="381"/>
      <c r="Q510" s="129"/>
      <c r="R510" s="127"/>
      <c r="S510" s="127"/>
      <c r="T510" s="127"/>
      <c r="U510" s="127"/>
      <c r="V510" s="305" t="str">
        <f>_xlfn.IFNA(VLOOKUP(D510,ProductListTbl[],9,0),"")</f>
        <v/>
      </c>
      <c r="W510" s="305" t="str">
        <f>IFERROR(Table3[[#This Row],[Storage space per secondary packaging (cm3)]]*Table3[[#This Row],[Quantity  (vials or syringes)]]/1000,"")</f>
        <v/>
      </c>
      <c r="X510" s="305" t="str">
        <f>IFERROR(Table3[[#This Row],[Storage space per tertiary packaging (cm3)]]*Table3[[#This Row],[Quantity (doses)]]/1000,"")</f>
        <v/>
      </c>
      <c r="Y510" s="293" t="str">
        <f>IF(Table3[[#This Row],[Status]]="Ordered",(DATE(YEAR(P510),MONTH(P510),1)),IF(Table3[[#This Row],[Status]]="Received",(DATE(YEAR(Q510),MONTH(Q510),1)),""))</f>
        <v/>
      </c>
      <c r="Z510" s="304" t="str">
        <f t="shared" si="28"/>
        <v/>
      </c>
      <c r="AA510" s="48" t="str">
        <f t="shared" si="29"/>
        <v/>
      </c>
      <c r="AB510" s="48" t="str">
        <f t="shared" si="30"/>
        <v/>
      </c>
      <c r="AC510" s="292" t="str">
        <f t="shared" si="31"/>
        <v/>
      </c>
      <c r="AD510" s="48" t="str">
        <f>IF(Table3[[#This Row],[Actual Arrival date]]&gt;0,IF(Table3[[#This Row],[Expected arrival date]]&gt;0,Table3[[#This Row],[Actual Arrival date]]-Table3[[#This Row],[Expected arrival date]],""),"")</f>
        <v/>
      </c>
    </row>
    <row r="511" spans="1:30" x14ac:dyDescent="0.25">
      <c r="A511" s="303" t="str">
        <f>Start!$D$7</f>
        <v>Anyland</v>
      </c>
      <c r="B511" s="48" t="str">
        <f>_xlfn.IFNA(VLOOKUP(A511,list!B:C,2,FALSE),"")</f>
        <v>ANY</v>
      </c>
      <c r="C511" s="48"/>
      <c r="D511" s="127"/>
      <c r="E511" s="48" t="str">
        <f>_xlfn.IFNA(VLOOKUP(Table3[[#This Row],[Product]], ProductListTbl[], 3, 0), "")</f>
        <v/>
      </c>
      <c r="F511" s="303" t="str">
        <f>_xlfn.IFNA(VLOOKUP(D511,ProductListTbl[],5,0),"")</f>
        <v/>
      </c>
      <c r="G511" s="303" t="str">
        <f>_xlfn.IFNA(VLOOKUP(D511,ProductListTbl[],6,0),"")</f>
        <v/>
      </c>
      <c r="H511" s="130" t="str">
        <f>_xlfn.IFNA(VLOOKUP(D511,ProductListTbl[],7,0),"")</f>
        <v/>
      </c>
      <c r="I511" s="130" t="str">
        <f>_xlfn.IFNA(VLOOKUP(D511,ProductListTbl[],8,0),"")</f>
        <v/>
      </c>
      <c r="J511" s="127"/>
      <c r="K511" s="129"/>
      <c r="L511" s="128"/>
      <c r="M511" s="305" t="str">
        <f>IFERROR(Table3[[#This Row],[Quantity (doses)]]/Table3[[#This Row],[Doses per vial or syringe]],"")</f>
        <v/>
      </c>
      <c r="N511" s="127"/>
      <c r="O511" s="127"/>
      <c r="P511" s="381"/>
      <c r="Q511" s="129"/>
      <c r="R511" s="127"/>
      <c r="S511" s="127"/>
      <c r="T511" s="127"/>
      <c r="U511" s="127"/>
      <c r="V511" s="305" t="str">
        <f>_xlfn.IFNA(VLOOKUP(D511,ProductListTbl[],9,0),"")</f>
        <v/>
      </c>
      <c r="W511" s="305" t="str">
        <f>IFERROR(Table3[[#This Row],[Storage space per secondary packaging (cm3)]]*Table3[[#This Row],[Quantity  (vials or syringes)]]/1000,"")</f>
        <v/>
      </c>
      <c r="X511" s="305" t="str">
        <f>IFERROR(Table3[[#This Row],[Storage space per tertiary packaging (cm3)]]*Table3[[#This Row],[Quantity (doses)]]/1000,"")</f>
        <v/>
      </c>
      <c r="Y511" s="293" t="str">
        <f>IF(Table3[[#This Row],[Status]]="Ordered",(DATE(YEAR(P511),MONTH(P511),1)),IF(Table3[[#This Row],[Status]]="Received",(DATE(YEAR(Q511),MONTH(Q511),1)),""))</f>
        <v/>
      </c>
      <c r="Z511" s="304" t="str">
        <f t="shared" si="28"/>
        <v/>
      </c>
      <c r="AA511" s="48" t="str">
        <f t="shared" si="29"/>
        <v/>
      </c>
      <c r="AB511" s="48" t="str">
        <f t="shared" si="30"/>
        <v/>
      </c>
      <c r="AC511" s="292" t="str">
        <f t="shared" si="31"/>
        <v/>
      </c>
      <c r="AD511" s="48" t="str">
        <f>IF(Table3[[#This Row],[Actual Arrival date]]&gt;0,IF(Table3[[#This Row],[Expected arrival date]]&gt;0,Table3[[#This Row],[Actual Arrival date]]-Table3[[#This Row],[Expected arrival date]],""),"")</f>
        <v/>
      </c>
    </row>
    <row r="512" spans="1:30" x14ac:dyDescent="0.25">
      <c r="A512" s="303" t="str">
        <f>Start!$D$7</f>
        <v>Anyland</v>
      </c>
      <c r="B512" s="48" t="str">
        <f>_xlfn.IFNA(VLOOKUP(A512,list!B:C,2,FALSE),"")</f>
        <v>ANY</v>
      </c>
      <c r="C512" s="48"/>
      <c r="D512" s="127"/>
      <c r="E512" s="48" t="str">
        <f>_xlfn.IFNA(VLOOKUP(Table3[[#This Row],[Product]], ProductListTbl[], 3, 0), "")</f>
        <v/>
      </c>
      <c r="F512" s="303" t="str">
        <f>_xlfn.IFNA(VLOOKUP(D512,ProductListTbl[],5,0),"")</f>
        <v/>
      </c>
      <c r="G512" s="303" t="str">
        <f>_xlfn.IFNA(VLOOKUP(D512,ProductListTbl[],6,0),"")</f>
        <v/>
      </c>
      <c r="H512" s="130" t="str">
        <f>_xlfn.IFNA(VLOOKUP(D512,ProductListTbl[],7,0),"")</f>
        <v/>
      </c>
      <c r="I512" s="130" t="str">
        <f>_xlfn.IFNA(VLOOKUP(D512,ProductListTbl[],8,0),"")</f>
        <v/>
      </c>
      <c r="J512" s="127"/>
      <c r="K512" s="129"/>
      <c r="L512" s="128"/>
      <c r="M512" s="305" t="str">
        <f>IFERROR(Table3[[#This Row],[Quantity (doses)]]/Table3[[#This Row],[Doses per vial or syringe]],"")</f>
        <v/>
      </c>
      <c r="N512" s="127"/>
      <c r="O512" s="127"/>
      <c r="P512" s="381"/>
      <c r="Q512" s="129"/>
      <c r="R512" s="127"/>
      <c r="S512" s="127"/>
      <c r="T512" s="127"/>
      <c r="U512" s="127"/>
      <c r="V512" s="305" t="str">
        <f>_xlfn.IFNA(VLOOKUP(D512,ProductListTbl[],9,0),"")</f>
        <v/>
      </c>
      <c r="W512" s="305" t="str">
        <f>IFERROR(Table3[[#This Row],[Storage space per secondary packaging (cm3)]]*Table3[[#This Row],[Quantity  (vials or syringes)]]/1000,"")</f>
        <v/>
      </c>
      <c r="X512" s="305" t="str">
        <f>IFERROR(Table3[[#This Row],[Storage space per tertiary packaging (cm3)]]*Table3[[#This Row],[Quantity (doses)]]/1000,"")</f>
        <v/>
      </c>
      <c r="Y512" s="293" t="str">
        <f>IF(Table3[[#This Row],[Status]]="Ordered",(DATE(YEAR(P512),MONTH(P512),1)),IF(Table3[[#This Row],[Status]]="Received",(DATE(YEAR(Q512),MONTH(Q512),1)),""))</f>
        <v/>
      </c>
      <c r="Z512" s="304" t="str">
        <f t="shared" si="28"/>
        <v/>
      </c>
      <c r="AA512" s="48" t="str">
        <f t="shared" si="29"/>
        <v/>
      </c>
      <c r="AB512" s="48" t="str">
        <f t="shared" si="30"/>
        <v/>
      </c>
      <c r="AC512" s="292" t="str">
        <f t="shared" si="31"/>
        <v/>
      </c>
      <c r="AD512" s="48" t="str">
        <f>IF(Table3[[#This Row],[Actual Arrival date]]&gt;0,IF(Table3[[#This Row],[Expected arrival date]]&gt;0,Table3[[#This Row],[Actual Arrival date]]-Table3[[#This Row],[Expected arrival date]],""),"")</f>
        <v/>
      </c>
    </row>
    <row r="513" spans="1:30" x14ac:dyDescent="0.25">
      <c r="A513" s="303" t="str">
        <f>Start!$D$7</f>
        <v>Anyland</v>
      </c>
      <c r="B513" s="48" t="str">
        <f>_xlfn.IFNA(VLOOKUP(A513,list!B:C,2,FALSE),"")</f>
        <v>ANY</v>
      </c>
      <c r="C513" s="48"/>
      <c r="D513" s="127"/>
      <c r="E513" s="48" t="str">
        <f>_xlfn.IFNA(VLOOKUP(Table3[[#This Row],[Product]], ProductListTbl[], 3, 0), "")</f>
        <v/>
      </c>
      <c r="F513" s="303" t="str">
        <f>_xlfn.IFNA(VLOOKUP(D513,ProductListTbl[],5,0),"")</f>
        <v/>
      </c>
      <c r="G513" s="303" t="str">
        <f>_xlfn.IFNA(VLOOKUP(D513,ProductListTbl[],6,0),"")</f>
        <v/>
      </c>
      <c r="H513" s="130" t="str">
        <f>_xlfn.IFNA(VLOOKUP(D513,ProductListTbl[],7,0),"")</f>
        <v/>
      </c>
      <c r="I513" s="130" t="str">
        <f>_xlfn.IFNA(VLOOKUP(D513,ProductListTbl[],8,0),"")</f>
        <v/>
      </c>
      <c r="J513" s="127"/>
      <c r="K513" s="129"/>
      <c r="L513" s="128"/>
      <c r="M513" s="305" t="str">
        <f>IFERROR(Table3[[#This Row],[Quantity (doses)]]/Table3[[#This Row],[Doses per vial or syringe]],"")</f>
        <v/>
      </c>
      <c r="N513" s="127"/>
      <c r="O513" s="127"/>
      <c r="P513" s="381"/>
      <c r="Q513" s="129"/>
      <c r="R513" s="127"/>
      <c r="S513" s="127"/>
      <c r="T513" s="127"/>
      <c r="U513" s="127"/>
      <c r="V513" s="305" t="str">
        <f>_xlfn.IFNA(VLOOKUP(D513,ProductListTbl[],9,0),"")</f>
        <v/>
      </c>
      <c r="W513" s="305" t="str">
        <f>IFERROR(Table3[[#This Row],[Storage space per secondary packaging (cm3)]]*Table3[[#This Row],[Quantity  (vials or syringes)]]/1000,"")</f>
        <v/>
      </c>
      <c r="X513" s="305" t="str">
        <f>IFERROR(Table3[[#This Row],[Storage space per tertiary packaging (cm3)]]*Table3[[#This Row],[Quantity (doses)]]/1000,"")</f>
        <v/>
      </c>
      <c r="Y513" s="293" t="str">
        <f>IF(Table3[[#This Row],[Status]]="Ordered",(DATE(YEAR(P513),MONTH(P513),1)),IF(Table3[[#This Row],[Status]]="Received",(DATE(YEAR(Q513),MONTH(Q513),1)),""))</f>
        <v/>
      </c>
      <c r="Z513" s="304" t="str">
        <f t="shared" si="28"/>
        <v/>
      </c>
      <c r="AA513" s="48" t="str">
        <f t="shared" si="29"/>
        <v/>
      </c>
      <c r="AB513" s="48" t="str">
        <f t="shared" si="30"/>
        <v/>
      </c>
      <c r="AC513" s="292" t="str">
        <f t="shared" si="31"/>
        <v/>
      </c>
      <c r="AD513" s="48" t="str">
        <f>IF(Table3[[#This Row],[Actual Arrival date]]&gt;0,IF(Table3[[#This Row],[Expected arrival date]]&gt;0,Table3[[#This Row],[Actual Arrival date]]-Table3[[#This Row],[Expected arrival date]],""),"")</f>
        <v/>
      </c>
    </row>
    <row r="514" spans="1:30" x14ac:dyDescent="0.25">
      <c r="A514" s="303" t="str">
        <f>Start!$D$7</f>
        <v>Anyland</v>
      </c>
      <c r="B514" s="48" t="str">
        <f>_xlfn.IFNA(VLOOKUP(A514,list!B:C,2,FALSE),"")</f>
        <v>ANY</v>
      </c>
      <c r="C514" s="48"/>
      <c r="D514" s="127"/>
      <c r="E514" s="48" t="str">
        <f>_xlfn.IFNA(VLOOKUP(Table3[[#This Row],[Product]], ProductListTbl[], 3, 0), "")</f>
        <v/>
      </c>
      <c r="F514" s="303" t="str">
        <f>_xlfn.IFNA(VLOOKUP(D514,ProductListTbl[],5,0),"")</f>
        <v/>
      </c>
      <c r="G514" s="303" t="str">
        <f>_xlfn.IFNA(VLOOKUP(D514,ProductListTbl[],6,0),"")</f>
        <v/>
      </c>
      <c r="H514" s="130" t="str">
        <f>_xlfn.IFNA(VLOOKUP(D514,ProductListTbl[],7,0),"")</f>
        <v/>
      </c>
      <c r="I514" s="130" t="str">
        <f>_xlfn.IFNA(VLOOKUP(D514,ProductListTbl[],8,0),"")</f>
        <v/>
      </c>
      <c r="J514" s="127"/>
      <c r="K514" s="129"/>
      <c r="L514" s="128"/>
      <c r="M514" s="305" t="str">
        <f>IFERROR(Table3[[#This Row],[Quantity (doses)]]/Table3[[#This Row],[Doses per vial or syringe]],"")</f>
        <v/>
      </c>
      <c r="N514" s="127"/>
      <c r="O514" s="127"/>
      <c r="P514" s="381"/>
      <c r="Q514" s="129"/>
      <c r="R514" s="127"/>
      <c r="S514" s="127"/>
      <c r="T514" s="127"/>
      <c r="U514" s="127"/>
      <c r="V514" s="305" t="str">
        <f>_xlfn.IFNA(VLOOKUP(D514,ProductListTbl[],9,0),"")</f>
        <v/>
      </c>
      <c r="W514" s="305" t="str">
        <f>IFERROR(Table3[[#This Row],[Storage space per secondary packaging (cm3)]]*Table3[[#This Row],[Quantity  (vials or syringes)]]/1000,"")</f>
        <v/>
      </c>
      <c r="X514" s="305" t="str">
        <f>IFERROR(Table3[[#This Row],[Storage space per tertiary packaging (cm3)]]*Table3[[#This Row],[Quantity (doses)]]/1000,"")</f>
        <v/>
      </c>
      <c r="Y514" s="293" t="str">
        <f>IF(Table3[[#This Row],[Status]]="Ordered",(DATE(YEAR(P514),MONTH(P514),1)),IF(Table3[[#This Row],[Status]]="Received",(DATE(YEAR(Q514),MONTH(Q514),1)),""))</f>
        <v/>
      </c>
      <c r="Z514" s="304" t="str">
        <f t="shared" si="28"/>
        <v/>
      </c>
      <c r="AA514" s="48" t="str">
        <f t="shared" si="29"/>
        <v/>
      </c>
      <c r="AB514" s="48" t="str">
        <f t="shared" si="30"/>
        <v/>
      </c>
      <c r="AC514" s="292" t="str">
        <f t="shared" si="31"/>
        <v/>
      </c>
      <c r="AD514" s="48" t="str">
        <f>IF(Table3[[#This Row],[Actual Arrival date]]&gt;0,IF(Table3[[#This Row],[Expected arrival date]]&gt;0,Table3[[#This Row],[Actual Arrival date]]-Table3[[#This Row],[Expected arrival date]],""),"")</f>
        <v/>
      </c>
    </row>
    <row r="515" spans="1:30" x14ac:dyDescent="0.25">
      <c r="A515" s="303" t="str">
        <f>Start!$D$7</f>
        <v>Anyland</v>
      </c>
      <c r="B515" s="48" t="str">
        <f>_xlfn.IFNA(VLOOKUP(A515,list!B:C,2,FALSE),"")</f>
        <v>ANY</v>
      </c>
      <c r="C515" s="48"/>
      <c r="D515" s="127"/>
      <c r="E515" s="48" t="str">
        <f>_xlfn.IFNA(VLOOKUP(Table3[[#This Row],[Product]], ProductListTbl[], 3, 0), "")</f>
        <v/>
      </c>
      <c r="F515" s="303" t="str">
        <f>_xlfn.IFNA(VLOOKUP(D515,ProductListTbl[],5,0),"")</f>
        <v/>
      </c>
      <c r="G515" s="303" t="str">
        <f>_xlfn.IFNA(VLOOKUP(D515,ProductListTbl[],6,0),"")</f>
        <v/>
      </c>
      <c r="H515" s="130" t="str">
        <f>_xlfn.IFNA(VLOOKUP(D515,ProductListTbl[],7,0),"")</f>
        <v/>
      </c>
      <c r="I515" s="130" t="str">
        <f>_xlfn.IFNA(VLOOKUP(D515,ProductListTbl[],8,0),"")</f>
        <v/>
      </c>
      <c r="J515" s="127"/>
      <c r="K515" s="129"/>
      <c r="L515" s="128"/>
      <c r="M515" s="305" t="str">
        <f>IFERROR(Table3[[#This Row],[Quantity (doses)]]/Table3[[#This Row],[Doses per vial or syringe]],"")</f>
        <v/>
      </c>
      <c r="N515" s="127"/>
      <c r="O515" s="127"/>
      <c r="P515" s="381"/>
      <c r="Q515" s="129"/>
      <c r="R515" s="127"/>
      <c r="S515" s="127"/>
      <c r="T515" s="127"/>
      <c r="U515" s="127"/>
      <c r="V515" s="305" t="str">
        <f>_xlfn.IFNA(VLOOKUP(D515,ProductListTbl[],9,0),"")</f>
        <v/>
      </c>
      <c r="W515" s="305" t="str">
        <f>IFERROR(Table3[[#This Row],[Storage space per secondary packaging (cm3)]]*Table3[[#This Row],[Quantity  (vials or syringes)]]/1000,"")</f>
        <v/>
      </c>
      <c r="X515" s="305" t="str">
        <f>IFERROR(Table3[[#This Row],[Storage space per tertiary packaging (cm3)]]*Table3[[#This Row],[Quantity (doses)]]/1000,"")</f>
        <v/>
      </c>
      <c r="Y515" s="293" t="str">
        <f>IF(Table3[[#This Row],[Status]]="Ordered",(DATE(YEAR(P515),MONTH(P515),1)),IF(Table3[[#This Row],[Status]]="Received",(DATE(YEAR(Q515),MONTH(Q515),1)),""))</f>
        <v/>
      </c>
      <c r="Z515" s="304" t="str">
        <f t="shared" si="28"/>
        <v/>
      </c>
      <c r="AA515" s="48" t="str">
        <f t="shared" si="29"/>
        <v/>
      </c>
      <c r="AB515" s="48" t="str">
        <f t="shared" si="30"/>
        <v/>
      </c>
      <c r="AC515" s="292" t="str">
        <f t="shared" si="31"/>
        <v/>
      </c>
      <c r="AD515" s="48" t="str">
        <f>IF(Table3[[#This Row],[Actual Arrival date]]&gt;0,IF(Table3[[#This Row],[Expected arrival date]]&gt;0,Table3[[#This Row],[Actual Arrival date]]-Table3[[#This Row],[Expected arrival date]],""),"")</f>
        <v/>
      </c>
    </row>
    <row r="516" spans="1:30" x14ac:dyDescent="0.25">
      <c r="A516" s="303" t="str">
        <f>Start!$D$7</f>
        <v>Anyland</v>
      </c>
      <c r="B516" s="48" t="str">
        <f>_xlfn.IFNA(VLOOKUP(A516,list!B:C,2,FALSE),"")</f>
        <v>ANY</v>
      </c>
      <c r="C516" s="48"/>
      <c r="D516" s="127"/>
      <c r="E516" s="48" t="str">
        <f>_xlfn.IFNA(VLOOKUP(Table3[[#This Row],[Product]], ProductListTbl[], 3, 0), "")</f>
        <v/>
      </c>
      <c r="F516" s="303" t="str">
        <f>_xlfn.IFNA(VLOOKUP(D516,ProductListTbl[],5,0),"")</f>
        <v/>
      </c>
      <c r="G516" s="303" t="str">
        <f>_xlfn.IFNA(VLOOKUP(D516,ProductListTbl[],6,0),"")</f>
        <v/>
      </c>
      <c r="H516" s="130" t="str">
        <f>_xlfn.IFNA(VLOOKUP(D516,ProductListTbl[],7,0),"")</f>
        <v/>
      </c>
      <c r="I516" s="130" t="str">
        <f>_xlfn.IFNA(VLOOKUP(D516,ProductListTbl[],8,0),"")</f>
        <v/>
      </c>
      <c r="J516" s="127"/>
      <c r="K516" s="129"/>
      <c r="L516" s="128"/>
      <c r="M516" s="305" t="str">
        <f>IFERROR(Table3[[#This Row],[Quantity (doses)]]/Table3[[#This Row],[Doses per vial or syringe]],"")</f>
        <v/>
      </c>
      <c r="N516" s="127"/>
      <c r="O516" s="127"/>
      <c r="P516" s="381"/>
      <c r="Q516" s="129"/>
      <c r="R516" s="127"/>
      <c r="S516" s="127"/>
      <c r="T516" s="127"/>
      <c r="U516" s="127"/>
      <c r="V516" s="305" t="str">
        <f>_xlfn.IFNA(VLOOKUP(D516,ProductListTbl[],9,0),"")</f>
        <v/>
      </c>
      <c r="W516" s="305" t="str">
        <f>IFERROR(Table3[[#This Row],[Storage space per secondary packaging (cm3)]]*Table3[[#This Row],[Quantity  (vials or syringes)]]/1000,"")</f>
        <v/>
      </c>
      <c r="X516" s="305" t="str">
        <f>IFERROR(Table3[[#This Row],[Storage space per tertiary packaging (cm3)]]*Table3[[#This Row],[Quantity (doses)]]/1000,"")</f>
        <v/>
      </c>
      <c r="Y516" s="293" t="str">
        <f>IF(Table3[[#This Row],[Status]]="Ordered",(DATE(YEAR(P516),MONTH(P516),1)),IF(Table3[[#This Row],[Status]]="Received",(DATE(YEAR(Q516),MONTH(Q516),1)),""))</f>
        <v/>
      </c>
      <c r="Z516" s="304" t="str">
        <f t="shared" si="28"/>
        <v/>
      </c>
      <c r="AA516" s="48" t="str">
        <f t="shared" si="29"/>
        <v/>
      </c>
      <c r="AB516" s="48" t="str">
        <f t="shared" si="30"/>
        <v/>
      </c>
      <c r="AC516" s="292" t="str">
        <f t="shared" si="31"/>
        <v/>
      </c>
      <c r="AD516" s="48" t="str">
        <f>IF(Table3[[#This Row],[Actual Arrival date]]&gt;0,IF(Table3[[#This Row],[Expected arrival date]]&gt;0,Table3[[#This Row],[Actual Arrival date]]-Table3[[#This Row],[Expected arrival date]],""),"")</f>
        <v/>
      </c>
    </row>
    <row r="517" spans="1:30" x14ac:dyDescent="0.25">
      <c r="A517" s="303" t="str">
        <f>Start!$D$7</f>
        <v>Anyland</v>
      </c>
      <c r="B517" s="48" t="str">
        <f>_xlfn.IFNA(VLOOKUP(A517,list!B:C,2,FALSE),"")</f>
        <v>ANY</v>
      </c>
      <c r="C517" s="48"/>
      <c r="D517" s="127"/>
      <c r="E517" s="48" t="str">
        <f>_xlfn.IFNA(VLOOKUP(Table3[[#This Row],[Product]], ProductListTbl[], 3, 0), "")</f>
        <v/>
      </c>
      <c r="F517" s="303" t="str">
        <f>_xlfn.IFNA(VLOOKUP(D517,ProductListTbl[],5,0),"")</f>
        <v/>
      </c>
      <c r="G517" s="303" t="str">
        <f>_xlfn.IFNA(VLOOKUP(D517,ProductListTbl[],6,0),"")</f>
        <v/>
      </c>
      <c r="H517" s="130" t="str">
        <f>_xlfn.IFNA(VLOOKUP(D517,ProductListTbl[],7,0),"")</f>
        <v/>
      </c>
      <c r="I517" s="130" t="str">
        <f>_xlfn.IFNA(VLOOKUP(D517,ProductListTbl[],8,0),"")</f>
        <v/>
      </c>
      <c r="J517" s="127"/>
      <c r="K517" s="129"/>
      <c r="L517" s="128"/>
      <c r="M517" s="305" t="str">
        <f>IFERROR(Table3[[#This Row],[Quantity (doses)]]/Table3[[#This Row],[Doses per vial or syringe]],"")</f>
        <v/>
      </c>
      <c r="N517" s="127"/>
      <c r="O517" s="127"/>
      <c r="P517" s="381"/>
      <c r="Q517" s="129"/>
      <c r="R517" s="127"/>
      <c r="S517" s="127"/>
      <c r="T517" s="127"/>
      <c r="U517" s="127"/>
      <c r="V517" s="305" t="str">
        <f>_xlfn.IFNA(VLOOKUP(D517,ProductListTbl[],9,0),"")</f>
        <v/>
      </c>
      <c r="W517" s="305" t="str">
        <f>IFERROR(Table3[[#This Row],[Storage space per secondary packaging (cm3)]]*Table3[[#This Row],[Quantity  (vials or syringes)]]/1000,"")</f>
        <v/>
      </c>
      <c r="X517" s="305" t="str">
        <f>IFERROR(Table3[[#This Row],[Storage space per tertiary packaging (cm3)]]*Table3[[#This Row],[Quantity (doses)]]/1000,"")</f>
        <v/>
      </c>
      <c r="Y517" s="293" t="str">
        <f>IF(Table3[[#This Row],[Status]]="Ordered",(DATE(YEAR(P517),MONTH(P517),1)),IF(Table3[[#This Row],[Status]]="Received",(DATE(YEAR(Q517),MONTH(Q517),1)),""))</f>
        <v/>
      </c>
      <c r="Z517" s="304" t="str">
        <f t="shared" ref="Z517:Z580" si="32">IFERROR(IF(K517&gt;0,((K517-Q517)/(365.25/12)),""),"")</f>
        <v/>
      </c>
      <c r="AA517" s="48" t="str">
        <f t="shared" ref="AA517:AA580" si="33">IFERROR(IF(K517="","",MONTH(EOMONTH(K517,(DAY(K517)&gt;15)+0))),"")</f>
        <v/>
      </c>
      <c r="AB517" s="48" t="str">
        <f t="shared" ref="AB517:AB580" si="34">IFERROR(IF(K517="","",IF(AND(MONTH(K517)=12,AA517=1),YEAR(K517)+1,YEAR(K517))),"")</f>
        <v/>
      </c>
      <c r="AC517" s="292" t="str">
        <f t="shared" ref="AC517:AC580" si="35">IF(OR(AA517="",AB517=""),"",DATE(AB517,AA517,1))</f>
        <v/>
      </c>
      <c r="AD517" s="48" t="str">
        <f>IF(Table3[[#This Row],[Actual Arrival date]]&gt;0,IF(Table3[[#This Row],[Expected arrival date]]&gt;0,Table3[[#This Row],[Actual Arrival date]]-Table3[[#This Row],[Expected arrival date]],""),"")</f>
        <v/>
      </c>
    </row>
    <row r="518" spans="1:30" x14ac:dyDescent="0.25">
      <c r="A518" s="303" t="str">
        <f>Start!$D$7</f>
        <v>Anyland</v>
      </c>
      <c r="B518" s="48" t="str">
        <f>_xlfn.IFNA(VLOOKUP(A518,list!B:C,2,FALSE),"")</f>
        <v>ANY</v>
      </c>
      <c r="C518" s="48"/>
      <c r="D518" s="127"/>
      <c r="E518" s="48" t="str">
        <f>_xlfn.IFNA(VLOOKUP(Table3[[#This Row],[Product]], ProductListTbl[], 3, 0), "")</f>
        <v/>
      </c>
      <c r="F518" s="303" t="str">
        <f>_xlfn.IFNA(VLOOKUP(D518,ProductListTbl[],5,0),"")</f>
        <v/>
      </c>
      <c r="G518" s="303" t="str">
        <f>_xlfn.IFNA(VLOOKUP(D518,ProductListTbl[],6,0),"")</f>
        <v/>
      </c>
      <c r="H518" s="130" t="str">
        <f>_xlfn.IFNA(VLOOKUP(D518,ProductListTbl[],7,0),"")</f>
        <v/>
      </c>
      <c r="I518" s="130" t="str">
        <f>_xlfn.IFNA(VLOOKUP(D518,ProductListTbl[],8,0),"")</f>
        <v/>
      </c>
      <c r="J518" s="127"/>
      <c r="K518" s="129"/>
      <c r="L518" s="128"/>
      <c r="M518" s="305" t="str">
        <f>IFERROR(Table3[[#This Row],[Quantity (doses)]]/Table3[[#This Row],[Doses per vial or syringe]],"")</f>
        <v/>
      </c>
      <c r="N518" s="127"/>
      <c r="O518" s="127"/>
      <c r="P518" s="381"/>
      <c r="Q518" s="129"/>
      <c r="R518" s="127"/>
      <c r="S518" s="127"/>
      <c r="T518" s="127"/>
      <c r="U518" s="127"/>
      <c r="V518" s="305" t="str">
        <f>_xlfn.IFNA(VLOOKUP(D518,ProductListTbl[],9,0),"")</f>
        <v/>
      </c>
      <c r="W518" s="305" t="str">
        <f>IFERROR(Table3[[#This Row],[Storage space per secondary packaging (cm3)]]*Table3[[#This Row],[Quantity  (vials or syringes)]]/1000,"")</f>
        <v/>
      </c>
      <c r="X518" s="305" t="str">
        <f>IFERROR(Table3[[#This Row],[Storage space per tertiary packaging (cm3)]]*Table3[[#This Row],[Quantity (doses)]]/1000,"")</f>
        <v/>
      </c>
      <c r="Y518" s="293" t="str">
        <f>IF(Table3[[#This Row],[Status]]="Ordered",(DATE(YEAR(P518),MONTH(P518),1)),IF(Table3[[#This Row],[Status]]="Received",(DATE(YEAR(Q518),MONTH(Q518),1)),""))</f>
        <v/>
      </c>
      <c r="Z518" s="304" t="str">
        <f t="shared" si="32"/>
        <v/>
      </c>
      <c r="AA518" s="48" t="str">
        <f t="shared" si="33"/>
        <v/>
      </c>
      <c r="AB518" s="48" t="str">
        <f t="shared" si="34"/>
        <v/>
      </c>
      <c r="AC518" s="292" t="str">
        <f t="shared" si="35"/>
        <v/>
      </c>
      <c r="AD518" s="48" t="str">
        <f>IF(Table3[[#This Row],[Actual Arrival date]]&gt;0,IF(Table3[[#This Row],[Expected arrival date]]&gt;0,Table3[[#This Row],[Actual Arrival date]]-Table3[[#This Row],[Expected arrival date]],""),"")</f>
        <v/>
      </c>
    </row>
    <row r="519" spans="1:30" x14ac:dyDescent="0.25">
      <c r="A519" s="303" t="str">
        <f>Start!$D$7</f>
        <v>Anyland</v>
      </c>
      <c r="B519" s="48" t="str">
        <f>_xlfn.IFNA(VLOOKUP(A519,list!B:C,2,FALSE),"")</f>
        <v>ANY</v>
      </c>
      <c r="C519" s="48"/>
      <c r="D519" s="127"/>
      <c r="E519" s="48" t="str">
        <f>_xlfn.IFNA(VLOOKUP(Table3[[#This Row],[Product]], ProductListTbl[], 3, 0), "")</f>
        <v/>
      </c>
      <c r="F519" s="303" t="str">
        <f>_xlfn.IFNA(VLOOKUP(D519,ProductListTbl[],5,0),"")</f>
        <v/>
      </c>
      <c r="G519" s="303" t="str">
        <f>_xlfn.IFNA(VLOOKUP(D519,ProductListTbl[],6,0),"")</f>
        <v/>
      </c>
      <c r="H519" s="130" t="str">
        <f>_xlfn.IFNA(VLOOKUP(D519,ProductListTbl[],7,0),"")</f>
        <v/>
      </c>
      <c r="I519" s="130" t="str">
        <f>_xlfn.IFNA(VLOOKUP(D519,ProductListTbl[],8,0),"")</f>
        <v/>
      </c>
      <c r="J519" s="127"/>
      <c r="K519" s="129"/>
      <c r="L519" s="128"/>
      <c r="M519" s="305" t="str">
        <f>IFERROR(Table3[[#This Row],[Quantity (doses)]]/Table3[[#This Row],[Doses per vial or syringe]],"")</f>
        <v/>
      </c>
      <c r="N519" s="127"/>
      <c r="O519" s="127"/>
      <c r="P519" s="381"/>
      <c r="Q519" s="129"/>
      <c r="R519" s="127"/>
      <c r="S519" s="127"/>
      <c r="T519" s="127"/>
      <c r="U519" s="127"/>
      <c r="V519" s="305" t="str">
        <f>_xlfn.IFNA(VLOOKUP(D519,ProductListTbl[],9,0),"")</f>
        <v/>
      </c>
      <c r="W519" s="305" t="str">
        <f>IFERROR(Table3[[#This Row],[Storage space per secondary packaging (cm3)]]*Table3[[#This Row],[Quantity  (vials or syringes)]]/1000,"")</f>
        <v/>
      </c>
      <c r="X519" s="305" t="str">
        <f>IFERROR(Table3[[#This Row],[Storage space per tertiary packaging (cm3)]]*Table3[[#This Row],[Quantity (doses)]]/1000,"")</f>
        <v/>
      </c>
      <c r="Y519" s="293" t="str">
        <f>IF(Table3[[#This Row],[Status]]="Ordered",(DATE(YEAR(P519),MONTH(P519),1)),IF(Table3[[#This Row],[Status]]="Received",(DATE(YEAR(Q519),MONTH(Q519),1)),""))</f>
        <v/>
      </c>
      <c r="Z519" s="304" t="str">
        <f t="shared" si="32"/>
        <v/>
      </c>
      <c r="AA519" s="48" t="str">
        <f t="shared" si="33"/>
        <v/>
      </c>
      <c r="AB519" s="48" t="str">
        <f t="shared" si="34"/>
        <v/>
      </c>
      <c r="AC519" s="292" t="str">
        <f t="shared" si="35"/>
        <v/>
      </c>
      <c r="AD519" s="48" t="str">
        <f>IF(Table3[[#This Row],[Actual Arrival date]]&gt;0,IF(Table3[[#This Row],[Expected arrival date]]&gt;0,Table3[[#This Row],[Actual Arrival date]]-Table3[[#This Row],[Expected arrival date]],""),"")</f>
        <v/>
      </c>
    </row>
    <row r="520" spans="1:30" x14ac:dyDescent="0.25">
      <c r="A520" s="303" t="str">
        <f>Start!$D$7</f>
        <v>Anyland</v>
      </c>
      <c r="B520" s="48" t="str">
        <f>_xlfn.IFNA(VLOOKUP(A520,list!B:C,2,FALSE),"")</f>
        <v>ANY</v>
      </c>
      <c r="C520" s="48"/>
      <c r="D520" s="127"/>
      <c r="E520" s="48" t="str">
        <f>_xlfn.IFNA(VLOOKUP(Table3[[#This Row],[Product]], ProductListTbl[], 3, 0), "")</f>
        <v/>
      </c>
      <c r="F520" s="303" t="str">
        <f>_xlfn.IFNA(VLOOKUP(D520,ProductListTbl[],5,0),"")</f>
        <v/>
      </c>
      <c r="G520" s="303" t="str">
        <f>_xlfn.IFNA(VLOOKUP(D520,ProductListTbl[],6,0),"")</f>
        <v/>
      </c>
      <c r="H520" s="130" t="str">
        <f>_xlfn.IFNA(VLOOKUP(D520,ProductListTbl[],7,0),"")</f>
        <v/>
      </c>
      <c r="I520" s="130" t="str">
        <f>_xlfn.IFNA(VLOOKUP(D520,ProductListTbl[],8,0),"")</f>
        <v/>
      </c>
      <c r="J520" s="127"/>
      <c r="K520" s="129"/>
      <c r="L520" s="128"/>
      <c r="M520" s="305" t="str">
        <f>IFERROR(Table3[[#This Row],[Quantity (doses)]]/Table3[[#This Row],[Doses per vial or syringe]],"")</f>
        <v/>
      </c>
      <c r="N520" s="127"/>
      <c r="O520" s="127"/>
      <c r="P520" s="381"/>
      <c r="Q520" s="129"/>
      <c r="R520" s="127"/>
      <c r="S520" s="127"/>
      <c r="T520" s="127"/>
      <c r="U520" s="127"/>
      <c r="V520" s="305" t="str">
        <f>_xlfn.IFNA(VLOOKUP(D520,ProductListTbl[],9,0),"")</f>
        <v/>
      </c>
      <c r="W520" s="305" t="str">
        <f>IFERROR(Table3[[#This Row],[Storage space per secondary packaging (cm3)]]*Table3[[#This Row],[Quantity  (vials or syringes)]]/1000,"")</f>
        <v/>
      </c>
      <c r="X520" s="305" t="str">
        <f>IFERROR(Table3[[#This Row],[Storage space per tertiary packaging (cm3)]]*Table3[[#This Row],[Quantity (doses)]]/1000,"")</f>
        <v/>
      </c>
      <c r="Y520" s="293" t="str">
        <f>IF(Table3[[#This Row],[Status]]="Ordered",(DATE(YEAR(P520),MONTH(P520),1)),IF(Table3[[#This Row],[Status]]="Received",(DATE(YEAR(Q520),MONTH(Q520),1)),""))</f>
        <v/>
      </c>
      <c r="Z520" s="304" t="str">
        <f t="shared" si="32"/>
        <v/>
      </c>
      <c r="AA520" s="48" t="str">
        <f t="shared" si="33"/>
        <v/>
      </c>
      <c r="AB520" s="48" t="str">
        <f t="shared" si="34"/>
        <v/>
      </c>
      <c r="AC520" s="292" t="str">
        <f t="shared" si="35"/>
        <v/>
      </c>
      <c r="AD520" s="48" t="str">
        <f>IF(Table3[[#This Row],[Actual Arrival date]]&gt;0,IF(Table3[[#This Row],[Expected arrival date]]&gt;0,Table3[[#This Row],[Actual Arrival date]]-Table3[[#This Row],[Expected arrival date]],""),"")</f>
        <v/>
      </c>
    </row>
    <row r="521" spans="1:30" x14ac:dyDescent="0.25">
      <c r="A521" s="303" t="str">
        <f>Start!$D$7</f>
        <v>Anyland</v>
      </c>
      <c r="B521" s="48" t="str">
        <f>_xlfn.IFNA(VLOOKUP(A521,list!B:C,2,FALSE),"")</f>
        <v>ANY</v>
      </c>
      <c r="C521" s="48"/>
      <c r="D521" s="127"/>
      <c r="E521" s="48" t="str">
        <f>_xlfn.IFNA(VLOOKUP(Table3[[#This Row],[Product]], ProductListTbl[], 3, 0), "")</f>
        <v/>
      </c>
      <c r="F521" s="303" t="str">
        <f>_xlfn.IFNA(VLOOKUP(D521,ProductListTbl[],5,0),"")</f>
        <v/>
      </c>
      <c r="G521" s="303" t="str">
        <f>_xlfn.IFNA(VLOOKUP(D521,ProductListTbl[],6,0),"")</f>
        <v/>
      </c>
      <c r="H521" s="130" t="str">
        <f>_xlfn.IFNA(VLOOKUP(D521,ProductListTbl[],7,0),"")</f>
        <v/>
      </c>
      <c r="I521" s="130" t="str">
        <f>_xlfn.IFNA(VLOOKUP(D521,ProductListTbl[],8,0),"")</f>
        <v/>
      </c>
      <c r="J521" s="127"/>
      <c r="K521" s="129"/>
      <c r="L521" s="128"/>
      <c r="M521" s="305" t="str">
        <f>IFERROR(Table3[[#This Row],[Quantity (doses)]]/Table3[[#This Row],[Doses per vial or syringe]],"")</f>
        <v/>
      </c>
      <c r="N521" s="127"/>
      <c r="O521" s="127"/>
      <c r="P521" s="381"/>
      <c r="Q521" s="129"/>
      <c r="R521" s="127"/>
      <c r="S521" s="127"/>
      <c r="T521" s="127"/>
      <c r="U521" s="127"/>
      <c r="V521" s="305" t="str">
        <f>_xlfn.IFNA(VLOOKUP(D521,ProductListTbl[],9,0),"")</f>
        <v/>
      </c>
      <c r="W521" s="305" t="str">
        <f>IFERROR(Table3[[#This Row],[Storage space per secondary packaging (cm3)]]*Table3[[#This Row],[Quantity  (vials or syringes)]]/1000,"")</f>
        <v/>
      </c>
      <c r="X521" s="305" t="str">
        <f>IFERROR(Table3[[#This Row],[Storage space per tertiary packaging (cm3)]]*Table3[[#This Row],[Quantity (doses)]]/1000,"")</f>
        <v/>
      </c>
      <c r="Y521" s="293" t="str">
        <f>IF(Table3[[#This Row],[Status]]="Ordered",(DATE(YEAR(P521),MONTH(P521),1)),IF(Table3[[#This Row],[Status]]="Received",(DATE(YEAR(Q521),MONTH(Q521),1)),""))</f>
        <v/>
      </c>
      <c r="Z521" s="304" t="str">
        <f t="shared" si="32"/>
        <v/>
      </c>
      <c r="AA521" s="48" t="str">
        <f t="shared" si="33"/>
        <v/>
      </c>
      <c r="AB521" s="48" t="str">
        <f t="shared" si="34"/>
        <v/>
      </c>
      <c r="AC521" s="292" t="str">
        <f t="shared" si="35"/>
        <v/>
      </c>
      <c r="AD521" s="48" t="str">
        <f>IF(Table3[[#This Row],[Actual Arrival date]]&gt;0,IF(Table3[[#This Row],[Expected arrival date]]&gt;0,Table3[[#This Row],[Actual Arrival date]]-Table3[[#This Row],[Expected arrival date]],""),"")</f>
        <v/>
      </c>
    </row>
    <row r="522" spans="1:30" x14ac:dyDescent="0.25">
      <c r="A522" s="303" t="str">
        <f>Start!$D$7</f>
        <v>Anyland</v>
      </c>
      <c r="B522" s="48" t="str">
        <f>_xlfn.IFNA(VLOOKUP(A522,list!B:C,2,FALSE),"")</f>
        <v>ANY</v>
      </c>
      <c r="C522" s="48"/>
      <c r="D522" s="127"/>
      <c r="E522" s="48" t="str">
        <f>_xlfn.IFNA(VLOOKUP(Table3[[#This Row],[Product]], ProductListTbl[], 3, 0), "")</f>
        <v/>
      </c>
      <c r="F522" s="303" t="str">
        <f>_xlfn.IFNA(VLOOKUP(D522,ProductListTbl[],5,0),"")</f>
        <v/>
      </c>
      <c r="G522" s="303" t="str">
        <f>_xlfn.IFNA(VLOOKUP(D522,ProductListTbl[],6,0),"")</f>
        <v/>
      </c>
      <c r="H522" s="130" t="str">
        <f>_xlfn.IFNA(VLOOKUP(D522,ProductListTbl[],7,0),"")</f>
        <v/>
      </c>
      <c r="I522" s="130" t="str">
        <f>_xlfn.IFNA(VLOOKUP(D522,ProductListTbl[],8,0),"")</f>
        <v/>
      </c>
      <c r="J522" s="127"/>
      <c r="K522" s="129"/>
      <c r="L522" s="128"/>
      <c r="M522" s="305" t="str">
        <f>IFERROR(Table3[[#This Row],[Quantity (doses)]]/Table3[[#This Row],[Doses per vial or syringe]],"")</f>
        <v/>
      </c>
      <c r="N522" s="127"/>
      <c r="O522" s="127"/>
      <c r="P522" s="381"/>
      <c r="Q522" s="129"/>
      <c r="R522" s="127"/>
      <c r="S522" s="127"/>
      <c r="T522" s="127"/>
      <c r="U522" s="127"/>
      <c r="V522" s="305" t="str">
        <f>_xlfn.IFNA(VLOOKUP(D522,ProductListTbl[],9,0),"")</f>
        <v/>
      </c>
      <c r="W522" s="305" t="str">
        <f>IFERROR(Table3[[#This Row],[Storage space per secondary packaging (cm3)]]*Table3[[#This Row],[Quantity  (vials or syringes)]]/1000,"")</f>
        <v/>
      </c>
      <c r="X522" s="305" t="str">
        <f>IFERROR(Table3[[#This Row],[Storage space per tertiary packaging (cm3)]]*Table3[[#This Row],[Quantity (doses)]]/1000,"")</f>
        <v/>
      </c>
      <c r="Y522" s="293" t="str">
        <f>IF(Table3[[#This Row],[Status]]="Ordered",(DATE(YEAR(P522),MONTH(P522),1)),IF(Table3[[#This Row],[Status]]="Received",(DATE(YEAR(Q522),MONTH(Q522),1)),""))</f>
        <v/>
      </c>
      <c r="Z522" s="304" t="str">
        <f t="shared" si="32"/>
        <v/>
      </c>
      <c r="AA522" s="48" t="str">
        <f t="shared" si="33"/>
        <v/>
      </c>
      <c r="AB522" s="48" t="str">
        <f t="shared" si="34"/>
        <v/>
      </c>
      <c r="AC522" s="292" t="str">
        <f t="shared" si="35"/>
        <v/>
      </c>
      <c r="AD522" s="48" t="str">
        <f>IF(Table3[[#This Row],[Actual Arrival date]]&gt;0,IF(Table3[[#This Row],[Expected arrival date]]&gt;0,Table3[[#This Row],[Actual Arrival date]]-Table3[[#This Row],[Expected arrival date]],""),"")</f>
        <v/>
      </c>
    </row>
    <row r="523" spans="1:30" x14ac:dyDescent="0.25">
      <c r="A523" s="303" t="str">
        <f>Start!$D$7</f>
        <v>Anyland</v>
      </c>
      <c r="B523" s="48" t="str">
        <f>_xlfn.IFNA(VLOOKUP(A523,list!B:C,2,FALSE),"")</f>
        <v>ANY</v>
      </c>
      <c r="C523" s="48"/>
      <c r="D523" s="127"/>
      <c r="E523" s="48" t="str">
        <f>_xlfn.IFNA(VLOOKUP(Table3[[#This Row],[Product]], ProductListTbl[], 3, 0), "")</f>
        <v/>
      </c>
      <c r="F523" s="303" t="str">
        <f>_xlfn.IFNA(VLOOKUP(D523,ProductListTbl[],5,0),"")</f>
        <v/>
      </c>
      <c r="G523" s="303" t="str">
        <f>_xlfn.IFNA(VLOOKUP(D523,ProductListTbl[],6,0),"")</f>
        <v/>
      </c>
      <c r="H523" s="130" t="str">
        <f>_xlfn.IFNA(VLOOKUP(D523,ProductListTbl[],7,0),"")</f>
        <v/>
      </c>
      <c r="I523" s="130" t="str">
        <f>_xlfn.IFNA(VLOOKUP(D523,ProductListTbl[],8,0),"")</f>
        <v/>
      </c>
      <c r="J523" s="127"/>
      <c r="K523" s="129"/>
      <c r="L523" s="128"/>
      <c r="M523" s="305" t="str">
        <f>IFERROR(Table3[[#This Row],[Quantity (doses)]]/Table3[[#This Row],[Doses per vial or syringe]],"")</f>
        <v/>
      </c>
      <c r="N523" s="127"/>
      <c r="O523" s="127"/>
      <c r="P523" s="381"/>
      <c r="Q523" s="129"/>
      <c r="R523" s="127"/>
      <c r="S523" s="127"/>
      <c r="T523" s="127"/>
      <c r="U523" s="127"/>
      <c r="V523" s="305" t="str">
        <f>_xlfn.IFNA(VLOOKUP(D523,ProductListTbl[],9,0),"")</f>
        <v/>
      </c>
      <c r="W523" s="305" t="str">
        <f>IFERROR(Table3[[#This Row],[Storage space per secondary packaging (cm3)]]*Table3[[#This Row],[Quantity  (vials or syringes)]]/1000,"")</f>
        <v/>
      </c>
      <c r="X523" s="305" t="str">
        <f>IFERROR(Table3[[#This Row],[Storage space per tertiary packaging (cm3)]]*Table3[[#This Row],[Quantity (doses)]]/1000,"")</f>
        <v/>
      </c>
      <c r="Y523" s="293" t="str">
        <f>IF(Table3[[#This Row],[Status]]="Ordered",(DATE(YEAR(P523),MONTH(P523),1)),IF(Table3[[#This Row],[Status]]="Received",(DATE(YEAR(Q523),MONTH(Q523),1)),""))</f>
        <v/>
      </c>
      <c r="Z523" s="304" t="str">
        <f t="shared" si="32"/>
        <v/>
      </c>
      <c r="AA523" s="48" t="str">
        <f t="shared" si="33"/>
        <v/>
      </c>
      <c r="AB523" s="48" t="str">
        <f t="shared" si="34"/>
        <v/>
      </c>
      <c r="AC523" s="292" t="str">
        <f t="shared" si="35"/>
        <v/>
      </c>
      <c r="AD523" s="48" t="str">
        <f>IF(Table3[[#This Row],[Actual Arrival date]]&gt;0,IF(Table3[[#This Row],[Expected arrival date]]&gt;0,Table3[[#This Row],[Actual Arrival date]]-Table3[[#This Row],[Expected arrival date]],""),"")</f>
        <v/>
      </c>
    </row>
    <row r="524" spans="1:30" x14ac:dyDescent="0.25">
      <c r="A524" s="303" t="str">
        <f>Start!$D$7</f>
        <v>Anyland</v>
      </c>
      <c r="B524" s="48" t="str">
        <f>_xlfn.IFNA(VLOOKUP(A524,list!B:C,2,FALSE),"")</f>
        <v>ANY</v>
      </c>
      <c r="C524" s="48"/>
      <c r="D524" s="127"/>
      <c r="E524" s="48" t="str">
        <f>_xlfn.IFNA(VLOOKUP(Table3[[#This Row],[Product]], ProductListTbl[], 3, 0), "")</f>
        <v/>
      </c>
      <c r="F524" s="303" t="str">
        <f>_xlfn.IFNA(VLOOKUP(D524,ProductListTbl[],5,0),"")</f>
        <v/>
      </c>
      <c r="G524" s="303" t="str">
        <f>_xlfn.IFNA(VLOOKUP(D524,ProductListTbl[],6,0),"")</f>
        <v/>
      </c>
      <c r="H524" s="130" t="str">
        <f>_xlfn.IFNA(VLOOKUP(D524,ProductListTbl[],7,0),"")</f>
        <v/>
      </c>
      <c r="I524" s="130" t="str">
        <f>_xlfn.IFNA(VLOOKUP(D524,ProductListTbl[],8,0),"")</f>
        <v/>
      </c>
      <c r="J524" s="127"/>
      <c r="K524" s="129"/>
      <c r="L524" s="128"/>
      <c r="M524" s="305" t="str">
        <f>IFERROR(Table3[[#This Row],[Quantity (doses)]]/Table3[[#This Row],[Doses per vial or syringe]],"")</f>
        <v/>
      </c>
      <c r="N524" s="127"/>
      <c r="O524" s="127"/>
      <c r="P524" s="381"/>
      <c r="Q524" s="129"/>
      <c r="R524" s="127"/>
      <c r="S524" s="127"/>
      <c r="T524" s="127"/>
      <c r="U524" s="127"/>
      <c r="V524" s="305" t="str">
        <f>_xlfn.IFNA(VLOOKUP(D524,ProductListTbl[],9,0),"")</f>
        <v/>
      </c>
      <c r="W524" s="305" t="str">
        <f>IFERROR(Table3[[#This Row],[Storage space per secondary packaging (cm3)]]*Table3[[#This Row],[Quantity  (vials or syringes)]]/1000,"")</f>
        <v/>
      </c>
      <c r="X524" s="305" t="str">
        <f>IFERROR(Table3[[#This Row],[Storage space per tertiary packaging (cm3)]]*Table3[[#This Row],[Quantity (doses)]]/1000,"")</f>
        <v/>
      </c>
      <c r="Y524" s="293" t="str">
        <f>IF(Table3[[#This Row],[Status]]="Ordered",(DATE(YEAR(P524),MONTH(P524),1)),IF(Table3[[#This Row],[Status]]="Received",(DATE(YEAR(Q524),MONTH(Q524),1)),""))</f>
        <v/>
      </c>
      <c r="Z524" s="304" t="str">
        <f t="shared" si="32"/>
        <v/>
      </c>
      <c r="AA524" s="48" t="str">
        <f t="shared" si="33"/>
        <v/>
      </c>
      <c r="AB524" s="48" t="str">
        <f t="shared" si="34"/>
        <v/>
      </c>
      <c r="AC524" s="292" t="str">
        <f t="shared" si="35"/>
        <v/>
      </c>
      <c r="AD524" s="48" t="str">
        <f>IF(Table3[[#This Row],[Actual Arrival date]]&gt;0,IF(Table3[[#This Row],[Expected arrival date]]&gt;0,Table3[[#This Row],[Actual Arrival date]]-Table3[[#This Row],[Expected arrival date]],""),"")</f>
        <v/>
      </c>
    </row>
    <row r="525" spans="1:30" x14ac:dyDescent="0.25">
      <c r="A525" s="303" t="str">
        <f>Start!$D$7</f>
        <v>Anyland</v>
      </c>
      <c r="B525" s="48" t="str">
        <f>_xlfn.IFNA(VLOOKUP(A525,list!B:C,2,FALSE),"")</f>
        <v>ANY</v>
      </c>
      <c r="C525" s="48"/>
      <c r="D525" s="127"/>
      <c r="E525" s="48" t="str">
        <f>_xlfn.IFNA(VLOOKUP(Table3[[#This Row],[Product]], ProductListTbl[], 3, 0), "")</f>
        <v/>
      </c>
      <c r="F525" s="303" t="str">
        <f>_xlfn.IFNA(VLOOKUP(D525,ProductListTbl[],5,0),"")</f>
        <v/>
      </c>
      <c r="G525" s="303" t="str">
        <f>_xlfn.IFNA(VLOOKUP(D525,ProductListTbl[],6,0),"")</f>
        <v/>
      </c>
      <c r="H525" s="130" t="str">
        <f>_xlfn.IFNA(VLOOKUP(D525,ProductListTbl[],7,0),"")</f>
        <v/>
      </c>
      <c r="I525" s="130" t="str">
        <f>_xlfn.IFNA(VLOOKUP(D525,ProductListTbl[],8,0),"")</f>
        <v/>
      </c>
      <c r="J525" s="127"/>
      <c r="K525" s="129"/>
      <c r="L525" s="128"/>
      <c r="M525" s="305" t="str">
        <f>IFERROR(Table3[[#This Row],[Quantity (doses)]]/Table3[[#This Row],[Doses per vial or syringe]],"")</f>
        <v/>
      </c>
      <c r="N525" s="127"/>
      <c r="O525" s="127"/>
      <c r="P525" s="381"/>
      <c r="Q525" s="129"/>
      <c r="R525" s="127"/>
      <c r="S525" s="127"/>
      <c r="T525" s="127"/>
      <c r="U525" s="127"/>
      <c r="V525" s="305" t="str">
        <f>_xlfn.IFNA(VLOOKUP(D525,ProductListTbl[],9,0),"")</f>
        <v/>
      </c>
      <c r="W525" s="305" t="str">
        <f>IFERROR(Table3[[#This Row],[Storage space per secondary packaging (cm3)]]*Table3[[#This Row],[Quantity  (vials or syringes)]]/1000,"")</f>
        <v/>
      </c>
      <c r="X525" s="305" t="str">
        <f>IFERROR(Table3[[#This Row],[Storage space per tertiary packaging (cm3)]]*Table3[[#This Row],[Quantity (doses)]]/1000,"")</f>
        <v/>
      </c>
      <c r="Y525" s="293" t="str">
        <f>IF(Table3[[#This Row],[Status]]="Ordered",(DATE(YEAR(P525),MONTH(P525),1)),IF(Table3[[#This Row],[Status]]="Received",(DATE(YEAR(Q525),MONTH(Q525),1)),""))</f>
        <v/>
      </c>
      <c r="Z525" s="304" t="str">
        <f t="shared" si="32"/>
        <v/>
      </c>
      <c r="AA525" s="48" t="str">
        <f t="shared" si="33"/>
        <v/>
      </c>
      <c r="AB525" s="48" t="str">
        <f t="shared" si="34"/>
        <v/>
      </c>
      <c r="AC525" s="292" t="str">
        <f t="shared" si="35"/>
        <v/>
      </c>
      <c r="AD525" s="48" t="str">
        <f>IF(Table3[[#This Row],[Actual Arrival date]]&gt;0,IF(Table3[[#This Row],[Expected arrival date]]&gt;0,Table3[[#This Row],[Actual Arrival date]]-Table3[[#This Row],[Expected arrival date]],""),"")</f>
        <v/>
      </c>
    </row>
    <row r="526" spans="1:30" x14ac:dyDescent="0.25">
      <c r="A526" s="303" t="str">
        <f>Start!$D$7</f>
        <v>Anyland</v>
      </c>
      <c r="B526" s="48" t="str">
        <f>_xlfn.IFNA(VLOOKUP(A526,list!B:C,2,FALSE),"")</f>
        <v>ANY</v>
      </c>
      <c r="C526" s="48"/>
      <c r="D526" s="127"/>
      <c r="E526" s="48" t="str">
        <f>_xlfn.IFNA(VLOOKUP(Table3[[#This Row],[Product]], ProductListTbl[], 3, 0), "")</f>
        <v/>
      </c>
      <c r="F526" s="303" t="str">
        <f>_xlfn.IFNA(VLOOKUP(D526,ProductListTbl[],5,0),"")</f>
        <v/>
      </c>
      <c r="G526" s="303" t="str">
        <f>_xlfn.IFNA(VLOOKUP(D526,ProductListTbl[],6,0),"")</f>
        <v/>
      </c>
      <c r="H526" s="130" t="str">
        <f>_xlfn.IFNA(VLOOKUP(D526,ProductListTbl[],7,0),"")</f>
        <v/>
      </c>
      <c r="I526" s="130" t="str">
        <f>_xlfn.IFNA(VLOOKUP(D526,ProductListTbl[],8,0),"")</f>
        <v/>
      </c>
      <c r="J526" s="127"/>
      <c r="K526" s="129"/>
      <c r="L526" s="128"/>
      <c r="M526" s="305" t="str">
        <f>IFERROR(Table3[[#This Row],[Quantity (doses)]]/Table3[[#This Row],[Doses per vial or syringe]],"")</f>
        <v/>
      </c>
      <c r="N526" s="127"/>
      <c r="O526" s="127"/>
      <c r="P526" s="381"/>
      <c r="Q526" s="129"/>
      <c r="R526" s="127"/>
      <c r="S526" s="127"/>
      <c r="T526" s="127"/>
      <c r="U526" s="127"/>
      <c r="V526" s="305" t="str">
        <f>_xlfn.IFNA(VLOOKUP(D526,ProductListTbl[],9,0),"")</f>
        <v/>
      </c>
      <c r="W526" s="305" t="str">
        <f>IFERROR(Table3[[#This Row],[Storage space per secondary packaging (cm3)]]*Table3[[#This Row],[Quantity  (vials or syringes)]]/1000,"")</f>
        <v/>
      </c>
      <c r="X526" s="305" t="str">
        <f>IFERROR(Table3[[#This Row],[Storage space per tertiary packaging (cm3)]]*Table3[[#This Row],[Quantity (doses)]]/1000,"")</f>
        <v/>
      </c>
      <c r="Y526" s="293" t="str">
        <f>IF(Table3[[#This Row],[Status]]="Ordered",(DATE(YEAR(P526),MONTH(P526),1)),IF(Table3[[#This Row],[Status]]="Received",(DATE(YEAR(Q526),MONTH(Q526),1)),""))</f>
        <v/>
      </c>
      <c r="Z526" s="304" t="str">
        <f t="shared" si="32"/>
        <v/>
      </c>
      <c r="AA526" s="48" t="str">
        <f t="shared" si="33"/>
        <v/>
      </c>
      <c r="AB526" s="48" t="str">
        <f t="shared" si="34"/>
        <v/>
      </c>
      <c r="AC526" s="292" t="str">
        <f t="shared" si="35"/>
        <v/>
      </c>
      <c r="AD526" s="48" t="str">
        <f>IF(Table3[[#This Row],[Actual Arrival date]]&gt;0,IF(Table3[[#This Row],[Expected arrival date]]&gt;0,Table3[[#This Row],[Actual Arrival date]]-Table3[[#This Row],[Expected arrival date]],""),"")</f>
        <v/>
      </c>
    </row>
    <row r="527" spans="1:30" x14ac:dyDescent="0.25">
      <c r="A527" s="303" t="str">
        <f>Start!$D$7</f>
        <v>Anyland</v>
      </c>
      <c r="B527" s="48" t="str">
        <f>_xlfn.IFNA(VLOOKUP(A527,list!B:C,2,FALSE),"")</f>
        <v>ANY</v>
      </c>
      <c r="C527" s="48"/>
      <c r="D527" s="127"/>
      <c r="E527" s="48" t="str">
        <f>_xlfn.IFNA(VLOOKUP(Table3[[#This Row],[Product]], ProductListTbl[], 3, 0), "")</f>
        <v/>
      </c>
      <c r="F527" s="303" t="str">
        <f>_xlfn.IFNA(VLOOKUP(D527,ProductListTbl[],5,0),"")</f>
        <v/>
      </c>
      <c r="G527" s="303" t="str">
        <f>_xlfn.IFNA(VLOOKUP(D527,ProductListTbl[],6,0),"")</f>
        <v/>
      </c>
      <c r="H527" s="130" t="str">
        <f>_xlfn.IFNA(VLOOKUP(D527,ProductListTbl[],7,0),"")</f>
        <v/>
      </c>
      <c r="I527" s="130" t="str">
        <f>_xlfn.IFNA(VLOOKUP(D527,ProductListTbl[],8,0),"")</f>
        <v/>
      </c>
      <c r="J527" s="127"/>
      <c r="K527" s="129"/>
      <c r="L527" s="128"/>
      <c r="M527" s="305" t="str">
        <f>IFERROR(Table3[[#This Row],[Quantity (doses)]]/Table3[[#This Row],[Doses per vial or syringe]],"")</f>
        <v/>
      </c>
      <c r="N527" s="127"/>
      <c r="O527" s="127"/>
      <c r="P527" s="381"/>
      <c r="Q527" s="129"/>
      <c r="R527" s="127"/>
      <c r="S527" s="127"/>
      <c r="T527" s="127"/>
      <c r="U527" s="127"/>
      <c r="V527" s="305" t="str">
        <f>_xlfn.IFNA(VLOOKUP(D527,ProductListTbl[],9,0),"")</f>
        <v/>
      </c>
      <c r="W527" s="305" t="str">
        <f>IFERROR(Table3[[#This Row],[Storage space per secondary packaging (cm3)]]*Table3[[#This Row],[Quantity  (vials or syringes)]]/1000,"")</f>
        <v/>
      </c>
      <c r="X527" s="305" t="str">
        <f>IFERROR(Table3[[#This Row],[Storage space per tertiary packaging (cm3)]]*Table3[[#This Row],[Quantity (doses)]]/1000,"")</f>
        <v/>
      </c>
      <c r="Y527" s="293" t="str">
        <f>IF(Table3[[#This Row],[Status]]="Ordered",(DATE(YEAR(P527),MONTH(P527),1)),IF(Table3[[#This Row],[Status]]="Received",(DATE(YEAR(Q527),MONTH(Q527),1)),""))</f>
        <v/>
      </c>
      <c r="Z527" s="304" t="str">
        <f t="shared" si="32"/>
        <v/>
      </c>
      <c r="AA527" s="48" t="str">
        <f t="shared" si="33"/>
        <v/>
      </c>
      <c r="AB527" s="48" t="str">
        <f t="shared" si="34"/>
        <v/>
      </c>
      <c r="AC527" s="292" t="str">
        <f t="shared" si="35"/>
        <v/>
      </c>
      <c r="AD527" s="48" t="str">
        <f>IF(Table3[[#This Row],[Actual Arrival date]]&gt;0,IF(Table3[[#This Row],[Expected arrival date]]&gt;0,Table3[[#This Row],[Actual Arrival date]]-Table3[[#This Row],[Expected arrival date]],""),"")</f>
        <v/>
      </c>
    </row>
    <row r="528" spans="1:30" x14ac:dyDescent="0.25">
      <c r="A528" s="303" t="str">
        <f>Start!$D$7</f>
        <v>Anyland</v>
      </c>
      <c r="B528" s="48" t="str">
        <f>_xlfn.IFNA(VLOOKUP(A528,list!B:C,2,FALSE),"")</f>
        <v>ANY</v>
      </c>
      <c r="C528" s="48"/>
      <c r="D528" s="127"/>
      <c r="E528" s="48" t="str">
        <f>_xlfn.IFNA(VLOOKUP(Table3[[#This Row],[Product]], ProductListTbl[], 3, 0), "")</f>
        <v/>
      </c>
      <c r="F528" s="303" t="str">
        <f>_xlfn.IFNA(VLOOKUP(D528,ProductListTbl[],5,0),"")</f>
        <v/>
      </c>
      <c r="G528" s="303" t="str">
        <f>_xlfn.IFNA(VLOOKUP(D528,ProductListTbl[],6,0),"")</f>
        <v/>
      </c>
      <c r="H528" s="130" t="str">
        <f>_xlfn.IFNA(VLOOKUP(D528,ProductListTbl[],7,0),"")</f>
        <v/>
      </c>
      <c r="I528" s="130" t="str">
        <f>_xlfn.IFNA(VLOOKUP(D528,ProductListTbl[],8,0),"")</f>
        <v/>
      </c>
      <c r="J528" s="127"/>
      <c r="K528" s="129"/>
      <c r="L528" s="128"/>
      <c r="M528" s="305" t="str">
        <f>IFERROR(Table3[[#This Row],[Quantity (doses)]]/Table3[[#This Row],[Doses per vial or syringe]],"")</f>
        <v/>
      </c>
      <c r="N528" s="127"/>
      <c r="O528" s="127"/>
      <c r="P528" s="381"/>
      <c r="Q528" s="129"/>
      <c r="R528" s="127"/>
      <c r="S528" s="127"/>
      <c r="T528" s="127"/>
      <c r="U528" s="127"/>
      <c r="V528" s="305" t="str">
        <f>_xlfn.IFNA(VLOOKUP(D528,ProductListTbl[],9,0),"")</f>
        <v/>
      </c>
      <c r="W528" s="305" t="str">
        <f>IFERROR(Table3[[#This Row],[Storage space per secondary packaging (cm3)]]*Table3[[#This Row],[Quantity  (vials or syringes)]]/1000,"")</f>
        <v/>
      </c>
      <c r="X528" s="305" t="str">
        <f>IFERROR(Table3[[#This Row],[Storage space per tertiary packaging (cm3)]]*Table3[[#This Row],[Quantity (doses)]]/1000,"")</f>
        <v/>
      </c>
      <c r="Y528" s="293" t="str">
        <f>IF(Table3[[#This Row],[Status]]="Ordered",(DATE(YEAR(P528),MONTH(P528),1)),IF(Table3[[#This Row],[Status]]="Received",(DATE(YEAR(Q528),MONTH(Q528),1)),""))</f>
        <v/>
      </c>
      <c r="Z528" s="304" t="str">
        <f t="shared" si="32"/>
        <v/>
      </c>
      <c r="AA528" s="48" t="str">
        <f t="shared" si="33"/>
        <v/>
      </c>
      <c r="AB528" s="48" t="str">
        <f t="shared" si="34"/>
        <v/>
      </c>
      <c r="AC528" s="292" t="str">
        <f t="shared" si="35"/>
        <v/>
      </c>
      <c r="AD528" s="48" t="str">
        <f>IF(Table3[[#This Row],[Actual Arrival date]]&gt;0,IF(Table3[[#This Row],[Expected arrival date]]&gt;0,Table3[[#This Row],[Actual Arrival date]]-Table3[[#This Row],[Expected arrival date]],""),"")</f>
        <v/>
      </c>
    </row>
    <row r="529" spans="1:30" x14ac:dyDescent="0.25">
      <c r="A529" s="303" t="str">
        <f>Start!$D$7</f>
        <v>Anyland</v>
      </c>
      <c r="B529" s="48" t="str">
        <f>_xlfn.IFNA(VLOOKUP(A529,list!B:C,2,FALSE),"")</f>
        <v>ANY</v>
      </c>
      <c r="C529" s="48"/>
      <c r="D529" s="127"/>
      <c r="E529" s="48" t="str">
        <f>_xlfn.IFNA(VLOOKUP(Table3[[#This Row],[Product]], ProductListTbl[], 3, 0), "")</f>
        <v/>
      </c>
      <c r="F529" s="303" t="str">
        <f>_xlfn.IFNA(VLOOKUP(D529,ProductListTbl[],5,0),"")</f>
        <v/>
      </c>
      <c r="G529" s="303" t="str">
        <f>_xlfn.IFNA(VLOOKUP(D529,ProductListTbl[],6,0),"")</f>
        <v/>
      </c>
      <c r="H529" s="130" t="str">
        <f>_xlfn.IFNA(VLOOKUP(D529,ProductListTbl[],7,0),"")</f>
        <v/>
      </c>
      <c r="I529" s="130" t="str">
        <f>_xlfn.IFNA(VLOOKUP(D529,ProductListTbl[],8,0),"")</f>
        <v/>
      </c>
      <c r="J529" s="127"/>
      <c r="K529" s="129"/>
      <c r="L529" s="128"/>
      <c r="M529" s="305" t="str">
        <f>IFERROR(Table3[[#This Row],[Quantity (doses)]]/Table3[[#This Row],[Doses per vial or syringe]],"")</f>
        <v/>
      </c>
      <c r="N529" s="127"/>
      <c r="O529" s="127"/>
      <c r="P529" s="381"/>
      <c r="Q529" s="129"/>
      <c r="R529" s="127"/>
      <c r="S529" s="127"/>
      <c r="T529" s="127"/>
      <c r="U529" s="127"/>
      <c r="V529" s="305" t="str">
        <f>_xlfn.IFNA(VLOOKUP(D529,ProductListTbl[],9,0),"")</f>
        <v/>
      </c>
      <c r="W529" s="305" t="str">
        <f>IFERROR(Table3[[#This Row],[Storage space per secondary packaging (cm3)]]*Table3[[#This Row],[Quantity  (vials or syringes)]]/1000,"")</f>
        <v/>
      </c>
      <c r="X529" s="305" t="str">
        <f>IFERROR(Table3[[#This Row],[Storage space per tertiary packaging (cm3)]]*Table3[[#This Row],[Quantity (doses)]]/1000,"")</f>
        <v/>
      </c>
      <c r="Y529" s="293" t="str">
        <f>IF(Table3[[#This Row],[Status]]="Ordered",(DATE(YEAR(P529),MONTH(P529),1)),IF(Table3[[#This Row],[Status]]="Received",(DATE(YEAR(Q529),MONTH(Q529),1)),""))</f>
        <v/>
      </c>
      <c r="Z529" s="304" t="str">
        <f t="shared" si="32"/>
        <v/>
      </c>
      <c r="AA529" s="48" t="str">
        <f t="shared" si="33"/>
        <v/>
      </c>
      <c r="AB529" s="48" t="str">
        <f t="shared" si="34"/>
        <v/>
      </c>
      <c r="AC529" s="292" t="str">
        <f t="shared" si="35"/>
        <v/>
      </c>
      <c r="AD529" s="48" t="str">
        <f>IF(Table3[[#This Row],[Actual Arrival date]]&gt;0,IF(Table3[[#This Row],[Expected arrival date]]&gt;0,Table3[[#This Row],[Actual Arrival date]]-Table3[[#This Row],[Expected arrival date]],""),"")</f>
        <v/>
      </c>
    </row>
    <row r="530" spans="1:30" x14ac:dyDescent="0.25">
      <c r="A530" s="303" t="str">
        <f>Start!$D$7</f>
        <v>Anyland</v>
      </c>
      <c r="B530" s="48" t="str">
        <f>_xlfn.IFNA(VLOOKUP(A530,list!B:C,2,FALSE),"")</f>
        <v>ANY</v>
      </c>
      <c r="C530" s="48"/>
      <c r="D530" s="127"/>
      <c r="E530" s="48" t="str">
        <f>_xlfn.IFNA(VLOOKUP(Table3[[#This Row],[Product]], ProductListTbl[], 3, 0), "")</f>
        <v/>
      </c>
      <c r="F530" s="303" t="str">
        <f>_xlfn.IFNA(VLOOKUP(D530,ProductListTbl[],5,0),"")</f>
        <v/>
      </c>
      <c r="G530" s="303" t="str">
        <f>_xlfn.IFNA(VLOOKUP(D530,ProductListTbl[],6,0),"")</f>
        <v/>
      </c>
      <c r="H530" s="130" t="str">
        <f>_xlfn.IFNA(VLOOKUP(D530,ProductListTbl[],7,0),"")</f>
        <v/>
      </c>
      <c r="I530" s="130" t="str">
        <f>_xlfn.IFNA(VLOOKUP(D530,ProductListTbl[],8,0),"")</f>
        <v/>
      </c>
      <c r="J530" s="127"/>
      <c r="K530" s="129"/>
      <c r="L530" s="128"/>
      <c r="M530" s="305" t="str">
        <f>IFERROR(Table3[[#This Row],[Quantity (doses)]]/Table3[[#This Row],[Doses per vial or syringe]],"")</f>
        <v/>
      </c>
      <c r="N530" s="127"/>
      <c r="O530" s="127"/>
      <c r="P530" s="381"/>
      <c r="Q530" s="129"/>
      <c r="R530" s="127"/>
      <c r="S530" s="127"/>
      <c r="T530" s="127"/>
      <c r="U530" s="127"/>
      <c r="V530" s="305" t="str">
        <f>_xlfn.IFNA(VLOOKUP(D530,ProductListTbl[],9,0),"")</f>
        <v/>
      </c>
      <c r="W530" s="305" t="str">
        <f>IFERROR(Table3[[#This Row],[Storage space per secondary packaging (cm3)]]*Table3[[#This Row],[Quantity  (vials or syringes)]]/1000,"")</f>
        <v/>
      </c>
      <c r="X530" s="305" t="str">
        <f>IFERROR(Table3[[#This Row],[Storage space per tertiary packaging (cm3)]]*Table3[[#This Row],[Quantity (doses)]]/1000,"")</f>
        <v/>
      </c>
      <c r="Y530" s="293" t="str">
        <f>IF(Table3[[#This Row],[Status]]="Ordered",(DATE(YEAR(P530),MONTH(P530),1)),IF(Table3[[#This Row],[Status]]="Received",(DATE(YEAR(Q530),MONTH(Q530),1)),""))</f>
        <v/>
      </c>
      <c r="Z530" s="304" t="str">
        <f t="shared" si="32"/>
        <v/>
      </c>
      <c r="AA530" s="48" t="str">
        <f t="shared" si="33"/>
        <v/>
      </c>
      <c r="AB530" s="48" t="str">
        <f t="shared" si="34"/>
        <v/>
      </c>
      <c r="AC530" s="292" t="str">
        <f t="shared" si="35"/>
        <v/>
      </c>
      <c r="AD530" s="48" t="str">
        <f>IF(Table3[[#This Row],[Actual Arrival date]]&gt;0,IF(Table3[[#This Row],[Expected arrival date]]&gt;0,Table3[[#This Row],[Actual Arrival date]]-Table3[[#This Row],[Expected arrival date]],""),"")</f>
        <v/>
      </c>
    </row>
    <row r="531" spans="1:30" x14ac:dyDescent="0.25">
      <c r="A531" s="303" t="str">
        <f>Start!$D$7</f>
        <v>Anyland</v>
      </c>
      <c r="B531" s="48" t="str">
        <f>_xlfn.IFNA(VLOOKUP(A531,list!B:C,2,FALSE),"")</f>
        <v>ANY</v>
      </c>
      <c r="C531" s="48"/>
      <c r="D531" s="127"/>
      <c r="E531" s="48" t="str">
        <f>_xlfn.IFNA(VLOOKUP(Table3[[#This Row],[Product]], ProductListTbl[], 3, 0), "")</f>
        <v/>
      </c>
      <c r="F531" s="303" t="str">
        <f>_xlfn.IFNA(VLOOKUP(D531,ProductListTbl[],5,0),"")</f>
        <v/>
      </c>
      <c r="G531" s="303" t="str">
        <f>_xlfn.IFNA(VLOOKUP(D531,ProductListTbl[],6,0),"")</f>
        <v/>
      </c>
      <c r="H531" s="130" t="str">
        <f>_xlfn.IFNA(VLOOKUP(D531,ProductListTbl[],7,0),"")</f>
        <v/>
      </c>
      <c r="I531" s="130" t="str">
        <f>_xlfn.IFNA(VLOOKUP(D531,ProductListTbl[],8,0),"")</f>
        <v/>
      </c>
      <c r="J531" s="127"/>
      <c r="K531" s="129"/>
      <c r="L531" s="128"/>
      <c r="M531" s="305" t="str">
        <f>IFERROR(Table3[[#This Row],[Quantity (doses)]]/Table3[[#This Row],[Doses per vial or syringe]],"")</f>
        <v/>
      </c>
      <c r="N531" s="127"/>
      <c r="O531" s="127"/>
      <c r="P531" s="381"/>
      <c r="Q531" s="129"/>
      <c r="R531" s="127"/>
      <c r="S531" s="127"/>
      <c r="T531" s="127"/>
      <c r="U531" s="127"/>
      <c r="V531" s="305" t="str">
        <f>_xlfn.IFNA(VLOOKUP(D531,ProductListTbl[],9,0),"")</f>
        <v/>
      </c>
      <c r="W531" s="305" t="str">
        <f>IFERROR(Table3[[#This Row],[Storage space per secondary packaging (cm3)]]*Table3[[#This Row],[Quantity  (vials or syringes)]]/1000,"")</f>
        <v/>
      </c>
      <c r="X531" s="305" t="str">
        <f>IFERROR(Table3[[#This Row],[Storage space per tertiary packaging (cm3)]]*Table3[[#This Row],[Quantity (doses)]]/1000,"")</f>
        <v/>
      </c>
      <c r="Y531" s="293" t="str">
        <f>IF(Table3[[#This Row],[Status]]="Ordered",(DATE(YEAR(P531),MONTH(P531),1)),IF(Table3[[#This Row],[Status]]="Received",(DATE(YEAR(Q531),MONTH(Q531),1)),""))</f>
        <v/>
      </c>
      <c r="Z531" s="304" t="str">
        <f t="shared" si="32"/>
        <v/>
      </c>
      <c r="AA531" s="48" t="str">
        <f t="shared" si="33"/>
        <v/>
      </c>
      <c r="AB531" s="48" t="str">
        <f t="shared" si="34"/>
        <v/>
      </c>
      <c r="AC531" s="292" t="str">
        <f t="shared" si="35"/>
        <v/>
      </c>
      <c r="AD531" s="48" t="str">
        <f>IF(Table3[[#This Row],[Actual Arrival date]]&gt;0,IF(Table3[[#This Row],[Expected arrival date]]&gt;0,Table3[[#This Row],[Actual Arrival date]]-Table3[[#This Row],[Expected arrival date]],""),"")</f>
        <v/>
      </c>
    </row>
    <row r="532" spans="1:30" x14ac:dyDescent="0.25">
      <c r="A532" s="303" t="str">
        <f>Start!$D$7</f>
        <v>Anyland</v>
      </c>
      <c r="B532" s="48" t="str">
        <f>_xlfn.IFNA(VLOOKUP(A532,list!B:C,2,FALSE),"")</f>
        <v>ANY</v>
      </c>
      <c r="C532" s="48"/>
      <c r="D532" s="127"/>
      <c r="E532" s="48" t="str">
        <f>_xlfn.IFNA(VLOOKUP(Table3[[#This Row],[Product]], ProductListTbl[], 3, 0), "")</f>
        <v/>
      </c>
      <c r="F532" s="303" t="str">
        <f>_xlfn.IFNA(VLOOKUP(D532,ProductListTbl[],5,0),"")</f>
        <v/>
      </c>
      <c r="G532" s="303" t="str">
        <f>_xlfn.IFNA(VLOOKUP(D532,ProductListTbl[],6,0),"")</f>
        <v/>
      </c>
      <c r="H532" s="130" t="str">
        <f>_xlfn.IFNA(VLOOKUP(D532,ProductListTbl[],7,0),"")</f>
        <v/>
      </c>
      <c r="I532" s="130" t="str">
        <f>_xlfn.IFNA(VLOOKUP(D532,ProductListTbl[],8,0),"")</f>
        <v/>
      </c>
      <c r="J532" s="127"/>
      <c r="K532" s="129"/>
      <c r="L532" s="128"/>
      <c r="M532" s="305" t="str">
        <f>IFERROR(Table3[[#This Row],[Quantity (doses)]]/Table3[[#This Row],[Doses per vial or syringe]],"")</f>
        <v/>
      </c>
      <c r="N532" s="127"/>
      <c r="O532" s="127"/>
      <c r="P532" s="381"/>
      <c r="Q532" s="129"/>
      <c r="R532" s="127"/>
      <c r="S532" s="127"/>
      <c r="T532" s="127"/>
      <c r="U532" s="127"/>
      <c r="V532" s="305" t="str">
        <f>_xlfn.IFNA(VLOOKUP(D532,ProductListTbl[],9,0),"")</f>
        <v/>
      </c>
      <c r="W532" s="305" t="str">
        <f>IFERROR(Table3[[#This Row],[Storage space per secondary packaging (cm3)]]*Table3[[#This Row],[Quantity  (vials or syringes)]]/1000,"")</f>
        <v/>
      </c>
      <c r="X532" s="305" t="str">
        <f>IFERROR(Table3[[#This Row],[Storage space per tertiary packaging (cm3)]]*Table3[[#This Row],[Quantity (doses)]]/1000,"")</f>
        <v/>
      </c>
      <c r="Y532" s="293" t="str">
        <f>IF(Table3[[#This Row],[Status]]="Ordered",(DATE(YEAR(P532),MONTH(P532),1)),IF(Table3[[#This Row],[Status]]="Received",(DATE(YEAR(Q532),MONTH(Q532),1)),""))</f>
        <v/>
      </c>
      <c r="Z532" s="304" t="str">
        <f t="shared" si="32"/>
        <v/>
      </c>
      <c r="AA532" s="48" t="str">
        <f t="shared" si="33"/>
        <v/>
      </c>
      <c r="AB532" s="48" t="str">
        <f t="shared" si="34"/>
        <v/>
      </c>
      <c r="AC532" s="292" t="str">
        <f t="shared" si="35"/>
        <v/>
      </c>
      <c r="AD532" s="48" t="str">
        <f>IF(Table3[[#This Row],[Actual Arrival date]]&gt;0,IF(Table3[[#This Row],[Expected arrival date]]&gt;0,Table3[[#This Row],[Actual Arrival date]]-Table3[[#This Row],[Expected arrival date]],""),"")</f>
        <v/>
      </c>
    </row>
    <row r="533" spans="1:30" x14ac:dyDescent="0.25">
      <c r="A533" s="303" t="str">
        <f>Start!$D$7</f>
        <v>Anyland</v>
      </c>
      <c r="B533" s="48" t="str">
        <f>_xlfn.IFNA(VLOOKUP(A533,list!B:C,2,FALSE),"")</f>
        <v>ANY</v>
      </c>
      <c r="C533" s="48"/>
      <c r="D533" s="127"/>
      <c r="E533" s="48" t="str">
        <f>_xlfn.IFNA(VLOOKUP(Table3[[#This Row],[Product]], ProductListTbl[], 3, 0), "")</f>
        <v/>
      </c>
      <c r="F533" s="303" t="str">
        <f>_xlfn.IFNA(VLOOKUP(D533,ProductListTbl[],5,0),"")</f>
        <v/>
      </c>
      <c r="G533" s="303" t="str">
        <f>_xlfn.IFNA(VLOOKUP(D533,ProductListTbl[],6,0),"")</f>
        <v/>
      </c>
      <c r="H533" s="130" t="str">
        <f>_xlfn.IFNA(VLOOKUP(D533,ProductListTbl[],7,0),"")</f>
        <v/>
      </c>
      <c r="I533" s="130" t="str">
        <f>_xlfn.IFNA(VLOOKUP(D533,ProductListTbl[],8,0),"")</f>
        <v/>
      </c>
      <c r="J533" s="127"/>
      <c r="K533" s="129"/>
      <c r="L533" s="128"/>
      <c r="M533" s="305" t="str">
        <f>IFERROR(Table3[[#This Row],[Quantity (doses)]]/Table3[[#This Row],[Doses per vial or syringe]],"")</f>
        <v/>
      </c>
      <c r="N533" s="127"/>
      <c r="O533" s="127"/>
      <c r="P533" s="381"/>
      <c r="Q533" s="129"/>
      <c r="R533" s="127"/>
      <c r="S533" s="127"/>
      <c r="T533" s="127"/>
      <c r="U533" s="127"/>
      <c r="V533" s="305" t="str">
        <f>_xlfn.IFNA(VLOOKUP(D533,ProductListTbl[],9,0),"")</f>
        <v/>
      </c>
      <c r="W533" s="305" t="str">
        <f>IFERROR(Table3[[#This Row],[Storage space per secondary packaging (cm3)]]*Table3[[#This Row],[Quantity  (vials or syringes)]]/1000,"")</f>
        <v/>
      </c>
      <c r="X533" s="305" t="str">
        <f>IFERROR(Table3[[#This Row],[Storage space per tertiary packaging (cm3)]]*Table3[[#This Row],[Quantity (doses)]]/1000,"")</f>
        <v/>
      </c>
      <c r="Y533" s="293" t="str">
        <f>IF(Table3[[#This Row],[Status]]="Ordered",(DATE(YEAR(P533),MONTH(P533),1)),IF(Table3[[#This Row],[Status]]="Received",(DATE(YEAR(Q533),MONTH(Q533),1)),""))</f>
        <v/>
      </c>
      <c r="Z533" s="304" t="str">
        <f t="shared" si="32"/>
        <v/>
      </c>
      <c r="AA533" s="48" t="str">
        <f t="shared" si="33"/>
        <v/>
      </c>
      <c r="AB533" s="48" t="str">
        <f t="shared" si="34"/>
        <v/>
      </c>
      <c r="AC533" s="292" t="str">
        <f t="shared" si="35"/>
        <v/>
      </c>
      <c r="AD533" s="48" t="str">
        <f>IF(Table3[[#This Row],[Actual Arrival date]]&gt;0,IF(Table3[[#This Row],[Expected arrival date]]&gt;0,Table3[[#This Row],[Actual Arrival date]]-Table3[[#This Row],[Expected arrival date]],""),"")</f>
        <v/>
      </c>
    </row>
    <row r="534" spans="1:30" x14ac:dyDescent="0.25">
      <c r="A534" s="303" t="str">
        <f>Start!$D$7</f>
        <v>Anyland</v>
      </c>
      <c r="B534" s="48" t="str">
        <f>_xlfn.IFNA(VLOOKUP(A534,list!B:C,2,FALSE),"")</f>
        <v>ANY</v>
      </c>
      <c r="C534" s="48"/>
      <c r="D534" s="127"/>
      <c r="E534" s="48" t="str">
        <f>_xlfn.IFNA(VLOOKUP(Table3[[#This Row],[Product]], ProductListTbl[], 3, 0), "")</f>
        <v/>
      </c>
      <c r="F534" s="303" t="str">
        <f>_xlfn.IFNA(VLOOKUP(D534,ProductListTbl[],5,0),"")</f>
        <v/>
      </c>
      <c r="G534" s="303" t="str">
        <f>_xlfn.IFNA(VLOOKUP(D534,ProductListTbl[],6,0),"")</f>
        <v/>
      </c>
      <c r="H534" s="130" t="str">
        <f>_xlfn.IFNA(VLOOKUP(D534,ProductListTbl[],7,0),"")</f>
        <v/>
      </c>
      <c r="I534" s="130" t="str">
        <f>_xlfn.IFNA(VLOOKUP(D534,ProductListTbl[],8,0),"")</f>
        <v/>
      </c>
      <c r="J534" s="127"/>
      <c r="K534" s="129"/>
      <c r="L534" s="128"/>
      <c r="M534" s="305" t="str">
        <f>IFERROR(Table3[[#This Row],[Quantity (doses)]]/Table3[[#This Row],[Doses per vial or syringe]],"")</f>
        <v/>
      </c>
      <c r="N534" s="127"/>
      <c r="O534" s="127"/>
      <c r="P534" s="381"/>
      <c r="Q534" s="129"/>
      <c r="R534" s="127"/>
      <c r="S534" s="127"/>
      <c r="T534" s="127"/>
      <c r="U534" s="127"/>
      <c r="V534" s="305" t="str">
        <f>_xlfn.IFNA(VLOOKUP(D534,ProductListTbl[],9,0),"")</f>
        <v/>
      </c>
      <c r="W534" s="305" t="str">
        <f>IFERROR(Table3[[#This Row],[Storage space per secondary packaging (cm3)]]*Table3[[#This Row],[Quantity  (vials or syringes)]]/1000,"")</f>
        <v/>
      </c>
      <c r="X534" s="305" t="str">
        <f>IFERROR(Table3[[#This Row],[Storage space per tertiary packaging (cm3)]]*Table3[[#This Row],[Quantity (doses)]]/1000,"")</f>
        <v/>
      </c>
      <c r="Y534" s="293" t="str">
        <f>IF(Table3[[#This Row],[Status]]="Ordered",(DATE(YEAR(P534),MONTH(P534),1)),IF(Table3[[#This Row],[Status]]="Received",(DATE(YEAR(Q534),MONTH(Q534),1)),""))</f>
        <v/>
      </c>
      <c r="Z534" s="304" t="str">
        <f t="shared" si="32"/>
        <v/>
      </c>
      <c r="AA534" s="48" t="str">
        <f t="shared" si="33"/>
        <v/>
      </c>
      <c r="AB534" s="48" t="str">
        <f t="shared" si="34"/>
        <v/>
      </c>
      <c r="AC534" s="292" t="str">
        <f t="shared" si="35"/>
        <v/>
      </c>
      <c r="AD534" s="48" t="str">
        <f>IF(Table3[[#This Row],[Actual Arrival date]]&gt;0,IF(Table3[[#This Row],[Expected arrival date]]&gt;0,Table3[[#This Row],[Actual Arrival date]]-Table3[[#This Row],[Expected arrival date]],""),"")</f>
        <v/>
      </c>
    </row>
    <row r="535" spans="1:30" x14ac:dyDescent="0.25">
      <c r="A535" s="303" t="str">
        <f>Start!$D$7</f>
        <v>Anyland</v>
      </c>
      <c r="B535" s="48" t="str">
        <f>_xlfn.IFNA(VLOOKUP(A535,list!B:C,2,FALSE),"")</f>
        <v>ANY</v>
      </c>
      <c r="C535" s="48"/>
      <c r="D535" s="127"/>
      <c r="E535" s="48" t="str">
        <f>_xlfn.IFNA(VLOOKUP(Table3[[#This Row],[Product]], ProductListTbl[], 3, 0), "")</f>
        <v/>
      </c>
      <c r="F535" s="303" t="str">
        <f>_xlfn.IFNA(VLOOKUP(D535,ProductListTbl[],5,0),"")</f>
        <v/>
      </c>
      <c r="G535" s="303" t="str">
        <f>_xlfn.IFNA(VLOOKUP(D535,ProductListTbl[],6,0),"")</f>
        <v/>
      </c>
      <c r="H535" s="130" t="str">
        <f>_xlfn.IFNA(VLOOKUP(D535,ProductListTbl[],7,0),"")</f>
        <v/>
      </c>
      <c r="I535" s="130" t="str">
        <f>_xlfn.IFNA(VLOOKUP(D535,ProductListTbl[],8,0),"")</f>
        <v/>
      </c>
      <c r="J535" s="127"/>
      <c r="K535" s="129"/>
      <c r="L535" s="128"/>
      <c r="M535" s="305" t="str">
        <f>IFERROR(Table3[[#This Row],[Quantity (doses)]]/Table3[[#This Row],[Doses per vial or syringe]],"")</f>
        <v/>
      </c>
      <c r="N535" s="127"/>
      <c r="O535" s="127"/>
      <c r="P535" s="381"/>
      <c r="Q535" s="129"/>
      <c r="R535" s="127"/>
      <c r="S535" s="127"/>
      <c r="T535" s="127"/>
      <c r="U535" s="127"/>
      <c r="V535" s="305" t="str">
        <f>_xlfn.IFNA(VLOOKUP(D535,ProductListTbl[],9,0),"")</f>
        <v/>
      </c>
      <c r="W535" s="305" t="str">
        <f>IFERROR(Table3[[#This Row],[Storage space per secondary packaging (cm3)]]*Table3[[#This Row],[Quantity  (vials or syringes)]]/1000,"")</f>
        <v/>
      </c>
      <c r="X535" s="305" t="str">
        <f>IFERROR(Table3[[#This Row],[Storage space per tertiary packaging (cm3)]]*Table3[[#This Row],[Quantity (doses)]]/1000,"")</f>
        <v/>
      </c>
      <c r="Y535" s="293" t="str">
        <f>IF(Table3[[#This Row],[Status]]="Ordered",(DATE(YEAR(P535),MONTH(P535),1)),IF(Table3[[#This Row],[Status]]="Received",(DATE(YEAR(Q535),MONTH(Q535),1)),""))</f>
        <v/>
      </c>
      <c r="Z535" s="304" t="str">
        <f t="shared" si="32"/>
        <v/>
      </c>
      <c r="AA535" s="48" t="str">
        <f t="shared" si="33"/>
        <v/>
      </c>
      <c r="AB535" s="48" t="str">
        <f t="shared" si="34"/>
        <v/>
      </c>
      <c r="AC535" s="292" t="str">
        <f t="shared" si="35"/>
        <v/>
      </c>
      <c r="AD535" s="48" t="str">
        <f>IF(Table3[[#This Row],[Actual Arrival date]]&gt;0,IF(Table3[[#This Row],[Expected arrival date]]&gt;0,Table3[[#This Row],[Actual Arrival date]]-Table3[[#This Row],[Expected arrival date]],""),"")</f>
        <v/>
      </c>
    </row>
    <row r="536" spans="1:30" x14ac:dyDescent="0.25">
      <c r="A536" s="303" t="str">
        <f>Start!$D$7</f>
        <v>Anyland</v>
      </c>
      <c r="B536" s="48" t="str">
        <f>_xlfn.IFNA(VLOOKUP(A536,list!B:C,2,FALSE),"")</f>
        <v>ANY</v>
      </c>
      <c r="C536" s="48"/>
      <c r="D536" s="127"/>
      <c r="E536" s="48" t="str">
        <f>_xlfn.IFNA(VLOOKUP(Table3[[#This Row],[Product]], ProductListTbl[], 3, 0), "")</f>
        <v/>
      </c>
      <c r="F536" s="303" t="str">
        <f>_xlfn.IFNA(VLOOKUP(D536,ProductListTbl[],5,0),"")</f>
        <v/>
      </c>
      <c r="G536" s="303" t="str">
        <f>_xlfn.IFNA(VLOOKUP(D536,ProductListTbl[],6,0),"")</f>
        <v/>
      </c>
      <c r="H536" s="130" t="str">
        <f>_xlfn.IFNA(VLOOKUP(D536,ProductListTbl[],7,0),"")</f>
        <v/>
      </c>
      <c r="I536" s="130" t="str">
        <f>_xlfn.IFNA(VLOOKUP(D536,ProductListTbl[],8,0),"")</f>
        <v/>
      </c>
      <c r="J536" s="127"/>
      <c r="K536" s="129"/>
      <c r="L536" s="128"/>
      <c r="M536" s="305" t="str">
        <f>IFERROR(Table3[[#This Row],[Quantity (doses)]]/Table3[[#This Row],[Doses per vial or syringe]],"")</f>
        <v/>
      </c>
      <c r="N536" s="127"/>
      <c r="O536" s="127"/>
      <c r="P536" s="381"/>
      <c r="Q536" s="129"/>
      <c r="R536" s="127"/>
      <c r="S536" s="127"/>
      <c r="T536" s="127"/>
      <c r="U536" s="127"/>
      <c r="V536" s="305" t="str">
        <f>_xlfn.IFNA(VLOOKUP(D536,ProductListTbl[],9,0),"")</f>
        <v/>
      </c>
      <c r="W536" s="305" t="str">
        <f>IFERROR(Table3[[#This Row],[Storage space per secondary packaging (cm3)]]*Table3[[#This Row],[Quantity  (vials or syringes)]]/1000,"")</f>
        <v/>
      </c>
      <c r="X536" s="305" t="str">
        <f>IFERROR(Table3[[#This Row],[Storage space per tertiary packaging (cm3)]]*Table3[[#This Row],[Quantity (doses)]]/1000,"")</f>
        <v/>
      </c>
      <c r="Y536" s="293" t="str">
        <f>IF(Table3[[#This Row],[Status]]="Ordered",(DATE(YEAR(P536),MONTH(P536),1)),IF(Table3[[#This Row],[Status]]="Received",(DATE(YEAR(Q536),MONTH(Q536),1)),""))</f>
        <v/>
      </c>
      <c r="Z536" s="304" t="str">
        <f t="shared" si="32"/>
        <v/>
      </c>
      <c r="AA536" s="48" t="str">
        <f t="shared" si="33"/>
        <v/>
      </c>
      <c r="AB536" s="48" t="str">
        <f t="shared" si="34"/>
        <v/>
      </c>
      <c r="AC536" s="292" t="str">
        <f t="shared" si="35"/>
        <v/>
      </c>
      <c r="AD536" s="48" t="str">
        <f>IF(Table3[[#This Row],[Actual Arrival date]]&gt;0,IF(Table3[[#This Row],[Expected arrival date]]&gt;0,Table3[[#This Row],[Actual Arrival date]]-Table3[[#This Row],[Expected arrival date]],""),"")</f>
        <v/>
      </c>
    </row>
    <row r="537" spans="1:30" x14ac:dyDescent="0.25">
      <c r="A537" s="303" t="str">
        <f>Start!$D$7</f>
        <v>Anyland</v>
      </c>
      <c r="B537" s="48" t="str">
        <f>_xlfn.IFNA(VLOOKUP(A537,list!B:C,2,FALSE),"")</f>
        <v>ANY</v>
      </c>
      <c r="C537" s="48"/>
      <c r="D537" s="127"/>
      <c r="E537" s="48" t="str">
        <f>_xlfn.IFNA(VLOOKUP(Table3[[#This Row],[Product]], ProductListTbl[], 3, 0), "")</f>
        <v/>
      </c>
      <c r="F537" s="303" t="str">
        <f>_xlfn.IFNA(VLOOKUP(D537,ProductListTbl[],5,0),"")</f>
        <v/>
      </c>
      <c r="G537" s="303" t="str">
        <f>_xlfn.IFNA(VLOOKUP(D537,ProductListTbl[],6,0),"")</f>
        <v/>
      </c>
      <c r="H537" s="130" t="str">
        <f>_xlfn.IFNA(VLOOKUP(D537,ProductListTbl[],7,0),"")</f>
        <v/>
      </c>
      <c r="I537" s="130" t="str">
        <f>_xlfn.IFNA(VLOOKUP(D537,ProductListTbl[],8,0),"")</f>
        <v/>
      </c>
      <c r="J537" s="127"/>
      <c r="K537" s="129"/>
      <c r="L537" s="128"/>
      <c r="M537" s="305" t="str">
        <f>IFERROR(Table3[[#This Row],[Quantity (doses)]]/Table3[[#This Row],[Doses per vial or syringe]],"")</f>
        <v/>
      </c>
      <c r="N537" s="127"/>
      <c r="O537" s="127"/>
      <c r="P537" s="381"/>
      <c r="Q537" s="129"/>
      <c r="R537" s="127"/>
      <c r="S537" s="127"/>
      <c r="T537" s="127"/>
      <c r="U537" s="127"/>
      <c r="V537" s="305" t="str">
        <f>_xlfn.IFNA(VLOOKUP(D537,ProductListTbl[],9,0),"")</f>
        <v/>
      </c>
      <c r="W537" s="305" t="str">
        <f>IFERROR(Table3[[#This Row],[Storage space per secondary packaging (cm3)]]*Table3[[#This Row],[Quantity  (vials or syringes)]]/1000,"")</f>
        <v/>
      </c>
      <c r="X537" s="305" t="str">
        <f>IFERROR(Table3[[#This Row],[Storage space per tertiary packaging (cm3)]]*Table3[[#This Row],[Quantity (doses)]]/1000,"")</f>
        <v/>
      </c>
      <c r="Y537" s="293" t="str">
        <f>IF(Table3[[#This Row],[Status]]="Ordered",(DATE(YEAR(P537),MONTH(P537),1)),IF(Table3[[#This Row],[Status]]="Received",(DATE(YEAR(Q537),MONTH(Q537),1)),""))</f>
        <v/>
      </c>
      <c r="Z537" s="304" t="str">
        <f t="shared" si="32"/>
        <v/>
      </c>
      <c r="AA537" s="48" t="str">
        <f t="shared" si="33"/>
        <v/>
      </c>
      <c r="AB537" s="48" t="str">
        <f t="shared" si="34"/>
        <v/>
      </c>
      <c r="AC537" s="292" t="str">
        <f t="shared" si="35"/>
        <v/>
      </c>
      <c r="AD537" s="48" t="str">
        <f>IF(Table3[[#This Row],[Actual Arrival date]]&gt;0,IF(Table3[[#This Row],[Expected arrival date]]&gt;0,Table3[[#This Row],[Actual Arrival date]]-Table3[[#This Row],[Expected arrival date]],""),"")</f>
        <v/>
      </c>
    </row>
    <row r="538" spans="1:30" x14ac:dyDescent="0.25">
      <c r="A538" s="303" t="str">
        <f>Start!$D$7</f>
        <v>Anyland</v>
      </c>
      <c r="B538" s="48" t="str">
        <f>_xlfn.IFNA(VLOOKUP(A538,list!B:C,2,FALSE),"")</f>
        <v>ANY</v>
      </c>
      <c r="C538" s="48"/>
      <c r="D538" s="127"/>
      <c r="E538" s="48" t="str">
        <f>_xlfn.IFNA(VLOOKUP(Table3[[#This Row],[Product]], ProductListTbl[], 3, 0), "")</f>
        <v/>
      </c>
      <c r="F538" s="303" t="str">
        <f>_xlfn.IFNA(VLOOKUP(D538,ProductListTbl[],5,0),"")</f>
        <v/>
      </c>
      <c r="G538" s="303" t="str">
        <f>_xlfn.IFNA(VLOOKUP(D538,ProductListTbl[],6,0),"")</f>
        <v/>
      </c>
      <c r="H538" s="130" t="str">
        <f>_xlfn.IFNA(VLOOKUP(D538,ProductListTbl[],7,0),"")</f>
        <v/>
      </c>
      <c r="I538" s="130" t="str">
        <f>_xlfn.IFNA(VLOOKUP(D538,ProductListTbl[],8,0),"")</f>
        <v/>
      </c>
      <c r="J538" s="127"/>
      <c r="K538" s="129"/>
      <c r="L538" s="128"/>
      <c r="M538" s="305" t="str">
        <f>IFERROR(Table3[[#This Row],[Quantity (doses)]]/Table3[[#This Row],[Doses per vial or syringe]],"")</f>
        <v/>
      </c>
      <c r="N538" s="127"/>
      <c r="O538" s="127"/>
      <c r="P538" s="381"/>
      <c r="Q538" s="129"/>
      <c r="R538" s="127"/>
      <c r="S538" s="127"/>
      <c r="T538" s="127"/>
      <c r="U538" s="127"/>
      <c r="V538" s="305" t="str">
        <f>_xlfn.IFNA(VLOOKUP(D538,ProductListTbl[],9,0),"")</f>
        <v/>
      </c>
      <c r="W538" s="305" t="str">
        <f>IFERROR(Table3[[#This Row],[Storage space per secondary packaging (cm3)]]*Table3[[#This Row],[Quantity  (vials or syringes)]]/1000,"")</f>
        <v/>
      </c>
      <c r="X538" s="305" t="str">
        <f>IFERROR(Table3[[#This Row],[Storage space per tertiary packaging (cm3)]]*Table3[[#This Row],[Quantity (doses)]]/1000,"")</f>
        <v/>
      </c>
      <c r="Y538" s="293" t="str">
        <f>IF(Table3[[#This Row],[Status]]="Ordered",(DATE(YEAR(P538),MONTH(P538),1)),IF(Table3[[#This Row],[Status]]="Received",(DATE(YEAR(Q538),MONTH(Q538),1)),""))</f>
        <v/>
      </c>
      <c r="Z538" s="304" t="str">
        <f t="shared" si="32"/>
        <v/>
      </c>
      <c r="AA538" s="48" t="str">
        <f t="shared" si="33"/>
        <v/>
      </c>
      <c r="AB538" s="48" t="str">
        <f t="shared" si="34"/>
        <v/>
      </c>
      <c r="AC538" s="292" t="str">
        <f t="shared" si="35"/>
        <v/>
      </c>
      <c r="AD538" s="48" t="str">
        <f>IF(Table3[[#This Row],[Actual Arrival date]]&gt;0,IF(Table3[[#This Row],[Expected arrival date]]&gt;0,Table3[[#This Row],[Actual Arrival date]]-Table3[[#This Row],[Expected arrival date]],""),"")</f>
        <v/>
      </c>
    </row>
    <row r="539" spans="1:30" x14ac:dyDescent="0.25">
      <c r="A539" s="303" t="str">
        <f>Start!$D$7</f>
        <v>Anyland</v>
      </c>
      <c r="B539" s="48" t="str">
        <f>_xlfn.IFNA(VLOOKUP(A539,list!B:C,2,FALSE),"")</f>
        <v>ANY</v>
      </c>
      <c r="C539" s="48"/>
      <c r="D539" s="127"/>
      <c r="E539" s="48" t="str">
        <f>_xlfn.IFNA(VLOOKUP(Table3[[#This Row],[Product]], ProductListTbl[], 3, 0), "")</f>
        <v/>
      </c>
      <c r="F539" s="303" t="str">
        <f>_xlfn.IFNA(VLOOKUP(D539,ProductListTbl[],5,0),"")</f>
        <v/>
      </c>
      <c r="G539" s="303" t="str">
        <f>_xlfn.IFNA(VLOOKUP(D539,ProductListTbl[],6,0),"")</f>
        <v/>
      </c>
      <c r="H539" s="130" t="str">
        <f>_xlfn.IFNA(VLOOKUP(D539,ProductListTbl[],7,0),"")</f>
        <v/>
      </c>
      <c r="I539" s="130" t="str">
        <f>_xlfn.IFNA(VLOOKUP(D539,ProductListTbl[],8,0),"")</f>
        <v/>
      </c>
      <c r="J539" s="127"/>
      <c r="K539" s="129"/>
      <c r="L539" s="128"/>
      <c r="M539" s="305" t="str">
        <f>IFERROR(Table3[[#This Row],[Quantity (doses)]]/Table3[[#This Row],[Doses per vial or syringe]],"")</f>
        <v/>
      </c>
      <c r="N539" s="127"/>
      <c r="O539" s="127"/>
      <c r="P539" s="381"/>
      <c r="Q539" s="129"/>
      <c r="R539" s="127"/>
      <c r="S539" s="127"/>
      <c r="T539" s="127"/>
      <c r="U539" s="127"/>
      <c r="V539" s="305" t="str">
        <f>_xlfn.IFNA(VLOOKUP(D539,ProductListTbl[],9,0),"")</f>
        <v/>
      </c>
      <c r="W539" s="305" t="str">
        <f>IFERROR(Table3[[#This Row],[Storage space per secondary packaging (cm3)]]*Table3[[#This Row],[Quantity  (vials or syringes)]]/1000,"")</f>
        <v/>
      </c>
      <c r="X539" s="305" t="str">
        <f>IFERROR(Table3[[#This Row],[Storage space per tertiary packaging (cm3)]]*Table3[[#This Row],[Quantity (doses)]]/1000,"")</f>
        <v/>
      </c>
      <c r="Y539" s="293" t="str">
        <f>IF(Table3[[#This Row],[Status]]="Ordered",(DATE(YEAR(P539),MONTH(P539),1)),IF(Table3[[#This Row],[Status]]="Received",(DATE(YEAR(Q539),MONTH(Q539),1)),""))</f>
        <v/>
      </c>
      <c r="Z539" s="304" t="str">
        <f t="shared" si="32"/>
        <v/>
      </c>
      <c r="AA539" s="48" t="str">
        <f t="shared" si="33"/>
        <v/>
      </c>
      <c r="AB539" s="48" t="str">
        <f t="shared" si="34"/>
        <v/>
      </c>
      <c r="AC539" s="292" t="str">
        <f t="shared" si="35"/>
        <v/>
      </c>
      <c r="AD539" s="48" t="str">
        <f>IF(Table3[[#This Row],[Actual Arrival date]]&gt;0,IF(Table3[[#This Row],[Expected arrival date]]&gt;0,Table3[[#This Row],[Actual Arrival date]]-Table3[[#This Row],[Expected arrival date]],""),"")</f>
        <v/>
      </c>
    </row>
    <row r="540" spans="1:30" x14ac:dyDescent="0.25">
      <c r="A540" s="303" t="str">
        <f>Start!$D$7</f>
        <v>Anyland</v>
      </c>
      <c r="B540" s="48" t="str">
        <f>_xlfn.IFNA(VLOOKUP(A540,list!B:C,2,FALSE),"")</f>
        <v>ANY</v>
      </c>
      <c r="C540" s="48"/>
      <c r="D540" s="127"/>
      <c r="E540" s="48" t="str">
        <f>_xlfn.IFNA(VLOOKUP(Table3[[#This Row],[Product]], ProductListTbl[], 3, 0), "")</f>
        <v/>
      </c>
      <c r="F540" s="303" t="str">
        <f>_xlfn.IFNA(VLOOKUP(D540,ProductListTbl[],5,0),"")</f>
        <v/>
      </c>
      <c r="G540" s="303" t="str">
        <f>_xlfn.IFNA(VLOOKUP(D540,ProductListTbl[],6,0),"")</f>
        <v/>
      </c>
      <c r="H540" s="130" t="str">
        <f>_xlfn.IFNA(VLOOKUP(D540,ProductListTbl[],7,0),"")</f>
        <v/>
      </c>
      <c r="I540" s="130" t="str">
        <f>_xlfn.IFNA(VLOOKUP(D540,ProductListTbl[],8,0),"")</f>
        <v/>
      </c>
      <c r="J540" s="127"/>
      <c r="K540" s="129"/>
      <c r="L540" s="128"/>
      <c r="M540" s="305" t="str">
        <f>IFERROR(Table3[[#This Row],[Quantity (doses)]]/Table3[[#This Row],[Doses per vial or syringe]],"")</f>
        <v/>
      </c>
      <c r="N540" s="127"/>
      <c r="O540" s="127"/>
      <c r="P540" s="381"/>
      <c r="Q540" s="129"/>
      <c r="R540" s="127"/>
      <c r="S540" s="127"/>
      <c r="T540" s="127"/>
      <c r="U540" s="127"/>
      <c r="V540" s="305" t="str">
        <f>_xlfn.IFNA(VLOOKUP(D540,ProductListTbl[],9,0),"")</f>
        <v/>
      </c>
      <c r="W540" s="305" t="str">
        <f>IFERROR(Table3[[#This Row],[Storage space per secondary packaging (cm3)]]*Table3[[#This Row],[Quantity  (vials or syringes)]]/1000,"")</f>
        <v/>
      </c>
      <c r="X540" s="305" t="str">
        <f>IFERROR(Table3[[#This Row],[Storage space per tertiary packaging (cm3)]]*Table3[[#This Row],[Quantity (doses)]]/1000,"")</f>
        <v/>
      </c>
      <c r="Y540" s="293" t="str">
        <f>IF(Table3[[#This Row],[Status]]="Ordered",(DATE(YEAR(P540),MONTH(P540),1)),IF(Table3[[#This Row],[Status]]="Received",(DATE(YEAR(Q540),MONTH(Q540),1)),""))</f>
        <v/>
      </c>
      <c r="Z540" s="304" t="str">
        <f t="shared" si="32"/>
        <v/>
      </c>
      <c r="AA540" s="48" t="str">
        <f t="shared" si="33"/>
        <v/>
      </c>
      <c r="AB540" s="48" t="str">
        <f t="shared" si="34"/>
        <v/>
      </c>
      <c r="AC540" s="292" t="str">
        <f t="shared" si="35"/>
        <v/>
      </c>
      <c r="AD540" s="48" t="str">
        <f>IF(Table3[[#This Row],[Actual Arrival date]]&gt;0,IF(Table3[[#This Row],[Expected arrival date]]&gt;0,Table3[[#This Row],[Actual Arrival date]]-Table3[[#This Row],[Expected arrival date]],""),"")</f>
        <v/>
      </c>
    </row>
    <row r="541" spans="1:30" x14ac:dyDescent="0.25">
      <c r="A541" s="303" t="str">
        <f>Start!$D$7</f>
        <v>Anyland</v>
      </c>
      <c r="B541" s="48" t="str">
        <f>_xlfn.IFNA(VLOOKUP(A541,list!B:C,2,FALSE),"")</f>
        <v>ANY</v>
      </c>
      <c r="C541" s="48"/>
      <c r="D541" s="127"/>
      <c r="E541" s="48" t="str">
        <f>_xlfn.IFNA(VLOOKUP(Table3[[#This Row],[Product]], ProductListTbl[], 3, 0), "")</f>
        <v/>
      </c>
      <c r="F541" s="303" t="str">
        <f>_xlfn.IFNA(VLOOKUP(D541,ProductListTbl[],5,0),"")</f>
        <v/>
      </c>
      <c r="G541" s="303" t="str">
        <f>_xlfn.IFNA(VLOOKUP(D541,ProductListTbl[],6,0),"")</f>
        <v/>
      </c>
      <c r="H541" s="130" t="str">
        <f>_xlfn.IFNA(VLOOKUP(D541,ProductListTbl[],7,0),"")</f>
        <v/>
      </c>
      <c r="I541" s="130" t="str">
        <f>_xlfn.IFNA(VLOOKUP(D541,ProductListTbl[],8,0),"")</f>
        <v/>
      </c>
      <c r="J541" s="127"/>
      <c r="K541" s="129"/>
      <c r="L541" s="128"/>
      <c r="M541" s="305" t="str">
        <f>IFERROR(Table3[[#This Row],[Quantity (doses)]]/Table3[[#This Row],[Doses per vial or syringe]],"")</f>
        <v/>
      </c>
      <c r="N541" s="127"/>
      <c r="O541" s="127"/>
      <c r="P541" s="381"/>
      <c r="Q541" s="129"/>
      <c r="R541" s="127"/>
      <c r="S541" s="127"/>
      <c r="T541" s="127"/>
      <c r="U541" s="127"/>
      <c r="V541" s="305" t="str">
        <f>_xlfn.IFNA(VLOOKUP(D541,ProductListTbl[],9,0),"")</f>
        <v/>
      </c>
      <c r="W541" s="305" t="str">
        <f>IFERROR(Table3[[#This Row],[Storage space per secondary packaging (cm3)]]*Table3[[#This Row],[Quantity  (vials or syringes)]]/1000,"")</f>
        <v/>
      </c>
      <c r="X541" s="305" t="str">
        <f>IFERROR(Table3[[#This Row],[Storage space per tertiary packaging (cm3)]]*Table3[[#This Row],[Quantity (doses)]]/1000,"")</f>
        <v/>
      </c>
      <c r="Y541" s="293" t="str">
        <f>IF(Table3[[#This Row],[Status]]="Ordered",(DATE(YEAR(P541),MONTH(P541),1)),IF(Table3[[#This Row],[Status]]="Received",(DATE(YEAR(Q541),MONTH(Q541),1)),""))</f>
        <v/>
      </c>
      <c r="Z541" s="304" t="str">
        <f t="shared" si="32"/>
        <v/>
      </c>
      <c r="AA541" s="48" t="str">
        <f t="shared" si="33"/>
        <v/>
      </c>
      <c r="AB541" s="48" t="str">
        <f t="shared" si="34"/>
        <v/>
      </c>
      <c r="AC541" s="292" t="str">
        <f t="shared" si="35"/>
        <v/>
      </c>
      <c r="AD541" s="48" t="str">
        <f>IF(Table3[[#This Row],[Actual Arrival date]]&gt;0,IF(Table3[[#This Row],[Expected arrival date]]&gt;0,Table3[[#This Row],[Actual Arrival date]]-Table3[[#This Row],[Expected arrival date]],""),"")</f>
        <v/>
      </c>
    </row>
    <row r="542" spans="1:30" x14ac:dyDescent="0.25">
      <c r="A542" s="303" t="str">
        <f>Start!$D$7</f>
        <v>Anyland</v>
      </c>
      <c r="B542" s="48" t="str">
        <f>_xlfn.IFNA(VLOOKUP(A542,list!B:C,2,FALSE),"")</f>
        <v>ANY</v>
      </c>
      <c r="C542" s="48"/>
      <c r="D542" s="127"/>
      <c r="E542" s="48" t="str">
        <f>_xlfn.IFNA(VLOOKUP(Table3[[#This Row],[Product]], ProductListTbl[], 3, 0), "")</f>
        <v/>
      </c>
      <c r="F542" s="303" t="str">
        <f>_xlfn.IFNA(VLOOKUP(D542,ProductListTbl[],5,0),"")</f>
        <v/>
      </c>
      <c r="G542" s="303" t="str">
        <f>_xlfn.IFNA(VLOOKUP(D542,ProductListTbl[],6,0),"")</f>
        <v/>
      </c>
      <c r="H542" s="130" t="str">
        <f>_xlfn.IFNA(VLOOKUP(D542,ProductListTbl[],7,0),"")</f>
        <v/>
      </c>
      <c r="I542" s="130" t="str">
        <f>_xlfn.IFNA(VLOOKUP(D542,ProductListTbl[],8,0),"")</f>
        <v/>
      </c>
      <c r="J542" s="127"/>
      <c r="K542" s="129"/>
      <c r="L542" s="128"/>
      <c r="M542" s="305" t="str">
        <f>IFERROR(Table3[[#This Row],[Quantity (doses)]]/Table3[[#This Row],[Doses per vial or syringe]],"")</f>
        <v/>
      </c>
      <c r="N542" s="127"/>
      <c r="O542" s="127"/>
      <c r="P542" s="381"/>
      <c r="Q542" s="129"/>
      <c r="R542" s="127"/>
      <c r="S542" s="127"/>
      <c r="T542" s="127"/>
      <c r="U542" s="127"/>
      <c r="V542" s="305" t="str">
        <f>_xlfn.IFNA(VLOOKUP(D542,ProductListTbl[],9,0),"")</f>
        <v/>
      </c>
      <c r="W542" s="305" t="str">
        <f>IFERROR(Table3[[#This Row],[Storage space per secondary packaging (cm3)]]*Table3[[#This Row],[Quantity  (vials or syringes)]]/1000,"")</f>
        <v/>
      </c>
      <c r="X542" s="305" t="str">
        <f>IFERROR(Table3[[#This Row],[Storage space per tertiary packaging (cm3)]]*Table3[[#This Row],[Quantity (doses)]]/1000,"")</f>
        <v/>
      </c>
      <c r="Y542" s="293" t="str">
        <f>IF(Table3[[#This Row],[Status]]="Ordered",(DATE(YEAR(P542),MONTH(P542),1)),IF(Table3[[#This Row],[Status]]="Received",(DATE(YEAR(Q542),MONTH(Q542),1)),""))</f>
        <v/>
      </c>
      <c r="Z542" s="304" t="str">
        <f t="shared" si="32"/>
        <v/>
      </c>
      <c r="AA542" s="48" t="str">
        <f t="shared" si="33"/>
        <v/>
      </c>
      <c r="AB542" s="48" t="str">
        <f t="shared" si="34"/>
        <v/>
      </c>
      <c r="AC542" s="292" t="str">
        <f t="shared" si="35"/>
        <v/>
      </c>
      <c r="AD542" s="48" t="str">
        <f>IF(Table3[[#This Row],[Actual Arrival date]]&gt;0,IF(Table3[[#This Row],[Expected arrival date]]&gt;0,Table3[[#This Row],[Actual Arrival date]]-Table3[[#This Row],[Expected arrival date]],""),"")</f>
        <v/>
      </c>
    </row>
    <row r="543" spans="1:30" x14ac:dyDescent="0.25">
      <c r="A543" s="303" t="str">
        <f>Start!$D$7</f>
        <v>Anyland</v>
      </c>
      <c r="B543" s="48" t="str">
        <f>_xlfn.IFNA(VLOOKUP(A543,list!B:C,2,FALSE),"")</f>
        <v>ANY</v>
      </c>
      <c r="C543" s="48"/>
      <c r="D543" s="127"/>
      <c r="E543" s="48" t="str">
        <f>_xlfn.IFNA(VLOOKUP(Table3[[#This Row],[Product]], ProductListTbl[], 3, 0), "")</f>
        <v/>
      </c>
      <c r="F543" s="303" t="str">
        <f>_xlfn.IFNA(VLOOKUP(D543,ProductListTbl[],5,0),"")</f>
        <v/>
      </c>
      <c r="G543" s="303" t="str">
        <f>_xlfn.IFNA(VLOOKUP(D543,ProductListTbl[],6,0),"")</f>
        <v/>
      </c>
      <c r="H543" s="130" t="str">
        <f>_xlfn.IFNA(VLOOKUP(D543,ProductListTbl[],7,0),"")</f>
        <v/>
      </c>
      <c r="I543" s="130" t="str">
        <f>_xlfn.IFNA(VLOOKUP(D543,ProductListTbl[],8,0),"")</f>
        <v/>
      </c>
      <c r="J543" s="127"/>
      <c r="K543" s="129"/>
      <c r="L543" s="128"/>
      <c r="M543" s="305" t="str">
        <f>IFERROR(Table3[[#This Row],[Quantity (doses)]]/Table3[[#This Row],[Doses per vial or syringe]],"")</f>
        <v/>
      </c>
      <c r="N543" s="127"/>
      <c r="O543" s="127"/>
      <c r="P543" s="381"/>
      <c r="Q543" s="129"/>
      <c r="R543" s="127"/>
      <c r="S543" s="127"/>
      <c r="T543" s="127"/>
      <c r="U543" s="127"/>
      <c r="V543" s="305" t="str">
        <f>_xlfn.IFNA(VLOOKUP(D543,ProductListTbl[],9,0),"")</f>
        <v/>
      </c>
      <c r="W543" s="305" t="str">
        <f>IFERROR(Table3[[#This Row],[Storage space per secondary packaging (cm3)]]*Table3[[#This Row],[Quantity  (vials or syringes)]]/1000,"")</f>
        <v/>
      </c>
      <c r="X543" s="305" t="str">
        <f>IFERROR(Table3[[#This Row],[Storage space per tertiary packaging (cm3)]]*Table3[[#This Row],[Quantity (doses)]]/1000,"")</f>
        <v/>
      </c>
      <c r="Y543" s="293" t="str">
        <f>IF(Table3[[#This Row],[Status]]="Ordered",(DATE(YEAR(P543),MONTH(P543),1)),IF(Table3[[#This Row],[Status]]="Received",(DATE(YEAR(Q543),MONTH(Q543),1)),""))</f>
        <v/>
      </c>
      <c r="Z543" s="304" t="str">
        <f t="shared" si="32"/>
        <v/>
      </c>
      <c r="AA543" s="48" t="str">
        <f t="shared" si="33"/>
        <v/>
      </c>
      <c r="AB543" s="48" t="str">
        <f t="shared" si="34"/>
        <v/>
      </c>
      <c r="AC543" s="292" t="str">
        <f t="shared" si="35"/>
        <v/>
      </c>
      <c r="AD543" s="48" t="str">
        <f>IF(Table3[[#This Row],[Actual Arrival date]]&gt;0,IF(Table3[[#This Row],[Expected arrival date]]&gt;0,Table3[[#This Row],[Actual Arrival date]]-Table3[[#This Row],[Expected arrival date]],""),"")</f>
        <v/>
      </c>
    </row>
    <row r="544" spans="1:30" x14ac:dyDescent="0.25">
      <c r="A544" s="303" t="str">
        <f>Start!$D$7</f>
        <v>Anyland</v>
      </c>
      <c r="B544" s="48" t="str">
        <f>_xlfn.IFNA(VLOOKUP(A544,list!B:C,2,FALSE),"")</f>
        <v>ANY</v>
      </c>
      <c r="C544" s="48"/>
      <c r="D544" s="127"/>
      <c r="E544" s="48" t="str">
        <f>_xlfn.IFNA(VLOOKUP(Table3[[#This Row],[Product]], ProductListTbl[], 3, 0), "")</f>
        <v/>
      </c>
      <c r="F544" s="303" t="str">
        <f>_xlfn.IFNA(VLOOKUP(D544,ProductListTbl[],5,0),"")</f>
        <v/>
      </c>
      <c r="G544" s="303" t="str">
        <f>_xlfn.IFNA(VLOOKUP(D544,ProductListTbl[],6,0),"")</f>
        <v/>
      </c>
      <c r="H544" s="130" t="str">
        <f>_xlfn.IFNA(VLOOKUP(D544,ProductListTbl[],7,0),"")</f>
        <v/>
      </c>
      <c r="I544" s="130" t="str">
        <f>_xlfn.IFNA(VLOOKUP(D544,ProductListTbl[],8,0),"")</f>
        <v/>
      </c>
      <c r="J544" s="127"/>
      <c r="K544" s="129"/>
      <c r="L544" s="128"/>
      <c r="M544" s="305" t="str">
        <f>IFERROR(Table3[[#This Row],[Quantity (doses)]]/Table3[[#This Row],[Doses per vial or syringe]],"")</f>
        <v/>
      </c>
      <c r="N544" s="127"/>
      <c r="O544" s="127"/>
      <c r="P544" s="381"/>
      <c r="Q544" s="129"/>
      <c r="R544" s="127"/>
      <c r="S544" s="127"/>
      <c r="T544" s="127"/>
      <c r="U544" s="127"/>
      <c r="V544" s="305" t="str">
        <f>_xlfn.IFNA(VLOOKUP(D544,ProductListTbl[],9,0),"")</f>
        <v/>
      </c>
      <c r="W544" s="305" t="str">
        <f>IFERROR(Table3[[#This Row],[Storage space per secondary packaging (cm3)]]*Table3[[#This Row],[Quantity  (vials or syringes)]]/1000,"")</f>
        <v/>
      </c>
      <c r="X544" s="305" t="str">
        <f>IFERROR(Table3[[#This Row],[Storage space per tertiary packaging (cm3)]]*Table3[[#This Row],[Quantity (doses)]]/1000,"")</f>
        <v/>
      </c>
      <c r="Y544" s="293" t="str">
        <f>IF(Table3[[#This Row],[Status]]="Ordered",(DATE(YEAR(P544),MONTH(P544),1)),IF(Table3[[#This Row],[Status]]="Received",(DATE(YEAR(Q544),MONTH(Q544),1)),""))</f>
        <v/>
      </c>
      <c r="Z544" s="304" t="str">
        <f t="shared" si="32"/>
        <v/>
      </c>
      <c r="AA544" s="48" t="str">
        <f t="shared" si="33"/>
        <v/>
      </c>
      <c r="AB544" s="48" t="str">
        <f t="shared" si="34"/>
        <v/>
      </c>
      <c r="AC544" s="292" t="str">
        <f t="shared" si="35"/>
        <v/>
      </c>
      <c r="AD544" s="48" t="str">
        <f>IF(Table3[[#This Row],[Actual Arrival date]]&gt;0,IF(Table3[[#This Row],[Expected arrival date]]&gt;0,Table3[[#This Row],[Actual Arrival date]]-Table3[[#This Row],[Expected arrival date]],""),"")</f>
        <v/>
      </c>
    </row>
    <row r="545" spans="1:30" x14ac:dyDescent="0.25">
      <c r="A545" s="303" t="str">
        <f>Start!$D$7</f>
        <v>Anyland</v>
      </c>
      <c r="B545" s="48" t="str">
        <f>_xlfn.IFNA(VLOOKUP(A545,list!B:C,2,FALSE),"")</f>
        <v>ANY</v>
      </c>
      <c r="C545" s="48"/>
      <c r="D545" s="127"/>
      <c r="E545" s="48" t="str">
        <f>_xlfn.IFNA(VLOOKUP(Table3[[#This Row],[Product]], ProductListTbl[], 3, 0), "")</f>
        <v/>
      </c>
      <c r="F545" s="303" t="str">
        <f>_xlfn.IFNA(VLOOKUP(D545,ProductListTbl[],5,0),"")</f>
        <v/>
      </c>
      <c r="G545" s="303" t="str">
        <f>_xlfn.IFNA(VLOOKUP(D545,ProductListTbl[],6,0),"")</f>
        <v/>
      </c>
      <c r="H545" s="130" t="str">
        <f>_xlfn.IFNA(VLOOKUP(D545,ProductListTbl[],7,0),"")</f>
        <v/>
      </c>
      <c r="I545" s="130" t="str">
        <f>_xlfn.IFNA(VLOOKUP(D545,ProductListTbl[],8,0),"")</f>
        <v/>
      </c>
      <c r="J545" s="127"/>
      <c r="K545" s="129"/>
      <c r="L545" s="128"/>
      <c r="M545" s="305" t="str">
        <f>IFERROR(Table3[[#This Row],[Quantity (doses)]]/Table3[[#This Row],[Doses per vial or syringe]],"")</f>
        <v/>
      </c>
      <c r="N545" s="127"/>
      <c r="O545" s="127"/>
      <c r="P545" s="381"/>
      <c r="Q545" s="129"/>
      <c r="R545" s="127"/>
      <c r="S545" s="127"/>
      <c r="T545" s="127"/>
      <c r="U545" s="127"/>
      <c r="V545" s="305" t="str">
        <f>_xlfn.IFNA(VLOOKUP(D545,ProductListTbl[],9,0),"")</f>
        <v/>
      </c>
      <c r="W545" s="305" t="str">
        <f>IFERROR(Table3[[#This Row],[Storage space per secondary packaging (cm3)]]*Table3[[#This Row],[Quantity  (vials or syringes)]]/1000,"")</f>
        <v/>
      </c>
      <c r="X545" s="305" t="str">
        <f>IFERROR(Table3[[#This Row],[Storage space per tertiary packaging (cm3)]]*Table3[[#This Row],[Quantity (doses)]]/1000,"")</f>
        <v/>
      </c>
      <c r="Y545" s="293" t="str">
        <f>IF(Table3[[#This Row],[Status]]="Ordered",(DATE(YEAR(P545),MONTH(P545),1)),IF(Table3[[#This Row],[Status]]="Received",(DATE(YEAR(Q545),MONTH(Q545),1)),""))</f>
        <v/>
      </c>
      <c r="Z545" s="304" t="str">
        <f t="shared" si="32"/>
        <v/>
      </c>
      <c r="AA545" s="48" t="str">
        <f t="shared" si="33"/>
        <v/>
      </c>
      <c r="AB545" s="48" t="str">
        <f t="shared" si="34"/>
        <v/>
      </c>
      <c r="AC545" s="292" t="str">
        <f t="shared" si="35"/>
        <v/>
      </c>
      <c r="AD545" s="48" t="str">
        <f>IF(Table3[[#This Row],[Actual Arrival date]]&gt;0,IF(Table3[[#This Row],[Expected arrival date]]&gt;0,Table3[[#This Row],[Actual Arrival date]]-Table3[[#This Row],[Expected arrival date]],""),"")</f>
        <v/>
      </c>
    </row>
    <row r="546" spans="1:30" x14ac:dyDescent="0.25">
      <c r="A546" s="303" t="str">
        <f>Start!$D$7</f>
        <v>Anyland</v>
      </c>
      <c r="B546" s="48" t="str">
        <f>_xlfn.IFNA(VLOOKUP(A546,list!B:C,2,FALSE),"")</f>
        <v>ANY</v>
      </c>
      <c r="C546" s="48"/>
      <c r="D546" s="127"/>
      <c r="E546" s="48" t="str">
        <f>_xlfn.IFNA(VLOOKUP(Table3[[#This Row],[Product]], ProductListTbl[], 3, 0), "")</f>
        <v/>
      </c>
      <c r="F546" s="303" t="str">
        <f>_xlfn.IFNA(VLOOKUP(D546,ProductListTbl[],5,0),"")</f>
        <v/>
      </c>
      <c r="G546" s="303" t="str">
        <f>_xlfn.IFNA(VLOOKUP(D546,ProductListTbl[],6,0),"")</f>
        <v/>
      </c>
      <c r="H546" s="130" t="str">
        <f>_xlfn.IFNA(VLOOKUP(D546,ProductListTbl[],7,0),"")</f>
        <v/>
      </c>
      <c r="I546" s="130" t="str">
        <f>_xlfn.IFNA(VLOOKUP(D546,ProductListTbl[],8,0),"")</f>
        <v/>
      </c>
      <c r="J546" s="127"/>
      <c r="K546" s="129"/>
      <c r="L546" s="128"/>
      <c r="M546" s="305" t="str">
        <f>IFERROR(Table3[[#This Row],[Quantity (doses)]]/Table3[[#This Row],[Doses per vial or syringe]],"")</f>
        <v/>
      </c>
      <c r="N546" s="127"/>
      <c r="O546" s="127"/>
      <c r="P546" s="381"/>
      <c r="Q546" s="129"/>
      <c r="R546" s="127"/>
      <c r="S546" s="127"/>
      <c r="T546" s="127"/>
      <c r="U546" s="127"/>
      <c r="V546" s="305" t="str">
        <f>_xlfn.IFNA(VLOOKUP(D546,ProductListTbl[],9,0),"")</f>
        <v/>
      </c>
      <c r="W546" s="305" t="str">
        <f>IFERROR(Table3[[#This Row],[Storage space per secondary packaging (cm3)]]*Table3[[#This Row],[Quantity  (vials or syringes)]]/1000,"")</f>
        <v/>
      </c>
      <c r="X546" s="305" t="str">
        <f>IFERROR(Table3[[#This Row],[Storage space per tertiary packaging (cm3)]]*Table3[[#This Row],[Quantity (doses)]]/1000,"")</f>
        <v/>
      </c>
      <c r="Y546" s="293" t="str">
        <f>IF(Table3[[#This Row],[Status]]="Ordered",(DATE(YEAR(P546),MONTH(P546),1)),IF(Table3[[#This Row],[Status]]="Received",(DATE(YEAR(Q546),MONTH(Q546),1)),""))</f>
        <v/>
      </c>
      <c r="Z546" s="304" t="str">
        <f t="shared" si="32"/>
        <v/>
      </c>
      <c r="AA546" s="48" t="str">
        <f t="shared" si="33"/>
        <v/>
      </c>
      <c r="AB546" s="48" t="str">
        <f t="shared" si="34"/>
        <v/>
      </c>
      <c r="AC546" s="292" t="str">
        <f t="shared" si="35"/>
        <v/>
      </c>
      <c r="AD546" s="48" t="str">
        <f>IF(Table3[[#This Row],[Actual Arrival date]]&gt;0,IF(Table3[[#This Row],[Expected arrival date]]&gt;0,Table3[[#This Row],[Actual Arrival date]]-Table3[[#This Row],[Expected arrival date]],""),"")</f>
        <v/>
      </c>
    </row>
    <row r="547" spans="1:30" x14ac:dyDescent="0.25">
      <c r="A547" s="303" t="str">
        <f>Start!$D$7</f>
        <v>Anyland</v>
      </c>
      <c r="B547" s="48" t="str">
        <f>_xlfn.IFNA(VLOOKUP(A547,list!B:C,2,FALSE),"")</f>
        <v>ANY</v>
      </c>
      <c r="C547" s="48"/>
      <c r="D547" s="127"/>
      <c r="E547" s="48" t="str">
        <f>_xlfn.IFNA(VLOOKUP(Table3[[#This Row],[Product]], ProductListTbl[], 3, 0), "")</f>
        <v/>
      </c>
      <c r="F547" s="303" t="str">
        <f>_xlfn.IFNA(VLOOKUP(D547,ProductListTbl[],5,0),"")</f>
        <v/>
      </c>
      <c r="G547" s="303" t="str">
        <f>_xlfn.IFNA(VLOOKUP(D547,ProductListTbl[],6,0),"")</f>
        <v/>
      </c>
      <c r="H547" s="130" t="str">
        <f>_xlfn.IFNA(VLOOKUP(D547,ProductListTbl[],7,0),"")</f>
        <v/>
      </c>
      <c r="I547" s="130" t="str">
        <f>_xlfn.IFNA(VLOOKUP(D547,ProductListTbl[],8,0),"")</f>
        <v/>
      </c>
      <c r="J547" s="127"/>
      <c r="K547" s="129"/>
      <c r="L547" s="128"/>
      <c r="M547" s="305" t="str">
        <f>IFERROR(Table3[[#This Row],[Quantity (doses)]]/Table3[[#This Row],[Doses per vial or syringe]],"")</f>
        <v/>
      </c>
      <c r="N547" s="127"/>
      <c r="O547" s="127"/>
      <c r="P547" s="381"/>
      <c r="Q547" s="129"/>
      <c r="R547" s="127"/>
      <c r="S547" s="127"/>
      <c r="T547" s="127"/>
      <c r="U547" s="127"/>
      <c r="V547" s="305" t="str">
        <f>_xlfn.IFNA(VLOOKUP(D547,ProductListTbl[],9,0),"")</f>
        <v/>
      </c>
      <c r="W547" s="305" t="str">
        <f>IFERROR(Table3[[#This Row],[Storage space per secondary packaging (cm3)]]*Table3[[#This Row],[Quantity  (vials or syringes)]]/1000,"")</f>
        <v/>
      </c>
      <c r="X547" s="305" t="str">
        <f>IFERROR(Table3[[#This Row],[Storage space per tertiary packaging (cm3)]]*Table3[[#This Row],[Quantity (doses)]]/1000,"")</f>
        <v/>
      </c>
      <c r="Y547" s="293" t="str">
        <f>IF(Table3[[#This Row],[Status]]="Ordered",(DATE(YEAR(P547),MONTH(P547),1)),IF(Table3[[#This Row],[Status]]="Received",(DATE(YEAR(Q547),MONTH(Q547),1)),""))</f>
        <v/>
      </c>
      <c r="Z547" s="304" t="str">
        <f t="shared" si="32"/>
        <v/>
      </c>
      <c r="AA547" s="48" t="str">
        <f t="shared" si="33"/>
        <v/>
      </c>
      <c r="AB547" s="48" t="str">
        <f t="shared" si="34"/>
        <v/>
      </c>
      <c r="AC547" s="292" t="str">
        <f t="shared" si="35"/>
        <v/>
      </c>
      <c r="AD547" s="48" t="str">
        <f>IF(Table3[[#This Row],[Actual Arrival date]]&gt;0,IF(Table3[[#This Row],[Expected arrival date]]&gt;0,Table3[[#This Row],[Actual Arrival date]]-Table3[[#This Row],[Expected arrival date]],""),"")</f>
        <v/>
      </c>
    </row>
    <row r="548" spans="1:30" x14ac:dyDescent="0.25">
      <c r="A548" s="303" t="str">
        <f>Start!$D$7</f>
        <v>Anyland</v>
      </c>
      <c r="B548" s="48" t="str">
        <f>_xlfn.IFNA(VLOOKUP(A548,list!B:C,2,FALSE),"")</f>
        <v>ANY</v>
      </c>
      <c r="C548" s="48"/>
      <c r="D548" s="127"/>
      <c r="E548" s="48" t="str">
        <f>_xlfn.IFNA(VLOOKUP(Table3[[#This Row],[Product]], ProductListTbl[], 3, 0), "")</f>
        <v/>
      </c>
      <c r="F548" s="303" t="str">
        <f>_xlfn.IFNA(VLOOKUP(D548,ProductListTbl[],5,0),"")</f>
        <v/>
      </c>
      <c r="G548" s="303" t="str">
        <f>_xlfn.IFNA(VLOOKUP(D548,ProductListTbl[],6,0),"")</f>
        <v/>
      </c>
      <c r="H548" s="130" t="str">
        <f>_xlfn.IFNA(VLOOKUP(D548,ProductListTbl[],7,0),"")</f>
        <v/>
      </c>
      <c r="I548" s="130" t="str">
        <f>_xlfn.IFNA(VLOOKUP(D548,ProductListTbl[],8,0),"")</f>
        <v/>
      </c>
      <c r="J548" s="127"/>
      <c r="K548" s="129"/>
      <c r="L548" s="128"/>
      <c r="M548" s="305" t="str">
        <f>IFERROR(Table3[[#This Row],[Quantity (doses)]]/Table3[[#This Row],[Doses per vial or syringe]],"")</f>
        <v/>
      </c>
      <c r="N548" s="127"/>
      <c r="O548" s="127"/>
      <c r="P548" s="381"/>
      <c r="Q548" s="129"/>
      <c r="R548" s="127"/>
      <c r="S548" s="127"/>
      <c r="T548" s="127"/>
      <c r="U548" s="127"/>
      <c r="V548" s="305" t="str">
        <f>_xlfn.IFNA(VLOOKUP(D548,ProductListTbl[],9,0),"")</f>
        <v/>
      </c>
      <c r="W548" s="305" t="str">
        <f>IFERROR(Table3[[#This Row],[Storage space per secondary packaging (cm3)]]*Table3[[#This Row],[Quantity  (vials or syringes)]]/1000,"")</f>
        <v/>
      </c>
      <c r="X548" s="305" t="str">
        <f>IFERROR(Table3[[#This Row],[Storage space per tertiary packaging (cm3)]]*Table3[[#This Row],[Quantity (doses)]]/1000,"")</f>
        <v/>
      </c>
      <c r="Y548" s="293" t="str">
        <f>IF(Table3[[#This Row],[Status]]="Ordered",(DATE(YEAR(P548),MONTH(P548),1)),IF(Table3[[#This Row],[Status]]="Received",(DATE(YEAR(Q548),MONTH(Q548),1)),""))</f>
        <v/>
      </c>
      <c r="Z548" s="304" t="str">
        <f t="shared" si="32"/>
        <v/>
      </c>
      <c r="AA548" s="48" t="str">
        <f t="shared" si="33"/>
        <v/>
      </c>
      <c r="AB548" s="48" t="str">
        <f t="shared" si="34"/>
        <v/>
      </c>
      <c r="AC548" s="292" t="str">
        <f t="shared" si="35"/>
        <v/>
      </c>
      <c r="AD548" s="48" t="str">
        <f>IF(Table3[[#This Row],[Actual Arrival date]]&gt;0,IF(Table3[[#This Row],[Expected arrival date]]&gt;0,Table3[[#This Row],[Actual Arrival date]]-Table3[[#This Row],[Expected arrival date]],""),"")</f>
        <v/>
      </c>
    </row>
    <row r="549" spans="1:30" x14ac:dyDescent="0.25">
      <c r="A549" s="303" t="str">
        <f>Start!$D$7</f>
        <v>Anyland</v>
      </c>
      <c r="B549" s="48" t="str">
        <f>_xlfn.IFNA(VLOOKUP(A549,list!B:C,2,FALSE),"")</f>
        <v>ANY</v>
      </c>
      <c r="C549" s="48"/>
      <c r="D549" s="127"/>
      <c r="E549" s="48" t="str">
        <f>_xlfn.IFNA(VLOOKUP(Table3[[#This Row],[Product]], ProductListTbl[], 3, 0), "")</f>
        <v/>
      </c>
      <c r="F549" s="303" t="str">
        <f>_xlfn.IFNA(VLOOKUP(D549,ProductListTbl[],5,0),"")</f>
        <v/>
      </c>
      <c r="G549" s="303" t="str">
        <f>_xlfn.IFNA(VLOOKUP(D549,ProductListTbl[],6,0),"")</f>
        <v/>
      </c>
      <c r="H549" s="130" t="str">
        <f>_xlfn.IFNA(VLOOKUP(D549,ProductListTbl[],7,0),"")</f>
        <v/>
      </c>
      <c r="I549" s="130" t="str">
        <f>_xlfn.IFNA(VLOOKUP(D549,ProductListTbl[],8,0),"")</f>
        <v/>
      </c>
      <c r="J549" s="127"/>
      <c r="K549" s="129"/>
      <c r="L549" s="128"/>
      <c r="M549" s="305" t="str">
        <f>IFERROR(Table3[[#This Row],[Quantity (doses)]]/Table3[[#This Row],[Doses per vial or syringe]],"")</f>
        <v/>
      </c>
      <c r="N549" s="127"/>
      <c r="O549" s="127"/>
      <c r="P549" s="381"/>
      <c r="Q549" s="129"/>
      <c r="R549" s="127"/>
      <c r="S549" s="127"/>
      <c r="T549" s="127"/>
      <c r="U549" s="127"/>
      <c r="V549" s="305" t="str">
        <f>_xlfn.IFNA(VLOOKUP(D549,ProductListTbl[],9,0),"")</f>
        <v/>
      </c>
      <c r="W549" s="305" t="str">
        <f>IFERROR(Table3[[#This Row],[Storage space per secondary packaging (cm3)]]*Table3[[#This Row],[Quantity  (vials or syringes)]]/1000,"")</f>
        <v/>
      </c>
      <c r="X549" s="305" t="str">
        <f>IFERROR(Table3[[#This Row],[Storage space per tertiary packaging (cm3)]]*Table3[[#This Row],[Quantity (doses)]]/1000,"")</f>
        <v/>
      </c>
      <c r="Y549" s="293" t="str">
        <f>IF(Table3[[#This Row],[Status]]="Ordered",(DATE(YEAR(P549),MONTH(P549),1)),IF(Table3[[#This Row],[Status]]="Received",(DATE(YEAR(Q549),MONTH(Q549),1)),""))</f>
        <v/>
      </c>
      <c r="Z549" s="304" t="str">
        <f t="shared" si="32"/>
        <v/>
      </c>
      <c r="AA549" s="48" t="str">
        <f t="shared" si="33"/>
        <v/>
      </c>
      <c r="AB549" s="48" t="str">
        <f t="shared" si="34"/>
        <v/>
      </c>
      <c r="AC549" s="292" t="str">
        <f t="shared" si="35"/>
        <v/>
      </c>
      <c r="AD549" s="48" t="str">
        <f>IF(Table3[[#This Row],[Actual Arrival date]]&gt;0,IF(Table3[[#This Row],[Expected arrival date]]&gt;0,Table3[[#This Row],[Actual Arrival date]]-Table3[[#This Row],[Expected arrival date]],""),"")</f>
        <v/>
      </c>
    </row>
    <row r="550" spans="1:30" x14ac:dyDescent="0.25">
      <c r="A550" s="303" t="str">
        <f>Start!$D$7</f>
        <v>Anyland</v>
      </c>
      <c r="B550" s="48" t="str">
        <f>_xlfn.IFNA(VLOOKUP(A550,list!B:C,2,FALSE),"")</f>
        <v>ANY</v>
      </c>
      <c r="C550" s="48"/>
      <c r="D550" s="127"/>
      <c r="E550" s="48" t="str">
        <f>_xlfn.IFNA(VLOOKUP(Table3[[#This Row],[Product]], ProductListTbl[], 3, 0), "")</f>
        <v/>
      </c>
      <c r="F550" s="303" t="str">
        <f>_xlfn.IFNA(VLOOKUP(D550,ProductListTbl[],5,0),"")</f>
        <v/>
      </c>
      <c r="G550" s="303" t="str">
        <f>_xlfn.IFNA(VLOOKUP(D550,ProductListTbl[],6,0),"")</f>
        <v/>
      </c>
      <c r="H550" s="130" t="str">
        <f>_xlfn.IFNA(VLOOKUP(D550,ProductListTbl[],7,0),"")</f>
        <v/>
      </c>
      <c r="I550" s="130" t="str">
        <f>_xlfn.IFNA(VLOOKUP(D550,ProductListTbl[],8,0),"")</f>
        <v/>
      </c>
      <c r="J550" s="127"/>
      <c r="K550" s="129"/>
      <c r="L550" s="128"/>
      <c r="M550" s="305" t="str">
        <f>IFERROR(Table3[[#This Row],[Quantity (doses)]]/Table3[[#This Row],[Doses per vial or syringe]],"")</f>
        <v/>
      </c>
      <c r="N550" s="127"/>
      <c r="O550" s="127"/>
      <c r="P550" s="381"/>
      <c r="Q550" s="129"/>
      <c r="R550" s="127"/>
      <c r="S550" s="127"/>
      <c r="T550" s="127"/>
      <c r="U550" s="127"/>
      <c r="V550" s="305" t="str">
        <f>_xlfn.IFNA(VLOOKUP(D550,ProductListTbl[],9,0),"")</f>
        <v/>
      </c>
      <c r="W550" s="305" t="str">
        <f>IFERROR(Table3[[#This Row],[Storage space per secondary packaging (cm3)]]*Table3[[#This Row],[Quantity  (vials or syringes)]]/1000,"")</f>
        <v/>
      </c>
      <c r="X550" s="305" t="str">
        <f>IFERROR(Table3[[#This Row],[Storage space per tertiary packaging (cm3)]]*Table3[[#This Row],[Quantity (doses)]]/1000,"")</f>
        <v/>
      </c>
      <c r="Y550" s="293" t="str">
        <f>IF(Table3[[#This Row],[Status]]="Ordered",(DATE(YEAR(P550),MONTH(P550),1)),IF(Table3[[#This Row],[Status]]="Received",(DATE(YEAR(Q550),MONTH(Q550),1)),""))</f>
        <v/>
      </c>
      <c r="Z550" s="304" t="str">
        <f t="shared" si="32"/>
        <v/>
      </c>
      <c r="AA550" s="48" t="str">
        <f t="shared" si="33"/>
        <v/>
      </c>
      <c r="AB550" s="48" t="str">
        <f t="shared" si="34"/>
        <v/>
      </c>
      <c r="AC550" s="292" t="str">
        <f t="shared" si="35"/>
        <v/>
      </c>
      <c r="AD550" s="48" t="str">
        <f>IF(Table3[[#This Row],[Actual Arrival date]]&gt;0,IF(Table3[[#This Row],[Expected arrival date]]&gt;0,Table3[[#This Row],[Actual Arrival date]]-Table3[[#This Row],[Expected arrival date]],""),"")</f>
        <v/>
      </c>
    </row>
    <row r="551" spans="1:30" x14ac:dyDescent="0.25">
      <c r="A551" s="303" t="str">
        <f>Start!$D$7</f>
        <v>Anyland</v>
      </c>
      <c r="B551" s="48" t="str">
        <f>_xlfn.IFNA(VLOOKUP(A551,list!B:C,2,FALSE),"")</f>
        <v>ANY</v>
      </c>
      <c r="C551" s="48"/>
      <c r="D551" s="127"/>
      <c r="E551" s="48" t="str">
        <f>_xlfn.IFNA(VLOOKUP(Table3[[#This Row],[Product]], ProductListTbl[], 3, 0), "")</f>
        <v/>
      </c>
      <c r="F551" s="303" t="str">
        <f>_xlfn.IFNA(VLOOKUP(D551,ProductListTbl[],5,0),"")</f>
        <v/>
      </c>
      <c r="G551" s="303" t="str">
        <f>_xlfn.IFNA(VLOOKUP(D551,ProductListTbl[],6,0),"")</f>
        <v/>
      </c>
      <c r="H551" s="130" t="str">
        <f>_xlfn.IFNA(VLOOKUP(D551,ProductListTbl[],7,0),"")</f>
        <v/>
      </c>
      <c r="I551" s="130" t="str">
        <f>_xlfn.IFNA(VLOOKUP(D551,ProductListTbl[],8,0),"")</f>
        <v/>
      </c>
      <c r="J551" s="127"/>
      <c r="K551" s="129"/>
      <c r="L551" s="128"/>
      <c r="M551" s="305" t="str">
        <f>IFERROR(Table3[[#This Row],[Quantity (doses)]]/Table3[[#This Row],[Doses per vial or syringe]],"")</f>
        <v/>
      </c>
      <c r="N551" s="127"/>
      <c r="O551" s="127"/>
      <c r="P551" s="381"/>
      <c r="Q551" s="129"/>
      <c r="R551" s="127"/>
      <c r="S551" s="127"/>
      <c r="T551" s="127"/>
      <c r="U551" s="127"/>
      <c r="V551" s="305" t="str">
        <f>_xlfn.IFNA(VLOOKUP(D551,ProductListTbl[],9,0),"")</f>
        <v/>
      </c>
      <c r="W551" s="305" t="str">
        <f>IFERROR(Table3[[#This Row],[Storage space per secondary packaging (cm3)]]*Table3[[#This Row],[Quantity  (vials or syringes)]]/1000,"")</f>
        <v/>
      </c>
      <c r="X551" s="305" t="str">
        <f>IFERROR(Table3[[#This Row],[Storage space per tertiary packaging (cm3)]]*Table3[[#This Row],[Quantity (doses)]]/1000,"")</f>
        <v/>
      </c>
      <c r="Y551" s="293" t="str">
        <f>IF(Table3[[#This Row],[Status]]="Ordered",(DATE(YEAR(P551),MONTH(P551),1)),IF(Table3[[#This Row],[Status]]="Received",(DATE(YEAR(Q551),MONTH(Q551),1)),""))</f>
        <v/>
      </c>
      <c r="Z551" s="304" t="str">
        <f t="shared" si="32"/>
        <v/>
      </c>
      <c r="AA551" s="48" t="str">
        <f t="shared" si="33"/>
        <v/>
      </c>
      <c r="AB551" s="48" t="str">
        <f t="shared" si="34"/>
        <v/>
      </c>
      <c r="AC551" s="292" t="str">
        <f t="shared" si="35"/>
        <v/>
      </c>
      <c r="AD551" s="48" t="str">
        <f>IF(Table3[[#This Row],[Actual Arrival date]]&gt;0,IF(Table3[[#This Row],[Expected arrival date]]&gt;0,Table3[[#This Row],[Actual Arrival date]]-Table3[[#This Row],[Expected arrival date]],""),"")</f>
        <v/>
      </c>
    </row>
    <row r="552" spans="1:30" x14ac:dyDescent="0.25">
      <c r="A552" s="303" t="str">
        <f>Start!$D$7</f>
        <v>Anyland</v>
      </c>
      <c r="B552" s="48" t="str">
        <f>_xlfn.IFNA(VLOOKUP(A552,list!B:C,2,FALSE),"")</f>
        <v>ANY</v>
      </c>
      <c r="C552" s="48"/>
      <c r="D552" s="127"/>
      <c r="E552" s="48" t="str">
        <f>_xlfn.IFNA(VLOOKUP(Table3[[#This Row],[Product]], ProductListTbl[], 3, 0), "")</f>
        <v/>
      </c>
      <c r="F552" s="303" t="str">
        <f>_xlfn.IFNA(VLOOKUP(D552,ProductListTbl[],5,0),"")</f>
        <v/>
      </c>
      <c r="G552" s="303" t="str">
        <f>_xlfn.IFNA(VLOOKUP(D552,ProductListTbl[],6,0),"")</f>
        <v/>
      </c>
      <c r="H552" s="130" t="str">
        <f>_xlfn.IFNA(VLOOKUP(D552,ProductListTbl[],7,0),"")</f>
        <v/>
      </c>
      <c r="I552" s="130" t="str">
        <f>_xlfn.IFNA(VLOOKUP(D552,ProductListTbl[],8,0),"")</f>
        <v/>
      </c>
      <c r="J552" s="127"/>
      <c r="K552" s="129"/>
      <c r="L552" s="128"/>
      <c r="M552" s="305" t="str">
        <f>IFERROR(Table3[[#This Row],[Quantity (doses)]]/Table3[[#This Row],[Doses per vial or syringe]],"")</f>
        <v/>
      </c>
      <c r="N552" s="127"/>
      <c r="O552" s="127"/>
      <c r="P552" s="381"/>
      <c r="Q552" s="129"/>
      <c r="R552" s="127"/>
      <c r="S552" s="127"/>
      <c r="T552" s="127"/>
      <c r="U552" s="127"/>
      <c r="V552" s="305" t="str">
        <f>_xlfn.IFNA(VLOOKUP(D552,ProductListTbl[],9,0),"")</f>
        <v/>
      </c>
      <c r="W552" s="305" t="str">
        <f>IFERROR(Table3[[#This Row],[Storage space per secondary packaging (cm3)]]*Table3[[#This Row],[Quantity  (vials or syringes)]]/1000,"")</f>
        <v/>
      </c>
      <c r="X552" s="305" t="str">
        <f>IFERROR(Table3[[#This Row],[Storage space per tertiary packaging (cm3)]]*Table3[[#This Row],[Quantity (doses)]]/1000,"")</f>
        <v/>
      </c>
      <c r="Y552" s="293" t="str">
        <f>IF(Table3[[#This Row],[Status]]="Ordered",(DATE(YEAR(P552),MONTH(P552),1)),IF(Table3[[#This Row],[Status]]="Received",(DATE(YEAR(Q552),MONTH(Q552),1)),""))</f>
        <v/>
      </c>
      <c r="Z552" s="304" t="str">
        <f t="shared" si="32"/>
        <v/>
      </c>
      <c r="AA552" s="48" t="str">
        <f t="shared" si="33"/>
        <v/>
      </c>
      <c r="AB552" s="48" t="str">
        <f t="shared" si="34"/>
        <v/>
      </c>
      <c r="AC552" s="292" t="str">
        <f t="shared" si="35"/>
        <v/>
      </c>
      <c r="AD552" s="48" t="str">
        <f>IF(Table3[[#This Row],[Actual Arrival date]]&gt;0,IF(Table3[[#This Row],[Expected arrival date]]&gt;0,Table3[[#This Row],[Actual Arrival date]]-Table3[[#This Row],[Expected arrival date]],""),"")</f>
        <v/>
      </c>
    </row>
    <row r="553" spans="1:30" x14ac:dyDescent="0.25">
      <c r="A553" s="303" t="str">
        <f>Start!$D$7</f>
        <v>Anyland</v>
      </c>
      <c r="B553" s="48" t="str">
        <f>_xlfn.IFNA(VLOOKUP(A553,list!B:C,2,FALSE),"")</f>
        <v>ANY</v>
      </c>
      <c r="C553" s="48"/>
      <c r="D553" s="127"/>
      <c r="E553" s="48" t="str">
        <f>_xlfn.IFNA(VLOOKUP(Table3[[#This Row],[Product]], ProductListTbl[], 3, 0), "")</f>
        <v/>
      </c>
      <c r="F553" s="303" t="str">
        <f>_xlfn.IFNA(VLOOKUP(D553,ProductListTbl[],5,0),"")</f>
        <v/>
      </c>
      <c r="G553" s="303" t="str">
        <f>_xlfn.IFNA(VLOOKUP(D553,ProductListTbl[],6,0),"")</f>
        <v/>
      </c>
      <c r="H553" s="130" t="str">
        <f>_xlfn.IFNA(VLOOKUP(D553,ProductListTbl[],7,0),"")</f>
        <v/>
      </c>
      <c r="I553" s="130" t="str">
        <f>_xlfn.IFNA(VLOOKUP(D553,ProductListTbl[],8,0),"")</f>
        <v/>
      </c>
      <c r="J553" s="127"/>
      <c r="K553" s="129"/>
      <c r="L553" s="128"/>
      <c r="M553" s="305" t="str">
        <f>IFERROR(Table3[[#This Row],[Quantity (doses)]]/Table3[[#This Row],[Doses per vial or syringe]],"")</f>
        <v/>
      </c>
      <c r="N553" s="127"/>
      <c r="O553" s="127"/>
      <c r="P553" s="381"/>
      <c r="Q553" s="129"/>
      <c r="R553" s="127"/>
      <c r="S553" s="127"/>
      <c r="T553" s="127"/>
      <c r="U553" s="127"/>
      <c r="V553" s="305" t="str">
        <f>_xlfn.IFNA(VLOOKUP(D553,ProductListTbl[],9,0),"")</f>
        <v/>
      </c>
      <c r="W553" s="305" t="str">
        <f>IFERROR(Table3[[#This Row],[Storage space per secondary packaging (cm3)]]*Table3[[#This Row],[Quantity  (vials or syringes)]]/1000,"")</f>
        <v/>
      </c>
      <c r="X553" s="305" t="str">
        <f>IFERROR(Table3[[#This Row],[Storage space per tertiary packaging (cm3)]]*Table3[[#This Row],[Quantity (doses)]]/1000,"")</f>
        <v/>
      </c>
      <c r="Y553" s="293" t="str">
        <f>IF(Table3[[#This Row],[Status]]="Ordered",(DATE(YEAR(P553),MONTH(P553),1)),IF(Table3[[#This Row],[Status]]="Received",(DATE(YEAR(Q553),MONTH(Q553),1)),""))</f>
        <v/>
      </c>
      <c r="Z553" s="304" t="str">
        <f t="shared" si="32"/>
        <v/>
      </c>
      <c r="AA553" s="48" t="str">
        <f t="shared" si="33"/>
        <v/>
      </c>
      <c r="AB553" s="48" t="str">
        <f t="shared" si="34"/>
        <v/>
      </c>
      <c r="AC553" s="292" t="str">
        <f t="shared" si="35"/>
        <v/>
      </c>
      <c r="AD553" s="48" t="str">
        <f>IF(Table3[[#This Row],[Actual Arrival date]]&gt;0,IF(Table3[[#This Row],[Expected arrival date]]&gt;0,Table3[[#This Row],[Actual Arrival date]]-Table3[[#This Row],[Expected arrival date]],""),"")</f>
        <v/>
      </c>
    </row>
    <row r="554" spans="1:30" x14ac:dyDescent="0.25">
      <c r="A554" s="303" t="str">
        <f>Start!$D$7</f>
        <v>Anyland</v>
      </c>
      <c r="B554" s="48" t="str">
        <f>_xlfn.IFNA(VLOOKUP(A554,list!B:C,2,FALSE),"")</f>
        <v>ANY</v>
      </c>
      <c r="C554" s="48"/>
      <c r="D554" s="127"/>
      <c r="E554" s="48" t="str">
        <f>_xlfn.IFNA(VLOOKUP(Table3[[#This Row],[Product]], ProductListTbl[], 3, 0), "")</f>
        <v/>
      </c>
      <c r="F554" s="303" t="str">
        <f>_xlfn.IFNA(VLOOKUP(D554,ProductListTbl[],5,0),"")</f>
        <v/>
      </c>
      <c r="G554" s="303" t="str">
        <f>_xlfn.IFNA(VLOOKUP(D554,ProductListTbl[],6,0),"")</f>
        <v/>
      </c>
      <c r="H554" s="130" t="str">
        <f>_xlfn.IFNA(VLOOKUP(D554,ProductListTbl[],7,0),"")</f>
        <v/>
      </c>
      <c r="I554" s="130" t="str">
        <f>_xlfn.IFNA(VLOOKUP(D554,ProductListTbl[],8,0),"")</f>
        <v/>
      </c>
      <c r="J554" s="127"/>
      <c r="K554" s="129"/>
      <c r="L554" s="128"/>
      <c r="M554" s="305" t="str">
        <f>IFERROR(Table3[[#This Row],[Quantity (doses)]]/Table3[[#This Row],[Doses per vial or syringe]],"")</f>
        <v/>
      </c>
      <c r="N554" s="127"/>
      <c r="O554" s="127"/>
      <c r="P554" s="381"/>
      <c r="Q554" s="129"/>
      <c r="R554" s="127"/>
      <c r="S554" s="127"/>
      <c r="T554" s="127"/>
      <c r="U554" s="127"/>
      <c r="V554" s="305" t="str">
        <f>_xlfn.IFNA(VLOOKUP(D554,ProductListTbl[],9,0),"")</f>
        <v/>
      </c>
      <c r="W554" s="305" t="str">
        <f>IFERROR(Table3[[#This Row],[Storage space per secondary packaging (cm3)]]*Table3[[#This Row],[Quantity  (vials or syringes)]]/1000,"")</f>
        <v/>
      </c>
      <c r="X554" s="305" t="str">
        <f>IFERROR(Table3[[#This Row],[Storage space per tertiary packaging (cm3)]]*Table3[[#This Row],[Quantity (doses)]]/1000,"")</f>
        <v/>
      </c>
      <c r="Y554" s="293" t="str">
        <f>IF(Table3[[#This Row],[Status]]="Ordered",(DATE(YEAR(P554),MONTH(P554),1)),IF(Table3[[#This Row],[Status]]="Received",(DATE(YEAR(Q554),MONTH(Q554),1)),""))</f>
        <v/>
      </c>
      <c r="Z554" s="304" t="str">
        <f t="shared" si="32"/>
        <v/>
      </c>
      <c r="AA554" s="48" t="str">
        <f t="shared" si="33"/>
        <v/>
      </c>
      <c r="AB554" s="48" t="str">
        <f t="shared" si="34"/>
        <v/>
      </c>
      <c r="AC554" s="292" t="str">
        <f t="shared" si="35"/>
        <v/>
      </c>
      <c r="AD554" s="48" t="str">
        <f>IF(Table3[[#This Row],[Actual Arrival date]]&gt;0,IF(Table3[[#This Row],[Expected arrival date]]&gt;0,Table3[[#This Row],[Actual Arrival date]]-Table3[[#This Row],[Expected arrival date]],""),"")</f>
        <v/>
      </c>
    </row>
    <row r="555" spans="1:30" x14ac:dyDescent="0.25">
      <c r="A555" s="303" t="str">
        <f>Start!$D$7</f>
        <v>Anyland</v>
      </c>
      <c r="B555" s="48" t="str">
        <f>_xlfn.IFNA(VLOOKUP(A555,list!B:C,2,FALSE),"")</f>
        <v>ANY</v>
      </c>
      <c r="C555" s="48"/>
      <c r="D555" s="127"/>
      <c r="E555" s="48" t="str">
        <f>_xlfn.IFNA(VLOOKUP(Table3[[#This Row],[Product]], ProductListTbl[], 3, 0), "")</f>
        <v/>
      </c>
      <c r="F555" s="303" t="str">
        <f>_xlfn.IFNA(VLOOKUP(D555,ProductListTbl[],5,0),"")</f>
        <v/>
      </c>
      <c r="G555" s="303" t="str">
        <f>_xlfn.IFNA(VLOOKUP(D555,ProductListTbl[],6,0),"")</f>
        <v/>
      </c>
      <c r="H555" s="130" t="str">
        <f>_xlfn.IFNA(VLOOKUP(D555,ProductListTbl[],7,0),"")</f>
        <v/>
      </c>
      <c r="I555" s="130" t="str">
        <f>_xlfn.IFNA(VLOOKUP(D555,ProductListTbl[],8,0),"")</f>
        <v/>
      </c>
      <c r="J555" s="127"/>
      <c r="K555" s="129"/>
      <c r="L555" s="128"/>
      <c r="M555" s="305" t="str">
        <f>IFERROR(Table3[[#This Row],[Quantity (doses)]]/Table3[[#This Row],[Doses per vial or syringe]],"")</f>
        <v/>
      </c>
      <c r="N555" s="127"/>
      <c r="O555" s="127"/>
      <c r="P555" s="381"/>
      <c r="Q555" s="129"/>
      <c r="R555" s="127"/>
      <c r="S555" s="127"/>
      <c r="T555" s="127"/>
      <c r="U555" s="127"/>
      <c r="V555" s="305" t="str">
        <f>_xlfn.IFNA(VLOOKUP(D555,ProductListTbl[],9,0),"")</f>
        <v/>
      </c>
      <c r="W555" s="305" t="str">
        <f>IFERROR(Table3[[#This Row],[Storage space per secondary packaging (cm3)]]*Table3[[#This Row],[Quantity  (vials or syringes)]]/1000,"")</f>
        <v/>
      </c>
      <c r="X555" s="305" t="str">
        <f>IFERROR(Table3[[#This Row],[Storage space per tertiary packaging (cm3)]]*Table3[[#This Row],[Quantity (doses)]]/1000,"")</f>
        <v/>
      </c>
      <c r="Y555" s="293" t="str">
        <f>IF(Table3[[#This Row],[Status]]="Ordered",(DATE(YEAR(P555),MONTH(P555),1)),IF(Table3[[#This Row],[Status]]="Received",(DATE(YEAR(Q555),MONTH(Q555),1)),""))</f>
        <v/>
      </c>
      <c r="Z555" s="304" t="str">
        <f t="shared" si="32"/>
        <v/>
      </c>
      <c r="AA555" s="48" t="str">
        <f t="shared" si="33"/>
        <v/>
      </c>
      <c r="AB555" s="48" t="str">
        <f t="shared" si="34"/>
        <v/>
      </c>
      <c r="AC555" s="292" t="str">
        <f t="shared" si="35"/>
        <v/>
      </c>
      <c r="AD555" s="48" t="str">
        <f>IF(Table3[[#This Row],[Actual Arrival date]]&gt;0,IF(Table3[[#This Row],[Expected arrival date]]&gt;0,Table3[[#This Row],[Actual Arrival date]]-Table3[[#This Row],[Expected arrival date]],""),"")</f>
        <v/>
      </c>
    </row>
    <row r="556" spans="1:30" x14ac:dyDescent="0.25">
      <c r="A556" s="303" t="str">
        <f>Start!$D$7</f>
        <v>Anyland</v>
      </c>
      <c r="B556" s="48" t="str">
        <f>_xlfn.IFNA(VLOOKUP(A556,list!B:C,2,FALSE),"")</f>
        <v>ANY</v>
      </c>
      <c r="C556" s="48"/>
      <c r="D556" s="127"/>
      <c r="E556" s="48" t="str">
        <f>_xlfn.IFNA(VLOOKUP(Table3[[#This Row],[Product]], ProductListTbl[], 3, 0), "")</f>
        <v/>
      </c>
      <c r="F556" s="303" t="str">
        <f>_xlfn.IFNA(VLOOKUP(D556,ProductListTbl[],5,0),"")</f>
        <v/>
      </c>
      <c r="G556" s="303" t="str">
        <f>_xlfn.IFNA(VLOOKUP(D556,ProductListTbl[],6,0),"")</f>
        <v/>
      </c>
      <c r="H556" s="130" t="str">
        <f>_xlfn.IFNA(VLOOKUP(D556,ProductListTbl[],7,0),"")</f>
        <v/>
      </c>
      <c r="I556" s="130" t="str">
        <f>_xlfn.IFNA(VLOOKUP(D556,ProductListTbl[],8,0),"")</f>
        <v/>
      </c>
      <c r="J556" s="127"/>
      <c r="K556" s="129"/>
      <c r="L556" s="128"/>
      <c r="M556" s="305" t="str">
        <f>IFERROR(Table3[[#This Row],[Quantity (doses)]]/Table3[[#This Row],[Doses per vial or syringe]],"")</f>
        <v/>
      </c>
      <c r="N556" s="127"/>
      <c r="O556" s="127"/>
      <c r="P556" s="381"/>
      <c r="Q556" s="129"/>
      <c r="R556" s="127"/>
      <c r="S556" s="127"/>
      <c r="T556" s="127"/>
      <c r="U556" s="127"/>
      <c r="V556" s="305" t="str">
        <f>_xlfn.IFNA(VLOOKUP(D556,ProductListTbl[],9,0),"")</f>
        <v/>
      </c>
      <c r="W556" s="305" t="str">
        <f>IFERROR(Table3[[#This Row],[Storage space per secondary packaging (cm3)]]*Table3[[#This Row],[Quantity  (vials or syringes)]]/1000,"")</f>
        <v/>
      </c>
      <c r="X556" s="305" t="str">
        <f>IFERROR(Table3[[#This Row],[Storage space per tertiary packaging (cm3)]]*Table3[[#This Row],[Quantity (doses)]]/1000,"")</f>
        <v/>
      </c>
      <c r="Y556" s="293" t="str">
        <f>IF(Table3[[#This Row],[Status]]="Ordered",(DATE(YEAR(P556),MONTH(P556),1)),IF(Table3[[#This Row],[Status]]="Received",(DATE(YEAR(Q556),MONTH(Q556),1)),""))</f>
        <v/>
      </c>
      <c r="Z556" s="304" t="str">
        <f t="shared" si="32"/>
        <v/>
      </c>
      <c r="AA556" s="48" t="str">
        <f t="shared" si="33"/>
        <v/>
      </c>
      <c r="AB556" s="48" t="str">
        <f t="shared" si="34"/>
        <v/>
      </c>
      <c r="AC556" s="292" t="str">
        <f t="shared" si="35"/>
        <v/>
      </c>
      <c r="AD556" s="48" t="str">
        <f>IF(Table3[[#This Row],[Actual Arrival date]]&gt;0,IF(Table3[[#This Row],[Expected arrival date]]&gt;0,Table3[[#This Row],[Actual Arrival date]]-Table3[[#This Row],[Expected arrival date]],""),"")</f>
        <v/>
      </c>
    </row>
    <row r="557" spans="1:30" x14ac:dyDescent="0.25">
      <c r="A557" s="303" t="str">
        <f>Start!$D$7</f>
        <v>Anyland</v>
      </c>
      <c r="B557" s="48" t="str">
        <f>_xlfn.IFNA(VLOOKUP(A557,list!B:C,2,FALSE),"")</f>
        <v>ANY</v>
      </c>
      <c r="C557" s="48"/>
      <c r="D557" s="127"/>
      <c r="E557" s="48" t="str">
        <f>_xlfn.IFNA(VLOOKUP(Table3[[#This Row],[Product]], ProductListTbl[], 3, 0), "")</f>
        <v/>
      </c>
      <c r="F557" s="303" t="str">
        <f>_xlfn.IFNA(VLOOKUP(D557,ProductListTbl[],5,0),"")</f>
        <v/>
      </c>
      <c r="G557" s="303" t="str">
        <f>_xlfn.IFNA(VLOOKUP(D557,ProductListTbl[],6,0),"")</f>
        <v/>
      </c>
      <c r="H557" s="130" t="str">
        <f>_xlfn.IFNA(VLOOKUP(D557,ProductListTbl[],7,0),"")</f>
        <v/>
      </c>
      <c r="I557" s="130" t="str">
        <f>_xlfn.IFNA(VLOOKUP(D557,ProductListTbl[],8,0),"")</f>
        <v/>
      </c>
      <c r="J557" s="127"/>
      <c r="K557" s="129"/>
      <c r="L557" s="128"/>
      <c r="M557" s="305" t="str">
        <f>IFERROR(Table3[[#This Row],[Quantity (doses)]]/Table3[[#This Row],[Doses per vial or syringe]],"")</f>
        <v/>
      </c>
      <c r="N557" s="127"/>
      <c r="O557" s="127"/>
      <c r="P557" s="381"/>
      <c r="Q557" s="129"/>
      <c r="R557" s="127"/>
      <c r="S557" s="127"/>
      <c r="T557" s="127"/>
      <c r="U557" s="127"/>
      <c r="V557" s="305" t="str">
        <f>_xlfn.IFNA(VLOOKUP(D557,ProductListTbl[],9,0),"")</f>
        <v/>
      </c>
      <c r="W557" s="305" t="str">
        <f>IFERROR(Table3[[#This Row],[Storage space per secondary packaging (cm3)]]*Table3[[#This Row],[Quantity  (vials or syringes)]]/1000,"")</f>
        <v/>
      </c>
      <c r="X557" s="305" t="str">
        <f>IFERROR(Table3[[#This Row],[Storage space per tertiary packaging (cm3)]]*Table3[[#This Row],[Quantity (doses)]]/1000,"")</f>
        <v/>
      </c>
      <c r="Y557" s="293" t="str">
        <f>IF(Table3[[#This Row],[Status]]="Ordered",(DATE(YEAR(P557),MONTH(P557),1)),IF(Table3[[#This Row],[Status]]="Received",(DATE(YEAR(Q557),MONTH(Q557),1)),""))</f>
        <v/>
      </c>
      <c r="Z557" s="304" t="str">
        <f t="shared" si="32"/>
        <v/>
      </c>
      <c r="AA557" s="48" t="str">
        <f t="shared" si="33"/>
        <v/>
      </c>
      <c r="AB557" s="48" t="str">
        <f t="shared" si="34"/>
        <v/>
      </c>
      <c r="AC557" s="292" t="str">
        <f t="shared" si="35"/>
        <v/>
      </c>
      <c r="AD557" s="48" t="str">
        <f>IF(Table3[[#This Row],[Actual Arrival date]]&gt;0,IF(Table3[[#This Row],[Expected arrival date]]&gt;0,Table3[[#This Row],[Actual Arrival date]]-Table3[[#This Row],[Expected arrival date]],""),"")</f>
        <v/>
      </c>
    </row>
    <row r="558" spans="1:30" x14ac:dyDescent="0.25">
      <c r="A558" s="303" t="str">
        <f>Start!$D$7</f>
        <v>Anyland</v>
      </c>
      <c r="B558" s="48" t="str">
        <f>_xlfn.IFNA(VLOOKUP(A558,list!B:C,2,FALSE),"")</f>
        <v>ANY</v>
      </c>
      <c r="C558" s="48"/>
      <c r="D558" s="127"/>
      <c r="E558" s="48" t="str">
        <f>_xlfn.IFNA(VLOOKUP(Table3[[#This Row],[Product]], ProductListTbl[], 3, 0), "")</f>
        <v/>
      </c>
      <c r="F558" s="303" t="str">
        <f>_xlfn.IFNA(VLOOKUP(D558,ProductListTbl[],5,0),"")</f>
        <v/>
      </c>
      <c r="G558" s="303" t="str">
        <f>_xlfn.IFNA(VLOOKUP(D558,ProductListTbl[],6,0),"")</f>
        <v/>
      </c>
      <c r="H558" s="130" t="str">
        <f>_xlfn.IFNA(VLOOKUP(D558,ProductListTbl[],7,0),"")</f>
        <v/>
      </c>
      <c r="I558" s="130" t="str">
        <f>_xlfn.IFNA(VLOOKUP(D558,ProductListTbl[],8,0),"")</f>
        <v/>
      </c>
      <c r="J558" s="127"/>
      <c r="K558" s="129"/>
      <c r="L558" s="128"/>
      <c r="M558" s="305" t="str">
        <f>IFERROR(Table3[[#This Row],[Quantity (doses)]]/Table3[[#This Row],[Doses per vial or syringe]],"")</f>
        <v/>
      </c>
      <c r="N558" s="127"/>
      <c r="O558" s="127"/>
      <c r="P558" s="381"/>
      <c r="Q558" s="129"/>
      <c r="R558" s="127"/>
      <c r="S558" s="127"/>
      <c r="T558" s="127"/>
      <c r="U558" s="127"/>
      <c r="V558" s="305" t="str">
        <f>_xlfn.IFNA(VLOOKUP(D558,ProductListTbl[],9,0),"")</f>
        <v/>
      </c>
      <c r="W558" s="305" t="str">
        <f>IFERROR(Table3[[#This Row],[Storage space per secondary packaging (cm3)]]*Table3[[#This Row],[Quantity  (vials or syringes)]]/1000,"")</f>
        <v/>
      </c>
      <c r="X558" s="305" t="str">
        <f>IFERROR(Table3[[#This Row],[Storage space per tertiary packaging (cm3)]]*Table3[[#This Row],[Quantity (doses)]]/1000,"")</f>
        <v/>
      </c>
      <c r="Y558" s="293" t="str">
        <f>IF(Table3[[#This Row],[Status]]="Ordered",(DATE(YEAR(P558),MONTH(P558),1)),IF(Table3[[#This Row],[Status]]="Received",(DATE(YEAR(Q558),MONTH(Q558),1)),""))</f>
        <v/>
      </c>
      <c r="Z558" s="304" t="str">
        <f t="shared" si="32"/>
        <v/>
      </c>
      <c r="AA558" s="48" t="str">
        <f t="shared" si="33"/>
        <v/>
      </c>
      <c r="AB558" s="48" t="str">
        <f t="shared" si="34"/>
        <v/>
      </c>
      <c r="AC558" s="292" t="str">
        <f t="shared" si="35"/>
        <v/>
      </c>
      <c r="AD558" s="48" t="str">
        <f>IF(Table3[[#This Row],[Actual Arrival date]]&gt;0,IF(Table3[[#This Row],[Expected arrival date]]&gt;0,Table3[[#This Row],[Actual Arrival date]]-Table3[[#This Row],[Expected arrival date]],""),"")</f>
        <v/>
      </c>
    </row>
    <row r="559" spans="1:30" x14ac:dyDescent="0.25">
      <c r="A559" s="303" t="str">
        <f>Start!$D$7</f>
        <v>Anyland</v>
      </c>
      <c r="B559" s="48" t="str">
        <f>_xlfn.IFNA(VLOOKUP(A559,list!B:C,2,FALSE),"")</f>
        <v>ANY</v>
      </c>
      <c r="C559" s="48"/>
      <c r="D559" s="127"/>
      <c r="E559" s="48" t="str">
        <f>_xlfn.IFNA(VLOOKUP(Table3[[#This Row],[Product]], ProductListTbl[], 3, 0), "")</f>
        <v/>
      </c>
      <c r="F559" s="303" t="str">
        <f>_xlfn.IFNA(VLOOKUP(D559,ProductListTbl[],5,0),"")</f>
        <v/>
      </c>
      <c r="G559" s="303" t="str">
        <f>_xlfn.IFNA(VLOOKUP(D559,ProductListTbl[],6,0),"")</f>
        <v/>
      </c>
      <c r="H559" s="130" t="str">
        <f>_xlfn.IFNA(VLOOKUP(D559,ProductListTbl[],7,0),"")</f>
        <v/>
      </c>
      <c r="I559" s="130" t="str">
        <f>_xlfn.IFNA(VLOOKUP(D559,ProductListTbl[],8,0),"")</f>
        <v/>
      </c>
      <c r="J559" s="127"/>
      <c r="K559" s="129"/>
      <c r="L559" s="128"/>
      <c r="M559" s="305" t="str">
        <f>IFERROR(Table3[[#This Row],[Quantity (doses)]]/Table3[[#This Row],[Doses per vial or syringe]],"")</f>
        <v/>
      </c>
      <c r="N559" s="127"/>
      <c r="O559" s="127"/>
      <c r="P559" s="381"/>
      <c r="Q559" s="129"/>
      <c r="R559" s="127"/>
      <c r="S559" s="127"/>
      <c r="T559" s="127"/>
      <c r="U559" s="127"/>
      <c r="V559" s="305" t="str">
        <f>_xlfn.IFNA(VLOOKUP(D559,ProductListTbl[],9,0),"")</f>
        <v/>
      </c>
      <c r="W559" s="305" t="str">
        <f>IFERROR(Table3[[#This Row],[Storage space per secondary packaging (cm3)]]*Table3[[#This Row],[Quantity  (vials or syringes)]]/1000,"")</f>
        <v/>
      </c>
      <c r="X559" s="305" t="str">
        <f>IFERROR(Table3[[#This Row],[Storage space per tertiary packaging (cm3)]]*Table3[[#This Row],[Quantity (doses)]]/1000,"")</f>
        <v/>
      </c>
      <c r="Y559" s="293" t="str">
        <f>IF(Table3[[#This Row],[Status]]="Ordered",(DATE(YEAR(P559),MONTH(P559),1)),IF(Table3[[#This Row],[Status]]="Received",(DATE(YEAR(Q559),MONTH(Q559),1)),""))</f>
        <v/>
      </c>
      <c r="Z559" s="304" t="str">
        <f t="shared" si="32"/>
        <v/>
      </c>
      <c r="AA559" s="48" t="str">
        <f t="shared" si="33"/>
        <v/>
      </c>
      <c r="AB559" s="48" t="str">
        <f t="shared" si="34"/>
        <v/>
      </c>
      <c r="AC559" s="292" t="str">
        <f t="shared" si="35"/>
        <v/>
      </c>
      <c r="AD559" s="48" t="str">
        <f>IF(Table3[[#This Row],[Actual Arrival date]]&gt;0,IF(Table3[[#This Row],[Expected arrival date]]&gt;0,Table3[[#This Row],[Actual Arrival date]]-Table3[[#This Row],[Expected arrival date]],""),"")</f>
        <v/>
      </c>
    </row>
    <row r="560" spans="1:30" x14ac:dyDescent="0.25">
      <c r="A560" s="303" t="str">
        <f>Start!$D$7</f>
        <v>Anyland</v>
      </c>
      <c r="B560" s="48" t="str">
        <f>_xlfn.IFNA(VLOOKUP(A560,list!B:C,2,FALSE),"")</f>
        <v>ANY</v>
      </c>
      <c r="C560" s="48"/>
      <c r="D560" s="127"/>
      <c r="E560" s="48" t="str">
        <f>_xlfn.IFNA(VLOOKUP(Table3[[#This Row],[Product]], ProductListTbl[], 3, 0), "")</f>
        <v/>
      </c>
      <c r="F560" s="303" t="str">
        <f>_xlfn.IFNA(VLOOKUP(D560,ProductListTbl[],5,0),"")</f>
        <v/>
      </c>
      <c r="G560" s="303" t="str">
        <f>_xlfn.IFNA(VLOOKUP(D560,ProductListTbl[],6,0),"")</f>
        <v/>
      </c>
      <c r="H560" s="130" t="str">
        <f>_xlfn.IFNA(VLOOKUP(D560,ProductListTbl[],7,0),"")</f>
        <v/>
      </c>
      <c r="I560" s="130" t="str">
        <f>_xlfn.IFNA(VLOOKUP(D560,ProductListTbl[],8,0),"")</f>
        <v/>
      </c>
      <c r="J560" s="127"/>
      <c r="K560" s="129"/>
      <c r="L560" s="128"/>
      <c r="M560" s="305" t="str">
        <f>IFERROR(Table3[[#This Row],[Quantity (doses)]]/Table3[[#This Row],[Doses per vial or syringe]],"")</f>
        <v/>
      </c>
      <c r="N560" s="127"/>
      <c r="O560" s="127"/>
      <c r="P560" s="381"/>
      <c r="Q560" s="129"/>
      <c r="R560" s="127"/>
      <c r="S560" s="127"/>
      <c r="T560" s="127"/>
      <c r="U560" s="127"/>
      <c r="V560" s="305" t="str">
        <f>_xlfn.IFNA(VLOOKUP(D560,ProductListTbl[],9,0),"")</f>
        <v/>
      </c>
      <c r="W560" s="305" t="str">
        <f>IFERROR(Table3[[#This Row],[Storage space per secondary packaging (cm3)]]*Table3[[#This Row],[Quantity  (vials or syringes)]]/1000,"")</f>
        <v/>
      </c>
      <c r="X560" s="305" t="str">
        <f>IFERROR(Table3[[#This Row],[Storage space per tertiary packaging (cm3)]]*Table3[[#This Row],[Quantity (doses)]]/1000,"")</f>
        <v/>
      </c>
      <c r="Y560" s="293" t="str">
        <f>IF(Table3[[#This Row],[Status]]="Ordered",(DATE(YEAR(P560),MONTH(P560),1)),IF(Table3[[#This Row],[Status]]="Received",(DATE(YEAR(Q560),MONTH(Q560),1)),""))</f>
        <v/>
      </c>
      <c r="Z560" s="304" t="str">
        <f t="shared" si="32"/>
        <v/>
      </c>
      <c r="AA560" s="48" t="str">
        <f t="shared" si="33"/>
        <v/>
      </c>
      <c r="AB560" s="48" t="str">
        <f t="shared" si="34"/>
        <v/>
      </c>
      <c r="AC560" s="292" t="str">
        <f t="shared" si="35"/>
        <v/>
      </c>
      <c r="AD560" s="48" t="str">
        <f>IF(Table3[[#This Row],[Actual Arrival date]]&gt;0,IF(Table3[[#This Row],[Expected arrival date]]&gt;0,Table3[[#This Row],[Actual Arrival date]]-Table3[[#This Row],[Expected arrival date]],""),"")</f>
        <v/>
      </c>
    </row>
    <row r="561" spans="1:30" x14ac:dyDescent="0.25">
      <c r="A561" s="303" t="str">
        <f>Start!$D$7</f>
        <v>Anyland</v>
      </c>
      <c r="B561" s="48" t="str">
        <f>_xlfn.IFNA(VLOOKUP(A561,list!B:C,2,FALSE),"")</f>
        <v>ANY</v>
      </c>
      <c r="C561" s="48"/>
      <c r="D561" s="127"/>
      <c r="E561" s="48" t="str">
        <f>_xlfn.IFNA(VLOOKUP(Table3[[#This Row],[Product]], ProductListTbl[], 3, 0), "")</f>
        <v/>
      </c>
      <c r="F561" s="303" t="str">
        <f>_xlfn.IFNA(VLOOKUP(D561,ProductListTbl[],5,0),"")</f>
        <v/>
      </c>
      <c r="G561" s="303" t="str">
        <f>_xlfn.IFNA(VLOOKUP(D561,ProductListTbl[],6,0),"")</f>
        <v/>
      </c>
      <c r="H561" s="130" t="str">
        <f>_xlfn.IFNA(VLOOKUP(D561,ProductListTbl[],7,0),"")</f>
        <v/>
      </c>
      <c r="I561" s="130" t="str">
        <f>_xlfn.IFNA(VLOOKUP(D561,ProductListTbl[],8,0),"")</f>
        <v/>
      </c>
      <c r="J561" s="127"/>
      <c r="K561" s="129"/>
      <c r="L561" s="128"/>
      <c r="M561" s="305" t="str">
        <f>IFERROR(Table3[[#This Row],[Quantity (doses)]]/Table3[[#This Row],[Doses per vial or syringe]],"")</f>
        <v/>
      </c>
      <c r="N561" s="127"/>
      <c r="O561" s="127"/>
      <c r="P561" s="381"/>
      <c r="Q561" s="129"/>
      <c r="R561" s="127"/>
      <c r="S561" s="127"/>
      <c r="T561" s="127"/>
      <c r="U561" s="127"/>
      <c r="V561" s="305" t="str">
        <f>_xlfn.IFNA(VLOOKUP(D561,ProductListTbl[],9,0),"")</f>
        <v/>
      </c>
      <c r="W561" s="305" t="str">
        <f>IFERROR(Table3[[#This Row],[Storage space per secondary packaging (cm3)]]*Table3[[#This Row],[Quantity  (vials or syringes)]]/1000,"")</f>
        <v/>
      </c>
      <c r="X561" s="305" t="str">
        <f>IFERROR(Table3[[#This Row],[Storage space per tertiary packaging (cm3)]]*Table3[[#This Row],[Quantity (doses)]]/1000,"")</f>
        <v/>
      </c>
      <c r="Y561" s="293" t="str">
        <f>IF(Table3[[#This Row],[Status]]="Ordered",(DATE(YEAR(P561),MONTH(P561),1)),IF(Table3[[#This Row],[Status]]="Received",(DATE(YEAR(Q561),MONTH(Q561),1)),""))</f>
        <v/>
      </c>
      <c r="Z561" s="304" t="str">
        <f t="shared" si="32"/>
        <v/>
      </c>
      <c r="AA561" s="48" t="str">
        <f t="shared" si="33"/>
        <v/>
      </c>
      <c r="AB561" s="48" t="str">
        <f t="shared" si="34"/>
        <v/>
      </c>
      <c r="AC561" s="292" t="str">
        <f t="shared" si="35"/>
        <v/>
      </c>
      <c r="AD561" s="48" t="str">
        <f>IF(Table3[[#This Row],[Actual Arrival date]]&gt;0,IF(Table3[[#This Row],[Expected arrival date]]&gt;0,Table3[[#This Row],[Actual Arrival date]]-Table3[[#This Row],[Expected arrival date]],""),"")</f>
        <v/>
      </c>
    </row>
    <row r="562" spans="1:30" x14ac:dyDescent="0.25">
      <c r="A562" s="303" t="str">
        <f>Start!$D$7</f>
        <v>Anyland</v>
      </c>
      <c r="B562" s="48" t="str">
        <f>_xlfn.IFNA(VLOOKUP(A562,list!B:C,2,FALSE),"")</f>
        <v>ANY</v>
      </c>
      <c r="C562" s="48"/>
      <c r="D562" s="127"/>
      <c r="E562" s="48" t="str">
        <f>_xlfn.IFNA(VLOOKUP(Table3[[#This Row],[Product]], ProductListTbl[], 3, 0), "")</f>
        <v/>
      </c>
      <c r="F562" s="303" t="str">
        <f>_xlfn.IFNA(VLOOKUP(D562,ProductListTbl[],5,0),"")</f>
        <v/>
      </c>
      <c r="G562" s="303" t="str">
        <f>_xlfn.IFNA(VLOOKUP(D562,ProductListTbl[],6,0),"")</f>
        <v/>
      </c>
      <c r="H562" s="130" t="str">
        <f>_xlfn.IFNA(VLOOKUP(D562,ProductListTbl[],7,0),"")</f>
        <v/>
      </c>
      <c r="I562" s="130" t="str">
        <f>_xlfn.IFNA(VLOOKUP(D562,ProductListTbl[],8,0),"")</f>
        <v/>
      </c>
      <c r="J562" s="127"/>
      <c r="K562" s="129"/>
      <c r="L562" s="128"/>
      <c r="M562" s="305" t="str">
        <f>IFERROR(Table3[[#This Row],[Quantity (doses)]]/Table3[[#This Row],[Doses per vial or syringe]],"")</f>
        <v/>
      </c>
      <c r="N562" s="127"/>
      <c r="O562" s="127"/>
      <c r="P562" s="381"/>
      <c r="Q562" s="129"/>
      <c r="R562" s="127"/>
      <c r="S562" s="127"/>
      <c r="T562" s="127"/>
      <c r="U562" s="127"/>
      <c r="V562" s="305" t="str">
        <f>_xlfn.IFNA(VLOOKUP(D562,ProductListTbl[],9,0),"")</f>
        <v/>
      </c>
      <c r="W562" s="305" t="str">
        <f>IFERROR(Table3[[#This Row],[Storage space per secondary packaging (cm3)]]*Table3[[#This Row],[Quantity  (vials or syringes)]]/1000,"")</f>
        <v/>
      </c>
      <c r="X562" s="305" t="str">
        <f>IFERROR(Table3[[#This Row],[Storage space per tertiary packaging (cm3)]]*Table3[[#This Row],[Quantity (doses)]]/1000,"")</f>
        <v/>
      </c>
      <c r="Y562" s="293" t="str">
        <f>IF(Table3[[#This Row],[Status]]="Ordered",(DATE(YEAR(P562),MONTH(P562),1)),IF(Table3[[#This Row],[Status]]="Received",(DATE(YEAR(Q562),MONTH(Q562),1)),""))</f>
        <v/>
      </c>
      <c r="Z562" s="304" t="str">
        <f t="shared" si="32"/>
        <v/>
      </c>
      <c r="AA562" s="48" t="str">
        <f t="shared" si="33"/>
        <v/>
      </c>
      <c r="AB562" s="48" t="str">
        <f t="shared" si="34"/>
        <v/>
      </c>
      <c r="AC562" s="292" t="str">
        <f t="shared" si="35"/>
        <v/>
      </c>
      <c r="AD562" s="48" t="str">
        <f>IF(Table3[[#This Row],[Actual Arrival date]]&gt;0,IF(Table3[[#This Row],[Expected arrival date]]&gt;0,Table3[[#This Row],[Actual Arrival date]]-Table3[[#This Row],[Expected arrival date]],""),"")</f>
        <v/>
      </c>
    </row>
    <row r="563" spans="1:30" x14ac:dyDescent="0.25">
      <c r="A563" s="303" t="str">
        <f>Start!$D$7</f>
        <v>Anyland</v>
      </c>
      <c r="B563" s="48" t="str">
        <f>_xlfn.IFNA(VLOOKUP(A563,list!B:C,2,FALSE),"")</f>
        <v>ANY</v>
      </c>
      <c r="C563" s="48"/>
      <c r="D563" s="127"/>
      <c r="E563" s="48" t="str">
        <f>_xlfn.IFNA(VLOOKUP(Table3[[#This Row],[Product]], ProductListTbl[], 3, 0), "")</f>
        <v/>
      </c>
      <c r="F563" s="303" t="str">
        <f>_xlfn.IFNA(VLOOKUP(D563,ProductListTbl[],5,0),"")</f>
        <v/>
      </c>
      <c r="G563" s="303" t="str">
        <f>_xlfn.IFNA(VLOOKUP(D563,ProductListTbl[],6,0),"")</f>
        <v/>
      </c>
      <c r="H563" s="130" t="str">
        <f>_xlfn.IFNA(VLOOKUP(D563,ProductListTbl[],7,0),"")</f>
        <v/>
      </c>
      <c r="I563" s="130" t="str">
        <f>_xlfn.IFNA(VLOOKUP(D563,ProductListTbl[],8,0),"")</f>
        <v/>
      </c>
      <c r="J563" s="127"/>
      <c r="K563" s="129"/>
      <c r="L563" s="128"/>
      <c r="M563" s="305" t="str">
        <f>IFERROR(Table3[[#This Row],[Quantity (doses)]]/Table3[[#This Row],[Doses per vial or syringe]],"")</f>
        <v/>
      </c>
      <c r="N563" s="127"/>
      <c r="O563" s="127"/>
      <c r="P563" s="381"/>
      <c r="Q563" s="129"/>
      <c r="R563" s="127"/>
      <c r="S563" s="127"/>
      <c r="T563" s="127"/>
      <c r="U563" s="127"/>
      <c r="V563" s="305" t="str">
        <f>_xlfn.IFNA(VLOOKUP(D563,ProductListTbl[],9,0),"")</f>
        <v/>
      </c>
      <c r="W563" s="305" t="str">
        <f>IFERROR(Table3[[#This Row],[Storage space per secondary packaging (cm3)]]*Table3[[#This Row],[Quantity  (vials or syringes)]]/1000,"")</f>
        <v/>
      </c>
      <c r="X563" s="305" t="str">
        <f>IFERROR(Table3[[#This Row],[Storage space per tertiary packaging (cm3)]]*Table3[[#This Row],[Quantity (doses)]]/1000,"")</f>
        <v/>
      </c>
      <c r="Y563" s="293" t="str">
        <f>IF(Table3[[#This Row],[Status]]="Ordered",(DATE(YEAR(P563),MONTH(P563),1)),IF(Table3[[#This Row],[Status]]="Received",(DATE(YEAR(Q563),MONTH(Q563),1)),""))</f>
        <v/>
      </c>
      <c r="Z563" s="304" t="str">
        <f t="shared" si="32"/>
        <v/>
      </c>
      <c r="AA563" s="48" t="str">
        <f t="shared" si="33"/>
        <v/>
      </c>
      <c r="AB563" s="48" t="str">
        <f t="shared" si="34"/>
        <v/>
      </c>
      <c r="AC563" s="292" t="str">
        <f t="shared" si="35"/>
        <v/>
      </c>
      <c r="AD563" s="48" t="str">
        <f>IF(Table3[[#This Row],[Actual Arrival date]]&gt;0,IF(Table3[[#This Row],[Expected arrival date]]&gt;0,Table3[[#This Row],[Actual Arrival date]]-Table3[[#This Row],[Expected arrival date]],""),"")</f>
        <v/>
      </c>
    </row>
    <row r="564" spans="1:30" x14ac:dyDescent="0.25">
      <c r="A564" s="303" t="str">
        <f>Start!$D$7</f>
        <v>Anyland</v>
      </c>
      <c r="B564" s="48" t="str">
        <f>_xlfn.IFNA(VLOOKUP(A564,list!B:C,2,FALSE),"")</f>
        <v>ANY</v>
      </c>
      <c r="C564" s="48"/>
      <c r="D564" s="127"/>
      <c r="E564" s="48" t="str">
        <f>_xlfn.IFNA(VLOOKUP(Table3[[#This Row],[Product]], ProductListTbl[], 3, 0), "")</f>
        <v/>
      </c>
      <c r="F564" s="303" t="str">
        <f>_xlfn.IFNA(VLOOKUP(D564,ProductListTbl[],5,0),"")</f>
        <v/>
      </c>
      <c r="G564" s="303" t="str">
        <f>_xlfn.IFNA(VLOOKUP(D564,ProductListTbl[],6,0),"")</f>
        <v/>
      </c>
      <c r="H564" s="130" t="str">
        <f>_xlfn.IFNA(VLOOKUP(D564,ProductListTbl[],7,0),"")</f>
        <v/>
      </c>
      <c r="I564" s="130" t="str">
        <f>_xlfn.IFNA(VLOOKUP(D564,ProductListTbl[],8,0),"")</f>
        <v/>
      </c>
      <c r="J564" s="127"/>
      <c r="K564" s="129"/>
      <c r="L564" s="128"/>
      <c r="M564" s="305" t="str">
        <f>IFERROR(Table3[[#This Row],[Quantity (doses)]]/Table3[[#This Row],[Doses per vial or syringe]],"")</f>
        <v/>
      </c>
      <c r="N564" s="127"/>
      <c r="O564" s="127"/>
      <c r="P564" s="381"/>
      <c r="Q564" s="129"/>
      <c r="R564" s="127"/>
      <c r="S564" s="127"/>
      <c r="T564" s="127"/>
      <c r="U564" s="127"/>
      <c r="V564" s="305" t="str">
        <f>_xlfn.IFNA(VLOOKUP(D564,ProductListTbl[],9,0),"")</f>
        <v/>
      </c>
      <c r="W564" s="305" t="str">
        <f>IFERROR(Table3[[#This Row],[Storage space per secondary packaging (cm3)]]*Table3[[#This Row],[Quantity  (vials or syringes)]]/1000,"")</f>
        <v/>
      </c>
      <c r="X564" s="305" t="str">
        <f>IFERROR(Table3[[#This Row],[Storage space per tertiary packaging (cm3)]]*Table3[[#This Row],[Quantity (doses)]]/1000,"")</f>
        <v/>
      </c>
      <c r="Y564" s="293" t="str">
        <f>IF(Table3[[#This Row],[Status]]="Ordered",(DATE(YEAR(P564),MONTH(P564),1)),IF(Table3[[#This Row],[Status]]="Received",(DATE(YEAR(Q564),MONTH(Q564),1)),""))</f>
        <v/>
      </c>
      <c r="Z564" s="304" t="str">
        <f t="shared" si="32"/>
        <v/>
      </c>
      <c r="AA564" s="48" t="str">
        <f t="shared" si="33"/>
        <v/>
      </c>
      <c r="AB564" s="48" t="str">
        <f t="shared" si="34"/>
        <v/>
      </c>
      <c r="AC564" s="292" t="str">
        <f t="shared" si="35"/>
        <v/>
      </c>
      <c r="AD564" s="48" t="str">
        <f>IF(Table3[[#This Row],[Actual Arrival date]]&gt;0,IF(Table3[[#This Row],[Expected arrival date]]&gt;0,Table3[[#This Row],[Actual Arrival date]]-Table3[[#This Row],[Expected arrival date]],""),"")</f>
        <v/>
      </c>
    </row>
    <row r="565" spans="1:30" x14ac:dyDescent="0.25">
      <c r="A565" s="303" t="str">
        <f>Start!$D$7</f>
        <v>Anyland</v>
      </c>
      <c r="B565" s="48" t="str">
        <f>_xlfn.IFNA(VLOOKUP(A565,list!B:C,2,FALSE),"")</f>
        <v>ANY</v>
      </c>
      <c r="C565" s="48"/>
      <c r="D565" s="127"/>
      <c r="E565" s="48" t="str">
        <f>_xlfn.IFNA(VLOOKUP(Table3[[#This Row],[Product]], ProductListTbl[], 3, 0), "")</f>
        <v/>
      </c>
      <c r="F565" s="303" t="str">
        <f>_xlfn.IFNA(VLOOKUP(D565,ProductListTbl[],5,0),"")</f>
        <v/>
      </c>
      <c r="G565" s="303" t="str">
        <f>_xlfn.IFNA(VLOOKUP(D565,ProductListTbl[],6,0),"")</f>
        <v/>
      </c>
      <c r="H565" s="130" t="str">
        <f>_xlfn.IFNA(VLOOKUP(D565,ProductListTbl[],7,0),"")</f>
        <v/>
      </c>
      <c r="I565" s="130" t="str">
        <f>_xlfn.IFNA(VLOOKUP(D565,ProductListTbl[],8,0),"")</f>
        <v/>
      </c>
      <c r="J565" s="127"/>
      <c r="K565" s="129"/>
      <c r="L565" s="128"/>
      <c r="M565" s="305" t="str">
        <f>IFERROR(Table3[[#This Row],[Quantity (doses)]]/Table3[[#This Row],[Doses per vial or syringe]],"")</f>
        <v/>
      </c>
      <c r="N565" s="127"/>
      <c r="O565" s="127"/>
      <c r="P565" s="381"/>
      <c r="Q565" s="129"/>
      <c r="R565" s="127"/>
      <c r="S565" s="127"/>
      <c r="T565" s="127"/>
      <c r="U565" s="127"/>
      <c r="V565" s="305" t="str">
        <f>_xlfn.IFNA(VLOOKUP(D565,ProductListTbl[],9,0),"")</f>
        <v/>
      </c>
      <c r="W565" s="305" t="str">
        <f>IFERROR(Table3[[#This Row],[Storage space per secondary packaging (cm3)]]*Table3[[#This Row],[Quantity  (vials or syringes)]]/1000,"")</f>
        <v/>
      </c>
      <c r="X565" s="305" t="str">
        <f>IFERROR(Table3[[#This Row],[Storage space per tertiary packaging (cm3)]]*Table3[[#This Row],[Quantity (doses)]]/1000,"")</f>
        <v/>
      </c>
      <c r="Y565" s="293" t="str">
        <f>IF(Table3[[#This Row],[Status]]="Ordered",(DATE(YEAR(P565),MONTH(P565),1)),IF(Table3[[#This Row],[Status]]="Received",(DATE(YEAR(Q565),MONTH(Q565),1)),""))</f>
        <v/>
      </c>
      <c r="Z565" s="304" t="str">
        <f t="shared" si="32"/>
        <v/>
      </c>
      <c r="AA565" s="48" t="str">
        <f t="shared" si="33"/>
        <v/>
      </c>
      <c r="AB565" s="48" t="str">
        <f t="shared" si="34"/>
        <v/>
      </c>
      <c r="AC565" s="292" t="str">
        <f t="shared" si="35"/>
        <v/>
      </c>
      <c r="AD565" s="48" t="str">
        <f>IF(Table3[[#This Row],[Actual Arrival date]]&gt;0,IF(Table3[[#This Row],[Expected arrival date]]&gt;0,Table3[[#This Row],[Actual Arrival date]]-Table3[[#This Row],[Expected arrival date]],""),"")</f>
        <v/>
      </c>
    </row>
    <row r="566" spans="1:30" x14ac:dyDescent="0.25">
      <c r="A566" s="303" t="str">
        <f>Start!$D$7</f>
        <v>Anyland</v>
      </c>
      <c r="B566" s="48" t="str">
        <f>_xlfn.IFNA(VLOOKUP(A566,list!B:C,2,FALSE),"")</f>
        <v>ANY</v>
      </c>
      <c r="C566" s="48"/>
      <c r="D566" s="127"/>
      <c r="E566" s="48" t="str">
        <f>_xlfn.IFNA(VLOOKUP(Table3[[#This Row],[Product]], ProductListTbl[], 3, 0), "")</f>
        <v/>
      </c>
      <c r="F566" s="303" t="str">
        <f>_xlfn.IFNA(VLOOKUP(D566,ProductListTbl[],5,0),"")</f>
        <v/>
      </c>
      <c r="G566" s="303" t="str">
        <f>_xlfn.IFNA(VLOOKUP(D566,ProductListTbl[],6,0),"")</f>
        <v/>
      </c>
      <c r="H566" s="130" t="str">
        <f>_xlfn.IFNA(VLOOKUP(D566,ProductListTbl[],7,0),"")</f>
        <v/>
      </c>
      <c r="I566" s="130" t="str">
        <f>_xlfn.IFNA(VLOOKUP(D566,ProductListTbl[],8,0),"")</f>
        <v/>
      </c>
      <c r="J566" s="127"/>
      <c r="K566" s="129"/>
      <c r="L566" s="128"/>
      <c r="M566" s="305" t="str">
        <f>IFERROR(Table3[[#This Row],[Quantity (doses)]]/Table3[[#This Row],[Doses per vial or syringe]],"")</f>
        <v/>
      </c>
      <c r="N566" s="127"/>
      <c r="O566" s="127"/>
      <c r="P566" s="381"/>
      <c r="Q566" s="129"/>
      <c r="R566" s="127"/>
      <c r="S566" s="127"/>
      <c r="T566" s="127"/>
      <c r="U566" s="127"/>
      <c r="V566" s="305" t="str">
        <f>_xlfn.IFNA(VLOOKUP(D566,ProductListTbl[],9,0),"")</f>
        <v/>
      </c>
      <c r="W566" s="305" t="str">
        <f>IFERROR(Table3[[#This Row],[Storage space per secondary packaging (cm3)]]*Table3[[#This Row],[Quantity  (vials or syringes)]]/1000,"")</f>
        <v/>
      </c>
      <c r="X566" s="305" t="str">
        <f>IFERROR(Table3[[#This Row],[Storage space per tertiary packaging (cm3)]]*Table3[[#This Row],[Quantity (doses)]]/1000,"")</f>
        <v/>
      </c>
      <c r="Y566" s="293" t="str">
        <f>IF(Table3[[#This Row],[Status]]="Ordered",(DATE(YEAR(P566),MONTH(P566),1)),IF(Table3[[#This Row],[Status]]="Received",(DATE(YEAR(Q566),MONTH(Q566),1)),""))</f>
        <v/>
      </c>
      <c r="Z566" s="304" t="str">
        <f t="shared" si="32"/>
        <v/>
      </c>
      <c r="AA566" s="48" t="str">
        <f t="shared" si="33"/>
        <v/>
      </c>
      <c r="AB566" s="48" t="str">
        <f t="shared" si="34"/>
        <v/>
      </c>
      <c r="AC566" s="292" t="str">
        <f t="shared" si="35"/>
        <v/>
      </c>
      <c r="AD566" s="48" t="str">
        <f>IF(Table3[[#This Row],[Actual Arrival date]]&gt;0,IF(Table3[[#This Row],[Expected arrival date]]&gt;0,Table3[[#This Row],[Actual Arrival date]]-Table3[[#This Row],[Expected arrival date]],""),"")</f>
        <v/>
      </c>
    </row>
    <row r="567" spans="1:30" x14ac:dyDescent="0.25">
      <c r="A567" s="303" t="str">
        <f>Start!$D$7</f>
        <v>Anyland</v>
      </c>
      <c r="B567" s="48" t="str">
        <f>_xlfn.IFNA(VLOOKUP(A567,list!B:C,2,FALSE),"")</f>
        <v>ANY</v>
      </c>
      <c r="C567" s="48"/>
      <c r="D567" s="127"/>
      <c r="E567" s="48" t="str">
        <f>_xlfn.IFNA(VLOOKUP(Table3[[#This Row],[Product]], ProductListTbl[], 3, 0), "")</f>
        <v/>
      </c>
      <c r="F567" s="303" t="str">
        <f>_xlfn.IFNA(VLOOKUP(D567,ProductListTbl[],5,0),"")</f>
        <v/>
      </c>
      <c r="G567" s="303" t="str">
        <f>_xlfn.IFNA(VLOOKUP(D567,ProductListTbl[],6,0),"")</f>
        <v/>
      </c>
      <c r="H567" s="130" t="str">
        <f>_xlfn.IFNA(VLOOKUP(D567,ProductListTbl[],7,0),"")</f>
        <v/>
      </c>
      <c r="I567" s="130" t="str">
        <f>_xlfn.IFNA(VLOOKUP(D567,ProductListTbl[],8,0),"")</f>
        <v/>
      </c>
      <c r="J567" s="127"/>
      <c r="K567" s="129"/>
      <c r="L567" s="128"/>
      <c r="M567" s="305" t="str">
        <f>IFERROR(Table3[[#This Row],[Quantity (doses)]]/Table3[[#This Row],[Doses per vial or syringe]],"")</f>
        <v/>
      </c>
      <c r="N567" s="127"/>
      <c r="O567" s="127"/>
      <c r="P567" s="381"/>
      <c r="Q567" s="129"/>
      <c r="R567" s="127"/>
      <c r="S567" s="127"/>
      <c r="T567" s="127"/>
      <c r="U567" s="127"/>
      <c r="V567" s="305" t="str">
        <f>_xlfn.IFNA(VLOOKUP(D567,ProductListTbl[],9,0),"")</f>
        <v/>
      </c>
      <c r="W567" s="305" t="str">
        <f>IFERROR(Table3[[#This Row],[Storage space per secondary packaging (cm3)]]*Table3[[#This Row],[Quantity  (vials or syringes)]]/1000,"")</f>
        <v/>
      </c>
      <c r="X567" s="305" t="str">
        <f>IFERROR(Table3[[#This Row],[Storage space per tertiary packaging (cm3)]]*Table3[[#This Row],[Quantity (doses)]]/1000,"")</f>
        <v/>
      </c>
      <c r="Y567" s="293" t="str">
        <f>IF(Table3[[#This Row],[Status]]="Ordered",(DATE(YEAR(P567),MONTH(P567),1)),IF(Table3[[#This Row],[Status]]="Received",(DATE(YEAR(Q567),MONTH(Q567),1)),""))</f>
        <v/>
      </c>
      <c r="Z567" s="304" t="str">
        <f t="shared" si="32"/>
        <v/>
      </c>
      <c r="AA567" s="48" t="str">
        <f t="shared" si="33"/>
        <v/>
      </c>
      <c r="AB567" s="48" t="str">
        <f t="shared" si="34"/>
        <v/>
      </c>
      <c r="AC567" s="292" t="str">
        <f t="shared" si="35"/>
        <v/>
      </c>
      <c r="AD567" s="48" t="str">
        <f>IF(Table3[[#This Row],[Actual Arrival date]]&gt;0,IF(Table3[[#This Row],[Expected arrival date]]&gt;0,Table3[[#This Row],[Actual Arrival date]]-Table3[[#This Row],[Expected arrival date]],""),"")</f>
        <v/>
      </c>
    </row>
    <row r="568" spans="1:30" x14ac:dyDescent="0.25">
      <c r="A568" s="303" t="str">
        <f>Start!$D$7</f>
        <v>Anyland</v>
      </c>
      <c r="B568" s="48" t="str">
        <f>_xlfn.IFNA(VLOOKUP(A568,list!B:C,2,FALSE),"")</f>
        <v>ANY</v>
      </c>
      <c r="C568" s="48"/>
      <c r="D568" s="127"/>
      <c r="E568" s="48" t="str">
        <f>_xlfn.IFNA(VLOOKUP(Table3[[#This Row],[Product]], ProductListTbl[], 3, 0), "")</f>
        <v/>
      </c>
      <c r="F568" s="303" t="str">
        <f>_xlfn.IFNA(VLOOKUP(D568,ProductListTbl[],5,0),"")</f>
        <v/>
      </c>
      <c r="G568" s="303" t="str">
        <f>_xlfn.IFNA(VLOOKUP(D568,ProductListTbl[],6,0),"")</f>
        <v/>
      </c>
      <c r="H568" s="130" t="str">
        <f>_xlfn.IFNA(VLOOKUP(D568,ProductListTbl[],7,0),"")</f>
        <v/>
      </c>
      <c r="I568" s="130" t="str">
        <f>_xlfn.IFNA(VLOOKUP(D568,ProductListTbl[],8,0),"")</f>
        <v/>
      </c>
      <c r="J568" s="127"/>
      <c r="K568" s="129"/>
      <c r="L568" s="128"/>
      <c r="M568" s="305" t="str">
        <f>IFERROR(Table3[[#This Row],[Quantity (doses)]]/Table3[[#This Row],[Doses per vial or syringe]],"")</f>
        <v/>
      </c>
      <c r="N568" s="127"/>
      <c r="O568" s="127"/>
      <c r="P568" s="381"/>
      <c r="Q568" s="129"/>
      <c r="R568" s="127"/>
      <c r="S568" s="127"/>
      <c r="T568" s="127"/>
      <c r="U568" s="127"/>
      <c r="V568" s="305" t="str">
        <f>_xlfn.IFNA(VLOOKUP(D568,ProductListTbl[],9,0),"")</f>
        <v/>
      </c>
      <c r="W568" s="305" t="str">
        <f>IFERROR(Table3[[#This Row],[Storage space per secondary packaging (cm3)]]*Table3[[#This Row],[Quantity  (vials or syringes)]]/1000,"")</f>
        <v/>
      </c>
      <c r="X568" s="305" t="str">
        <f>IFERROR(Table3[[#This Row],[Storage space per tertiary packaging (cm3)]]*Table3[[#This Row],[Quantity (doses)]]/1000,"")</f>
        <v/>
      </c>
      <c r="Y568" s="293" t="str">
        <f>IF(Table3[[#This Row],[Status]]="Ordered",(DATE(YEAR(P568),MONTH(P568),1)),IF(Table3[[#This Row],[Status]]="Received",(DATE(YEAR(Q568),MONTH(Q568),1)),""))</f>
        <v/>
      </c>
      <c r="Z568" s="304" t="str">
        <f t="shared" si="32"/>
        <v/>
      </c>
      <c r="AA568" s="48" t="str">
        <f t="shared" si="33"/>
        <v/>
      </c>
      <c r="AB568" s="48" t="str">
        <f t="shared" si="34"/>
        <v/>
      </c>
      <c r="AC568" s="292" t="str">
        <f t="shared" si="35"/>
        <v/>
      </c>
      <c r="AD568" s="48" t="str">
        <f>IF(Table3[[#This Row],[Actual Arrival date]]&gt;0,IF(Table3[[#This Row],[Expected arrival date]]&gt;0,Table3[[#This Row],[Actual Arrival date]]-Table3[[#This Row],[Expected arrival date]],""),"")</f>
        <v/>
      </c>
    </row>
    <row r="569" spans="1:30" x14ac:dyDescent="0.25">
      <c r="A569" s="303" t="str">
        <f>Start!$D$7</f>
        <v>Anyland</v>
      </c>
      <c r="B569" s="48" t="str">
        <f>_xlfn.IFNA(VLOOKUP(A569,list!B:C,2,FALSE),"")</f>
        <v>ANY</v>
      </c>
      <c r="C569" s="48"/>
      <c r="D569" s="127"/>
      <c r="E569" s="48" t="str">
        <f>_xlfn.IFNA(VLOOKUP(Table3[[#This Row],[Product]], ProductListTbl[], 3, 0), "")</f>
        <v/>
      </c>
      <c r="F569" s="303" t="str">
        <f>_xlfn.IFNA(VLOOKUP(D569,ProductListTbl[],5,0),"")</f>
        <v/>
      </c>
      <c r="G569" s="303" t="str">
        <f>_xlfn.IFNA(VLOOKUP(D569,ProductListTbl[],6,0),"")</f>
        <v/>
      </c>
      <c r="H569" s="130" t="str">
        <f>_xlfn.IFNA(VLOOKUP(D569,ProductListTbl[],7,0),"")</f>
        <v/>
      </c>
      <c r="I569" s="130" t="str">
        <f>_xlfn.IFNA(VLOOKUP(D569,ProductListTbl[],8,0),"")</f>
        <v/>
      </c>
      <c r="J569" s="127"/>
      <c r="K569" s="129"/>
      <c r="L569" s="128"/>
      <c r="M569" s="305" t="str">
        <f>IFERROR(Table3[[#This Row],[Quantity (doses)]]/Table3[[#This Row],[Doses per vial or syringe]],"")</f>
        <v/>
      </c>
      <c r="N569" s="127"/>
      <c r="O569" s="127"/>
      <c r="P569" s="381"/>
      <c r="Q569" s="129"/>
      <c r="R569" s="127"/>
      <c r="S569" s="127"/>
      <c r="T569" s="127"/>
      <c r="U569" s="127"/>
      <c r="V569" s="305" t="str">
        <f>_xlfn.IFNA(VLOOKUP(D569,ProductListTbl[],9,0),"")</f>
        <v/>
      </c>
      <c r="W569" s="305" t="str">
        <f>IFERROR(Table3[[#This Row],[Storage space per secondary packaging (cm3)]]*Table3[[#This Row],[Quantity  (vials or syringes)]]/1000,"")</f>
        <v/>
      </c>
      <c r="X569" s="305" t="str">
        <f>IFERROR(Table3[[#This Row],[Storage space per tertiary packaging (cm3)]]*Table3[[#This Row],[Quantity (doses)]]/1000,"")</f>
        <v/>
      </c>
      <c r="Y569" s="293" t="str">
        <f>IF(Table3[[#This Row],[Status]]="Ordered",(DATE(YEAR(P569),MONTH(P569),1)),IF(Table3[[#This Row],[Status]]="Received",(DATE(YEAR(Q569),MONTH(Q569),1)),""))</f>
        <v/>
      </c>
      <c r="Z569" s="304" t="str">
        <f t="shared" si="32"/>
        <v/>
      </c>
      <c r="AA569" s="48" t="str">
        <f t="shared" si="33"/>
        <v/>
      </c>
      <c r="AB569" s="48" t="str">
        <f t="shared" si="34"/>
        <v/>
      </c>
      <c r="AC569" s="292" t="str">
        <f t="shared" si="35"/>
        <v/>
      </c>
      <c r="AD569" s="48" t="str">
        <f>IF(Table3[[#This Row],[Actual Arrival date]]&gt;0,IF(Table3[[#This Row],[Expected arrival date]]&gt;0,Table3[[#This Row],[Actual Arrival date]]-Table3[[#This Row],[Expected arrival date]],""),"")</f>
        <v/>
      </c>
    </row>
    <row r="570" spans="1:30" x14ac:dyDescent="0.25">
      <c r="A570" s="303" t="str">
        <f>Start!$D$7</f>
        <v>Anyland</v>
      </c>
      <c r="B570" s="48" t="str">
        <f>_xlfn.IFNA(VLOOKUP(A570,list!B:C,2,FALSE),"")</f>
        <v>ANY</v>
      </c>
      <c r="C570" s="48"/>
      <c r="D570" s="127"/>
      <c r="E570" s="48" t="str">
        <f>_xlfn.IFNA(VLOOKUP(Table3[[#This Row],[Product]], ProductListTbl[], 3, 0), "")</f>
        <v/>
      </c>
      <c r="F570" s="303" t="str">
        <f>_xlfn.IFNA(VLOOKUP(D570,ProductListTbl[],5,0),"")</f>
        <v/>
      </c>
      <c r="G570" s="303" t="str">
        <f>_xlfn.IFNA(VLOOKUP(D570,ProductListTbl[],6,0),"")</f>
        <v/>
      </c>
      <c r="H570" s="130" t="str">
        <f>_xlfn.IFNA(VLOOKUP(D570,ProductListTbl[],7,0),"")</f>
        <v/>
      </c>
      <c r="I570" s="130" t="str">
        <f>_xlfn.IFNA(VLOOKUP(D570,ProductListTbl[],8,0),"")</f>
        <v/>
      </c>
      <c r="J570" s="127"/>
      <c r="K570" s="129"/>
      <c r="L570" s="128"/>
      <c r="M570" s="305" t="str">
        <f>IFERROR(Table3[[#This Row],[Quantity (doses)]]/Table3[[#This Row],[Doses per vial or syringe]],"")</f>
        <v/>
      </c>
      <c r="N570" s="127"/>
      <c r="O570" s="127"/>
      <c r="P570" s="381"/>
      <c r="Q570" s="129"/>
      <c r="R570" s="127"/>
      <c r="S570" s="127"/>
      <c r="T570" s="127"/>
      <c r="U570" s="127"/>
      <c r="V570" s="305" t="str">
        <f>_xlfn.IFNA(VLOOKUP(D570,ProductListTbl[],9,0),"")</f>
        <v/>
      </c>
      <c r="W570" s="305" t="str">
        <f>IFERROR(Table3[[#This Row],[Storage space per secondary packaging (cm3)]]*Table3[[#This Row],[Quantity  (vials or syringes)]]/1000,"")</f>
        <v/>
      </c>
      <c r="X570" s="305" t="str">
        <f>IFERROR(Table3[[#This Row],[Storage space per tertiary packaging (cm3)]]*Table3[[#This Row],[Quantity (doses)]]/1000,"")</f>
        <v/>
      </c>
      <c r="Y570" s="293" t="str">
        <f>IF(Table3[[#This Row],[Status]]="Ordered",(DATE(YEAR(P570),MONTH(P570),1)),IF(Table3[[#This Row],[Status]]="Received",(DATE(YEAR(Q570),MONTH(Q570),1)),""))</f>
        <v/>
      </c>
      <c r="Z570" s="304" t="str">
        <f t="shared" si="32"/>
        <v/>
      </c>
      <c r="AA570" s="48" t="str">
        <f t="shared" si="33"/>
        <v/>
      </c>
      <c r="AB570" s="48" t="str">
        <f t="shared" si="34"/>
        <v/>
      </c>
      <c r="AC570" s="292" t="str">
        <f t="shared" si="35"/>
        <v/>
      </c>
      <c r="AD570" s="48" t="str">
        <f>IF(Table3[[#This Row],[Actual Arrival date]]&gt;0,IF(Table3[[#This Row],[Expected arrival date]]&gt;0,Table3[[#This Row],[Actual Arrival date]]-Table3[[#This Row],[Expected arrival date]],""),"")</f>
        <v/>
      </c>
    </row>
    <row r="571" spans="1:30" x14ac:dyDescent="0.25">
      <c r="A571" s="303" t="str">
        <f>Start!$D$7</f>
        <v>Anyland</v>
      </c>
      <c r="B571" s="48" t="str">
        <f>_xlfn.IFNA(VLOOKUP(A571,list!B:C,2,FALSE),"")</f>
        <v>ANY</v>
      </c>
      <c r="C571" s="48"/>
      <c r="D571" s="127"/>
      <c r="E571" s="48" t="str">
        <f>_xlfn.IFNA(VLOOKUP(Table3[[#This Row],[Product]], ProductListTbl[], 3, 0), "")</f>
        <v/>
      </c>
      <c r="F571" s="303" t="str">
        <f>_xlfn.IFNA(VLOOKUP(D571,ProductListTbl[],5,0),"")</f>
        <v/>
      </c>
      <c r="G571" s="303" t="str">
        <f>_xlfn.IFNA(VLOOKUP(D571,ProductListTbl[],6,0),"")</f>
        <v/>
      </c>
      <c r="H571" s="130" t="str">
        <f>_xlfn.IFNA(VLOOKUP(D571,ProductListTbl[],7,0),"")</f>
        <v/>
      </c>
      <c r="I571" s="130" t="str">
        <f>_xlfn.IFNA(VLOOKUP(D571,ProductListTbl[],8,0),"")</f>
        <v/>
      </c>
      <c r="J571" s="127"/>
      <c r="K571" s="129"/>
      <c r="L571" s="128"/>
      <c r="M571" s="305" t="str">
        <f>IFERROR(Table3[[#This Row],[Quantity (doses)]]/Table3[[#This Row],[Doses per vial or syringe]],"")</f>
        <v/>
      </c>
      <c r="N571" s="127"/>
      <c r="O571" s="127"/>
      <c r="P571" s="381"/>
      <c r="Q571" s="129"/>
      <c r="R571" s="127"/>
      <c r="S571" s="127"/>
      <c r="T571" s="127"/>
      <c r="U571" s="127"/>
      <c r="V571" s="305" t="str">
        <f>_xlfn.IFNA(VLOOKUP(D571,ProductListTbl[],9,0),"")</f>
        <v/>
      </c>
      <c r="W571" s="305" t="str">
        <f>IFERROR(Table3[[#This Row],[Storage space per secondary packaging (cm3)]]*Table3[[#This Row],[Quantity  (vials or syringes)]]/1000,"")</f>
        <v/>
      </c>
      <c r="X571" s="305" t="str">
        <f>IFERROR(Table3[[#This Row],[Storage space per tertiary packaging (cm3)]]*Table3[[#This Row],[Quantity (doses)]]/1000,"")</f>
        <v/>
      </c>
      <c r="Y571" s="293" t="str">
        <f>IF(Table3[[#This Row],[Status]]="Ordered",(DATE(YEAR(P571),MONTH(P571),1)),IF(Table3[[#This Row],[Status]]="Received",(DATE(YEAR(Q571),MONTH(Q571),1)),""))</f>
        <v/>
      </c>
      <c r="Z571" s="304" t="str">
        <f t="shared" si="32"/>
        <v/>
      </c>
      <c r="AA571" s="48" t="str">
        <f t="shared" si="33"/>
        <v/>
      </c>
      <c r="AB571" s="48" t="str">
        <f t="shared" si="34"/>
        <v/>
      </c>
      <c r="AC571" s="292" t="str">
        <f t="shared" si="35"/>
        <v/>
      </c>
      <c r="AD571" s="48" t="str">
        <f>IF(Table3[[#This Row],[Actual Arrival date]]&gt;0,IF(Table3[[#This Row],[Expected arrival date]]&gt;0,Table3[[#This Row],[Actual Arrival date]]-Table3[[#This Row],[Expected arrival date]],""),"")</f>
        <v/>
      </c>
    </row>
    <row r="572" spans="1:30" x14ac:dyDescent="0.25">
      <c r="A572" s="303" t="str">
        <f>Start!$D$7</f>
        <v>Anyland</v>
      </c>
      <c r="B572" s="48" t="str">
        <f>_xlfn.IFNA(VLOOKUP(A572,list!B:C,2,FALSE),"")</f>
        <v>ANY</v>
      </c>
      <c r="C572" s="48"/>
      <c r="D572" s="127"/>
      <c r="E572" s="48" t="str">
        <f>_xlfn.IFNA(VLOOKUP(Table3[[#This Row],[Product]], ProductListTbl[], 3, 0), "")</f>
        <v/>
      </c>
      <c r="F572" s="303" t="str">
        <f>_xlfn.IFNA(VLOOKUP(D572,ProductListTbl[],5,0),"")</f>
        <v/>
      </c>
      <c r="G572" s="303" t="str">
        <f>_xlfn.IFNA(VLOOKUP(D572,ProductListTbl[],6,0),"")</f>
        <v/>
      </c>
      <c r="H572" s="130" t="str">
        <f>_xlfn.IFNA(VLOOKUP(D572,ProductListTbl[],7,0),"")</f>
        <v/>
      </c>
      <c r="I572" s="130" t="str">
        <f>_xlfn.IFNA(VLOOKUP(D572,ProductListTbl[],8,0),"")</f>
        <v/>
      </c>
      <c r="J572" s="127"/>
      <c r="K572" s="129"/>
      <c r="L572" s="128"/>
      <c r="M572" s="305" t="str">
        <f>IFERROR(Table3[[#This Row],[Quantity (doses)]]/Table3[[#This Row],[Doses per vial or syringe]],"")</f>
        <v/>
      </c>
      <c r="N572" s="127"/>
      <c r="O572" s="127"/>
      <c r="P572" s="381"/>
      <c r="Q572" s="129"/>
      <c r="R572" s="127"/>
      <c r="S572" s="127"/>
      <c r="T572" s="127"/>
      <c r="U572" s="127"/>
      <c r="V572" s="305" t="str">
        <f>_xlfn.IFNA(VLOOKUP(D572,ProductListTbl[],9,0),"")</f>
        <v/>
      </c>
      <c r="W572" s="305" t="str">
        <f>IFERROR(Table3[[#This Row],[Storage space per secondary packaging (cm3)]]*Table3[[#This Row],[Quantity  (vials or syringes)]]/1000,"")</f>
        <v/>
      </c>
      <c r="X572" s="305" t="str">
        <f>IFERROR(Table3[[#This Row],[Storage space per tertiary packaging (cm3)]]*Table3[[#This Row],[Quantity (doses)]]/1000,"")</f>
        <v/>
      </c>
      <c r="Y572" s="293" t="str">
        <f>IF(Table3[[#This Row],[Status]]="Ordered",(DATE(YEAR(P572),MONTH(P572),1)),IF(Table3[[#This Row],[Status]]="Received",(DATE(YEAR(Q572),MONTH(Q572),1)),""))</f>
        <v/>
      </c>
      <c r="Z572" s="304" t="str">
        <f t="shared" si="32"/>
        <v/>
      </c>
      <c r="AA572" s="48" t="str">
        <f t="shared" si="33"/>
        <v/>
      </c>
      <c r="AB572" s="48" t="str">
        <f t="shared" si="34"/>
        <v/>
      </c>
      <c r="AC572" s="292" t="str">
        <f t="shared" si="35"/>
        <v/>
      </c>
      <c r="AD572" s="48" t="str">
        <f>IF(Table3[[#This Row],[Actual Arrival date]]&gt;0,IF(Table3[[#This Row],[Expected arrival date]]&gt;0,Table3[[#This Row],[Actual Arrival date]]-Table3[[#This Row],[Expected arrival date]],""),"")</f>
        <v/>
      </c>
    </row>
    <row r="573" spans="1:30" x14ac:dyDescent="0.25">
      <c r="A573" s="303" t="str">
        <f>Start!$D$7</f>
        <v>Anyland</v>
      </c>
      <c r="B573" s="48" t="str">
        <f>_xlfn.IFNA(VLOOKUP(A573,list!B:C,2,FALSE),"")</f>
        <v>ANY</v>
      </c>
      <c r="C573" s="48"/>
      <c r="D573" s="127"/>
      <c r="E573" s="48" t="str">
        <f>_xlfn.IFNA(VLOOKUP(Table3[[#This Row],[Product]], ProductListTbl[], 3, 0), "")</f>
        <v/>
      </c>
      <c r="F573" s="303" t="str">
        <f>_xlfn.IFNA(VLOOKUP(D573,ProductListTbl[],5,0),"")</f>
        <v/>
      </c>
      <c r="G573" s="303" t="str">
        <f>_xlfn.IFNA(VLOOKUP(D573,ProductListTbl[],6,0),"")</f>
        <v/>
      </c>
      <c r="H573" s="130" t="str">
        <f>_xlfn.IFNA(VLOOKUP(D573,ProductListTbl[],7,0),"")</f>
        <v/>
      </c>
      <c r="I573" s="130" t="str">
        <f>_xlfn.IFNA(VLOOKUP(D573,ProductListTbl[],8,0),"")</f>
        <v/>
      </c>
      <c r="J573" s="127"/>
      <c r="K573" s="129"/>
      <c r="L573" s="128"/>
      <c r="M573" s="305" t="str">
        <f>IFERROR(Table3[[#This Row],[Quantity (doses)]]/Table3[[#This Row],[Doses per vial or syringe]],"")</f>
        <v/>
      </c>
      <c r="N573" s="127"/>
      <c r="O573" s="127"/>
      <c r="P573" s="381"/>
      <c r="Q573" s="129"/>
      <c r="R573" s="127"/>
      <c r="S573" s="127"/>
      <c r="T573" s="127"/>
      <c r="U573" s="127"/>
      <c r="V573" s="305" t="str">
        <f>_xlfn.IFNA(VLOOKUP(D573,ProductListTbl[],9,0),"")</f>
        <v/>
      </c>
      <c r="W573" s="305" t="str">
        <f>IFERROR(Table3[[#This Row],[Storage space per secondary packaging (cm3)]]*Table3[[#This Row],[Quantity  (vials or syringes)]]/1000,"")</f>
        <v/>
      </c>
      <c r="X573" s="305" t="str">
        <f>IFERROR(Table3[[#This Row],[Storage space per tertiary packaging (cm3)]]*Table3[[#This Row],[Quantity (doses)]]/1000,"")</f>
        <v/>
      </c>
      <c r="Y573" s="293" t="str">
        <f>IF(Table3[[#This Row],[Status]]="Ordered",(DATE(YEAR(P573),MONTH(P573),1)),IF(Table3[[#This Row],[Status]]="Received",(DATE(YEAR(Q573),MONTH(Q573),1)),""))</f>
        <v/>
      </c>
      <c r="Z573" s="304" t="str">
        <f t="shared" si="32"/>
        <v/>
      </c>
      <c r="AA573" s="48" t="str">
        <f t="shared" si="33"/>
        <v/>
      </c>
      <c r="AB573" s="48" t="str">
        <f t="shared" si="34"/>
        <v/>
      </c>
      <c r="AC573" s="292" t="str">
        <f t="shared" si="35"/>
        <v/>
      </c>
      <c r="AD573" s="48" t="str">
        <f>IF(Table3[[#This Row],[Actual Arrival date]]&gt;0,IF(Table3[[#This Row],[Expected arrival date]]&gt;0,Table3[[#This Row],[Actual Arrival date]]-Table3[[#This Row],[Expected arrival date]],""),"")</f>
        <v/>
      </c>
    </row>
    <row r="574" spans="1:30" x14ac:dyDescent="0.25">
      <c r="A574" s="303" t="str">
        <f>Start!$D$7</f>
        <v>Anyland</v>
      </c>
      <c r="B574" s="48" t="str">
        <f>_xlfn.IFNA(VLOOKUP(A574,list!B:C,2,FALSE),"")</f>
        <v>ANY</v>
      </c>
      <c r="C574" s="48"/>
      <c r="D574" s="127"/>
      <c r="E574" s="48" t="str">
        <f>_xlfn.IFNA(VLOOKUP(Table3[[#This Row],[Product]], ProductListTbl[], 3, 0), "")</f>
        <v/>
      </c>
      <c r="F574" s="303" t="str">
        <f>_xlfn.IFNA(VLOOKUP(D574,ProductListTbl[],5,0),"")</f>
        <v/>
      </c>
      <c r="G574" s="303" t="str">
        <f>_xlfn.IFNA(VLOOKUP(D574,ProductListTbl[],6,0),"")</f>
        <v/>
      </c>
      <c r="H574" s="130" t="str">
        <f>_xlfn.IFNA(VLOOKUP(D574,ProductListTbl[],7,0),"")</f>
        <v/>
      </c>
      <c r="I574" s="130" t="str">
        <f>_xlfn.IFNA(VLOOKUP(D574,ProductListTbl[],8,0),"")</f>
        <v/>
      </c>
      <c r="J574" s="127"/>
      <c r="K574" s="129"/>
      <c r="L574" s="128"/>
      <c r="M574" s="305" t="str">
        <f>IFERROR(Table3[[#This Row],[Quantity (doses)]]/Table3[[#This Row],[Doses per vial or syringe]],"")</f>
        <v/>
      </c>
      <c r="N574" s="127"/>
      <c r="O574" s="127"/>
      <c r="P574" s="381"/>
      <c r="Q574" s="129"/>
      <c r="R574" s="127"/>
      <c r="S574" s="127"/>
      <c r="T574" s="127"/>
      <c r="U574" s="127"/>
      <c r="V574" s="305" t="str">
        <f>_xlfn.IFNA(VLOOKUP(D574,ProductListTbl[],9,0),"")</f>
        <v/>
      </c>
      <c r="W574" s="305" t="str">
        <f>IFERROR(Table3[[#This Row],[Storage space per secondary packaging (cm3)]]*Table3[[#This Row],[Quantity  (vials or syringes)]]/1000,"")</f>
        <v/>
      </c>
      <c r="X574" s="305" t="str">
        <f>IFERROR(Table3[[#This Row],[Storage space per tertiary packaging (cm3)]]*Table3[[#This Row],[Quantity (doses)]]/1000,"")</f>
        <v/>
      </c>
      <c r="Y574" s="293" t="str">
        <f>IF(Table3[[#This Row],[Status]]="Ordered",(DATE(YEAR(P574),MONTH(P574),1)),IF(Table3[[#This Row],[Status]]="Received",(DATE(YEAR(Q574),MONTH(Q574),1)),""))</f>
        <v/>
      </c>
      <c r="Z574" s="304" t="str">
        <f t="shared" si="32"/>
        <v/>
      </c>
      <c r="AA574" s="48" t="str">
        <f t="shared" si="33"/>
        <v/>
      </c>
      <c r="AB574" s="48" t="str">
        <f t="shared" si="34"/>
        <v/>
      </c>
      <c r="AC574" s="292" t="str">
        <f t="shared" si="35"/>
        <v/>
      </c>
      <c r="AD574" s="48" t="str">
        <f>IF(Table3[[#This Row],[Actual Arrival date]]&gt;0,IF(Table3[[#This Row],[Expected arrival date]]&gt;0,Table3[[#This Row],[Actual Arrival date]]-Table3[[#This Row],[Expected arrival date]],""),"")</f>
        <v/>
      </c>
    </row>
    <row r="575" spans="1:30" x14ac:dyDescent="0.25">
      <c r="A575" s="303" t="str">
        <f>Start!$D$7</f>
        <v>Anyland</v>
      </c>
      <c r="B575" s="48" t="str">
        <f>_xlfn.IFNA(VLOOKUP(A575,list!B:C,2,FALSE),"")</f>
        <v>ANY</v>
      </c>
      <c r="C575" s="48"/>
      <c r="D575" s="127"/>
      <c r="E575" s="48" t="str">
        <f>_xlfn.IFNA(VLOOKUP(Table3[[#This Row],[Product]], ProductListTbl[], 3, 0), "")</f>
        <v/>
      </c>
      <c r="F575" s="303" t="str">
        <f>_xlfn.IFNA(VLOOKUP(D575,ProductListTbl[],5,0),"")</f>
        <v/>
      </c>
      <c r="G575" s="303" t="str">
        <f>_xlfn.IFNA(VLOOKUP(D575,ProductListTbl[],6,0),"")</f>
        <v/>
      </c>
      <c r="H575" s="130" t="str">
        <f>_xlfn.IFNA(VLOOKUP(D575,ProductListTbl[],7,0),"")</f>
        <v/>
      </c>
      <c r="I575" s="130" t="str">
        <f>_xlfn.IFNA(VLOOKUP(D575,ProductListTbl[],8,0),"")</f>
        <v/>
      </c>
      <c r="J575" s="127"/>
      <c r="K575" s="129"/>
      <c r="L575" s="128"/>
      <c r="M575" s="305" t="str">
        <f>IFERROR(Table3[[#This Row],[Quantity (doses)]]/Table3[[#This Row],[Doses per vial or syringe]],"")</f>
        <v/>
      </c>
      <c r="N575" s="127"/>
      <c r="O575" s="127"/>
      <c r="P575" s="381"/>
      <c r="Q575" s="129"/>
      <c r="R575" s="127"/>
      <c r="S575" s="127"/>
      <c r="T575" s="127"/>
      <c r="U575" s="127"/>
      <c r="V575" s="305" t="str">
        <f>_xlfn.IFNA(VLOOKUP(D575,ProductListTbl[],9,0),"")</f>
        <v/>
      </c>
      <c r="W575" s="305" t="str">
        <f>IFERROR(Table3[[#This Row],[Storage space per secondary packaging (cm3)]]*Table3[[#This Row],[Quantity  (vials or syringes)]]/1000,"")</f>
        <v/>
      </c>
      <c r="X575" s="305" t="str">
        <f>IFERROR(Table3[[#This Row],[Storage space per tertiary packaging (cm3)]]*Table3[[#This Row],[Quantity (doses)]]/1000,"")</f>
        <v/>
      </c>
      <c r="Y575" s="293" t="str">
        <f>IF(Table3[[#This Row],[Status]]="Ordered",(DATE(YEAR(P575),MONTH(P575),1)),IF(Table3[[#This Row],[Status]]="Received",(DATE(YEAR(Q575),MONTH(Q575),1)),""))</f>
        <v/>
      </c>
      <c r="Z575" s="304" t="str">
        <f t="shared" si="32"/>
        <v/>
      </c>
      <c r="AA575" s="48" t="str">
        <f t="shared" si="33"/>
        <v/>
      </c>
      <c r="AB575" s="48" t="str">
        <f t="shared" si="34"/>
        <v/>
      </c>
      <c r="AC575" s="292" t="str">
        <f t="shared" si="35"/>
        <v/>
      </c>
      <c r="AD575" s="48" t="str">
        <f>IF(Table3[[#This Row],[Actual Arrival date]]&gt;0,IF(Table3[[#This Row],[Expected arrival date]]&gt;0,Table3[[#This Row],[Actual Arrival date]]-Table3[[#This Row],[Expected arrival date]],""),"")</f>
        <v/>
      </c>
    </row>
    <row r="576" spans="1:30" x14ac:dyDescent="0.25">
      <c r="A576" s="303" t="str">
        <f>Start!$D$7</f>
        <v>Anyland</v>
      </c>
      <c r="B576" s="48" t="str">
        <f>_xlfn.IFNA(VLOOKUP(A576,list!B:C,2,FALSE),"")</f>
        <v>ANY</v>
      </c>
      <c r="C576" s="48"/>
      <c r="D576" s="127"/>
      <c r="E576" s="48" t="str">
        <f>_xlfn.IFNA(VLOOKUP(Table3[[#This Row],[Product]], ProductListTbl[], 3, 0), "")</f>
        <v/>
      </c>
      <c r="F576" s="303" t="str">
        <f>_xlfn.IFNA(VLOOKUP(D576,ProductListTbl[],5,0),"")</f>
        <v/>
      </c>
      <c r="G576" s="303" t="str">
        <f>_xlfn.IFNA(VLOOKUP(D576,ProductListTbl[],6,0),"")</f>
        <v/>
      </c>
      <c r="H576" s="130" t="str">
        <f>_xlfn.IFNA(VLOOKUP(D576,ProductListTbl[],7,0),"")</f>
        <v/>
      </c>
      <c r="I576" s="130" t="str">
        <f>_xlfn.IFNA(VLOOKUP(D576,ProductListTbl[],8,0),"")</f>
        <v/>
      </c>
      <c r="J576" s="127"/>
      <c r="K576" s="129"/>
      <c r="L576" s="128"/>
      <c r="M576" s="305" t="str">
        <f>IFERROR(Table3[[#This Row],[Quantity (doses)]]/Table3[[#This Row],[Doses per vial or syringe]],"")</f>
        <v/>
      </c>
      <c r="N576" s="127"/>
      <c r="O576" s="127"/>
      <c r="P576" s="381"/>
      <c r="Q576" s="129"/>
      <c r="R576" s="127"/>
      <c r="S576" s="127"/>
      <c r="T576" s="127"/>
      <c r="U576" s="127"/>
      <c r="V576" s="305" t="str">
        <f>_xlfn.IFNA(VLOOKUP(D576,ProductListTbl[],9,0),"")</f>
        <v/>
      </c>
      <c r="W576" s="305" t="str">
        <f>IFERROR(Table3[[#This Row],[Storage space per secondary packaging (cm3)]]*Table3[[#This Row],[Quantity  (vials or syringes)]]/1000,"")</f>
        <v/>
      </c>
      <c r="X576" s="305" t="str">
        <f>IFERROR(Table3[[#This Row],[Storage space per tertiary packaging (cm3)]]*Table3[[#This Row],[Quantity (doses)]]/1000,"")</f>
        <v/>
      </c>
      <c r="Y576" s="293" t="str">
        <f>IF(Table3[[#This Row],[Status]]="Ordered",(DATE(YEAR(P576),MONTH(P576),1)),IF(Table3[[#This Row],[Status]]="Received",(DATE(YEAR(Q576),MONTH(Q576),1)),""))</f>
        <v/>
      </c>
      <c r="Z576" s="304" t="str">
        <f t="shared" si="32"/>
        <v/>
      </c>
      <c r="AA576" s="48" t="str">
        <f t="shared" si="33"/>
        <v/>
      </c>
      <c r="AB576" s="48" t="str">
        <f t="shared" si="34"/>
        <v/>
      </c>
      <c r="AC576" s="292" t="str">
        <f t="shared" si="35"/>
        <v/>
      </c>
      <c r="AD576" s="48" t="str">
        <f>IF(Table3[[#This Row],[Actual Arrival date]]&gt;0,IF(Table3[[#This Row],[Expected arrival date]]&gt;0,Table3[[#This Row],[Actual Arrival date]]-Table3[[#This Row],[Expected arrival date]],""),"")</f>
        <v/>
      </c>
    </row>
    <row r="577" spans="1:30" x14ac:dyDescent="0.25">
      <c r="A577" s="303" t="str">
        <f>Start!$D$7</f>
        <v>Anyland</v>
      </c>
      <c r="B577" s="48" t="str">
        <f>_xlfn.IFNA(VLOOKUP(A577,list!B:C,2,FALSE),"")</f>
        <v>ANY</v>
      </c>
      <c r="C577" s="48"/>
      <c r="D577" s="127"/>
      <c r="E577" s="48" t="str">
        <f>_xlfn.IFNA(VLOOKUP(Table3[[#This Row],[Product]], ProductListTbl[], 3, 0), "")</f>
        <v/>
      </c>
      <c r="F577" s="303" t="str">
        <f>_xlfn.IFNA(VLOOKUP(D577,ProductListTbl[],5,0),"")</f>
        <v/>
      </c>
      <c r="G577" s="303" t="str">
        <f>_xlfn.IFNA(VLOOKUP(D577,ProductListTbl[],6,0),"")</f>
        <v/>
      </c>
      <c r="H577" s="130" t="str">
        <f>_xlfn.IFNA(VLOOKUP(D577,ProductListTbl[],7,0),"")</f>
        <v/>
      </c>
      <c r="I577" s="130" t="str">
        <f>_xlfn.IFNA(VLOOKUP(D577,ProductListTbl[],8,0),"")</f>
        <v/>
      </c>
      <c r="J577" s="127"/>
      <c r="K577" s="129"/>
      <c r="L577" s="128"/>
      <c r="M577" s="305" t="str">
        <f>IFERROR(Table3[[#This Row],[Quantity (doses)]]/Table3[[#This Row],[Doses per vial or syringe]],"")</f>
        <v/>
      </c>
      <c r="N577" s="127"/>
      <c r="O577" s="127"/>
      <c r="P577" s="381"/>
      <c r="Q577" s="129"/>
      <c r="R577" s="127"/>
      <c r="S577" s="127"/>
      <c r="T577" s="127"/>
      <c r="U577" s="127"/>
      <c r="V577" s="305" t="str">
        <f>_xlfn.IFNA(VLOOKUP(D577,ProductListTbl[],9,0),"")</f>
        <v/>
      </c>
      <c r="W577" s="305" t="str">
        <f>IFERROR(Table3[[#This Row],[Storage space per secondary packaging (cm3)]]*Table3[[#This Row],[Quantity  (vials or syringes)]]/1000,"")</f>
        <v/>
      </c>
      <c r="X577" s="305" t="str">
        <f>IFERROR(Table3[[#This Row],[Storage space per tertiary packaging (cm3)]]*Table3[[#This Row],[Quantity (doses)]]/1000,"")</f>
        <v/>
      </c>
      <c r="Y577" s="293" t="str">
        <f>IF(Table3[[#This Row],[Status]]="Ordered",(DATE(YEAR(P577),MONTH(P577),1)),IF(Table3[[#This Row],[Status]]="Received",(DATE(YEAR(Q577),MONTH(Q577),1)),""))</f>
        <v/>
      </c>
      <c r="Z577" s="304" t="str">
        <f t="shared" si="32"/>
        <v/>
      </c>
      <c r="AA577" s="48" t="str">
        <f t="shared" si="33"/>
        <v/>
      </c>
      <c r="AB577" s="48" t="str">
        <f t="shared" si="34"/>
        <v/>
      </c>
      <c r="AC577" s="292" t="str">
        <f t="shared" si="35"/>
        <v/>
      </c>
      <c r="AD577" s="48" t="str">
        <f>IF(Table3[[#This Row],[Actual Arrival date]]&gt;0,IF(Table3[[#This Row],[Expected arrival date]]&gt;0,Table3[[#This Row],[Actual Arrival date]]-Table3[[#This Row],[Expected arrival date]],""),"")</f>
        <v/>
      </c>
    </row>
    <row r="578" spans="1:30" x14ac:dyDescent="0.25">
      <c r="A578" s="303" t="str">
        <f>Start!$D$7</f>
        <v>Anyland</v>
      </c>
      <c r="B578" s="48" t="str">
        <f>_xlfn.IFNA(VLOOKUP(A578,list!B:C,2,FALSE),"")</f>
        <v>ANY</v>
      </c>
      <c r="C578" s="48"/>
      <c r="D578" s="127"/>
      <c r="E578" s="48" t="str">
        <f>_xlfn.IFNA(VLOOKUP(Table3[[#This Row],[Product]], ProductListTbl[], 3, 0), "")</f>
        <v/>
      </c>
      <c r="F578" s="303" t="str">
        <f>_xlfn.IFNA(VLOOKUP(D578,ProductListTbl[],5,0),"")</f>
        <v/>
      </c>
      <c r="G578" s="303" t="str">
        <f>_xlfn.IFNA(VLOOKUP(D578,ProductListTbl[],6,0),"")</f>
        <v/>
      </c>
      <c r="H578" s="130" t="str">
        <f>_xlfn.IFNA(VLOOKUP(D578,ProductListTbl[],7,0),"")</f>
        <v/>
      </c>
      <c r="I578" s="130" t="str">
        <f>_xlfn.IFNA(VLOOKUP(D578,ProductListTbl[],8,0),"")</f>
        <v/>
      </c>
      <c r="J578" s="127"/>
      <c r="K578" s="129"/>
      <c r="L578" s="128"/>
      <c r="M578" s="305" t="str">
        <f>IFERROR(Table3[[#This Row],[Quantity (doses)]]/Table3[[#This Row],[Doses per vial or syringe]],"")</f>
        <v/>
      </c>
      <c r="N578" s="127"/>
      <c r="O578" s="127"/>
      <c r="P578" s="381"/>
      <c r="Q578" s="129"/>
      <c r="R578" s="127"/>
      <c r="S578" s="127"/>
      <c r="T578" s="127"/>
      <c r="U578" s="127"/>
      <c r="V578" s="305" t="str">
        <f>_xlfn.IFNA(VLOOKUP(D578,ProductListTbl[],9,0),"")</f>
        <v/>
      </c>
      <c r="W578" s="305" t="str">
        <f>IFERROR(Table3[[#This Row],[Storage space per secondary packaging (cm3)]]*Table3[[#This Row],[Quantity  (vials or syringes)]]/1000,"")</f>
        <v/>
      </c>
      <c r="X578" s="305" t="str">
        <f>IFERROR(Table3[[#This Row],[Storage space per tertiary packaging (cm3)]]*Table3[[#This Row],[Quantity (doses)]]/1000,"")</f>
        <v/>
      </c>
      <c r="Y578" s="293" t="str">
        <f>IF(Table3[[#This Row],[Status]]="Ordered",(DATE(YEAR(P578),MONTH(P578),1)),IF(Table3[[#This Row],[Status]]="Received",(DATE(YEAR(Q578),MONTH(Q578),1)),""))</f>
        <v/>
      </c>
      <c r="Z578" s="304" t="str">
        <f t="shared" si="32"/>
        <v/>
      </c>
      <c r="AA578" s="48" t="str">
        <f t="shared" si="33"/>
        <v/>
      </c>
      <c r="AB578" s="48" t="str">
        <f t="shared" si="34"/>
        <v/>
      </c>
      <c r="AC578" s="292" t="str">
        <f t="shared" si="35"/>
        <v/>
      </c>
      <c r="AD578" s="48" t="str">
        <f>IF(Table3[[#This Row],[Actual Arrival date]]&gt;0,IF(Table3[[#This Row],[Expected arrival date]]&gt;0,Table3[[#This Row],[Actual Arrival date]]-Table3[[#This Row],[Expected arrival date]],""),"")</f>
        <v/>
      </c>
    </row>
    <row r="579" spans="1:30" x14ac:dyDescent="0.25">
      <c r="A579" s="303" t="str">
        <f>Start!$D$7</f>
        <v>Anyland</v>
      </c>
      <c r="B579" s="48" t="str">
        <f>_xlfn.IFNA(VLOOKUP(A579,list!B:C,2,FALSE),"")</f>
        <v>ANY</v>
      </c>
      <c r="C579" s="48"/>
      <c r="D579" s="127"/>
      <c r="E579" s="48" t="str">
        <f>_xlfn.IFNA(VLOOKUP(Table3[[#This Row],[Product]], ProductListTbl[], 3, 0), "")</f>
        <v/>
      </c>
      <c r="F579" s="303" t="str">
        <f>_xlfn.IFNA(VLOOKUP(D579,ProductListTbl[],5,0),"")</f>
        <v/>
      </c>
      <c r="G579" s="303" t="str">
        <f>_xlfn.IFNA(VLOOKUP(D579,ProductListTbl[],6,0),"")</f>
        <v/>
      </c>
      <c r="H579" s="130" t="str">
        <f>_xlfn.IFNA(VLOOKUP(D579,ProductListTbl[],7,0),"")</f>
        <v/>
      </c>
      <c r="I579" s="130" t="str">
        <f>_xlfn.IFNA(VLOOKUP(D579,ProductListTbl[],8,0),"")</f>
        <v/>
      </c>
      <c r="J579" s="127"/>
      <c r="K579" s="129"/>
      <c r="L579" s="128"/>
      <c r="M579" s="305" t="str">
        <f>IFERROR(Table3[[#This Row],[Quantity (doses)]]/Table3[[#This Row],[Doses per vial or syringe]],"")</f>
        <v/>
      </c>
      <c r="N579" s="127"/>
      <c r="O579" s="127"/>
      <c r="P579" s="381"/>
      <c r="Q579" s="129"/>
      <c r="R579" s="127"/>
      <c r="S579" s="127"/>
      <c r="T579" s="127"/>
      <c r="U579" s="127"/>
      <c r="V579" s="305" t="str">
        <f>_xlfn.IFNA(VLOOKUP(D579,ProductListTbl[],9,0),"")</f>
        <v/>
      </c>
      <c r="W579" s="305" t="str">
        <f>IFERROR(Table3[[#This Row],[Storage space per secondary packaging (cm3)]]*Table3[[#This Row],[Quantity  (vials or syringes)]]/1000,"")</f>
        <v/>
      </c>
      <c r="X579" s="305" t="str">
        <f>IFERROR(Table3[[#This Row],[Storage space per tertiary packaging (cm3)]]*Table3[[#This Row],[Quantity (doses)]]/1000,"")</f>
        <v/>
      </c>
      <c r="Y579" s="293" t="str">
        <f>IF(Table3[[#This Row],[Status]]="Ordered",(DATE(YEAR(P579),MONTH(P579),1)),IF(Table3[[#This Row],[Status]]="Received",(DATE(YEAR(Q579),MONTH(Q579),1)),""))</f>
        <v/>
      </c>
      <c r="Z579" s="304" t="str">
        <f t="shared" si="32"/>
        <v/>
      </c>
      <c r="AA579" s="48" t="str">
        <f t="shared" si="33"/>
        <v/>
      </c>
      <c r="AB579" s="48" t="str">
        <f t="shared" si="34"/>
        <v/>
      </c>
      <c r="AC579" s="292" t="str">
        <f t="shared" si="35"/>
        <v/>
      </c>
      <c r="AD579" s="48" t="str">
        <f>IF(Table3[[#This Row],[Actual Arrival date]]&gt;0,IF(Table3[[#This Row],[Expected arrival date]]&gt;0,Table3[[#This Row],[Actual Arrival date]]-Table3[[#This Row],[Expected arrival date]],""),"")</f>
        <v/>
      </c>
    </row>
    <row r="580" spans="1:30" x14ac:dyDescent="0.25">
      <c r="A580" s="303" t="str">
        <f>Start!$D$7</f>
        <v>Anyland</v>
      </c>
      <c r="B580" s="48" t="str">
        <f>_xlfn.IFNA(VLOOKUP(A580,list!B:C,2,FALSE),"")</f>
        <v>ANY</v>
      </c>
      <c r="C580" s="48"/>
      <c r="D580" s="127"/>
      <c r="E580" s="48" t="str">
        <f>_xlfn.IFNA(VLOOKUP(Table3[[#This Row],[Product]], ProductListTbl[], 3, 0), "")</f>
        <v/>
      </c>
      <c r="F580" s="303" t="str">
        <f>_xlfn.IFNA(VLOOKUP(D580,ProductListTbl[],5,0),"")</f>
        <v/>
      </c>
      <c r="G580" s="303" t="str">
        <f>_xlfn.IFNA(VLOOKUP(D580,ProductListTbl[],6,0),"")</f>
        <v/>
      </c>
      <c r="H580" s="130" t="str">
        <f>_xlfn.IFNA(VLOOKUP(D580,ProductListTbl[],7,0),"")</f>
        <v/>
      </c>
      <c r="I580" s="130" t="str">
        <f>_xlfn.IFNA(VLOOKUP(D580,ProductListTbl[],8,0),"")</f>
        <v/>
      </c>
      <c r="J580" s="127"/>
      <c r="K580" s="129"/>
      <c r="L580" s="128"/>
      <c r="M580" s="305" t="str">
        <f>IFERROR(Table3[[#This Row],[Quantity (doses)]]/Table3[[#This Row],[Doses per vial or syringe]],"")</f>
        <v/>
      </c>
      <c r="N580" s="127"/>
      <c r="O580" s="127"/>
      <c r="P580" s="381"/>
      <c r="Q580" s="129"/>
      <c r="R580" s="127"/>
      <c r="S580" s="127"/>
      <c r="T580" s="127"/>
      <c r="U580" s="127"/>
      <c r="V580" s="305" t="str">
        <f>_xlfn.IFNA(VLOOKUP(D580,ProductListTbl[],9,0),"")</f>
        <v/>
      </c>
      <c r="W580" s="305" t="str">
        <f>IFERROR(Table3[[#This Row],[Storage space per secondary packaging (cm3)]]*Table3[[#This Row],[Quantity  (vials or syringes)]]/1000,"")</f>
        <v/>
      </c>
      <c r="X580" s="305" t="str">
        <f>IFERROR(Table3[[#This Row],[Storage space per tertiary packaging (cm3)]]*Table3[[#This Row],[Quantity (doses)]]/1000,"")</f>
        <v/>
      </c>
      <c r="Y580" s="293" t="str">
        <f>IF(Table3[[#This Row],[Status]]="Ordered",(DATE(YEAR(P580),MONTH(P580),1)),IF(Table3[[#This Row],[Status]]="Received",(DATE(YEAR(Q580),MONTH(Q580),1)),""))</f>
        <v/>
      </c>
      <c r="Z580" s="304" t="str">
        <f t="shared" si="32"/>
        <v/>
      </c>
      <c r="AA580" s="48" t="str">
        <f t="shared" si="33"/>
        <v/>
      </c>
      <c r="AB580" s="48" t="str">
        <f t="shared" si="34"/>
        <v/>
      </c>
      <c r="AC580" s="292" t="str">
        <f t="shared" si="35"/>
        <v/>
      </c>
      <c r="AD580" s="48" t="str">
        <f>IF(Table3[[#This Row],[Actual Arrival date]]&gt;0,IF(Table3[[#This Row],[Expected arrival date]]&gt;0,Table3[[#This Row],[Actual Arrival date]]-Table3[[#This Row],[Expected arrival date]],""),"")</f>
        <v/>
      </c>
    </row>
    <row r="581" spans="1:30" x14ac:dyDescent="0.25">
      <c r="A581" s="303" t="str">
        <f>Start!$D$7</f>
        <v>Anyland</v>
      </c>
      <c r="B581" s="48" t="str">
        <f>_xlfn.IFNA(VLOOKUP(A581,list!B:C,2,FALSE),"")</f>
        <v>ANY</v>
      </c>
      <c r="C581" s="48"/>
      <c r="D581" s="127"/>
      <c r="E581" s="48" t="str">
        <f>_xlfn.IFNA(VLOOKUP(Table3[[#This Row],[Product]], ProductListTbl[], 3, 0), "")</f>
        <v/>
      </c>
      <c r="F581" s="303" t="str">
        <f>_xlfn.IFNA(VLOOKUP(D581,ProductListTbl[],5,0),"")</f>
        <v/>
      </c>
      <c r="G581" s="303" t="str">
        <f>_xlfn.IFNA(VLOOKUP(D581,ProductListTbl[],6,0),"")</f>
        <v/>
      </c>
      <c r="H581" s="130" t="str">
        <f>_xlfn.IFNA(VLOOKUP(D581,ProductListTbl[],7,0),"")</f>
        <v/>
      </c>
      <c r="I581" s="130" t="str">
        <f>_xlfn.IFNA(VLOOKUP(D581,ProductListTbl[],8,0),"")</f>
        <v/>
      </c>
      <c r="J581" s="127"/>
      <c r="K581" s="129"/>
      <c r="L581" s="128"/>
      <c r="M581" s="305" t="str">
        <f>IFERROR(Table3[[#This Row],[Quantity (doses)]]/Table3[[#This Row],[Doses per vial or syringe]],"")</f>
        <v/>
      </c>
      <c r="N581" s="127"/>
      <c r="O581" s="127"/>
      <c r="P581" s="381"/>
      <c r="Q581" s="129"/>
      <c r="R581" s="127"/>
      <c r="S581" s="127"/>
      <c r="T581" s="127"/>
      <c r="U581" s="127"/>
      <c r="V581" s="305" t="str">
        <f>_xlfn.IFNA(VLOOKUP(D581,ProductListTbl[],9,0),"")</f>
        <v/>
      </c>
      <c r="W581" s="305" t="str">
        <f>IFERROR(Table3[[#This Row],[Storage space per secondary packaging (cm3)]]*Table3[[#This Row],[Quantity  (vials or syringes)]]/1000,"")</f>
        <v/>
      </c>
      <c r="X581" s="305" t="str">
        <f>IFERROR(Table3[[#This Row],[Storage space per tertiary packaging (cm3)]]*Table3[[#This Row],[Quantity (doses)]]/1000,"")</f>
        <v/>
      </c>
      <c r="Y581" s="293" t="str">
        <f>IF(Table3[[#This Row],[Status]]="Ordered",(DATE(YEAR(P581),MONTH(P581),1)),IF(Table3[[#This Row],[Status]]="Received",(DATE(YEAR(Q581),MONTH(Q581),1)),""))</f>
        <v/>
      </c>
      <c r="Z581" s="304" t="str">
        <f t="shared" ref="Z581:Z644" si="36">IFERROR(IF(K581&gt;0,((K581-Q581)/(365.25/12)),""),"")</f>
        <v/>
      </c>
      <c r="AA581" s="48" t="str">
        <f t="shared" ref="AA581:AA644" si="37">IFERROR(IF(K581="","",MONTH(EOMONTH(K581,(DAY(K581)&gt;15)+0))),"")</f>
        <v/>
      </c>
      <c r="AB581" s="48" t="str">
        <f t="shared" ref="AB581:AB644" si="38">IFERROR(IF(K581="","",IF(AND(MONTH(K581)=12,AA581=1),YEAR(K581)+1,YEAR(K581))),"")</f>
        <v/>
      </c>
      <c r="AC581" s="292" t="str">
        <f t="shared" ref="AC581:AC644" si="39">IF(OR(AA581="",AB581=""),"",DATE(AB581,AA581,1))</f>
        <v/>
      </c>
      <c r="AD581" s="48" t="str">
        <f>IF(Table3[[#This Row],[Actual Arrival date]]&gt;0,IF(Table3[[#This Row],[Expected arrival date]]&gt;0,Table3[[#This Row],[Actual Arrival date]]-Table3[[#This Row],[Expected arrival date]],""),"")</f>
        <v/>
      </c>
    </row>
    <row r="582" spans="1:30" x14ac:dyDescent="0.25">
      <c r="A582" s="303" t="str">
        <f>Start!$D$7</f>
        <v>Anyland</v>
      </c>
      <c r="B582" s="48" t="str">
        <f>_xlfn.IFNA(VLOOKUP(A582,list!B:C,2,FALSE),"")</f>
        <v>ANY</v>
      </c>
      <c r="C582" s="48"/>
      <c r="D582" s="127"/>
      <c r="E582" s="48" t="str">
        <f>_xlfn.IFNA(VLOOKUP(Table3[[#This Row],[Product]], ProductListTbl[], 3, 0), "")</f>
        <v/>
      </c>
      <c r="F582" s="303" t="str">
        <f>_xlfn.IFNA(VLOOKUP(D582,ProductListTbl[],5,0),"")</f>
        <v/>
      </c>
      <c r="G582" s="303" t="str">
        <f>_xlfn.IFNA(VLOOKUP(D582,ProductListTbl[],6,0),"")</f>
        <v/>
      </c>
      <c r="H582" s="130" t="str">
        <f>_xlfn.IFNA(VLOOKUP(D582,ProductListTbl[],7,0),"")</f>
        <v/>
      </c>
      <c r="I582" s="130" t="str">
        <f>_xlfn.IFNA(VLOOKUP(D582,ProductListTbl[],8,0),"")</f>
        <v/>
      </c>
      <c r="J582" s="127"/>
      <c r="K582" s="129"/>
      <c r="L582" s="128"/>
      <c r="M582" s="305" t="str">
        <f>IFERROR(Table3[[#This Row],[Quantity (doses)]]/Table3[[#This Row],[Doses per vial or syringe]],"")</f>
        <v/>
      </c>
      <c r="N582" s="127"/>
      <c r="O582" s="127"/>
      <c r="P582" s="381"/>
      <c r="Q582" s="129"/>
      <c r="R582" s="127"/>
      <c r="S582" s="127"/>
      <c r="T582" s="127"/>
      <c r="U582" s="127"/>
      <c r="V582" s="305" t="str">
        <f>_xlfn.IFNA(VLOOKUP(D582,ProductListTbl[],9,0),"")</f>
        <v/>
      </c>
      <c r="W582" s="305" t="str">
        <f>IFERROR(Table3[[#This Row],[Storage space per secondary packaging (cm3)]]*Table3[[#This Row],[Quantity  (vials or syringes)]]/1000,"")</f>
        <v/>
      </c>
      <c r="X582" s="305" t="str">
        <f>IFERROR(Table3[[#This Row],[Storage space per tertiary packaging (cm3)]]*Table3[[#This Row],[Quantity (doses)]]/1000,"")</f>
        <v/>
      </c>
      <c r="Y582" s="293" t="str">
        <f>IF(Table3[[#This Row],[Status]]="Ordered",(DATE(YEAR(P582),MONTH(P582),1)),IF(Table3[[#This Row],[Status]]="Received",(DATE(YEAR(Q582),MONTH(Q582),1)),""))</f>
        <v/>
      </c>
      <c r="Z582" s="304" t="str">
        <f t="shared" si="36"/>
        <v/>
      </c>
      <c r="AA582" s="48" t="str">
        <f t="shared" si="37"/>
        <v/>
      </c>
      <c r="AB582" s="48" t="str">
        <f t="shared" si="38"/>
        <v/>
      </c>
      <c r="AC582" s="292" t="str">
        <f t="shared" si="39"/>
        <v/>
      </c>
      <c r="AD582" s="48" t="str">
        <f>IF(Table3[[#This Row],[Actual Arrival date]]&gt;0,IF(Table3[[#This Row],[Expected arrival date]]&gt;0,Table3[[#This Row],[Actual Arrival date]]-Table3[[#This Row],[Expected arrival date]],""),"")</f>
        <v/>
      </c>
    </row>
    <row r="583" spans="1:30" x14ac:dyDescent="0.25">
      <c r="A583" s="303" t="str">
        <f>Start!$D$7</f>
        <v>Anyland</v>
      </c>
      <c r="B583" s="48" t="str">
        <f>_xlfn.IFNA(VLOOKUP(A583,list!B:C,2,FALSE),"")</f>
        <v>ANY</v>
      </c>
      <c r="C583" s="48"/>
      <c r="D583" s="127"/>
      <c r="E583" s="48" t="str">
        <f>_xlfn.IFNA(VLOOKUP(Table3[[#This Row],[Product]], ProductListTbl[], 3, 0), "")</f>
        <v/>
      </c>
      <c r="F583" s="303" t="str">
        <f>_xlfn.IFNA(VLOOKUP(D583,ProductListTbl[],5,0),"")</f>
        <v/>
      </c>
      <c r="G583" s="303" t="str">
        <f>_xlfn.IFNA(VLOOKUP(D583,ProductListTbl[],6,0),"")</f>
        <v/>
      </c>
      <c r="H583" s="130" t="str">
        <f>_xlfn.IFNA(VLOOKUP(D583,ProductListTbl[],7,0),"")</f>
        <v/>
      </c>
      <c r="I583" s="130" t="str">
        <f>_xlfn.IFNA(VLOOKUP(D583,ProductListTbl[],8,0),"")</f>
        <v/>
      </c>
      <c r="J583" s="127"/>
      <c r="K583" s="129"/>
      <c r="L583" s="128"/>
      <c r="M583" s="305" t="str">
        <f>IFERROR(Table3[[#This Row],[Quantity (doses)]]/Table3[[#This Row],[Doses per vial or syringe]],"")</f>
        <v/>
      </c>
      <c r="N583" s="127"/>
      <c r="O583" s="127"/>
      <c r="P583" s="381"/>
      <c r="Q583" s="129"/>
      <c r="R583" s="127"/>
      <c r="S583" s="127"/>
      <c r="T583" s="127"/>
      <c r="U583" s="127"/>
      <c r="V583" s="305" t="str">
        <f>_xlfn.IFNA(VLOOKUP(D583,ProductListTbl[],9,0),"")</f>
        <v/>
      </c>
      <c r="W583" s="305" t="str">
        <f>IFERROR(Table3[[#This Row],[Storage space per secondary packaging (cm3)]]*Table3[[#This Row],[Quantity  (vials or syringes)]]/1000,"")</f>
        <v/>
      </c>
      <c r="X583" s="305" t="str">
        <f>IFERROR(Table3[[#This Row],[Storage space per tertiary packaging (cm3)]]*Table3[[#This Row],[Quantity (doses)]]/1000,"")</f>
        <v/>
      </c>
      <c r="Y583" s="293" t="str">
        <f>IF(Table3[[#This Row],[Status]]="Ordered",(DATE(YEAR(P583),MONTH(P583),1)),IF(Table3[[#This Row],[Status]]="Received",(DATE(YEAR(Q583),MONTH(Q583),1)),""))</f>
        <v/>
      </c>
      <c r="Z583" s="304" t="str">
        <f t="shared" si="36"/>
        <v/>
      </c>
      <c r="AA583" s="48" t="str">
        <f t="shared" si="37"/>
        <v/>
      </c>
      <c r="AB583" s="48" t="str">
        <f t="shared" si="38"/>
        <v/>
      </c>
      <c r="AC583" s="292" t="str">
        <f t="shared" si="39"/>
        <v/>
      </c>
      <c r="AD583" s="48" t="str">
        <f>IF(Table3[[#This Row],[Actual Arrival date]]&gt;0,IF(Table3[[#This Row],[Expected arrival date]]&gt;0,Table3[[#This Row],[Actual Arrival date]]-Table3[[#This Row],[Expected arrival date]],""),"")</f>
        <v/>
      </c>
    </row>
    <row r="584" spans="1:30" x14ac:dyDescent="0.25">
      <c r="A584" s="303" t="str">
        <f>Start!$D$7</f>
        <v>Anyland</v>
      </c>
      <c r="B584" s="48" t="str">
        <f>_xlfn.IFNA(VLOOKUP(A584,list!B:C,2,FALSE),"")</f>
        <v>ANY</v>
      </c>
      <c r="C584" s="48"/>
      <c r="D584" s="127"/>
      <c r="E584" s="48" t="str">
        <f>_xlfn.IFNA(VLOOKUP(Table3[[#This Row],[Product]], ProductListTbl[], 3, 0), "")</f>
        <v/>
      </c>
      <c r="F584" s="303" t="str">
        <f>_xlfn.IFNA(VLOOKUP(D584,ProductListTbl[],5,0),"")</f>
        <v/>
      </c>
      <c r="G584" s="303" t="str">
        <f>_xlfn.IFNA(VLOOKUP(D584,ProductListTbl[],6,0),"")</f>
        <v/>
      </c>
      <c r="H584" s="130" t="str">
        <f>_xlfn.IFNA(VLOOKUP(D584,ProductListTbl[],7,0),"")</f>
        <v/>
      </c>
      <c r="I584" s="130" t="str">
        <f>_xlfn.IFNA(VLOOKUP(D584,ProductListTbl[],8,0),"")</f>
        <v/>
      </c>
      <c r="J584" s="127"/>
      <c r="K584" s="129"/>
      <c r="L584" s="128"/>
      <c r="M584" s="305" t="str">
        <f>IFERROR(Table3[[#This Row],[Quantity (doses)]]/Table3[[#This Row],[Doses per vial or syringe]],"")</f>
        <v/>
      </c>
      <c r="N584" s="127"/>
      <c r="O584" s="127"/>
      <c r="P584" s="381"/>
      <c r="Q584" s="129"/>
      <c r="R584" s="127"/>
      <c r="S584" s="127"/>
      <c r="T584" s="127"/>
      <c r="U584" s="127"/>
      <c r="V584" s="305" t="str">
        <f>_xlfn.IFNA(VLOOKUP(D584,ProductListTbl[],9,0),"")</f>
        <v/>
      </c>
      <c r="W584" s="305" t="str">
        <f>IFERROR(Table3[[#This Row],[Storage space per secondary packaging (cm3)]]*Table3[[#This Row],[Quantity  (vials or syringes)]]/1000,"")</f>
        <v/>
      </c>
      <c r="X584" s="305" t="str">
        <f>IFERROR(Table3[[#This Row],[Storage space per tertiary packaging (cm3)]]*Table3[[#This Row],[Quantity (doses)]]/1000,"")</f>
        <v/>
      </c>
      <c r="Y584" s="293" t="str">
        <f>IF(Table3[[#This Row],[Status]]="Ordered",(DATE(YEAR(P584),MONTH(P584),1)),IF(Table3[[#This Row],[Status]]="Received",(DATE(YEAR(Q584),MONTH(Q584),1)),""))</f>
        <v/>
      </c>
      <c r="Z584" s="304" t="str">
        <f t="shared" si="36"/>
        <v/>
      </c>
      <c r="AA584" s="48" t="str">
        <f t="shared" si="37"/>
        <v/>
      </c>
      <c r="AB584" s="48" t="str">
        <f t="shared" si="38"/>
        <v/>
      </c>
      <c r="AC584" s="292" t="str">
        <f t="shared" si="39"/>
        <v/>
      </c>
      <c r="AD584" s="48" t="str">
        <f>IF(Table3[[#This Row],[Actual Arrival date]]&gt;0,IF(Table3[[#This Row],[Expected arrival date]]&gt;0,Table3[[#This Row],[Actual Arrival date]]-Table3[[#This Row],[Expected arrival date]],""),"")</f>
        <v/>
      </c>
    </row>
    <row r="585" spans="1:30" x14ac:dyDescent="0.25">
      <c r="A585" s="303" t="str">
        <f>Start!$D$7</f>
        <v>Anyland</v>
      </c>
      <c r="B585" s="48" t="str">
        <f>_xlfn.IFNA(VLOOKUP(A585,list!B:C,2,FALSE),"")</f>
        <v>ANY</v>
      </c>
      <c r="C585" s="48"/>
      <c r="D585" s="127"/>
      <c r="E585" s="48" t="str">
        <f>_xlfn.IFNA(VLOOKUP(Table3[[#This Row],[Product]], ProductListTbl[], 3, 0), "")</f>
        <v/>
      </c>
      <c r="F585" s="303" t="str">
        <f>_xlfn.IFNA(VLOOKUP(D585,ProductListTbl[],5,0),"")</f>
        <v/>
      </c>
      <c r="G585" s="303" t="str">
        <f>_xlfn.IFNA(VLOOKUP(D585,ProductListTbl[],6,0),"")</f>
        <v/>
      </c>
      <c r="H585" s="130" t="str">
        <f>_xlfn.IFNA(VLOOKUP(D585,ProductListTbl[],7,0),"")</f>
        <v/>
      </c>
      <c r="I585" s="130" t="str">
        <f>_xlfn.IFNA(VLOOKUP(D585,ProductListTbl[],8,0),"")</f>
        <v/>
      </c>
      <c r="J585" s="127"/>
      <c r="K585" s="129"/>
      <c r="L585" s="128"/>
      <c r="M585" s="305" t="str">
        <f>IFERROR(Table3[[#This Row],[Quantity (doses)]]/Table3[[#This Row],[Doses per vial or syringe]],"")</f>
        <v/>
      </c>
      <c r="N585" s="127"/>
      <c r="O585" s="127"/>
      <c r="P585" s="381"/>
      <c r="Q585" s="129"/>
      <c r="R585" s="127"/>
      <c r="S585" s="127"/>
      <c r="T585" s="127"/>
      <c r="U585" s="127"/>
      <c r="V585" s="305" t="str">
        <f>_xlfn.IFNA(VLOOKUP(D585,ProductListTbl[],9,0),"")</f>
        <v/>
      </c>
      <c r="W585" s="305" t="str">
        <f>IFERROR(Table3[[#This Row],[Storage space per secondary packaging (cm3)]]*Table3[[#This Row],[Quantity  (vials or syringes)]]/1000,"")</f>
        <v/>
      </c>
      <c r="X585" s="305" t="str">
        <f>IFERROR(Table3[[#This Row],[Storage space per tertiary packaging (cm3)]]*Table3[[#This Row],[Quantity (doses)]]/1000,"")</f>
        <v/>
      </c>
      <c r="Y585" s="293" t="str">
        <f>IF(Table3[[#This Row],[Status]]="Ordered",(DATE(YEAR(P585),MONTH(P585),1)),IF(Table3[[#This Row],[Status]]="Received",(DATE(YEAR(Q585),MONTH(Q585),1)),""))</f>
        <v/>
      </c>
      <c r="Z585" s="304" t="str">
        <f t="shared" si="36"/>
        <v/>
      </c>
      <c r="AA585" s="48" t="str">
        <f t="shared" si="37"/>
        <v/>
      </c>
      <c r="AB585" s="48" t="str">
        <f t="shared" si="38"/>
        <v/>
      </c>
      <c r="AC585" s="292" t="str">
        <f t="shared" si="39"/>
        <v/>
      </c>
      <c r="AD585" s="48" t="str">
        <f>IF(Table3[[#This Row],[Actual Arrival date]]&gt;0,IF(Table3[[#This Row],[Expected arrival date]]&gt;0,Table3[[#This Row],[Actual Arrival date]]-Table3[[#This Row],[Expected arrival date]],""),"")</f>
        <v/>
      </c>
    </row>
    <row r="586" spans="1:30" x14ac:dyDescent="0.25">
      <c r="A586" s="303" t="str">
        <f>Start!$D$7</f>
        <v>Anyland</v>
      </c>
      <c r="B586" s="48" t="str">
        <f>_xlfn.IFNA(VLOOKUP(A586,list!B:C,2,FALSE),"")</f>
        <v>ANY</v>
      </c>
      <c r="C586" s="48"/>
      <c r="D586" s="127"/>
      <c r="E586" s="48" t="str">
        <f>_xlfn.IFNA(VLOOKUP(Table3[[#This Row],[Product]], ProductListTbl[], 3, 0), "")</f>
        <v/>
      </c>
      <c r="F586" s="303" t="str">
        <f>_xlfn.IFNA(VLOOKUP(D586,ProductListTbl[],5,0),"")</f>
        <v/>
      </c>
      <c r="G586" s="303" t="str">
        <f>_xlfn.IFNA(VLOOKUP(D586,ProductListTbl[],6,0),"")</f>
        <v/>
      </c>
      <c r="H586" s="130" t="str">
        <f>_xlfn.IFNA(VLOOKUP(D586,ProductListTbl[],7,0),"")</f>
        <v/>
      </c>
      <c r="I586" s="130" t="str">
        <f>_xlfn.IFNA(VLOOKUP(D586,ProductListTbl[],8,0),"")</f>
        <v/>
      </c>
      <c r="J586" s="127"/>
      <c r="K586" s="129"/>
      <c r="L586" s="128"/>
      <c r="M586" s="305" t="str">
        <f>IFERROR(Table3[[#This Row],[Quantity (doses)]]/Table3[[#This Row],[Doses per vial or syringe]],"")</f>
        <v/>
      </c>
      <c r="N586" s="127"/>
      <c r="O586" s="127"/>
      <c r="P586" s="381"/>
      <c r="Q586" s="129"/>
      <c r="R586" s="127"/>
      <c r="S586" s="127"/>
      <c r="T586" s="127"/>
      <c r="U586" s="127"/>
      <c r="V586" s="305" t="str">
        <f>_xlfn.IFNA(VLOOKUP(D586,ProductListTbl[],9,0),"")</f>
        <v/>
      </c>
      <c r="W586" s="305" t="str">
        <f>IFERROR(Table3[[#This Row],[Storage space per secondary packaging (cm3)]]*Table3[[#This Row],[Quantity  (vials or syringes)]]/1000,"")</f>
        <v/>
      </c>
      <c r="X586" s="305" t="str">
        <f>IFERROR(Table3[[#This Row],[Storage space per tertiary packaging (cm3)]]*Table3[[#This Row],[Quantity (doses)]]/1000,"")</f>
        <v/>
      </c>
      <c r="Y586" s="293" t="str">
        <f>IF(Table3[[#This Row],[Status]]="Ordered",(DATE(YEAR(P586),MONTH(P586),1)),IF(Table3[[#This Row],[Status]]="Received",(DATE(YEAR(Q586),MONTH(Q586),1)),""))</f>
        <v/>
      </c>
      <c r="Z586" s="304" t="str">
        <f t="shared" si="36"/>
        <v/>
      </c>
      <c r="AA586" s="48" t="str">
        <f t="shared" si="37"/>
        <v/>
      </c>
      <c r="AB586" s="48" t="str">
        <f t="shared" si="38"/>
        <v/>
      </c>
      <c r="AC586" s="292" t="str">
        <f t="shared" si="39"/>
        <v/>
      </c>
      <c r="AD586" s="48" t="str">
        <f>IF(Table3[[#This Row],[Actual Arrival date]]&gt;0,IF(Table3[[#This Row],[Expected arrival date]]&gt;0,Table3[[#This Row],[Actual Arrival date]]-Table3[[#This Row],[Expected arrival date]],""),"")</f>
        <v/>
      </c>
    </row>
    <row r="587" spans="1:30" x14ac:dyDescent="0.25">
      <c r="A587" s="303" t="str">
        <f>Start!$D$7</f>
        <v>Anyland</v>
      </c>
      <c r="B587" s="48" t="str">
        <f>_xlfn.IFNA(VLOOKUP(A587,list!B:C,2,FALSE),"")</f>
        <v>ANY</v>
      </c>
      <c r="C587" s="48"/>
      <c r="D587" s="127"/>
      <c r="E587" s="48" t="str">
        <f>_xlfn.IFNA(VLOOKUP(Table3[[#This Row],[Product]], ProductListTbl[], 3, 0), "")</f>
        <v/>
      </c>
      <c r="F587" s="303" t="str">
        <f>_xlfn.IFNA(VLOOKUP(D587,ProductListTbl[],5,0),"")</f>
        <v/>
      </c>
      <c r="G587" s="303" t="str">
        <f>_xlfn.IFNA(VLOOKUP(D587,ProductListTbl[],6,0),"")</f>
        <v/>
      </c>
      <c r="H587" s="130" t="str">
        <f>_xlfn.IFNA(VLOOKUP(D587,ProductListTbl[],7,0),"")</f>
        <v/>
      </c>
      <c r="I587" s="130" t="str">
        <f>_xlfn.IFNA(VLOOKUP(D587,ProductListTbl[],8,0),"")</f>
        <v/>
      </c>
      <c r="J587" s="127"/>
      <c r="K587" s="129"/>
      <c r="L587" s="128"/>
      <c r="M587" s="305" t="str">
        <f>IFERROR(Table3[[#This Row],[Quantity (doses)]]/Table3[[#This Row],[Doses per vial or syringe]],"")</f>
        <v/>
      </c>
      <c r="N587" s="127"/>
      <c r="O587" s="127"/>
      <c r="P587" s="381"/>
      <c r="Q587" s="129"/>
      <c r="R587" s="127"/>
      <c r="S587" s="127"/>
      <c r="T587" s="127"/>
      <c r="U587" s="127"/>
      <c r="V587" s="305" t="str">
        <f>_xlfn.IFNA(VLOOKUP(D587,ProductListTbl[],9,0),"")</f>
        <v/>
      </c>
      <c r="W587" s="305" t="str">
        <f>IFERROR(Table3[[#This Row],[Storage space per secondary packaging (cm3)]]*Table3[[#This Row],[Quantity  (vials or syringes)]]/1000,"")</f>
        <v/>
      </c>
      <c r="X587" s="305" t="str">
        <f>IFERROR(Table3[[#This Row],[Storage space per tertiary packaging (cm3)]]*Table3[[#This Row],[Quantity (doses)]]/1000,"")</f>
        <v/>
      </c>
      <c r="Y587" s="293" t="str">
        <f>IF(Table3[[#This Row],[Status]]="Ordered",(DATE(YEAR(P587),MONTH(P587),1)),IF(Table3[[#This Row],[Status]]="Received",(DATE(YEAR(Q587),MONTH(Q587),1)),""))</f>
        <v/>
      </c>
      <c r="Z587" s="304" t="str">
        <f t="shared" si="36"/>
        <v/>
      </c>
      <c r="AA587" s="48" t="str">
        <f t="shared" si="37"/>
        <v/>
      </c>
      <c r="AB587" s="48" t="str">
        <f t="shared" si="38"/>
        <v/>
      </c>
      <c r="AC587" s="292" t="str">
        <f t="shared" si="39"/>
        <v/>
      </c>
      <c r="AD587" s="48" t="str">
        <f>IF(Table3[[#This Row],[Actual Arrival date]]&gt;0,IF(Table3[[#This Row],[Expected arrival date]]&gt;0,Table3[[#This Row],[Actual Arrival date]]-Table3[[#This Row],[Expected arrival date]],""),"")</f>
        <v/>
      </c>
    </row>
    <row r="588" spans="1:30" x14ac:dyDescent="0.25">
      <c r="A588" s="303" t="str">
        <f>Start!$D$7</f>
        <v>Anyland</v>
      </c>
      <c r="B588" s="48" t="str">
        <f>_xlfn.IFNA(VLOOKUP(A588,list!B:C,2,FALSE),"")</f>
        <v>ANY</v>
      </c>
      <c r="C588" s="48"/>
      <c r="D588" s="127"/>
      <c r="E588" s="48" t="str">
        <f>_xlfn.IFNA(VLOOKUP(Table3[[#This Row],[Product]], ProductListTbl[], 3, 0), "")</f>
        <v/>
      </c>
      <c r="F588" s="303" t="str">
        <f>_xlfn.IFNA(VLOOKUP(D588,ProductListTbl[],5,0),"")</f>
        <v/>
      </c>
      <c r="G588" s="303" t="str">
        <f>_xlfn.IFNA(VLOOKUP(D588,ProductListTbl[],6,0),"")</f>
        <v/>
      </c>
      <c r="H588" s="130" t="str">
        <f>_xlfn.IFNA(VLOOKUP(D588,ProductListTbl[],7,0),"")</f>
        <v/>
      </c>
      <c r="I588" s="130" t="str">
        <f>_xlfn.IFNA(VLOOKUP(D588,ProductListTbl[],8,0),"")</f>
        <v/>
      </c>
      <c r="J588" s="127"/>
      <c r="K588" s="129"/>
      <c r="L588" s="128"/>
      <c r="M588" s="305" t="str">
        <f>IFERROR(Table3[[#This Row],[Quantity (doses)]]/Table3[[#This Row],[Doses per vial or syringe]],"")</f>
        <v/>
      </c>
      <c r="N588" s="127"/>
      <c r="O588" s="127"/>
      <c r="P588" s="381"/>
      <c r="Q588" s="129"/>
      <c r="R588" s="127"/>
      <c r="S588" s="127"/>
      <c r="T588" s="127"/>
      <c r="U588" s="127"/>
      <c r="V588" s="305" t="str">
        <f>_xlfn.IFNA(VLOOKUP(D588,ProductListTbl[],9,0),"")</f>
        <v/>
      </c>
      <c r="W588" s="305" t="str">
        <f>IFERROR(Table3[[#This Row],[Storage space per secondary packaging (cm3)]]*Table3[[#This Row],[Quantity  (vials or syringes)]]/1000,"")</f>
        <v/>
      </c>
      <c r="X588" s="305" t="str">
        <f>IFERROR(Table3[[#This Row],[Storage space per tertiary packaging (cm3)]]*Table3[[#This Row],[Quantity (doses)]]/1000,"")</f>
        <v/>
      </c>
      <c r="Y588" s="293" t="str">
        <f>IF(Table3[[#This Row],[Status]]="Ordered",(DATE(YEAR(P588),MONTH(P588),1)),IF(Table3[[#This Row],[Status]]="Received",(DATE(YEAR(Q588),MONTH(Q588),1)),""))</f>
        <v/>
      </c>
      <c r="Z588" s="304" t="str">
        <f t="shared" si="36"/>
        <v/>
      </c>
      <c r="AA588" s="48" t="str">
        <f t="shared" si="37"/>
        <v/>
      </c>
      <c r="AB588" s="48" t="str">
        <f t="shared" si="38"/>
        <v/>
      </c>
      <c r="AC588" s="292" t="str">
        <f t="shared" si="39"/>
        <v/>
      </c>
      <c r="AD588" s="48" t="str">
        <f>IF(Table3[[#This Row],[Actual Arrival date]]&gt;0,IF(Table3[[#This Row],[Expected arrival date]]&gt;0,Table3[[#This Row],[Actual Arrival date]]-Table3[[#This Row],[Expected arrival date]],""),"")</f>
        <v/>
      </c>
    </row>
    <row r="589" spans="1:30" x14ac:dyDescent="0.25">
      <c r="A589" s="303" t="str">
        <f>Start!$D$7</f>
        <v>Anyland</v>
      </c>
      <c r="B589" s="48" t="str">
        <f>_xlfn.IFNA(VLOOKUP(A589,list!B:C,2,FALSE),"")</f>
        <v>ANY</v>
      </c>
      <c r="C589" s="48"/>
      <c r="D589" s="127"/>
      <c r="E589" s="48" t="str">
        <f>_xlfn.IFNA(VLOOKUP(Table3[[#This Row],[Product]], ProductListTbl[], 3, 0), "")</f>
        <v/>
      </c>
      <c r="F589" s="303" t="str">
        <f>_xlfn.IFNA(VLOOKUP(D589,ProductListTbl[],5,0),"")</f>
        <v/>
      </c>
      <c r="G589" s="303" t="str">
        <f>_xlfn.IFNA(VLOOKUP(D589,ProductListTbl[],6,0),"")</f>
        <v/>
      </c>
      <c r="H589" s="130" t="str">
        <f>_xlfn.IFNA(VLOOKUP(D589,ProductListTbl[],7,0),"")</f>
        <v/>
      </c>
      <c r="I589" s="130" t="str">
        <f>_xlfn.IFNA(VLOOKUP(D589,ProductListTbl[],8,0),"")</f>
        <v/>
      </c>
      <c r="J589" s="127"/>
      <c r="K589" s="129"/>
      <c r="L589" s="128"/>
      <c r="M589" s="305" t="str">
        <f>IFERROR(Table3[[#This Row],[Quantity (doses)]]/Table3[[#This Row],[Doses per vial or syringe]],"")</f>
        <v/>
      </c>
      <c r="N589" s="127"/>
      <c r="O589" s="127"/>
      <c r="P589" s="381"/>
      <c r="Q589" s="129"/>
      <c r="R589" s="127"/>
      <c r="S589" s="127"/>
      <c r="T589" s="127"/>
      <c r="U589" s="127"/>
      <c r="V589" s="305" t="str">
        <f>_xlfn.IFNA(VLOOKUP(D589,ProductListTbl[],9,0),"")</f>
        <v/>
      </c>
      <c r="W589" s="305" t="str">
        <f>IFERROR(Table3[[#This Row],[Storage space per secondary packaging (cm3)]]*Table3[[#This Row],[Quantity  (vials or syringes)]]/1000,"")</f>
        <v/>
      </c>
      <c r="X589" s="305" t="str">
        <f>IFERROR(Table3[[#This Row],[Storage space per tertiary packaging (cm3)]]*Table3[[#This Row],[Quantity (doses)]]/1000,"")</f>
        <v/>
      </c>
      <c r="Y589" s="293" t="str">
        <f>IF(Table3[[#This Row],[Status]]="Ordered",(DATE(YEAR(P589),MONTH(P589),1)),IF(Table3[[#This Row],[Status]]="Received",(DATE(YEAR(Q589),MONTH(Q589),1)),""))</f>
        <v/>
      </c>
      <c r="Z589" s="304" t="str">
        <f t="shared" si="36"/>
        <v/>
      </c>
      <c r="AA589" s="48" t="str">
        <f t="shared" si="37"/>
        <v/>
      </c>
      <c r="AB589" s="48" t="str">
        <f t="shared" si="38"/>
        <v/>
      </c>
      <c r="AC589" s="292" t="str">
        <f t="shared" si="39"/>
        <v/>
      </c>
      <c r="AD589" s="48" t="str">
        <f>IF(Table3[[#This Row],[Actual Arrival date]]&gt;0,IF(Table3[[#This Row],[Expected arrival date]]&gt;0,Table3[[#This Row],[Actual Arrival date]]-Table3[[#This Row],[Expected arrival date]],""),"")</f>
        <v/>
      </c>
    </row>
    <row r="590" spans="1:30" x14ac:dyDescent="0.25">
      <c r="A590" s="303" t="str">
        <f>Start!$D$7</f>
        <v>Anyland</v>
      </c>
      <c r="B590" s="48" t="str">
        <f>_xlfn.IFNA(VLOOKUP(A590,list!B:C,2,FALSE),"")</f>
        <v>ANY</v>
      </c>
      <c r="C590" s="48"/>
      <c r="D590" s="127"/>
      <c r="E590" s="48" t="str">
        <f>_xlfn.IFNA(VLOOKUP(Table3[[#This Row],[Product]], ProductListTbl[], 3, 0), "")</f>
        <v/>
      </c>
      <c r="F590" s="303" t="str">
        <f>_xlfn.IFNA(VLOOKUP(D590,ProductListTbl[],5,0),"")</f>
        <v/>
      </c>
      <c r="G590" s="303" t="str">
        <f>_xlfn.IFNA(VLOOKUP(D590,ProductListTbl[],6,0),"")</f>
        <v/>
      </c>
      <c r="H590" s="130" t="str">
        <f>_xlfn.IFNA(VLOOKUP(D590,ProductListTbl[],7,0),"")</f>
        <v/>
      </c>
      <c r="I590" s="130" t="str">
        <f>_xlfn.IFNA(VLOOKUP(D590,ProductListTbl[],8,0),"")</f>
        <v/>
      </c>
      <c r="J590" s="127"/>
      <c r="K590" s="129"/>
      <c r="L590" s="128"/>
      <c r="M590" s="305" t="str">
        <f>IFERROR(Table3[[#This Row],[Quantity (doses)]]/Table3[[#This Row],[Doses per vial or syringe]],"")</f>
        <v/>
      </c>
      <c r="N590" s="127"/>
      <c r="O590" s="127"/>
      <c r="P590" s="381"/>
      <c r="Q590" s="129"/>
      <c r="R590" s="127"/>
      <c r="S590" s="127"/>
      <c r="T590" s="127"/>
      <c r="U590" s="127"/>
      <c r="V590" s="305" t="str">
        <f>_xlfn.IFNA(VLOOKUP(D590,ProductListTbl[],9,0),"")</f>
        <v/>
      </c>
      <c r="W590" s="305" t="str">
        <f>IFERROR(Table3[[#This Row],[Storage space per secondary packaging (cm3)]]*Table3[[#This Row],[Quantity  (vials or syringes)]]/1000,"")</f>
        <v/>
      </c>
      <c r="X590" s="305" t="str">
        <f>IFERROR(Table3[[#This Row],[Storage space per tertiary packaging (cm3)]]*Table3[[#This Row],[Quantity (doses)]]/1000,"")</f>
        <v/>
      </c>
      <c r="Y590" s="293" t="str">
        <f>IF(Table3[[#This Row],[Status]]="Ordered",(DATE(YEAR(P590),MONTH(P590),1)),IF(Table3[[#This Row],[Status]]="Received",(DATE(YEAR(Q590),MONTH(Q590),1)),""))</f>
        <v/>
      </c>
      <c r="Z590" s="304" t="str">
        <f t="shared" si="36"/>
        <v/>
      </c>
      <c r="AA590" s="48" t="str">
        <f t="shared" si="37"/>
        <v/>
      </c>
      <c r="AB590" s="48" t="str">
        <f t="shared" si="38"/>
        <v/>
      </c>
      <c r="AC590" s="292" t="str">
        <f t="shared" si="39"/>
        <v/>
      </c>
      <c r="AD590" s="48" t="str">
        <f>IF(Table3[[#This Row],[Actual Arrival date]]&gt;0,IF(Table3[[#This Row],[Expected arrival date]]&gt;0,Table3[[#This Row],[Actual Arrival date]]-Table3[[#This Row],[Expected arrival date]],""),"")</f>
        <v/>
      </c>
    </row>
    <row r="591" spans="1:30" x14ac:dyDescent="0.25">
      <c r="A591" s="303" t="str">
        <f>Start!$D$7</f>
        <v>Anyland</v>
      </c>
      <c r="B591" s="48" t="str">
        <f>_xlfn.IFNA(VLOOKUP(A591,list!B:C,2,FALSE),"")</f>
        <v>ANY</v>
      </c>
      <c r="C591" s="48"/>
      <c r="D591" s="127"/>
      <c r="E591" s="48" t="str">
        <f>_xlfn.IFNA(VLOOKUP(Table3[[#This Row],[Product]], ProductListTbl[], 3, 0), "")</f>
        <v/>
      </c>
      <c r="F591" s="303" t="str">
        <f>_xlfn.IFNA(VLOOKUP(D591,ProductListTbl[],5,0),"")</f>
        <v/>
      </c>
      <c r="G591" s="303" t="str">
        <f>_xlfn.IFNA(VLOOKUP(D591,ProductListTbl[],6,0),"")</f>
        <v/>
      </c>
      <c r="H591" s="130" t="str">
        <f>_xlfn.IFNA(VLOOKUP(D591,ProductListTbl[],7,0),"")</f>
        <v/>
      </c>
      <c r="I591" s="130" t="str">
        <f>_xlfn.IFNA(VLOOKUP(D591,ProductListTbl[],8,0),"")</f>
        <v/>
      </c>
      <c r="J591" s="127"/>
      <c r="K591" s="129"/>
      <c r="L591" s="128"/>
      <c r="M591" s="305" t="str">
        <f>IFERROR(Table3[[#This Row],[Quantity (doses)]]/Table3[[#This Row],[Doses per vial or syringe]],"")</f>
        <v/>
      </c>
      <c r="N591" s="127"/>
      <c r="O591" s="127"/>
      <c r="P591" s="381"/>
      <c r="Q591" s="129"/>
      <c r="R591" s="127"/>
      <c r="S591" s="127"/>
      <c r="T591" s="127"/>
      <c r="U591" s="127"/>
      <c r="V591" s="305" t="str">
        <f>_xlfn.IFNA(VLOOKUP(D591,ProductListTbl[],9,0),"")</f>
        <v/>
      </c>
      <c r="W591" s="305" t="str">
        <f>IFERROR(Table3[[#This Row],[Storage space per secondary packaging (cm3)]]*Table3[[#This Row],[Quantity  (vials or syringes)]]/1000,"")</f>
        <v/>
      </c>
      <c r="X591" s="305" t="str">
        <f>IFERROR(Table3[[#This Row],[Storage space per tertiary packaging (cm3)]]*Table3[[#This Row],[Quantity (doses)]]/1000,"")</f>
        <v/>
      </c>
      <c r="Y591" s="293" t="str">
        <f>IF(Table3[[#This Row],[Status]]="Ordered",(DATE(YEAR(P591),MONTH(P591),1)),IF(Table3[[#This Row],[Status]]="Received",(DATE(YEAR(Q591),MONTH(Q591),1)),""))</f>
        <v/>
      </c>
      <c r="Z591" s="304" t="str">
        <f t="shared" si="36"/>
        <v/>
      </c>
      <c r="AA591" s="48" t="str">
        <f t="shared" si="37"/>
        <v/>
      </c>
      <c r="AB591" s="48" t="str">
        <f t="shared" si="38"/>
        <v/>
      </c>
      <c r="AC591" s="292" t="str">
        <f t="shared" si="39"/>
        <v/>
      </c>
      <c r="AD591" s="48" t="str">
        <f>IF(Table3[[#This Row],[Actual Arrival date]]&gt;0,IF(Table3[[#This Row],[Expected arrival date]]&gt;0,Table3[[#This Row],[Actual Arrival date]]-Table3[[#This Row],[Expected arrival date]],""),"")</f>
        <v/>
      </c>
    </row>
    <row r="592" spans="1:30" x14ac:dyDescent="0.25">
      <c r="A592" s="303" t="str">
        <f>Start!$D$7</f>
        <v>Anyland</v>
      </c>
      <c r="B592" s="48" t="str">
        <f>_xlfn.IFNA(VLOOKUP(A592,list!B:C,2,FALSE),"")</f>
        <v>ANY</v>
      </c>
      <c r="C592" s="48"/>
      <c r="D592" s="127"/>
      <c r="E592" s="48" t="str">
        <f>_xlfn.IFNA(VLOOKUP(Table3[[#This Row],[Product]], ProductListTbl[], 3, 0), "")</f>
        <v/>
      </c>
      <c r="F592" s="303" t="str">
        <f>_xlfn.IFNA(VLOOKUP(D592,ProductListTbl[],5,0),"")</f>
        <v/>
      </c>
      <c r="G592" s="303" t="str">
        <f>_xlfn.IFNA(VLOOKUP(D592,ProductListTbl[],6,0),"")</f>
        <v/>
      </c>
      <c r="H592" s="130" t="str">
        <f>_xlfn.IFNA(VLOOKUP(D592,ProductListTbl[],7,0),"")</f>
        <v/>
      </c>
      <c r="I592" s="130" t="str">
        <f>_xlfn.IFNA(VLOOKUP(D592,ProductListTbl[],8,0),"")</f>
        <v/>
      </c>
      <c r="J592" s="127"/>
      <c r="K592" s="129"/>
      <c r="L592" s="128"/>
      <c r="M592" s="305" t="str">
        <f>IFERROR(Table3[[#This Row],[Quantity (doses)]]/Table3[[#This Row],[Doses per vial or syringe]],"")</f>
        <v/>
      </c>
      <c r="N592" s="127"/>
      <c r="O592" s="127"/>
      <c r="P592" s="381"/>
      <c r="Q592" s="129"/>
      <c r="R592" s="127"/>
      <c r="S592" s="127"/>
      <c r="T592" s="127"/>
      <c r="U592" s="127"/>
      <c r="V592" s="305" t="str">
        <f>_xlfn.IFNA(VLOOKUP(D592,ProductListTbl[],9,0),"")</f>
        <v/>
      </c>
      <c r="W592" s="305" t="str">
        <f>IFERROR(Table3[[#This Row],[Storage space per secondary packaging (cm3)]]*Table3[[#This Row],[Quantity  (vials or syringes)]]/1000,"")</f>
        <v/>
      </c>
      <c r="X592" s="305" t="str">
        <f>IFERROR(Table3[[#This Row],[Storage space per tertiary packaging (cm3)]]*Table3[[#This Row],[Quantity (doses)]]/1000,"")</f>
        <v/>
      </c>
      <c r="Y592" s="293" t="str">
        <f>IF(Table3[[#This Row],[Status]]="Ordered",(DATE(YEAR(P592),MONTH(P592),1)),IF(Table3[[#This Row],[Status]]="Received",(DATE(YEAR(Q592),MONTH(Q592),1)),""))</f>
        <v/>
      </c>
      <c r="Z592" s="304" t="str">
        <f t="shared" si="36"/>
        <v/>
      </c>
      <c r="AA592" s="48" t="str">
        <f t="shared" si="37"/>
        <v/>
      </c>
      <c r="AB592" s="48" t="str">
        <f t="shared" si="38"/>
        <v/>
      </c>
      <c r="AC592" s="292" t="str">
        <f t="shared" si="39"/>
        <v/>
      </c>
      <c r="AD592" s="48" t="str">
        <f>IF(Table3[[#This Row],[Actual Arrival date]]&gt;0,IF(Table3[[#This Row],[Expected arrival date]]&gt;0,Table3[[#This Row],[Actual Arrival date]]-Table3[[#This Row],[Expected arrival date]],""),"")</f>
        <v/>
      </c>
    </row>
    <row r="593" spans="1:30" x14ac:dyDescent="0.25">
      <c r="A593" s="303" t="str">
        <f>Start!$D$7</f>
        <v>Anyland</v>
      </c>
      <c r="B593" s="48" t="str">
        <f>_xlfn.IFNA(VLOOKUP(A593,list!B:C,2,FALSE),"")</f>
        <v>ANY</v>
      </c>
      <c r="C593" s="48"/>
      <c r="D593" s="127"/>
      <c r="E593" s="48" t="str">
        <f>_xlfn.IFNA(VLOOKUP(Table3[[#This Row],[Product]], ProductListTbl[], 3, 0), "")</f>
        <v/>
      </c>
      <c r="F593" s="303" t="str">
        <f>_xlfn.IFNA(VLOOKUP(D593,ProductListTbl[],5,0),"")</f>
        <v/>
      </c>
      <c r="G593" s="303" t="str">
        <f>_xlfn.IFNA(VLOOKUP(D593,ProductListTbl[],6,0),"")</f>
        <v/>
      </c>
      <c r="H593" s="130" t="str">
        <f>_xlfn.IFNA(VLOOKUP(D593,ProductListTbl[],7,0),"")</f>
        <v/>
      </c>
      <c r="I593" s="130" t="str">
        <f>_xlfn.IFNA(VLOOKUP(D593,ProductListTbl[],8,0),"")</f>
        <v/>
      </c>
      <c r="J593" s="127"/>
      <c r="K593" s="129"/>
      <c r="L593" s="128"/>
      <c r="M593" s="305" t="str">
        <f>IFERROR(Table3[[#This Row],[Quantity (doses)]]/Table3[[#This Row],[Doses per vial or syringe]],"")</f>
        <v/>
      </c>
      <c r="N593" s="127"/>
      <c r="O593" s="127"/>
      <c r="P593" s="381"/>
      <c r="Q593" s="129"/>
      <c r="R593" s="127"/>
      <c r="S593" s="127"/>
      <c r="T593" s="127"/>
      <c r="U593" s="127"/>
      <c r="V593" s="305" t="str">
        <f>_xlfn.IFNA(VLOOKUP(D593,ProductListTbl[],9,0),"")</f>
        <v/>
      </c>
      <c r="W593" s="305" t="str">
        <f>IFERROR(Table3[[#This Row],[Storage space per secondary packaging (cm3)]]*Table3[[#This Row],[Quantity  (vials or syringes)]]/1000,"")</f>
        <v/>
      </c>
      <c r="X593" s="305" t="str">
        <f>IFERROR(Table3[[#This Row],[Storage space per tertiary packaging (cm3)]]*Table3[[#This Row],[Quantity (doses)]]/1000,"")</f>
        <v/>
      </c>
      <c r="Y593" s="293" t="str">
        <f>IF(Table3[[#This Row],[Status]]="Ordered",(DATE(YEAR(P593),MONTH(P593),1)),IF(Table3[[#This Row],[Status]]="Received",(DATE(YEAR(Q593),MONTH(Q593),1)),""))</f>
        <v/>
      </c>
      <c r="Z593" s="304" t="str">
        <f t="shared" si="36"/>
        <v/>
      </c>
      <c r="AA593" s="48" t="str">
        <f t="shared" si="37"/>
        <v/>
      </c>
      <c r="AB593" s="48" t="str">
        <f t="shared" si="38"/>
        <v/>
      </c>
      <c r="AC593" s="292" t="str">
        <f t="shared" si="39"/>
        <v/>
      </c>
      <c r="AD593" s="48" t="str">
        <f>IF(Table3[[#This Row],[Actual Arrival date]]&gt;0,IF(Table3[[#This Row],[Expected arrival date]]&gt;0,Table3[[#This Row],[Actual Arrival date]]-Table3[[#This Row],[Expected arrival date]],""),"")</f>
        <v/>
      </c>
    </row>
    <row r="594" spans="1:30" x14ac:dyDescent="0.25">
      <c r="A594" s="303" t="str">
        <f>Start!$D$7</f>
        <v>Anyland</v>
      </c>
      <c r="B594" s="48" t="str">
        <f>_xlfn.IFNA(VLOOKUP(A594,list!B:C,2,FALSE),"")</f>
        <v>ANY</v>
      </c>
      <c r="C594" s="48"/>
      <c r="D594" s="127"/>
      <c r="E594" s="48" t="str">
        <f>_xlfn.IFNA(VLOOKUP(Table3[[#This Row],[Product]], ProductListTbl[], 3, 0), "")</f>
        <v/>
      </c>
      <c r="F594" s="303" t="str">
        <f>_xlfn.IFNA(VLOOKUP(D594,ProductListTbl[],5,0),"")</f>
        <v/>
      </c>
      <c r="G594" s="303" t="str">
        <f>_xlfn.IFNA(VLOOKUP(D594,ProductListTbl[],6,0),"")</f>
        <v/>
      </c>
      <c r="H594" s="130" t="str">
        <f>_xlfn.IFNA(VLOOKUP(D594,ProductListTbl[],7,0),"")</f>
        <v/>
      </c>
      <c r="I594" s="130" t="str">
        <f>_xlfn.IFNA(VLOOKUP(D594,ProductListTbl[],8,0),"")</f>
        <v/>
      </c>
      <c r="J594" s="127"/>
      <c r="K594" s="129"/>
      <c r="L594" s="128"/>
      <c r="M594" s="305" t="str">
        <f>IFERROR(Table3[[#This Row],[Quantity (doses)]]/Table3[[#This Row],[Doses per vial or syringe]],"")</f>
        <v/>
      </c>
      <c r="N594" s="127"/>
      <c r="O594" s="127"/>
      <c r="P594" s="381"/>
      <c r="Q594" s="129"/>
      <c r="R594" s="127"/>
      <c r="S594" s="127"/>
      <c r="T594" s="127"/>
      <c r="U594" s="127"/>
      <c r="V594" s="305" t="str">
        <f>_xlfn.IFNA(VLOOKUP(D594,ProductListTbl[],9,0),"")</f>
        <v/>
      </c>
      <c r="W594" s="305" t="str">
        <f>IFERROR(Table3[[#This Row],[Storage space per secondary packaging (cm3)]]*Table3[[#This Row],[Quantity  (vials or syringes)]]/1000,"")</f>
        <v/>
      </c>
      <c r="X594" s="305" t="str">
        <f>IFERROR(Table3[[#This Row],[Storage space per tertiary packaging (cm3)]]*Table3[[#This Row],[Quantity (doses)]]/1000,"")</f>
        <v/>
      </c>
      <c r="Y594" s="293" t="str">
        <f>IF(Table3[[#This Row],[Status]]="Ordered",(DATE(YEAR(P594),MONTH(P594),1)),IF(Table3[[#This Row],[Status]]="Received",(DATE(YEAR(Q594),MONTH(Q594),1)),""))</f>
        <v/>
      </c>
      <c r="Z594" s="304" t="str">
        <f t="shared" si="36"/>
        <v/>
      </c>
      <c r="AA594" s="48" t="str">
        <f t="shared" si="37"/>
        <v/>
      </c>
      <c r="AB594" s="48" t="str">
        <f t="shared" si="38"/>
        <v/>
      </c>
      <c r="AC594" s="292" t="str">
        <f t="shared" si="39"/>
        <v/>
      </c>
      <c r="AD594" s="48" t="str">
        <f>IF(Table3[[#This Row],[Actual Arrival date]]&gt;0,IF(Table3[[#This Row],[Expected arrival date]]&gt;0,Table3[[#This Row],[Actual Arrival date]]-Table3[[#This Row],[Expected arrival date]],""),"")</f>
        <v/>
      </c>
    </row>
    <row r="595" spans="1:30" x14ac:dyDescent="0.25">
      <c r="A595" s="303" t="str">
        <f>Start!$D$7</f>
        <v>Anyland</v>
      </c>
      <c r="B595" s="48" t="str">
        <f>_xlfn.IFNA(VLOOKUP(A595,list!B:C,2,FALSE),"")</f>
        <v>ANY</v>
      </c>
      <c r="C595" s="48"/>
      <c r="D595" s="127"/>
      <c r="E595" s="48" t="str">
        <f>_xlfn.IFNA(VLOOKUP(Table3[[#This Row],[Product]], ProductListTbl[], 3, 0), "")</f>
        <v/>
      </c>
      <c r="F595" s="303" t="str">
        <f>_xlfn.IFNA(VLOOKUP(D595,ProductListTbl[],5,0),"")</f>
        <v/>
      </c>
      <c r="G595" s="303" t="str">
        <f>_xlfn.IFNA(VLOOKUP(D595,ProductListTbl[],6,0),"")</f>
        <v/>
      </c>
      <c r="H595" s="130" t="str">
        <f>_xlfn.IFNA(VLOOKUP(D595,ProductListTbl[],7,0),"")</f>
        <v/>
      </c>
      <c r="I595" s="130" t="str">
        <f>_xlfn.IFNA(VLOOKUP(D595,ProductListTbl[],8,0),"")</f>
        <v/>
      </c>
      <c r="J595" s="127"/>
      <c r="K595" s="129"/>
      <c r="L595" s="128"/>
      <c r="M595" s="305" t="str">
        <f>IFERROR(Table3[[#This Row],[Quantity (doses)]]/Table3[[#This Row],[Doses per vial or syringe]],"")</f>
        <v/>
      </c>
      <c r="N595" s="127"/>
      <c r="O595" s="127"/>
      <c r="P595" s="381"/>
      <c r="Q595" s="129"/>
      <c r="R595" s="127"/>
      <c r="S595" s="127"/>
      <c r="T595" s="127"/>
      <c r="U595" s="127"/>
      <c r="V595" s="305" t="str">
        <f>_xlfn.IFNA(VLOOKUP(D595,ProductListTbl[],9,0),"")</f>
        <v/>
      </c>
      <c r="W595" s="305" t="str">
        <f>IFERROR(Table3[[#This Row],[Storage space per secondary packaging (cm3)]]*Table3[[#This Row],[Quantity  (vials or syringes)]]/1000,"")</f>
        <v/>
      </c>
      <c r="X595" s="305" t="str">
        <f>IFERROR(Table3[[#This Row],[Storage space per tertiary packaging (cm3)]]*Table3[[#This Row],[Quantity (doses)]]/1000,"")</f>
        <v/>
      </c>
      <c r="Y595" s="293" t="str">
        <f>IF(Table3[[#This Row],[Status]]="Ordered",(DATE(YEAR(P595),MONTH(P595),1)),IF(Table3[[#This Row],[Status]]="Received",(DATE(YEAR(Q595),MONTH(Q595),1)),""))</f>
        <v/>
      </c>
      <c r="Z595" s="304" t="str">
        <f t="shared" si="36"/>
        <v/>
      </c>
      <c r="AA595" s="48" t="str">
        <f t="shared" si="37"/>
        <v/>
      </c>
      <c r="AB595" s="48" t="str">
        <f t="shared" si="38"/>
        <v/>
      </c>
      <c r="AC595" s="292" t="str">
        <f t="shared" si="39"/>
        <v/>
      </c>
      <c r="AD595" s="48" t="str">
        <f>IF(Table3[[#This Row],[Actual Arrival date]]&gt;0,IF(Table3[[#This Row],[Expected arrival date]]&gt;0,Table3[[#This Row],[Actual Arrival date]]-Table3[[#This Row],[Expected arrival date]],""),"")</f>
        <v/>
      </c>
    </row>
    <row r="596" spans="1:30" x14ac:dyDescent="0.25">
      <c r="A596" s="303" t="str">
        <f>Start!$D$7</f>
        <v>Anyland</v>
      </c>
      <c r="B596" s="48" t="str">
        <f>_xlfn.IFNA(VLOOKUP(A596,list!B:C,2,FALSE),"")</f>
        <v>ANY</v>
      </c>
      <c r="C596" s="48"/>
      <c r="D596" s="127"/>
      <c r="E596" s="48" t="str">
        <f>_xlfn.IFNA(VLOOKUP(Table3[[#This Row],[Product]], ProductListTbl[], 3, 0), "")</f>
        <v/>
      </c>
      <c r="F596" s="303" t="str">
        <f>_xlfn.IFNA(VLOOKUP(D596,ProductListTbl[],5,0),"")</f>
        <v/>
      </c>
      <c r="G596" s="303" t="str">
        <f>_xlfn.IFNA(VLOOKUP(D596,ProductListTbl[],6,0),"")</f>
        <v/>
      </c>
      <c r="H596" s="130" t="str">
        <f>_xlfn.IFNA(VLOOKUP(D596,ProductListTbl[],7,0),"")</f>
        <v/>
      </c>
      <c r="I596" s="130" t="str">
        <f>_xlfn.IFNA(VLOOKUP(D596,ProductListTbl[],8,0),"")</f>
        <v/>
      </c>
      <c r="J596" s="127"/>
      <c r="K596" s="129"/>
      <c r="L596" s="128"/>
      <c r="M596" s="305" t="str">
        <f>IFERROR(Table3[[#This Row],[Quantity (doses)]]/Table3[[#This Row],[Doses per vial or syringe]],"")</f>
        <v/>
      </c>
      <c r="N596" s="127"/>
      <c r="O596" s="127"/>
      <c r="P596" s="381"/>
      <c r="Q596" s="129"/>
      <c r="R596" s="127"/>
      <c r="S596" s="127"/>
      <c r="T596" s="127"/>
      <c r="U596" s="127"/>
      <c r="V596" s="305" t="str">
        <f>_xlfn.IFNA(VLOOKUP(D596,ProductListTbl[],9,0),"")</f>
        <v/>
      </c>
      <c r="W596" s="305" t="str">
        <f>IFERROR(Table3[[#This Row],[Storage space per secondary packaging (cm3)]]*Table3[[#This Row],[Quantity  (vials or syringes)]]/1000,"")</f>
        <v/>
      </c>
      <c r="X596" s="305" t="str">
        <f>IFERROR(Table3[[#This Row],[Storage space per tertiary packaging (cm3)]]*Table3[[#This Row],[Quantity (doses)]]/1000,"")</f>
        <v/>
      </c>
      <c r="Y596" s="293" t="str">
        <f>IF(Table3[[#This Row],[Status]]="Ordered",(DATE(YEAR(P596),MONTH(P596),1)),IF(Table3[[#This Row],[Status]]="Received",(DATE(YEAR(Q596),MONTH(Q596),1)),""))</f>
        <v/>
      </c>
      <c r="Z596" s="304" t="str">
        <f t="shared" si="36"/>
        <v/>
      </c>
      <c r="AA596" s="48" t="str">
        <f t="shared" si="37"/>
        <v/>
      </c>
      <c r="AB596" s="48" t="str">
        <f t="shared" si="38"/>
        <v/>
      </c>
      <c r="AC596" s="292" t="str">
        <f t="shared" si="39"/>
        <v/>
      </c>
      <c r="AD596" s="48" t="str">
        <f>IF(Table3[[#This Row],[Actual Arrival date]]&gt;0,IF(Table3[[#This Row],[Expected arrival date]]&gt;0,Table3[[#This Row],[Actual Arrival date]]-Table3[[#This Row],[Expected arrival date]],""),"")</f>
        <v/>
      </c>
    </row>
    <row r="597" spans="1:30" x14ac:dyDescent="0.25">
      <c r="A597" s="303" t="str">
        <f>Start!$D$7</f>
        <v>Anyland</v>
      </c>
      <c r="B597" s="48" t="str">
        <f>_xlfn.IFNA(VLOOKUP(A597,list!B:C,2,FALSE),"")</f>
        <v>ANY</v>
      </c>
      <c r="C597" s="48"/>
      <c r="D597" s="127"/>
      <c r="E597" s="48" t="str">
        <f>_xlfn.IFNA(VLOOKUP(Table3[[#This Row],[Product]], ProductListTbl[], 3, 0), "")</f>
        <v/>
      </c>
      <c r="F597" s="303" t="str">
        <f>_xlfn.IFNA(VLOOKUP(D597,ProductListTbl[],5,0),"")</f>
        <v/>
      </c>
      <c r="G597" s="303" t="str">
        <f>_xlfn.IFNA(VLOOKUP(D597,ProductListTbl[],6,0),"")</f>
        <v/>
      </c>
      <c r="H597" s="130" t="str">
        <f>_xlfn.IFNA(VLOOKUP(D597,ProductListTbl[],7,0),"")</f>
        <v/>
      </c>
      <c r="I597" s="130" t="str">
        <f>_xlfn.IFNA(VLOOKUP(D597,ProductListTbl[],8,0),"")</f>
        <v/>
      </c>
      <c r="J597" s="127"/>
      <c r="K597" s="129"/>
      <c r="L597" s="128"/>
      <c r="M597" s="305" t="str">
        <f>IFERROR(Table3[[#This Row],[Quantity (doses)]]/Table3[[#This Row],[Doses per vial or syringe]],"")</f>
        <v/>
      </c>
      <c r="N597" s="127"/>
      <c r="O597" s="127"/>
      <c r="P597" s="381"/>
      <c r="Q597" s="129"/>
      <c r="R597" s="127"/>
      <c r="S597" s="127"/>
      <c r="T597" s="127"/>
      <c r="U597" s="127"/>
      <c r="V597" s="305" t="str">
        <f>_xlfn.IFNA(VLOOKUP(D597,ProductListTbl[],9,0),"")</f>
        <v/>
      </c>
      <c r="W597" s="305" t="str">
        <f>IFERROR(Table3[[#This Row],[Storage space per secondary packaging (cm3)]]*Table3[[#This Row],[Quantity  (vials or syringes)]]/1000,"")</f>
        <v/>
      </c>
      <c r="X597" s="305" t="str">
        <f>IFERROR(Table3[[#This Row],[Storage space per tertiary packaging (cm3)]]*Table3[[#This Row],[Quantity (doses)]]/1000,"")</f>
        <v/>
      </c>
      <c r="Y597" s="293" t="str">
        <f>IF(Table3[[#This Row],[Status]]="Ordered",(DATE(YEAR(P597),MONTH(P597),1)),IF(Table3[[#This Row],[Status]]="Received",(DATE(YEAR(Q597),MONTH(Q597),1)),""))</f>
        <v/>
      </c>
      <c r="Z597" s="304" t="str">
        <f t="shared" si="36"/>
        <v/>
      </c>
      <c r="AA597" s="48" t="str">
        <f t="shared" si="37"/>
        <v/>
      </c>
      <c r="AB597" s="48" t="str">
        <f t="shared" si="38"/>
        <v/>
      </c>
      <c r="AC597" s="292" t="str">
        <f t="shared" si="39"/>
        <v/>
      </c>
      <c r="AD597" s="48" t="str">
        <f>IF(Table3[[#This Row],[Actual Arrival date]]&gt;0,IF(Table3[[#This Row],[Expected arrival date]]&gt;0,Table3[[#This Row],[Actual Arrival date]]-Table3[[#This Row],[Expected arrival date]],""),"")</f>
        <v/>
      </c>
    </row>
    <row r="598" spans="1:30" x14ac:dyDescent="0.25">
      <c r="A598" s="303" t="str">
        <f>Start!$D$7</f>
        <v>Anyland</v>
      </c>
      <c r="B598" s="48" t="str">
        <f>_xlfn.IFNA(VLOOKUP(A598,list!B:C,2,FALSE),"")</f>
        <v>ANY</v>
      </c>
      <c r="C598" s="48"/>
      <c r="D598" s="127"/>
      <c r="E598" s="48" t="str">
        <f>_xlfn.IFNA(VLOOKUP(Table3[[#This Row],[Product]], ProductListTbl[], 3, 0), "")</f>
        <v/>
      </c>
      <c r="F598" s="303" t="str">
        <f>_xlfn.IFNA(VLOOKUP(D598,ProductListTbl[],5,0),"")</f>
        <v/>
      </c>
      <c r="G598" s="303" t="str">
        <f>_xlfn.IFNA(VLOOKUP(D598,ProductListTbl[],6,0),"")</f>
        <v/>
      </c>
      <c r="H598" s="130" t="str">
        <f>_xlfn.IFNA(VLOOKUP(D598,ProductListTbl[],7,0),"")</f>
        <v/>
      </c>
      <c r="I598" s="130" t="str">
        <f>_xlfn.IFNA(VLOOKUP(D598,ProductListTbl[],8,0),"")</f>
        <v/>
      </c>
      <c r="J598" s="127"/>
      <c r="K598" s="129"/>
      <c r="L598" s="128"/>
      <c r="M598" s="305" t="str">
        <f>IFERROR(Table3[[#This Row],[Quantity (doses)]]/Table3[[#This Row],[Doses per vial or syringe]],"")</f>
        <v/>
      </c>
      <c r="N598" s="127"/>
      <c r="O598" s="127"/>
      <c r="P598" s="381"/>
      <c r="Q598" s="129"/>
      <c r="R598" s="127"/>
      <c r="S598" s="127"/>
      <c r="T598" s="127"/>
      <c r="U598" s="127"/>
      <c r="V598" s="305" t="str">
        <f>_xlfn.IFNA(VLOOKUP(D598,ProductListTbl[],9,0),"")</f>
        <v/>
      </c>
      <c r="W598" s="305" t="str">
        <f>IFERROR(Table3[[#This Row],[Storage space per secondary packaging (cm3)]]*Table3[[#This Row],[Quantity  (vials or syringes)]]/1000,"")</f>
        <v/>
      </c>
      <c r="X598" s="305" t="str">
        <f>IFERROR(Table3[[#This Row],[Storage space per tertiary packaging (cm3)]]*Table3[[#This Row],[Quantity (doses)]]/1000,"")</f>
        <v/>
      </c>
      <c r="Y598" s="293" t="str">
        <f>IF(Table3[[#This Row],[Status]]="Ordered",(DATE(YEAR(P598),MONTH(P598),1)),IF(Table3[[#This Row],[Status]]="Received",(DATE(YEAR(Q598),MONTH(Q598),1)),""))</f>
        <v/>
      </c>
      <c r="Z598" s="304" t="str">
        <f t="shared" si="36"/>
        <v/>
      </c>
      <c r="AA598" s="48" t="str">
        <f t="shared" si="37"/>
        <v/>
      </c>
      <c r="AB598" s="48" t="str">
        <f t="shared" si="38"/>
        <v/>
      </c>
      <c r="AC598" s="292" t="str">
        <f t="shared" si="39"/>
        <v/>
      </c>
      <c r="AD598" s="48" t="str">
        <f>IF(Table3[[#This Row],[Actual Arrival date]]&gt;0,IF(Table3[[#This Row],[Expected arrival date]]&gt;0,Table3[[#This Row],[Actual Arrival date]]-Table3[[#This Row],[Expected arrival date]],""),"")</f>
        <v/>
      </c>
    </row>
    <row r="599" spans="1:30" x14ac:dyDescent="0.25">
      <c r="A599" s="303" t="str">
        <f>Start!$D$7</f>
        <v>Anyland</v>
      </c>
      <c r="B599" s="48" t="str">
        <f>_xlfn.IFNA(VLOOKUP(A599,list!B:C,2,FALSE),"")</f>
        <v>ANY</v>
      </c>
      <c r="C599" s="48"/>
      <c r="D599" s="127"/>
      <c r="E599" s="48" t="str">
        <f>_xlfn.IFNA(VLOOKUP(Table3[[#This Row],[Product]], ProductListTbl[], 3, 0), "")</f>
        <v/>
      </c>
      <c r="F599" s="303" t="str">
        <f>_xlfn.IFNA(VLOOKUP(D599,ProductListTbl[],5,0),"")</f>
        <v/>
      </c>
      <c r="G599" s="303" t="str">
        <f>_xlfn.IFNA(VLOOKUP(D599,ProductListTbl[],6,0),"")</f>
        <v/>
      </c>
      <c r="H599" s="130" t="str">
        <f>_xlfn.IFNA(VLOOKUP(D599,ProductListTbl[],7,0),"")</f>
        <v/>
      </c>
      <c r="I599" s="130" t="str">
        <f>_xlfn.IFNA(VLOOKUP(D599,ProductListTbl[],8,0),"")</f>
        <v/>
      </c>
      <c r="J599" s="127"/>
      <c r="K599" s="129"/>
      <c r="L599" s="128"/>
      <c r="M599" s="305" t="str">
        <f>IFERROR(Table3[[#This Row],[Quantity (doses)]]/Table3[[#This Row],[Doses per vial or syringe]],"")</f>
        <v/>
      </c>
      <c r="N599" s="127"/>
      <c r="O599" s="127"/>
      <c r="P599" s="381"/>
      <c r="Q599" s="129"/>
      <c r="R599" s="127"/>
      <c r="S599" s="127"/>
      <c r="T599" s="127"/>
      <c r="U599" s="127"/>
      <c r="V599" s="305" t="str">
        <f>_xlfn.IFNA(VLOOKUP(D599,ProductListTbl[],9,0),"")</f>
        <v/>
      </c>
      <c r="W599" s="305" t="str">
        <f>IFERROR(Table3[[#This Row],[Storage space per secondary packaging (cm3)]]*Table3[[#This Row],[Quantity  (vials or syringes)]]/1000,"")</f>
        <v/>
      </c>
      <c r="X599" s="305" t="str">
        <f>IFERROR(Table3[[#This Row],[Storage space per tertiary packaging (cm3)]]*Table3[[#This Row],[Quantity (doses)]]/1000,"")</f>
        <v/>
      </c>
      <c r="Y599" s="293" t="str">
        <f>IF(Table3[[#This Row],[Status]]="Ordered",(DATE(YEAR(P599),MONTH(P599),1)),IF(Table3[[#This Row],[Status]]="Received",(DATE(YEAR(Q599),MONTH(Q599),1)),""))</f>
        <v/>
      </c>
      <c r="Z599" s="304" t="str">
        <f t="shared" si="36"/>
        <v/>
      </c>
      <c r="AA599" s="48" t="str">
        <f t="shared" si="37"/>
        <v/>
      </c>
      <c r="AB599" s="48" t="str">
        <f t="shared" si="38"/>
        <v/>
      </c>
      <c r="AC599" s="292" t="str">
        <f t="shared" si="39"/>
        <v/>
      </c>
      <c r="AD599" s="48" t="str">
        <f>IF(Table3[[#This Row],[Actual Arrival date]]&gt;0,IF(Table3[[#This Row],[Expected arrival date]]&gt;0,Table3[[#This Row],[Actual Arrival date]]-Table3[[#This Row],[Expected arrival date]],""),"")</f>
        <v/>
      </c>
    </row>
    <row r="600" spans="1:30" x14ac:dyDescent="0.25">
      <c r="A600" s="303" t="str">
        <f>Start!$D$7</f>
        <v>Anyland</v>
      </c>
      <c r="B600" s="48" t="str">
        <f>_xlfn.IFNA(VLOOKUP(A600,list!B:C,2,FALSE),"")</f>
        <v>ANY</v>
      </c>
      <c r="C600" s="48"/>
      <c r="D600" s="127"/>
      <c r="E600" s="48" t="str">
        <f>_xlfn.IFNA(VLOOKUP(Table3[[#This Row],[Product]], ProductListTbl[], 3, 0), "")</f>
        <v/>
      </c>
      <c r="F600" s="303" t="str">
        <f>_xlfn.IFNA(VLOOKUP(D600,ProductListTbl[],5,0),"")</f>
        <v/>
      </c>
      <c r="G600" s="303" t="str">
        <f>_xlfn.IFNA(VLOOKUP(D600,ProductListTbl[],6,0),"")</f>
        <v/>
      </c>
      <c r="H600" s="130" t="str">
        <f>_xlfn.IFNA(VLOOKUP(D600,ProductListTbl[],7,0),"")</f>
        <v/>
      </c>
      <c r="I600" s="130" t="str">
        <f>_xlfn.IFNA(VLOOKUP(D600,ProductListTbl[],8,0),"")</f>
        <v/>
      </c>
      <c r="J600" s="127"/>
      <c r="K600" s="129"/>
      <c r="L600" s="128"/>
      <c r="M600" s="305" t="str">
        <f>IFERROR(Table3[[#This Row],[Quantity (doses)]]/Table3[[#This Row],[Doses per vial or syringe]],"")</f>
        <v/>
      </c>
      <c r="N600" s="127"/>
      <c r="O600" s="127"/>
      <c r="P600" s="381"/>
      <c r="Q600" s="129"/>
      <c r="R600" s="127"/>
      <c r="S600" s="127"/>
      <c r="T600" s="127"/>
      <c r="U600" s="127"/>
      <c r="V600" s="305" t="str">
        <f>_xlfn.IFNA(VLOOKUP(D600,ProductListTbl[],9,0),"")</f>
        <v/>
      </c>
      <c r="W600" s="305" t="str">
        <f>IFERROR(Table3[[#This Row],[Storage space per secondary packaging (cm3)]]*Table3[[#This Row],[Quantity  (vials or syringes)]]/1000,"")</f>
        <v/>
      </c>
      <c r="X600" s="305" t="str">
        <f>IFERROR(Table3[[#This Row],[Storage space per tertiary packaging (cm3)]]*Table3[[#This Row],[Quantity (doses)]]/1000,"")</f>
        <v/>
      </c>
      <c r="Y600" s="293" t="str">
        <f>IF(Table3[[#This Row],[Status]]="Ordered",(DATE(YEAR(P600),MONTH(P600),1)),IF(Table3[[#This Row],[Status]]="Received",(DATE(YEAR(Q600),MONTH(Q600),1)),""))</f>
        <v/>
      </c>
      <c r="Z600" s="304" t="str">
        <f t="shared" si="36"/>
        <v/>
      </c>
      <c r="AA600" s="48" t="str">
        <f t="shared" si="37"/>
        <v/>
      </c>
      <c r="AB600" s="48" t="str">
        <f t="shared" si="38"/>
        <v/>
      </c>
      <c r="AC600" s="292" t="str">
        <f t="shared" si="39"/>
        <v/>
      </c>
      <c r="AD600" s="48" t="str">
        <f>IF(Table3[[#This Row],[Actual Arrival date]]&gt;0,IF(Table3[[#This Row],[Expected arrival date]]&gt;0,Table3[[#This Row],[Actual Arrival date]]-Table3[[#This Row],[Expected arrival date]],""),"")</f>
        <v/>
      </c>
    </row>
    <row r="601" spans="1:30" x14ac:dyDescent="0.25">
      <c r="A601" s="303" t="str">
        <f>Start!$D$7</f>
        <v>Anyland</v>
      </c>
      <c r="B601" s="48" t="str">
        <f>_xlfn.IFNA(VLOOKUP(A601,list!B:C,2,FALSE),"")</f>
        <v>ANY</v>
      </c>
      <c r="C601" s="48"/>
      <c r="D601" s="127"/>
      <c r="E601" s="48" t="str">
        <f>_xlfn.IFNA(VLOOKUP(Table3[[#This Row],[Product]], ProductListTbl[], 3, 0), "")</f>
        <v/>
      </c>
      <c r="F601" s="303" t="str">
        <f>_xlfn.IFNA(VLOOKUP(D601,ProductListTbl[],5,0),"")</f>
        <v/>
      </c>
      <c r="G601" s="303" t="str">
        <f>_xlfn.IFNA(VLOOKUP(D601,ProductListTbl[],6,0),"")</f>
        <v/>
      </c>
      <c r="H601" s="130" t="str">
        <f>_xlfn.IFNA(VLOOKUP(D601,ProductListTbl[],7,0),"")</f>
        <v/>
      </c>
      <c r="I601" s="130" t="str">
        <f>_xlfn.IFNA(VLOOKUP(D601,ProductListTbl[],8,0),"")</f>
        <v/>
      </c>
      <c r="J601" s="127"/>
      <c r="K601" s="129"/>
      <c r="L601" s="128"/>
      <c r="M601" s="305" t="str">
        <f>IFERROR(Table3[[#This Row],[Quantity (doses)]]/Table3[[#This Row],[Doses per vial or syringe]],"")</f>
        <v/>
      </c>
      <c r="N601" s="127"/>
      <c r="O601" s="127"/>
      <c r="P601" s="381"/>
      <c r="Q601" s="129"/>
      <c r="R601" s="127"/>
      <c r="S601" s="127"/>
      <c r="T601" s="127"/>
      <c r="U601" s="127"/>
      <c r="V601" s="305" t="str">
        <f>_xlfn.IFNA(VLOOKUP(D601,ProductListTbl[],9,0),"")</f>
        <v/>
      </c>
      <c r="W601" s="305" t="str">
        <f>IFERROR(Table3[[#This Row],[Storage space per secondary packaging (cm3)]]*Table3[[#This Row],[Quantity  (vials or syringes)]]/1000,"")</f>
        <v/>
      </c>
      <c r="X601" s="305" t="str">
        <f>IFERROR(Table3[[#This Row],[Storage space per tertiary packaging (cm3)]]*Table3[[#This Row],[Quantity (doses)]]/1000,"")</f>
        <v/>
      </c>
      <c r="Y601" s="293" t="str">
        <f>IF(Table3[[#This Row],[Status]]="Ordered",(DATE(YEAR(P601),MONTH(P601),1)),IF(Table3[[#This Row],[Status]]="Received",(DATE(YEAR(Q601),MONTH(Q601),1)),""))</f>
        <v/>
      </c>
      <c r="Z601" s="304" t="str">
        <f t="shared" si="36"/>
        <v/>
      </c>
      <c r="AA601" s="48" t="str">
        <f t="shared" si="37"/>
        <v/>
      </c>
      <c r="AB601" s="48" t="str">
        <f t="shared" si="38"/>
        <v/>
      </c>
      <c r="AC601" s="292" t="str">
        <f t="shared" si="39"/>
        <v/>
      </c>
      <c r="AD601" s="48" t="str">
        <f>IF(Table3[[#This Row],[Actual Arrival date]]&gt;0,IF(Table3[[#This Row],[Expected arrival date]]&gt;0,Table3[[#This Row],[Actual Arrival date]]-Table3[[#This Row],[Expected arrival date]],""),"")</f>
        <v/>
      </c>
    </row>
    <row r="602" spans="1:30" x14ac:dyDescent="0.25">
      <c r="A602" s="303" t="str">
        <f>Start!$D$7</f>
        <v>Anyland</v>
      </c>
      <c r="B602" s="48" t="str">
        <f>_xlfn.IFNA(VLOOKUP(A602,list!B:C,2,FALSE),"")</f>
        <v>ANY</v>
      </c>
      <c r="C602" s="48"/>
      <c r="D602" s="127"/>
      <c r="E602" s="48" t="str">
        <f>_xlfn.IFNA(VLOOKUP(Table3[[#This Row],[Product]], ProductListTbl[], 3, 0), "")</f>
        <v/>
      </c>
      <c r="F602" s="303" t="str">
        <f>_xlfn.IFNA(VLOOKUP(D602,ProductListTbl[],5,0),"")</f>
        <v/>
      </c>
      <c r="G602" s="303" t="str">
        <f>_xlfn.IFNA(VLOOKUP(D602,ProductListTbl[],6,0),"")</f>
        <v/>
      </c>
      <c r="H602" s="130" t="str">
        <f>_xlfn.IFNA(VLOOKUP(D602,ProductListTbl[],7,0),"")</f>
        <v/>
      </c>
      <c r="I602" s="130" t="str">
        <f>_xlfn.IFNA(VLOOKUP(D602,ProductListTbl[],8,0),"")</f>
        <v/>
      </c>
      <c r="J602" s="127"/>
      <c r="K602" s="129"/>
      <c r="L602" s="128"/>
      <c r="M602" s="305" t="str">
        <f>IFERROR(Table3[[#This Row],[Quantity (doses)]]/Table3[[#This Row],[Doses per vial or syringe]],"")</f>
        <v/>
      </c>
      <c r="N602" s="127"/>
      <c r="O602" s="127"/>
      <c r="P602" s="381"/>
      <c r="Q602" s="129"/>
      <c r="R602" s="127"/>
      <c r="S602" s="127"/>
      <c r="T602" s="127"/>
      <c r="U602" s="127"/>
      <c r="V602" s="305" t="str">
        <f>_xlfn.IFNA(VLOOKUP(D602,ProductListTbl[],9,0),"")</f>
        <v/>
      </c>
      <c r="W602" s="305" t="str">
        <f>IFERROR(Table3[[#This Row],[Storage space per secondary packaging (cm3)]]*Table3[[#This Row],[Quantity  (vials or syringes)]]/1000,"")</f>
        <v/>
      </c>
      <c r="X602" s="305" t="str">
        <f>IFERROR(Table3[[#This Row],[Storage space per tertiary packaging (cm3)]]*Table3[[#This Row],[Quantity (doses)]]/1000,"")</f>
        <v/>
      </c>
      <c r="Y602" s="293" t="str">
        <f>IF(Table3[[#This Row],[Status]]="Ordered",(DATE(YEAR(P602),MONTH(P602),1)),IF(Table3[[#This Row],[Status]]="Received",(DATE(YEAR(Q602),MONTH(Q602),1)),""))</f>
        <v/>
      </c>
      <c r="Z602" s="304" t="str">
        <f t="shared" si="36"/>
        <v/>
      </c>
      <c r="AA602" s="48" t="str">
        <f t="shared" si="37"/>
        <v/>
      </c>
      <c r="AB602" s="48" t="str">
        <f t="shared" si="38"/>
        <v/>
      </c>
      <c r="AC602" s="292" t="str">
        <f t="shared" si="39"/>
        <v/>
      </c>
      <c r="AD602" s="48" t="str">
        <f>IF(Table3[[#This Row],[Actual Arrival date]]&gt;0,IF(Table3[[#This Row],[Expected arrival date]]&gt;0,Table3[[#This Row],[Actual Arrival date]]-Table3[[#This Row],[Expected arrival date]],""),"")</f>
        <v/>
      </c>
    </row>
    <row r="603" spans="1:30" x14ac:dyDescent="0.25">
      <c r="A603" s="303" t="str">
        <f>Start!$D$7</f>
        <v>Anyland</v>
      </c>
      <c r="B603" s="48" t="str">
        <f>_xlfn.IFNA(VLOOKUP(A603,list!B:C,2,FALSE),"")</f>
        <v>ANY</v>
      </c>
      <c r="C603" s="48"/>
      <c r="D603" s="127"/>
      <c r="E603" s="48" t="str">
        <f>_xlfn.IFNA(VLOOKUP(Table3[[#This Row],[Product]], ProductListTbl[], 3, 0), "")</f>
        <v/>
      </c>
      <c r="F603" s="303" t="str">
        <f>_xlfn.IFNA(VLOOKUP(D603,ProductListTbl[],5,0),"")</f>
        <v/>
      </c>
      <c r="G603" s="303" t="str">
        <f>_xlfn.IFNA(VLOOKUP(D603,ProductListTbl[],6,0),"")</f>
        <v/>
      </c>
      <c r="H603" s="130" t="str">
        <f>_xlfn.IFNA(VLOOKUP(D603,ProductListTbl[],7,0),"")</f>
        <v/>
      </c>
      <c r="I603" s="130" t="str">
        <f>_xlfn.IFNA(VLOOKUP(D603,ProductListTbl[],8,0),"")</f>
        <v/>
      </c>
      <c r="J603" s="127"/>
      <c r="K603" s="129"/>
      <c r="L603" s="128"/>
      <c r="M603" s="305" t="str">
        <f>IFERROR(Table3[[#This Row],[Quantity (doses)]]/Table3[[#This Row],[Doses per vial or syringe]],"")</f>
        <v/>
      </c>
      <c r="N603" s="127"/>
      <c r="O603" s="127"/>
      <c r="P603" s="381"/>
      <c r="Q603" s="129"/>
      <c r="R603" s="127"/>
      <c r="S603" s="127"/>
      <c r="T603" s="127"/>
      <c r="U603" s="127"/>
      <c r="V603" s="305" t="str">
        <f>_xlfn.IFNA(VLOOKUP(D603,ProductListTbl[],9,0),"")</f>
        <v/>
      </c>
      <c r="W603" s="305" t="str">
        <f>IFERROR(Table3[[#This Row],[Storage space per secondary packaging (cm3)]]*Table3[[#This Row],[Quantity  (vials or syringes)]]/1000,"")</f>
        <v/>
      </c>
      <c r="X603" s="305" t="str">
        <f>IFERROR(Table3[[#This Row],[Storage space per tertiary packaging (cm3)]]*Table3[[#This Row],[Quantity (doses)]]/1000,"")</f>
        <v/>
      </c>
      <c r="Y603" s="293" t="str">
        <f>IF(Table3[[#This Row],[Status]]="Ordered",(DATE(YEAR(P603),MONTH(P603),1)),IF(Table3[[#This Row],[Status]]="Received",(DATE(YEAR(Q603),MONTH(Q603),1)),""))</f>
        <v/>
      </c>
      <c r="Z603" s="304" t="str">
        <f t="shared" si="36"/>
        <v/>
      </c>
      <c r="AA603" s="48" t="str">
        <f t="shared" si="37"/>
        <v/>
      </c>
      <c r="AB603" s="48" t="str">
        <f t="shared" si="38"/>
        <v/>
      </c>
      <c r="AC603" s="292" t="str">
        <f t="shared" si="39"/>
        <v/>
      </c>
      <c r="AD603" s="48" t="str">
        <f>IF(Table3[[#This Row],[Actual Arrival date]]&gt;0,IF(Table3[[#This Row],[Expected arrival date]]&gt;0,Table3[[#This Row],[Actual Arrival date]]-Table3[[#This Row],[Expected arrival date]],""),"")</f>
        <v/>
      </c>
    </row>
    <row r="604" spans="1:30" x14ac:dyDescent="0.25">
      <c r="A604" s="303" t="str">
        <f>Start!$D$7</f>
        <v>Anyland</v>
      </c>
      <c r="B604" s="48" t="str">
        <f>_xlfn.IFNA(VLOOKUP(A604,list!B:C,2,FALSE),"")</f>
        <v>ANY</v>
      </c>
      <c r="C604" s="48"/>
      <c r="D604" s="127"/>
      <c r="E604" s="48" t="str">
        <f>_xlfn.IFNA(VLOOKUP(Table3[[#This Row],[Product]], ProductListTbl[], 3, 0), "")</f>
        <v/>
      </c>
      <c r="F604" s="303" t="str">
        <f>_xlfn.IFNA(VLOOKUP(D604,ProductListTbl[],5,0),"")</f>
        <v/>
      </c>
      <c r="G604" s="303" t="str">
        <f>_xlfn.IFNA(VLOOKUP(D604,ProductListTbl[],6,0),"")</f>
        <v/>
      </c>
      <c r="H604" s="130" t="str">
        <f>_xlfn.IFNA(VLOOKUP(D604,ProductListTbl[],7,0),"")</f>
        <v/>
      </c>
      <c r="I604" s="130" t="str">
        <f>_xlfn.IFNA(VLOOKUP(D604,ProductListTbl[],8,0),"")</f>
        <v/>
      </c>
      <c r="J604" s="127"/>
      <c r="K604" s="129"/>
      <c r="L604" s="128"/>
      <c r="M604" s="305" t="str">
        <f>IFERROR(Table3[[#This Row],[Quantity (doses)]]/Table3[[#This Row],[Doses per vial or syringe]],"")</f>
        <v/>
      </c>
      <c r="N604" s="127"/>
      <c r="O604" s="127"/>
      <c r="P604" s="381"/>
      <c r="Q604" s="129"/>
      <c r="R604" s="127"/>
      <c r="S604" s="127"/>
      <c r="T604" s="127"/>
      <c r="U604" s="127"/>
      <c r="V604" s="305" t="str">
        <f>_xlfn.IFNA(VLOOKUP(D604,ProductListTbl[],9,0),"")</f>
        <v/>
      </c>
      <c r="W604" s="305" t="str">
        <f>IFERROR(Table3[[#This Row],[Storage space per secondary packaging (cm3)]]*Table3[[#This Row],[Quantity  (vials or syringes)]]/1000,"")</f>
        <v/>
      </c>
      <c r="X604" s="305" t="str">
        <f>IFERROR(Table3[[#This Row],[Storage space per tertiary packaging (cm3)]]*Table3[[#This Row],[Quantity (doses)]]/1000,"")</f>
        <v/>
      </c>
      <c r="Y604" s="293" t="str">
        <f>IF(Table3[[#This Row],[Status]]="Ordered",(DATE(YEAR(P604),MONTH(P604),1)),IF(Table3[[#This Row],[Status]]="Received",(DATE(YEAR(Q604),MONTH(Q604),1)),""))</f>
        <v/>
      </c>
      <c r="Z604" s="304" t="str">
        <f t="shared" si="36"/>
        <v/>
      </c>
      <c r="AA604" s="48" t="str">
        <f t="shared" si="37"/>
        <v/>
      </c>
      <c r="AB604" s="48" t="str">
        <f t="shared" si="38"/>
        <v/>
      </c>
      <c r="AC604" s="292" t="str">
        <f t="shared" si="39"/>
        <v/>
      </c>
      <c r="AD604" s="48" t="str">
        <f>IF(Table3[[#This Row],[Actual Arrival date]]&gt;0,IF(Table3[[#This Row],[Expected arrival date]]&gt;0,Table3[[#This Row],[Actual Arrival date]]-Table3[[#This Row],[Expected arrival date]],""),"")</f>
        <v/>
      </c>
    </row>
    <row r="605" spans="1:30" x14ac:dyDescent="0.25">
      <c r="A605" s="303" t="str">
        <f>Start!$D$7</f>
        <v>Anyland</v>
      </c>
      <c r="B605" s="48" t="str">
        <f>_xlfn.IFNA(VLOOKUP(A605,list!B:C,2,FALSE),"")</f>
        <v>ANY</v>
      </c>
      <c r="C605" s="48"/>
      <c r="D605" s="127"/>
      <c r="E605" s="48" t="str">
        <f>_xlfn.IFNA(VLOOKUP(Table3[[#This Row],[Product]], ProductListTbl[], 3, 0), "")</f>
        <v/>
      </c>
      <c r="F605" s="303" t="str">
        <f>_xlfn.IFNA(VLOOKUP(D605,ProductListTbl[],5,0),"")</f>
        <v/>
      </c>
      <c r="G605" s="303" t="str">
        <f>_xlfn.IFNA(VLOOKUP(D605,ProductListTbl[],6,0),"")</f>
        <v/>
      </c>
      <c r="H605" s="130" t="str">
        <f>_xlfn.IFNA(VLOOKUP(D605,ProductListTbl[],7,0),"")</f>
        <v/>
      </c>
      <c r="I605" s="130" t="str">
        <f>_xlfn.IFNA(VLOOKUP(D605,ProductListTbl[],8,0),"")</f>
        <v/>
      </c>
      <c r="J605" s="127"/>
      <c r="K605" s="129"/>
      <c r="L605" s="128"/>
      <c r="M605" s="305" t="str">
        <f>IFERROR(Table3[[#This Row],[Quantity (doses)]]/Table3[[#This Row],[Doses per vial or syringe]],"")</f>
        <v/>
      </c>
      <c r="N605" s="127"/>
      <c r="O605" s="127"/>
      <c r="P605" s="381"/>
      <c r="Q605" s="129"/>
      <c r="R605" s="127"/>
      <c r="S605" s="127"/>
      <c r="T605" s="127"/>
      <c r="U605" s="127"/>
      <c r="V605" s="305" t="str">
        <f>_xlfn.IFNA(VLOOKUP(D605,ProductListTbl[],9,0),"")</f>
        <v/>
      </c>
      <c r="W605" s="305" t="str">
        <f>IFERROR(Table3[[#This Row],[Storage space per secondary packaging (cm3)]]*Table3[[#This Row],[Quantity  (vials or syringes)]]/1000,"")</f>
        <v/>
      </c>
      <c r="X605" s="305" t="str">
        <f>IFERROR(Table3[[#This Row],[Storage space per tertiary packaging (cm3)]]*Table3[[#This Row],[Quantity (doses)]]/1000,"")</f>
        <v/>
      </c>
      <c r="Y605" s="293" t="str">
        <f>IF(Table3[[#This Row],[Status]]="Ordered",(DATE(YEAR(P605),MONTH(P605),1)),IF(Table3[[#This Row],[Status]]="Received",(DATE(YEAR(Q605),MONTH(Q605),1)),""))</f>
        <v/>
      </c>
      <c r="Z605" s="304" t="str">
        <f t="shared" si="36"/>
        <v/>
      </c>
      <c r="AA605" s="48" t="str">
        <f t="shared" si="37"/>
        <v/>
      </c>
      <c r="AB605" s="48" t="str">
        <f t="shared" si="38"/>
        <v/>
      </c>
      <c r="AC605" s="292" t="str">
        <f t="shared" si="39"/>
        <v/>
      </c>
      <c r="AD605" s="48" t="str">
        <f>IF(Table3[[#This Row],[Actual Arrival date]]&gt;0,IF(Table3[[#This Row],[Expected arrival date]]&gt;0,Table3[[#This Row],[Actual Arrival date]]-Table3[[#This Row],[Expected arrival date]],""),"")</f>
        <v/>
      </c>
    </row>
    <row r="606" spans="1:30" x14ac:dyDescent="0.25">
      <c r="A606" s="303" t="str">
        <f>Start!$D$7</f>
        <v>Anyland</v>
      </c>
      <c r="B606" s="48" t="str">
        <f>_xlfn.IFNA(VLOOKUP(A606,list!B:C,2,FALSE),"")</f>
        <v>ANY</v>
      </c>
      <c r="C606" s="48"/>
      <c r="D606" s="127"/>
      <c r="E606" s="48" t="str">
        <f>_xlfn.IFNA(VLOOKUP(Table3[[#This Row],[Product]], ProductListTbl[], 3, 0), "")</f>
        <v/>
      </c>
      <c r="F606" s="303" t="str">
        <f>_xlfn.IFNA(VLOOKUP(D606,ProductListTbl[],5,0),"")</f>
        <v/>
      </c>
      <c r="G606" s="303" t="str">
        <f>_xlfn.IFNA(VLOOKUP(D606,ProductListTbl[],6,0),"")</f>
        <v/>
      </c>
      <c r="H606" s="130" t="str">
        <f>_xlfn.IFNA(VLOOKUP(D606,ProductListTbl[],7,0),"")</f>
        <v/>
      </c>
      <c r="I606" s="130" t="str">
        <f>_xlfn.IFNA(VLOOKUP(D606,ProductListTbl[],8,0),"")</f>
        <v/>
      </c>
      <c r="J606" s="127"/>
      <c r="K606" s="129"/>
      <c r="L606" s="128"/>
      <c r="M606" s="305" t="str">
        <f>IFERROR(Table3[[#This Row],[Quantity (doses)]]/Table3[[#This Row],[Doses per vial or syringe]],"")</f>
        <v/>
      </c>
      <c r="N606" s="127"/>
      <c r="O606" s="127"/>
      <c r="P606" s="381"/>
      <c r="Q606" s="129"/>
      <c r="R606" s="127"/>
      <c r="S606" s="127"/>
      <c r="T606" s="127"/>
      <c r="U606" s="127"/>
      <c r="V606" s="305" t="str">
        <f>_xlfn.IFNA(VLOOKUP(D606,ProductListTbl[],9,0),"")</f>
        <v/>
      </c>
      <c r="W606" s="305" t="str">
        <f>IFERROR(Table3[[#This Row],[Storage space per secondary packaging (cm3)]]*Table3[[#This Row],[Quantity  (vials or syringes)]]/1000,"")</f>
        <v/>
      </c>
      <c r="X606" s="305" t="str">
        <f>IFERROR(Table3[[#This Row],[Storage space per tertiary packaging (cm3)]]*Table3[[#This Row],[Quantity (doses)]]/1000,"")</f>
        <v/>
      </c>
      <c r="Y606" s="293" t="str">
        <f>IF(Table3[[#This Row],[Status]]="Ordered",(DATE(YEAR(P606),MONTH(P606),1)),IF(Table3[[#This Row],[Status]]="Received",(DATE(YEAR(Q606),MONTH(Q606),1)),""))</f>
        <v/>
      </c>
      <c r="Z606" s="304" t="str">
        <f t="shared" si="36"/>
        <v/>
      </c>
      <c r="AA606" s="48" t="str">
        <f t="shared" si="37"/>
        <v/>
      </c>
      <c r="AB606" s="48" t="str">
        <f t="shared" si="38"/>
        <v/>
      </c>
      <c r="AC606" s="292" t="str">
        <f t="shared" si="39"/>
        <v/>
      </c>
      <c r="AD606" s="48" t="str">
        <f>IF(Table3[[#This Row],[Actual Arrival date]]&gt;0,IF(Table3[[#This Row],[Expected arrival date]]&gt;0,Table3[[#This Row],[Actual Arrival date]]-Table3[[#This Row],[Expected arrival date]],""),"")</f>
        <v/>
      </c>
    </row>
    <row r="607" spans="1:30" x14ac:dyDescent="0.25">
      <c r="A607" s="303" t="str">
        <f>Start!$D$7</f>
        <v>Anyland</v>
      </c>
      <c r="B607" s="48" t="str">
        <f>_xlfn.IFNA(VLOOKUP(A607,list!B:C,2,FALSE),"")</f>
        <v>ANY</v>
      </c>
      <c r="C607" s="48"/>
      <c r="D607" s="127"/>
      <c r="E607" s="48" t="str">
        <f>_xlfn.IFNA(VLOOKUP(Table3[[#This Row],[Product]], ProductListTbl[], 3, 0), "")</f>
        <v/>
      </c>
      <c r="F607" s="303" t="str">
        <f>_xlfn.IFNA(VLOOKUP(D607,ProductListTbl[],5,0),"")</f>
        <v/>
      </c>
      <c r="G607" s="303" t="str">
        <f>_xlfn.IFNA(VLOOKUP(D607,ProductListTbl[],6,0),"")</f>
        <v/>
      </c>
      <c r="H607" s="130" t="str">
        <f>_xlfn.IFNA(VLOOKUP(D607,ProductListTbl[],7,0),"")</f>
        <v/>
      </c>
      <c r="I607" s="130" t="str">
        <f>_xlfn.IFNA(VLOOKUP(D607,ProductListTbl[],8,0),"")</f>
        <v/>
      </c>
      <c r="J607" s="127"/>
      <c r="K607" s="129"/>
      <c r="L607" s="128"/>
      <c r="M607" s="305" t="str">
        <f>IFERROR(Table3[[#This Row],[Quantity (doses)]]/Table3[[#This Row],[Doses per vial or syringe]],"")</f>
        <v/>
      </c>
      <c r="N607" s="127"/>
      <c r="O607" s="127"/>
      <c r="P607" s="381"/>
      <c r="Q607" s="129"/>
      <c r="R607" s="127"/>
      <c r="S607" s="127"/>
      <c r="T607" s="127"/>
      <c r="U607" s="127"/>
      <c r="V607" s="305" t="str">
        <f>_xlfn.IFNA(VLOOKUP(D607,ProductListTbl[],9,0),"")</f>
        <v/>
      </c>
      <c r="W607" s="305" t="str">
        <f>IFERROR(Table3[[#This Row],[Storage space per secondary packaging (cm3)]]*Table3[[#This Row],[Quantity  (vials or syringes)]]/1000,"")</f>
        <v/>
      </c>
      <c r="X607" s="305" t="str">
        <f>IFERROR(Table3[[#This Row],[Storage space per tertiary packaging (cm3)]]*Table3[[#This Row],[Quantity (doses)]]/1000,"")</f>
        <v/>
      </c>
      <c r="Y607" s="293" t="str">
        <f>IF(Table3[[#This Row],[Status]]="Ordered",(DATE(YEAR(P607),MONTH(P607),1)),IF(Table3[[#This Row],[Status]]="Received",(DATE(YEAR(Q607),MONTH(Q607),1)),""))</f>
        <v/>
      </c>
      <c r="Z607" s="304" t="str">
        <f t="shared" si="36"/>
        <v/>
      </c>
      <c r="AA607" s="48" t="str">
        <f t="shared" si="37"/>
        <v/>
      </c>
      <c r="AB607" s="48" t="str">
        <f t="shared" si="38"/>
        <v/>
      </c>
      <c r="AC607" s="292" t="str">
        <f t="shared" si="39"/>
        <v/>
      </c>
      <c r="AD607" s="48" t="str">
        <f>IF(Table3[[#This Row],[Actual Arrival date]]&gt;0,IF(Table3[[#This Row],[Expected arrival date]]&gt;0,Table3[[#This Row],[Actual Arrival date]]-Table3[[#This Row],[Expected arrival date]],""),"")</f>
        <v/>
      </c>
    </row>
    <row r="608" spans="1:30" x14ac:dyDescent="0.25">
      <c r="A608" s="303" t="str">
        <f>Start!$D$7</f>
        <v>Anyland</v>
      </c>
      <c r="B608" s="48" t="str">
        <f>_xlfn.IFNA(VLOOKUP(A608,list!B:C,2,FALSE),"")</f>
        <v>ANY</v>
      </c>
      <c r="C608" s="48"/>
      <c r="D608" s="127"/>
      <c r="E608" s="48" t="str">
        <f>_xlfn.IFNA(VLOOKUP(Table3[[#This Row],[Product]], ProductListTbl[], 3, 0), "")</f>
        <v/>
      </c>
      <c r="F608" s="303" t="str">
        <f>_xlfn.IFNA(VLOOKUP(D608,ProductListTbl[],5,0),"")</f>
        <v/>
      </c>
      <c r="G608" s="303" t="str">
        <f>_xlfn.IFNA(VLOOKUP(D608,ProductListTbl[],6,0),"")</f>
        <v/>
      </c>
      <c r="H608" s="130" t="str">
        <f>_xlfn.IFNA(VLOOKUP(D608,ProductListTbl[],7,0),"")</f>
        <v/>
      </c>
      <c r="I608" s="130" t="str">
        <f>_xlfn.IFNA(VLOOKUP(D608,ProductListTbl[],8,0),"")</f>
        <v/>
      </c>
      <c r="J608" s="127"/>
      <c r="K608" s="129"/>
      <c r="L608" s="128"/>
      <c r="M608" s="305" t="str">
        <f>IFERROR(Table3[[#This Row],[Quantity (doses)]]/Table3[[#This Row],[Doses per vial or syringe]],"")</f>
        <v/>
      </c>
      <c r="N608" s="127"/>
      <c r="O608" s="127"/>
      <c r="P608" s="381"/>
      <c r="Q608" s="129"/>
      <c r="R608" s="127"/>
      <c r="S608" s="127"/>
      <c r="T608" s="127"/>
      <c r="U608" s="127"/>
      <c r="V608" s="305" t="str">
        <f>_xlfn.IFNA(VLOOKUP(D608,ProductListTbl[],9,0),"")</f>
        <v/>
      </c>
      <c r="W608" s="305" t="str">
        <f>IFERROR(Table3[[#This Row],[Storage space per secondary packaging (cm3)]]*Table3[[#This Row],[Quantity  (vials or syringes)]]/1000,"")</f>
        <v/>
      </c>
      <c r="X608" s="305" t="str">
        <f>IFERROR(Table3[[#This Row],[Storage space per tertiary packaging (cm3)]]*Table3[[#This Row],[Quantity (doses)]]/1000,"")</f>
        <v/>
      </c>
      <c r="Y608" s="293" t="str">
        <f>IF(Table3[[#This Row],[Status]]="Ordered",(DATE(YEAR(P608),MONTH(P608),1)),IF(Table3[[#This Row],[Status]]="Received",(DATE(YEAR(Q608),MONTH(Q608),1)),""))</f>
        <v/>
      </c>
      <c r="Z608" s="304" t="str">
        <f t="shared" si="36"/>
        <v/>
      </c>
      <c r="AA608" s="48" t="str">
        <f t="shared" si="37"/>
        <v/>
      </c>
      <c r="AB608" s="48" t="str">
        <f t="shared" si="38"/>
        <v/>
      </c>
      <c r="AC608" s="292" t="str">
        <f t="shared" si="39"/>
        <v/>
      </c>
      <c r="AD608" s="48" t="str">
        <f>IF(Table3[[#This Row],[Actual Arrival date]]&gt;0,IF(Table3[[#This Row],[Expected arrival date]]&gt;0,Table3[[#This Row],[Actual Arrival date]]-Table3[[#This Row],[Expected arrival date]],""),"")</f>
        <v/>
      </c>
    </row>
    <row r="609" spans="1:30" x14ac:dyDescent="0.25">
      <c r="A609" s="303" t="str">
        <f>Start!$D$7</f>
        <v>Anyland</v>
      </c>
      <c r="B609" s="48" t="str">
        <f>_xlfn.IFNA(VLOOKUP(A609,list!B:C,2,FALSE),"")</f>
        <v>ANY</v>
      </c>
      <c r="C609" s="48"/>
      <c r="D609" s="127"/>
      <c r="E609" s="48" t="str">
        <f>_xlfn.IFNA(VLOOKUP(Table3[[#This Row],[Product]], ProductListTbl[], 3, 0), "")</f>
        <v/>
      </c>
      <c r="F609" s="303" t="str">
        <f>_xlfn.IFNA(VLOOKUP(D609,ProductListTbl[],5,0),"")</f>
        <v/>
      </c>
      <c r="G609" s="303" t="str">
        <f>_xlfn.IFNA(VLOOKUP(D609,ProductListTbl[],6,0),"")</f>
        <v/>
      </c>
      <c r="H609" s="130" t="str">
        <f>_xlfn.IFNA(VLOOKUP(D609,ProductListTbl[],7,0),"")</f>
        <v/>
      </c>
      <c r="I609" s="130" t="str">
        <f>_xlfn.IFNA(VLOOKUP(D609,ProductListTbl[],8,0),"")</f>
        <v/>
      </c>
      <c r="J609" s="127"/>
      <c r="K609" s="129"/>
      <c r="L609" s="128"/>
      <c r="M609" s="305" t="str">
        <f>IFERROR(Table3[[#This Row],[Quantity (doses)]]/Table3[[#This Row],[Doses per vial or syringe]],"")</f>
        <v/>
      </c>
      <c r="N609" s="127"/>
      <c r="O609" s="127"/>
      <c r="P609" s="381"/>
      <c r="Q609" s="129"/>
      <c r="R609" s="127"/>
      <c r="S609" s="127"/>
      <c r="T609" s="127"/>
      <c r="U609" s="127"/>
      <c r="V609" s="305" t="str">
        <f>_xlfn.IFNA(VLOOKUP(D609,ProductListTbl[],9,0),"")</f>
        <v/>
      </c>
      <c r="W609" s="305" t="str">
        <f>IFERROR(Table3[[#This Row],[Storage space per secondary packaging (cm3)]]*Table3[[#This Row],[Quantity  (vials or syringes)]]/1000,"")</f>
        <v/>
      </c>
      <c r="X609" s="305" t="str">
        <f>IFERROR(Table3[[#This Row],[Storage space per tertiary packaging (cm3)]]*Table3[[#This Row],[Quantity (doses)]]/1000,"")</f>
        <v/>
      </c>
      <c r="Y609" s="293" t="str">
        <f>IF(Table3[[#This Row],[Status]]="Ordered",(DATE(YEAR(P609),MONTH(P609),1)),IF(Table3[[#This Row],[Status]]="Received",(DATE(YEAR(Q609),MONTH(Q609),1)),""))</f>
        <v/>
      </c>
      <c r="Z609" s="304" t="str">
        <f t="shared" si="36"/>
        <v/>
      </c>
      <c r="AA609" s="48" t="str">
        <f t="shared" si="37"/>
        <v/>
      </c>
      <c r="AB609" s="48" t="str">
        <f t="shared" si="38"/>
        <v/>
      </c>
      <c r="AC609" s="292" t="str">
        <f t="shared" si="39"/>
        <v/>
      </c>
      <c r="AD609" s="48" t="str">
        <f>IF(Table3[[#This Row],[Actual Arrival date]]&gt;0,IF(Table3[[#This Row],[Expected arrival date]]&gt;0,Table3[[#This Row],[Actual Arrival date]]-Table3[[#This Row],[Expected arrival date]],""),"")</f>
        <v/>
      </c>
    </row>
    <row r="610" spans="1:30" x14ac:dyDescent="0.25">
      <c r="A610" s="303" t="str">
        <f>Start!$D$7</f>
        <v>Anyland</v>
      </c>
      <c r="B610" s="48" t="str">
        <f>_xlfn.IFNA(VLOOKUP(A610,list!B:C,2,FALSE),"")</f>
        <v>ANY</v>
      </c>
      <c r="C610" s="48"/>
      <c r="D610" s="127"/>
      <c r="E610" s="48" t="str">
        <f>_xlfn.IFNA(VLOOKUP(Table3[[#This Row],[Product]], ProductListTbl[], 3, 0), "")</f>
        <v/>
      </c>
      <c r="F610" s="303" t="str">
        <f>_xlfn.IFNA(VLOOKUP(D610,ProductListTbl[],5,0),"")</f>
        <v/>
      </c>
      <c r="G610" s="303" t="str">
        <f>_xlfn.IFNA(VLOOKUP(D610,ProductListTbl[],6,0),"")</f>
        <v/>
      </c>
      <c r="H610" s="130" t="str">
        <f>_xlfn.IFNA(VLOOKUP(D610,ProductListTbl[],7,0),"")</f>
        <v/>
      </c>
      <c r="I610" s="130" t="str">
        <f>_xlfn.IFNA(VLOOKUP(D610,ProductListTbl[],8,0),"")</f>
        <v/>
      </c>
      <c r="J610" s="127"/>
      <c r="K610" s="129"/>
      <c r="L610" s="128"/>
      <c r="M610" s="305" t="str">
        <f>IFERROR(Table3[[#This Row],[Quantity (doses)]]/Table3[[#This Row],[Doses per vial or syringe]],"")</f>
        <v/>
      </c>
      <c r="N610" s="127"/>
      <c r="O610" s="127"/>
      <c r="P610" s="381"/>
      <c r="Q610" s="129"/>
      <c r="R610" s="127"/>
      <c r="S610" s="127"/>
      <c r="T610" s="127"/>
      <c r="U610" s="127"/>
      <c r="V610" s="305" t="str">
        <f>_xlfn.IFNA(VLOOKUP(D610,ProductListTbl[],9,0),"")</f>
        <v/>
      </c>
      <c r="W610" s="305" t="str">
        <f>IFERROR(Table3[[#This Row],[Storage space per secondary packaging (cm3)]]*Table3[[#This Row],[Quantity  (vials or syringes)]]/1000,"")</f>
        <v/>
      </c>
      <c r="X610" s="305" t="str">
        <f>IFERROR(Table3[[#This Row],[Storage space per tertiary packaging (cm3)]]*Table3[[#This Row],[Quantity (doses)]]/1000,"")</f>
        <v/>
      </c>
      <c r="Y610" s="293" t="str">
        <f>IF(Table3[[#This Row],[Status]]="Ordered",(DATE(YEAR(P610),MONTH(P610),1)),IF(Table3[[#This Row],[Status]]="Received",(DATE(YEAR(Q610),MONTH(Q610),1)),""))</f>
        <v/>
      </c>
      <c r="Z610" s="304" t="str">
        <f t="shared" si="36"/>
        <v/>
      </c>
      <c r="AA610" s="48" t="str">
        <f t="shared" si="37"/>
        <v/>
      </c>
      <c r="AB610" s="48" t="str">
        <f t="shared" si="38"/>
        <v/>
      </c>
      <c r="AC610" s="292" t="str">
        <f t="shared" si="39"/>
        <v/>
      </c>
      <c r="AD610" s="48" t="str">
        <f>IF(Table3[[#This Row],[Actual Arrival date]]&gt;0,IF(Table3[[#This Row],[Expected arrival date]]&gt;0,Table3[[#This Row],[Actual Arrival date]]-Table3[[#This Row],[Expected arrival date]],""),"")</f>
        <v/>
      </c>
    </row>
    <row r="611" spans="1:30" x14ac:dyDescent="0.25">
      <c r="A611" s="303" t="str">
        <f>Start!$D$7</f>
        <v>Anyland</v>
      </c>
      <c r="B611" s="48" t="str">
        <f>_xlfn.IFNA(VLOOKUP(A611,list!B:C,2,FALSE),"")</f>
        <v>ANY</v>
      </c>
      <c r="C611" s="48"/>
      <c r="D611" s="127"/>
      <c r="E611" s="48" t="str">
        <f>_xlfn.IFNA(VLOOKUP(Table3[[#This Row],[Product]], ProductListTbl[], 3, 0), "")</f>
        <v/>
      </c>
      <c r="F611" s="303" t="str">
        <f>_xlfn.IFNA(VLOOKUP(D611,ProductListTbl[],5,0),"")</f>
        <v/>
      </c>
      <c r="G611" s="303" t="str">
        <f>_xlfn.IFNA(VLOOKUP(D611,ProductListTbl[],6,0),"")</f>
        <v/>
      </c>
      <c r="H611" s="130" t="str">
        <f>_xlfn.IFNA(VLOOKUP(D611,ProductListTbl[],7,0),"")</f>
        <v/>
      </c>
      <c r="I611" s="130" t="str">
        <f>_xlfn.IFNA(VLOOKUP(D611,ProductListTbl[],8,0),"")</f>
        <v/>
      </c>
      <c r="J611" s="127"/>
      <c r="K611" s="129"/>
      <c r="L611" s="128"/>
      <c r="M611" s="305" t="str">
        <f>IFERROR(Table3[[#This Row],[Quantity (doses)]]/Table3[[#This Row],[Doses per vial or syringe]],"")</f>
        <v/>
      </c>
      <c r="N611" s="127"/>
      <c r="O611" s="127"/>
      <c r="P611" s="381"/>
      <c r="Q611" s="129"/>
      <c r="R611" s="127"/>
      <c r="S611" s="127"/>
      <c r="T611" s="127"/>
      <c r="U611" s="127"/>
      <c r="V611" s="305" t="str">
        <f>_xlfn.IFNA(VLOOKUP(D611,ProductListTbl[],9,0),"")</f>
        <v/>
      </c>
      <c r="W611" s="305" t="str">
        <f>IFERROR(Table3[[#This Row],[Storage space per secondary packaging (cm3)]]*Table3[[#This Row],[Quantity  (vials or syringes)]]/1000,"")</f>
        <v/>
      </c>
      <c r="X611" s="305" t="str">
        <f>IFERROR(Table3[[#This Row],[Storage space per tertiary packaging (cm3)]]*Table3[[#This Row],[Quantity (doses)]]/1000,"")</f>
        <v/>
      </c>
      <c r="Y611" s="293" t="str">
        <f>IF(Table3[[#This Row],[Status]]="Ordered",(DATE(YEAR(P611),MONTH(P611),1)),IF(Table3[[#This Row],[Status]]="Received",(DATE(YEAR(Q611),MONTH(Q611),1)),""))</f>
        <v/>
      </c>
      <c r="Z611" s="304" t="str">
        <f t="shared" si="36"/>
        <v/>
      </c>
      <c r="AA611" s="48" t="str">
        <f t="shared" si="37"/>
        <v/>
      </c>
      <c r="AB611" s="48" t="str">
        <f t="shared" si="38"/>
        <v/>
      </c>
      <c r="AC611" s="292" t="str">
        <f t="shared" si="39"/>
        <v/>
      </c>
      <c r="AD611" s="48" t="str">
        <f>IF(Table3[[#This Row],[Actual Arrival date]]&gt;0,IF(Table3[[#This Row],[Expected arrival date]]&gt;0,Table3[[#This Row],[Actual Arrival date]]-Table3[[#This Row],[Expected arrival date]],""),"")</f>
        <v/>
      </c>
    </row>
    <row r="612" spans="1:30" x14ac:dyDescent="0.25">
      <c r="A612" s="303" t="str">
        <f>Start!$D$7</f>
        <v>Anyland</v>
      </c>
      <c r="B612" s="48" t="str">
        <f>_xlfn.IFNA(VLOOKUP(A612,list!B:C,2,FALSE),"")</f>
        <v>ANY</v>
      </c>
      <c r="C612" s="48"/>
      <c r="D612" s="127"/>
      <c r="E612" s="48" t="str">
        <f>_xlfn.IFNA(VLOOKUP(Table3[[#This Row],[Product]], ProductListTbl[], 3, 0), "")</f>
        <v/>
      </c>
      <c r="F612" s="303" t="str">
        <f>_xlfn.IFNA(VLOOKUP(D612,ProductListTbl[],5,0),"")</f>
        <v/>
      </c>
      <c r="G612" s="303" t="str">
        <f>_xlfn.IFNA(VLOOKUP(D612,ProductListTbl[],6,0),"")</f>
        <v/>
      </c>
      <c r="H612" s="130" t="str">
        <f>_xlfn.IFNA(VLOOKUP(D612,ProductListTbl[],7,0),"")</f>
        <v/>
      </c>
      <c r="I612" s="130" t="str">
        <f>_xlfn.IFNA(VLOOKUP(D612,ProductListTbl[],8,0),"")</f>
        <v/>
      </c>
      <c r="J612" s="127"/>
      <c r="K612" s="129"/>
      <c r="L612" s="128"/>
      <c r="M612" s="305" t="str">
        <f>IFERROR(Table3[[#This Row],[Quantity (doses)]]/Table3[[#This Row],[Doses per vial or syringe]],"")</f>
        <v/>
      </c>
      <c r="N612" s="127"/>
      <c r="O612" s="127"/>
      <c r="P612" s="381"/>
      <c r="Q612" s="129"/>
      <c r="R612" s="127"/>
      <c r="S612" s="127"/>
      <c r="T612" s="127"/>
      <c r="U612" s="127"/>
      <c r="V612" s="305" t="str">
        <f>_xlfn.IFNA(VLOOKUP(D612,ProductListTbl[],9,0),"")</f>
        <v/>
      </c>
      <c r="W612" s="305" t="str">
        <f>IFERROR(Table3[[#This Row],[Storage space per secondary packaging (cm3)]]*Table3[[#This Row],[Quantity  (vials or syringes)]]/1000,"")</f>
        <v/>
      </c>
      <c r="X612" s="305" t="str">
        <f>IFERROR(Table3[[#This Row],[Storage space per tertiary packaging (cm3)]]*Table3[[#This Row],[Quantity (doses)]]/1000,"")</f>
        <v/>
      </c>
      <c r="Y612" s="293" t="str">
        <f>IF(Table3[[#This Row],[Status]]="Ordered",(DATE(YEAR(P612),MONTH(P612),1)),IF(Table3[[#This Row],[Status]]="Received",(DATE(YEAR(Q612),MONTH(Q612),1)),""))</f>
        <v/>
      </c>
      <c r="Z612" s="304" t="str">
        <f t="shared" si="36"/>
        <v/>
      </c>
      <c r="AA612" s="48" t="str">
        <f t="shared" si="37"/>
        <v/>
      </c>
      <c r="AB612" s="48" t="str">
        <f t="shared" si="38"/>
        <v/>
      </c>
      <c r="AC612" s="292" t="str">
        <f t="shared" si="39"/>
        <v/>
      </c>
      <c r="AD612" s="48" t="str">
        <f>IF(Table3[[#This Row],[Actual Arrival date]]&gt;0,IF(Table3[[#This Row],[Expected arrival date]]&gt;0,Table3[[#This Row],[Actual Arrival date]]-Table3[[#This Row],[Expected arrival date]],""),"")</f>
        <v/>
      </c>
    </row>
    <row r="613" spans="1:30" x14ac:dyDescent="0.25">
      <c r="A613" s="303" t="str">
        <f>Start!$D$7</f>
        <v>Anyland</v>
      </c>
      <c r="B613" s="48" t="str">
        <f>_xlfn.IFNA(VLOOKUP(A613,list!B:C,2,FALSE),"")</f>
        <v>ANY</v>
      </c>
      <c r="C613" s="48"/>
      <c r="D613" s="127"/>
      <c r="E613" s="48" t="str">
        <f>_xlfn.IFNA(VLOOKUP(Table3[[#This Row],[Product]], ProductListTbl[], 3, 0), "")</f>
        <v/>
      </c>
      <c r="F613" s="303" t="str">
        <f>_xlfn.IFNA(VLOOKUP(D613,ProductListTbl[],5,0),"")</f>
        <v/>
      </c>
      <c r="G613" s="303" t="str">
        <f>_xlfn.IFNA(VLOOKUP(D613,ProductListTbl[],6,0),"")</f>
        <v/>
      </c>
      <c r="H613" s="130" t="str">
        <f>_xlfn.IFNA(VLOOKUP(D613,ProductListTbl[],7,0),"")</f>
        <v/>
      </c>
      <c r="I613" s="130" t="str">
        <f>_xlfn.IFNA(VLOOKUP(D613,ProductListTbl[],8,0),"")</f>
        <v/>
      </c>
      <c r="J613" s="127"/>
      <c r="K613" s="129"/>
      <c r="L613" s="128"/>
      <c r="M613" s="305" t="str">
        <f>IFERROR(Table3[[#This Row],[Quantity (doses)]]/Table3[[#This Row],[Doses per vial or syringe]],"")</f>
        <v/>
      </c>
      <c r="N613" s="127"/>
      <c r="O613" s="127"/>
      <c r="P613" s="381"/>
      <c r="Q613" s="129"/>
      <c r="R613" s="127"/>
      <c r="S613" s="127"/>
      <c r="T613" s="127"/>
      <c r="U613" s="127"/>
      <c r="V613" s="305" t="str">
        <f>_xlfn.IFNA(VLOOKUP(D613,ProductListTbl[],9,0),"")</f>
        <v/>
      </c>
      <c r="W613" s="305" t="str">
        <f>IFERROR(Table3[[#This Row],[Storage space per secondary packaging (cm3)]]*Table3[[#This Row],[Quantity  (vials or syringes)]]/1000,"")</f>
        <v/>
      </c>
      <c r="X613" s="305" t="str">
        <f>IFERROR(Table3[[#This Row],[Storage space per tertiary packaging (cm3)]]*Table3[[#This Row],[Quantity (doses)]]/1000,"")</f>
        <v/>
      </c>
      <c r="Y613" s="293" t="str">
        <f>IF(Table3[[#This Row],[Status]]="Ordered",(DATE(YEAR(P613),MONTH(P613),1)),IF(Table3[[#This Row],[Status]]="Received",(DATE(YEAR(Q613),MONTH(Q613),1)),""))</f>
        <v/>
      </c>
      <c r="Z613" s="304" t="str">
        <f t="shared" si="36"/>
        <v/>
      </c>
      <c r="AA613" s="48" t="str">
        <f t="shared" si="37"/>
        <v/>
      </c>
      <c r="AB613" s="48" t="str">
        <f t="shared" si="38"/>
        <v/>
      </c>
      <c r="AC613" s="292" t="str">
        <f t="shared" si="39"/>
        <v/>
      </c>
      <c r="AD613" s="48" t="str">
        <f>IF(Table3[[#This Row],[Actual Arrival date]]&gt;0,IF(Table3[[#This Row],[Expected arrival date]]&gt;0,Table3[[#This Row],[Actual Arrival date]]-Table3[[#This Row],[Expected arrival date]],""),"")</f>
        <v/>
      </c>
    </row>
    <row r="614" spans="1:30" x14ac:dyDescent="0.25">
      <c r="A614" s="303" t="str">
        <f>Start!$D$7</f>
        <v>Anyland</v>
      </c>
      <c r="B614" s="48" t="str">
        <f>_xlfn.IFNA(VLOOKUP(A614,list!B:C,2,FALSE),"")</f>
        <v>ANY</v>
      </c>
      <c r="C614" s="48"/>
      <c r="D614" s="127"/>
      <c r="E614" s="48" t="str">
        <f>_xlfn.IFNA(VLOOKUP(Table3[[#This Row],[Product]], ProductListTbl[], 3, 0), "")</f>
        <v/>
      </c>
      <c r="F614" s="303" t="str">
        <f>_xlfn.IFNA(VLOOKUP(D614,ProductListTbl[],5,0),"")</f>
        <v/>
      </c>
      <c r="G614" s="303" t="str">
        <f>_xlfn.IFNA(VLOOKUP(D614,ProductListTbl[],6,0),"")</f>
        <v/>
      </c>
      <c r="H614" s="130" t="str">
        <f>_xlfn.IFNA(VLOOKUP(D614,ProductListTbl[],7,0),"")</f>
        <v/>
      </c>
      <c r="I614" s="130" t="str">
        <f>_xlfn.IFNA(VLOOKUP(D614,ProductListTbl[],8,0),"")</f>
        <v/>
      </c>
      <c r="J614" s="127"/>
      <c r="K614" s="129"/>
      <c r="L614" s="128"/>
      <c r="M614" s="305" t="str">
        <f>IFERROR(Table3[[#This Row],[Quantity (doses)]]/Table3[[#This Row],[Doses per vial or syringe]],"")</f>
        <v/>
      </c>
      <c r="N614" s="127"/>
      <c r="O614" s="127"/>
      <c r="P614" s="381"/>
      <c r="Q614" s="129"/>
      <c r="R614" s="127"/>
      <c r="S614" s="127"/>
      <c r="T614" s="127"/>
      <c r="U614" s="127"/>
      <c r="V614" s="305" t="str">
        <f>_xlfn.IFNA(VLOOKUP(D614,ProductListTbl[],9,0),"")</f>
        <v/>
      </c>
      <c r="W614" s="305" t="str">
        <f>IFERROR(Table3[[#This Row],[Storage space per secondary packaging (cm3)]]*Table3[[#This Row],[Quantity  (vials or syringes)]]/1000,"")</f>
        <v/>
      </c>
      <c r="X614" s="305" t="str">
        <f>IFERROR(Table3[[#This Row],[Storage space per tertiary packaging (cm3)]]*Table3[[#This Row],[Quantity (doses)]]/1000,"")</f>
        <v/>
      </c>
      <c r="Y614" s="293" t="str">
        <f>IF(Table3[[#This Row],[Status]]="Ordered",(DATE(YEAR(P614),MONTH(P614),1)),IF(Table3[[#This Row],[Status]]="Received",(DATE(YEAR(Q614),MONTH(Q614),1)),""))</f>
        <v/>
      </c>
      <c r="Z614" s="304" t="str">
        <f t="shared" si="36"/>
        <v/>
      </c>
      <c r="AA614" s="48" t="str">
        <f t="shared" si="37"/>
        <v/>
      </c>
      <c r="AB614" s="48" t="str">
        <f t="shared" si="38"/>
        <v/>
      </c>
      <c r="AC614" s="292" t="str">
        <f t="shared" si="39"/>
        <v/>
      </c>
      <c r="AD614" s="48" t="str">
        <f>IF(Table3[[#This Row],[Actual Arrival date]]&gt;0,IF(Table3[[#This Row],[Expected arrival date]]&gt;0,Table3[[#This Row],[Actual Arrival date]]-Table3[[#This Row],[Expected arrival date]],""),"")</f>
        <v/>
      </c>
    </row>
    <row r="615" spans="1:30" x14ac:dyDescent="0.25">
      <c r="A615" s="303" t="str">
        <f>Start!$D$7</f>
        <v>Anyland</v>
      </c>
      <c r="B615" s="48" t="str">
        <f>_xlfn.IFNA(VLOOKUP(A615,list!B:C,2,FALSE),"")</f>
        <v>ANY</v>
      </c>
      <c r="C615" s="48"/>
      <c r="D615" s="127"/>
      <c r="E615" s="48" t="str">
        <f>_xlfn.IFNA(VLOOKUP(Table3[[#This Row],[Product]], ProductListTbl[], 3, 0), "")</f>
        <v/>
      </c>
      <c r="F615" s="303" t="str">
        <f>_xlfn.IFNA(VLOOKUP(D615,ProductListTbl[],5,0),"")</f>
        <v/>
      </c>
      <c r="G615" s="303" t="str">
        <f>_xlfn.IFNA(VLOOKUP(D615,ProductListTbl[],6,0),"")</f>
        <v/>
      </c>
      <c r="H615" s="130" t="str">
        <f>_xlfn.IFNA(VLOOKUP(D615,ProductListTbl[],7,0),"")</f>
        <v/>
      </c>
      <c r="I615" s="130" t="str">
        <f>_xlfn.IFNA(VLOOKUP(D615,ProductListTbl[],8,0),"")</f>
        <v/>
      </c>
      <c r="J615" s="127"/>
      <c r="K615" s="129"/>
      <c r="L615" s="128"/>
      <c r="M615" s="305" t="str">
        <f>IFERROR(Table3[[#This Row],[Quantity (doses)]]/Table3[[#This Row],[Doses per vial or syringe]],"")</f>
        <v/>
      </c>
      <c r="N615" s="127"/>
      <c r="O615" s="127"/>
      <c r="P615" s="381"/>
      <c r="Q615" s="129"/>
      <c r="R615" s="127"/>
      <c r="S615" s="127"/>
      <c r="T615" s="127"/>
      <c r="U615" s="127"/>
      <c r="V615" s="305" t="str">
        <f>_xlfn.IFNA(VLOOKUP(D615,ProductListTbl[],9,0),"")</f>
        <v/>
      </c>
      <c r="W615" s="305" t="str">
        <f>IFERROR(Table3[[#This Row],[Storage space per secondary packaging (cm3)]]*Table3[[#This Row],[Quantity  (vials or syringes)]]/1000,"")</f>
        <v/>
      </c>
      <c r="X615" s="305" t="str">
        <f>IFERROR(Table3[[#This Row],[Storage space per tertiary packaging (cm3)]]*Table3[[#This Row],[Quantity (doses)]]/1000,"")</f>
        <v/>
      </c>
      <c r="Y615" s="293" t="str">
        <f>IF(Table3[[#This Row],[Status]]="Ordered",(DATE(YEAR(P615),MONTH(P615),1)),IF(Table3[[#This Row],[Status]]="Received",(DATE(YEAR(Q615),MONTH(Q615),1)),""))</f>
        <v/>
      </c>
      <c r="Z615" s="304" t="str">
        <f t="shared" si="36"/>
        <v/>
      </c>
      <c r="AA615" s="48" t="str">
        <f t="shared" si="37"/>
        <v/>
      </c>
      <c r="AB615" s="48" t="str">
        <f t="shared" si="38"/>
        <v/>
      </c>
      <c r="AC615" s="292" t="str">
        <f t="shared" si="39"/>
        <v/>
      </c>
      <c r="AD615" s="48" t="str">
        <f>IF(Table3[[#This Row],[Actual Arrival date]]&gt;0,IF(Table3[[#This Row],[Expected arrival date]]&gt;0,Table3[[#This Row],[Actual Arrival date]]-Table3[[#This Row],[Expected arrival date]],""),"")</f>
        <v/>
      </c>
    </row>
    <row r="616" spans="1:30" x14ac:dyDescent="0.25">
      <c r="A616" s="303" t="str">
        <f>Start!$D$7</f>
        <v>Anyland</v>
      </c>
      <c r="B616" s="48" t="str">
        <f>_xlfn.IFNA(VLOOKUP(A616,list!B:C,2,FALSE),"")</f>
        <v>ANY</v>
      </c>
      <c r="C616" s="48"/>
      <c r="D616" s="127"/>
      <c r="E616" s="48" t="str">
        <f>_xlfn.IFNA(VLOOKUP(Table3[[#This Row],[Product]], ProductListTbl[], 3, 0), "")</f>
        <v/>
      </c>
      <c r="F616" s="303" t="str">
        <f>_xlfn.IFNA(VLOOKUP(D616,ProductListTbl[],5,0),"")</f>
        <v/>
      </c>
      <c r="G616" s="303" t="str">
        <f>_xlfn.IFNA(VLOOKUP(D616,ProductListTbl[],6,0),"")</f>
        <v/>
      </c>
      <c r="H616" s="130" t="str">
        <f>_xlfn.IFNA(VLOOKUP(D616,ProductListTbl[],7,0),"")</f>
        <v/>
      </c>
      <c r="I616" s="130" t="str">
        <f>_xlfn.IFNA(VLOOKUP(D616,ProductListTbl[],8,0),"")</f>
        <v/>
      </c>
      <c r="J616" s="127"/>
      <c r="K616" s="129"/>
      <c r="L616" s="128"/>
      <c r="M616" s="305" t="str">
        <f>IFERROR(Table3[[#This Row],[Quantity (doses)]]/Table3[[#This Row],[Doses per vial or syringe]],"")</f>
        <v/>
      </c>
      <c r="N616" s="127"/>
      <c r="O616" s="127"/>
      <c r="P616" s="381"/>
      <c r="Q616" s="129"/>
      <c r="R616" s="127"/>
      <c r="S616" s="127"/>
      <c r="T616" s="127"/>
      <c r="U616" s="127"/>
      <c r="V616" s="305" t="str">
        <f>_xlfn.IFNA(VLOOKUP(D616,ProductListTbl[],9,0),"")</f>
        <v/>
      </c>
      <c r="W616" s="305" t="str">
        <f>IFERROR(Table3[[#This Row],[Storage space per secondary packaging (cm3)]]*Table3[[#This Row],[Quantity  (vials or syringes)]]/1000,"")</f>
        <v/>
      </c>
      <c r="X616" s="305" t="str">
        <f>IFERROR(Table3[[#This Row],[Storage space per tertiary packaging (cm3)]]*Table3[[#This Row],[Quantity (doses)]]/1000,"")</f>
        <v/>
      </c>
      <c r="Y616" s="293" t="str">
        <f>IF(Table3[[#This Row],[Status]]="Ordered",(DATE(YEAR(P616),MONTH(P616),1)),IF(Table3[[#This Row],[Status]]="Received",(DATE(YEAR(Q616),MONTH(Q616),1)),""))</f>
        <v/>
      </c>
      <c r="Z616" s="304" t="str">
        <f t="shared" si="36"/>
        <v/>
      </c>
      <c r="AA616" s="48" t="str">
        <f t="shared" si="37"/>
        <v/>
      </c>
      <c r="AB616" s="48" t="str">
        <f t="shared" si="38"/>
        <v/>
      </c>
      <c r="AC616" s="292" t="str">
        <f t="shared" si="39"/>
        <v/>
      </c>
      <c r="AD616" s="48" t="str">
        <f>IF(Table3[[#This Row],[Actual Arrival date]]&gt;0,IF(Table3[[#This Row],[Expected arrival date]]&gt;0,Table3[[#This Row],[Actual Arrival date]]-Table3[[#This Row],[Expected arrival date]],""),"")</f>
        <v/>
      </c>
    </row>
    <row r="617" spans="1:30" x14ac:dyDescent="0.25">
      <c r="A617" s="303" t="str">
        <f>Start!$D$7</f>
        <v>Anyland</v>
      </c>
      <c r="B617" s="48" t="str">
        <f>_xlfn.IFNA(VLOOKUP(A617,list!B:C,2,FALSE),"")</f>
        <v>ANY</v>
      </c>
      <c r="C617" s="48"/>
      <c r="D617" s="127"/>
      <c r="E617" s="48" t="str">
        <f>_xlfn.IFNA(VLOOKUP(Table3[[#This Row],[Product]], ProductListTbl[], 3, 0), "")</f>
        <v/>
      </c>
      <c r="F617" s="303" t="str">
        <f>_xlfn.IFNA(VLOOKUP(D617,ProductListTbl[],5,0),"")</f>
        <v/>
      </c>
      <c r="G617" s="303" t="str">
        <f>_xlfn.IFNA(VLOOKUP(D617,ProductListTbl[],6,0),"")</f>
        <v/>
      </c>
      <c r="H617" s="130" t="str">
        <f>_xlfn.IFNA(VLOOKUP(D617,ProductListTbl[],7,0),"")</f>
        <v/>
      </c>
      <c r="I617" s="130" t="str">
        <f>_xlfn.IFNA(VLOOKUP(D617,ProductListTbl[],8,0),"")</f>
        <v/>
      </c>
      <c r="J617" s="127"/>
      <c r="K617" s="129"/>
      <c r="L617" s="128"/>
      <c r="M617" s="305" t="str">
        <f>IFERROR(Table3[[#This Row],[Quantity (doses)]]/Table3[[#This Row],[Doses per vial or syringe]],"")</f>
        <v/>
      </c>
      <c r="N617" s="127"/>
      <c r="O617" s="127"/>
      <c r="P617" s="381"/>
      <c r="Q617" s="129"/>
      <c r="R617" s="127"/>
      <c r="S617" s="127"/>
      <c r="T617" s="127"/>
      <c r="U617" s="127"/>
      <c r="V617" s="305" t="str">
        <f>_xlfn.IFNA(VLOOKUP(D617,ProductListTbl[],9,0),"")</f>
        <v/>
      </c>
      <c r="W617" s="305" t="str">
        <f>IFERROR(Table3[[#This Row],[Storage space per secondary packaging (cm3)]]*Table3[[#This Row],[Quantity  (vials or syringes)]]/1000,"")</f>
        <v/>
      </c>
      <c r="X617" s="305" t="str">
        <f>IFERROR(Table3[[#This Row],[Storage space per tertiary packaging (cm3)]]*Table3[[#This Row],[Quantity (doses)]]/1000,"")</f>
        <v/>
      </c>
      <c r="Y617" s="293" t="str">
        <f>IF(Table3[[#This Row],[Status]]="Ordered",(DATE(YEAR(P617),MONTH(P617),1)),IF(Table3[[#This Row],[Status]]="Received",(DATE(YEAR(Q617),MONTH(Q617),1)),""))</f>
        <v/>
      </c>
      <c r="Z617" s="304" t="str">
        <f t="shared" si="36"/>
        <v/>
      </c>
      <c r="AA617" s="48" t="str">
        <f t="shared" si="37"/>
        <v/>
      </c>
      <c r="AB617" s="48" t="str">
        <f t="shared" si="38"/>
        <v/>
      </c>
      <c r="AC617" s="292" t="str">
        <f t="shared" si="39"/>
        <v/>
      </c>
      <c r="AD617" s="48" t="str">
        <f>IF(Table3[[#This Row],[Actual Arrival date]]&gt;0,IF(Table3[[#This Row],[Expected arrival date]]&gt;0,Table3[[#This Row],[Actual Arrival date]]-Table3[[#This Row],[Expected arrival date]],""),"")</f>
        <v/>
      </c>
    </row>
    <row r="618" spans="1:30" x14ac:dyDescent="0.25">
      <c r="A618" s="303" t="str">
        <f>Start!$D$7</f>
        <v>Anyland</v>
      </c>
      <c r="B618" s="48" t="str">
        <f>_xlfn.IFNA(VLOOKUP(A618,list!B:C,2,FALSE),"")</f>
        <v>ANY</v>
      </c>
      <c r="C618" s="48"/>
      <c r="D618" s="127"/>
      <c r="E618" s="48" t="str">
        <f>_xlfn.IFNA(VLOOKUP(Table3[[#This Row],[Product]], ProductListTbl[], 3, 0), "")</f>
        <v/>
      </c>
      <c r="F618" s="303" t="str">
        <f>_xlfn.IFNA(VLOOKUP(D618,ProductListTbl[],5,0),"")</f>
        <v/>
      </c>
      <c r="G618" s="303" t="str">
        <f>_xlfn.IFNA(VLOOKUP(D618,ProductListTbl[],6,0),"")</f>
        <v/>
      </c>
      <c r="H618" s="130" t="str">
        <f>_xlfn.IFNA(VLOOKUP(D618,ProductListTbl[],7,0),"")</f>
        <v/>
      </c>
      <c r="I618" s="130" t="str">
        <f>_xlfn.IFNA(VLOOKUP(D618,ProductListTbl[],8,0),"")</f>
        <v/>
      </c>
      <c r="J618" s="127"/>
      <c r="K618" s="129"/>
      <c r="L618" s="128"/>
      <c r="M618" s="305" t="str">
        <f>IFERROR(Table3[[#This Row],[Quantity (doses)]]/Table3[[#This Row],[Doses per vial or syringe]],"")</f>
        <v/>
      </c>
      <c r="N618" s="127"/>
      <c r="O618" s="127"/>
      <c r="P618" s="381"/>
      <c r="Q618" s="129"/>
      <c r="R618" s="127"/>
      <c r="S618" s="127"/>
      <c r="T618" s="127"/>
      <c r="U618" s="127"/>
      <c r="V618" s="305" t="str">
        <f>_xlfn.IFNA(VLOOKUP(D618,ProductListTbl[],9,0),"")</f>
        <v/>
      </c>
      <c r="W618" s="305" t="str">
        <f>IFERROR(Table3[[#This Row],[Storage space per secondary packaging (cm3)]]*Table3[[#This Row],[Quantity  (vials or syringes)]]/1000,"")</f>
        <v/>
      </c>
      <c r="X618" s="305" t="str">
        <f>IFERROR(Table3[[#This Row],[Storage space per tertiary packaging (cm3)]]*Table3[[#This Row],[Quantity (doses)]]/1000,"")</f>
        <v/>
      </c>
      <c r="Y618" s="293" t="str">
        <f>IF(Table3[[#This Row],[Status]]="Ordered",(DATE(YEAR(P618),MONTH(P618),1)),IF(Table3[[#This Row],[Status]]="Received",(DATE(YEAR(Q618),MONTH(Q618),1)),""))</f>
        <v/>
      </c>
      <c r="Z618" s="304" t="str">
        <f t="shared" si="36"/>
        <v/>
      </c>
      <c r="AA618" s="48" t="str">
        <f t="shared" si="37"/>
        <v/>
      </c>
      <c r="AB618" s="48" t="str">
        <f t="shared" si="38"/>
        <v/>
      </c>
      <c r="AC618" s="292" t="str">
        <f t="shared" si="39"/>
        <v/>
      </c>
      <c r="AD618" s="48" t="str">
        <f>IF(Table3[[#This Row],[Actual Arrival date]]&gt;0,IF(Table3[[#This Row],[Expected arrival date]]&gt;0,Table3[[#This Row],[Actual Arrival date]]-Table3[[#This Row],[Expected arrival date]],""),"")</f>
        <v/>
      </c>
    </row>
    <row r="619" spans="1:30" x14ac:dyDescent="0.25">
      <c r="A619" s="303" t="str">
        <f>Start!$D$7</f>
        <v>Anyland</v>
      </c>
      <c r="B619" s="48" t="str">
        <f>_xlfn.IFNA(VLOOKUP(A619,list!B:C,2,FALSE),"")</f>
        <v>ANY</v>
      </c>
      <c r="C619" s="48"/>
      <c r="D619" s="127"/>
      <c r="E619" s="48" t="str">
        <f>_xlfn.IFNA(VLOOKUP(Table3[[#This Row],[Product]], ProductListTbl[], 3, 0), "")</f>
        <v/>
      </c>
      <c r="F619" s="303" t="str">
        <f>_xlfn.IFNA(VLOOKUP(D619,ProductListTbl[],5,0),"")</f>
        <v/>
      </c>
      <c r="G619" s="303" t="str">
        <f>_xlfn.IFNA(VLOOKUP(D619,ProductListTbl[],6,0),"")</f>
        <v/>
      </c>
      <c r="H619" s="130" t="str">
        <f>_xlfn.IFNA(VLOOKUP(D619,ProductListTbl[],7,0),"")</f>
        <v/>
      </c>
      <c r="I619" s="130" t="str">
        <f>_xlfn.IFNA(VLOOKUP(D619,ProductListTbl[],8,0),"")</f>
        <v/>
      </c>
      <c r="J619" s="127"/>
      <c r="K619" s="129"/>
      <c r="L619" s="128"/>
      <c r="M619" s="305" t="str">
        <f>IFERROR(Table3[[#This Row],[Quantity (doses)]]/Table3[[#This Row],[Doses per vial or syringe]],"")</f>
        <v/>
      </c>
      <c r="N619" s="127"/>
      <c r="O619" s="127"/>
      <c r="P619" s="381"/>
      <c r="Q619" s="129"/>
      <c r="R619" s="127"/>
      <c r="S619" s="127"/>
      <c r="T619" s="127"/>
      <c r="U619" s="127"/>
      <c r="V619" s="305" t="str">
        <f>_xlfn.IFNA(VLOOKUP(D619,ProductListTbl[],9,0),"")</f>
        <v/>
      </c>
      <c r="W619" s="305" t="str">
        <f>IFERROR(Table3[[#This Row],[Storage space per secondary packaging (cm3)]]*Table3[[#This Row],[Quantity  (vials or syringes)]]/1000,"")</f>
        <v/>
      </c>
      <c r="X619" s="305" t="str">
        <f>IFERROR(Table3[[#This Row],[Storage space per tertiary packaging (cm3)]]*Table3[[#This Row],[Quantity (doses)]]/1000,"")</f>
        <v/>
      </c>
      <c r="Y619" s="293" t="str">
        <f>IF(Table3[[#This Row],[Status]]="Ordered",(DATE(YEAR(P619),MONTH(P619),1)),IF(Table3[[#This Row],[Status]]="Received",(DATE(YEAR(Q619),MONTH(Q619),1)),""))</f>
        <v/>
      </c>
      <c r="Z619" s="304" t="str">
        <f t="shared" si="36"/>
        <v/>
      </c>
      <c r="AA619" s="48" t="str">
        <f t="shared" si="37"/>
        <v/>
      </c>
      <c r="AB619" s="48" t="str">
        <f t="shared" si="38"/>
        <v/>
      </c>
      <c r="AC619" s="292" t="str">
        <f t="shared" si="39"/>
        <v/>
      </c>
      <c r="AD619" s="48" t="str">
        <f>IF(Table3[[#This Row],[Actual Arrival date]]&gt;0,IF(Table3[[#This Row],[Expected arrival date]]&gt;0,Table3[[#This Row],[Actual Arrival date]]-Table3[[#This Row],[Expected arrival date]],""),"")</f>
        <v/>
      </c>
    </row>
    <row r="620" spans="1:30" x14ac:dyDescent="0.25">
      <c r="A620" s="303" t="str">
        <f>Start!$D$7</f>
        <v>Anyland</v>
      </c>
      <c r="B620" s="48" t="str">
        <f>_xlfn.IFNA(VLOOKUP(A620,list!B:C,2,FALSE),"")</f>
        <v>ANY</v>
      </c>
      <c r="C620" s="48"/>
      <c r="D620" s="127"/>
      <c r="E620" s="48" t="str">
        <f>_xlfn.IFNA(VLOOKUP(Table3[[#This Row],[Product]], ProductListTbl[], 3, 0), "")</f>
        <v/>
      </c>
      <c r="F620" s="303" t="str">
        <f>_xlfn.IFNA(VLOOKUP(D620,ProductListTbl[],5,0),"")</f>
        <v/>
      </c>
      <c r="G620" s="303" t="str">
        <f>_xlfn.IFNA(VLOOKUP(D620,ProductListTbl[],6,0),"")</f>
        <v/>
      </c>
      <c r="H620" s="130" t="str">
        <f>_xlfn.IFNA(VLOOKUP(D620,ProductListTbl[],7,0),"")</f>
        <v/>
      </c>
      <c r="I620" s="130" t="str">
        <f>_xlfn.IFNA(VLOOKUP(D620,ProductListTbl[],8,0),"")</f>
        <v/>
      </c>
      <c r="J620" s="127"/>
      <c r="K620" s="129"/>
      <c r="L620" s="128"/>
      <c r="M620" s="305" t="str">
        <f>IFERROR(Table3[[#This Row],[Quantity (doses)]]/Table3[[#This Row],[Doses per vial or syringe]],"")</f>
        <v/>
      </c>
      <c r="N620" s="127"/>
      <c r="O620" s="127"/>
      <c r="P620" s="381"/>
      <c r="Q620" s="129"/>
      <c r="R620" s="127"/>
      <c r="S620" s="127"/>
      <c r="T620" s="127"/>
      <c r="U620" s="127"/>
      <c r="V620" s="305" t="str">
        <f>_xlfn.IFNA(VLOOKUP(D620,ProductListTbl[],9,0),"")</f>
        <v/>
      </c>
      <c r="W620" s="305" t="str">
        <f>IFERROR(Table3[[#This Row],[Storage space per secondary packaging (cm3)]]*Table3[[#This Row],[Quantity  (vials or syringes)]]/1000,"")</f>
        <v/>
      </c>
      <c r="X620" s="305" t="str">
        <f>IFERROR(Table3[[#This Row],[Storage space per tertiary packaging (cm3)]]*Table3[[#This Row],[Quantity (doses)]]/1000,"")</f>
        <v/>
      </c>
      <c r="Y620" s="293" t="str">
        <f>IF(Table3[[#This Row],[Status]]="Ordered",(DATE(YEAR(P620),MONTH(P620),1)),IF(Table3[[#This Row],[Status]]="Received",(DATE(YEAR(Q620),MONTH(Q620),1)),""))</f>
        <v/>
      </c>
      <c r="Z620" s="304" t="str">
        <f t="shared" si="36"/>
        <v/>
      </c>
      <c r="AA620" s="48" t="str">
        <f t="shared" si="37"/>
        <v/>
      </c>
      <c r="AB620" s="48" t="str">
        <f t="shared" si="38"/>
        <v/>
      </c>
      <c r="AC620" s="292" t="str">
        <f t="shared" si="39"/>
        <v/>
      </c>
      <c r="AD620" s="48" t="str">
        <f>IF(Table3[[#This Row],[Actual Arrival date]]&gt;0,IF(Table3[[#This Row],[Expected arrival date]]&gt;0,Table3[[#This Row],[Actual Arrival date]]-Table3[[#This Row],[Expected arrival date]],""),"")</f>
        <v/>
      </c>
    </row>
    <row r="621" spans="1:30" x14ac:dyDescent="0.25">
      <c r="A621" s="303" t="str">
        <f>Start!$D$7</f>
        <v>Anyland</v>
      </c>
      <c r="B621" s="48" t="str">
        <f>_xlfn.IFNA(VLOOKUP(A621,list!B:C,2,FALSE),"")</f>
        <v>ANY</v>
      </c>
      <c r="C621" s="48"/>
      <c r="D621" s="127"/>
      <c r="E621" s="48" t="str">
        <f>_xlfn.IFNA(VLOOKUP(Table3[[#This Row],[Product]], ProductListTbl[], 3, 0), "")</f>
        <v/>
      </c>
      <c r="F621" s="303" t="str">
        <f>_xlfn.IFNA(VLOOKUP(D621,ProductListTbl[],5,0),"")</f>
        <v/>
      </c>
      <c r="G621" s="303" t="str">
        <f>_xlfn.IFNA(VLOOKUP(D621,ProductListTbl[],6,0),"")</f>
        <v/>
      </c>
      <c r="H621" s="130" t="str">
        <f>_xlfn.IFNA(VLOOKUP(D621,ProductListTbl[],7,0),"")</f>
        <v/>
      </c>
      <c r="I621" s="130" t="str">
        <f>_xlfn.IFNA(VLOOKUP(D621,ProductListTbl[],8,0),"")</f>
        <v/>
      </c>
      <c r="J621" s="127"/>
      <c r="K621" s="129"/>
      <c r="L621" s="128"/>
      <c r="M621" s="305" t="str">
        <f>IFERROR(Table3[[#This Row],[Quantity (doses)]]/Table3[[#This Row],[Doses per vial or syringe]],"")</f>
        <v/>
      </c>
      <c r="N621" s="127"/>
      <c r="O621" s="127"/>
      <c r="P621" s="381"/>
      <c r="Q621" s="129"/>
      <c r="R621" s="127"/>
      <c r="S621" s="127"/>
      <c r="T621" s="127"/>
      <c r="U621" s="127"/>
      <c r="V621" s="305" t="str">
        <f>_xlfn.IFNA(VLOOKUP(D621,ProductListTbl[],9,0),"")</f>
        <v/>
      </c>
      <c r="W621" s="305" t="str">
        <f>IFERROR(Table3[[#This Row],[Storage space per secondary packaging (cm3)]]*Table3[[#This Row],[Quantity  (vials or syringes)]]/1000,"")</f>
        <v/>
      </c>
      <c r="X621" s="305" t="str">
        <f>IFERROR(Table3[[#This Row],[Storage space per tertiary packaging (cm3)]]*Table3[[#This Row],[Quantity (doses)]]/1000,"")</f>
        <v/>
      </c>
      <c r="Y621" s="293" t="str">
        <f>IF(Table3[[#This Row],[Status]]="Ordered",(DATE(YEAR(P621),MONTH(P621),1)),IF(Table3[[#This Row],[Status]]="Received",(DATE(YEAR(Q621),MONTH(Q621),1)),""))</f>
        <v/>
      </c>
      <c r="Z621" s="304" t="str">
        <f t="shared" si="36"/>
        <v/>
      </c>
      <c r="AA621" s="48" t="str">
        <f t="shared" si="37"/>
        <v/>
      </c>
      <c r="AB621" s="48" t="str">
        <f t="shared" si="38"/>
        <v/>
      </c>
      <c r="AC621" s="292" t="str">
        <f t="shared" si="39"/>
        <v/>
      </c>
      <c r="AD621" s="48" t="str">
        <f>IF(Table3[[#This Row],[Actual Arrival date]]&gt;0,IF(Table3[[#This Row],[Expected arrival date]]&gt;0,Table3[[#This Row],[Actual Arrival date]]-Table3[[#This Row],[Expected arrival date]],""),"")</f>
        <v/>
      </c>
    </row>
    <row r="622" spans="1:30" x14ac:dyDescent="0.25">
      <c r="A622" s="303" t="str">
        <f>Start!$D$7</f>
        <v>Anyland</v>
      </c>
      <c r="B622" s="48" t="str">
        <f>_xlfn.IFNA(VLOOKUP(A622,list!B:C,2,FALSE),"")</f>
        <v>ANY</v>
      </c>
      <c r="C622" s="48"/>
      <c r="D622" s="127"/>
      <c r="E622" s="48" t="str">
        <f>_xlfn.IFNA(VLOOKUP(Table3[[#This Row],[Product]], ProductListTbl[], 3, 0), "")</f>
        <v/>
      </c>
      <c r="F622" s="303" t="str">
        <f>_xlfn.IFNA(VLOOKUP(D622,ProductListTbl[],5,0),"")</f>
        <v/>
      </c>
      <c r="G622" s="303" t="str">
        <f>_xlfn.IFNA(VLOOKUP(D622,ProductListTbl[],6,0),"")</f>
        <v/>
      </c>
      <c r="H622" s="130" t="str">
        <f>_xlfn.IFNA(VLOOKUP(D622,ProductListTbl[],7,0),"")</f>
        <v/>
      </c>
      <c r="I622" s="130" t="str">
        <f>_xlfn.IFNA(VLOOKUP(D622,ProductListTbl[],8,0),"")</f>
        <v/>
      </c>
      <c r="J622" s="127"/>
      <c r="K622" s="129"/>
      <c r="L622" s="128"/>
      <c r="M622" s="305" t="str">
        <f>IFERROR(Table3[[#This Row],[Quantity (doses)]]/Table3[[#This Row],[Doses per vial or syringe]],"")</f>
        <v/>
      </c>
      <c r="N622" s="127"/>
      <c r="O622" s="127"/>
      <c r="P622" s="381"/>
      <c r="Q622" s="129"/>
      <c r="R622" s="127"/>
      <c r="S622" s="127"/>
      <c r="T622" s="127"/>
      <c r="U622" s="127"/>
      <c r="V622" s="305" t="str">
        <f>_xlfn.IFNA(VLOOKUP(D622,ProductListTbl[],9,0),"")</f>
        <v/>
      </c>
      <c r="W622" s="305" t="str">
        <f>IFERROR(Table3[[#This Row],[Storage space per secondary packaging (cm3)]]*Table3[[#This Row],[Quantity  (vials or syringes)]]/1000,"")</f>
        <v/>
      </c>
      <c r="X622" s="305" t="str">
        <f>IFERROR(Table3[[#This Row],[Storage space per tertiary packaging (cm3)]]*Table3[[#This Row],[Quantity (doses)]]/1000,"")</f>
        <v/>
      </c>
      <c r="Y622" s="293" t="str">
        <f>IF(Table3[[#This Row],[Status]]="Ordered",(DATE(YEAR(P622),MONTH(P622),1)),IF(Table3[[#This Row],[Status]]="Received",(DATE(YEAR(Q622),MONTH(Q622),1)),""))</f>
        <v/>
      </c>
      <c r="Z622" s="304" t="str">
        <f t="shared" si="36"/>
        <v/>
      </c>
      <c r="AA622" s="48" t="str">
        <f t="shared" si="37"/>
        <v/>
      </c>
      <c r="AB622" s="48" t="str">
        <f t="shared" si="38"/>
        <v/>
      </c>
      <c r="AC622" s="292" t="str">
        <f t="shared" si="39"/>
        <v/>
      </c>
      <c r="AD622" s="48" t="str">
        <f>IF(Table3[[#This Row],[Actual Arrival date]]&gt;0,IF(Table3[[#This Row],[Expected arrival date]]&gt;0,Table3[[#This Row],[Actual Arrival date]]-Table3[[#This Row],[Expected arrival date]],""),"")</f>
        <v/>
      </c>
    </row>
    <row r="623" spans="1:30" x14ac:dyDescent="0.25">
      <c r="A623" s="303" t="str">
        <f>Start!$D$7</f>
        <v>Anyland</v>
      </c>
      <c r="B623" s="48" t="str">
        <f>_xlfn.IFNA(VLOOKUP(A623,list!B:C,2,FALSE),"")</f>
        <v>ANY</v>
      </c>
      <c r="C623" s="48"/>
      <c r="D623" s="127"/>
      <c r="E623" s="48" t="str">
        <f>_xlfn.IFNA(VLOOKUP(Table3[[#This Row],[Product]], ProductListTbl[], 3, 0), "")</f>
        <v/>
      </c>
      <c r="F623" s="303" t="str">
        <f>_xlfn.IFNA(VLOOKUP(D623,ProductListTbl[],5,0),"")</f>
        <v/>
      </c>
      <c r="G623" s="303" t="str">
        <f>_xlfn.IFNA(VLOOKUP(D623,ProductListTbl[],6,0),"")</f>
        <v/>
      </c>
      <c r="H623" s="130" t="str">
        <f>_xlfn.IFNA(VLOOKUP(D623,ProductListTbl[],7,0),"")</f>
        <v/>
      </c>
      <c r="I623" s="130" t="str">
        <f>_xlfn.IFNA(VLOOKUP(D623,ProductListTbl[],8,0),"")</f>
        <v/>
      </c>
      <c r="J623" s="127"/>
      <c r="K623" s="129"/>
      <c r="L623" s="128"/>
      <c r="M623" s="305" t="str">
        <f>IFERROR(Table3[[#This Row],[Quantity (doses)]]/Table3[[#This Row],[Doses per vial or syringe]],"")</f>
        <v/>
      </c>
      <c r="N623" s="127"/>
      <c r="O623" s="127"/>
      <c r="P623" s="381"/>
      <c r="Q623" s="129"/>
      <c r="R623" s="127"/>
      <c r="S623" s="127"/>
      <c r="T623" s="127"/>
      <c r="U623" s="127"/>
      <c r="V623" s="305" t="str">
        <f>_xlfn.IFNA(VLOOKUP(D623,ProductListTbl[],9,0),"")</f>
        <v/>
      </c>
      <c r="W623" s="305" t="str">
        <f>IFERROR(Table3[[#This Row],[Storage space per secondary packaging (cm3)]]*Table3[[#This Row],[Quantity  (vials or syringes)]]/1000,"")</f>
        <v/>
      </c>
      <c r="X623" s="305" t="str">
        <f>IFERROR(Table3[[#This Row],[Storage space per tertiary packaging (cm3)]]*Table3[[#This Row],[Quantity (doses)]]/1000,"")</f>
        <v/>
      </c>
      <c r="Y623" s="293" t="str">
        <f>IF(Table3[[#This Row],[Status]]="Ordered",(DATE(YEAR(P623),MONTH(P623),1)),IF(Table3[[#This Row],[Status]]="Received",(DATE(YEAR(Q623),MONTH(Q623),1)),""))</f>
        <v/>
      </c>
      <c r="Z623" s="304" t="str">
        <f t="shared" si="36"/>
        <v/>
      </c>
      <c r="AA623" s="48" t="str">
        <f t="shared" si="37"/>
        <v/>
      </c>
      <c r="AB623" s="48" t="str">
        <f t="shared" si="38"/>
        <v/>
      </c>
      <c r="AC623" s="292" t="str">
        <f t="shared" si="39"/>
        <v/>
      </c>
      <c r="AD623" s="48" t="str">
        <f>IF(Table3[[#This Row],[Actual Arrival date]]&gt;0,IF(Table3[[#This Row],[Expected arrival date]]&gt;0,Table3[[#This Row],[Actual Arrival date]]-Table3[[#This Row],[Expected arrival date]],""),"")</f>
        <v/>
      </c>
    </row>
    <row r="624" spans="1:30" x14ac:dyDescent="0.25">
      <c r="A624" s="303" t="str">
        <f>Start!$D$7</f>
        <v>Anyland</v>
      </c>
      <c r="B624" s="48" t="str">
        <f>_xlfn.IFNA(VLOOKUP(A624,list!B:C,2,FALSE),"")</f>
        <v>ANY</v>
      </c>
      <c r="C624" s="48"/>
      <c r="D624" s="127"/>
      <c r="E624" s="48" t="str">
        <f>_xlfn.IFNA(VLOOKUP(Table3[[#This Row],[Product]], ProductListTbl[], 3, 0), "")</f>
        <v/>
      </c>
      <c r="F624" s="303" t="str">
        <f>_xlfn.IFNA(VLOOKUP(D624,ProductListTbl[],5,0),"")</f>
        <v/>
      </c>
      <c r="G624" s="303" t="str">
        <f>_xlfn.IFNA(VLOOKUP(D624,ProductListTbl[],6,0),"")</f>
        <v/>
      </c>
      <c r="H624" s="130" t="str">
        <f>_xlfn.IFNA(VLOOKUP(D624,ProductListTbl[],7,0),"")</f>
        <v/>
      </c>
      <c r="I624" s="130" t="str">
        <f>_xlfn.IFNA(VLOOKUP(D624,ProductListTbl[],8,0),"")</f>
        <v/>
      </c>
      <c r="J624" s="127"/>
      <c r="K624" s="129"/>
      <c r="L624" s="128"/>
      <c r="M624" s="305" t="str">
        <f>IFERROR(Table3[[#This Row],[Quantity (doses)]]/Table3[[#This Row],[Doses per vial or syringe]],"")</f>
        <v/>
      </c>
      <c r="N624" s="127"/>
      <c r="O624" s="127"/>
      <c r="P624" s="381"/>
      <c r="Q624" s="129"/>
      <c r="R624" s="127"/>
      <c r="S624" s="127"/>
      <c r="T624" s="127"/>
      <c r="U624" s="127"/>
      <c r="V624" s="305" t="str">
        <f>_xlfn.IFNA(VLOOKUP(D624,ProductListTbl[],9,0),"")</f>
        <v/>
      </c>
      <c r="W624" s="305" t="str">
        <f>IFERROR(Table3[[#This Row],[Storage space per secondary packaging (cm3)]]*Table3[[#This Row],[Quantity  (vials or syringes)]]/1000,"")</f>
        <v/>
      </c>
      <c r="X624" s="305" t="str">
        <f>IFERROR(Table3[[#This Row],[Storage space per tertiary packaging (cm3)]]*Table3[[#This Row],[Quantity (doses)]]/1000,"")</f>
        <v/>
      </c>
      <c r="Y624" s="293" t="str">
        <f>IF(Table3[[#This Row],[Status]]="Ordered",(DATE(YEAR(P624),MONTH(P624),1)),IF(Table3[[#This Row],[Status]]="Received",(DATE(YEAR(Q624),MONTH(Q624),1)),""))</f>
        <v/>
      </c>
      <c r="Z624" s="304" t="str">
        <f t="shared" si="36"/>
        <v/>
      </c>
      <c r="AA624" s="48" t="str">
        <f t="shared" si="37"/>
        <v/>
      </c>
      <c r="AB624" s="48" t="str">
        <f t="shared" si="38"/>
        <v/>
      </c>
      <c r="AC624" s="292" t="str">
        <f t="shared" si="39"/>
        <v/>
      </c>
      <c r="AD624" s="48" t="str">
        <f>IF(Table3[[#This Row],[Actual Arrival date]]&gt;0,IF(Table3[[#This Row],[Expected arrival date]]&gt;0,Table3[[#This Row],[Actual Arrival date]]-Table3[[#This Row],[Expected arrival date]],""),"")</f>
        <v/>
      </c>
    </row>
    <row r="625" spans="1:30" x14ac:dyDescent="0.25">
      <c r="A625" s="303" t="str">
        <f>Start!$D$7</f>
        <v>Anyland</v>
      </c>
      <c r="B625" s="48" t="str">
        <f>_xlfn.IFNA(VLOOKUP(A625,list!B:C,2,FALSE),"")</f>
        <v>ANY</v>
      </c>
      <c r="C625" s="48"/>
      <c r="D625" s="127"/>
      <c r="E625" s="48" t="str">
        <f>_xlfn.IFNA(VLOOKUP(Table3[[#This Row],[Product]], ProductListTbl[], 3, 0), "")</f>
        <v/>
      </c>
      <c r="F625" s="303" t="str">
        <f>_xlfn.IFNA(VLOOKUP(D625,ProductListTbl[],5,0),"")</f>
        <v/>
      </c>
      <c r="G625" s="303" t="str">
        <f>_xlfn.IFNA(VLOOKUP(D625,ProductListTbl[],6,0),"")</f>
        <v/>
      </c>
      <c r="H625" s="130" t="str">
        <f>_xlfn.IFNA(VLOOKUP(D625,ProductListTbl[],7,0),"")</f>
        <v/>
      </c>
      <c r="I625" s="130" t="str">
        <f>_xlfn.IFNA(VLOOKUP(D625,ProductListTbl[],8,0),"")</f>
        <v/>
      </c>
      <c r="J625" s="127"/>
      <c r="K625" s="129"/>
      <c r="L625" s="128"/>
      <c r="M625" s="305" t="str">
        <f>IFERROR(Table3[[#This Row],[Quantity (doses)]]/Table3[[#This Row],[Doses per vial or syringe]],"")</f>
        <v/>
      </c>
      <c r="N625" s="127"/>
      <c r="O625" s="127"/>
      <c r="P625" s="381"/>
      <c r="Q625" s="129"/>
      <c r="R625" s="127"/>
      <c r="S625" s="127"/>
      <c r="T625" s="127"/>
      <c r="U625" s="127"/>
      <c r="V625" s="305" t="str">
        <f>_xlfn.IFNA(VLOOKUP(D625,ProductListTbl[],9,0),"")</f>
        <v/>
      </c>
      <c r="W625" s="305" t="str">
        <f>IFERROR(Table3[[#This Row],[Storage space per secondary packaging (cm3)]]*Table3[[#This Row],[Quantity  (vials or syringes)]]/1000,"")</f>
        <v/>
      </c>
      <c r="X625" s="305" t="str">
        <f>IFERROR(Table3[[#This Row],[Storage space per tertiary packaging (cm3)]]*Table3[[#This Row],[Quantity (doses)]]/1000,"")</f>
        <v/>
      </c>
      <c r="Y625" s="293" t="str">
        <f>IF(Table3[[#This Row],[Status]]="Ordered",(DATE(YEAR(P625),MONTH(P625),1)),IF(Table3[[#This Row],[Status]]="Received",(DATE(YEAR(Q625),MONTH(Q625),1)),""))</f>
        <v/>
      </c>
      <c r="Z625" s="304" t="str">
        <f t="shared" si="36"/>
        <v/>
      </c>
      <c r="AA625" s="48" t="str">
        <f t="shared" si="37"/>
        <v/>
      </c>
      <c r="AB625" s="48" t="str">
        <f t="shared" si="38"/>
        <v/>
      </c>
      <c r="AC625" s="292" t="str">
        <f t="shared" si="39"/>
        <v/>
      </c>
      <c r="AD625" s="48" t="str">
        <f>IF(Table3[[#This Row],[Actual Arrival date]]&gt;0,IF(Table3[[#This Row],[Expected arrival date]]&gt;0,Table3[[#This Row],[Actual Arrival date]]-Table3[[#This Row],[Expected arrival date]],""),"")</f>
        <v/>
      </c>
    </row>
    <row r="626" spans="1:30" x14ac:dyDescent="0.25">
      <c r="A626" s="303" t="str">
        <f>Start!$D$7</f>
        <v>Anyland</v>
      </c>
      <c r="B626" s="48" t="str">
        <f>_xlfn.IFNA(VLOOKUP(A626,list!B:C,2,FALSE),"")</f>
        <v>ANY</v>
      </c>
      <c r="C626" s="48"/>
      <c r="D626" s="127"/>
      <c r="E626" s="48" t="str">
        <f>_xlfn.IFNA(VLOOKUP(Table3[[#This Row],[Product]], ProductListTbl[], 3, 0), "")</f>
        <v/>
      </c>
      <c r="F626" s="303" t="str">
        <f>_xlfn.IFNA(VLOOKUP(D626,ProductListTbl[],5,0),"")</f>
        <v/>
      </c>
      <c r="G626" s="303" t="str">
        <f>_xlfn.IFNA(VLOOKUP(D626,ProductListTbl[],6,0),"")</f>
        <v/>
      </c>
      <c r="H626" s="130" t="str">
        <f>_xlfn.IFNA(VLOOKUP(D626,ProductListTbl[],7,0),"")</f>
        <v/>
      </c>
      <c r="I626" s="130" t="str">
        <f>_xlfn.IFNA(VLOOKUP(D626,ProductListTbl[],8,0),"")</f>
        <v/>
      </c>
      <c r="J626" s="127"/>
      <c r="K626" s="129"/>
      <c r="L626" s="128"/>
      <c r="M626" s="305" t="str">
        <f>IFERROR(Table3[[#This Row],[Quantity (doses)]]/Table3[[#This Row],[Doses per vial or syringe]],"")</f>
        <v/>
      </c>
      <c r="N626" s="127"/>
      <c r="O626" s="127"/>
      <c r="P626" s="381"/>
      <c r="Q626" s="129"/>
      <c r="R626" s="127"/>
      <c r="S626" s="127"/>
      <c r="T626" s="127"/>
      <c r="U626" s="127"/>
      <c r="V626" s="305" t="str">
        <f>_xlfn.IFNA(VLOOKUP(D626,ProductListTbl[],9,0),"")</f>
        <v/>
      </c>
      <c r="W626" s="305" t="str">
        <f>IFERROR(Table3[[#This Row],[Storage space per secondary packaging (cm3)]]*Table3[[#This Row],[Quantity  (vials or syringes)]]/1000,"")</f>
        <v/>
      </c>
      <c r="X626" s="305" t="str">
        <f>IFERROR(Table3[[#This Row],[Storage space per tertiary packaging (cm3)]]*Table3[[#This Row],[Quantity (doses)]]/1000,"")</f>
        <v/>
      </c>
      <c r="Y626" s="293" t="str">
        <f>IF(Table3[[#This Row],[Status]]="Ordered",(DATE(YEAR(P626),MONTH(P626),1)),IF(Table3[[#This Row],[Status]]="Received",(DATE(YEAR(Q626),MONTH(Q626),1)),""))</f>
        <v/>
      </c>
      <c r="Z626" s="304" t="str">
        <f t="shared" si="36"/>
        <v/>
      </c>
      <c r="AA626" s="48" t="str">
        <f t="shared" si="37"/>
        <v/>
      </c>
      <c r="AB626" s="48" t="str">
        <f t="shared" si="38"/>
        <v/>
      </c>
      <c r="AC626" s="292" t="str">
        <f t="shared" si="39"/>
        <v/>
      </c>
      <c r="AD626" s="48" t="str">
        <f>IF(Table3[[#This Row],[Actual Arrival date]]&gt;0,IF(Table3[[#This Row],[Expected arrival date]]&gt;0,Table3[[#This Row],[Actual Arrival date]]-Table3[[#This Row],[Expected arrival date]],""),"")</f>
        <v/>
      </c>
    </row>
    <row r="627" spans="1:30" x14ac:dyDescent="0.25">
      <c r="A627" s="303" t="str">
        <f>Start!$D$7</f>
        <v>Anyland</v>
      </c>
      <c r="B627" s="48" t="str">
        <f>_xlfn.IFNA(VLOOKUP(A627,list!B:C,2,FALSE),"")</f>
        <v>ANY</v>
      </c>
      <c r="C627" s="48"/>
      <c r="D627" s="127"/>
      <c r="E627" s="48" t="str">
        <f>_xlfn.IFNA(VLOOKUP(Table3[[#This Row],[Product]], ProductListTbl[], 3, 0), "")</f>
        <v/>
      </c>
      <c r="F627" s="303" t="str">
        <f>_xlfn.IFNA(VLOOKUP(D627,ProductListTbl[],5,0),"")</f>
        <v/>
      </c>
      <c r="G627" s="303" t="str">
        <f>_xlfn.IFNA(VLOOKUP(D627,ProductListTbl[],6,0),"")</f>
        <v/>
      </c>
      <c r="H627" s="130" t="str">
        <f>_xlfn.IFNA(VLOOKUP(D627,ProductListTbl[],7,0),"")</f>
        <v/>
      </c>
      <c r="I627" s="130" t="str">
        <f>_xlfn.IFNA(VLOOKUP(D627,ProductListTbl[],8,0),"")</f>
        <v/>
      </c>
      <c r="J627" s="127"/>
      <c r="K627" s="129"/>
      <c r="L627" s="128"/>
      <c r="M627" s="305" t="str">
        <f>IFERROR(Table3[[#This Row],[Quantity (doses)]]/Table3[[#This Row],[Doses per vial or syringe]],"")</f>
        <v/>
      </c>
      <c r="N627" s="127"/>
      <c r="O627" s="127"/>
      <c r="P627" s="381"/>
      <c r="Q627" s="129"/>
      <c r="R627" s="127"/>
      <c r="S627" s="127"/>
      <c r="T627" s="127"/>
      <c r="U627" s="127"/>
      <c r="V627" s="305" t="str">
        <f>_xlfn.IFNA(VLOOKUP(D627,ProductListTbl[],9,0),"")</f>
        <v/>
      </c>
      <c r="W627" s="305" t="str">
        <f>IFERROR(Table3[[#This Row],[Storage space per secondary packaging (cm3)]]*Table3[[#This Row],[Quantity  (vials or syringes)]]/1000,"")</f>
        <v/>
      </c>
      <c r="X627" s="305" t="str">
        <f>IFERROR(Table3[[#This Row],[Storage space per tertiary packaging (cm3)]]*Table3[[#This Row],[Quantity (doses)]]/1000,"")</f>
        <v/>
      </c>
      <c r="Y627" s="293" t="str">
        <f>IF(Table3[[#This Row],[Status]]="Ordered",(DATE(YEAR(P627),MONTH(P627),1)),IF(Table3[[#This Row],[Status]]="Received",(DATE(YEAR(Q627),MONTH(Q627),1)),""))</f>
        <v/>
      </c>
      <c r="Z627" s="304" t="str">
        <f t="shared" si="36"/>
        <v/>
      </c>
      <c r="AA627" s="48" t="str">
        <f t="shared" si="37"/>
        <v/>
      </c>
      <c r="AB627" s="48" t="str">
        <f t="shared" si="38"/>
        <v/>
      </c>
      <c r="AC627" s="292" t="str">
        <f t="shared" si="39"/>
        <v/>
      </c>
      <c r="AD627" s="48" t="str">
        <f>IF(Table3[[#This Row],[Actual Arrival date]]&gt;0,IF(Table3[[#This Row],[Expected arrival date]]&gt;0,Table3[[#This Row],[Actual Arrival date]]-Table3[[#This Row],[Expected arrival date]],""),"")</f>
        <v/>
      </c>
    </row>
    <row r="628" spans="1:30" x14ac:dyDescent="0.25">
      <c r="A628" s="303" t="str">
        <f>Start!$D$7</f>
        <v>Anyland</v>
      </c>
      <c r="B628" s="48" t="str">
        <f>_xlfn.IFNA(VLOOKUP(A628,list!B:C,2,FALSE),"")</f>
        <v>ANY</v>
      </c>
      <c r="C628" s="48"/>
      <c r="D628" s="127"/>
      <c r="E628" s="48" t="str">
        <f>_xlfn.IFNA(VLOOKUP(Table3[[#This Row],[Product]], ProductListTbl[], 3, 0), "")</f>
        <v/>
      </c>
      <c r="F628" s="303" t="str">
        <f>_xlfn.IFNA(VLOOKUP(D628,ProductListTbl[],5,0),"")</f>
        <v/>
      </c>
      <c r="G628" s="303" t="str">
        <f>_xlfn.IFNA(VLOOKUP(D628,ProductListTbl[],6,0),"")</f>
        <v/>
      </c>
      <c r="H628" s="130" t="str">
        <f>_xlfn.IFNA(VLOOKUP(D628,ProductListTbl[],7,0),"")</f>
        <v/>
      </c>
      <c r="I628" s="130" t="str">
        <f>_xlfn.IFNA(VLOOKUP(D628,ProductListTbl[],8,0),"")</f>
        <v/>
      </c>
      <c r="J628" s="127"/>
      <c r="K628" s="129"/>
      <c r="L628" s="128"/>
      <c r="M628" s="305" t="str">
        <f>IFERROR(Table3[[#This Row],[Quantity (doses)]]/Table3[[#This Row],[Doses per vial or syringe]],"")</f>
        <v/>
      </c>
      <c r="N628" s="127"/>
      <c r="O628" s="127"/>
      <c r="P628" s="381"/>
      <c r="Q628" s="129"/>
      <c r="R628" s="127"/>
      <c r="S628" s="127"/>
      <c r="T628" s="127"/>
      <c r="U628" s="127"/>
      <c r="V628" s="305" t="str">
        <f>_xlfn.IFNA(VLOOKUP(D628,ProductListTbl[],9,0),"")</f>
        <v/>
      </c>
      <c r="W628" s="305" t="str">
        <f>IFERROR(Table3[[#This Row],[Storage space per secondary packaging (cm3)]]*Table3[[#This Row],[Quantity  (vials or syringes)]]/1000,"")</f>
        <v/>
      </c>
      <c r="X628" s="305" t="str">
        <f>IFERROR(Table3[[#This Row],[Storage space per tertiary packaging (cm3)]]*Table3[[#This Row],[Quantity (doses)]]/1000,"")</f>
        <v/>
      </c>
      <c r="Y628" s="293" t="str">
        <f>IF(Table3[[#This Row],[Status]]="Ordered",(DATE(YEAR(P628),MONTH(P628),1)),IF(Table3[[#This Row],[Status]]="Received",(DATE(YEAR(Q628),MONTH(Q628),1)),""))</f>
        <v/>
      </c>
      <c r="Z628" s="304" t="str">
        <f t="shared" si="36"/>
        <v/>
      </c>
      <c r="AA628" s="48" t="str">
        <f t="shared" si="37"/>
        <v/>
      </c>
      <c r="AB628" s="48" t="str">
        <f t="shared" si="38"/>
        <v/>
      </c>
      <c r="AC628" s="292" t="str">
        <f t="shared" si="39"/>
        <v/>
      </c>
      <c r="AD628" s="48" t="str">
        <f>IF(Table3[[#This Row],[Actual Arrival date]]&gt;0,IF(Table3[[#This Row],[Expected arrival date]]&gt;0,Table3[[#This Row],[Actual Arrival date]]-Table3[[#This Row],[Expected arrival date]],""),"")</f>
        <v/>
      </c>
    </row>
    <row r="629" spans="1:30" x14ac:dyDescent="0.25">
      <c r="A629" s="303" t="str">
        <f>Start!$D$7</f>
        <v>Anyland</v>
      </c>
      <c r="B629" s="48" t="str">
        <f>_xlfn.IFNA(VLOOKUP(A629,list!B:C,2,FALSE),"")</f>
        <v>ANY</v>
      </c>
      <c r="C629" s="48"/>
      <c r="D629" s="127"/>
      <c r="E629" s="48" t="str">
        <f>_xlfn.IFNA(VLOOKUP(Table3[[#This Row],[Product]], ProductListTbl[], 3, 0), "")</f>
        <v/>
      </c>
      <c r="F629" s="303" t="str">
        <f>_xlfn.IFNA(VLOOKUP(D629,ProductListTbl[],5,0),"")</f>
        <v/>
      </c>
      <c r="G629" s="303" t="str">
        <f>_xlfn.IFNA(VLOOKUP(D629,ProductListTbl[],6,0),"")</f>
        <v/>
      </c>
      <c r="H629" s="130" t="str">
        <f>_xlfn.IFNA(VLOOKUP(D629,ProductListTbl[],7,0),"")</f>
        <v/>
      </c>
      <c r="I629" s="130" t="str">
        <f>_xlfn.IFNA(VLOOKUP(D629,ProductListTbl[],8,0),"")</f>
        <v/>
      </c>
      <c r="J629" s="127"/>
      <c r="K629" s="129"/>
      <c r="L629" s="128"/>
      <c r="M629" s="305" t="str">
        <f>IFERROR(Table3[[#This Row],[Quantity (doses)]]/Table3[[#This Row],[Doses per vial or syringe]],"")</f>
        <v/>
      </c>
      <c r="N629" s="127"/>
      <c r="O629" s="127"/>
      <c r="P629" s="381"/>
      <c r="Q629" s="129"/>
      <c r="R629" s="127"/>
      <c r="S629" s="127"/>
      <c r="T629" s="127"/>
      <c r="U629" s="127"/>
      <c r="V629" s="305" t="str">
        <f>_xlfn.IFNA(VLOOKUP(D629,ProductListTbl[],9,0),"")</f>
        <v/>
      </c>
      <c r="W629" s="305" t="str">
        <f>IFERROR(Table3[[#This Row],[Storage space per secondary packaging (cm3)]]*Table3[[#This Row],[Quantity  (vials or syringes)]]/1000,"")</f>
        <v/>
      </c>
      <c r="X629" s="305" t="str">
        <f>IFERROR(Table3[[#This Row],[Storage space per tertiary packaging (cm3)]]*Table3[[#This Row],[Quantity (doses)]]/1000,"")</f>
        <v/>
      </c>
      <c r="Y629" s="293" t="str">
        <f>IF(Table3[[#This Row],[Status]]="Ordered",(DATE(YEAR(P629),MONTH(P629),1)),IF(Table3[[#This Row],[Status]]="Received",(DATE(YEAR(Q629),MONTH(Q629),1)),""))</f>
        <v/>
      </c>
      <c r="Z629" s="304" t="str">
        <f t="shared" si="36"/>
        <v/>
      </c>
      <c r="AA629" s="48" t="str">
        <f t="shared" si="37"/>
        <v/>
      </c>
      <c r="AB629" s="48" t="str">
        <f t="shared" si="38"/>
        <v/>
      </c>
      <c r="AC629" s="292" t="str">
        <f t="shared" si="39"/>
        <v/>
      </c>
      <c r="AD629" s="48" t="str">
        <f>IF(Table3[[#This Row],[Actual Arrival date]]&gt;0,IF(Table3[[#This Row],[Expected arrival date]]&gt;0,Table3[[#This Row],[Actual Arrival date]]-Table3[[#This Row],[Expected arrival date]],""),"")</f>
        <v/>
      </c>
    </row>
    <row r="630" spans="1:30" x14ac:dyDescent="0.25">
      <c r="A630" s="303" t="str">
        <f>Start!$D$7</f>
        <v>Anyland</v>
      </c>
      <c r="B630" s="48" t="str">
        <f>_xlfn.IFNA(VLOOKUP(A630,list!B:C,2,FALSE),"")</f>
        <v>ANY</v>
      </c>
      <c r="C630" s="48"/>
      <c r="D630" s="127"/>
      <c r="E630" s="48" t="str">
        <f>_xlfn.IFNA(VLOOKUP(Table3[[#This Row],[Product]], ProductListTbl[], 3, 0), "")</f>
        <v/>
      </c>
      <c r="F630" s="303" t="str">
        <f>_xlfn.IFNA(VLOOKUP(D630,ProductListTbl[],5,0),"")</f>
        <v/>
      </c>
      <c r="G630" s="303" t="str">
        <f>_xlfn.IFNA(VLOOKUP(D630,ProductListTbl[],6,0),"")</f>
        <v/>
      </c>
      <c r="H630" s="130" t="str">
        <f>_xlfn.IFNA(VLOOKUP(D630,ProductListTbl[],7,0),"")</f>
        <v/>
      </c>
      <c r="I630" s="130" t="str">
        <f>_xlfn.IFNA(VLOOKUP(D630,ProductListTbl[],8,0),"")</f>
        <v/>
      </c>
      <c r="J630" s="127"/>
      <c r="K630" s="129"/>
      <c r="L630" s="128"/>
      <c r="M630" s="305" t="str">
        <f>IFERROR(Table3[[#This Row],[Quantity (doses)]]/Table3[[#This Row],[Doses per vial or syringe]],"")</f>
        <v/>
      </c>
      <c r="N630" s="127"/>
      <c r="O630" s="127"/>
      <c r="P630" s="381"/>
      <c r="Q630" s="129"/>
      <c r="R630" s="127"/>
      <c r="S630" s="127"/>
      <c r="T630" s="127"/>
      <c r="U630" s="127"/>
      <c r="V630" s="305" t="str">
        <f>_xlfn.IFNA(VLOOKUP(D630,ProductListTbl[],9,0),"")</f>
        <v/>
      </c>
      <c r="W630" s="305" t="str">
        <f>IFERROR(Table3[[#This Row],[Storage space per secondary packaging (cm3)]]*Table3[[#This Row],[Quantity  (vials or syringes)]]/1000,"")</f>
        <v/>
      </c>
      <c r="X630" s="305" t="str">
        <f>IFERROR(Table3[[#This Row],[Storage space per tertiary packaging (cm3)]]*Table3[[#This Row],[Quantity (doses)]]/1000,"")</f>
        <v/>
      </c>
      <c r="Y630" s="293" t="str">
        <f>IF(Table3[[#This Row],[Status]]="Ordered",(DATE(YEAR(P630),MONTH(P630),1)),IF(Table3[[#This Row],[Status]]="Received",(DATE(YEAR(Q630),MONTH(Q630),1)),""))</f>
        <v/>
      </c>
      <c r="Z630" s="304" t="str">
        <f t="shared" si="36"/>
        <v/>
      </c>
      <c r="AA630" s="48" t="str">
        <f t="shared" si="37"/>
        <v/>
      </c>
      <c r="AB630" s="48" t="str">
        <f t="shared" si="38"/>
        <v/>
      </c>
      <c r="AC630" s="292" t="str">
        <f t="shared" si="39"/>
        <v/>
      </c>
      <c r="AD630" s="48" t="str">
        <f>IF(Table3[[#This Row],[Actual Arrival date]]&gt;0,IF(Table3[[#This Row],[Expected arrival date]]&gt;0,Table3[[#This Row],[Actual Arrival date]]-Table3[[#This Row],[Expected arrival date]],""),"")</f>
        <v/>
      </c>
    </row>
    <row r="631" spans="1:30" x14ac:dyDescent="0.25">
      <c r="A631" s="303" t="str">
        <f>Start!$D$7</f>
        <v>Anyland</v>
      </c>
      <c r="B631" s="48" t="str">
        <f>_xlfn.IFNA(VLOOKUP(A631,list!B:C,2,FALSE),"")</f>
        <v>ANY</v>
      </c>
      <c r="C631" s="48"/>
      <c r="D631" s="127"/>
      <c r="E631" s="48" t="str">
        <f>_xlfn.IFNA(VLOOKUP(Table3[[#This Row],[Product]], ProductListTbl[], 3, 0), "")</f>
        <v/>
      </c>
      <c r="F631" s="303" t="str">
        <f>_xlfn.IFNA(VLOOKUP(D631,ProductListTbl[],5,0),"")</f>
        <v/>
      </c>
      <c r="G631" s="303" t="str">
        <f>_xlfn.IFNA(VLOOKUP(D631,ProductListTbl[],6,0),"")</f>
        <v/>
      </c>
      <c r="H631" s="130" t="str">
        <f>_xlfn.IFNA(VLOOKUP(D631,ProductListTbl[],7,0),"")</f>
        <v/>
      </c>
      <c r="I631" s="130" t="str">
        <f>_xlfn.IFNA(VLOOKUP(D631,ProductListTbl[],8,0),"")</f>
        <v/>
      </c>
      <c r="J631" s="127"/>
      <c r="K631" s="129"/>
      <c r="L631" s="128"/>
      <c r="M631" s="305" t="str">
        <f>IFERROR(Table3[[#This Row],[Quantity (doses)]]/Table3[[#This Row],[Doses per vial or syringe]],"")</f>
        <v/>
      </c>
      <c r="N631" s="127"/>
      <c r="O631" s="127"/>
      <c r="P631" s="381"/>
      <c r="Q631" s="129"/>
      <c r="R631" s="127"/>
      <c r="S631" s="127"/>
      <c r="T631" s="127"/>
      <c r="U631" s="127"/>
      <c r="V631" s="305" t="str">
        <f>_xlfn.IFNA(VLOOKUP(D631,ProductListTbl[],9,0),"")</f>
        <v/>
      </c>
      <c r="W631" s="305" t="str">
        <f>IFERROR(Table3[[#This Row],[Storage space per secondary packaging (cm3)]]*Table3[[#This Row],[Quantity  (vials or syringes)]]/1000,"")</f>
        <v/>
      </c>
      <c r="X631" s="305" t="str">
        <f>IFERROR(Table3[[#This Row],[Storage space per tertiary packaging (cm3)]]*Table3[[#This Row],[Quantity (doses)]]/1000,"")</f>
        <v/>
      </c>
      <c r="Y631" s="293" t="str">
        <f>IF(Table3[[#This Row],[Status]]="Ordered",(DATE(YEAR(P631),MONTH(P631),1)),IF(Table3[[#This Row],[Status]]="Received",(DATE(YEAR(Q631),MONTH(Q631),1)),""))</f>
        <v/>
      </c>
      <c r="Z631" s="304" t="str">
        <f t="shared" si="36"/>
        <v/>
      </c>
      <c r="AA631" s="48" t="str">
        <f t="shared" si="37"/>
        <v/>
      </c>
      <c r="AB631" s="48" t="str">
        <f t="shared" si="38"/>
        <v/>
      </c>
      <c r="AC631" s="292" t="str">
        <f t="shared" si="39"/>
        <v/>
      </c>
      <c r="AD631" s="48" t="str">
        <f>IF(Table3[[#This Row],[Actual Arrival date]]&gt;0,IF(Table3[[#This Row],[Expected arrival date]]&gt;0,Table3[[#This Row],[Actual Arrival date]]-Table3[[#This Row],[Expected arrival date]],""),"")</f>
        <v/>
      </c>
    </row>
    <row r="632" spans="1:30" x14ac:dyDescent="0.25">
      <c r="A632" s="303" t="str">
        <f>Start!$D$7</f>
        <v>Anyland</v>
      </c>
      <c r="B632" s="48" t="str">
        <f>_xlfn.IFNA(VLOOKUP(A632,list!B:C,2,FALSE),"")</f>
        <v>ANY</v>
      </c>
      <c r="C632" s="48"/>
      <c r="D632" s="127"/>
      <c r="E632" s="48" t="str">
        <f>_xlfn.IFNA(VLOOKUP(Table3[[#This Row],[Product]], ProductListTbl[], 3, 0), "")</f>
        <v/>
      </c>
      <c r="F632" s="303" t="str">
        <f>_xlfn.IFNA(VLOOKUP(D632,ProductListTbl[],5,0),"")</f>
        <v/>
      </c>
      <c r="G632" s="303" t="str">
        <f>_xlfn.IFNA(VLOOKUP(D632,ProductListTbl[],6,0),"")</f>
        <v/>
      </c>
      <c r="H632" s="130" t="str">
        <f>_xlfn.IFNA(VLOOKUP(D632,ProductListTbl[],7,0),"")</f>
        <v/>
      </c>
      <c r="I632" s="130" t="str">
        <f>_xlfn.IFNA(VLOOKUP(D632,ProductListTbl[],8,0),"")</f>
        <v/>
      </c>
      <c r="J632" s="127"/>
      <c r="K632" s="129"/>
      <c r="L632" s="128"/>
      <c r="M632" s="305" t="str">
        <f>IFERROR(Table3[[#This Row],[Quantity (doses)]]/Table3[[#This Row],[Doses per vial or syringe]],"")</f>
        <v/>
      </c>
      <c r="N632" s="127"/>
      <c r="O632" s="127"/>
      <c r="P632" s="381"/>
      <c r="Q632" s="129"/>
      <c r="R632" s="127"/>
      <c r="S632" s="127"/>
      <c r="T632" s="127"/>
      <c r="U632" s="127"/>
      <c r="V632" s="305" t="str">
        <f>_xlfn.IFNA(VLOOKUP(D632,ProductListTbl[],9,0),"")</f>
        <v/>
      </c>
      <c r="W632" s="305" t="str">
        <f>IFERROR(Table3[[#This Row],[Storage space per secondary packaging (cm3)]]*Table3[[#This Row],[Quantity  (vials or syringes)]]/1000,"")</f>
        <v/>
      </c>
      <c r="X632" s="305" t="str">
        <f>IFERROR(Table3[[#This Row],[Storage space per tertiary packaging (cm3)]]*Table3[[#This Row],[Quantity (doses)]]/1000,"")</f>
        <v/>
      </c>
      <c r="Y632" s="293" t="str">
        <f>IF(Table3[[#This Row],[Status]]="Ordered",(DATE(YEAR(P632),MONTH(P632),1)),IF(Table3[[#This Row],[Status]]="Received",(DATE(YEAR(Q632),MONTH(Q632),1)),""))</f>
        <v/>
      </c>
      <c r="Z632" s="304" t="str">
        <f t="shared" si="36"/>
        <v/>
      </c>
      <c r="AA632" s="48" t="str">
        <f t="shared" si="37"/>
        <v/>
      </c>
      <c r="AB632" s="48" t="str">
        <f t="shared" si="38"/>
        <v/>
      </c>
      <c r="AC632" s="292" t="str">
        <f t="shared" si="39"/>
        <v/>
      </c>
      <c r="AD632" s="48" t="str">
        <f>IF(Table3[[#This Row],[Actual Arrival date]]&gt;0,IF(Table3[[#This Row],[Expected arrival date]]&gt;0,Table3[[#This Row],[Actual Arrival date]]-Table3[[#This Row],[Expected arrival date]],""),"")</f>
        <v/>
      </c>
    </row>
    <row r="633" spans="1:30" x14ac:dyDescent="0.25">
      <c r="A633" s="303" t="str">
        <f>Start!$D$7</f>
        <v>Anyland</v>
      </c>
      <c r="B633" s="48" t="str">
        <f>_xlfn.IFNA(VLOOKUP(A633,list!B:C,2,FALSE),"")</f>
        <v>ANY</v>
      </c>
      <c r="C633" s="48"/>
      <c r="D633" s="127"/>
      <c r="E633" s="48" t="str">
        <f>_xlfn.IFNA(VLOOKUP(Table3[[#This Row],[Product]], ProductListTbl[], 3, 0), "")</f>
        <v/>
      </c>
      <c r="F633" s="303" t="str">
        <f>_xlfn.IFNA(VLOOKUP(D633,ProductListTbl[],5,0),"")</f>
        <v/>
      </c>
      <c r="G633" s="303" t="str">
        <f>_xlfn.IFNA(VLOOKUP(D633,ProductListTbl[],6,0),"")</f>
        <v/>
      </c>
      <c r="H633" s="130" t="str">
        <f>_xlfn.IFNA(VLOOKUP(D633,ProductListTbl[],7,0),"")</f>
        <v/>
      </c>
      <c r="I633" s="130" t="str">
        <f>_xlfn.IFNA(VLOOKUP(D633,ProductListTbl[],8,0),"")</f>
        <v/>
      </c>
      <c r="J633" s="127"/>
      <c r="K633" s="129"/>
      <c r="L633" s="128"/>
      <c r="M633" s="305" t="str">
        <f>IFERROR(Table3[[#This Row],[Quantity (doses)]]/Table3[[#This Row],[Doses per vial or syringe]],"")</f>
        <v/>
      </c>
      <c r="N633" s="127"/>
      <c r="O633" s="127"/>
      <c r="P633" s="381"/>
      <c r="Q633" s="129"/>
      <c r="R633" s="127"/>
      <c r="S633" s="127"/>
      <c r="T633" s="127"/>
      <c r="U633" s="127"/>
      <c r="V633" s="305" t="str">
        <f>_xlfn.IFNA(VLOOKUP(D633,ProductListTbl[],9,0),"")</f>
        <v/>
      </c>
      <c r="W633" s="305" t="str">
        <f>IFERROR(Table3[[#This Row],[Storage space per secondary packaging (cm3)]]*Table3[[#This Row],[Quantity  (vials or syringes)]]/1000,"")</f>
        <v/>
      </c>
      <c r="X633" s="305" t="str">
        <f>IFERROR(Table3[[#This Row],[Storage space per tertiary packaging (cm3)]]*Table3[[#This Row],[Quantity (doses)]]/1000,"")</f>
        <v/>
      </c>
      <c r="Y633" s="293" t="str">
        <f>IF(Table3[[#This Row],[Status]]="Ordered",(DATE(YEAR(P633),MONTH(P633),1)),IF(Table3[[#This Row],[Status]]="Received",(DATE(YEAR(Q633),MONTH(Q633),1)),""))</f>
        <v/>
      </c>
      <c r="Z633" s="304" t="str">
        <f t="shared" si="36"/>
        <v/>
      </c>
      <c r="AA633" s="48" t="str">
        <f t="shared" si="37"/>
        <v/>
      </c>
      <c r="AB633" s="48" t="str">
        <f t="shared" si="38"/>
        <v/>
      </c>
      <c r="AC633" s="292" t="str">
        <f t="shared" si="39"/>
        <v/>
      </c>
      <c r="AD633" s="48" t="str">
        <f>IF(Table3[[#This Row],[Actual Arrival date]]&gt;0,IF(Table3[[#This Row],[Expected arrival date]]&gt;0,Table3[[#This Row],[Actual Arrival date]]-Table3[[#This Row],[Expected arrival date]],""),"")</f>
        <v/>
      </c>
    </row>
    <row r="634" spans="1:30" x14ac:dyDescent="0.25">
      <c r="A634" s="303" t="str">
        <f>Start!$D$7</f>
        <v>Anyland</v>
      </c>
      <c r="B634" s="48" t="str">
        <f>_xlfn.IFNA(VLOOKUP(A634,list!B:C,2,FALSE),"")</f>
        <v>ANY</v>
      </c>
      <c r="C634" s="48"/>
      <c r="D634" s="127"/>
      <c r="E634" s="48" t="str">
        <f>_xlfn.IFNA(VLOOKUP(Table3[[#This Row],[Product]], ProductListTbl[], 3, 0), "")</f>
        <v/>
      </c>
      <c r="F634" s="303" t="str">
        <f>_xlfn.IFNA(VLOOKUP(D634,ProductListTbl[],5,0),"")</f>
        <v/>
      </c>
      <c r="G634" s="303" t="str">
        <f>_xlfn.IFNA(VLOOKUP(D634,ProductListTbl[],6,0),"")</f>
        <v/>
      </c>
      <c r="H634" s="130" t="str">
        <f>_xlfn.IFNA(VLOOKUP(D634,ProductListTbl[],7,0),"")</f>
        <v/>
      </c>
      <c r="I634" s="130" t="str">
        <f>_xlfn.IFNA(VLOOKUP(D634,ProductListTbl[],8,0),"")</f>
        <v/>
      </c>
      <c r="J634" s="127"/>
      <c r="K634" s="129"/>
      <c r="L634" s="128"/>
      <c r="M634" s="305" t="str">
        <f>IFERROR(Table3[[#This Row],[Quantity (doses)]]/Table3[[#This Row],[Doses per vial or syringe]],"")</f>
        <v/>
      </c>
      <c r="N634" s="127"/>
      <c r="O634" s="127"/>
      <c r="P634" s="381"/>
      <c r="Q634" s="129"/>
      <c r="R634" s="127"/>
      <c r="S634" s="127"/>
      <c r="T634" s="127"/>
      <c r="U634" s="127"/>
      <c r="V634" s="305" t="str">
        <f>_xlfn.IFNA(VLOOKUP(D634,ProductListTbl[],9,0),"")</f>
        <v/>
      </c>
      <c r="W634" s="305" t="str">
        <f>IFERROR(Table3[[#This Row],[Storage space per secondary packaging (cm3)]]*Table3[[#This Row],[Quantity  (vials or syringes)]]/1000,"")</f>
        <v/>
      </c>
      <c r="X634" s="305" t="str">
        <f>IFERROR(Table3[[#This Row],[Storage space per tertiary packaging (cm3)]]*Table3[[#This Row],[Quantity (doses)]]/1000,"")</f>
        <v/>
      </c>
      <c r="Y634" s="293" t="str">
        <f>IF(Table3[[#This Row],[Status]]="Ordered",(DATE(YEAR(P634),MONTH(P634),1)),IF(Table3[[#This Row],[Status]]="Received",(DATE(YEAR(Q634),MONTH(Q634),1)),""))</f>
        <v/>
      </c>
      <c r="Z634" s="304" t="str">
        <f t="shared" si="36"/>
        <v/>
      </c>
      <c r="AA634" s="48" t="str">
        <f t="shared" si="37"/>
        <v/>
      </c>
      <c r="AB634" s="48" t="str">
        <f t="shared" si="38"/>
        <v/>
      </c>
      <c r="AC634" s="292" t="str">
        <f t="shared" si="39"/>
        <v/>
      </c>
      <c r="AD634" s="48" t="str">
        <f>IF(Table3[[#This Row],[Actual Arrival date]]&gt;0,IF(Table3[[#This Row],[Expected arrival date]]&gt;0,Table3[[#This Row],[Actual Arrival date]]-Table3[[#This Row],[Expected arrival date]],""),"")</f>
        <v/>
      </c>
    </row>
    <row r="635" spans="1:30" x14ac:dyDescent="0.25">
      <c r="A635" s="303" t="str">
        <f>Start!$D$7</f>
        <v>Anyland</v>
      </c>
      <c r="B635" s="48" t="str">
        <f>_xlfn.IFNA(VLOOKUP(A635,list!B:C,2,FALSE),"")</f>
        <v>ANY</v>
      </c>
      <c r="C635" s="48"/>
      <c r="D635" s="127"/>
      <c r="E635" s="48" t="str">
        <f>_xlfn.IFNA(VLOOKUP(Table3[[#This Row],[Product]], ProductListTbl[], 3, 0), "")</f>
        <v/>
      </c>
      <c r="F635" s="303" t="str">
        <f>_xlfn.IFNA(VLOOKUP(D635,ProductListTbl[],5,0),"")</f>
        <v/>
      </c>
      <c r="G635" s="303" t="str">
        <f>_xlfn.IFNA(VLOOKUP(D635,ProductListTbl[],6,0),"")</f>
        <v/>
      </c>
      <c r="H635" s="130" t="str">
        <f>_xlfn.IFNA(VLOOKUP(D635,ProductListTbl[],7,0),"")</f>
        <v/>
      </c>
      <c r="I635" s="130" t="str">
        <f>_xlfn.IFNA(VLOOKUP(D635,ProductListTbl[],8,0),"")</f>
        <v/>
      </c>
      <c r="J635" s="127"/>
      <c r="K635" s="129"/>
      <c r="L635" s="128"/>
      <c r="M635" s="305" t="str">
        <f>IFERROR(Table3[[#This Row],[Quantity (doses)]]/Table3[[#This Row],[Doses per vial or syringe]],"")</f>
        <v/>
      </c>
      <c r="N635" s="127"/>
      <c r="O635" s="127"/>
      <c r="P635" s="381"/>
      <c r="Q635" s="129"/>
      <c r="R635" s="127"/>
      <c r="S635" s="127"/>
      <c r="T635" s="127"/>
      <c r="U635" s="127"/>
      <c r="V635" s="305" t="str">
        <f>_xlfn.IFNA(VLOOKUP(D635,ProductListTbl[],9,0),"")</f>
        <v/>
      </c>
      <c r="W635" s="305" t="str">
        <f>IFERROR(Table3[[#This Row],[Storage space per secondary packaging (cm3)]]*Table3[[#This Row],[Quantity  (vials or syringes)]]/1000,"")</f>
        <v/>
      </c>
      <c r="X635" s="305" t="str">
        <f>IFERROR(Table3[[#This Row],[Storage space per tertiary packaging (cm3)]]*Table3[[#This Row],[Quantity (doses)]]/1000,"")</f>
        <v/>
      </c>
      <c r="Y635" s="293" t="str">
        <f>IF(Table3[[#This Row],[Status]]="Ordered",(DATE(YEAR(P635),MONTH(P635),1)),IF(Table3[[#This Row],[Status]]="Received",(DATE(YEAR(Q635),MONTH(Q635),1)),""))</f>
        <v/>
      </c>
      <c r="Z635" s="304" t="str">
        <f t="shared" si="36"/>
        <v/>
      </c>
      <c r="AA635" s="48" t="str">
        <f t="shared" si="37"/>
        <v/>
      </c>
      <c r="AB635" s="48" t="str">
        <f t="shared" si="38"/>
        <v/>
      </c>
      <c r="AC635" s="292" t="str">
        <f t="shared" si="39"/>
        <v/>
      </c>
      <c r="AD635" s="48" t="str">
        <f>IF(Table3[[#This Row],[Actual Arrival date]]&gt;0,IF(Table3[[#This Row],[Expected arrival date]]&gt;0,Table3[[#This Row],[Actual Arrival date]]-Table3[[#This Row],[Expected arrival date]],""),"")</f>
        <v/>
      </c>
    </row>
    <row r="636" spans="1:30" x14ac:dyDescent="0.25">
      <c r="A636" s="303" t="str">
        <f>Start!$D$7</f>
        <v>Anyland</v>
      </c>
      <c r="B636" s="48" t="str">
        <f>_xlfn.IFNA(VLOOKUP(A636,list!B:C,2,FALSE),"")</f>
        <v>ANY</v>
      </c>
      <c r="C636" s="48"/>
      <c r="D636" s="127"/>
      <c r="E636" s="48" t="str">
        <f>_xlfn.IFNA(VLOOKUP(Table3[[#This Row],[Product]], ProductListTbl[], 3, 0), "")</f>
        <v/>
      </c>
      <c r="F636" s="303" t="str">
        <f>_xlfn.IFNA(VLOOKUP(D636,ProductListTbl[],5,0),"")</f>
        <v/>
      </c>
      <c r="G636" s="303" t="str">
        <f>_xlfn.IFNA(VLOOKUP(D636,ProductListTbl[],6,0),"")</f>
        <v/>
      </c>
      <c r="H636" s="130" t="str">
        <f>_xlfn.IFNA(VLOOKUP(D636,ProductListTbl[],7,0),"")</f>
        <v/>
      </c>
      <c r="I636" s="130" t="str">
        <f>_xlfn.IFNA(VLOOKUP(D636,ProductListTbl[],8,0),"")</f>
        <v/>
      </c>
      <c r="J636" s="127"/>
      <c r="K636" s="129"/>
      <c r="L636" s="128"/>
      <c r="M636" s="305" t="str">
        <f>IFERROR(Table3[[#This Row],[Quantity (doses)]]/Table3[[#This Row],[Doses per vial or syringe]],"")</f>
        <v/>
      </c>
      <c r="N636" s="127"/>
      <c r="O636" s="127"/>
      <c r="P636" s="381"/>
      <c r="Q636" s="129"/>
      <c r="R636" s="127"/>
      <c r="S636" s="127"/>
      <c r="T636" s="127"/>
      <c r="U636" s="127"/>
      <c r="V636" s="305" t="str">
        <f>_xlfn.IFNA(VLOOKUP(D636,ProductListTbl[],9,0),"")</f>
        <v/>
      </c>
      <c r="W636" s="305" t="str">
        <f>IFERROR(Table3[[#This Row],[Storage space per secondary packaging (cm3)]]*Table3[[#This Row],[Quantity  (vials or syringes)]]/1000,"")</f>
        <v/>
      </c>
      <c r="X636" s="305" t="str">
        <f>IFERROR(Table3[[#This Row],[Storage space per tertiary packaging (cm3)]]*Table3[[#This Row],[Quantity (doses)]]/1000,"")</f>
        <v/>
      </c>
      <c r="Y636" s="293" t="str">
        <f>IF(Table3[[#This Row],[Status]]="Ordered",(DATE(YEAR(P636),MONTH(P636),1)),IF(Table3[[#This Row],[Status]]="Received",(DATE(YEAR(Q636),MONTH(Q636),1)),""))</f>
        <v/>
      </c>
      <c r="Z636" s="304" t="str">
        <f t="shared" si="36"/>
        <v/>
      </c>
      <c r="AA636" s="48" t="str">
        <f t="shared" si="37"/>
        <v/>
      </c>
      <c r="AB636" s="48" t="str">
        <f t="shared" si="38"/>
        <v/>
      </c>
      <c r="AC636" s="292" t="str">
        <f t="shared" si="39"/>
        <v/>
      </c>
      <c r="AD636" s="48" t="str">
        <f>IF(Table3[[#This Row],[Actual Arrival date]]&gt;0,IF(Table3[[#This Row],[Expected arrival date]]&gt;0,Table3[[#This Row],[Actual Arrival date]]-Table3[[#This Row],[Expected arrival date]],""),"")</f>
        <v/>
      </c>
    </row>
    <row r="637" spans="1:30" x14ac:dyDescent="0.25">
      <c r="A637" s="303" t="str">
        <f>Start!$D$7</f>
        <v>Anyland</v>
      </c>
      <c r="B637" s="48" t="str">
        <f>_xlfn.IFNA(VLOOKUP(A637,list!B:C,2,FALSE),"")</f>
        <v>ANY</v>
      </c>
      <c r="C637" s="48"/>
      <c r="D637" s="127"/>
      <c r="E637" s="48" t="str">
        <f>_xlfn.IFNA(VLOOKUP(Table3[[#This Row],[Product]], ProductListTbl[], 3, 0), "")</f>
        <v/>
      </c>
      <c r="F637" s="303" t="str">
        <f>_xlfn.IFNA(VLOOKUP(D637,ProductListTbl[],5,0),"")</f>
        <v/>
      </c>
      <c r="G637" s="303" t="str">
        <f>_xlfn.IFNA(VLOOKUP(D637,ProductListTbl[],6,0),"")</f>
        <v/>
      </c>
      <c r="H637" s="130" t="str">
        <f>_xlfn.IFNA(VLOOKUP(D637,ProductListTbl[],7,0),"")</f>
        <v/>
      </c>
      <c r="I637" s="130" t="str">
        <f>_xlfn.IFNA(VLOOKUP(D637,ProductListTbl[],8,0),"")</f>
        <v/>
      </c>
      <c r="J637" s="127"/>
      <c r="K637" s="129"/>
      <c r="L637" s="128"/>
      <c r="M637" s="305" t="str">
        <f>IFERROR(Table3[[#This Row],[Quantity (doses)]]/Table3[[#This Row],[Doses per vial or syringe]],"")</f>
        <v/>
      </c>
      <c r="N637" s="127"/>
      <c r="O637" s="127"/>
      <c r="P637" s="381"/>
      <c r="Q637" s="129"/>
      <c r="R637" s="127"/>
      <c r="S637" s="127"/>
      <c r="T637" s="127"/>
      <c r="U637" s="127"/>
      <c r="V637" s="305" t="str">
        <f>_xlfn.IFNA(VLOOKUP(D637,ProductListTbl[],9,0),"")</f>
        <v/>
      </c>
      <c r="W637" s="305" t="str">
        <f>IFERROR(Table3[[#This Row],[Storage space per secondary packaging (cm3)]]*Table3[[#This Row],[Quantity  (vials or syringes)]]/1000,"")</f>
        <v/>
      </c>
      <c r="X637" s="305" t="str">
        <f>IFERROR(Table3[[#This Row],[Storage space per tertiary packaging (cm3)]]*Table3[[#This Row],[Quantity (doses)]]/1000,"")</f>
        <v/>
      </c>
      <c r="Y637" s="293" t="str">
        <f>IF(Table3[[#This Row],[Status]]="Ordered",(DATE(YEAR(P637),MONTH(P637),1)),IF(Table3[[#This Row],[Status]]="Received",(DATE(YEAR(Q637),MONTH(Q637),1)),""))</f>
        <v/>
      </c>
      <c r="Z637" s="304" t="str">
        <f t="shared" si="36"/>
        <v/>
      </c>
      <c r="AA637" s="48" t="str">
        <f t="shared" si="37"/>
        <v/>
      </c>
      <c r="AB637" s="48" t="str">
        <f t="shared" si="38"/>
        <v/>
      </c>
      <c r="AC637" s="292" t="str">
        <f t="shared" si="39"/>
        <v/>
      </c>
      <c r="AD637" s="48" t="str">
        <f>IF(Table3[[#This Row],[Actual Arrival date]]&gt;0,IF(Table3[[#This Row],[Expected arrival date]]&gt;0,Table3[[#This Row],[Actual Arrival date]]-Table3[[#This Row],[Expected arrival date]],""),"")</f>
        <v/>
      </c>
    </row>
    <row r="638" spans="1:30" x14ac:dyDescent="0.25">
      <c r="A638" s="303" t="str">
        <f>Start!$D$7</f>
        <v>Anyland</v>
      </c>
      <c r="B638" s="48" t="str">
        <f>_xlfn.IFNA(VLOOKUP(A638,list!B:C,2,FALSE),"")</f>
        <v>ANY</v>
      </c>
      <c r="C638" s="48"/>
      <c r="D638" s="127"/>
      <c r="E638" s="48" t="str">
        <f>_xlfn.IFNA(VLOOKUP(Table3[[#This Row],[Product]], ProductListTbl[], 3, 0), "")</f>
        <v/>
      </c>
      <c r="F638" s="303" t="str">
        <f>_xlfn.IFNA(VLOOKUP(D638,ProductListTbl[],5,0),"")</f>
        <v/>
      </c>
      <c r="G638" s="303" t="str">
        <f>_xlfn.IFNA(VLOOKUP(D638,ProductListTbl[],6,0),"")</f>
        <v/>
      </c>
      <c r="H638" s="130" t="str">
        <f>_xlfn.IFNA(VLOOKUP(D638,ProductListTbl[],7,0),"")</f>
        <v/>
      </c>
      <c r="I638" s="130" t="str">
        <f>_xlfn.IFNA(VLOOKUP(D638,ProductListTbl[],8,0),"")</f>
        <v/>
      </c>
      <c r="J638" s="127"/>
      <c r="K638" s="129"/>
      <c r="L638" s="128"/>
      <c r="M638" s="305" t="str">
        <f>IFERROR(Table3[[#This Row],[Quantity (doses)]]/Table3[[#This Row],[Doses per vial or syringe]],"")</f>
        <v/>
      </c>
      <c r="N638" s="127"/>
      <c r="O638" s="127"/>
      <c r="P638" s="381"/>
      <c r="Q638" s="129"/>
      <c r="R638" s="127"/>
      <c r="S638" s="127"/>
      <c r="T638" s="127"/>
      <c r="U638" s="127"/>
      <c r="V638" s="305" t="str">
        <f>_xlfn.IFNA(VLOOKUP(D638,ProductListTbl[],9,0),"")</f>
        <v/>
      </c>
      <c r="W638" s="305" t="str">
        <f>IFERROR(Table3[[#This Row],[Storage space per secondary packaging (cm3)]]*Table3[[#This Row],[Quantity  (vials or syringes)]]/1000,"")</f>
        <v/>
      </c>
      <c r="X638" s="305" t="str">
        <f>IFERROR(Table3[[#This Row],[Storage space per tertiary packaging (cm3)]]*Table3[[#This Row],[Quantity (doses)]]/1000,"")</f>
        <v/>
      </c>
      <c r="Y638" s="293" t="str">
        <f>IF(Table3[[#This Row],[Status]]="Ordered",(DATE(YEAR(P638),MONTH(P638),1)),IF(Table3[[#This Row],[Status]]="Received",(DATE(YEAR(Q638),MONTH(Q638),1)),""))</f>
        <v/>
      </c>
      <c r="Z638" s="304" t="str">
        <f t="shared" si="36"/>
        <v/>
      </c>
      <c r="AA638" s="48" t="str">
        <f t="shared" si="37"/>
        <v/>
      </c>
      <c r="AB638" s="48" t="str">
        <f t="shared" si="38"/>
        <v/>
      </c>
      <c r="AC638" s="292" t="str">
        <f t="shared" si="39"/>
        <v/>
      </c>
      <c r="AD638" s="48" t="str">
        <f>IF(Table3[[#This Row],[Actual Arrival date]]&gt;0,IF(Table3[[#This Row],[Expected arrival date]]&gt;0,Table3[[#This Row],[Actual Arrival date]]-Table3[[#This Row],[Expected arrival date]],""),"")</f>
        <v/>
      </c>
    </row>
    <row r="639" spans="1:30" x14ac:dyDescent="0.25">
      <c r="A639" s="303" t="str">
        <f>Start!$D$7</f>
        <v>Anyland</v>
      </c>
      <c r="B639" s="48" t="str">
        <f>_xlfn.IFNA(VLOOKUP(A639,list!B:C,2,FALSE),"")</f>
        <v>ANY</v>
      </c>
      <c r="C639" s="48"/>
      <c r="D639" s="127"/>
      <c r="E639" s="48" t="str">
        <f>_xlfn.IFNA(VLOOKUP(Table3[[#This Row],[Product]], ProductListTbl[], 3, 0), "")</f>
        <v/>
      </c>
      <c r="F639" s="303" t="str">
        <f>_xlfn.IFNA(VLOOKUP(D639,ProductListTbl[],5,0),"")</f>
        <v/>
      </c>
      <c r="G639" s="303" t="str">
        <f>_xlfn.IFNA(VLOOKUP(D639,ProductListTbl[],6,0),"")</f>
        <v/>
      </c>
      <c r="H639" s="130" t="str">
        <f>_xlfn.IFNA(VLOOKUP(D639,ProductListTbl[],7,0),"")</f>
        <v/>
      </c>
      <c r="I639" s="130" t="str">
        <f>_xlfn.IFNA(VLOOKUP(D639,ProductListTbl[],8,0),"")</f>
        <v/>
      </c>
      <c r="J639" s="127"/>
      <c r="K639" s="129"/>
      <c r="L639" s="128"/>
      <c r="M639" s="305" t="str">
        <f>IFERROR(Table3[[#This Row],[Quantity (doses)]]/Table3[[#This Row],[Doses per vial or syringe]],"")</f>
        <v/>
      </c>
      <c r="N639" s="127"/>
      <c r="O639" s="127"/>
      <c r="P639" s="381"/>
      <c r="Q639" s="129"/>
      <c r="R639" s="127"/>
      <c r="S639" s="127"/>
      <c r="T639" s="127"/>
      <c r="U639" s="127"/>
      <c r="V639" s="305" t="str">
        <f>_xlfn.IFNA(VLOOKUP(D639,ProductListTbl[],9,0),"")</f>
        <v/>
      </c>
      <c r="W639" s="305" t="str">
        <f>IFERROR(Table3[[#This Row],[Storage space per secondary packaging (cm3)]]*Table3[[#This Row],[Quantity  (vials or syringes)]]/1000,"")</f>
        <v/>
      </c>
      <c r="X639" s="305" t="str">
        <f>IFERROR(Table3[[#This Row],[Storage space per tertiary packaging (cm3)]]*Table3[[#This Row],[Quantity (doses)]]/1000,"")</f>
        <v/>
      </c>
      <c r="Y639" s="293" t="str">
        <f>IF(Table3[[#This Row],[Status]]="Ordered",(DATE(YEAR(P639),MONTH(P639),1)),IF(Table3[[#This Row],[Status]]="Received",(DATE(YEAR(Q639),MONTH(Q639),1)),""))</f>
        <v/>
      </c>
      <c r="Z639" s="304" t="str">
        <f t="shared" si="36"/>
        <v/>
      </c>
      <c r="AA639" s="48" t="str">
        <f t="shared" si="37"/>
        <v/>
      </c>
      <c r="AB639" s="48" t="str">
        <f t="shared" si="38"/>
        <v/>
      </c>
      <c r="AC639" s="292" t="str">
        <f t="shared" si="39"/>
        <v/>
      </c>
      <c r="AD639" s="48" t="str">
        <f>IF(Table3[[#This Row],[Actual Arrival date]]&gt;0,IF(Table3[[#This Row],[Expected arrival date]]&gt;0,Table3[[#This Row],[Actual Arrival date]]-Table3[[#This Row],[Expected arrival date]],""),"")</f>
        <v/>
      </c>
    </row>
    <row r="640" spans="1:30" x14ac:dyDescent="0.25">
      <c r="A640" s="303" t="str">
        <f>Start!$D$7</f>
        <v>Anyland</v>
      </c>
      <c r="B640" s="48" t="str">
        <f>_xlfn.IFNA(VLOOKUP(A640,list!B:C,2,FALSE),"")</f>
        <v>ANY</v>
      </c>
      <c r="C640" s="48"/>
      <c r="D640" s="127"/>
      <c r="E640" s="48" t="str">
        <f>_xlfn.IFNA(VLOOKUP(Table3[[#This Row],[Product]], ProductListTbl[], 3, 0), "")</f>
        <v/>
      </c>
      <c r="F640" s="303" t="str">
        <f>_xlfn.IFNA(VLOOKUP(D640,ProductListTbl[],5,0),"")</f>
        <v/>
      </c>
      <c r="G640" s="303" t="str">
        <f>_xlfn.IFNA(VLOOKUP(D640,ProductListTbl[],6,0),"")</f>
        <v/>
      </c>
      <c r="H640" s="130" t="str">
        <f>_xlfn.IFNA(VLOOKUP(D640,ProductListTbl[],7,0),"")</f>
        <v/>
      </c>
      <c r="I640" s="130" t="str">
        <f>_xlfn.IFNA(VLOOKUP(D640,ProductListTbl[],8,0),"")</f>
        <v/>
      </c>
      <c r="J640" s="127"/>
      <c r="K640" s="129"/>
      <c r="L640" s="128"/>
      <c r="M640" s="305" t="str">
        <f>IFERROR(Table3[[#This Row],[Quantity (doses)]]/Table3[[#This Row],[Doses per vial or syringe]],"")</f>
        <v/>
      </c>
      <c r="N640" s="127"/>
      <c r="O640" s="127"/>
      <c r="P640" s="381"/>
      <c r="Q640" s="129"/>
      <c r="R640" s="127"/>
      <c r="S640" s="127"/>
      <c r="T640" s="127"/>
      <c r="U640" s="127"/>
      <c r="V640" s="305" t="str">
        <f>_xlfn.IFNA(VLOOKUP(D640,ProductListTbl[],9,0),"")</f>
        <v/>
      </c>
      <c r="W640" s="305" t="str">
        <f>IFERROR(Table3[[#This Row],[Storage space per secondary packaging (cm3)]]*Table3[[#This Row],[Quantity  (vials or syringes)]]/1000,"")</f>
        <v/>
      </c>
      <c r="X640" s="305" t="str">
        <f>IFERROR(Table3[[#This Row],[Storage space per tertiary packaging (cm3)]]*Table3[[#This Row],[Quantity (doses)]]/1000,"")</f>
        <v/>
      </c>
      <c r="Y640" s="293" t="str">
        <f>IF(Table3[[#This Row],[Status]]="Ordered",(DATE(YEAR(P640),MONTH(P640),1)),IF(Table3[[#This Row],[Status]]="Received",(DATE(YEAR(Q640),MONTH(Q640),1)),""))</f>
        <v/>
      </c>
      <c r="Z640" s="304" t="str">
        <f t="shared" si="36"/>
        <v/>
      </c>
      <c r="AA640" s="48" t="str">
        <f t="shared" si="37"/>
        <v/>
      </c>
      <c r="AB640" s="48" t="str">
        <f t="shared" si="38"/>
        <v/>
      </c>
      <c r="AC640" s="292" t="str">
        <f t="shared" si="39"/>
        <v/>
      </c>
      <c r="AD640" s="48" t="str">
        <f>IF(Table3[[#This Row],[Actual Arrival date]]&gt;0,IF(Table3[[#This Row],[Expected arrival date]]&gt;0,Table3[[#This Row],[Actual Arrival date]]-Table3[[#This Row],[Expected arrival date]],""),"")</f>
        <v/>
      </c>
    </row>
    <row r="641" spans="1:30" x14ac:dyDescent="0.25">
      <c r="A641" s="303" t="str">
        <f>Start!$D$7</f>
        <v>Anyland</v>
      </c>
      <c r="B641" s="48" t="str">
        <f>_xlfn.IFNA(VLOOKUP(A641,list!B:C,2,FALSE),"")</f>
        <v>ANY</v>
      </c>
      <c r="C641" s="48"/>
      <c r="D641" s="127"/>
      <c r="E641" s="48" t="str">
        <f>_xlfn.IFNA(VLOOKUP(Table3[[#This Row],[Product]], ProductListTbl[], 3, 0), "")</f>
        <v/>
      </c>
      <c r="F641" s="303" t="str">
        <f>_xlfn.IFNA(VLOOKUP(D641,ProductListTbl[],5,0),"")</f>
        <v/>
      </c>
      <c r="G641" s="303" t="str">
        <f>_xlfn.IFNA(VLOOKUP(D641,ProductListTbl[],6,0),"")</f>
        <v/>
      </c>
      <c r="H641" s="130" t="str">
        <f>_xlfn.IFNA(VLOOKUP(D641,ProductListTbl[],7,0),"")</f>
        <v/>
      </c>
      <c r="I641" s="130" t="str">
        <f>_xlfn.IFNA(VLOOKUP(D641,ProductListTbl[],8,0),"")</f>
        <v/>
      </c>
      <c r="J641" s="127"/>
      <c r="K641" s="129"/>
      <c r="L641" s="128"/>
      <c r="M641" s="305" t="str">
        <f>IFERROR(Table3[[#This Row],[Quantity (doses)]]/Table3[[#This Row],[Doses per vial or syringe]],"")</f>
        <v/>
      </c>
      <c r="N641" s="127"/>
      <c r="O641" s="127"/>
      <c r="P641" s="381"/>
      <c r="Q641" s="129"/>
      <c r="R641" s="127"/>
      <c r="S641" s="127"/>
      <c r="T641" s="127"/>
      <c r="U641" s="127"/>
      <c r="V641" s="305" t="str">
        <f>_xlfn.IFNA(VLOOKUP(D641,ProductListTbl[],9,0),"")</f>
        <v/>
      </c>
      <c r="W641" s="305" t="str">
        <f>IFERROR(Table3[[#This Row],[Storage space per secondary packaging (cm3)]]*Table3[[#This Row],[Quantity  (vials or syringes)]]/1000,"")</f>
        <v/>
      </c>
      <c r="X641" s="305" t="str">
        <f>IFERROR(Table3[[#This Row],[Storage space per tertiary packaging (cm3)]]*Table3[[#This Row],[Quantity (doses)]]/1000,"")</f>
        <v/>
      </c>
      <c r="Y641" s="293" t="str">
        <f>IF(Table3[[#This Row],[Status]]="Ordered",(DATE(YEAR(P641),MONTH(P641),1)),IF(Table3[[#This Row],[Status]]="Received",(DATE(YEAR(Q641),MONTH(Q641),1)),""))</f>
        <v/>
      </c>
      <c r="Z641" s="304" t="str">
        <f t="shared" si="36"/>
        <v/>
      </c>
      <c r="AA641" s="48" t="str">
        <f t="shared" si="37"/>
        <v/>
      </c>
      <c r="AB641" s="48" t="str">
        <f t="shared" si="38"/>
        <v/>
      </c>
      <c r="AC641" s="292" t="str">
        <f t="shared" si="39"/>
        <v/>
      </c>
      <c r="AD641" s="48" t="str">
        <f>IF(Table3[[#This Row],[Actual Arrival date]]&gt;0,IF(Table3[[#This Row],[Expected arrival date]]&gt;0,Table3[[#This Row],[Actual Arrival date]]-Table3[[#This Row],[Expected arrival date]],""),"")</f>
        <v/>
      </c>
    </row>
    <row r="642" spans="1:30" x14ac:dyDescent="0.25">
      <c r="A642" s="303" t="str">
        <f>Start!$D$7</f>
        <v>Anyland</v>
      </c>
      <c r="B642" s="48" t="str">
        <f>_xlfn.IFNA(VLOOKUP(A642,list!B:C,2,FALSE),"")</f>
        <v>ANY</v>
      </c>
      <c r="C642" s="48"/>
      <c r="D642" s="127"/>
      <c r="E642" s="48" t="str">
        <f>_xlfn.IFNA(VLOOKUP(Table3[[#This Row],[Product]], ProductListTbl[], 3, 0), "")</f>
        <v/>
      </c>
      <c r="F642" s="303" t="str">
        <f>_xlfn.IFNA(VLOOKUP(D642,ProductListTbl[],5,0),"")</f>
        <v/>
      </c>
      <c r="G642" s="303" t="str">
        <f>_xlfn.IFNA(VLOOKUP(D642,ProductListTbl[],6,0),"")</f>
        <v/>
      </c>
      <c r="H642" s="130" t="str">
        <f>_xlfn.IFNA(VLOOKUP(D642,ProductListTbl[],7,0),"")</f>
        <v/>
      </c>
      <c r="I642" s="130" t="str">
        <f>_xlfn.IFNA(VLOOKUP(D642,ProductListTbl[],8,0),"")</f>
        <v/>
      </c>
      <c r="J642" s="127"/>
      <c r="K642" s="129"/>
      <c r="L642" s="128"/>
      <c r="M642" s="305" t="str">
        <f>IFERROR(Table3[[#This Row],[Quantity (doses)]]/Table3[[#This Row],[Doses per vial or syringe]],"")</f>
        <v/>
      </c>
      <c r="N642" s="127"/>
      <c r="O642" s="127"/>
      <c r="P642" s="381"/>
      <c r="Q642" s="129"/>
      <c r="R642" s="127"/>
      <c r="S642" s="127"/>
      <c r="T642" s="127"/>
      <c r="U642" s="127"/>
      <c r="V642" s="305" t="str">
        <f>_xlfn.IFNA(VLOOKUP(D642,ProductListTbl[],9,0),"")</f>
        <v/>
      </c>
      <c r="W642" s="305" t="str">
        <f>IFERROR(Table3[[#This Row],[Storage space per secondary packaging (cm3)]]*Table3[[#This Row],[Quantity  (vials or syringes)]]/1000,"")</f>
        <v/>
      </c>
      <c r="X642" s="305" t="str">
        <f>IFERROR(Table3[[#This Row],[Storage space per tertiary packaging (cm3)]]*Table3[[#This Row],[Quantity (doses)]]/1000,"")</f>
        <v/>
      </c>
      <c r="Y642" s="293" t="str">
        <f>IF(Table3[[#This Row],[Status]]="Ordered",(DATE(YEAR(P642),MONTH(P642),1)),IF(Table3[[#This Row],[Status]]="Received",(DATE(YEAR(Q642),MONTH(Q642),1)),""))</f>
        <v/>
      </c>
      <c r="Z642" s="304" t="str">
        <f t="shared" si="36"/>
        <v/>
      </c>
      <c r="AA642" s="48" t="str">
        <f t="shared" si="37"/>
        <v/>
      </c>
      <c r="AB642" s="48" t="str">
        <f t="shared" si="38"/>
        <v/>
      </c>
      <c r="AC642" s="292" t="str">
        <f t="shared" si="39"/>
        <v/>
      </c>
      <c r="AD642" s="48" t="str">
        <f>IF(Table3[[#This Row],[Actual Arrival date]]&gt;0,IF(Table3[[#This Row],[Expected arrival date]]&gt;0,Table3[[#This Row],[Actual Arrival date]]-Table3[[#This Row],[Expected arrival date]],""),"")</f>
        <v/>
      </c>
    </row>
    <row r="643" spans="1:30" x14ac:dyDescent="0.25">
      <c r="A643" s="303" t="str">
        <f>Start!$D$7</f>
        <v>Anyland</v>
      </c>
      <c r="B643" s="48" t="str">
        <f>_xlfn.IFNA(VLOOKUP(A643,list!B:C,2,FALSE),"")</f>
        <v>ANY</v>
      </c>
      <c r="C643" s="48"/>
      <c r="D643" s="127"/>
      <c r="E643" s="48" t="str">
        <f>_xlfn.IFNA(VLOOKUP(Table3[[#This Row],[Product]], ProductListTbl[], 3, 0), "")</f>
        <v/>
      </c>
      <c r="F643" s="303" t="str">
        <f>_xlfn.IFNA(VLOOKUP(D643,ProductListTbl[],5,0),"")</f>
        <v/>
      </c>
      <c r="G643" s="303" t="str">
        <f>_xlfn.IFNA(VLOOKUP(D643,ProductListTbl[],6,0),"")</f>
        <v/>
      </c>
      <c r="H643" s="130" t="str">
        <f>_xlfn.IFNA(VLOOKUP(D643,ProductListTbl[],7,0),"")</f>
        <v/>
      </c>
      <c r="I643" s="130" t="str">
        <f>_xlfn.IFNA(VLOOKUP(D643,ProductListTbl[],8,0),"")</f>
        <v/>
      </c>
      <c r="J643" s="127"/>
      <c r="K643" s="129"/>
      <c r="L643" s="128"/>
      <c r="M643" s="305" t="str">
        <f>IFERROR(Table3[[#This Row],[Quantity (doses)]]/Table3[[#This Row],[Doses per vial or syringe]],"")</f>
        <v/>
      </c>
      <c r="N643" s="127"/>
      <c r="O643" s="127"/>
      <c r="P643" s="381"/>
      <c r="Q643" s="129"/>
      <c r="R643" s="127"/>
      <c r="S643" s="127"/>
      <c r="T643" s="127"/>
      <c r="U643" s="127"/>
      <c r="V643" s="305" t="str">
        <f>_xlfn.IFNA(VLOOKUP(D643,ProductListTbl[],9,0),"")</f>
        <v/>
      </c>
      <c r="W643" s="305" t="str">
        <f>IFERROR(Table3[[#This Row],[Storage space per secondary packaging (cm3)]]*Table3[[#This Row],[Quantity  (vials or syringes)]]/1000,"")</f>
        <v/>
      </c>
      <c r="X643" s="305" t="str">
        <f>IFERROR(Table3[[#This Row],[Storage space per tertiary packaging (cm3)]]*Table3[[#This Row],[Quantity (doses)]]/1000,"")</f>
        <v/>
      </c>
      <c r="Y643" s="293" t="str">
        <f>IF(Table3[[#This Row],[Status]]="Ordered",(DATE(YEAR(P643),MONTH(P643),1)),IF(Table3[[#This Row],[Status]]="Received",(DATE(YEAR(Q643),MONTH(Q643),1)),""))</f>
        <v/>
      </c>
      <c r="Z643" s="304" t="str">
        <f t="shared" si="36"/>
        <v/>
      </c>
      <c r="AA643" s="48" t="str">
        <f t="shared" si="37"/>
        <v/>
      </c>
      <c r="AB643" s="48" t="str">
        <f t="shared" si="38"/>
        <v/>
      </c>
      <c r="AC643" s="292" t="str">
        <f t="shared" si="39"/>
        <v/>
      </c>
      <c r="AD643" s="48" t="str">
        <f>IF(Table3[[#This Row],[Actual Arrival date]]&gt;0,IF(Table3[[#This Row],[Expected arrival date]]&gt;0,Table3[[#This Row],[Actual Arrival date]]-Table3[[#This Row],[Expected arrival date]],""),"")</f>
        <v/>
      </c>
    </row>
    <row r="644" spans="1:30" x14ac:dyDescent="0.25">
      <c r="A644" s="303" t="str">
        <f>Start!$D$7</f>
        <v>Anyland</v>
      </c>
      <c r="B644" s="48" t="str">
        <f>_xlfn.IFNA(VLOOKUP(A644,list!B:C,2,FALSE),"")</f>
        <v>ANY</v>
      </c>
      <c r="C644" s="48"/>
      <c r="D644" s="127"/>
      <c r="E644" s="48" t="str">
        <f>_xlfn.IFNA(VLOOKUP(Table3[[#This Row],[Product]], ProductListTbl[], 3, 0), "")</f>
        <v/>
      </c>
      <c r="F644" s="303" t="str">
        <f>_xlfn.IFNA(VLOOKUP(D644,ProductListTbl[],5,0),"")</f>
        <v/>
      </c>
      <c r="G644" s="303" t="str">
        <f>_xlfn.IFNA(VLOOKUP(D644,ProductListTbl[],6,0),"")</f>
        <v/>
      </c>
      <c r="H644" s="130" t="str">
        <f>_xlfn.IFNA(VLOOKUP(D644,ProductListTbl[],7,0),"")</f>
        <v/>
      </c>
      <c r="I644" s="130" t="str">
        <f>_xlfn.IFNA(VLOOKUP(D644,ProductListTbl[],8,0),"")</f>
        <v/>
      </c>
      <c r="J644" s="127"/>
      <c r="K644" s="129"/>
      <c r="L644" s="128"/>
      <c r="M644" s="305" t="str">
        <f>IFERROR(Table3[[#This Row],[Quantity (doses)]]/Table3[[#This Row],[Doses per vial or syringe]],"")</f>
        <v/>
      </c>
      <c r="N644" s="127"/>
      <c r="O644" s="127"/>
      <c r="P644" s="381"/>
      <c r="Q644" s="129"/>
      <c r="R644" s="127"/>
      <c r="S644" s="127"/>
      <c r="T644" s="127"/>
      <c r="U644" s="127"/>
      <c r="V644" s="305" t="str">
        <f>_xlfn.IFNA(VLOOKUP(D644,ProductListTbl[],9,0),"")</f>
        <v/>
      </c>
      <c r="W644" s="305" t="str">
        <f>IFERROR(Table3[[#This Row],[Storage space per secondary packaging (cm3)]]*Table3[[#This Row],[Quantity  (vials or syringes)]]/1000,"")</f>
        <v/>
      </c>
      <c r="X644" s="305" t="str">
        <f>IFERROR(Table3[[#This Row],[Storage space per tertiary packaging (cm3)]]*Table3[[#This Row],[Quantity (doses)]]/1000,"")</f>
        <v/>
      </c>
      <c r="Y644" s="293" t="str">
        <f>IF(Table3[[#This Row],[Status]]="Ordered",(DATE(YEAR(P644),MONTH(P644),1)),IF(Table3[[#This Row],[Status]]="Received",(DATE(YEAR(Q644),MONTH(Q644),1)),""))</f>
        <v/>
      </c>
      <c r="Z644" s="304" t="str">
        <f t="shared" si="36"/>
        <v/>
      </c>
      <c r="AA644" s="48" t="str">
        <f t="shared" si="37"/>
        <v/>
      </c>
      <c r="AB644" s="48" t="str">
        <f t="shared" si="38"/>
        <v/>
      </c>
      <c r="AC644" s="292" t="str">
        <f t="shared" si="39"/>
        <v/>
      </c>
      <c r="AD644" s="48" t="str">
        <f>IF(Table3[[#This Row],[Actual Arrival date]]&gt;0,IF(Table3[[#This Row],[Expected arrival date]]&gt;0,Table3[[#This Row],[Actual Arrival date]]-Table3[[#This Row],[Expected arrival date]],""),"")</f>
        <v/>
      </c>
    </row>
    <row r="645" spans="1:30" x14ac:dyDescent="0.25">
      <c r="A645" s="303" t="str">
        <f>Start!$D$7</f>
        <v>Anyland</v>
      </c>
      <c r="B645" s="48" t="str">
        <f>_xlfn.IFNA(VLOOKUP(A645,list!B:C,2,FALSE),"")</f>
        <v>ANY</v>
      </c>
      <c r="C645" s="48"/>
      <c r="D645" s="127"/>
      <c r="E645" s="48" t="str">
        <f>_xlfn.IFNA(VLOOKUP(Table3[[#This Row],[Product]], ProductListTbl[], 3, 0), "")</f>
        <v/>
      </c>
      <c r="F645" s="303" t="str">
        <f>_xlfn.IFNA(VLOOKUP(D645,ProductListTbl[],5,0),"")</f>
        <v/>
      </c>
      <c r="G645" s="303" t="str">
        <f>_xlfn.IFNA(VLOOKUP(D645,ProductListTbl[],6,0),"")</f>
        <v/>
      </c>
      <c r="H645" s="130" t="str">
        <f>_xlfn.IFNA(VLOOKUP(D645,ProductListTbl[],7,0),"")</f>
        <v/>
      </c>
      <c r="I645" s="130" t="str">
        <f>_xlfn.IFNA(VLOOKUP(D645,ProductListTbl[],8,0),"")</f>
        <v/>
      </c>
      <c r="J645" s="127"/>
      <c r="K645" s="129"/>
      <c r="L645" s="128"/>
      <c r="M645" s="305" t="str">
        <f>IFERROR(Table3[[#This Row],[Quantity (doses)]]/Table3[[#This Row],[Doses per vial or syringe]],"")</f>
        <v/>
      </c>
      <c r="N645" s="127"/>
      <c r="O645" s="127"/>
      <c r="P645" s="381"/>
      <c r="Q645" s="129"/>
      <c r="R645" s="127"/>
      <c r="S645" s="127"/>
      <c r="T645" s="127"/>
      <c r="U645" s="127"/>
      <c r="V645" s="305" t="str">
        <f>_xlfn.IFNA(VLOOKUP(D645,ProductListTbl[],9,0),"")</f>
        <v/>
      </c>
      <c r="W645" s="305" t="str">
        <f>IFERROR(Table3[[#This Row],[Storage space per secondary packaging (cm3)]]*Table3[[#This Row],[Quantity  (vials or syringes)]]/1000,"")</f>
        <v/>
      </c>
      <c r="X645" s="305" t="str">
        <f>IFERROR(Table3[[#This Row],[Storage space per tertiary packaging (cm3)]]*Table3[[#This Row],[Quantity (doses)]]/1000,"")</f>
        <v/>
      </c>
      <c r="Y645" s="293" t="str">
        <f>IF(Table3[[#This Row],[Status]]="Ordered",(DATE(YEAR(P645),MONTH(P645),1)),IF(Table3[[#This Row],[Status]]="Received",(DATE(YEAR(Q645),MONTH(Q645),1)),""))</f>
        <v/>
      </c>
      <c r="Z645" s="304" t="str">
        <f t="shared" ref="Z645:Z708" si="40">IFERROR(IF(K645&gt;0,((K645-Q645)/(365.25/12)),""),"")</f>
        <v/>
      </c>
      <c r="AA645" s="48" t="str">
        <f t="shared" ref="AA645:AA708" si="41">IFERROR(IF(K645="","",MONTH(EOMONTH(K645,(DAY(K645)&gt;15)+0))),"")</f>
        <v/>
      </c>
      <c r="AB645" s="48" t="str">
        <f t="shared" ref="AB645:AB708" si="42">IFERROR(IF(K645="","",IF(AND(MONTH(K645)=12,AA645=1),YEAR(K645)+1,YEAR(K645))),"")</f>
        <v/>
      </c>
      <c r="AC645" s="292" t="str">
        <f t="shared" ref="AC645:AC708" si="43">IF(OR(AA645="",AB645=""),"",DATE(AB645,AA645,1))</f>
        <v/>
      </c>
      <c r="AD645" s="48" t="str">
        <f>IF(Table3[[#This Row],[Actual Arrival date]]&gt;0,IF(Table3[[#This Row],[Expected arrival date]]&gt;0,Table3[[#This Row],[Actual Arrival date]]-Table3[[#This Row],[Expected arrival date]],""),"")</f>
        <v/>
      </c>
    </row>
    <row r="646" spans="1:30" x14ac:dyDescent="0.25">
      <c r="A646" s="303" t="str">
        <f>Start!$D$7</f>
        <v>Anyland</v>
      </c>
      <c r="B646" s="48" t="str">
        <f>_xlfn.IFNA(VLOOKUP(A646,list!B:C,2,FALSE),"")</f>
        <v>ANY</v>
      </c>
      <c r="C646" s="48"/>
      <c r="D646" s="127"/>
      <c r="E646" s="48" t="str">
        <f>_xlfn.IFNA(VLOOKUP(Table3[[#This Row],[Product]], ProductListTbl[], 3, 0), "")</f>
        <v/>
      </c>
      <c r="F646" s="303" t="str">
        <f>_xlfn.IFNA(VLOOKUP(D646,ProductListTbl[],5,0),"")</f>
        <v/>
      </c>
      <c r="G646" s="303" t="str">
        <f>_xlfn.IFNA(VLOOKUP(D646,ProductListTbl[],6,0),"")</f>
        <v/>
      </c>
      <c r="H646" s="130" t="str">
        <f>_xlfn.IFNA(VLOOKUP(D646,ProductListTbl[],7,0),"")</f>
        <v/>
      </c>
      <c r="I646" s="130" t="str">
        <f>_xlfn.IFNA(VLOOKUP(D646,ProductListTbl[],8,0),"")</f>
        <v/>
      </c>
      <c r="J646" s="127"/>
      <c r="K646" s="129"/>
      <c r="L646" s="128"/>
      <c r="M646" s="305" t="str">
        <f>IFERROR(Table3[[#This Row],[Quantity (doses)]]/Table3[[#This Row],[Doses per vial or syringe]],"")</f>
        <v/>
      </c>
      <c r="N646" s="127"/>
      <c r="O646" s="127"/>
      <c r="P646" s="381"/>
      <c r="Q646" s="129"/>
      <c r="R646" s="127"/>
      <c r="S646" s="127"/>
      <c r="T646" s="127"/>
      <c r="U646" s="127"/>
      <c r="V646" s="305" t="str">
        <f>_xlfn.IFNA(VLOOKUP(D646,ProductListTbl[],9,0),"")</f>
        <v/>
      </c>
      <c r="W646" s="305" t="str">
        <f>IFERROR(Table3[[#This Row],[Storage space per secondary packaging (cm3)]]*Table3[[#This Row],[Quantity  (vials or syringes)]]/1000,"")</f>
        <v/>
      </c>
      <c r="X646" s="305" t="str">
        <f>IFERROR(Table3[[#This Row],[Storage space per tertiary packaging (cm3)]]*Table3[[#This Row],[Quantity (doses)]]/1000,"")</f>
        <v/>
      </c>
      <c r="Y646" s="293" t="str">
        <f>IF(Table3[[#This Row],[Status]]="Ordered",(DATE(YEAR(P646),MONTH(P646),1)),IF(Table3[[#This Row],[Status]]="Received",(DATE(YEAR(Q646),MONTH(Q646),1)),""))</f>
        <v/>
      </c>
      <c r="Z646" s="304" t="str">
        <f t="shared" si="40"/>
        <v/>
      </c>
      <c r="AA646" s="48" t="str">
        <f t="shared" si="41"/>
        <v/>
      </c>
      <c r="AB646" s="48" t="str">
        <f t="shared" si="42"/>
        <v/>
      </c>
      <c r="AC646" s="292" t="str">
        <f t="shared" si="43"/>
        <v/>
      </c>
      <c r="AD646" s="48" t="str">
        <f>IF(Table3[[#This Row],[Actual Arrival date]]&gt;0,IF(Table3[[#This Row],[Expected arrival date]]&gt;0,Table3[[#This Row],[Actual Arrival date]]-Table3[[#This Row],[Expected arrival date]],""),"")</f>
        <v/>
      </c>
    </row>
    <row r="647" spans="1:30" x14ac:dyDescent="0.25">
      <c r="A647" s="303" t="str">
        <f>Start!$D$7</f>
        <v>Anyland</v>
      </c>
      <c r="B647" s="48" t="str">
        <f>_xlfn.IFNA(VLOOKUP(A647,list!B:C,2,FALSE),"")</f>
        <v>ANY</v>
      </c>
      <c r="C647" s="48"/>
      <c r="D647" s="127"/>
      <c r="E647" s="48" t="str">
        <f>_xlfn.IFNA(VLOOKUP(Table3[[#This Row],[Product]], ProductListTbl[], 3, 0), "")</f>
        <v/>
      </c>
      <c r="F647" s="303" t="str">
        <f>_xlfn.IFNA(VLOOKUP(D647,ProductListTbl[],5,0),"")</f>
        <v/>
      </c>
      <c r="G647" s="303" t="str">
        <f>_xlfn.IFNA(VLOOKUP(D647,ProductListTbl[],6,0),"")</f>
        <v/>
      </c>
      <c r="H647" s="130" t="str">
        <f>_xlfn.IFNA(VLOOKUP(D647,ProductListTbl[],7,0),"")</f>
        <v/>
      </c>
      <c r="I647" s="130" t="str">
        <f>_xlfn.IFNA(VLOOKUP(D647,ProductListTbl[],8,0),"")</f>
        <v/>
      </c>
      <c r="J647" s="127"/>
      <c r="K647" s="129"/>
      <c r="L647" s="128"/>
      <c r="M647" s="305" t="str">
        <f>IFERROR(Table3[[#This Row],[Quantity (doses)]]/Table3[[#This Row],[Doses per vial or syringe]],"")</f>
        <v/>
      </c>
      <c r="N647" s="127"/>
      <c r="O647" s="127"/>
      <c r="P647" s="381"/>
      <c r="Q647" s="129"/>
      <c r="R647" s="127"/>
      <c r="S647" s="127"/>
      <c r="T647" s="127"/>
      <c r="U647" s="127"/>
      <c r="V647" s="305" t="str">
        <f>_xlfn.IFNA(VLOOKUP(D647,ProductListTbl[],9,0),"")</f>
        <v/>
      </c>
      <c r="W647" s="305" t="str">
        <f>IFERROR(Table3[[#This Row],[Storage space per secondary packaging (cm3)]]*Table3[[#This Row],[Quantity  (vials or syringes)]]/1000,"")</f>
        <v/>
      </c>
      <c r="X647" s="305" t="str">
        <f>IFERROR(Table3[[#This Row],[Storage space per tertiary packaging (cm3)]]*Table3[[#This Row],[Quantity (doses)]]/1000,"")</f>
        <v/>
      </c>
      <c r="Y647" s="293" t="str">
        <f>IF(Table3[[#This Row],[Status]]="Ordered",(DATE(YEAR(P647),MONTH(P647),1)),IF(Table3[[#This Row],[Status]]="Received",(DATE(YEAR(Q647),MONTH(Q647),1)),""))</f>
        <v/>
      </c>
      <c r="Z647" s="304" t="str">
        <f t="shared" si="40"/>
        <v/>
      </c>
      <c r="AA647" s="48" t="str">
        <f t="shared" si="41"/>
        <v/>
      </c>
      <c r="AB647" s="48" t="str">
        <f t="shared" si="42"/>
        <v/>
      </c>
      <c r="AC647" s="292" t="str">
        <f t="shared" si="43"/>
        <v/>
      </c>
      <c r="AD647" s="48" t="str">
        <f>IF(Table3[[#This Row],[Actual Arrival date]]&gt;0,IF(Table3[[#This Row],[Expected arrival date]]&gt;0,Table3[[#This Row],[Actual Arrival date]]-Table3[[#This Row],[Expected arrival date]],""),"")</f>
        <v/>
      </c>
    </row>
    <row r="648" spans="1:30" x14ac:dyDescent="0.25">
      <c r="A648" s="303" t="str">
        <f>Start!$D$7</f>
        <v>Anyland</v>
      </c>
      <c r="B648" s="48" t="str">
        <f>_xlfn.IFNA(VLOOKUP(A648,list!B:C,2,FALSE),"")</f>
        <v>ANY</v>
      </c>
      <c r="C648" s="48"/>
      <c r="D648" s="127"/>
      <c r="E648" s="48" t="str">
        <f>_xlfn.IFNA(VLOOKUP(Table3[[#This Row],[Product]], ProductListTbl[], 3, 0), "")</f>
        <v/>
      </c>
      <c r="F648" s="303" t="str">
        <f>_xlfn.IFNA(VLOOKUP(D648,ProductListTbl[],5,0),"")</f>
        <v/>
      </c>
      <c r="G648" s="303" t="str">
        <f>_xlfn.IFNA(VLOOKUP(D648,ProductListTbl[],6,0),"")</f>
        <v/>
      </c>
      <c r="H648" s="130" t="str">
        <f>_xlfn.IFNA(VLOOKUP(D648,ProductListTbl[],7,0),"")</f>
        <v/>
      </c>
      <c r="I648" s="130" t="str">
        <f>_xlfn.IFNA(VLOOKUP(D648,ProductListTbl[],8,0),"")</f>
        <v/>
      </c>
      <c r="J648" s="127"/>
      <c r="K648" s="129"/>
      <c r="L648" s="128"/>
      <c r="M648" s="305" t="str">
        <f>IFERROR(Table3[[#This Row],[Quantity (doses)]]/Table3[[#This Row],[Doses per vial or syringe]],"")</f>
        <v/>
      </c>
      <c r="N648" s="127"/>
      <c r="O648" s="127"/>
      <c r="P648" s="381"/>
      <c r="Q648" s="129"/>
      <c r="R648" s="127"/>
      <c r="S648" s="127"/>
      <c r="T648" s="127"/>
      <c r="U648" s="127"/>
      <c r="V648" s="305" t="str">
        <f>_xlfn.IFNA(VLOOKUP(D648,ProductListTbl[],9,0),"")</f>
        <v/>
      </c>
      <c r="W648" s="305" t="str">
        <f>IFERROR(Table3[[#This Row],[Storage space per secondary packaging (cm3)]]*Table3[[#This Row],[Quantity  (vials or syringes)]]/1000,"")</f>
        <v/>
      </c>
      <c r="X648" s="305" t="str">
        <f>IFERROR(Table3[[#This Row],[Storage space per tertiary packaging (cm3)]]*Table3[[#This Row],[Quantity (doses)]]/1000,"")</f>
        <v/>
      </c>
      <c r="Y648" s="293" t="str">
        <f>IF(Table3[[#This Row],[Status]]="Ordered",(DATE(YEAR(P648),MONTH(P648),1)),IF(Table3[[#This Row],[Status]]="Received",(DATE(YEAR(Q648),MONTH(Q648),1)),""))</f>
        <v/>
      </c>
      <c r="Z648" s="304" t="str">
        <f t="shared" si="40"/>
        <v/>
      </c>
      <c r="AA648" s="48" t="str">
        <f t="shared" si="41"/>
        <v/>
      </c>
      <c r="AB648" s="48" t="str">
        <f t="shared" si="42"/>
        <v/>
      </c>
      <c r="AC648" s="292" t="str">
        <f t="shared" si="43"/>
        <v/>
      </c>
      <c r="AD648" s="48" t="str">
        <f>IF(Table3[[#This Row],[Actual Arrival date]]&gt;0,IF(Table3[[#This Row],[Expected arrival date]]&gt;0,Table3[[#This Row],[Actual Arrival date]]-Table3[[#This Row],[Expected arrival date]],""),"")</f>
        <v/>
      </c>
    </row>
    <row r="649" spans="1:30" x14ac:dyDescent="0.25">
      <c r="A649" s="303" t="str">
        <f>Start!$D$7</f>
        <v>Anyland</v>
      </c>
      <c r="B649" s="48" t="str">
        <f>_xlfn.IFNA(VLOOKUP(A649,list!B:C,2,FALSE),"")</f>
        <v>ANY</v>
      </c>
      <c r="C649" s="48"/>
      <c r="D649" s="127"/>
      <c r="E649" s="48" t="str">
        <f>_xlfn.IFNA(VLOOKUP(Table3[[#This Row],[Product]], ProductListTbl[], 3, 0), "")</f>
        <v/>
      </c>
      <c r="F649" s="303" t="str">
        <f>_xlfn.IFNA(VLOOKUP(D649,ProductListTbl[],5,0),"")</f>
        <v/>
      </c>
      <c r="G649" s="303" t="str">
        <f>_xlfn.IFNA(VLOOKUP(D649,ProductListTbl[],6,0),"")</f>
        <v/>
      </c>
      <c r="H649" s="130" t="str">
        <f>_xlfn.IFNA(VLOOKUP(D649,ProductListTbl[],7,0),"")</f>
        <v/>
      </c>
      <c r="I649" s="130" t="str">
        <f>_xlfn.IFNA(VLOOKUP(D649,ProductListTbl[],8,0),"")</f>
        <v/>
      </c>
      <c r="J649" s="127"/>
      <c r="K649" s="129"/>
      <c r="L649" s="128"/>
      <c r="M649" s="305" t="str">
        <f>IFERROR(Table3[[#This Row],[Quantity (doses)]]/Table3[[#This Row],[Doses per vial or syringe]],"")</f>
        <v/>
      </c>
      <c r="N649" s="127"/>
      <c r="O649" s="127"/>
      <c r="P649" s="381"/>
      <c r="Q649" s="129"/>
      <c r="R649" s="127"/>
      <c r="S649" s="127"/>
      <c r="T649" s="127"/>
      <c r="U649" s="127"/>
      <c r="V649" s="305" t="str">
        <f>_xlfn.IFNA(VLOOKUP(D649,ProductListTbl[],9,0),"")</f>
        <v/>
      </c>
      <c r="W649" s="305" t="str">
        <f>IFERROR(Table3[[#This Row],[Storage space per secondary packaging (cm3)]]*Table3[[#This Row],[Quantity  (vials or syringes)]]/1000,"")</f>
        <v/>
      </c>
      <c r="X649" s="305" t="str">
        <f>IFERROR(Table3[[#This Row],[Storage space per tertiary packaging (cm3)]]*Table3[[#This Row],[Quantity (doses)]]/1000,"")</f>
        <v/>
      </c>
      <c r="Y649" s="293" t="str">
        <f>IF(Table3[[#This Row],[Status]]="Ordered",(DATE(YEAR(P649),MONTH(P649),1)),IF(Table3[[#This Row],[Status]]="Received",(DATE(YEAR(Q649),MONTH(Q649),1)),""))</f>
        <v/>
      </c>
      <c r="Z649" s="304" t="str">
        <f t="shared" si="40"/>
        <v/>
      </c>
      <c r="AA649" s="48" t="str">
        <f t="shared" si="41"/>
        <v/>
      </c>
      <c r="AB649" s="48" t="str">
        <f t="shared" si="42"/>
        <v/>
      </c>
      <c r="AC649" s="292" t="str">
        <f t="shared" si="43"/>
        <v/>
      </c>
      <c r="AD649" s="48" t="str">
        <f>IF(Table3[[#This Row],[Actual Arrival date]]&gt;0,IF(Table3[[#This Row],[Expected arrival date]]&gt;0,Table3[[#This Row],[Actual Arrival date]]-Table3[[#This Row],[Expected arrival date]],""),"")</f>
        <v/>
      </c>
    </row>
    <row r="650" spans="1:30" x14ac:dyDescent="0.25">
      <c r="A650" s="303" t="str">
        <f>Start!$D$7</f>
        <v>Anyland</v>
      </c>
      <c r="B650" s="48" t="str">
        <f>_xlfn.IFNA(VLOOKUP(A650,list!B:C,2,FALSE),"")</f>
        <v>ANY</v>
      </c>
      <c r="C650" s="48"/>
      <c r="D650" s="127"/>
      <c r="E650" s="48" t="str">
        <f>_xlfn.IFNA(VLOOKUP(Table3[[#This Row],[Product]], ProductListTbl[], 3, 0), "")</f>
        <v/>
      </c>
      <c r="F650" s="303" t="str">
        <f>_xlfn.IFNA(VLOOKUP(D650,ProductListTbl[],5,0),"")</f>
        <v/>
      </c>
      <c r="G650" s="303" t="str">
        <f>_xlfn.IFNA(VLOOKUP(D650,ProductListTbl[],6,0),"")</f>
        <v/>
      </c>
      <c r="H650" s="130" t="str">
        <f>_xlfn.IFNA(VLOOKUP(D650,ProductListTbl[],7,0),"")</f>
        <v/>
      </c>
      <c r="I650" s="130" t="str">
        <f>_xlfn.IFNA(VLOOKUP(D650,ProductListTbl[],8,0),"")</f>
        <v/>
      </c>
      <c r="J650" s="127"/>
      <c r="K650" s="129"/>
      <c r="L650" s="128"/>
      <c r="M650" s="305" t="str">
        <f>IFERROR(Table3[[#This Row],[Quantity (doses)]]/Table3[[#This Row],[Doses per vial or syringe]],"")</f>
        <v/>
      </c>
      <c r="N650" s="127"/>
      <c r="O650" s="127"/>
      <c r="P650" s="381"/>
      <c r="Q650" s="129"/>
      <c r="R650" s="127"/>
      <c r="S650" s="127"/>
      <c r="T650" s="127"/>
      <c r="U650" s="127"/>
      <c r="V650" s="305" t="str">
        <f>_xlfn.IFNA(VLOOKUP(D650,ProductListTbl[],9,0),"")</f>
        <v/>
      </c>
      <c r="W650" s="305" t="str">
        <f>IFERROR(Table3[[#This Row],[Storage space per secondary packaging (cm3)]]*Table3[[#This Row],[Quantity  (vials or syringes)]]/1000,"")</f>
        <v/>
      </c>
      <c r="X650" s="305" t="str">
        <f>IFERROR(Table3[[#This Row],[Storage space per tertiary packaging (cm3)]]*Table3[[#This Row],[Quantity (doses)]]/1000,"")</f>
        <v/>
      </c>
      <c r="Y650" s="293" t="str">
        <f>IF(Table3[[#This Row],[Status]]="Ordered",(DATE(YEAR(P650),MONTH(P650),1)),IF(Table3[[#This Row],[Status]]="Received",(DATE(YEAR(Q650),MONTH(Q650),1)),""))</f>
        <v/>
      </c>
      <c r="Z650" s="304" t="str">
        <f t="shared" si="40"/>
        <v/>
      </c>
      <c r="AA650" s="48" t="str">
        <f t="shared" si="41"/>
        <v/>
      </c>
      <c r="AB650" s="48" t="str">
        <f t="shared" si="42"/>
        <v/>
      </c>
      <c r="AC650" s="292" t="str">
        <f t="shared" si="43"/>
        <v/>
      </c>
      <c r="AD650" s="48" t="str">
        <f>IF(Table3[[#This Row],[Actual Arrival date]]&gt;0,IF(Table3[[#This Row],[Expected arrival date]]&gt;0,Table3[[#This Row],[Actual Arrival date]]-Table3[[#This Row],[Expected arrival date]],""),"")</f>
        <v/>
      </c>
    </row>
    <row r="651" spans="1:30" x14ac:dyDescent="0.25">
      <c r="A651" s="303" t="str">
        <f>Start!$D$7</f>
        <v>Anyland</v>
      </c>
      <c r="B651" s="48" t="str">
        <f>_xlfn.IFNA(VLOOKUP(A651,list!B:C,2,FALSE),"")</f>
        <v>ANY</v>
      </c>
      <c r="C651" s="48"/>
      <c r="D651" s="127"/>
      <c r="E651" s="48" t="str">
        <f>_xlfn.IFNA(VLOOKUP(Table3[[#This Row],[Product]], ProductListTbl[], 3, 0), "")</f>
        <v/>
      </c>
      <c r="F651" s="303" t="str">
        <f>_xlfn.IFNA(VLOOKUP(D651,ProductListTbl[],5,0),"")</f>
        <v/>
      </c>
      <c r="G651" s="303" t="str">
        <f>_xlfn.IFNA(VLOOKUP(D651,ProductListTbl[],6,0),"")</f>
        <v/>
      </c>
      <c r="H651" s="130" t="str">
        <f>_xlfn.IFNA(VLOOKUP(D651,ProductListTbl[],7,0),"")</f>
        <v/>
      </c>
      <c r="I651" s="130" t="str">
        <f>_xlfn.IFNA(VLOOKUP(D651,ProductListTbl[],8,0),"")</f>
        <v/>
      </c>
      <c r="J651" s="127"/>
      <c r="K651" s="129"/>
      <c r="L651" s="128"/>
      <c r="M651" s="305" t="str">
        <f>IFERROR(Table3[[#This Row],[Quantity (doses)]]/Table3[[#This Row],[Doses per vial or syringe]],"")</f>
        <v/>
      </c>
      <c r="N651" s="127"/>
      <c r="O651" s="127"/>
      <c r="P651" s="381"/>
      <c r="Q651" s="129"/>
      <c r="R651" s="127"/>
      <c r="S651" s="127"/>
      <c r="T651" s="127"/>
      <c r="U651" s="127"/>
      <c r="V651" s="305" t="str">
        <f>_xlfn.IFNA(VLOOKUP(D651,ProductListTbl[],9,0),"")</f>
        <v/>
      </c>
      <c r="W651" s="305" t="str">
        <f>IFERROR(Table3[[#This Row],[Storage space per secondary packaging (cm3)]]*Table3[[#This Row],[Quantity  (vials or syringes)]]/1000,"")</f>
        <v/>
      </c>
      <c r="X651" s="305" t="str">
        <f>IFERROR(Table3[[#This Row],[Storage space per tertiary packaging (cm3)]]*Table3[[#This Row],[Quantity (doses)]]/1000,"")</f>
        <v/>
      </c>
      <c r="Y651" s="293" t="str">
        <f>IF(Table3[[#This Row],[Status]]="Ordered",(DATE(YEAR(P651),MONTH(P651),1)),IF(Table3[[#This Row],[Status]]="Received",(DATE(YEAR(Q651),MONTH(Q651),1)),""))</f>
        <v/>
      </c>
      <c r="Z651" s="304" t="str">
        <f t="shared" si="40"/>
        <v/>
      </c>
      <c r="AA651" s="48" t="str">
        <f t="shared" si="41"/>
        <v/>
      </c>
      <c r="AB651" s="48" t="str">
        <f t="shared" si="42"/>
        <v/>
      </c>
      <c r="AC651" s="292" t="str">
        <f t="shared" si="43"/>
        <v/>
      </c>
      <c r="AD651" s="48" t="str">
        <f>IF(Table3[[#This Row],[Actual Arrival date]]&gt;0,IF(Table3[[#This Row],[Expected arrival date]]&gt;0,Table3[[#This Row],[Actual Arrival date]]-Table3[[#This Row],[Expected arrival date]],""),"")</f>
        <v/>
      </c>
    </row>
    <row r="652" spans="1:30" x14ac:dyDescent="0.25">
      <c r="A652" s="303" t="str">
        <f>Start!$D$7</f>
        <v>Anyland</v>
      </c>
      <c r="B652" s="48" t="str">
        <f>_xlfn.IFNA(VLOOKUP(A652,list!B:C,2,FALSE),"")</f>
        <v>ANY</v>
      </c>
      <c r="C652" s="48"/>
      <c r="D652" s="127"/>
      <c r="E652" s="48" t="str">
        <f>_xlfn.IFNA(VLOOKUP(Table3[[#This Row],[Product]], ProductListTbl[], 3, 0), "")</f>
        <v/>
      </c>
      <c r="F652" s="303" t="str">
        <f>_xlfn.IFNA(VLOOKUP(D652,ProductListTbl[],5,0),"")</f>
        <v/>
      </c>
      <c r="G652" s="303" t="str">
        <f>_xlfn.IFNA(VLOOKUP(D652,ProductListTbl[],6,0),"")</f>
        <v/>
      </c>
      <c r="H652" s="130" t="str">
        <f>_xlfn.IFNA(VLOOKUP(D652,ProductListTbl[],7,0),"")</f>
        <v/>
      </c>
      <c r="I652" s="130" t="str">
        <f>_xlfn.IFNA(VLOOKUP(D652,ProductListTbl[],8,0),"")</f>
        <v/>
      </c>
      <c r="J652" s="127"/>
      <c r="K652" s="129"/>
      <c r="L652" s="128"/>
      <c r="M652" s="305" t="str">
        <f>IFERROR(Table3[[#This Row],[Quantity (doses)]]/Table3[[#This Row],[Doses per vial or syringe]],"")</f>
        <v/>
      </c>
      <c r="N652" s="127"/>
      <c r="O652" s="127"/>
      <c r="P652" s="381"/>
      <c r="Q652" s="129"/>
      <c r="R652" s="127"/>
      <c r="S652" s="127"/>
      <c r="T652" s="127"/>
      <c r="U652" s="127"/>
      <c r="V652" s="305" t="str">
        <f>_xlfn.IFNA(VLOOKUP(D652,ProductListTbl[],9,0),"")</f>
        <v/>
      </c>
      <c r="W652" s="305" t="str">
        <f>IFERROR(Table3[[#This Row],[Storage space per secondary packaging (cm3)]]*Table3[[#This Row],[Quantity  (vials or syringes)]]/1000,"")</f>
        <v/>
      </c>
      <c r="X652" s="305" t="str">
        <f>IFERROR(Table3[[#This Row],[Storage space per tertiary packaging (cm3)]]*Table3[[#This Row],[Quantity (doses)]]/1000,"")</f>
        <v/>
      </c>
      <c r="Y652" s="293" t="str">
        <f>IF(Table3[[#This Row],[Status]]="Ordered",(DATE(YEAR(P652),MONTH(P652),1)),IF(Table3[[#This Row],[Status]]="Received",(DATE(YEAR(Q652),MONTH(Q652),1)),""))</f>
        <v/>
      </c>
      <c r="Z652" s="304" t="str">
        <f t="shared" si="40"/>
        <v/>
      </c>
      <c r="AA652" s="48" t="str">
        <f t="shared" si="41"/>
        <v/>
      </c>
      <c r="AB652" s="48" t="str">
        <f t="shared" si="42"/>
        <v/>
      </c>
      <c r="AC652" s="292" t="str">
        <f t="shared" si="43"/>
        <v/>
      </c>
      <c r="AD652" s="48" t="str">
        <f>IF(Table3[[#This Row],[Actual Arrival date]]&gt;0,IF(Table3[[#This Row],[Expected arrival date]]&gt;0,Table3[[#This Row],[Actual Arrival date]]-Table3[[#This Row],[Expected arrival date]],""),"")</f>
        <v/>
      </c>
    </row>
    <row r="653" spans="1:30" x14ac:dyDescent="0.25">
      <c r="A653" s="303" t="str">
        <f>Start!$D$7</f>
        <v>Anyland</v>
      </c>
      <c r="B653" s="48" t="str">
        <f>_xlfn.IFNA(VLOOKUP(A653,list!B:C,2,FALSE),"")</f>
        <v>ANY</v>
      </c>
      <c r="C653" s="48"/>
      <c r="D653" s="127"/>
      <c r="E653" s="48" t="str">
        <f>_xlfn.IFNA(VLOOKUP(Table3[[#This Row],[Product]], ProductListTbl[], 3, 0), "")</f>
        <v/>
      </c>
      <c r="F653" s="303" t="str">
        <f>_xlfn.IFNA(VLOOKUP(D653,ProductListTbl[],5,0),"")</f>
        <v/>
      </c>
      <c r="G653" s="303" t="str">
        <f>_xlfn.IFNA(VLOOKUP(D653,ProductListTbl[],6,0),"")</f>
        <v/>
      </c>
      <c r="H653" s="130" t="str">
        <f>_xlfn.IFNA(VLOOKUP(D653,ProductListTbl[],7,0),"")</f>
        <v/>
      </c>
      <c r="I653" s="130" t="str">
        <f>_xlfn.IFNA(VLOOKUP(D653,ProductListTbl[],8,0),"")</f>
        <v/>
      </c>
      <c r="J653" s="127"/>
      <c r="K653" s="129"/>
      <c r="L653" s="128"/>
      <c r="M653" s="305" t="str">
        <f>IFERROR(Table3[[#This Row],[Quantity (doses)]]/Table3[[#This Row],[Doses per vial or syringe]],"")</f>
        <v/>
      </c>
      <c r="N653" s="127"/>
      <c r="O653" s="127"/>
      <c r="P653" s="381"/>
      <c r="Q653" s="129"/>
      <c r="R653" s="127"/>
      <c r="S653" s="127"/>
      <c r="T653" s="127"/>
      <c r="U653" s="127"/>
      <c r="V653" s="305" t="str">
        <f>_xlfn.IFNA(VLOOKUP(D653,ProductListTbl[],9,0),"")</f>
        <v/>
      </c>
      <c r="W653" s="305" t="str">
        <f>IFERROR(Table3[[#This Row],[Storage space per secondary packaging (cm3)]]*Table3[[#This Row],[Quantity  (vials or syringes)]]/1000,"")</f>
        <v/>
      </c>
      <c r="X653" s="305" t="str">
        <f>IFERROR(Table3[[#This Row],[Storage space per tertiary packaging (cm3)]]*Table3[[#This Row],[Quantity (doses)]]/1000,"")</f>
        <v/>
      </c>
      <c r="Y653" s="293" t="str">
        <f>IF(Table3[[#This Row],[Status]]="Ordered",(DATE(YEAR(P653),MONTH(P653),1)),IF(Table3[[#This Row],[Status]]="Received",(DATE(YEAR(Q653),MONTH(Q653),1)),""))</f>
        <v/>
      </c>
      <c r="Z653" s="304" t="str">
        <f t="shared" si="40"/>
        <v/>
      </c>
      <c r="AA653" s="48" t="str">
        <f t="shared" si="41"/>
        <v/>
      </c>
      <c r="AB653" s="48" t="str">
        <f t="shared" si="42"/>
        <v/>
      </c>
      <c r="AC653" s="292" t="str">
        <f t="shared" si="43"/>
        <v/>
      </c>
      <c r="AD653" s="48" t="str">
        <f>IF(Table3[[#This Row],[Actual Arrival date]]&gt;0,IF(Table3[[#This Row],[Expected arrival date]]&gt;0,Table3[[#This Row],[Actual Arrival date]]-Table3[[#This Row],[Expected arrival date]],""),"")</f>
        <v/>
      </c>
    </row>
    <row r="654" spans="1:30" x14ac:dyDescent="0.25">
      <c r="A654" s="303" t="str">
        <f>Start!$D$7</f>
        <v>Anyland</v>
      </c>
      <c r="B654" s="48" t="str">
        <f>_xlfn.IFNA(VLOOKUP(A654,list!B:C,2,FALSE),"")</f>
        <v>ANY</v>
      </c>
      <c r="C654" s="48"/>
      <c r="D654" s="127"/>
      <c r="E654" s="48" t="str">
        <f>_xlfn.IFNA(VLOOKUP(Table3[[#This Row],[Product]], ProductListTbl[], 3, 0), "")</f>
        <v/>
      </c>
      <c r="F654" s="303" t="str">
        <f>_xlfn.IFNA(VLOOKUP(D654,ProductListTbl[],5,0),"")</f>
        <v/>
      </c>
      <c r="G654" s="303" t="str">
        <f>_xlfn.IFNA(VLOOKUP(D654,ProductListTbl[],6,0),"")</f>
        <v/>
      </c>
      <c r="H654" s="130" t="str">
        <f>_xlfn.IFNA(VLOOKUP(D654,ProductListTbl[],7,0),"")</f>
        <v/>
      </c>
      <c r="I654" s="130" t="str">
        <f>_xlfn.IFNA(VLOOKUP(D654,ProductListTbl[],8,0),"")</f>
        <v/>
      </c>
      <c r="J654" s="127"/>
      <c r="K654" s="129"/>
      <c r="L654" s="128"/>
      <c r="M654" s="305" t="str">
        <f>IFERROR(Table3[[#This Row],[Quantity (doses)]]/Table3[[#This Row],[Doses per vial or syringe]],"")</f>
        <v/>
      </c>
      <c r="N654" s="127"/>
      <c r="O654" s="127"/>
      <c r="P654" s="381"/>
      <c r="Q654" s="129"/>
      <c r="R654" s="127"/>
      <c r="S654" s="127"/>
      <c r="T654" s="127"/>
      <c r="U654" s="127"/>
      <c r="V654" s="305" t="str">
        <f>_xlfn.IFNA(VLOOKUP(D654,ProductListTbl[],9,0),"")</f>
        <v/>
      </c>
      <c r="W654" s="305" t="str">
        <f>IFERROR(Table3[[#This Row],[Storage space per secondary packaging (cm3)]]*Table3[[#This Row],[Quantity  (vials or syringes)]]/1000,"")</f>
        <v/>
      </c>
      <c r="X654" s="305" t="str">
        <f>IFERROR(Table3[[#This Row],[Storage space per tertiary packaging (cm3)]]*Table3[[#This Row],[Quantity (doses)]]/1000,"")</f>
        <v/>
      </c>
      <c r="Y654" s="293" t="str">
        <f>IF(Table3[[#This Row],[Status]]="Ordered",(DATE(YEAR(P654),MONTH(P654),1)),IF(Table3[[#This Row],[Status]]="Received",(DATE(YEAR(Q654),MONTH(Q654),1)),""))</f>
        <v/>
      </c>
      <c r="Z654" s="304" t="str">
        <f t="shared" si="40"/>
        <v/>
      </c>
      <c r="AA654" s="48" t="str">
        <f t="shared" si="41"/>
        <v/>
      </c>
      <c r="AB654" s="48" t="str">
        <f t="shared" si="42"/>
        <v/>
      </c>
      <c r="AC654" s="292" t="str">
        <f t="shared" si="43"/>
        <v/>
      </c>
      <c r="AD654" s="48" t="str">
        <f>IF(Table3[[#This Row],[Actual Arrival date]]&gt;0,IF(Table3[[#This Row],[Expected arrival date]]&gt;0,Table3[[#This Row],[Actual Arrival date]]-Table3[[#This Row],[Expected arrival date]],""),"")</f>
        <v/>
      </c>
    </row>
    <row r="655" spans="1:30" x14ac:dyDescent="0.25">
      <c r="A655" s="303" t="str">
        <f>Start!$D$7</f>
        <v>Anyland</v>
      </c>
      <c r="B655" s="48" t="str">
        <f>_xlfn.IFNA(VLOOKUP(A655,list!B:C,2,FALSE),"")</f>
        <v>ANY</v>
      </c>
      <c r="C655" s="48"/>
      <c r="D655" s="127"/>
      <c r="E655" s="48" t="str">
        <f>_xlfn.IFNA(VLOOKUP(Table3[[#This Row],[Product]], ProductListTbl[], 3, 0), "")</f>
        <v/>
      </c>
      <c r="F655" s="303" t="str">
        <f>_xlfn.IFNA(VLOOKUP(D655,ProductListTbl[],5,0),"")</f>
        <v/>
      </c>
      <c r="G655" s="303" t="str">
        <f>_xlfn.IFNA(VLOOKUP(D655,ProductListTbl[],6,0),"")</f>
        <v/>
      </c>
      <c r="H655" s="130" t="str">
        <f>_xlfn.IFNA(VLOOKUP(D655,ProductListTbl[],7,0),"")</f>
        <v/>
      </c>
      <c r="I655" s="130" t="str">
        <f>_xlfn.IFNA(VLOOKUP(D655,ProductListTbl[],8,0),"")</f>
        <v/>
      </c>
      <c r="J655" s="127"/>
      <c r="K655" s="129"/>
      <c r="L655" s="128"/>
      <c r="M655" s="305" t="str">
        <f>IFERROR(Table3[[#This Row],[Quantity (doses)]]/Table3[[#This Row],[Doses per vial or syringe]],"")</f>
        <v/>
      </c>
      <c r="N655" s="127"/>
      <c r="O655" s="127"/>
      <c r="P655" s="381"/>
      <c r="Q655" s="129"/>
      <c r="R655" s="127"/>
      <c r="S655" s="127"/>
      <c r="T655" s="127"/>
      <c r="U655" s="127"/>
      <c r="V655" s="305" t="str">
        <f>_xlfn.IFNA(VLOOKUP(D655,ProductListTbl[],9,0),"")</f>
        <v/>
      </c>
      <c r="W655" s="305" t="str">
        <f>IFERROR(Table3[[#This Row],[Storage space per secondary packaging (cm3)]]*Table3[[#This Row],[Quantity  (vials or syringes)]]/1000,"")</f>
        <v/>
      </c>
      <c r="X655" s="305" t="str">
        <f>IFERROR(Table3[[#This Row],[Storage space per tertiary packaging (cm3)]]*Table3[[#This Row],[Quantity (doses)]]/1000,"")</f>
        <v/>
      </c>
      <c r="Y655" s="293" t="str">
        <f>IF(Table3[[#This Row],[Status]]="Ordered",(DATE(YEAR(P655),MONTH(P655),1)),IF(Table3[[#This Row],[Status]]="Received",(DATE(YEAR(Q655),MONTH(Q655),1)),""))</f>
        <v/>
      </c>
      <c r="Z655" s="304" t="str">
        <f t="shared" si="40"/>
        <v/>
      </c>
      <c r="AA655" s="48" t="str">
        <f t="shared" si="41"/>
        <v/>
      </c>
      <c r="AB655" s="48" t="str">
        <f t="shared" si="42"/>
        <v/>
      </c>
      <c r="AC655" s="292" t="str">
        <f t="shared" si="43"/>
        <v/>
      </c>
      <c r="AD655" s="48" t="str">
        <f>IF(Table3[[#This Row],[Actual Arrival date]]&gt;0,IF(Table3[[#This Row],[Expected arrival date]]&gt;0,Table3[[#This Row],[Actual Arrival date]]-Table3[[#This Row],[Expected arrival date]],""),"")</f>
        <v/>
      </c>
    </row>
    <row r="656" spans="1:30" x14ac:dyDescent="0.25">
      <c r="A656" s="303" t="str">
        <f>Start!$D$7</f>
        <v>Anyland</v>
      </c>
      <c r="B656" s="48" t="str">
        <f>_xlfn.IFNA(VLOOKUP(A656,list!B:C,2,FALSE),"")</f>
        <v>ANY</v>
      </c>
      <c r="C656" s="48"/>
      <c r="D656" s="127"/>
      <c r="E656" s="48" t="str">
        <f>_xlfn.IFNA(VLOOKUP(Table3[[#This Row],[Product]], ProductListTbl[], 3, 0), "")</f>
        <v/>
      </c>
      <c r="F656" s="303" t="str">
        <f>_xlfn.IFNA(VLOOKUP(D656,ProductListTbl[],5,0),"")</f>
        <v/>
      </c>
      <c r="G656" s="303" t="str">
        <f>_xlfn.IFNA(VLOOKUP(D656,ProductListTbl[],6,0),"")</f>
        <v/>
      </c>
      <c r="H656" s="130" t="str">
        <f>_xlfn.IFNA(VLOOKUP(D656,ProductListTbl[],7,0),"")</f>
        <v/>
      </c>
      <c r="I656" s="130" t="str">
        <f>_xlfn.IFNA(VLOOKUP(D656,ProductListTbl[],8,0),"")</f>
        <v/>
      </c>
      <c r="J656" s="127"/>
      <c r="K656" s="129"/>
      <c r="L656" s="128"/>
      <c r="M656" s="305" t="str">
        <f>IFERROR(Table3[[#This Row],[Quantity (doses)]]/Table3[[#This Row],[Doses per vial or syringe]],"")</f>
        <v/>
      </c>
      <c r="N656" s="127"/>
      <c r="O656" s="127"/>
      <c r="P656" s="381"/>
      <c r="Q656" s="129"/>
      <c r="R656" s="127"/>
      <c r="S656" s="127"/>
      <c r="T656" s="127"/>
      <c r="U656" s="127"/>
      <c r="V656" s="305" t="str">
        <f>_xlfn.IFNA(VLOOKUP(D656,ProductListTbl[],9,0),"")</f>
        <v/>
      </c>
      <c r="W656" s="305" t="str">
        <f>IFERROR(Table3[[#This Row],[Storage space per secondary packaging (cm3)]]*Table3[[#This Row],[Quantity  (vials or syringes)]]/1000,"")</f>
        <v/>
      </c>
      <c r="X656" s="305" t="str">
        <f>IFERROR(Table3[[#This Row],[Storage space per tertiary packaging (cm3)]]*Table3[[#This Row],[Quantity (doses)]]/1000,"")</f>
        <v/>
      </c>
      <c r="Y656" s="293" t="str">
        <f>IF(Table3[[#This Row],[Status]]="Ordered",(DATE(YEAR(P656),MONTH(P656),1)),IF(Table3[[#This Row],[Status]]="Received",(DATE(YEAR(Q656),MONTH(Q656),1)),""))</f>
        <v/>
      </c>
      <c r="Z656" s="304" t="str">
        <f t="shared" si="40"/>
        <v/>
      </c>
      <c r="AA656" s="48" t="str">
        <f t="shared" si="41"/>
        <v/>
      </c>
      <c r="AB656" s="48" t="str">
        <f t="shared" si="42"/>
        <v/>
      </c>
      <c r="AC656" s="292" t="str">
        <f t="shared" si="43"/>
        <v/>
      </c>
      <c r="AD656" s="48" t="str">
        <f>IF(Table3[[#This Row],[Actual Arrival date]]&gt;0,IF(Table3[[#This Row],[Expected arrival date]]&gt;0,Table3[[#This Row],[Actual Arrival date]]-Table3[[#This Row],[Expected arrival date]],""),"")</f>
        <v/>
      </c>
    </row>
    <row r="657" spans="1:30" x14ac:dyDescent="0.25">
      <c r="A657" s="303" t="str">
        <f>Start!$D$7</f>
        <v>Anyland</v>
      </c>
      <c r="B657" s="48" t="str">
        <f>_xlfn.IFNA(VLOOKUP(A657,list!B:C,2,FALSE),"")</f>
        <v>ANY</v>
      </c>
      <c r="C657" s="48"/>
      <c r="D657" s="127"/>
      <c r="E657" s="48" t="str">
        <f>_xlfn.IFNA(VLOOKUP(Table3[[#This Row],[Product]], ProductListTbl[], 3, 0), "")</f>
        <v/>
      </c>
      <c r="F657" s="303" t="str">
        <f>_xlfn.IFNA(VLOOKUP(D657,ProductListTbl[],5,0),"")</f>
        <v/>
      </c>
      <c r="G657" s="303" t="str">
        <f>_xlfn.IFNA(VLOOKUP(D657,ProductListTbl[],6,0),"")</f>
        <v/>
      </c>
      <c r="H657" s="130" t="str">
        <f>_xlfn.IFNA(VLOOKUP(D657,ProductListTbl[],7,0),"")</f>
        <v/>
      </c>
      <c r="I657" s="130" t="str">
        <f>_xlfn.IFNA(VLOOKUP(D657,ProductListTbl[],8,0),"")</f>
        <v/>
      </c>
      <c r="J657" s="127"/>
      <c r="K657" s="129"/>
      <c r="L657" s="128"/>
      <c r="M657" s="305" t="str">
        <f>IFERROR(Table3[[#This Row],[Quantity (doses)]]/Table3[[#This Row],[Doses per vial or syringe]],"")</f>
        <v/>
      </c>
      <c r="N657" s="127"/>
      <c r="O657" s="127"/>
      <c r="P657" s="381"/>
      <c r="Q657" s="129"/>
      <c r="R657" s="127"/>
      <c r="S657" s="127"/>
      <c r="T657" s="127"/>
      <c r="U657" s="127"/>
      <c r="V657" s="305" t="str">
        <f>_xlfn.IFNA(VLOOKUP(D657,ProductListTbl[],9,0),"")</f>
        <v/>
      </c>
      <c r="W657" s="305" t="str">
        <f>IFERROR(Table3[[#This Row],[Storage space per secondary packaging (cm3)]]*Table3[[#This Row],[Quantity  (vials or syringes)]]/1000,"")</f>
        <v/>
      </c>
      <c r="X657" s="305" t="str">
        <f>IFERROR(Table3[[#This Row],[Storage space per tertiary packaging (cm3)]]*Table3[[#This Row],[Quantity (doses)]]/1000,"")</f>
        <v/>
      </c>
      <c r="Y657" s="293" t="str">
        <f>IF(Table3[[#This Row],[Status]]="Ordered",(DATE(YEAR(P657),MONTH(P657),1)),IF(Table3[[#This Row],[Status]]="Received",(DATE(YEAR(Q657),MONTH(Q657),1)),""))</f>
        <v/>
      </c>
      <c r="Z657" s="304" t="str">
        <f t="shared" si="40"/>
        <v/>
      </c>
      <c r="AA657" s="48" t="str">
        <f t="shared" si="41"/>
        <v/>
      </c>
      <c r="AB657" s="48" t="str">
        <f t="shared" si="42"/>
        <v/>
      </c>
      <c r="AC657" s="292" t="str">
        <f t="shared" si="43"/>
        <v/>
      </c>
      <c r="AD657" s="48" t="str">
        <f>IF(Table3[[#This Row],[Actual Arrival date]]&gt;0,IF(Table3[[#This Row],[Expected arrival date]]&gt;0,Table3[[#This Row],[Actual Arrival date]]-Table3[[#This Row],[Expected arrival date]],""),"")</f>
        <v/>
      </c>
    </row>
    <row r="658" spans="1:30" x14ac:dyDescent="0.25">
      <c r="A658" s="303" t="str">
        <f>Start!$D$7</f>
        <v>Anyland</v>
      </c>
      <c r="B658" s="48" t="str">
        <f>_xlfn.IFNA(VLOOKUP(A658,list!B:C,2,FALSE),"")</f>
        <v>ANY</v>
      </c>
      <c r="C658" s="48"/>
      <c r="D658" s="127"/>
      <c r="E658" s="48" t="str">
        <f>_xlfn.IFNA(VLOOKUP(Table3[[#This Row],[Product]], ProductListTbl[], 3, 0), "")</f>
        <v/>
      </c>
      <c r="F658" s="303" t="str">
        <f>_xlfn.IFNA(VLOOKUP(D658,ProductListTbl[],5,0),"")</f>
        <v/>
      </c>
      <c r="G658" s="303" t="str">
        <f>_xlfn.IFNA(VLOOKUP(D658,ProductListTbl[],6,0),"")</f>
        <v/>
      </c>
      <c r="H658" s="130" t="str">
        <f>_xlfn.IFNA(VLOOKUP(D658,ProductListTbl[],7,0),"")</f>
        <v/>
      </c>
      <c r="I658" s="130" t="str">
        <f>_xlfn.IFNA(VLOOKUP(D658,ProductListTbl[],8,0),"")</f>
        <v/>
      </c>
      <c r="J658" s="127"/>
      <c r="K658" s="129"/>
      <c r="L658" s="128"/>
      <c r="M658" s="305" t="str">
        <f>IFERROR(Table3[[#This Row],[Quantity (doses)]]/Table3[[#This Row],[Doses per vial or syringe]],"")</f>
        <v/>
      </c>
      <c r="N658" s="127"/>
      <c r="O658" s="127"/>
      <c r="P658" s="381"/>
      <c r="Q658" s="129"/>
      <c r="R658" s="127"/>
      <c r="S658" s="127"/>
      <c r="T658" s="127"/>
      <c r="U658" s="127"/>
      <c r="V658" s="305" t="str">
        <f>_xlfn.IFNA(VLOOKUP(D658,ProductListTbl[],9,0),"")</f>
        <v/>
      </c>
      <c r="W658" s="305" t="str">
        <f>IFERROR(Table3[[#This Row],[Storage space per secondary packaging (cm3)]]*Table3[[#This Row],[Quantity  (vials or syringes)]]/1000,"")</f>
        <v/>
      </c>
      <c r="X658" s="305" t="str">
        <f>IFERROR(Table3[[#This Row],[Storage space per tertiary packaging (cm3)]]*Table3[[#This Row],[Quantity (doses)]]/1000,"")</f>
        <v/>
      </c>
      <c r="Y658" s="293" t="str">
        <f>IF(Table3[[#This Row],[Status]]="Ordered",(DATE(YEAR(P658),MONTH(P658),1)),IF(Table3[[#This Row],[Status]]="Received",(DATE(YEAR(Q658),MONTH(Q658),1)),""))</f>
        <v/>
      </c>
      <c r="Z658" s="304" t="str">
        <f t="shared" si="40"/>
        <v/>
      </c>
      <c r="AA658" s="48" t="str">
        <f t="shared" si="41"/>
        <v/>
      </c>
      <c r="AB658" s="48" t="str">
        <f t="shared" si="42"/>
        <v/>
      </c>
      <c r="AC658" s="292" t="str">
        <f t="shared" si="43"/>
        <v/>
      </c>
      <c r="AD658" s="48" t="str">
        <f>IF(Table3[[#This Row],[Actual Arrival date]]&gt;0,IF(Table3[[#This Row],[Expected arrival date]]&gt;0,Table3[[#This Row],[Actual Arrival date]]-Table3[[#This Row],[Expected arrival date]],""),"")</f>
        <v/>
      </c>
    </row>
    <row r="659" spans="1:30" x14ac:dyDescent="0.25">
      <c r="A659" s="303" t="str">
        <f>Start!$D$7</f>
        <v>Anyland</v>
      </c>
      <c r="B659" s="48" t="str">
        <f>_xlfn.IFNA(VLOOKUP(A659,list!B:C,2,FALSE),"")</f>
        <v>ANY</v>
      </c>
      <c r="C659" s="48"/>
      <c r="D659" s="127"/>
      <c r="E659" s="48" t="str">
        <f>_xlfn.IFNA(VLOOKUP(Table3[[#This Row],[Product]], ProductListTbl[], 3, 0), "")</f>
        <v/>
      </c>
      <c r="F659" s="303" t="str">
        <f>_xlfn.IFNA(VLOOKUP(D659,ProductListTbl[],5,0),"")</f>
        <v/>
      </c>
      <c r="G659" s="303" t="str">
        <f>_xlfn.IFNA(VLOOKUP(D659,ProductListTbl[],6,0),"")</f>
        <v/>
      </c>
      <c r="H659" s="130" t="str">
        <f>_xlfn.IFNA(VLOOKUP(D659,ProductListTbl[],7,0),"")</f>
        <v/>
      </c>
      <c r="I659" s="130" t="str">
        <f>_xlfn.IFNA(VLOOKUP(D659,ProductListTbl[],8,0),"")</f>
        <v/>
      </c>
      <c r="J659" s="127"/>
      <c r="K659" s="129"/>
      <c r="L659" s="128"/>
      <c r="M659" s="305" t="str">
        <f>IFERROR(Table3[[#This Row],[Quantity (doses)]]/Table3[[#This Row],[Doses per vial or syringe]],"")</f>
        <v/>
      </c>
      <c r="N659" s="127"/>
      <c r="O659" s="127"/>
      <c r="P659" s="381"/>
      <c r="Q659" s="129"/>
      <c r="R659" s="127"/>
      <c r="S659" s="127"/>
      <c r="T659" s="127"/>
      <c r="U659" s="127"/>
      <c r="V659" s="305" t="str">
        <f>_xlfn.IFNA(VLOOKUP(D659,ProductListTbl[],9,0),"")</f>
        <v/>
      </c>
      <c r="W659" s="305" t="str">
        <f>IFERROR(Table3[[#This Row],[Storage space per secondary packaging (cm3)]]*Table3[[#This Row],[Quantity  (vials or syringes)]]/1000,"")</f>
        <v/>
      </c>
      <c r="X659" s="305" t="str">
        <f>IFERROR(Table3[[#This Row],[Storage space per tertiary packaging (cm3)]]*Table3[[#This Row],[Quantity (doses)]]/1000,"")</f>
        <v/>
      </c>
      <c r="Y659" s="293" t="str">
        <f>IF(Table3[[#This Row],[Status]]="Ordered",(DATE(YEAR(P659),MONTH(P659),1)),IF(Table3[[#This Row],[Status]]="Received",(DATE(YEAR(Q659),MONTH(Q659),1)),""))</f>
        <v/>
      </c>
      <c r="Z659" s="304" t="str">
        <f t="shared" si="40"/>
        <v/>
      </c>
      <c r="AA659" s="48" t="str">
        <f t="shared" si="41"/>
        <v/>
      </c>
      <c r="AB659" s="48" t="str">
        <f t="shared" si="42"/>
        <v/>
      </c>
      <c r="AC659" s="292" t="str">
        <f t="shared" si="43"/>
        <v/>
      </c>
      <c r="AD659" s="48" t="str">
        <f>IF(Table3[[#This Row],[Actual Arrival date]]&gt;0,IF(Table3[[#This Row],[Expected arrival date]]&gt;0,Table3[[#This Row],[Actual Arrival date]]-Table3[[#This Row],[Expected arrival date]],""),"")</f>
        <v/>
      </c>
    </row>
    <row r="660" spans="1:30" x14ac:dyDescent="0.25">
      <c r="A660" s="303" t="str">
        <f>Start!$D$7</f>
        <v>Anyland</v>
      </c>
      <c r="B660" s="48" t="str">
        <f>_xlfn.IFNA(VLOOKUP(A660,list!B:C,2,FALSE),"")</f>
        <v>ANY</v>
      </c>
      <c r="C660" s="48"/>
      <c r="D660" s="127"/>
      <c r="E660" s="48" t="str">
        <f>_xlfn.IFNA(VLOOKUP(Table3[[#This Row],[Product]], ProductListTbl[], 3, 0), "")</f>
        <v/>
      </c>
      <c r="F660" s="303" t="str">
        <f>_xlfn.IFNA(VLOOKUP(D660,ProductListTbl[],5,0),"")</f>
        <v/>
      </c>
      <c r="G660" s="303" t="str">
        <f>_xlfn.IFNA(VLOOKUP(D660,ProductListTbl[],6,0),"")</f>
        <v/>
      </c>
      <c r="H660" s="130" t="str">
        <f>_xlfn.IFNA(VLOOKUP(D660,ProductListTbl[],7,0),"")</f>
        <v/>
      </c>
      <c r="I660" s="130" t="str">
        <f>_xlfn.IFNA(VLOOKUP(D660,ProductListTbl[],8,0),"")</f>
        <v/>
      </c>
      <c r="J660" s="127"/>
      <c r="K660" s="129"/>
      <c r="L660" s="128"/>
      <c r="M660" s="305" t="str">
        <f>IFERROR(Table3[[#This Row],[Quantity (doses)]]/Table3[[#This Row],[Doses per vial or syringe]],"")</f>
        <v/>
      </c>
      <c r="N660" s="127"/>
      <c r="O660" s="127"/>
      <c r="P660" s="381"/>
      <c r="Q660" s="129"/>
      <c r="R660" s="127"/>
      <c r="S660" s="127"/>
      <c r="T660" s="127"/>
      <c r="U660" s="127"/>
      <c r="V660" s="305" t="str">
        <f>_xlfn.IFNA(VLOOKUP(D660,ProductListTbl[],9,0),"")</f>
        <v/>
      </c>
      <c r="W660" s="305" t="str">
        <f>IFERROR(Table3[[#This Row],[Storage space per secondary packaging (cm3)]]*Table3[[#This Row],[Quantity  (vials or syringes)]]/1000,"")</f>
        <v/>
      </c>
      <c r="X660" s="305" t="str">
        <f>IFERROR(Table3[[#This Row],[Storage space per tertiary packaging (cm3)]]*Table3[[#This Row],[Quantity (doses)]]/1000,"")</f>
        <v/>
      </c>
      <c r="Y660" s="293" t="str">
        <f>IF(Table3[[#This Row],[Status]]="Ordered",(DATE(YEAR(P660),MONTH(P660),1)),IF(Table3[[#This Row],[Status]]="Received",(DATE(YEAR(Q660),MONTH(Q660),1)),""))</f>
        <v/>
      </c>
      <c r="Z660" s="304" t="str">
        <f t="shared" si="40"/>
        <v/>
      </c>
      <c r="AA660" s="48" t="str">
        <f t="shared" si="41"/>
        <v/>
      </c>
      <c r="AB660" s="48" t="str">
        <f t="shared" si="42"/>
        <v/>
      </c>
      <c r="AC660" s="292" t="str">
        <f t="shared" si="43"/>
        <v/>
      </c>
      <c r="AD660" s="48" t="str">
        <f>IF(Table3[[#This Row],[Actual Arrival date]]&gt;0,IF(Table3[[#This Row],[Expected arrival date]]&gt;0,Table3[[#This Row],[Actual Arrival date]]-Table3[[#This Row],[Expected arrival date]],""),"")</f>
        <v/>
      </c>
    </row>
    <row r="661" spans="1:30" x14ac:dyDescent="0.25">
      <c r="A661" s="303" t="str">
        <f>Start!$D$7</f>
        <v>Anyland</v>
      </c>
      <c r="B661" s="48" t="str">
        <f>_xlfn.IFNA(VLOOKUP(A661,list!B:C,2,FALSE),"")</f>
        <v>ANY</v>
      </c>
      <c r="C661" s="48"/>
      <c r="D661" s="127"/>
      <c r="E661" s="48" t="str">
        <f>_xlfn.IFNA(VLOOKUP(Table3[[#This Row],[Product]], ProductListTbl[], 3, 0), "")</f>
        <v/>
      </c>
      <c r="F661" s="303" t="str">
        <f>_xlfn.IFNA(VLOOKUP(D661,ProductListTbl[],5,0),"")</f>
        <v/>
      </c>
      <c r="G661" s="303" t="str">
        <f>_xlfn.IFNA(VLOOKUP(D661,ProductListTbl[],6,0),"")</f>
        <v/>
      </c>
      <c r="H661" s="130" t="str">
        <f>_xlfn.IFNA(VLOOKUP(D661,ProductListTbl[],7,0),"")</f>
        <v/>
      </c>
      <c r="I661" s="130" t="str">
        <f>_xlfn.IFNA(VLOOKUP(D661,ProductListTbl[],8,0),"")</f>
        <v/>
      </c>
      <c r="J661" s="127"/>
      <c r="K661" s="129"/>
      <c r="L661" s="128"/>
      <c r="M661" s="305" t="str">
        <f>IFERROR(Table3[[#This Row],[Quantity (doses)]]/Table3[[#This Row],[Doses per vial or syringe]],"")</f>
        <v/>
      </c>
      <c r="N661" s="127"/>
      <c r="O661" s="127"/>
      <c r="P661" s="381"/>
      <c r="Q661" s="129"/>
      <c r="R661" s="127"/>
      <c r="S661" s="127"/>
      <c r="T661" s="127"/>
      <c r="U661" s="127"/>
      <c r="V661" s="305" t="str">
        <f>_xlfn.IFNA(VLOOKUP(D661,ProductListTbl[],9,0),"")</f>
        <v/>
      </c>
      <c r="W661" s="305" t="str">
        <f>IFERROR(Table3[[#This Row],[Storage space per secondary packaging (cm3)]]*Table3[[#This Row],[Quantity  (vials or syringes)]]/1000,"")</f>
        <v/>
      </c>
      <c r="X661" s="305" t="str">
        <f>IFERROR(Table3[[#This Row],[Storage space per tertiary packaging (cm3)]]*Table3[[#This Row],[Quantity (doses)]]/1000,"")</f>
        <v/>
      </c>
      <c r="Y661" s="293" t="str">
        <f>IF(Table3[[#This Row],[Status]]="Ordered",(DATE(YEAR(P661),MONTH(P661),1)),IF(Table3[[#This Row],[Status]]="Received",(DATE(YEAR(Q661),MONTH(Q661),1)),""))</f>
        <v/>
      </c>
      <c r="Z661" s="304" t="str">
        <f t="shared" si="40"/>
        <v/>
      </c>
      <c r="AA661" s="48" t="str">
        <f t="shared" si="41"/>
        <v/>
      </c>
      <c r="AB661" s="48" t="str">
        <f t="shared" si="42"/>
        <v/>
      </c>
      <c r="AC661" s="292" t="str">
        <f t="shared" si="43"/>
        <v/>
      </c>
      <c r="AD661" s="48" t="str">
        <f>IF(Table3[[#This Row],[Actual Arrival date]]&gt;0,IF(Table3[[#This Row],[Expected arrival date]]&gt;0,Table3[[#This Row],[Actual Arrival date]]-Table3[[#This Row],[Expected arrival date]],""),"")</f>
        <v/>
      </c>
    </row>
    <row r="662" spans="1:30" x14ac:dyDescent="0.25">
      <c r="A662" s="303" t="str">
        <f>Start!$D$7</f>
        <v>Anyland</v>
      </c>
      <c r="B662" s="48" t="str">
        <f>_xlfn.IFNA(VLOOKUP(A662,list!B:C,2,FALSE),"")</f>
        <v>ANY</v>
      </c>
      <c r="C662" s="48"/>
      <c r="D662" s="127"/>
      <c r="E662" s="48" t="str">
        <f>_xlfn.IFNA(VLOOKUP(Table3[[#This Row],[Product]], ProductListTbl[], 3, 0), "")</f>
        <v/>
      </c>
      <c r="F662" s="303" t="str">
        <f>_xlfn.IFNA(VLOOKUP(D662,ProductListTbl[],5,0),"")</f>
        <v/>
      </c>
      <c r="G662" s="303" t="str">
        <f>_xlfn.IFNA(VLOOKUP(D662,ProductListTbl[],6,0),"")</f>
        <v/>
      </c>
      <c r="H662" s="130" t="str">
        <f>_xlfn.IFNA(VLOOKUP(D662,ProductListTbl[],7,0),"")</f>
        <v/>
      </c>
      <c r="I662" s="130" t="str">
        <f>_xlfn.IFNA(VLOOKUP(D662,ProductListTbl[],8,0),"")</f>
        <v/>
      </c>
      <c r="J662" s="127"/>
      <c r="K662" s="129"/>
      <c r="L662" s="128"/>
      <c r="M662" s="305" t="str">
        <f>IFERROR(Table3[[#This Row],[Quantity (doses)]]/Table3[[#This Row],[Doses per vial or syringe]],"")</f>
        <v/>
      </c>
      <c r="N662" s="127"/>
      <c r="O662" s="127"/>
      <c r="P662" s="381"/>
      <c r="Q662" s="129"/>
      <c r="R662" s="127"/>
      <c r="S662" s="127"/>
      <c r="T662" s="127"/>
      <c r="U662" s="127"/>
      <c r="V662" s="305" t="str">
        <f>_xlfn.IFNA(VLOOKUP(D662,ProductListTbl[],9,0),"")</f>
        <v/>
      </c>
      <c r="W662" s="305" t="str">
        <f>IFERROR(Table3[[#This Row],[Storage space per secondary packaging (cm3)]]*Table3[[#This Row],[Quantity  (vials or syringes)]]/1000,"")</f>
        <v/>
      </c>
      <c r="X662" s="305" t="str">
        <f>IFERROR(Table3[[#This Row],[Storage space per tertiary packaging (cm3)]]*Table3[[#This Row],[Quantity (doses)]]/1000,"")</f>
        <v/>
      </c>
      <c r="Y662" s="293" t="str">
        <f>IF(Table3[[#This Row],[Status]]="Ordered",(DATE(YEAR(P662),MONTH(P662),1)),IF(Table3[[#This Row],[Status]]="Received",(DATE(YEAR(Q662),MONTH(Q662),1)),""))</f>
        <v/>
      </c>
      <c r="Z662" s="304" t="str">
        <f t="shared" si="40"/>
        <v/>
      </c>
      <c r="AA662" s="48" t="str">
        <f t="shared" si="41"/>
        <v/>
      </c>
      <c r="AB662" s="48" t="str">
        <f t="shared" si="42"/>
        <v/>
      </c>
      <c r="AC662" s="292" t="str">
        <f t="shared" si="43"/>
        <v/>
      </c>
      <c r="AD662" s="48" t="str">
        <f>IF(Table3[[#This Row],[Actual Arrival date]]&gt;0,IF(Table3[[#This Row],[Expected arrival date]]&gt;0,Table3[[#This Row],[Actual Arrival date]]-Table3[[#This Row],[Expected arrival date]],""),"")</f>
        <v/>
      </c>
    </row>
    <row r="663" spans="1:30" x14ac:dyDescent="0.25">
      <c r="A663" s="303" t="str">
        <f>Start!$D$7</f>
        <v>Anyland</v>
      </c>
      <c r="B663" s="48" t="str">
        <f>_xlfn.IFNA(VLOOKUP(A663,list!B:C,2,FALSE),"")</f>
        <v>ANY</v>
      </c>
      <c r="C663" s="48"/>
      <c r="D663" s="127"/>
      <c r="E663" s="48" t="str">
        <f>_xlfn.IFNA(VLOOKUP(Table3[[#This Row],[Product]], ProductListTbl[], 3, 0), "")</f>
        <v/>
      </c>
      <c r="F663" s="303" t="str">
        <f>_xlfn.IFNA(VLOOKUP(D663,ProductListTbl[],5,0),"")</f>
        <v/>
      </c>
      <c r="G663" s="303" t="str">
        <f>_xlfn.IFNA(VLOOKUP(D663,ProductListTbl[],6,0),"")</f>
        <v/>
      </c>
      <c r="H663" s="130" t="str">
        <f>_xlfn.IFNA(VLOOKUP(D663,ProductListTbl[],7,0),"")</f>
        <v/>
      </c>
      <c r="I663" s="130" t="str">
        <f>_xlfn.IFNA(VLOOKUP(D663,ProductListTbl[],8,0),"")</f>
        <v/>
      </c>
      <c r="J663" s="127"/>
      <c r="K663" s="129"/>
      <c r="L663" s="128"/>
      <c r="M663" s="305" t="str">
        <f>IFERROR(Table3[[#This Row],[Quantity (doses)]]/Table3[[#This Row],[Doses per vial or syringe]],"")</f>
        <v/>
      </c>
      <c r="N663" s="127"/>
      <c r="O663" s="127"/>
      <c r="P663" s="381"/>
      <c r="Q663" s="129"/>
      <c r="R663" s="127"/>
      <c r="S663" s="127"/>
      <c r="T663" s="127"/>
      <c r="U663" s="127"/>
      <c r="V663" s="305" t="str">
        <f>_xlfn.IFNA(VLOOKUP(D663,ProductListTbl[],9,0),"")</f>
        <v/>
      </c>
      <c r="W663" s="305" t="str">
        <f>IFERROR(Table3[[#This Row],[Storage space per secondary packaging (cm3)]]*Table3[[#This Row],[Quantity  (vials or syringes)]]/1000,"")</f>
        <v/>
      </c>
      <c r="X663" s="305" t="str">
        <f>IFERROR(Table3[[#This Row],[Storage space per tertiary packaging (cm3)]]*Table3[[#This Row],[Quantity (doses)]]/1000,"")</f>
        <v/>
      </c>
      <c r="Y663" s="293" t="str">
        <f>IF(Table3[[#This Row],[Status]]="Ordered",(DATE(YEAR(P663),MONTH(P663),1)),IF(Table3[[#This Row],[Status]]="Received",(DATE(YEAR(Q663),MONTH(Q663),1)),""))</f>
        <v/>
      </c>
      <c r="Z663" s="304" t="str">
        <f t="shared" si="40"/>
        <v/>
      </c>
      <c r="AA663" s="48" t="str">
        <f t="shared" si="41"/>
        <v/>
      </c>
      <c r="AB663" s="48" t="str">
        <f t="shared" si="42"/>
        <v/>
      </c>
      <c r="AC663" s="292" t="str">
        <f t="shared" si="43"/>
        <v/>
      </c>
      <c r="AD663" s="48" t="str">
        <f>IF(Table3[[#This Row],[Actual Arrival date]]&gt;0,IF(Table3[[#This Row],[Expected arrival date]]&gt;0,Table3[[#This Row],[Actual Arrival date]]-Table3[[#This Row],[Expected arrival date]],""),"")</f>
        <v/>
      </c>
    </row>
    <row r="664" spans="1:30" x14ac:dyDescent="0.25">
      <c r="A664" s="303" t="str">
        <f>Start!$D$7</f>
        <v>Anyland</v>
      </c>
      <c r="B664" s="48" t="str">
        <f>_xlfn.IFNA(VLOOKUP(A664,list!B:C,2,FALSE),"")</f>
        <v>ANY</v>
      </c>
      <c r="C664" s="48"/>
      <c r="D664" s="127"/>
      <c r="E664" s="48" t="str">
        <f>_xlfn.IFNA(VLOOKUP(Table3[[#This Row],[Product]], ProductListTbl[], 3, 0), "")</f>
        <v/>
      </c>
      <c r="F664" s="303" t="str">
        <f>_xlfn.IFNA(VLOOKUP(D664,ProductListTbl[],5,0),"")</f>
        <v/>
      </c>
      <c r="G664" s="303" t="str">
        <f>_xlfn.IFNA(VLOOKUP(D664,ProductListTbl[],6,0),"")</f>
        <v/>
      </c>
      <c r="H664" s="130" t="str">
        <f>_xlfn.IFNA(VLOOKUP(D664,ProductListTbl[],7,0),"")</f>
        <v/>
      </c>
      <c r="I664" s="130" t="str">
        <f>_xlfn.IFNA(VLOOKUP(D664,ProductListTbl[],8,0),"")</f>
        <v/>
      </c>
      <c r="J664" s="127"/>
      <c r="K664" s="129"/>
      <c r="L664" s="128"/>
      <c r="M664" s="305" t="str">
        <f>IFERROR(Table3[[#This Row],[Quantity (doses)]]/Table3[[#This Row],[Doses per vial or syringe]],"")</f>
        <v/>
      </c>
      <c r="N664" s="127"/>
      <c r="O664" s="127"/>
      <c r="P664" s="381"/>
      <c r="Q664" s="129"/>
      <c r="R664" s="127"/>
      <c r="S664" s="127"/>
      <c r="T664" s="127"/>
      <c r="U664" s="127"/>
      <c r="V664" s="305" t="str">
        <f>_xlfn.IFNA(VLOOKUP(D664,ProductListTbl[],9,0),"")</f>
        <v/>
      </c>
      <c r="W664" s="305" t="str">
        <f>IFERROR(Table3[[#This Row],[Storage space per secondary packaging (cm3)]]*Table3[[#This Row],[Quantity  (vials or syringes)]]/1000,"")</f>
        <v/>
      </c>
      <c r="X664" s="305" t="str">
        <f>IFERROR(Table3[[#This Row],[Storage space per tertiary packaging (cm3)]]*Table3[[#This Row],[Quantity (doses)]]/1000,"")</f>
        <v/>
      </c>
      <c r="Y664" s="293" t="str">
        <f>IF(Table3[[#This Row],[Status]]="Ordered",(DATE(YEAR(P664),MONTH(P664),1)),IF(Table3[[#This Row],[Status]]="Received",(DATE(YEAR(Q664),MONTH(Q664),1)),""))</f>
        <v/>
      </c>
      <c r="Z664" s="304" t="str">
        <f t="shared" si="40"/>
        <v/>
      </c>
      <c r="AA664" s="48" t="str">
        <f t="shared" si="41"/>
        <v/>
      </c>
      <c r="AB664" s="48" t="str">
        <f t="shared" si="42"/>
        <v/>
      </c>
      <c r="AC664" s="292" t="str">
        <f t="shared" si="43"/>
        <v/>
      </c>
      <c r="AD664" s="48" t="str">
        <f>IF(Table3[[#This Row],[Actual Arrival date]]&gt;0,IF(Table3[[#This Row],[Expected arrival date]]&gt;0,Table3[[#This Row],[Actual Arrival date]]-Table3[[#This Row],[Expected arrival date]],""),"")</f>
        <v/>
      </c>
    </row>
    <row r="665" spans="1:30" x14ac:dyDescent="0.25">
      <c r="A665" s="303" t="str">
        <f>Start!$D$7</f>
        <v>Anyland</v>
      </c>
      <c r="B665" s="48" t="str">
        <f>_xlfn.IFNA(VLOOKUP(A665,list!B:C,2,FALSE),"")</f>
        <v>ANY</v>
      </c>
      <c r="C665" s="48"/>
      <c r="D665" s="127"/>
      <c r="E665" s="48" t="str">
        <f>_xlfn.IFNA(VLOOKUP(Table3[[#This Row],[Product]], ProductListTbl[], 3, 0), "")</f>
        <v/>
      </c>
      <c r="F665" s="303" t="str">
        <f>_xlfn.IFNA(VLOOKUP(D665,ProductListTbl[],5,0),"")</f>
        <v/>
      </c>
      <c r="G665" s="303" t="str">
        <f>_xlfn.IFNA(VLOOKUP(D665,ProductListTbl[],6,0),"")</f>
        <v/>
      </c>
      <c r="H665" s="130" t="str">
        <f>_xlfn.IFNA(VLOOKUP(D665,ProductListTbl[],7,0),"")</f>
        <v/>
      </c>
      <c r="I665" s="130" t="str">
        <f>_xlfn.IFNA(VLOOKUP(D665,ProductListTbl[],8,0),"")</f>
        <v/>
      </c>
      <c r="J665" s="127"/>
      <c r="K665" s="129"/>
      <c r="L665" s="128"/>
      <c r="M665" s="305" t="str">
        <f>IFERROR(Table3[[#This Row],[Quantity (doses)]]/Table3[[#This Row],[Doses per vial or syringe]],"")</f>
        <v/>
      </c>
      <c r="N665" s="127"/>
      <c r="O665" s="127"/>
      <c r="P665" s="381"/>
      <c r="Q665" s="129"/>
      <c r="R665" s="127"/>
      <c r="S665" s="127"/>
      <c r="T665" s="127"/>
      <c r="U665" s="127"/>
      <c r="V665" s="305" t="str">
        <f>_xlfn.IFNA(VLOOKUP(D665,ProductListTbl[],9,0),"")</f>
        <v/>
      </c>
      <c r="W665" s="305" t="str">
        <f>IFERROR(Table3[[#This Row],[Storage space per secondary packaging (cm3)]]*Table3[[#This Row],[Quantity  (vials or syringes)]]/1000,"")</f>
        <v/>
      </c>
      <c r="X665" s="305" t="str">
        <f>IFERROR(Table3[[#This Row],[Storage space per tertiary packaging (cm3)]]*Table3[[#This Row],[Quantity (doses)]]/1000,"")</f>
        <v/>
      </c>
      <c r="Y665" s="293" t="str">
        <f>IF(Table3[[#This Row],[Status]]="Ordered",(DATE(YEAR(P665),MONTH(P665),1)),IF(Table3[[#This Row],[Status]]="Received",(DATE(YEAR(Q665),MONTH(Q665),1)),""))</f>
        <v/>
      </c>
      <c r="Z665" s="304" t="str">
        <f t="shared" si="40"/>
        <v/>
      </c>
      <c r="AA665" s="48" t="str">
        <f t="shared" si="41"/>
        <v/>
      </c>
      <c r="AB665" s="48" t="str">
        <f t="shared" si="42"/>
        <v/>
      </c>
      <c r="AC665" s="292" t="str">
        <f t="shared" si="43"/>
        <v/>
      </c>
      <c r="AD665" s="48" t="str">
        <f>IF(Table3[[#This Row],[Actual Arrival date]]&gt;0,IF(Table3[[#This Row],[Expected arrival date]]&gt;0,Table3[[#This Row],[Actual Arrival date]]-Table3[[#This Row],[Expected arrival date]],""),"")</f>
        <v/>
      </c>
    </row>
    <row r="666" spans="1:30" x14ac:dyDescent="0.25">
      <c r="A666" s="303" t="str">
        <f>Start!$D$7</f>
        <v>Anyland</v>
      </c>
      <c r="B666" s="48" t="str">
        <f>_xlfn.IFNA(VLOOKUP(A666,list!B:C,2,FALSE),"")</f>
        <v>ANY</v>
      </c>
      <c r="C666" s="48"/>
      <c r="D666" s="127"/>
      <c r="E666" s="48" t="str">
        <f>_xlfn.IFNA(VLOOKUP(Table3[[#This Row],[Product]], ProductListTbl[], 3, 0), "")</f>
        <v/>
      </c>
      <c r="F666" s="303" t="str">
        <f>_xlfn.IFNA(VLOOKUP(D666,ProductListTbl[],5,0),"")</f>
        <v/>
      </c>
      <c r="G666" s="303" t="str">
        <f>_xlfn.IFNA(VLOOKUP(D666,ProductListTbl[],6,0),"")</f>
        <v/>
      </c>
      <c r="H666" s="130" t="str">
        <f>_xlfn.IFNA(VLOOKUP(D666,ProductListTbl[],7,0),"")</f>
        <v/>
      </c>
      <c r="I666" s="130" t="str">
        <f>_xlfn.IFNA(VLOOKUP(D666,ProductListTbl[],8,0),"")</f>
        <v/>
      </c>
      <c r="J666" s="127"/>
      <c r="K666" s="129"/>
      <c r="L666" s="128"/>
      <c r="M666" s="305" t="str">
        <f>IFERROR(Table3[[#This Row],[Quantity (doses)]]/Table3[[#This Row],[Doses per vial or syringe]],"")</f>
        <v/>
      </c>
      <c r="N666" s="127"/>
      <c r="O666" s="127"/>
      <c r="P666" s="381"/>
      <c r="Q666" s="129"/>
      <c r="R666" s="127"/>
      <c r="S666" s="127"/>
      <c r="T666" s="127"/>
      <c r="U666" s="127"/>
      <c r="V666" s="305" t="str">
        <f>_xlfn.IFNA(VLOOKUP(D666,ProductListTbl[],9,0),"")</f>
        <v/>
      </c>
      <c r="W666" s="305" t="str">
        <f>IFERROR(Table3[[#This Row],[Storage space per secondary packaging (cm3)]]*Table3[[#This Row],[Quantity  (vials or syringes)]]/1000,"")</f>
        <v/>
      </c>
      <c r="X666" s="305" t="str">
        <f>IFERROR(Table3[[#This Row],[Storage space per tertiary packaging (cm3)]]*Table3[[#This Row],[Quantity (doses)]]/1000,"")</f>
        <v/>
      </c>
      <c r="Y666" s="293" t="str">
        <f>IF(Table3[[#This Row],[Status]]="Ordered",(DATE(YEAR(P666),MONTH(P666),1)),IF(Table3[[#This Row],[Status]]="Received",(DATE(YEAR(Q666),MONTH(Q666),1)),""))</f>
        <v/>
      </c>
      <c r="Z666" s="304" t="str">
        <f t="shared" si="40"/>
        <v/>
      </c>
      <c r="AA666" s="48" t="str">
        <f t="shared" si="41"/>
        <v/>
      </c>
      <c r="AB666" s="48" t="str">
        <f t="shared" si="42"/>
        <v/>
      </c>
      <c r="AC666" s="292" t="str">
        <f t="shared" si="43"/>
        <v/>
      </c>
      <c r="AD666" s="48" t="str">
        <f>IF(Table3[[#This Row],[Actual Arrival date]]&gt;0,IF(Table3[[#This Row],[Expected arrival date]]&gt;0,Table3[[#This Row],[Actual Arrival date]]-Table3[[#This Row],[Expected arrival date]],""),"")</f>
        <v/>
      </c>
    </row>
    <row r="667" spans="1:30" x14ac:dyDescent="0.25">
      <c r="A667" s="303" t="str">
        <f>Start!$D$7</f>
        <v>Anyland</v>
      </c>
      <c r="B667" s="48" t="str">
        <f>_xlfn.IFNA(VLOOKUP(A667,list!B:C,2,FALSE),"")</f>
        <v>ANY</v>
      </c>
      <c r="C667" s="48"/>
      <c r="D667" s="127"/>
      <c r="E667" s="48" t="str">
        <f>_xlfn.IFNA(VLOOKUP(Table3[[#This Row],[Product]], ProductListTbl[], 3, 0), "")</f>
        <v/>
      </c>
      <c r="F667" s="303" t="str">
        <f>_xlfn.IFNA(VLOOKUP(D667,ProductListTbl[],5,0),"")</f>
        <v/>
      </c>
      <c r="G667" s="303" t="str">
        <f>_xlfn.IFNA(VLOOKUP(D667,ProductListTbl[],6,0),"")</f>
        <v/>
      </c>
      <c r="H667" s="130" t="str">
        <f>_xlfn.IFNA(VLOOKUP(D667,ProductListTbl[],7,0),"")</f>
        <v/>
      </c>
      <c r="I667" s="130" t="str">
        <f>_xlfn.IFNA(VLOOKUP(D667,ProductListTbl[],8,0),"")</f>
        <v/>
      </c>
      <c r="J667" s="127"/>
      <c r="K667" s="129"/>
      <c r="L667" s="128"/>
      <c r="M667" s="305" t="str">
        <f>IFERROR(Table3[[#This Row],[Quantity (doses)]]/Table3[[#This Row],[Doses per vial or syringe]],"")</f>
        <v/>
      </c>
      <c r="N667" s="127"/>
      <c r="O667" s="127"/>
      <c r="P667" s="381"/>
      <c r="Q667" s="129"/>
      <c r="R667" s="127"/>
      <c r="S667" s="127"/>
      <c r="T667" s="127"/>
      <c r="U667" s="127"/>
      <c r="V667" s="305" t="str">
        <f>_xlfn.IFNA(VLOOKUP(D667,ProductListTbl[],9,0),"")</f>
        <v/>
      </c>
      <c r="W667" s="305" t="str">
        <f>IFERROR(Table3[[#This Row],[Storage space per secondary packaging (cm3)]]*Table3[[#This Row],[Quantity  (vials or syringes)]]/1000,"")</f>
        <v/>
      </c>
      <c r="X667" s="305" t="str">
        <f>IFERROR(Table3[[#This Row],[Storage space per tertiary packaging (cm3)]]*Table3[[#This Row],[Quantity (doses)]]/1000,"")</f>
        <v/>
      </c>
      <c r="Y667" s="293" t="str">
        <f>IF(Table3[[#This Row],[Status]]="Ordered",(DATE(YEAR(P667),MONTH(P667),1)),IF(Table3[[#This Row],[Status]]="Received",(DATE(YEAR(Q667),MONTH(Q667),1)),""))</f>
        <v/>
      </c>
      <c r="Z667" s="304" t="str">
        <f t="shared" si="40"/>
        <v/>
      </c>
      <c r="AA667" s="48" t="str">
        <f t="shared" si="41"/>
        <v/>
      </c>
      <c r="AB667" s="48" t="str">
        <f t="shared" si="42"/>
        <v/>
      </c>
      <c r="AC667" s="292" t="str">
        <f t="shared" si="43"/>
        <v/>
      </c>
      <c r="AD667" s="48" t="str">
        <f>IF(Table3[[#This Row],[Actual Arrival date]]&gt;0,IF(Table3[[#This Row],[Expected arrival date]]&gt;0,Table3[[#This Row],[Actual Arrival date]]-Table3[[#This Row],[Expected arrival date]],""),"")</f>
        <v/>
      </c>
    </row>
    <row r="668" spans="1:30" x14ac:dyDescent="0.25">
      <c r="A668" s="303" t="str">
        <f>Start!$D$7</f>
        <v>Anyland</v>
      </c>
      <c r="B668" s="48" t="str">
        <f>_xlfn.IFNA(VLOOKUP(A668,list!B:C,2,FALSE),"")</f>
        <v>ANY</v>
      </c>
      <c r="C668" s="48"/>
      <c r="D668" s="127"/>
      <c r="E668" s="48" t="str">
        <f>_xlfn.IFNA(VLOOKUP(Table3[[#This Row],[Product]], ProductListTbl[], 3, 0), "")</f>
        <v/>
      </c>
      <c r="F668" s="303" t="str">
        <f>_xlfn.IFNA(VLOOKUP(D668,ProductListTbl[],5,0),"")</f>
        <v/>
      </c>
      <c r="G668" s="303" t="str">
        <f>_xlfn.IFNA(VLOOKUP(D668,ProductListTbl[],6,0),"")</f>
        <v/>
      </c>
      <c r="H668" s="130" t="str">
        <f>_xlfn.IFNA(VLOOKUP(D668,ProductListTbl[],7,0),"")</f>
        <v/>
      </c>
      <c r="I668" s="130" t="str">
        <f>_xlfn.IFNA(VLOOKUP(D668,ProductListTbl[],8,0),"")</f>
        <v/>
      </c>
      <c r="J668" s="127"/>
      <c r="K668" s="129"/>
      <c r="L668" s="128"/>
      <c r="M668" s="305" t="str">
        <f>IFERROR(Table3[[#This Row],[Quantity (doses)]]/Table3[[#This Row],[Doses per vial or syringe]],"")</f>
        <v/>
      </c>
      <c r="N668" s="127"/>
      <c r="O668" s="127"/>
      <c r="P668" s="381"/>
      <c r="Q668" s="129"/>
      <c r="R668" s="127"/>
      <c r="S668" s="127"/>
      <c r="T668" s="127"/>
      <c r="U668" s="127"/>
      <c r="V668" s="305" t="str">
        <f>_xlfn.IFNA(VLOOKUP(D668,ProductListTbl[],9,0),"")</f>
        <v/>
      </c>
      <c r="W668" s="305" t="str">
        <f>IFERROR(Table3[[#This Row],[Storage space per secondary packaging (cm3)]]*Table3[[#This Row],[Quantity  (vials or syringes)]]/1000,"")</f>
        <v/>
      </c>
      <c r="X668" s="305" t="str">
        <f>IFERROR(Table3[[#This Row],[Storage space per tertiary packaging (cm3)]]*Table3[[#This Row],[Quantity (doses)]]/1000,"")</f>
        <v/>
      </c>
      <c r="Y668" s="293" t="str">
        <f>IF(Table3[[#This Row],[Status]]="Ordered",(DATE(YEAR(P668),MONTH(P668),1)),IF(Table3[[#This Row],[Status]]="Received",(DATE(YEAR(Q668),MONTH(Q668),1)),""))</f>
        <v/>
      </c>
      <c r="Z668" s="304" t="str">
        <f t="shared" si="40"/>
        <v/>
      </c>
      <c r="AA668" s="48" t="str">
        <f t="shared" si="41"/>
        <v/>
      </c>
      <c r="AB668" s="48" t="str">
        <f t="shared" si="42"/>
        <v/>
      </c>
      <c r="AC668" s="292" t="str">
        <f t="shared" si="43"/>
        <v/>
      </c>
      <c r="AD668" s="48" t="str">
        <f>IF(Table3[[#This Row],[Actual Arrival date]]&gt;0,IF(Table3[[#This Row],[Expected arrival date]]&gt;0,Table3[[#This Row],[Actual Arrival date]]-Table3[[#This Row],[Expected arrival date]],""),"")</f>
        <v/>
      </c>
    </row>
    <row r="669" spans="1:30" x14ac:dyDescent="0.25">
      <c r="A669" s="303" t="str">
        <f>Start!$D$7</f>
        <v>Anyland</v>
      </c>
      <c r="B669" s="48" t="str">
        <f>_xlfn.IFNA(VLOOKUP(A669,list!B:C,2,FALSE),"")</f>
        <v>ANY</v>
      </c>
      <c r="C669" s="48"/>
      <c r="D669" s="127"/>
      <c r="E669" s="48" t="str">
        <f>_xlfn.IFNA(VLOOKUP(Table3[[#This Row],[Product]], ProductListTbl[], 3, 0), "")</f>
        <v/>
      </c>
      <c r="F669" s="303" t="str">
        <f>_xlfn.IFNA(VLOOKUP(D669,ProductListTbl[],5,0),"")</f>
        <v/>
      </c>
      <c r="G669" s="303" t="str">
        <f>_xlfn.IFNA(VLOOKUP(D669,ProductListTbl[],6,0),"")</f>
        <v/>
      </c>
      <c r="H669" s="130" t="str">
        <f>_xlfn.IFNA(VLOOKUP(D669,ProductListTbl[],7,0),"")</f>
        <v/>
      </c>
      <c r="I669" s="130" t="str">
        <f>_xlfn.IFNA(VLOOKUP(D669,ProductListTbl[],8,0),"")</f>
        <v/>
      </c>
      <c r="J669" s="127"/>
      <c r="K669" s="129"/>
      <c r="L669" s="128"/>
      <c r="M669" s="305" t="str">
        <f>IFERROR(Table3[[#This Row],[Quantity (doses)]]/Table3[[#This Row],[Doses per vial or syringe]],"")</f>
        <v/>
      </c>
      <c r="N669" s="127"/>
      <c r="O669" s="127"/>
      <c r="P669" s="381"/>
      <c r="Q669" s="129"/>
      <c r="R669" s="127"/>
      <c r="S669" s="127"/>
      <c r="T669" s="127"/>
      <c r="U669" s="127"/>
      <c r="V669" s="305" t="str">
        <f>_xlfn.IFNA(VLOOKUP(D669,ProductListTbl[],9,0),"")</f>
        <v/>
      </c>
      <c r="W669" s="305" t="str">
        <f>IFERROR(Table3[[#This Row],[Storage space per secondary packaging (cm3)]]*Table3[[#This Row],[Quantity  (vials or syringes)]]/1000,"")</f>
        <v/>
      </c>
      <c r="X669" s="305" t="str">
        <f>IFERROR(Table3[[#This Row],[Storage space per tertiary packaging (cm3)]]*Table3[[#This Row],[Quantity (doses)]]/1000,"")</f>
        <v/>
      </c>
      <c r="Y669" s="293" t="str">
        <f>IF(Table3[[#This Row],[Status]]="Ordered",(DATE(YEAR(P669),MONTH(P669),1)),IF(Table3[[#This Row],[Status]]="Received",(DATE(YEAR(Q669),MONTH(Q669),1)),""))</f>
        <v/>
      </c>
      <c r="Z669" s="304" t="str">
        <f t="shared" si="40"/>
        <v/>
      </c>
      <c r="AA669" s="48" t="str">
        <f t="shared" si="41"/>
        <v/>
      </c>
      <c r="AB669" s="48" t="str">
        <f t="shared" si="42"/>
        <v/>
      </c>
      <c r="AC669" s="292" t="str">
        <f t="shared" si="43"/>
        <v/>
      </c>
      <c r="AD669" s="48" t="str">
        <f>IF(Table3[[#This Row],[Actual Arrival date]]&gt;0,IF(Table3[[#This Row],[Expected arrival date]]&gt;0,Table3[[#This Row],[Actual Arrival date]]-Table3[[#This Row],[Expected arrival date]],""),"")</f>
        <v/>
      </c>
    </row>
    <row r="670" spans="1:30" x14ac:dyDescent="0.25">
      <c r="A670" s="303" t="str">
        <f>Start!$D$7</f>
        <v>Anyland</v>
      </c>
      <c r="B670" s="48" t="str">
        <f>_xlfn.IFNA(VLOOKUP(A670,list!B:C,2,FALSE),"")</f>
        <v>ANY</v>
      </c>
      <c r="C670" s="48"/>
      <c r="D670" s="127"/>
      <c r="E670" s="48" t="str">
        <f>_xlfn.IFNA(VLOOKUP(Table3[[#This Row],[Product]], ProductListTbl[], 3, 0), "")</f>
        <v/>
      </c>
      <c r="F670" s="303" t="str">
        <f>_xlfn.IFNA(VLOOKUP(D670,ProductListTbl[],5,0),"")</f>
        <v/>
      </c>
      <c r="G670" s="303" t="str">
        <f>_xlfn.IFNA(VLOOKUP(D670,ProductListTbl[],6,0),"")</f>
        <v/>
      </c>
      <c r="H670" s="130" t="str">
        <f>_xlfn.IFNA(VLOOKUP(D670,ProductListTbl[],7,0),"")</f>
        <v/>
      </c>
      <c r="I670" s="130" t="str">
        <f>_xlfn.IFNA(VLOOKUP(D670,ProductListTbl[],8,0),"")</f>
        <v/>
      </c>
      <c r="J670" s="127"/>
      <c r="K670" s="129"/>
      <c r="L670" s="128"/>
      <c r="M670" s="305" t="str">
        <f>IFERROR(Table3[[#This Row],[Quantity (doses)]]/Table3[[#This Row],[Doses per vial or syringe]],"")</f>
        <v/>
      </c>
      <c r="N670" s="127"/>
      <c r="O670" s="127"/>
      <c r="P670" s="381"/>
      <c r="Q670" s="129"/>
      <c r="R670" s="127"/>
      <c r="S670" s="127"/>
      <c r="T670" s="127"/>
      <c r="U670" s="127"/>
      <c r="V670" s="305" t="str">
        <f>_xlfn.IFNA(VLOOKUP(D670,ProductListTbl[],9,0),"")</f>
        <v/>
      </c>
      <c r="W670" s="305" t="str">
        <f>IFERROR(Table3[[#This Row],[Storage space per secondary packaging (cm3)]]*Table3[[#This Row],[Quantity  (vials or syringes)]]/1000,"")</f>
        <v/>
      </c>
      <c r="X670" s="305" t="str">
        <f>IFERROR(Table3[[#This Row],[Storage space per tertiary packaging (cm3)]]*Table3[[#This Row],[Quantity (doses)]]/1000,"")</f>
        <v/>
      </c>
      <c r="Y670" s="293" t="str">
        <f>IF(Table3[[#This Row],[Status]]="Ordered",(DATE(YEAR(P670),MONTH(P670),1)),IF(Table3[[#This Row],[Status]]="Received",(DATE(YEAR(Q670),MONTH(Q670),1)),""))</f>
        <v/>
      </c>
      <c r="Z670" s="304" t="str">
        <f t="shared" si="40"/>
        <v/>
      </c>
      <c r="AA670" s="48" t="str">
        <f t="shared" si="41"/>
        <v/>
      </c>
      <c r="AB670" s="48" t="str">
        <f t="shared" si="42"/>
        <v/>
      </c>
      <c r="AC670" s="292" t="str">
        <f t="shared" si="43"/>
        <v/>
      </c>
      <c r="AD670" s="48" t="str">
        <f>IF(Table3[[#This Row],[Actual Arrival date]]&gt;0,IF(Table3[[#This Row],[Expected arrival date]]&gt;0,Table3[[#This Row],[Actual Arrival date]]-Table3[[#This Row],[Expected arrival date]],""),"")</f>
        <v/>
      </c>
    </row>
    <row r="671" spans="1:30" x14ac:dyDescent="0.25">
      <c r="A671" s="303" t="str">
        <f>Start!$D$7</f>
        <v>Anyland</v>
      </c>
      <c r="B671" s="48" t="str">
        <f>_xlfn.IFNA(VLOOKUP(A671,list!B:C,2,FALSE),"")</f>
        <v>ANY</v>
      </c>
      <c r="C671" s="48"/>
      <c r="D671" s="127"/>
      <c r="E671" s="48" t="str">
        <f>_xlfn.IFNA(VLOOKUP(Table3[[#This Row],[Product]], ProductListTbl[], 3, 0), "")</f>
        <v/>
      </c>
      <c r="F671" s="303" t="str">
        <f>_xlfn.IFNA(VLOOKUP(D671,ProductListTbl[],5,0),"")</f>
        <v/>
      </c>
      <c r="G671" s="303" t="str">
        <f>_xlfn.IFNA(VLOOKUP(D671,ProductListTbl[],6,0),"")</f>
        <v/>
      </c>
      <c r="H671" s="130" t="str">
        <f>_xlfn.IFNA(VLOOKUP(D671,ProductListTbl[],7,0),"")</f>
        <v/>
      </c>
      <c r="I671" s="130" t="str">
        <f>_xlfn.IFNA(VLOOKUP(D671,ProductListTbl[],8,0),"")</f>
        <v/>
      </c>
      <c r="J671" s="127"/>
      <c r="K671" s="129"/>
      <c r="L671" s="128"/>
      <c r="M671" s="305" t="str">
        <f>IFERROR(Table3[[#This Row],[Quantity (doses)]]/Table3[[#This Row],[Doses per vial or syringe]],"")</f>
        <v/>
      </c>
      <c r="N671" s="127"/>
      <c r="O671" s="127"/>
      <c r="P671" s="381"/>
      <c r="Q671" s="129"/>
      <c r="R671" s="127"/>
      <c r="S671" s="127"/>
      <c r="T671" s="127"/>
      <c r="U671" s="127"/>
      <c r="V671" s="305" t="str">
        <f>_xlfn.IFNA(VLOOKUP(D671,ProductListTbl[],9,0),"")</f>
        <v/>
      </c>
      <c r="W671" s="305" t="str">
        <f>IFERROR(Table3[[#This Row],[Storage space per secondary packaging (cm3)]]*Table3[[#This Row],[Quantity  (vials or syringes)]]/1000,"")</f>
        <v/>
      </c>
      <c r="X671" s="305" t="str">
        <f>IFERROR(Table3[[#This Row],[Storage space per tertiary packaging (cm3)]]*Table3[[#This Row],[Quantity (doses)]]/1000,"")</f>
        <v/>
      </c>
      <c r="Y671" s="293" t="str">
        <f>IF(Table3[[#This Row],[Status]]="Ordered",(DATE(YEAR(P671),MONTH(P671),1)),IF(Table3[[#This Row],[Status]]="Received",(DATE(YEAR(Q671),MONTH(Q671),1)),""))</f>
        <v/>
      </c>
      <c r="Z671" s="304" t="str">
        <f t="shared" si="40"/>
        <v/>
      </c>
      <c r="AA671" s="48" t="str">
        <f t="shared" si="41"/>
        <v/>
      </c>
      <c r="AB671" s="48" t="str">
        <f t="shared" si="42"/>
        <v/>
      </c>
      <c r="AC671" s="292" t="str">
        <f t="shared" si="43"/>
        <v/>
      </c>
      <c r="AD671" s="48" t="str">
        <f>IF(Table3[[#This Row],[Actual Arrival date]]&gt;0,IF(Table3[[#This Row],[Expected arrival date]]&gt;0,Table3[[#This Row],[Actual Arrival date]]-Table3[[#This Row],[Expected arrival date]],""),"")</f>
        <v/>
      </c>
    </row>
    <row r="672" spans="1:30" x14ac:dyDescent="0.25">
      <c r="A672" s="303" t="str">
        <f>Start!$D$7</f>
        <v>Anyland</v>
      </c>
      <c r="B672" s="48" t="str">
        <f>_xlfn.IFNA(VLOOKUP(A672,list!B:C,2,FALSE),"")</f>
        <v>ANY</v>
      </c>
      <c r="C672" s="48"/>
      <c r="D672" s="127"/>
      <c r="E672" s="48" t="str">
        <f>_xlfn.IFNA(VLOOKUP(Table3[[#This Row],[Product]], ProductListTbl[], 3, 0), "")</f>
        <v/>
      </c>
      <c r="F672" s="303" t="str">
        <f>_xlfn.IFNA(VLOOKUP(D672,ProductListTbl[],5,0),"")</f>
        <v/>
      </c>
      <c r="G672" s="303" t="str">
        <f>_xlfn.IFNA(VLOOKUP(D672,ProductListTbl[],6,0),"")</f>
        <v/>
      </c>
      <c r="H672" s="130" t="str">
        <f>_xlfn.IFNA(VLOOKUP(D672,ProductListTbl[],7,0),"")</f>
        <v/>
      </c>
      <c r="I672" s="130" t="str">
        <f>_xlfn.IFNA(VLOOKUP(D672,ProductListTbl[],8,0),"")</f>
        <v/>
      </c>
      <c r="J672" s="127"/>
      <c r="K672" s="129"/>
      <c r="L672" s="128"/>
      <c r="M672" s="305" t="str">
        <f>IFERROR(Table3[[#This Row],[Quantity (doses)]]/Table3[[#This Row],[Doses per vial or syringe]],"")</f>
        <v/>
      </c>
      <c r="N672" s="127"/>
      <c r="O672" s="127"/>
      <c r="P672" s="381"/>
      <c r="Q672" s="129"/>
      <c r="R672" s="127"/>
      <c r="S672" s="127"/>
      <c r="T672" s="127"/>
      <c r="U672" s="127"/>
      <c r="V672" s="305" t="str">
        <f>_xlfn.IFNA(VLOOKUP(D672,ProductListTbl[],9,0),"")</f>
        <v/>
      </c>
      <c r="W672" s="305" t="str">
        <f>IFERROR(Table3[[#This Row],[Storage space per secondary packaging (cm3)]]*Table3[[#This Row],[Quantity  (vials or syringes)]]/1000,"")</f>
        <v/>
      </c>
      <c r="X672" s="305" t="str">
        <f>IFERROR(Table3[[#This Row],[Storage space per tertiary packaging (cm3)]]*Table3[[#This Row],[Quantity (doses)]]/1000,"")</f>
        <v/>
      </c>
      <c r="Y672" s="293" t="str">
        <f>IF(Table3[[#This Row],[Status]]="Ordered",(DATE(YEAR(P672),MONTH(P672),1)),IF(Table3[[#This Row],[Status]]="Received",(DATE(YEAR(Q672),MONTH(Q672),1)),""))</f>
        <v/>
      </c>
      <c r="Z672" s="304" t="str">
        <f t="shared" si="40"/>
        <v/>
      </c>
      <c r="AA672" s="48" t="str">
        <f t="shared" si="41"/>
        <v/>
      </c>
      <c r="AB672" s="48" t="str">
        <f t="shared" si="42"/>
        <v/>
      </c>
      <c r="AC672" s="292" t="str">
        <f t="shared" si="43"/>
        <v/>
      </c>
      <c r="AD672" s="48" t="str">
        <f>IF(Table3[[#This Row],[Actual Arrival date]]&gt;0,IF(Table3[[#This Row],[Expected arrival date]]&gt;0,Table3[[#This Row],[Actual Arrival date]]-Table3[[#This Row],[Expected arrival date]],""),"")</f>
        <v/>
      </c>
    </row>
    <row r="673" spans="1:30" x14ac:dyDescent="0.25">
      <c r="A673" s="303" t="str">
        <f>Start!$D$7</f>
        <v>Anyland</v>
      </c>
      <c r="B673" s="48" t="str">
        <f>_xlfn.IFNA(VLOOKUP(A673,list!B:C,2,FALSE),"")</f>
        <v>ANY</v>
      </c>
      <c r="C673" s="48"/>
      <c r="D673" s="127"/>
      <c r="E673" s="48" t="str">
        <f>_xlfn.IFNA(VLOOKUP(Table3[[#This Row],[Product]], ProductListTbl[], 3, 0), "")</f>
        <v/>
      </c>
      <c r="F673" s="303" t="str">
        <f>_xlfn.IFNA(VLOOKUP(D673,ProductListTbl[],5,0),"")</f>
        <v/>
      </c>
      <c r="G673" s="303" t="str">
        <f>_xlfn.IFNA(VLOOKUP(D673,ProductListTbl[],6,0),"")</f>
        <v/>
      </c>
      <c r="H673" s="130" t="str">
        <f>_xlfn.IFNA(VLOOKUP(D673,ProductListTbl[],7,0),"")</f>
        <v/>
      </c>
      <c r="I673" s="130" t="str">
        <f>_xlfn.IFNA(VLOOKUP(D673,ProductListTbl[],8,0),"")</f>
        <v/>
      </c>
      <c r="J673" s="127"/>
      <c r="K673" s="129"/>
      <c r="L673" s="128"/>
      <c r="M673" s="305" t="str">
        <f>IFERROR(Table3[[#This Row],[Quantity (doses)]]/Table3[[#This Row],[Doses per vial or syringe]],"")</f>
        <v/>
      </c>
      <c r="N673" s="127"/>
      <c r="O673" s="127"/>
      <c r="P673" s="381"/>
      <c r="Q673" s="129"/>
      <c r="R673" s="127"/>
      <c r="S673" s="127"/>
      <c r="T673" s="127"/>
      <c r="U673" s="127"/>
      <c r="V673" s="305" t="str">
        <f>_xlfn.IFNA(VLOOKUP(D673,ProductListTbl[],9,0),"")</f>
        <v/>
      </c>
      <c r="W673" s="305" t="str">
        <f>IFERROR(Table3[[#This Row],[Storage space per secondary packaging (cm3)]]*Table3[[#This Row],[Quantity  (vials or syringes)]]/1000,"")</f>
        <v/>
      </c>
      <c r="X673" s="305" t="str">
        <f>IFERROR(Table3[[#This Row],[Storage space per tertiary packaging (cm3)]]*Table3[[#This Row],[Quantity (doses)]]/1000,"")</f>
        <v/>
      </c>
      <c r="Y673" s="293" t="str">
        <f>IF(Table3[[#This Row],[Status]]="Ordered",(DATE(YEAR(P673),MONTH(P673),1)),IF(Table3[[#This Row],[Status]]="Received",(DATE(YEAR(Q673),MONTH(Q673),1)),""))</f>
        <v/>
      </c>
      <c r="Z673" s="304" t="str">
        <f t="shared" si="40"/>
        <v/>
      </c>
      <c r="AA673" s="48" t="str">
        <f t="shared" si="41"/>
        <v/>
      </c>
      <c r="AB673" s="48" t="str">
        <f t="shared" si="42"/>
        <v/>
      </c>
      <c r="AC673" s="292" t="str">
        <f t="shared" si="43"/>
        <v/>
      </c>
      <c r="AD673" s="48" t="str">
        <f>IF(Table3[[#This Row],[Actual Arrival date]]&gt;0,IF(Table3[[#This Row],[Expected arrival date]]&gt;0,Table3[[#This Row],[Actual Arrival date]]-Table3[[#This Row],[Expected arrival date]],""),"")</f>
        <v/>
      </c>
    </row>
    <row r="674" spans="1:30" x14ac:dyDescent="0.25">
      <c r="A674" s="303" t="str">
        <f>Start!$D$7</f>
        <v>Anyland</v>
      </c>
      <c r="B674" s="48" t="str">
        <f>_xlfn.IFNA(VLOOKUP(A674,list!B:C,2,FALSE),"")</f>
        <v>ANY</v>
      </c>
      <c r="C674" s="48"/>
      <c r="D674" s="127"/>
      <c r="E674" s="48" t="str">
        <f>_xlfn.IFNA(VLOOKUP(Table3[[#This Row],[Product]], ProductListTbl[], 3, 0), "")</f>
        <v/>
      </c>
      <c r="F674" s="303" t="str">
        <f>_xlfn.IFNA(VLOOKUP(D674,ProductListTbl[],5,0),"")</f>
        <v/>
      </c>
      <c r="G674" s="303" t="str">
        <f>_xlfn.IFNA(VLOOKUP(D674,ProductListTbl[],6,0),"")</f>
        <v/>
      </c>
      <c r="H674" s="130" t="str">
        <f>_xlfn.IFNA(VLOOKUP(D674,ProductListTbl[],7,0),"")</f>
        <v/>
      </c>
      <c r="I674" s="130" t="str">
        <f>_xlfn.IFNA(VLOOKUP(D674,ProductListTbl[],8,0),"")</f>
        <v/>
      </c>
      <c r="J674" s="127"/>
      <c r="K674" s="129"/>
      <c r="L674" s="128"/>
      <c r="M674" s="305" t="str">
        <f>IFERROR(Table3[[#This Row],[Quantity (doses)]]/Table3[[#This Row],[Doses per vial or syringe]],"")</f>
        <v/>
      </c>
      <c r="N674" s="127"/>
      <c r="O674" s="127"/>
      <c r="P674" s="381"/>
      <c r="Q674" s="129"/>
      <c r="R674" s="127"/>
      <c r="S674" s="127"/>
      <c r="T674" s="127"/>
      <c r="U674" s="127"/>
      <c r="V674" s="305" t="str">
        <f>_xlfn.IFNA(VLOOKUP(D674,ProductListTbl[],9,0),"")</f>
        <v/>
      </c>
      <c r="W674" s="305" t="str">
        <f>IFERROR(Table3[[#This Row],[Storage space per secondary packaging (cm3)]]*Table3[[#This Row],[Quantity  (vials or syringes)]]/1000,"")</f>
        <v/>
      </c>
      <c r="X674" s="305" t="str">
        <f>IFERROR(Table3[[#This Row],[Storage space per tertiary packaging (cm3)]]*Table3[[#This Row],[Quantity (doses)]]/1000,"")</f>
        <v/>
      </c>
      <c r="Y674" s="293" t="str">
        <f>IF(Table3[[#This Row],[Status]]="Ordered",(DATE(YEAR(P674),MONTH(P674),1)),IF(Table3[[#This Row],[Status]]="Received",(DATE(YEAR(Q674),MONTH(Q674),1)),""))</f>
        <v/>
      </c>
      <c r="Z674" s="304" t="str">
        <f t="shared" si="40"/>
        <v/>
      </c>
      <c r="AA674" s="48" t="str">
        <f t="shared" si="41"/>
        <v/>
      </c>
      <c r="AB674" s="48" t="str">
        <f t="shared" si="42"/>
        <v/>
      </c>
      <c r="AC674" s="292" t="str">
        <f t="shared" si="43"/>
        <v/>
      </c>
      <c r="AD674" s="48" t="str">
        <f>IF(Table3[[#This Row],[Actual Arrival date]]&gt;0,IF(Table3[[#This Row],[Expected arrival date]]&gt;0,Table3[[#This Row],[Actual Arrival date]]-Table3[[#This Row],[Expected arrival date]],""),"")</f>
        <v/>
      </c>
    </row>
    <row r="675" spans="1:30" x14ac:dyDescent="0.25">
      <c r="A675" s="303" t="str">
        <f>Start!$D$7</f>
        <v>Anyland</v>
      </c>
      <c r="B675" s="48" t="str">
        <f>_xlfn.IFNA(VLOOKUP(A675,list!B:C,2,FALSE),"")</f>
        <v>ANY</v>
      </c>
      <c r="C675" s="48"/>
      <c r="D675" s="127"/>
      <c r="E675" s="48" t="str">
        <f>_xlfn.IFNA(VLOOKUP(Table3[[#This Row],[Product]], ProductListTbl[], 3, 0), "")</f>
        <v/>
      </c>
      <c r="F675" s="303" t="str">
        <f>_xlfn.IFNA(VLOOKUP(D675,ProductListTbl[],5,0),"")</f>
        <v/>
      </c>
      <c r="G675" s="303" t="str">
        <f>_xlfn.IFNA(VLOOKUP(D675,ProductListTbl[],6,0),"")</f>
        <v/>
      </c>
      <c r="H675" s="130" t="str">
        <f>_xlfn.IFNA(VLOOKUP(D675,ProductListTbl[],7,0),"")</f>
        <v/>
      </c>
      <c r="I675" s="130" t="str">
        <f>_xlfn.IFNA(VLOOKUP(D675,ProductListTbl[],8,0),"")</f>
        <v/>
      </c>
      <c r="J675" s="127"/>
      <c r="K675" s="129"/>
      <c r="L675" s="128"/>
      <c r="M675" s="305" t="str">
        <f>IFERROR(Table3[[#This Row],[Quantity (doses)]]/Table3[[#This Row],[Doses per vial or syringe]],"")</f>
        <v/>
      </c>
      <c r="N675" s="127"/>
      <c r="O675" s="127"/>
      <c r="P675" s="381"/>
      <c r="Q675" s="129"/>
      <c r="R675" s="127"/>
      <c r="S675" s="127"/>
      <c r="T675" s="127"/>
      <c r="U675" s="127"/>
      <c r="V675" s="305" t="str">
        <f>_xlfn.IFNA(VLOOKUP(D675,ProductListTbl[],9,0),"")</f>
        <v/>
      </c>
      <c r="W675" s="305" t="str">
        <f>IFERROR(Table3[[#This Row],[Storage space per secondary packaging (cm3)]]*Table3[[#This Row],[Quantity  (vials or syringes)]]/1000,"")</f>
        <v/>
      </c>
      <c r="X675" s="305" t="str">
        <f>IFERROR(Table3[[#This Row],[Storage space per tertiary packaging (cm3)]]*Table3[[#This Row],[Quantity (doses)]]/1000,"")</f>
        <v/>
      </c>
      <c r="Y675" s="293" t="str">
        <f>IF(Table3[[#This Row],[Status]]="Ordered",(DATE(YEAR(P675),MONTH(P675),1)),IF(Table3[[#This Row],[Status]]="Received",(DATE(YEAR(Q675),MONTH(Q675),1)),""))</f>
        <v/>
      </c>
      <c r="Z675" s="304" t="str">
        <f t="shared" si="40"/>
        <v/>
      </c>
      <c r="AA675" s="48" t="str">
        <f t="shared" si="41"/>
        <v/>
      </c>
      <c r="AB675" s="48" t="str">
        <f t="shared" si="42"/>
        <v/>
      </c>
      <c r="AC675" s="292" t="str">
        <f t="shared" si="43"/>
        <v/>
      </c>
      <c r="AD675" s="48" t="str">
        <f>IF(Table3[[#This Row],[Actual Arrival date]]&gt;0,IF(Table3[[#This Row],[Expected arrival date]]&gt;0,Table3[[#This Row],[Actual Arrival date]]-Table3[[#This Row],[Expected arrival date]],""),"")</f>
        <v/>
      </c>
    </row>
    <row r="676" spans="1:30" x14ac:dyDescent="0.25">
      <c r="A676" s="303" t="str">
        <f>Start!$D$7</f>
        <v>Anyland</v>
      </c>
      <c r="B676" s="48" t="str">
        <f>_xlfn.IFNA(VLOOKUP(A676,list!B:C,2,FALSE),"")</f>
        <v>ANY</v>
      </c>
      <c r="C676" s="48"/>
      <c r="D676" s="127"/>
      <c r="E676" s="48" t="str">
        <f>_xlfn.IFNA(VLOOKUP(Table3[[#This Row],[Product]], ProductListTbl[], 3, 0), "")</f>
        <v/>
      </c>
      <c r="F676" s="303" t="str">
        <f>_xlfn.IFNA(VLOOKUP(D676,ProductListTbl[],5,0),"")</f>
        <v/>
      </c>
      <c r="G676" s="303" t="str">
        <f>_xlfn.IFNA(VLOOKUP(D676,ProductListTbl[],6,0),"")</f>
        <v/>
      </c>
      <c r="H676" s="130" t="str">
        <f>_xlfn.IFNA(VLOOKUP(D676,ProductListTbl[],7,0),"")</f>
        <v/>
      </c>
      <c r="I676" s="130" t="str">
        <f>_xlfn.IFNA(VLOOKUP(D676,ProductListTbl[],8,0),"")</f>
        <v/>
      </c>
      <c r="J676" s="127"/>
      <c r="K676" s="129"/>
      <c r="L676" s="128"/>
      <c r="M676" s="305" t="str">
        <f>IFERROR(Table3[[#This Row],[Quantity (doses)]]/Table3[[#This Row],[Doses per vial or syringe]],"")</f>
        <v/>
      </c>
      <c r="N676" s="127"/>
      <c r="O676" s="127"/>
      <c r="P676" s="381"/>
      <c r="Q676" s="129"/>
      <c r="R676" s="127"/>
      <c r="S676" s="127"/>
      <c r="T676" s="127"/>
      <c r="U676" s="127"/>
      <c r="V676" s="305" t="str">
        <f>_xlfn.IFNA(VLOOKUP(D676,ProductListTbl[],9,0),"")</f>
        <v/>
      </c>
      <c r="W676" s="305" t="str">
        <f>IFERROR(Table3[[#This Row],[Storage space per secondary packaging (cm3)]]*Table3[[#This Row],[Quantity  (vials or syringes)]]/1000,"")</f>
        <v/>
      </c>
      <c r="X676" s="305" t="str">
        <f>IFERROR(Table3[[#This Row],[Storage space per tertiary packaging (cm3)]]*Table3[[#This Row],[Quantity (doses)]]/1000,"")</f>
        <v/>
      </c>
      <c r="Y676" s="293" t="str">
        <f>IF(Table3[[#This Row],[Status]]="Ordered",(DATE(YEAR(P676),MONTH(P676),1)),IF(Table3[[#This Row],[Status]]="Received",(DATE(YEAR(Q676),MONTH(Q676),1)),""))</f>
        <v/>
      </c>
      <c r="Z676" s="304" t="str">
        <f t="shared" si="40"/>
        <v/>
      </c>
      <c r="AA676" s="48" t="str">
        <f t="shared" si="41"/>
        <v/>
      </c>
      <c r="AB676" s="48" t="str">
        <f t="shared" si="42"/>
        <v/>
      </c>
      <c r="AC676" s="292" t="str">
        <f t="shared" si="43"/>
        <v/>
      </c>
      <c r="AD676" s="48" t="str">
        <f>IF(Table3[[#This Row],[Actual Arrival date]]&gt;0,IF(Table3[[#This Row],[Expected arrival date]]&gt;0,Table3[[#This Row],[Actual Arrival date]]-Table3[[#This Row],[Expected arrival date]],""),"")</f>
        <v/>
      </c>
    </row>
    <row r="677" spans="1:30" x14ac:dyDescent="0.25">
      <c r="A677" s="303" t="str">
        <f>Start!$D$7</f>
        <v>Anyland</v>
      </c>
      <c r="B677" s="48" t="str">
        <f>_xlfn.IFNA(VLOOKUP(A677,list!B:C,2,FALSE),"")</f>
        <v>ANY</v>
      </c>
      <c r="C677" s="48"/>
      <c r="D677" s="127"/>
      <c r="E677" s="48" t="str">
        <f>_xlfn.IFNA(VLOOKUP(Table3[[#This Row],[Product]], ProductListTbl[], 3, 0), "")</f>
        <v/>
      </c>
      <c r="F677" s="303" t="str">
        <f>_xlfn.IFNA(VLOOKUP(D677,ProductListTbl[],5,0),"")</f>
        <v/>
      </c>
      <c r="G677" s="303" t="str">
        <f>_xlfn.IFNA(VLOOKUP(D677,ProductListTbl[],6,0),"")</f>
        <v/>
      </c>
      <c r="H677" s="130" t="str">
        <f>_xlfn.IFNA(VLOOKUP(D677,ProductListTbl[],7,0),"")</f>
        <v/>
      </c>
      <c r="I677" s="130" t="str">
        <f>_xlfn.IFNA(VLOOKUP(D677,ProductListTbl[],8,0),"")</f>
        <v/>
      </c>
      <c r="J677" s="127"/>
      <c r="K677" s="129"/>
      <c r="L677" s="128"/>
      <c r="M677" s="305" t="str">
        <f>IFERROR(Table3[[#This Row],[Quantity (doses)]]/Table3[[#This Row],[Doses per vial or syringe]],"")</f>
        <v/>
      </c>
      <c r="N677" s="127"/>
      <c r="O677" s="127"/>
      <c r="P677" s="381"/>
      <c r="Q677" s="129"/>
      <c r="R677" s="127"/>
      <c r="S677" s="127"/>
      <c r="T677" s="127"/>
      <c r="U677" s="127"/>
      <c r="V677" s="305" t="str">
        <f>_xlfn.IFNA(VLOOKUP(D677,ProductListTbl[],9,0),"")</f>
        <v/>
      </c>
      <c r="W677" s="305" t="str">
        <f>IFERROR(Table3[[#This Row],[Storage space per secondary packaging (cm3)]]*Table3[[#This Row],[Quantity  (vials or syringes)]]/1000,"")</f>
        <v/>
      </c>
      <c r="X677" s="305" t="str">
        <f>IFERROR(Table3[[#This Row],[Storage space per tertiary packaging (cm3)]]*Table3[[#This Row],[Quantity (doses)]]/1000,"")</f>
        <v/>
      </c>
      <c r="Y677" s="293" t="str">
        <f>IF(Table3[[#This Row],[Status]]="Ordered",(DATE(YEAR(P677),MONTH(P677),1)),IF(Table3[[#This Row],[Status]]="Received",(DATE(YEAR(Q677),MONTH(Q677),1)),""))</f>
        <v/>
      </c>
      <c r="Z677" s="304" t="str">
        <f t="shared" si="40"/>
        <v/>
      </c>
      <c r="AA677" s="48" t="str">
        <f t="shared" si="41"/>
        <v/>
      </c>
      <c r="AB677" s="48" t="str">
        <f t="shared" si="42"/>
        <v/>
      </c>
      <c r="AC677" s="292" t="str">
        <f t="shared" si="43"/>
        <v/>
      </c>
      <c r="AD677" s="48" t="str">
        <f>IF(Table3[[#This Row],[Actual Arrival date]]&gt;0,IF(Table3[[#This Row],[Expected arrival date]]&gt;0,Table3[[#This Row],[Actual Arrival date]]-Table3[[#This Row],[Expected arrival date]],""),"")</f>
        <v/>
      </c>
    </row>
    <row r="678" spans="1:30" x14ac:dyDescent="0.25">
      <c r="A678" s="303" t="str">
        <f>Start!$D$7</f>
        <v>Anyland</v>
      </c>
      <c r="B678" s="48" t="str">
        <f>_xlfn.IFNA(VLOOKUP(A678,list!B:C,2,FALSE),"")</f>
        <v>ANY</v>
      </c>
      <c r="C678" s="48"/>
      <c r="D678" s="127"/>
      <c r="E678" s="48" t="str">
        <f>_xlfn.IFNA(VLOOKUP(Table3[[#This Row],[Product]], ProductListTbl[], 3, 0), "")</f>
        <v/>
      </c>
      <c r="F678" s="303" t="str">
        <f>_xlfn.IFNA(VLOOKUP(D678,ProductListTbl[],5,0),"")</f>
        <v/>
      </c>
      <c r="G678" s="303" t="str">
        <f>_xlfn.IFNA(VLOOKUP(D678,ProductListTbl[],6,0),"")</f>
        <v/>
      </c>
      <c r="H678" s="130" t="str">
        <f>_xlfn.IFNA(VLOOKUP(D678,ProductListTbl[],7,0),"")</f>
        <v/>
      </c>
      <c r="I678" s="130" t="str">
        <f>_xlfn.IFNA(VLOOKUP(D678,ProductListTbl[],8,0),"")</f>
        <v/>
      </c>
      <c r="J678" s="127"/>
      <c r="K678" s="129"/>
      <c r="L678" s="128"/>
      <c r="M678" s="305" t="str">
        <f>IFERROR(Table3[[#This Row],[Quantity (doses)]]/Table3[[#This Row],[Doses per vial or syringe]],"")</f>
        <v/>
      </c>
      <c r="N678" s="127"/>
      <c r="O678" s="127"/>
      <c r="P678" s="381"/>
      <c r="Q678" s="129"/>
      <c r="R678" s="127"/>
      <c r="S678" s="127"/>
      <c r="T678" s="127"/>
      <c r="U678" s="127"/>
      <c r="V678" s="305" t="str">
        <f>_xlfn.IFNA(VLOOKUP(D678,ProductListTbl[],9,0),"")</f>
        <v/>
      </c>
      <c r="W678" s="305" t="str">
        <f>IFERROR(Table3[[#This Row],[Storage space per secondary packaging (cm3)]]*Table3[[#This Row],[Quantity  (vials or syringes)]]/1000,"")</f>
        <v/>
      </c>
      <c r="X678" s="305" t="str">
        <f>IFERROR(Table3[[#This Row],[Storage space per tertiary packaging (cm3)]]*Table3[[#This Row],[Quantity (doses)]]/1000,"")</f>
        <v/>
      </c>
      <c r="Y678" s="293" t="str">
        <f>IF(Table3[[#This Row],[Status]]="Ordered",(DATE(YEAR(P678),MONTH(P678),1)),IF(Table3[[#This Row],[Status]]="Received",(DATE(YEAR(Q678),MONTH(Q678),1)),""))</f>
        <v/>
      </c>
      <c r="Z678" s="304" t="str">
        <f t="shared" si="40"/>
        <v/>
      </c>
      <c r="AA678" s="48" t="str">
        <f t="shared" si="41"/>
        <v/>
      </c>
      <c r="AB678" s="48" t="str">
        <f t="shared" si="42"/>
        <v/>
      </c>
      <c r="AC678" s="292" t="str">
        <f t="shared" si="43"/>
        <v/>
      </c>
      <c r="AD678" s="48" t="str">
        <f>IF(Table3[[#This Row],[Actual Arrival date]]&gt;0,IF(Table3[[#This Row],[Expected arrival date]]&gt;0,Table3[[#This Row],[Actual Arrival date]]-Table3[[#This Row],[Expected arrival date]],""),"")</f>
        <v/>
      </c>
    </row>
    <row r="679" spans="1:30" x14ac:dyDescent="0.25">
      <c r="A679" s="303" t="str">
        <f>Start!$D$7</f>
        <v>Anyland</v>
      </c>
      <c r="B679" s="48" t="str">
        <f>_xlfn.IFNA(VLOOKUP(A679,list!B:C,2,FALSE),"")</f>
        <v>ANY</v>
      </c>
      <c r="C679" s="48"/>
      <c r="D679" s="127"/>
      <c r="E679" s="48" t="str">
        <f>_xlfn.IFNA(VLOOKUP(Table3[[#This Row],[Product]], ProductListTbl[], 3, 0), "")</f>
        <v/>
      </c>
      <c r="F679" s="303" t="str">
        <f>_xlfn.IFNA(VLOOKUP(D679,ProductListTbl[],5,0),"")</f>
        <v/>
      </c>
      <c r="G679" s="303" t="str">
        <f>_xlfn.IFNA(VLOOKUP(D679,ProductListTbl[],6,0),"")</f>
        <v/>
      </c>
      <c r="H679" s="130" t="str">
        <f>_xlfn.IFNA(VLOOKUP(D679,ProductListTbl[],7,0),"")</f>
        <v/>
      </c>
      <c r="I679" s="130" t="str">
        <f>_xlfn.IFNA(VLOOKUP(D679,ProductListTbl[],8,0),"")</f>
        <v/>
      </c>
      <c r="J679" s="127"/>
      <c r="K679" s="129"/>
      <c r="L679" s="128"/>
      <c r="M679" s="305" t="str">
        <f>IFERROR(Table3[[#This Row],[Quantity (doses)]]/Table3[[#This Row],[Doses per vial or syringe]],"")</f>
        <v/>
      </c>
      <c r="N679" s="127"/>
      <c r="O679" s="127"/>
      <c r="P679" s="381"/>
      <c r="Q679" s="129"/>
      <c r="R679" s="127"/>
      <c r="S679" s="127"/>
      <c r="T679" s="127"/>
      <c r="U679" s="127"/>
      <c r="V679" s="305" t="str">
        <f>_xlfn.IFNA(VLOOKUP(D679,ProductListTbl[],9,0),"")</f>
        <v/>
      </c>
      <c r="W679" s="305" t="str">
        <f>IFERROR(Table3[[#This Row],[Storage space per secondary packaging (cm3)]]*Table3[[#This Row],[Quantity  (vials or syringes)]]/1000,"")</f>
        <v/>
      </c>
      <c r="X679" s="305" t="str">
        <f>IFERROR(Table3[[#This Row],[Storage space per tertiary packaging (cm3)]]*Table3[[#This Row],[Quantity (doses)]]/1000,"")</f>
        <v/>
      </c>
      <c r="Y679" s="293" t="str">
        <f>IF(Table3[[#This Row],[Status]]="Ordered",(DATE(YEAR(P679),MONTH(P679),1)),IF(Table3[[#This Row],[Status]]="Received",(DATE(YEAR(Q679),MONTH(Q679),1)),""))</f>
        <v/>
      </c>
      <c r="Z679" s="304" t="str">
        <f t="shared" si="40"/>
        <v/>
      </c>
      <c r="AA679" s="48" t="str">
        <f t="shared" si="41"/>
        <v/>
      </c>
      <c r="AB679" s="48" t="str">
        <f t="shared" si="42"/>
        <v/>
      </c>
      <c r="AC679" s="292" t="str">
        <f t="shared" si="43"/>
        <v/>
      </c>
      <c r="AD679" s="48" t="str">
        <f>IF(Table3[[#This Row],[Actual Arrival date]]&gt;0,IF(Table3[[#This Row],[Expected arrival date]]&gt;0,Table3[[#This Row],[Actual Arrival date]]-Table3[[#This Row],[Expected arrival date]],""),"")</f>
        <v/>
      </c>
    </row>
    <row r="680" spans="1:30" x14ac:dyDescent="0.25">
      <c r="A680" s="303" t="str">
        <f>Start!$D$7</f>
        <v>Anyland</v>
      </c>
      <c r="B680" s="48" t="str">
        <f>_xlfn.IFNA(VLOOKUP(A680,list!B:C,2,FALSE),"")</f>
        <v>ANY</v>
      </c>
      <c r="C680" s="48"/>
      <c r="D680" s="127"/>
      <c r="E680" s="48" t="str">
        <f>_xlfn.IFNA(VLOOKUP(Table3[[#This Row],[Product]], ProductListTbl[], 3, 0), "")</f>
        <v/>
      </c>
      <c r="F680" s="303" t="str">
        <f>_xlfn.IFNA(VLOOKUP(D680,ProductListTbl[],5,0),"")</f>
        <v/>
      </c>
      <c r="G680" s="303" t="str">
        <f>_xlfn.IFNA(VLOOKUP(D680,ProductListTbl[],6,0),"")</f>
        <v/>
      </c>
      <c r="H680" s="130" t="str">
        <f>_xlfn.IFNA(VLOOKUP(D680,ProductListTbl[],7,0),"")</f>
        <v/>
      </c>
      <c r="I680" s="130" t="str">
        <f>_xlfn.IFNA(VLOOKUP(D680,ProductListTbl[],8,0),"")</f>
        <v/>
      </c>
      <c r="J680" s="127"/>
      <c r="K680" s="129"/>
      <c r="L680" s="128"/>
      <c r="M680" s="305" t="str">
        <f>IFERROR(Table3[[#This Row],[Quantity (doses)]]/Table3[[#This Row],[Doses per vial or syringe]],"")</f>
        <v/>
      </c>
      <c r="N680" s="127"/>
      <c r="O680" s="127"/>
      <c r="P680" s="381"/>
      <c r="Q680" s="129"/>
      <c r="R680" s="127"/>
      <c r="S680" s="127"/>
      <c r="T680" s="127"/>
      <c r="U680" s="127"/>
      <c r="V680" s="305" t="str">
        <f>_xlfn.IFNA(VLOOKUP(D680,ProductListTbl[],9,0),"")</f>
        <v/>
      </c>
      <c r="W680" s="305" t="str">
        <f>IFERROR(Table3[[#This Row],[Storage space per secondary packaging (cm3)]]*Table3[[#This Row],[Quantity  (vials or syringes)]]/1000,"")</f>
        <v/>
      </c>
      <c r="X680" s="305" t="str">
        <f>IFERROR(Table3[[#This Row],[Storage space per tertiary packaging (cm3)]]*Table3[[#This Row],[Quantity (doses)]]/1000,"")</f>
        <v/>
      </c>
      <c r="Y680" s="293" t="str">
        <f>IF(Table3[[#This Row],[Status]]="Ordered",(DATE(YEAR(P680),MONTH(P680),1)),IF(Table3[[#This Row],[Status]]="Received",(DATE(YEAR(Q680),MONTH(Q680),1)),""))</f>
        <v/>
      </c>
      <c r="Z680" s="304" t="str">
        <f t="shared" si="40"/>
        <v/>
      </c>
      <c r="AA680" s="48" t="str">
        <f t="shared" si="41"/>
        <v/>
      </c>
      <c r="AB680" s="48" t="str">
        <f t="shared" si="42"/>
        <v/>
      </c>
      <c r="AC680" s="292" t="str">
        <f t="shared" si="43"/>
        <v/>
      </c>
      <c r="AD680" s="48" t="str">
        <f>IF(Table3[[#This Row],[Actual Arrival date]]&gt;0,IF(Table3[[#This Row],[Expected arrival date]]&gt;0,Table3[[#This Row],[Actual Arrival date]]-Table3[[#This Row],[Expected arrival date]],""),"")</f>
        <v/>
      </c>
    </row>
    <row r="681" spans="1:30" x14ac:dyDescent="0.25">
      <c r="A681" s="303" t="str">
        <f>Start!$D$7</f>
        <v>Anyland</v>
      </c>
      <c r="B681" s="48" t="str">
        <f>_xlfn.IFNA(VLOOKUP(A681,list!B:C,2,FALSE),"")</f>
        <v>ANY</v>
      </c>
      <c r="C681" s="48"/>
      <c r="D681" s="127"/>
      <c r="E681" s="48" t="str">
        <f>_xlfn.IFNA(VLOOKUP(Table3[[#This Row],[Product]], ProductListTbl[], 3, 0), "")</f>
        <v/>
      </c>
      <c r="F681" s="303" t="str">
        <f>_xlfn.IFNA(VLOOKUP(D681,ProductListTbl[],5,0),"")</f>
        <v/>
      </c>
      <c r="G681" s="303" t="str">
        <f>_xlfn.IFNA(VLOOKUP(D681,ProductListTbl[],6,0),"")</f>
        <v/>
      </c>
      <c r="H681" s="130" t="str">
        <f>_xlfn.IFNA(VLOOKUP(D681,ProductListTbl[],7,0),"")</f>
        <v/>
      </c>
      <c r="I681" s="130" t="str">
        <f>_xlfn.IFNA(VLOOKUP(D681,ProductListTbl[],8,0),"")</f>
        <v/>
      </c>
      <c r="J681" s="127"/>
      <c r="K681" s="129"/>
      <c r="L681" s="128"/>
      <c r="M681" s="305" t="str">
        <f>IFERROR(Table3[[#This Row],[Quantity (doses)]]/Table3[[#This Row],[Doses per vial or syringe]],"")</f>
        <v/>
      </c>
      <c r="N681" s="127"/>
      <c r="O681" s="127"/>
      <c r="P681" s="381"/>
      <c r="Q681" s="129"/>
      <c r="R681" s="127"/>
      <c r="S681" s="127"/>
      <c r="T681" s="127"/>
      <c r="U681" s="127"/>
      <c r="V681" s="305" t="str">
        <f>_xlfn.IFNA(VLOOKUP(D681,ProductListTbl[],9,0),"")</f>
        <v/>
      </c>
      <c r="W681" s="305" t="str">
        <f>IFERROR(Table3[[#This Row],[Storage space per secondary packaging (cm3)]]*Table3[[#This Row],[Quantity  (vials or syringes)]]/1000,"")</f>
        <v/>
      </c>
      <c r="X681" s="305" t="str">
        <f>IFERROR(Table3[[#This Row],[Storage space per tertiary packaging (cm3)]]*Table3[[#This Row],[Quantity (doses)]]/1000,"")</f>
        <v/>
      </c>
      <c r="Y681" s="293" t="str">
        <f>IF(Table3[[#This Row],[Status]]="Ordered",(DATE(YEAR(P681),MONTH(P681),1)),IF(Table3[[#This Row],[Status]]="Received",(DATE(YEAR(Q681),MONTH(Q681),1)),""))</f>
        <v/>
      </c>
      <c r="Z681" s="304" t="str">
        <f t="shared" si="40"/>
        <v/>
      </c>
      <c r="AA681" s="48" t="str">
        <f t="shared" si="41"/>
        <v/>
      </c>
      <c r="AB681" s="48" t="str">
        <f t="shared" si="42"/>
        <v/>
      </c>
      <c r="AC681" s="292" t="str">
        <f t="shared" si="43"/>
        <v/>
      </c>
      <c r="AD681" s="48" t="str">
        <f>IF(Table3[[#This Row],[Actual Arrival date]]&gt;0,IF(Table3[[#This Row],[Expected arrival date]]&gt;0,Table3[[#This Row],[Actual Arrival date]]-Table3[[#This Row],[Expected arrival date]],""),"")</f>
        <v/>
      </c>
    </row>
    <row r="682" spans="1:30" x14ac:dyDescent="0.25">
      <c r="A682" s="303" t="str">
        <f>Start!$D$7</f>
        <v>Anyland</v>
      </c>
      <c r="B682" s="48" t="str">
        <f>_xlfn.IFNA(VLOOKUP(A682,list!B:C,2,FALSE),"")</f>
        <v>ANY</v>
      </c>
      <c r="C682" s="48"/>
      <c r="D682" s="127"/>
      <c r="E682" s="48" t="str">
        <f>_xlfn.IFNA(VLOOKUP(Table3[[#This Row],[Product]], ProductListTbl[], 3, 0), "")</f>
        <v/>
      </c>
      <c r="F682" s="303" t="str">
        <f>_xlfn.IFNA(VLOOKUP(D682,ProductListTbl[],5,0),"")</f>
        <v/>
      </c>
      <c r="G682" s="303" t="str">
        <f>_xlfn.IFNA(VLOOKUP(D682,ProductListTbl[],6,0),"")</f>
        <v/>
      </c>
      <c r="H682" s="130" t="str">
        <f>_xlfn.IFNA(VLOOKUP(D682,ProductListTbl[],7,0),"")</f>
        <v/>
      </c>
      <c r="I682" s="130" t="str">
        <f>_xlfn.IFNA(VLOOKUP(D682,ProductListTbl[],8,0),"")</f>
        <v/>
      </c>
      <c r="J682" s="127"/>
      <c r="K682" s="129"/>
      <c r="L682" s="128"/>
      <c r="M682" s="305" t="str">
        <f>IFERROR(Table3[[#This Row],[Quantity (doses)]]/Table3[[#This Row],[Doses per vial or syringe]],"")</f>
        <v/>
      </c>
      <c r="N682" s="127"/>
      <c r="O682" s="127"/>
      <c r="P682" s="381"/>
      <c r="Q682" s="129"/>
      <c r="R682" s="127"/>
      <c r="S682" s="127"/>
      <c r="T682" s="127"/>
      <c r="U682" s="127"/>
      <c r="V682" s="305" t="str">
        <f>_xlfn.IFNA(VLOOKUP(D682,ProductListTbl[],9,0),"")</f>
        <v/>
      </c>
      <c r="W682" s="305" t="str">
        <f>IFERROR(Table3[[#This Row],[Storage space per secondary packaging (cm3)]]*Table3[[#This Row],[Quantity  (vials or syringes)]]/1000,"")</f>
        <v/>
      </c>
      <c r="X682" s="305" t="str">
        <f>IFERROR(Table3[[#This Row],[Storage space per tertiary packaging (cm3)]]*Table3[[#This Row],[Quantity (doses)]]/1000,"")</f>
        <v/>
      </c>
      <c r="Y682" s="293" t="str">
        <f>IF(Table3[[#This Row],[Status]]="Ordered",(DATE(YEAR(P682),MONTH(P682),1)),IF(Table3[[#This Row],[Status]]="Received",(DATE(YEAR(Q682),MONTH(Q682),1)),""))</f>
        <v/>
      </c>
      <c r="Z682" s="304" t="str">
        <f t="shared" si="40"/>
        <v/>
      </c>
      <c r="AA682" s="48" t="str">
        <f t="shared" si="41"/>
        <v/>
      </c>
      <c r="AB682" s="48" t="str">
        <f t="shared" si="42"/>
        <v/>
      </c>
      <c r="AC682" s="292" t="str">
        <f t="shared" si="43"/>
        <v/>
      </c>
      <c r="AD682" s="48" t="str">
        <f>IF(Table3[[#This Row],[Actual Arrival date]]&gt;0,IF(Table3[[#This Row],[Expected arrival date]]&gt;0,Table3[[#This Row],[Actual Arrival date]]-Table3[[#This Row],[Expected arrival date]],""),"")</f>
        <v/>
      </c>
    </row>
    <row r="683" spans="1:30" x14ac:dyDescent="0.25">
      <c r="A683" s="303" t="str">
        <f>Start!$D$7</f>
        <v>Anyland</v>
      </c>
      <c r="B683" s="48" t="str">
        <f>_xlfn.IFNA(VLOOKUP(A683,list!B:C,2,FALSE),"")</f>
        <v>ANY</v>
      </c>
      <c r="C683" s="48"/>
      <c r="D683" s="127"/>
      <c r="E683" s="48" t="str">
        <f>_xlfn.IFNA(VLOOKUP(Table3[[#This Row],[Product]], ProductListTbl[], 3, 0), "")</f>
        <v/>
      </c>
      <c r="F683" s="303" t="str">
        <f>_xlfn.IFNA(VLOOKUP(D683,ProductListTbl[],5,0),"")</f>
        <v/>
      </c>
      <c r="G683" s="303" t="str">
        <f>_xlfn.IFNA(VLOOKUP(D683,ProductListTbl[],6,0),"")</f>
        <v/>
      </c>
      <c r="H683" s="130" t="str">
        <f>_xlfn.IFNA(VLOOKUP(D683,ProductListTbl[],7,0),"")</f>
        <v/>
      </c>
      <c r="I683" s="130" t="str">
        <f>_xlfn.IFNA(VLOOKUP(D683,ProductListTbl[],8,0),"")</f>
        <v/>
      </c>
      <c r="J683" s="127"/>
      <c r="K683" s="129"/>
      <c r="L683" s="128"/>
      <c r="M683" s="305" t="str">
        <f>IFERROR(Table3[[#This Row],[Quantity (doses)]]/Table3[[#This Row],[Doses per vial or syringe]],"")</f>
        <v/>
      </c>
      <c r="N683" s="127"/>
      <c r="O683" s="127"/>
      <c r="P683" s="381"/>
      <c r="Q683" s="129"/>
      <c r="R683" s="127"/>
      <c r="S683" s="127"/>
      <c r="T683" s="127"/>
      <c r="U683" s="127"/>
      <c r="V683" s="305" t="str">
        <f>_xlfn.IFNA(VLOOKUP(D683,ProductListTbl[],9,0),"")</f>
        <v/>
      </c>
      <c r="W683" s="305" t="str">
        <f>IFERROR(Table3[[#This Row],[Storage space per secondary packaging (cm3)]]*Table3[[#This Row],[Quantity  (vials or syringes)]]/1000,"")</f>
        <v/>
      </c>
      <c r="X683" s="305" t="str">
        <f>IFERROR(Table3[[#This Row],[Storage space per tertiary packaging (cm3)]]*Table3[[#This Row],[Quantity (doses)]]/1000,"")</f>
        <v/>
      </c>
      <c r="Y683" s="293" t="str">
        <f>IF(Table3[[#This Row],[Status]]="Ordered",(DATE(YEAR(P683),MONTH(P683),1)),IF(Table3[[#This Row],[Status]]="Received",(DATE(YEAR(Q683),MONTH(Q683),1)),""))</f>
        <v/>
      </c>
      <c r="Z683" s="304" t="str">
        <f t="shared" si="40"/>
        <v/>
      </c>
      <c r="AA683" s="48" t="str">
        <f t="shared" si="41"/>
        <v/>
      </c>
      <c r="AB683" s="48" t="str">
        <f t="shared" si="42"/>
        <v/>
      </c>
      <c r="AC683" s="292" t="str">
        <f t="shared" si="43"/>
        <v/>
      </c>
      <c r="AD683" s="48" t="str">
        <f>IF(Table3[[#This Row],[Actual Arrival date]]&gt;0,IF(Table3[[#This Row],[Expected arrival date]]&gt;0,Table3[[#This Row],[Actual Arrival date]]-Table3[[#This Row],[Expected arrival date]],""),"")</f>
        <v/>
      </c>
    </row>
    <row r="684" spans="1:30" x14ac:dyDescent="0.25">
      <c r="A684" s="303" t="str">
        <f>Start!$D$7</f>
        <v>Anyland</v>
      </c>
      <c r="B684" s="48" t="str">
        <f>_xlfn.IFNA(VLOOKUP(A684,list!B:C,2,FALSE),"")</f>
        <v>ANY</v>
      </c>
      <c r="C684" s="48"/>
      <c r="D684" s="127"/>
      <c r="E684" s="48" t="str">
        <f>_xlfn.IFNA(VLOOKUP(Table3[[#This Row],[Product]], ProductListTbl[], 3, 0), "")</f>
        <v/>
      </c>
      <c r="F684" s="303" t="str">
        <f>_xlfn.IFNA(VLOOKUP(D684,ProductListTbl[],5,0),"")</f>
        <v/>
      </c>
      <c r="G684" s="303" t="str">
        <f>_xlfn.IFNA(VLOOKUP(D684,ProductListTbl[],6,0),"")</f>
        <v/>
      </c>
      <c r="H684" s="130" t="str">
        <f>_xlfn.IFNA(VLOOKUP(D684,ProductListTbl[],7,0),"")</f>
        <v/>
      </c>
      <c r="I684" s="130" t="str">
        <f>_xlfn.IFNA(VLOOKUP(D684,ProductListTbl[],8,0),"")</f>
        <v/>
      </c>
      <c r="J684" s="127"/>
      <c r="K684" s="129"/>
      <c r="L684" s="128"/>
      <c r="M684" s="305" t="str">
        <f>IFERROR(Table3[[#This Row],[Quantity (doses)]]/Table3[[#This Row],[Doses per vial or syringe]],"")</f>
        <v/>
      </c>
      <c r="N684" s="127"/>
      <c r="O684" s="127"/>
      <c r="P684" s="381"/>
      <c r="Q684" s="129"/>
      <c r="R684" s="127"/>
      <c r="S684" s="127"/>
      <c r="T684" s="127"/>
      <c r="U684" s="127"/>
      <c r="V684" s="305" t="str">
        <f>_xlfn.IFNA(VLOOKUP(D684,ProductListTbl[],9,0),"")</f>
        <v/>
      </c>
      <c r="W684" s="305" t="str">
        <f>IFERROR(Table3[[#This Row],[Storage space per secondary packaging (cm3)]]*Table3[[#This Row],[Quantity  (vials or syringes)]]/1000,"")</f>
        <v/>
      </c>
      <c r="X684" s="305" t="str">
        <f>IFERROR(Table3[[#This Row],[Storage space per tertiary packaging (cm3)]]*Table3[[#This Row],[Quantity (doses)]]/1000,"")</f>
        <v/>
      </c>
      <c r="Y684" s="293" t="str">
        <f>IF(Table3[[#This Row],[Status]]="Ordered",(DATE(YEAR(P684),MONTH(P684),1)),IF(Table3[[#This Row],[Status]]="Received",(DATE(YEAR(Q684),MONTH(Q684),1)),""))</f>
        <v/>
      </c>
      <c r="Z684" s="304" t="str">
        <f t="shared" si="40"/>
        <v/>
      </c>
      <c r="AA684" s="48" t="str">
        <f t="shared" si="41"/>
        <v/>
      </c>
      <c r="AB684" s="48" t="str">
        <f t="shared" si="42"/>
        <v/>
      </c>
      <c r="AC684" s="292" t="str">
        <f t="shared" si="43"/>
        <v/>
      </c>
      <c r="AD684" s="48" t="str">
        <f>IF(Table3[[#This Row],[Actual Arrival date]]&gt;0,IF(Table3[[#This Row],[Expected arrival date]]&gt;0,Table3[[#This Row],[Actual Arrival date]]-Table3[[#This Row],[Expected arrival date]],""),"")</f>
        <v/>
      </c>
    </row>
    <row r="685" spans="1:30" x14ac:dyDescent="0.25">
      <c r="A685" s="303" t="str">
        <f>Start!$D$7</f>
        <v>Anyland</v>
      </c>
      <c r="B685" s="48" t="str">
        <f>_xlfn.IFNA(VLOOKUP(A685,list!B:C,2,FALSE),"")</f>
        <v>ANY</v>
      </c>
      <c r="C685" s="48"/>
      <c r="D685" s="127"/>
      <c r="E685" s="48" t="str">
        <f>_xlfn.IFNA(VLOOKUP(Table3[[#This Row],[Product]], ProductListTbl[], 3, 0), "")</f>
        <v/>
      </c>
      <c r="F685" s="303" t="str">
        <f>_xlfn.IFNA(VLOOKUP(D685,ProductListTbl[],5,0),"")</f>
        <v/>
      </c>
      <c r="G685" s="303" t="str">
        <f>_xlfn.IFNA(VLOOKUP(D685,ProductListTbl[],6,0),"")</f>
        <v/>
      </c>
      <c r="H685" s="130" t="str">
        <f>_xlfn.IFNA(VLOOKUP(D685,ProductListTbl[],7,0),"")</f>
        <v/>
      </c>
      <c r="I685" s="130" t="str">
        <f>_xlfn.IFNA(VLOOKUP(D685,ProductListTbl[],8,0),"")</f>
        <v/>
      </c>
      <c r="J685" s="127"/>
      <c r="K685" s="129"/>
      <c r="L685" s="128"/>
      <c r="M685" s="305" t="str">
        <f>IFERROR(Table3[[#This Row],[Quantity (doses)]]/Table3[[#This Row],[Doses per vial or syringe]],"")</f>
        <v/>
      </c>
      <c r="N685" s="127"/>
      <c r="O685" s="127"/>
      <c r="P685" s="381"/>
      <c r="Q685" s="129"/>
      <c r="R685" s="127"/>
      <c r="S685" s="127"/>
      <c r="T685" s="127"/>
      <c r="U685" s="127"/>
      <c r="V685" s="305" t="str">
        <f>_xlfn.IFNA(VLOOKUP(D685,ProductListTbl[],9,0),"")</f>
        <v/>
      </c>
      <c r="W685" s="305" t="str">
        <f>IFERROR(Table3[[#This Row],[Storage space per secondary packaging (cm3)]]*Table3[[#This Row],[Quantity  (vials or syringes)]]/1000,"")</f>
        <v/>
      </c>
      <c r="X685" s="305" t="str">
        <f>IFERROR(Table3[[#This Row],[Storage space per tertiary packaging (cm3)]]*Table3[[#This Row],[Quantity (doses)]]/1000,"")</f>
        <v/>
      </c>
      <c r="Y685" s="293" t="str">
        <f>IF(Table3[[#This Row],[Status]]="Ordered",(DATE(YEAR(P685),MONTH(P685),1)),IF(Table3[[#This Row],[Status]]="Received",(DATE(YEAR(Q685),MONTH(Q685),1)),""))</f>
        <v/>
      </c>
      <c r="Z685" s="304" t="str">
        <f t="shared" si="40"/>
        <v/>
      </c>
      <c r="AA685" s="48" t="str">
        <f t="shared" si="41"/>
        <v/>
      </c>
      <c r="AB685" s="48" t="str">
        <f t="shared" si="42"/>
        <v/>
      </c>
      <c r="AC685" s="292" t="str">
        <f t="shared" si="43"/>
        <v/>
      </c>
      <c r="AD685" s="48" t="str">
        <f>IF(Table3[[#This Row],[Actual Arrival date]]&gt;0,IF(Table3[[#This Row],[Expected arrival date]]&gt;0,Table3[[#This Row],[Actual Arrival date]]-Table3[[#This Row],[Expected arrival date]],""),"")</f>
        <v/>
      </c>
    </row>
    <row r="686" spans="1:30" x14ac:dyDescent="0.25">
      <c r="A686" s="303" t="str">
        <f>Start!$D$7</f>
        <v>Anyland</v>
      </c>
      <c r="B686" s="48" t="str">
        <f>_xlfn.IFNA(VLOOKUP(A686,list!B:C,2,FALSE),"")</f>
        <v>ANY</v>
      </c>
      <c r="C686" s="48"/>
      <c r="D686" s="127"/>
      <c r="E686" s="48" t="str">
        <f>_xlfn.IFNA(VLOOKUP(Table3[[#This Row],[Product]], ProductListTbl[], 3, 0), "")</f>
        <v/>
      </c>
      <c r="F686" s="303" t="str">
        <f>_xlfn.IFNA(VLOOKUP(D686,ProductListTbl[],5,0),"")</f>
        <v/>
      </c>
      <c r="G686" s="303" t="str">
        <f>_xlfn.IFNA(VLOOKUP(D686,ProductListTbl[],6,0),"")</f>
        <v/>
      </c>
      <c r="H686" s="130" t="str">
        <f>_xlfn.IFNA(VLOOKUP(D686,ProductListTbl[],7,0),"")</f>
        <v/>
      </c>
      <c r="I686" s="130" t="str">
        <f>_xlfn.IFNA(VLOOKUP(D686,ProductListTbl[],8,0),"")</f>
        <v/>
      </c>
      <c r="J686" s="127"/>
      <c r="K686" s="129"/>
      <c r="L686" s="128"/>
      <c r="M686" s="305" t="str">
        <f>IFERROR(Table3[[#This Row],[Quantity (doses)]]/Table3[[#This Row],[Doses per vial or syringe]],"")</f>
        <v/>
      </c>
      <c r="N686" s="127"/>
      <c r="O686" s="127"/>
      <c r="P686" s="381"/>
      <c r="Q686" s="129"/>
      <c r="R686" s="127"/>
      <c r="S686" s="127"/>
      <c r="T686" s="127"/>
      <c r="U686" s="127"/>
      <c r="V686" s="305" t="str">
        <f>_xlfn.IFNA(VLOOKUP(D686,ProductListTbl[],9,0),"")</f>
        <v/>
      </c>
      <c r="W686" s="305" t="str">
        <f>IFERROR(Table3[[#This Row],[Storage space per secondary packaging (cm3)]]*Table3[[#This Row],[Quantity  (vials or syringes)]]/1000,"")</f>
        <v/>
      </c>
      <c r="X686" s="305" t="str">
        <f>IFERROR(Table3[[#This Row],[Storage space per tertiary packaging (cm3)]]*Table3[[#This Row],[Quantity (doses)]]/1000,"")</f>
        <v/>
      </c>
      <c r="Y686" s="293" t="str">
        <f>IF(Table3[[#This Row],[Status]]="Ordered",(DATE(YEAR(P686),MONTH(P686),1)),IF(Table3[[#This Row],[Status]]="Received",(DATE(YEAR(Q686),MONTH(Q686),1)),""))</f>
        <v/>
      </c>
      <c r="Z686" s="304" t="str">
        <f t="shared" si="40"/>
        <v/>
      </c>
      <c r="AA686" s="48" t="str">
        <f t="shared" si="41"/>
        <v/>
      </c>
      <c r="AB686" s="48" t="str">
        <f t="shared" si="42"/>
        <v/>
      </c>
      <c r="AC686" s="292" t="str">
        <f t="shared" si="43"/>
        <v/>
      </c>
      <c r="AD686" s="48" t="str">
        <f>IF(Table3[[#This Row],[Actual Arrival date]]&gt;0,IF(Table3[[#This Row],[Expected arrival date]]&gt;0,Table3[[#This Row],[Actual Arrival date]]-Table3[[#This Row],[Expected arrival date]],""),"")</f>
        <v/>
      </c>
    </row>
    <row r="687" spans="1:30" x14ac:dyDescent="0.25">
      <c r="A687" s="303" t="str">
        <f>Start!$D$7</f>
        <v>Anyland</v>
      </c>
      <c r="B687" s="48" t="str">
        <f>_xlfn.IFNA(VLOOKUP(A687,list!B:C,2,FALSE),"")</f>
        <v>ANY</v>
      </c>
      <c r="C687" s="48"/>
      <c r="D687" s="127"/>
      <c r="E687" s="48" t="str">
        <f>_xlfn.IFNA(VLOOKUP(Table3[[#This Row],[Product]], ProductListTbl[], 3, 0), "")</f>
        <v/>
      </c>
      <c r="F687" s="303" t="str">
        <f>_xlfn.IFNA(VLOOKUP(D687,ProductListTbl[],5,0),"")</f>
        <v/>
      </c>
      <c r="G687" s="303" t="str">
        <f>_xlfn.IFNA(VLOOKUP(D687,ProductListTbl[],6,0),"")</f>
        <v/>
      </c>
      <c r="H687" s="130" t="str">
        <f>_xlfn.IFNA(VLOOKUP(D687,ProductListTbl[],7,0),"")</f>
        <v/>
      </c>
      <c r="I687" s="130" t="str">
        <f>_xlfn.IFNA(VLOOKUP(D687,ProductListTbl[],8,0),"")</f>
        <v/>
      </c>
      <c r="J687" s="127"/>
      <c r="K687" s="129"/>
      <c r="L687" s="128"/>
      <c r="M687" s="305" t="str">
        <f>IFERROR(Table3[[#This Row],[Quantity (doses)]]/Table3[[#This Row],[Doses per vial or syringe]],"")</f>
        <v/>
      </c>
      <c r="N687" s="127"/>
      <c r="O687" s="127"/>
      <c r="P687" s="381"/>
      <c r="Q687" s="129"/>
      <c r="R687" s="127"/>
      <c r="S687" s="127"/>
      <c r="T687" s="127"/>
      <c r="U687" s="127"/>
      <c r="V687" s="305" t="str">
        <f>_xlfn.IFNA(VLOOKUP(D687,ProductListTbl[],9,0),"")</f>
        <v/>
      </c>
      <c r="W687" s="305" t="str">
        <f>IFERROR(Table3[[#This Row],[Storage space per secondary packaging (cm3)]]*Table3[[#This Row],[Quantity  (vials or syringes)]]/1000,"")</f>
        <v/>
      </c>
      <c r="X687" s="305" t="str">
        <f>IFERROR(Table3[[#This Row],[Storage space per tertiary packaging (cm3)]]*Table3[[#This Row],[Quantity (doses)]]/1000,"")</f>
        <v/>
      </c>
      <c r="Y687" s="293" t="str">
        <f>IF(Table3[[#This Row],[Status]]="Ordered",(DATE(YEAR(P687),MONTH(P687),1)),IF(Table3[[#This Row],[Status]]="Received",(DATE(YEAR(Q687),MONTH(Q687),1)),""))</f>
        <v/>
      </c>
      <c r="Z687" s="304" t="str">
        <f t="shared" si="40"/>
        <v/>
      </c>
      <c r="AA687" s="48" t="str">
        <f t="shared" si="41"/>
        <v/>
      </c>
      <c r="AB687" s="48" t="str">
        <f t="shared" si="42"/>
        <v/>
      </c>
      <c r="AC687" s="292" t="str">
        <f t="shared" si="43"/>
        <v/>
      </c>
      <c r="AD687" s="48" t="str">
        <f>IF(Table3[[#This Row],[Actual Arrival date]]&gt;0,IF(Table3[[#This Row],[Expected arrival date]]&gt;0,Table3[[#This Row],[Actual Arrival date]]-Table3[[#This Row],[Expected arrival date]],""),"")</f>
        <v/>
      </c>
    </row>
    <row r="688" spans="1:30" x14ac:dyDescent="0.25">
      <c r="A688" s="303" t="str">
        <f>Start!$D$7</f>
        <v>Anyland</v>
      </c>
      <c r="B688" s="48" t="str">
        <f>_xlfn.IFNA(VLOOKUP(A688,list!B:C,2,FALSE),"")</f>
        <v>ANY</v>
      </c>
      <c r="C688" s="48"/>
      <c r="D688" s="127"/>
      <c r="E688" s="48" t="str">
        <f>_xlfn.IFNA(VLOOKUP(Table3[[#This Row],[Product]], ProductListTbl[], 3, 0), "")</f>
        <v/>
      </c>
      <c r="F688" s="303" t="str">
        <f>_xlfn.IFNA(VLOOKUP(D688,ProductListTbl[],5,0),"")</f>
        <v/>
      </c>
      <c r="G688" s="303" t="str">
        <f>_xlfn.IFNA(VLOOKUP(D688,ProductListTbl[],6,0),"")</f>
        <v/>
      </c>
      <c r="H688" s="130" t="str">
        <f>_xlfn.IFNA(VLOOKUP(D688,ProductListTbl[],7,0),"")</f>
        <v/>
      </c>
      <c r="I688" s="130" t="str">
        <f>_xlfn.IFNA(VLOOKUP(D688,ProductListTbl[],8,0),"")</f>
        <v/>
      </c>
      <c r="J688" s="127"/>
      <c r="K688" s="129"/>
      <c r="L688" s="128"/>
      <c r="M688" s="305" t="str">
        <f>IFERROR(Table3[[#This Row],[Quantity (doses)]]/Table3[[#This Row],[Doses per vial or syringe]],"")</f>
        <v/>
      </c>
      <c r="N688" s="127"/>
      <c r="O688" s="127"/>
      <c r="P688" s="381"/>
      <c r="Q688" s="129"/>
      <c r="R688" s="127"/>
      <c r="S688" s="127"/>
      <c r="T688" s="127"/>
      <c r="U688" s="127"/>
      <c r="V688" s="305" t="str">
        <f>_xlfn.IFNA(VLOOKUP(D688,ProductListTbl[],9,0),"")</f>
        <v/>
      </c>
      <c r="W688" s="305" t="str">
        <f>IFERROR(Table3[[#This Row],[Storage space per secondary packaging (cm3)]]*Table3[[#This Row],[Quantity  (vials or syringes)]]/1000,"")</f>
        <v/>
      </c>
      <c r="X688" s="305" t="str">
        <f>IFERROR(Table3[[#This Row],[Storage space per tertiary packaging (cm3)]]*Table3[[#This Row],[Quantity (doses)]]/1000,"")</f>
        <v/>
      </c>
      <c r="Y688" s="293" t="str">
        <f>IF(Table3[[#This Row],[Status]]="Ordered",(DATE(YEAR(P688),MONTH(P688),1)),IF(Table3[[#This Row],[Status]]="Received",(DATE(YEAR(Q688),MONTH(Q688),1)),""))</f>
        <v/>
      </c>
      <c r="Z688" s="304" t="str">
        <f t="shared" si="40"/>
        <v/>
      </c>
      <c r="AA688" s="48" t="str">
        <f t="shared" si="41"/>
        <v/>
      </c>
      <c r="AB688" s="48" t="str">
        <f t="shared" si="42"/>
        <v/>
      </c>
      <c r="AC688" s="292" t="str">
        <f t="shared" si="43"/>
        <v/>
      </c>
      <c r="AD688" s="48" t="str">
        <f>IF(Table3[[#This Row],[Actual Arrival date]]&gt;0,IF(Table3[[#This Row],[Expected arrival date]]&gt;0,Table3[[#This Row],[Actual Arrival date]]-Table3[[#This Row],[Expected arrival date]],""),"")</f>
        <v/>
      </c>
    </row>
    <row r="689" spans="1:30" x14ac:dyDescent="0.25">
      <c r="A689" s="303" t="str">
        <f>Start!$D$7</f>
        <v>Anyland</v>
      </c>
      <c r="B689" s="48" t="str">
        <f>_xlfn.IFNA(VLOOKUP(A689,list!B:C,2,FALSE),"")</f>
        <v>ANY</v>
      </c>
      <c r="C689" s="48"/>
      <c r="D689" s="127"/>
      <c r="E689" s="48" t="str">
        <f>_xlfn.IFNA(VLOOKUP(Table3[[#This Row],[Product]], ProductListTbl[], 3, 0), "")</f>
        <v/>
      </c>
      <c r="F689" s="303" t="str">
        <f>_xlfn.IFNA(VLOOKUP(D689,ProductListTbl[],5,0),"")</f>
        <v/>
      </c>
      <c r="G689" s="303" t="str">
        <f>_xlfn.IFNA(VLOOKUP(D689,ProductListTbl[],6,0),"")</f>
        <v/>
      </c>
      <c r="H689" s="130" t="str">
        <f>_xlfn.IFNA(VLOOKUP(D689,ProductListTbl[],7,0),"")</f>
        <v/>
      </c>
      <c r="I689" s="130" t="str">
        <f>_xlfn.IFNA(VLOOKUP(D689,ProductListTbl[],8,0),"")</f>
        <v/>
      </c>
      <c r="J689" s="127"/>
      <c r="K689" s="129"/>
      <c r="L689" s="128"/>
      <c r="M689" s="305" t="str">
        <f>IFERROR(Table3[[#This Row],[Quantity (doses)]]/Table3[[#This Row],[Doses per vial or syringe]],"")</f>
        <v/>
      </c>
      <c r="N689" s="127"/>
      <c r="O689" s="127"/>
      <c r="P689" s="381"/>
      <c r="Q689" s="129"/>
      <c r="R689" s="127"/>
      <c r="S689" s="127"/>
      <c r="T689" s="127"/>
      <c r="U689" s="127"/>
      <c r="V689" s="305" t="str">
        <f>_xlfn.IFNA(VLOOKUP(D689,ProductListTbl[],9,0),"")</f>
        <v/>
      </c>
      <c r="W689" s="305" t="str">
        <f>IFERROR(Table3[[#This Row],[Storage space per secondary packaging (cm3)]]*Table3[[#This Row],[Quantity  (vials or syringes)]]/1000,"")</f>
        <v/>
      </c>
      <c r="X689" s="305" t="str">
        <f>IFERROR(Table3[[#This Row],[Storage space per tertiary packaging (cm3)]]*Table3[[#This Row],[Quantity (doses)]]/1000,"")</f>
        <v/>
      </c>
      <c r="Y689" s="293" t="str">
        <f>IF(Table3[[#This Row],[Status]]="Ordered",(DATE(YEAR(P689),MONTH(P689),1)),IF(Table3[[#This Row],[Status]]="Received",(DATE(YEAR(Q689),MONTH(Q689),1)),""))</f>
        <v/>
      </c>
      <c r="Z689" s="304" t="str">
        <f t="shared" si="40"/>
        <v/>
      </c>
      <c r="AA689" s="48" t="str">
        <f t="shared" si="41"/>
        <v/>
      </c>
      <c r="AB689" s="48" t="str">
        <f t="shared" si="42"/>
        <v/>
      </c>
      <c r="AC689" s="292" t="str">
        <f t="shared" si="43"/>
        <v/>
      </c>
      <c r="AD689" s="48" t="str">
        <f>IF(Table3[[#This Row],[Actual Arrival date]]&gt;0,IF(Table3[[#This Row],[Expected arrival date]]&gt;0,Table3[[#This Row],[Actual Arrival date]]-Table3[[#This Row],[Expected arrival date]],""),"")</f>
        <v/>
      </c>
    </row>
    <row r="690" spans="1:30" x14ac:dyDescent="0.25">
      <c r="A690" s="303" t="str">
        <f>Start!$D$7</f>
        <v>Anyland</v>
      </c>
      <c r="B690" s="48" t="str">
        <f>_xlfn.IFNA(VLOOKUP(A690,list!B:C,2,FALSE),"")</f>
        <v>ANY</v>
      </c>
      <c r="C690" s="48"/>
      <c r="D690" s="127"/>
      <c r="E690" s="48" t="str">
        <f>_xlfn.IFNA(VLOOKUP(Table3[[#This Row],[Product]], ProductListTbl[], 3, 0), "")</f>
        <v/>
      </c>
      <c r="F690" s="303" t="str">
        <f>_xlfn.IFNA(VLOOKUP(D690,ProductListTbl[],5,0),"")</f>
        <v/>
      </c>
      <c r="G690" s="303" t="str">
        <f>_xlfn.IFNA(VLOOKUP(D690,ProductListTbl[],6,0),"")</f>
        <v/>
      </c>
      <c r="H690" s="130" t="str">
        <f>_xlfn.IFNA(VLOOKUP(D690,ProductListTbl[],7,0),"")</f>
        <v/>
      </c>
      <c r="I690" s="130" t="str">
        <f>_xlfn.IFNA(VLOOKUP(D690,ProductListTbl[],8,0),"")</f>
        <v/>
      </c>
      <c r="J690" s="127"/>
      <c r="K690" s="129"/>
      <c r="L690" s="128"/>
      <c r="M690" s="305" t="str">
        <f>IFERROR(Table3[[#This Row],[Quantity (doses)]]/Table3[[#This Row],[Doses per vial or syringe]],"")</f>
        <v/>
      </c>
      <c r="N690" s="127"/>
      <c r="O690" s="127"/>
      <c r="P690" s="381"/>
      <c r="Q690" s="129"/>
      <c r="R690" s="127"/>
      <c r="S690" s="127"/>
      <c r="T690" s="127"/>
      <c r="U690" s="127"/>
      <c r="V690" s="305" t="str">
        <f>_xlfn.IFNA(VLOOKUP(D690,ProductListTbl[],9,0),"")</f>
        <v/>
      </c>
      <c r="W690" s="305" t="str">
        <f>IFERROR(Table3[[#This Row],[Storage space per secondary packaging (cm3)]]*Table3[[#This Row],[Quantity  (vials or syringes)]]/1000,"")</f>
        <v/>
      </c>
      <c r="X690" s="305" t="str">
        <f>IFERROR(Table3[[#This Row],[Storage space per tertiary packaging (cm3)]]*Table3[[#This Row],[Quantity (doses)]]/1000,"")</f>
        <v/>
      </c>
      <c r="Y690" s="293" t="str">
        <f>IF(Table3[[#This Row],[Status]]="Ordered",(DATE(YEAR(P690),MONTH(P690),1)),IF(Table3[[#This Row],[Status]]="Received",(DATE(YEAR(Q690),MONTH(Q690),1)),""))</f>
        <v/>
      </c>
      <c r="Z690" s="304" t="str">
        <f t="shared" si="40"/>
        <v/>
      </c>
      <c r="AA690" s="48" t="str">
        <f t="shared" si="41"/>
        <v/>
      </c>
      <c r="AB690" s="48" t="str">
        <f t="shared" si="42"/>
        <v/>
      </c>
      <c r="AC690" s="292" t="str">
        <f t="shared" si="43"/>
        <v/>
      </c>
      <c r="AD690" s="48" t="str">
        <f>IF(Table3[[#This Row],[Actual Arrival date]]&gt;0,IF(Table3[[#This Row],[Expected arrival date]]&gt;0,Table3[[#This Row],[Actual Arrival date]]-Table3[[#This Row],[Expected arrival date]],""),"")</f>
        <v/>
      </c>
    </row>
    <row r="691" spans="1:30" x14ac:dyDescent="0.25">
      <c r="A691" s="303" t="str">
        <f>Start!$D$7</f>
        <v>Anyland</v>
      </c>
      <c r="B691" s="48" t="str">
        <f>_xlfn.IFNA(VLOOKUP(A691,list!B:C,2,FALSE),"")</f>
        <v>ANY</v>
      </c>
      <c r="C691" s="48"/>
      <c r="D691" s="127"/>
      <c r="E691" s="48" t="str">
        <f>_xlfn.IFNA(VLOOKUP(Table3[[#This Row],[Product]], ProductListTbl[], 3, 0), "")</f>
        <v/>
      </c>
      <c r="F691" s="303" t="str">
        <f>_xlfn.IFNA(VLOOKUP(D691,ProductListTbl[],5,0),"")</f>
        <v/>
      </c>
      <c r="G691" s="303" t="str">
        <f>_xlfn.IFNA(VLOOKUP(D691,ProductListTbl[],6,0),"")</f>
        <v/>
      </c>
      <c r="H691" s="130" t="str">
        <f>_xlfn.IFNA(VLOOKUP(D691,ProductListTbl[],7,0),"")</f>
        <v/>
      </c>
      <c r="I691" s="130" t="str">
        <f>_xlfn.IFNA(VLOOKUP(D691,ProductListTbl[],8,0),"")</f>
        <v/>
      </c>
      <c r="J691" s="127"/>
      <c r="K691" s="129"/>
      <c r="L691" s="128"/>
      <c r="M691" s="305" t="str">
        <f>IFERROR(Table3[[#This Row],[Quantity (doses)]]/Table3[[#This Row],[Doses per vial or syringe]],"")</f>
        <v/>
      </c>
      <c r="N691" s="127"/>
      <c r="O691" s="127"/>
      <c r="P691" s="381"/>
      <c r="Q691" s="129"/>
      <c r="R691" s="127"/>
      <c r="S691" s="127"/>
      <c r="T691" s="127"/>
      <c r="U691" s="127"/>
      <c r="V691" s="305" t="str">
        <f>_xlfn.IFNA(VLOOKUP(D691,ProductListTbl[],9,0),"")</f>
        <v/>
      </c>
      <c r="W691" s="305" t="str">
        <f>IFERROR(Table3[[#This Row],[Storage space per secondary packaging (cm3)]]*Table3[[#This Row],[Quantity  (vials or syringes)]]/1000,"")</f>
        <v/>
      </c>
      <c r="X691" s="305" t="str">
        <f>IFERROR(Table3[[#This Row],[Storage space per tertiary packaging (cm3)]]*Table3[[#This Row],[Quantity (doses)]]/1000,"")</f>
        <v/>
      </c>
      <c r="Y691" s="293" t="str">
        <f>IF(Table3[[#This Row],[Status]]="Ordered",(DATE(YEAR(P691),MONTH(P691),1)),IF(Table3[[#This Row],[Status]]="Received",(DATE(YEAR(Q691),MONTH(Q691),1)),""))</f>
        <v/>
      </c>
      <c r="Z691" s="304" t="str">
        <f t="shared" si="40"/>
        <v/>
      </c>
      <c r="AA691" s="48" t="str">
        <f t="shared" si="41"/>
        <v/>
      </c>
      <c r="AB691" s="48" t="str">
        <f t="shared" si="42"/>
        <v/>
      </c>
      <c r="AC691" s="292" t="str">
        <f t="shared" si="43"/>
        <v/>
      </c>
      <c r="AD691" s="48" t="str">
        <f>IF(Table3[[#This Row],[Actual Arrival date]]&gt;0,IF(Table3[[#This Row],[Expected arrival date]]&gt;0,Table3[[#This Row],[Actual Arrival date]]-Table3[[#This Row],[Expected arrival date]],""),"")</f>
        <v/>
      </c>
    </row>
    <row r="692" spans="1:30" x14ac:dyDescent="0.25">
      <c r="A692" s="303" t="str">
        <f>Start!$D$7</f>
        <v>Anyland</v>
      </c>
      <c r="B692" s="48" t="str">
        <f>_xlfn.IFNA(VLOOKUP(A692,list!B:C,2,FALSE),"")</f>
        <v>ANY</v>
      </c>
      <c r="C692" s="48"/>
      <c r="D692" s="127"/>
      <c r="E692" s="48" t="str">
        <f>_xlfn.IFNA(VLOOKUP(Table3[[#This Row],[Product]], ProductListTbl[], 3, 0), "")</f>
        <v/>
      </c>
      <c r="F692" s="303" t="str">
        <f>_xlfn.IFNA(VLOOKUP(D692,ProductListTbl[],5,0),"")</f>
        <v/>
      </c>
      <c r="G692" s="303" t="str">
        <f>_xlfn.IFNA(VLOOKUP(D692,ProductListTbl[],6,0),"")</f>
        <v/>
      </c>
      <c r="H692" s="130" t="str">
        <f>_xlfn.IFNA(VLOOKUP(D692,ProductListTbl[],7,0),"")</f>
        <v/>
      </c>
      <c r="I692" s="130" t="str">
        <f>_xlfn.IFNA(VLOOKUP(D692,ProductListTbl[],8,0),"")</f>
        <v/>
      </c>
      <c r="J692" s="127"/>
      <c r="K692" s="129"/>
      <c r="L692" s="128"/>
      <c r="M692" s="305" t="str">
        <f>IFERROR(Table3[[#This Row],[Quantity (doses)]]/Table3[[#This Row],[Doses per vial or syringe]],"")</f>
        <v/>
      </c>
      <c r="N692" s="127"/>
      <c r="O692" s="127"/>
      <c r="P692" s="381"/>
      <c r="Q692" s="129"/>
      <c r="R692" s="127"/>
      <c r="S692" s="127"/>
      <c r="T692" s="127"/>
      <c r="U692" s="127"/>
      <c r="V692" s="305" t="str">
        <f>_xlfn.IFNA(VLOOKUP(D692,ProductListTbl[],9,0),"")</f>
        <v/>
      </c>
      <c r="W692" s="305" t="str">
        <f>IFERROR(Table3[[#This Row],[Storage space per secondary packaging (cm3)]]*Table3[[#This Row],[Quantity  (vials or syringes)]]/1000,"")</f>
        <v/>
      </c>
      <c r="X692" s="305" t="str">
        <f>IFERROR(Table3[[#This Row],[Storage space per tertiary packaging (cm3)]]*Table3[[#This Row],[Quantity (doses)]]/1000,"")</f>
        <v/>
      </c>
      <c r="Y692" s="293" t="str">
        <f>IF(Table3[[#This Row],[Status]]="Ordered",(DATE(YEAR(P692),MONTH(P692),1)),IF(Table3[[#This Row],[Status]]="Received",(DATE(YEAR(Q692),MONTH(Q692),1)),""))</f>
        <v/>
      </c>
      <c r="Z692" s="304" t="str">
        <f t="shared" si="40"/>
        <v/>
      </c>
      <c r="AA692" s="48" t="str">
        <f t="shared" si="41"/>
        <v/>
      </c>
      <c r="AB692" s="48" t="str">
        <f t="shared" si="42"/>
        <v/>
      </c>
      <c r="AC692" s="292" t="str">
        <f t="shared" si="43"/>
        <v/>
      </c>
      <c r="AD692" s="48" t="str">
        <f>IF(Table3[[#This Row],[Actual Arrival date]]&gt;0,IF(Table3[[#This Row],[Expected arrival date]]&gt;0,Table3[[#This Row],[Actual Arrival date]]-Table3[[#This Row],[Expected arrival date]],""),"")</f>
        <v/>
      </c>
    </row>
    <row r="693" spans="1:30" x14ac:dyDescent="0.25">
      <c r="A693" s="303" t="str">
        <f>Start!$D$7</f>
        <v>Anyland</v>
      </c>
      <c r="B693" s="48" t="str">
        <f>_xlfn.IFNA(VLOOKUP(A693,list!B:C,2,FALSE),"")</f>
        <v>ANY</v>
      </c>
      <c r="C693" s="48"/>
      <c r="D693" s="127"/>
      <c r="E693" s="48" t="str">
        <f>_xlfn.IFNA(VLOOKUP(Table3[[#This Row],[Product]], ProductListTbl[], 3, 0), "")</f>
        <v/>
      </c>
      <c r="F693" s="303" t="str">
        <f>_xlfn.IFNA(VLOOKUP(D693,ProductListTbl[],5,0),"")</f>
        <v/>
      </c>
      <c r="G693" s="303" t="str">
        <f>_xlfn.IFNA(VLOOKUP(D693,ProductListTbl[],6,0),"")</f>
        <v/>
      </c>
      <c r="H693" s="130" t="str">
        <f>_xlfn.IFNA(VLOOKUP(D693,ProductListTbl[],7,0),"")</f>
        <v/>
      </c>
      <c r="I693" s="130" t="str">
        <f>_xlfn.IFNA(VLOOKUP(D693,ProductListTbl[],8,0),"")</f>
        <v/>
      </c>
      <c r="J693" s="127"/>
      <c r="K693" s="129"/>
      <c r="L693" s="128"/>
      <c r="M693" s="305" t="str">
        <f>IFERROR(Table3[[#This Row],[Quantity (doses)]]/Table3[[#This Row],[Doses per vial or syringe]],"")</f>
        <v/>
      </c>
      <c r="N693" s="127"/>
      <c r="O693" s="127"/>
      <c r="P693" s="381"/>
      <c r="Q693" s="129"/>
      <c r="R693" s="127"/>
      <c r="S693" s="127"/>
      <c r="T693" s="127"/>
      <c r="U693" s="127"/>
      <c r="V693" s="305" t="str">
        <f>_xlfn.IFNA(VLOOKUP(D693,ProductListTbl[],9,0),"")</f>
        <v/>
      </c>
      <c r="W693" s="305" t="str">
        <f>IFERROR(Table3[[#This Row],[Storage space per secondary packaging (cm3)]]*Table3[[#This Row],[Quantity  (vials or syringes)]]/1000,"")</f>
        <v/>
      </c>
      <c r="X693" s="305" t="str">
        <f>IFERROR(Table3[[#This Row],[Storage space per tertiary packaging (cm3)]]*Table3[[#This Row],[Quantity (doses)]]/1000,"")</f>
        <v/>
      </c>
      <c r="Y693" s="293" t="str">
        <f>IF(Table3[[#This Row],[Status]]="Ordered",(DATE(YEAR(P693),MONTH(P693),1)),IF(Table3[[#This Row],[Status]]="Received",(DATE(YEAR(Q693),MONTH(Q693),1)),""))</f>
        <v/>
      </c>
      <c r="Z693" s="304" t="str">
        <f t="shared" si="40"/>
        <v/>
      </c>
      <c r="AA693" s="48" t="str">
        <f t="shared" si="41"/>
        <v/>
      </c>
      <c r="AB693" s="48" t="str">
        <f t="shared" si="42"/>
        <v/>
      </c>
      <c r="AC693" s="292" t="str">
        <f t="shared" si="43"/>
        <v/>
      </c>
      <c r="AD693" s="48" t="str">
        <f>IF(Table3[[#This Row],[Actual Arrival date]]&gt;0,IF(Table3[[#This Row],[Expected arrival date]]&gt;0,Table3[[#This Row],[Actual Arrival date]]-Table3[[#This Row],[Expected arrival date]],""),"")</f>
        <v/>
      </c>
    </row>
    <row r="694" spans="1:30" x14ac:dyDescent="0.25">
      <c r="A694" s="303" t="str">
        <f>Start!$D$7</f>
        <v>Anyland</v>
      </c>
      <c r="B694" s="48" t="str">
        <f>_xlfn.IFNA(VLOOKUP(A694,list!B:C,2,FALSE),"")</f>
        <v>ANY</v>
      </c>
      <c r="C694" s="48"/>
      <c r="D694" s="127"/>
      <c r="E694" s="48" t="str">
        <f>_xlfn.IFNA(VLOOKUP(Table3[[#This Row],[Product]], ProductListTbl[], 3, 0), "")</f>
        <v/>
      </c>
      <c r="F694" s="303" t="str">
        <f>_xlfn.IFNA(VLOOKUP(D694,ProductListTbl[],5,0),"")</f>
        <v/>
      </c>
      <c r="G694" s="303" t="str">
        <f>_xlfn.IFNA(VLOOKUP(D694,ProductListTbl[],6,0),"")</f>
        <v/>
      </c>
      <c r="H694" s="130" t="str">
        <f>_xlfn.IFNA(VLOOKUP(D694,ProductListTbl[],7,0),"")</f>
        <v/>
      </c>
      <c r="I694" s="130" t="str">
        <f>_xlfn.IFNA(VLOOKUP(D694,ProductListTbl[],8,0),"")</f>
        <v/>
      </c>
      <c r="J694" s="127"/>
      <c r="K694" s="129"/>
      <c r="L694" s="128"/>
      <c r="M694" s="305" t="str">
        <f>IFERROR(Table3[[#This Row],[Quantity (doses)]]/Table3[[#This Row],[Doses per vial or syringe]],"")</f>
        <v/>
      </c>
      <c r="N694" s="127"/>
      <c r="O694" s="127"/>
      <c r="P694" s="381"/>
      <c r="Q694" s="129"/>
      <c r="R694" s="127"/>
      <c r="S694" s="127"/>
      <c r="T694" s="127"/>
      <c r="U694" s="127"/>
      <c r="V694" s="305" t="str">
        <f>_xlfn.IFNA(VLOOKUP(D694,ProductListTbl[],9,0),"")</f>
        <v/>
      </c>
      <c r="W694" s="305" t="str">
        <f>IFERROR(Table3[[#This Row],[Storage space per secondary packaging (cm3)]]*Table3[[#This Row],[Quantity  (vials or syringes)]]/1000,"")</f>
        <v/>
      </c>
      <c r="X694" s="305" t="str">
        <f>IFERROR(Table3[[#This Row],[Storage space per tertiary packaging (cm3)]]*Table3[[#This Row],[Quantity (doses)]]/1000,"")</f>
        <v/>
      </c>
      <c r="Y694" s="293" t="str">
        <f>IF(Table3[[#This Row],[Status]]="Ordered",(DATE(YEAR(P694),MONTH(P694),1)),IF(Table3[[#This Row],[Status]]="Received",(DATE(YEAR(Q694),MONTH(Q694),1)),""))</f>
        <v/>
      </c>
      <c r="Z694" s="304" t="str">
        <f t="shared" si="40"/>
        <v/>
      </c>
      <c r="AA694" s="48" t="str">
        <f t="shared" si="41"/>
        <v/>
      </c>
      <c r="AB694" s="48" t="str">
        <f t="shared" si="42"/>
        <v/>
      </c>
      <c r="AC694" s="292" t="str">
        <f t="shared" si="43"/>
        <v/>
      </c>
      <c r="AD694" s="48" t="str">
        <f>IF(Table3[[#This Row],[Actual Arrival date]]&gt;0,IF(Table3[[#This Row],[Expected arrival date]]&gt;0,Table3[[#This Row],[Actual Arrival date]]-Table3[[#This Row],[Expected arrival date]],""),"")</f>
        <v/>
      </c>
    </row>
    <row r="695" spans="1:30" x14ac:dyDescent="0.25">
      <c r="A695" s="303" t="str">
        <f>Start!$D$7</f>
        <v>Anyland</v>
      </c>
      <c r="B695" s="48" t="str">
        <f>_xlfn.IFNA(VLOOKUP(A695,list!B:C,2,FALSE),"")</f>
        <v>ANY</v>
      </c>
      <c r="C695" s="48"/>
      <c r="D695" s="127"/>
      <c r="E695" s="48" t="str">
        <f>_xlfn.IFNA(VLOOKUP(Table3[[#This Row],[Product]], ProductListTbl[], 3, 0), "")</f>
        <v/>
      </c>
      <c r="F695" s="303" t="str">
        <f>_xlfn.IFNA(VLOOKUP(D695,ProductListTbl[],5,0),"")</f>
        <v/>
      </c>
      <c r="G695" s="303" t="str">
        <f>_xlfn.IFNA(VLOOKUP(D695,ProductListTbl[],6,0),"")</f>
        <v/>
      </c>
      <c r="H695" s="130" t="str">
        <f>_xlfn.IFNA(VLOOKUP(D695,ProductListTbl[],7,0),"")</f>
        <v/>
      </c>
      <c r="I695" s="130" t="str">
        <f>_xlfn.IFNA(VLOOKUP(D695,ProductListTbl[],8,0),"")</f>
        <v/>
      </c>
      <c r="J695" s="127"/>
      <c r="K695" s="129"/>
      <c r="L695" s="128"/>
      <c r="M695" s="305" t="str">
        <f>IFERROR(Table3[[#This Row],[Quantity (doses)]]/Table3[[#This Row],[Doses per vial or syringe]],"")</f>
        <v/>
      </c>
      <c r="N695" s="127"/>
      <c r="O695" s="127"/>
      <c r="P695" s="381"/>
      <c r="Q695" s="129"/>
      <c r="R695" s="127"/>
      <c r="S695" s="127"/>
      <c r="T695" s="127"/>
      <c r="U695" s="127"/>
      <c r="V695" s="305" t="str">
        <f>_xlfn.IFNA(VLOOKUP(D695,ProductListTbl[],9,0),"")</f>
        <v/>
      </c>
      <c r="W695" s="305" t="str">
        <f>IFERROR(Table3[[#This Row],[Storage space per secondary packaging (cm3)]]*Table3[[#This Row],[Quantity  (vials or syringes)]]/1000,"")</f>
        <v/>
      </c>
      <c r="X695" s="305" t="str">
        <f>IFERROR(Table3[[#This Row],[Storage space per tertiary packaging (cm3)]]*Table3[[#This Row],[Quantity (doses)]]/1000,"")</f>
        <v/>
      </c>
      <c r="Y695" s="293" t="str">
        <f>IF(Table3[[#This Row],[Status]]="Ordered",(DATE(YEAR(P695),MONTH(P695),1)),IF(Table3[[#This Row],[Status]]="Received",(DATE(YEAR(Q695),MONTH(Q695),1)),""))</f>
        <v/>
      </c>
      <c r="Z695" s="304" t="str">
        <f t="shared" si="40"/>
        <v/>
      </c>
      <c r="AA695" s="48" t="str">
        <f t="shared" si="41"/>
        <v/>
      </c>
      <c r="AB695" s="48" t="str">
        <f t="shared" si="42"/>
        <v/>
      </c>
      <c r="AC695" s="292" t="str">
        <f t="shared" si="43"/>
        <v/>
      </c>
      <c r="AD695" s="48" t="str">
        <f>IF(Table3[[#This Row],[Actual Arrival date]]&gt;0,IF(Table3[[#This Row],[Expected arrival date]]&gt;0,Table3[[#This Row],[Actual Arrival date]]-Table3[[#This Row],[Expected arrival date]],""),"")</f>
        <v/>
      </c>
    </row>
    <row r="696" spans="1:30" x14ac:dyDescent="0.25">
      <c r="A696" s="303" t="str">
        <f>Start!$D$7</f>
        <v>Anyland</v>
      </c>
      <c r="B696" s="48" t="str">
        <f>_xlfn.IFNA(VLOOKUP(A696,list!B:C,2,FALSE),"")</f>
        <v>ANY</v>
      </c>
      <c r="C696" s="48"/>
      <c r="D696" s="127"/>
      <c r="E696" s="48" t="str">
        <f>_xlfn.IFNA(VLOOKUP(Table3[[#This Row],[Product]], ProductListTbl[], 3, 0), "")</f>
        <v/>
      </c>
      <c r="F696" s="303" t="str">
        <f>_xlfn.IFNA(VLOOKUP(D696,ProductListTbl[],5,0),"")</f>
        <v/>
      </c>
      <c r="G696" s="303" t="str">
        <f>_xlfn.IFNA(VLOOKUP(D696,ProductListTbl[],6,0),"")</f>
        <v/>
      </c>
      <c r="H696" s="130" t="str">
        <f>_xlfn.IFNA(VLOOKUP(D696,ProductListTbl[],7,0),"")</f>
        <v/>
      </c>
      <c r="I696" s="130" t="str">
        <f>_xlfn.IFNA(VLOOKUP(D696,ProductListTbl[],8,0),"")</f>
        <v/>
      </c>
      <c r="J696" s="127"/>
      <c r="K696" s="129"/>
      <c r="L696" s="128"/>
      <c r="M696" s="305" t="str">
        <f>IFERROR(Table3[[#This Row],[Quantity (doses)]]/Table3[[#This Row],[Doses per vial or syringe]],"")</f>
        <v/>
      </c>
      <c r="N696" s="127"/>
      <c r="O696" s="127"/>
      <c r="P696" s="381"/>
      <c r="Q696" s="129"/>
      <c r="R696" s="127"/>
      <c r="S696" s="127"/>
      <c r="T696" s="127"/>
      <c r="U696" s="127"/>
      <c r="V696" s="305" t="str">
        <f>_xlfn.IFNA(VLOOKUP(D696,ProductListTbl[],9,0),"")</f>
        <v/>
      </c>
      <c r="W696" s="305" t="str">
        <f>IFERROR(Table3[[#This Row],[Storage space per secondary packaging (cm3)]]*Table3[[#This Row],[Quantity  (vials or syringes)]]/1000,"")</f>
        <v/>
      </c>
      <c r="X696" s="305" t="str">
        <f>IFERROR(Table3[[#This Row],[Storage space per tertiary packaging (cm3)]]*Table3[[#This Row],[Quantity (doses)]]/1000,"")</f>
        <v/>
      </c>
      <c r="Y696" s="293" t="str">
        <f>IF(Table3[[#This Row],[Status]]="Ordered",(DATE(YEAR(P696),MONTH(P696),1)),IF(Table3[[#This Row],[Status]]="Received",(DATE(YEAR(Q696),MONTH(Q696),1)),""))</f>
        <v/>
      </c>
      <c r="Z696" s="304" t="str">
        <f t="shared" si="40"/>
        <v/>
      </c>
      <c r="AA696" s="48" t="str">
        <f t="shared" si="41"/>
        <v/>
      </c>
      <c r="AB696" s="48" t="str">
        <f t="shared" si="42"/>
        <v/>
      </c>
      <c r="AC696" s="292" t="str">
        <f t="shared" si="43"/>
        <v/>
      </c>
      <c r="AD696" s="48" t="str">
        <f>IF(Table3[[#This Row],[Actual Arrival date]]&gt;0,IF(Table3[[#This Row],[Expected arrival date]]&gt;0,Table3[[#This Row],[Actual Arrival date]]-Table3[[#This Row],[Expected arrival date]],""),"")</f>
        <v/>
      </c>
    </row>
    <row r="697" spans="1:30" x14ac:dyDescent="0.25">
      <c r="A697" s="303" t="str">
        <f>Start!$D$7</f>
        <v>Anyland</v>
      </c>
      <c r="B697" s="48" t="str">
        <f>_xlfn.IFNA(VLOOKUP(A697,list!B:C,2,FALSE),"")</f>
        <v>ANY</v>
      </c>
      <c r="C697" s="48"/>
      <c r="D697" s="127"/>
      <c r="E697" s="48" t="str">
        <f>_xlfn.IFNA(VLOOKUP(Table3[[#This Row],[Product]], ProductListTbl[], 3, 0), "")</f>
        <v/>
      </c>
      <c r="F697" s="303" t="str">
        <f>_xlfn.IFNA(VLOOKUP(D697,ProductListTbl[],5,0),"")</f>
        <v/>
      </c>
      <c r="G697" s="303" t="str">
        <f>_xlfn.IFNA(VLOOKUP(D697,ProductListTbl[],6,0),"")</f>
        <v/>
      </c>
      <c r="H697" s="130" t="str">
        <f>_xlfn.IFNA(VLOOKUP(D697,ProductListTbl[],7,0),"")</f>
        <v/>
      </c>
      <c r="I697" s="130" t="str">
        <f>_xlfn.IFNA(VLOOKUP(D697,ProductListTbl[],8,0),"")</f>
        <v/>
      </c>
      <c r="J697" s="127"/>
      <c r="K697" s="129"/>
      <c r="L697" s="128"/>
      <c r="M697" s="305" t="str">
        <f>IFERROR(Table3[[#This Row],[Quantity (doses)]]/Table3[[#This Row],[Doses per vial or syringe]],"")</f>
        <v/>
      </c>
      <c r="N697" s="127"/>
      <c r="O697" s="127"/>
      <c r="P697" s="381"/>
      <c r="Q697" s="129"/>
      <c r="R697" s="127"/>
      <c r="S697" s="127"/>
      <c r="T697" s="127"/>
      <c r="U697" s="127"/>
      <c r="V697" s="305" t="str">
        <f>_xlfn.IFNA(VLOOKUP(D697,ProductListTbl[],9,0),"")</f>
        <v/>
      </c>
      <c r="W697" s="305" t="str">
        <f>IFERROR(Table3[[#This Row],[Storage space per secondary packaging (cm3)]]*Table3[[#This Row],[Quantity  (vials or syringes)]]/1000,"")</f>
        <v/>
      </c>
      <c r="X697" s="305" t="str">
        <f>IFERROR(Table3[[#This Row],[Storage space per tertiary packaging (cm3)]]*Table3[[#This Row],[Quantity (doses)]]/1000,"")</f>
        <v/>
      </c>
      <c r="Y697" s="293" t="str">
        <f>IF(Table3[[#This Row],[Status]]="Ordered",(DATE(YEAR(P697),MONTH(P697),1)),IF(Table3[[#This Row],[Status]]="Received",(DATE(YEAR(Q697),MONTH(Q697),1)),""))</f>
        <v/>
      </c>
      <c r="Z697" s="304" t="str">
        <f t="shared" si="40"/>
        <v/>
      </c>
      <c r="AA697" s="48" t="str">
        <f t="shared" si="41"/>
        <v/>
      </c>
      <c r="AB697" s="48" t="str">
        <f t="shared" si="42"/>
        <v/>
      </c>
      <c r="AC697" s="292" t="str">
        <f t="shared" si="43"/>
        <v/>
      </c>
      <c r="AD697" s="48" t="str">
        <f>IF(Table3[[#This Row],[Actual Arrival date]]&gt;0,IF(Table3[[#This Row],[Expected arrival date]]&gt;0,Table3[[#This Row],[Actual Arrival date]]-Table3[[#This Row],[Expected arrival date]],""),"")</f>
        <v/>
      </c>
    </row>
    <row r="698" spans="1:30" x14ac:dyDescent="0.25">
      <c r="A698" s="303" t="str">
        <f>Start!$D$7</f>
        <v>Anyland</v>
      </c>
      <c r="B698" s="48" t="str">
        <f>_xlfn.IFNA(VLOOKUP(A698,list!B:C,2,FALSE),"")</f>
        <v>ANY</v>
      </c>
      <c r="C698" s="48"/>
      <c r="D698" s="127"/>
      <c r="E698" s="48" t="str">
        <f>_xlfn.IFNA(VLOOKUP(Table3[[#This Row],[Product]], ProductListTbl[], 3, 0), "")</f>
        <v/>
      </c>
      <c r="F698" s="303" t="str">
        <f>_xlfn.IFNA(VLOOKUP(D698,ProductListTbl[],5,0),"")</f>
        <v/>
      </c>
      <c r="G698" s="303" t="str">
        <f>_xlfn.IFNA(VLOOKUP(D698,ProductListTbl[],6,0),"")</f>
        <v/>
      </c>
      <c r="H698" s="130" t="str">
        <f>_xlfn.IFNA(VLOOKUP(D698,ProductListTbl[],7,0),"")</f>
        <v/>
      </c>
      <c r="I698" s="130" t="str">
        <f>_xlfn.IFNA(VLOOKUP(D698,ProductListTbl[],8,0),"")</f>
        <v/>
      </c>
      <c r="J698" s="127"/>
      <c r="K698" s="129"/>
      <c r="L698" s="128"/>
      <c r="M698" s="305" t="str">
        <f>IFERROR(Table3[[#This Row],[Quantity (doses)]]/Table3[[#This Row],[Doses per vial or syringe]],"")</f>
        <v/>
      </c>
      <c r="N698" s="127"/>
      <c r="O698" s="127"/>
      <c r="P698" s="381"/>
      <c r="Q698" s="129"/>
      <c r="R698" s="127"/>
      <c r="S698" s="127"/>
      <c r="T698" s="127"/>
      <c r="U698" s="127"/>
      <c r="V698" s="305" t="str">
        <f>_xlfn.IFNA(VLOOKUP(D698,ProductListTbl[],9,0),"")</f>
        <v/>
      </c>
      <c r="W698" s="305" t="str">
        <f>IFERROR(Table3[[#This Row],[Storage space per secondary packaging (cm3)]]*Table3[[#This Row],[Quantity  (vials or syringes)]]/1000,"")</f>
        <v/>
      </c>
      <c r="X698" s="305" t="str">
        <f>IFERROR(Table3[[#This Row],[Storage space per tertiary packaging (cm3)]]*Table3[[#This Row],[Quantity (doses)]]/1000,"")</f>
        <v/>
      </c>
      <c r="Y698" s="293" t="str">
        <f>IF(Table3[[#This Row],[Status]]="Ordered",(DATE(YEAR(P698),MONTH(P698),1)),IF(Table3[[#This Row],[Status]]="Received",(DATE(YEAR(Q698),MONTH(Q698),1)),""))</f>
        <v/>
      </c>
      <c r="Z698" s="304" t="str">
        <f t="shared" si="40"/>
        <v/>
      </c>
      <c r="AA698" s="48" t="str">
        <f t="shared" si="41"/>
        <v/>
      </c>
      <c r="AB698" s="48" t="str">
        <f t="shared" si="42"/>
        <v/>
      </c>
      <c r="AC698" s="292" t="str">
        <f t="shared" si="43"/>
        <v/>
      </c>
      <c r="AD698" s="48" t="str">
        <f>IF(Table3[[#This Row],[Actual Arrival date]]&gt;0,IF(Table3[[#This Row],[Expected arrival date]]&gt;0,Table3[[#This Row],[Actual Arrival date]]-Table3[[#This Row],[Expected arrival date]],""),"")</f>
        <v/>
      </c>
    </row>
    <row r="699" spans="1:30" x14ac:dyDescent="0.25">
      <c r="A699" s="303" t="str">
        <f>Start!$D$7</f>
        <v>Anyland</v>
      </c>
      <c r="B699" s="48" t="str">
        <f>_xlfn.IFNA(VLOOKUP(A699,list!B:C,2,FALSE),"")</f>
        <v>ANY</v>
      </c>
      <c r="C699" s="48"/>
      <c r="D699" s="127"/>
      <c r="E699" s="48" t="str">
        <f>_xlfn.IFNA(VLOOKUP(Table3[[#This Row],[Product]], ProductListTbl[], 3, 0), "")</f>
        <v/>
      </c>
      <c r="F699" s="303" t="str">
        <f>_xlfn.IFNA(VLOOKUP(D699,ProductListTbl[],5,0),"")</f>
        <v/>
      </c>
      <c r="G699" s="303" t="str">
        <f>_xlfn.IFNA(VLOOKUP(D699,ProductListTbl[],6,0),"")</f>
        <v/>
      </c>
      <c r="H699" s="130" t="str">
        <f>_xlfn.IFNA(VLOOKUP(D699,ProductListTbl[],7,0),"")</f>
        <v/>
      </c>
      <c r="I699" s="130" t="str">
        <f>_xlfn.IFNA(VLOOKUP(D699,ProductListTbl[],8,0),"")</f>
        <v/>
      </c>
      <c r="J699" s="127"/>
      <c r="K699" s="129"/>
      <c r="L699" s="128"/>
      <c r="M699" s="305" t="str">
        <f>IFERROR(Table3[[#This Row],[Quantity (doses)]]/Table3[[#This Row],[Doses per vial or syringe]],"")</f>
        <v/>
      </c>
      <c r="N699" s="127"/>
      <c r="O699" s="127"/>
      <c r="P699" s="381"/>
      <c r="Q699" s="129"/>
      <c r="R699" s="127"/>
      <c r="S699" s="127"/>
      <c r="T699" s="127"/>
      <c r="U699" s="127"/>
      <c r="V699" s="305" t="str">
        <f>_xlfn.IFNA(VLOOKUP(D699,ProductListTbl[],9,0),"")</f>
        <v/>
      </c>
      <c r="W699" s="305" t="str">
        <f>IFERROR(Table3[[#This Row],[Storage space per secondary packaging (cm3)]]*Table3[[#This Row],[Quantity  (vials or syringes)]]/1000,"")</f>
        <v/>
      </c>
      <c r="X699" s="305" t="str">
        <f>IFERROR(Table3[[#This Row],[Storage space per tertiary packaging (cm3)]]*Table3[[#This Row],[Quantity (doses)]]/1000,"")</f>
        <v/>
      </c>
      <c r="Y699" s="293" t="str">
        <f>IF(Table3[[#This Row],[Status]]="Ordered",(DATE(YEAR(P699),MONTH(P699),1)),IF(Table3[[#This Row],[Status]]="Received",(DATE(YEAR(Q699),MONTH(Q699),1)),""))</f>
        <v/>
      </c>
      <c r="Z699" s="304" t="str">
        <f t="shared" si="40"/>
        <v/>
      </c>
      <c r="AA699" s="48" t="str">
        <f t="shared" si="41"/>
        <v/>
      </c>
      <c r="AB699" s="48" t="str">
        <f t="shared" si="42"/>
        <v/>
      </c>
      <c r="AC699" s="292" t="str">
        <f t="shared" si="43"/>
        <v/>
      </c>
      <c r="AD699" s="48" t="str">
        <f>IF(Table3[[#This Row],[Actual Arrival date]]&gt;0,IF(Table3[[#This Row],[Expected arrival date]]&gt;0,Table3[[#This Row],[Actual Arrival date]]-Table3[[#This Row],[Expected arrival date]],""),"")</f>
        <v/>
      </c>
    </row>
    <row r="700" spans="1:30" x14ac:dyDescent="0.25">
      <c r="A700" s="303" t="str">
        <f>Start!$D$7</f>
        <v>Anyland</v>
      </c>
      <c r="B700" s="48" t="str">
        <f>_xlfn.IFNA(VLOOKUP(A700,list!B:C,2,FALSE),"")</f>
        <v>ANY</v>
      </c>
      <c r="C700" s="48"/>
      <c r="D700" s="127"/>
      <c r="E700" s="48" t="str">
        <f>_xlfn.IFNA(VLOOKUP(Table3[[#This Row],[Product]], ProductListTbl[], 3, 0), "")</f>
        <v/>
      </c>
      <c r="F700" s="303" t="str">
        <f>_xlfn.IFNA(VLOOKUP(D700,ProductListTbl[],5,0),"")</f>
        <v/>
      </c>
      <c r="G700" s="303" t="str">
        <f>_xlfn.IFNA(VLOOKUP(D700,ProductListTbl[],6,0),"")</f>
        <v/>
      </c>
      <c r="H700" s="130" t="str">
        <f>_xlfn.IFNA(VLOOKUP(D700,ProductListTbl[],7,0),"")</f>
        <v/>
      </c>
      <c r="I700" s="130" t="str">
        <f>_xlfn.IFNA(VLOOKUP(D700,ProductListTbl[],8,0),"")</f>
        <v/>
      </c>
      <c r="J700" s="127"/>
      <c r="K700" s="129"/>
      <c r="L700" s="128"/>
      <c r="M700" s="305" t="str">
        <f>IFERROR(Table3[[#This Row],[Quantity (doses)]]/Table3[[#This Row],[Doses per vial or syringe]],"")</f>
        <v/>
      </c>
      <c r="N700" s="127"/>
      <c r="O700" s="127"/>
      <c r="P700" s="381"/>
      <c r="Q700" s="129"/>
      <c r="R700" s="127"/>
      <c r="S700" s="127"/>
      <c r="T700" s="127"/>
      <c r="U700" s="127"/>
      <c r="V700" s="305" t="str">
        <f>_xlfn.IFNA(VLOOKUP(D700,ProductListTbl[],9,0),"")</f>
        <v/>
      </c>
      <c r="W700" s="305" t="str">
        <f>IFERROR(Table3[[#This Row],[Storage space per secondary packaging (cm3)]]*Table3[[#This Row],[Quantity  (vials or syringes)]]/1000,"")</f>
        <v/>
      </c>
      <c r="X700" s="305" t="str">
        <f>IFERROR(Table3[[#This Row],[Storage space per tertiary packaging (cm3)]]*Table3[[#This Row],[Quantity (doses)]]/1000,"")</f>
        <v/>
      </c>
      <c r="Y700" s="293" t="str">
        <f>IF(Table3[[#This Row],[Status]]="Ordered",(DATE(YEAR(P700),MONTH(P700),1)),IF(Table3[[#This Row],[Status]]="Received",(DATE(YEAR(Q700),MONTH(Q700),1)),""))</f>
        <v/>
      </c>
      <c r="Z700" s="304" t="str">
        <f t="shared" si="40"/>
        <v/>
      </c>
      <c r="AA700" s="48" t="str">
        <f t="shared" si="41"/>
        <v/>
      </c>
      <c r="AB700" s="48" t="str">
        <f t="shared" si="42"/>
        <v/>
      </c>
      <c r="AC700" s="292" t="str">
        <f t="shared" si="43"/>
        <v/>
      </c>
      <c r="AD700" s="48" t="str">
        <f>IF(Table3[[#This Row],[Actual Arrival date]]&gt;0,IF(Table3[[#This Row],[Expected arrival date]]&gt;0,Table3[[#This Row],[Actual Arrival date]]-Table3[[#This Row],[Expected arrival date]],""),"")</f>
        <v/>
      </c>
    </row>
    <row r="701" spans="1:30" x14ac:dyDescent="0.25">
      <c r="A701" s="303" t="str">
        <f>Start!$D$7</f>
        <v>Anyland</v>
      </c>
      <c r="B701" s="48" t="str">
        <f>_xlfn.IFNA(VLOOKUP(A701,list!B:C,2,FALSE),"")</f>
        <v>ANY</v>
      </c>
      <c r="C701" s="48"/>
      <c r="D701" s="127"/>
      <c r="E701" s="48" t="str">
        <f>_xlfn.IFNA(VLOOKUP(Table3[[#This Row],[Product]], ProductListTbl[], 3, 0), "")</f>
        <v/>
      </c>
      <c r="F701" s="303" t="str">
        <f>_xlfn.IFNA(VLOOKUP(D701,ProductListTbl[],5,0),"")</f>
        <v/>
      </c>
      <c r="G701" s="303" t="str">
        <f>_xlfn.IFNA(VLOOKUP(D701,ProductListTbl[],6,0),"")</f>
        <v/>
      </c>
      <c r="H701" s="130" t="str">
        <f>_xlfn.IFNA(VLOOKUP(D701,ProductListTbl[],7,0),"")</f>
        <v/>
      </c>
      <c r="I701" s="130" t="str">
        <f>_xlfn.IFNA(VLOOKUP(D701,ProductListTbl[],8,0),"")</f>
        <v/>
      </c>
      <c r="J701" s="127"/>
      <c r="K701" s="129"/>
      <c r="L701" s="128"/>
      <c r="M701" s="305" t="str">
        <f>IFERROR(Table3[[#This Row],[Quantity (doses)]]/Table3[[#This Row],[Doses per vial or syringe]],"")</f>
        <v/>
      </c>
      <c r="N701" s="127"/>
      <c r="O701" s="127"/>
      <c r="P701" s="381"/>
      <c r="Q701" s="129"/>
      <c r="R701" s="127"/>
      <c r="S701" s="127"/>
      <c r="T701" s="127"/>
      <c r="U701" s="127"/>
      <c r="V701" s="305" t="str">
        <f>_xlfn.IFNA(VLOOKUP(D701,ProductListTbl[],9,0),"")</f>
        <v/>
      </c>
      <c r="W701" s="305" t="str">
        <f>IFERROR(Table3[[#This Row],[Storage space per secondary packaging (cm3)]]*Table3[[#This Row],[Quantity  (vials or syringes)]]/1000,"")</f>
        <v/>
      </c>
      <c r="X701" s="305" t="str">
        <f>IFERROR(Table3[[#This Row],[Storage space per tertiary packaging (cm3)]]*Table3[[#This Row],[Quantity (doses)]]/1000,"")</f>
        <v/>
      </c>
      <c r="Y701" s="293" t="str">
        <f>IF(Table3[[#This Row],[Status]]="Ordered",(DATE(YEAR(P701),MONTH(P701),1)),IF(Table3[[#This Row],[Status]]="Received",(DATE(YEAR(Q701),MONTH(Q701),1)),""))</f>
        <v/>
      </c>
      <c r="Z701" s="304" t="str">
        <f t="shared" si="40"/>
        <v/>
      </c>
      <c r="AA701" s="48" t="str">
        <f t="shared" si="41"/>
        <v/>
      </c>
      <c r="AB701" s="48" t="str">
        <f t="shared" si="42"/>
        <v/>
      </c>
      <c r="AC701" s="292" t="str">
        <f t="shared" si="43"/>
        <v/>
      </c>
      <c r="AD701" s="48" t="str">
        <f>IF(Table3[[#This Row],[Actual Arrival date]]&gt;0,IF(Table3[[#This Row],[Expected arrival date]]&gt;0,Table3[[#This Row],[Actual Arrival date]]-Table3[[#This Row],[Expected arrival date]],""),"")</f>
        <v/>
      </c>
    </row>
    <row r="702" spans="1:30" x14ac:dyDescent="0.25">
      <c r="A702" s="303" t="str">
        <f>Start!$D$7</f>
        <v>Anyland</v>
      </c>
      <c r="B702" s="48" t="str">
        <f>_xlfn.IFNA(VLOOKUP(A702,list!B:C,2,FALSE),"")</f>
        <v>ANY</v>
      </c>
      <c r="C702" s="48"/>
      <c r="D702" s="127"/>
      <c r="E702" s="48" t="str">
        <f>_xlfn.IFNA(VLOOKUP(Table3[[#This Row],[Product]], ProductListTbl[], 3, 0), "")</f>
        <v/>
      </c>
      <c r="F702" s="303" t="str">
        <f>_xlfn.IFNA(VLOOKUP(D702,ProductListTbl[],5,0),"")</f>
        <v/>
      </c>
      <c r="G702" s="303" t="str">
        <f>_xlfn.IFNA(VLOOKUP(D702,ProductListTbl[],6,0),"")</f>
        <v/>
      </c>
      <c r="H702" s="130" t="str">
        <f>_xlfn.IFNA(VLOOKUP(D702,ProductListTbl[],7,0),"")</f>
        <v/>
      </c>
      <c r="I702" s="130" t="str">
        <f>_xlfn.IFNA(VLOOKUP(D702,ProductListTbl[],8,0),"")</f>
        <v/>
      </c>
      <c r="J702" s="127"/>
      <c r="K702" s="129"/>
      <c r="L702" s="128"/>
      <c r="M702" s="305" t="str">
        <f>IFERROR(Table3[[#This Row],[Quantity (doses)]]/Table3[[#This Row],[Doses per vial or syringe]],"")</f>
        <v/>
      </c>
      <c r="N702" s="127"/>
      <c r="O702" s="127"/>
      <c r="P702" s="381"/>
      <c r="Q702" s="129"/>
      <c r="R702" s="127"/>
      <c r="S702" s="127"/>
      <c r="T702" s="127"/>
      <c r="U702" s="127"/>
      <c r="V702" s="305" t="str">
        <f>_xlfn.IFNA(VLOOKUP(D702,ProductListTbl[],9,0),"")</f>
        <v/>
      </c>
      <c r="W702" s="305" t="str">
        <f>IFERROR(Table3[[#This Row],[Storage space per secondary packaging (cm3)]]*Table3[[#This Row],[Quantity  (vials or syringes)]]/1000,"")</f>
        <v/>
      </c>
      <c r="X702" s="305" t="str">
        <f>IFERROR(Table3[[#This Row],[Storage space per tertiary packaging (cm3)]]*Table3[[#This Row],[Quantity (doses)]]/1000,"")</f>
        <v/>
      </c>
      <c r="Y702" s="293" t="str">
        <f>IF(Table3[[#This Row],[Status]]="Ordered",(DATE(YEAR(P702),MONTH(P702),1)),IF(Table3[[#This Row],[Status]]="Received",(DATE(YEAR(Q702),MONTH(Q702),1)),""))</f>
        <v/>
      </c>
      <c r="Z702" s="304" t="str">
        <f t="shared" si="40"/>
        <v/>
      </c>
      <c r="AA702" s="48" t="str">
        <f t="shared" si="41"/>
        <v/>
      </c>
      <c r="AB702" s="48" t="str">
        <f t="shared" si="42"/>
        <v/>
      </c>
      <c r="AC702" s="292" t="str">
        <f t="shared" si="43"/>
        <v/>
      </c>
      <c r="AD702" s="48" t="str">
        <f>IF(Table3[[#This Row],[Actual Arrival date]]&gt;0,IF(Table3[[#This Row],[Expected arrival date]]&gt;0,Table3[[#This Row],[Actual Arrival date]]-Table3[[#This Row],[Expected arrival date]],""),"")</f>
        <v/>
      </c>
    </row>
    <row r="703" spans="1:30" x14ac:dyDescent="0.25">
      <c r="A703" s="303" t="str">
        <f>Start!$D$7</f>
        <v>Anyland</v>
      </c>
      <c r="B703" s="48" t="str">
        <f>_xlfn.IFNA(VLOOKUP(A703,list!B:C,2,FALSE),"")</f>
        <v>ANY</v>
      </c>
      <c r="C703" s="48"/>
      <c r="D703" s="127"/>
      <c r="E703" s="48" t="str">
        <f>_xlfn.IFNA(VLOOKUP(Table3[[#This Row],[Product]], ProductListTbl[], 3, 0), "")</f>
        <v/>
      </c>
      <c r="F703" s="303" t="str">
        <f>_xlfn.IFNA(VLOOKUP(D703,ProductListTbl[],5,0),"")</f>
        <v/>
      </c>
      <c r="G703" s="303" t="str">
        <f>_xlfn.IFNA(VLOOKUP(D703,ProductListTbl[],6,0),"")</f>
        <v/>
      </c>
      <c r="H703" s="130" t="str">
        <f>_xlfn.IFNA(VLOOKUP(D703,ProductListTbl[],7,0),"")</f>
        <v/>
      </c>
      <c r="I703" s="130" t="str">
        <f>_xlfn.IFNA(VLOOKUP(D703,ProductListTbl[],8,0),"")</f>
        <v/>
      </c>
      <c r="J703" s="127"/>
      <c r="K703" s="129"/>
      <c r="L703" s="128"/>
      <c r="M703" s="305" t="str">
        <f>IFERROR(Table3[[#This Row],[Quantity (doses)]]/Table3[[#This Row],[Doses per vial or syringe]],"")</f>
        <v/>
      </c>
      <c r="N703" s="127"/>
      <c r="O703" s="127"/>
      <c r="P703" s="381"/>
      <c r="Q703" s="129"/>
      <c r="R703" s="127"/>
      <c r="S703" s="127"/>
      <c r="T703" s="127"/>
      <c r="U703" s="127"/>
      <c r="V703" s="305" t="str">
        <f>_xlfn.IFNA(VLOOKUP(D703,ProductListTbl[],9,0),"")</f>
        <v/>
      </c>
      <c r="W703" s="305" t="str">
        <f>IFERROR(Table3[[#This Row],[Storage space per secondary packaging (cm3)]]*Table3[[#This Row],[Quantity  (vials or syringes)]]/1000,"")</f>
        <v/>
      </c>
      <c r="X703" s="305" t="str">
        <f>IFERROR(Table3[[#This Row],[Storage space per tertiary packaging (cm3)]]*Table3[[#This Row],[Quantity (doses)]]/1000,"")</f>
        <v/>
      </c>
      <c r="Y703" s="293" t="str">
        <f>IF(Table3[[#This Row],[Status]]="Ordered",(DATE(YEAR(P703),MONTH(P703),1)),IF(Table3[[#This Row],[Status]]="Received",(DATE(YEAR(Q703),MONTH(Q703),1)),""))</f>
        <v/>
      </c>
      <c r="Z703" s="304" t="str">
        <f t="shared" si="40"/>
        <v/>
      </c>
      <c r="AA703" s="48" t="str">
        <f t="shared" si="41"/>
        <v/>
      </c>
      <c r="AB703" s="48" t="str">
        <f t="shared" si="42"/>
        <v/>
      </c>
      <c r="AC703" s="292" t="str">
        <f t="shared" si="43"/>
        <v/>
      </c>
      <c r="AD703" s="48" t="str">
        <f>IF(Table3[[#This Row],[Actual Arrival date]]&gt;0,IF(Table3[[#This Row],[Expected arrival date]]&gt;0,Table3[[#This Row],[Actual Arrival date]]-Table3[[#This Row],[Expected arrival date]],""),"")</f>
        <v/>
      </c>
    </row>
    <row r="704" spans="1:30" x14ac:dyDescent="0.25">
      <c r="A704" s="303" t="str">
        <f>Start!$D$7</f>
        <v>Anyland</v>
      </c>
      <c r="B704" s="48" t="str">
        <f>_xlfn.IFNA(VLOOKUP(A704,list!B:C,2,FALSE),"")</f>
        <v>ANY</v>
      </c>
      <c r="C704" s="48"/>
      <c r="D704" s="127"/>
      <c r="E704" s="48" t="str">
        <f>_xlfn.IFNA(VLOOKUP(Table3[[#This Row],[Product]], ProductListTbl[], 3, 0), "")</f>
        <v/>
      </c>
      <c r="F704" s="303" t="str">
        <f>_xlfn.IFNA(VLOOKUP(D704,ProductListTbl[],5,0),"")</f>
        <v/>
      </c>
      <c r="G704" s="303" t="str">
        <f>_xlfn.IFNA(VLOOKUP(D704,ProductListTbl[],6,0),"")</f>
        <v/>
      </c>
      <c r="H704" s="130" t="str">
        <f>_xlfn.IFNA(VLOOKUP(D704,ProductListTbl[],7,0),"")</f>
        <v/>
      </c>
      <c r="I704" s="130" t="str">
        <f>_xlfn.IFNA(VLOOKUP(D704,ProductListTbl[],8,0),"")</f>
        <v/>
      </c>
      <c r="J704" s="127"/>
      <c r="K704" s="129"/>
      <c r="L704" s="128"/>
      <c r="M704" s="305" t="str">
        <f>IFERROR(Table3[[#This Row],[Quantity (doses)]]/Table3[[#This Row],[Doses per vial or syringe]],"")</f>
        <v/>
      </c>
      <c r="N704" s="127"/>
      <c r="O704" s="127"/>
      <c r="P704" s="381"/>
      <c r="Q704" s="129"/>
      <c r="R704" s="127"/>
      <c r="S704" s="127"/>
      <c r="T704" s="127"/>
      <c r="U704" s="127"/>
      <c r="V704" s="305" t="str">
        <f>_xlfn.IFNA(VLOOKUP(D704,ProductListTbl[],9,0),"")</f>
        <v/>
      </c>
      <c r="W704" s="305" t="str">
        <f>IFERROR(Table3[[#This Row],[Storage space per secondary packaging (cm3)]]*Table3[[#This Row],[Quantity  (vials or syringes)]]/1000,"")</f>
        <v/>
      </c>
      <c r="X704" s="305" t="str">
        <f>IFERROR(Table3[[#This Row],[Storage space per tertiary packaging (cm3)]]*Table3[[#This Row],[Quantity (doses)]]/1000,"")</f>
        <v/>
      </c>
      <c r="Y704" s="293" t="str">
        <f>IF(Table3[[#This Row],[Status]]="Ordered",(DATE(YEAR(P704),MONTH(P704),1)),IF(Table3[[#This Row],[Status]]="Received",(DATE(YEAR(Q704),MONTH(Q704),1)),""))</f>
        <v/>
      </c>
      <c r="Z704" s="304" t="str">
        <f t="shared" si="40"/>
        <v/>
      </c>
      <c r="AA704" s="48" t="str">
        <f t="shared" si="41"/>
        <v/>
      </c>
      <c r="AB704" s="48" t="str">
        <f t="shared" si="42"/>
        <v/>
      </c>
      <c r="AC704" s="292" t="str">
        <f t="shared" si="43"/>
        <v/>
      </c>
      <c r="AD704" s="48" t="str">
        <f>IF(Table3[[#This Row],[Actual Arrival date]]&gt;0,IF(Table3[[#This Row],[Expected arrival date]]&gt;0,Table3[[#This Row],[Actual Arrival date]]-Table3[[#This Row],[Expected arrival date]],""),"")</f>
        <v/>
      </c>
    </row>
    <row r="705" spans="1:30" x14ac:dyDescent="0.25">
      <c r="A705" s="303" t="str">
        <f>Start!$D$7</f>
        <v>Anyland</v>
      </c>
      <c r="B705" s="48" t="str">
        <f>_xlfn.IFNA(VLOOKUP(A705,list!B:C,2,FALSE),"")</f>
        <v>ANY</v>
      </c>
      <c r="C705" s="48"/>
      <c r="D705" s="127"/>
      <c r="E705" s="48" t="str">
        <f>_xlfn.IFNA(VLOOKUP(Table3[[#This Row],[Product]], ProductListTbl[], 3, 0), "")</f>
        <v/>
      </c>
      <c r="F705" s="303" t="str">
        <f>_xlfn.IFNA(VLOOKUP(D705,ProductListTbl[],5,0),"")</f>
        <v/>
      </c>
      <c r="G705" s="303" t="str">
        <f>_xlfn.IFNA(VLOOKUP(D705,ProductListTbl[],6,0),"")</f>
        <v/>
      </c>
      <c r="H705" s="130" t="str">
        <f>_xlfn.IFNA(VLOOKUP(D705,ProductListTbl[],7,0),"")</f>
        <v/>
      </c>
      <c r="I705" s="130" t="str">
        <f>_xlfn.IFNA(VLOOKUP(D705,ProductListTbl[],8,0),"")</f>
        <v/>
      </c>
      <c r="J705" s="127"/>
      <c r="K705" s="129"/>
      <c r="L705" s="128"/>
      <c r="M705" s="305" t="str">
        <f>IFERROR(Table3[[#This Row],[Quantity (doses)]]/Table3[[#This Row],[Doses per vial or syringe]],"")</f>
        <v/>
      </c>
      <c r="N705" s="127"/>
      <c r="O705" s="127"/>
      <c r="P705" s="381"/>
      <c r="Q705" s="129"/>
      <c r="R705" s="127"/>
      <c r="S705" s="127"/>
      <c r="T705" s="127"/>
      <c r="U705" s="127"/>
      <c r="V705" s="305" t="str">
        <f>_xlfn.IFNA(VLOOKUP(D705,ProductListTbl[],9,0),"")</f>
        <v/>
      </c>
      <c r="W705" s="305" t="str">
        <f>IFERROR(Table3[[#This Row],[Storage space per secondary packaging (cm3)]]*Table3[[#This Row],[Quantity  (vials or syringes)]]/1000,"")</f>
        <v/>
      </c>
      <c r="X705" s="305" t="str">
        <f>IFERROR(Table3[[#This Row],[Storage space per tertiary packaging (cm3)]]*Table3[[#This Row],[Quantity (doses)]]/1000,"")</f>
        <v/>
      </c>
      <c r="Y705" s="293" t="str">
        <f>IF(Table3[[#This Row],[Status]]="Ordered",(DATE(YEAR(P705),MONTH(P705),1)),IF(Table3[[#This Row],[Status]]="Received",(DATE(YEAR(Q705),MONTH(Q705),1)),""))</f>
        <v/>
      </c>
      <c r="Z705" s="304" t="str">
        <f t="shared" si="40"/>
        <v/>
      </c>
      <c r="AA705" s="48" t="str">
        <f t="shared" si="41"/>
        <v/>
      </c>
      <c r="AB705" s="48" t="str">
        <f t="shared" si="42"/>
        <v/>
      </c>
      <c r="AC705" s="292" t="str">
        <f t="shared" si="43"/>
        <v/>
      </c>
      <c r="AD705" s="48" t="str">
        <f>IF(Table3[[#This Row],[Actual Arrival date]]&gt;0,IF(Table3[[#This Row],[Expected arrival date]]&gt;0,Table3[[#This Row],[Actual Arrival date]]-Table3[[#This Row],[Expected arrival date]],""),"")</f>
        <v/>
      </c>
    </row>
    <row r="706" spans="1:30" x14ac:dyDescent="0.25">
      <c r="A706" s="303" t="str">
        <f>Start!$D$7</f>
        <v>Anyland</v>
      </c>
      <c r="B706" s="48" t="str">
        <f>_xlfn.IFNA(VLOOKUP(A706,list!B:C,2,FALSE),"")</f>
        <v>ANY</v>
      </c>
      <c r="C706" s="48"/>
      <c r="D706" s="127"/>
      <c r="E706" s="48" t="str">
        <f>_xlfn.IFNA(VLOOKUP(Table3[[#This Row],[Product]], ProductListTbl[], 3, 0), "")</f>
        <v/>
      </c>
      <c r="F706" s="303" t="str">
        <f>_xlfn.IFNA(VLOOKUP(D706,ProductListTbl[],5,0),"")</f>
        <v/>
      </c>
      <c r="G706" s="303" t="str">
        <f>_xlfn.IFNA(VLOOKUP(D706,ProductListTbl[],6,0),"")</f>
        <v/>
      </c>
      <c r="H706" s="130" t="str">
        <f>_xlfn.IFNA(VLOOKUP(D706,ProductListTbl[],7,0),"")</f>
        <v/>
      </c>
      <c r="I706" s="130" t="str">
        <f>_xlfn.IFNA(VLOOKUP(D706,ProductListTbl[],8,0),"")</f>
        <v/>
      </c>
      <c r="J706" s="127"/>
      <c r="K706" s="129"/>
      <c r="L706" s="128"/>
      <c r="M706" s="305" t="str">
        <f>IFERROR(Table3[[#This Row],[Quantity (doses)]]/Table3[[#This Row],[Doses per vial or syringe]],"")</f>
        <v/>
      </c>
      <c r="N706" s="127"/>
      <c r="O706" s="127"/>
      <c r="P706" s="381"/>
      <c r="Q706" s="129"/>
      <c r="R706" s="127"/>
      <c r="S706" s="127"/>
      <c r="T706" s="127"/>
      <c r="U706" s="127"/>
      <c r="V706" s="305" t="str">
        <f>_xlfn.IFNA(VLOOKUP(D706,ProductListTbl[],9,0),"")</f>
        <v/>
      </c>
      <c r="W706" s="305" t="str">
        <f>IFERROR(Table3[[#This Row],[Storage space per secondary packaging (cm3)]]*Table3[[#This Row],[Quantity  (vials or syringes)]]/1000,"")</f>
        <v/>
      </c>
      <c r="X706" s="305" t="str">
        <f>IFERROR(Table3[[#This Row],[Storage space per tertiary packaging (cm3)]]*Table3[[#This Row],[Quantity (doses)]]/1000,"")</f>
        <v/>
      </c>
      <c r="Y706" s="293" t="str">
        <f>IF(Table3[[#This Row],[Status]]="Ordered",(DATE(YEAR(P706),MONTH(P706),1)),IF(Table3[[#This Row],[Status]]="Received",(DATE(YEAR(Q706),MONTH(Q706),1)),""))</f>
        <v/>
      </c>
      <c r="Z706" s="304" t="str">
        <f t="shared" si="40"/>
        <v/>
      </c>
      <c r="AA706" s="48" t="str">
        <f t="shared" si="41"/>
        <v/>
      </c>
      <c r="AB706" s="48" t="str">
        <f t="shared" si="42"/>
        <v/>
      </c>
      <c r="AC706" s="292" t="str">
        <f t="shared" si="43"/>
        <v/>
      </c>
      <c r="AD706" s="48" t="str">
        <f>IF(Table3[[#This Row],[Actual Arrival date]]&gt;0,IF(Table3[[#This Row],[Expected arrival date]]&gt;0,Table3[[#This Row],[Actual Arrival date]]-Table3[[#This Row],[Expected arrival date]],""),"")</f>
        <v/>
      </c>
    </row>
    <row r="707" spans="1:30" x14ac:dyDescent="0.25">
      <c r="A707" s="303" t="str">
        <f>Start!$D$7</f>
        <v>Anyland</v>
      </c>
      <c r="B707" s="48" t="str">
        <f>_xlfn.IFNA(VLOOKUP(A707,list!B:C,2,FALSE),"")</f>
        <v>ANY</v>
      </c>
      <c r="C707" s="48"/>
      <c r="D707" s="127"/>
      <c r="E707" s="48" t="str">
        <f>_xlfn.IFNA(VLOOKUP(Table3[[#This Row],[Product]], ProductListTbl[], 3, 0), "")</f>
        <v/>
      </c>
      <c r="F707" s="303" t="str">
        <f>_xlfn.IFNA(VLOOKUP(D707,ProductListTbl[],5,0),"")</f>
        <v/>
      </c>
      <c r="G707" s="303" t="str">
        <f>_xlfn.IFNA(VLOOKUP(D707,ProductListTbl[],6,0),"")</f>
        <v/>
      </c>
      <c r="H707" s="130" t="str">
        <f>_xlfn.IFNA(VLOOKUP(D707,ProductListTbl[],7,0),"")</f>
        <v/>
      </c>
      <c r="I707" s="130" t="str">
        <f>_xlfn.IFNA(VLOOKUP(D707,ProductListTbl[],8,0),"")</f>
        <v/>
      </c>
      <c r="J707" s="127"/>
      <c r="K707" s="129"/>
      <c r="L707" s="128"/>
      <c r="M707" s="305" t="str">
        <f>IFERROR(Table3[[#This Row],[Quantity (doses)]]/Table3[[#This Row],[Doses per vial or syringe]],"")</f>
        <v/>
      </c>
      <c r="N707" s="127"/>
      <c r="O707" s="127"/>
      <c r="P707" s="381"/>
      <c r="Q707" s="129"/>
      <c r="R707" s="127"/>
      <c r="S707" s="127"/>
      <c r="T707" s="127"/>
      <c r="U707" s="127"/>
      <c r="V707" s="305" t="str">
        <f>_xlfn.IFNA(VLOOKUP(D707,ProductListTbl[],9,0),"")</f>
        <v/>
      </c>
      <c r="W707" s="305" t="str">
        <f>IFERROR(Table3[[#This Row],[Storage space per secondary packaging (cm3)]]*Table3[[#This Row],[Quantity  (vials or syringes)]]/1000,"")</f>
        <v/>
      </c>
      <c r="X707" s="305" t="str">
        <f>IFERROR(Table3[[#This Row],[Storage space per tertiary packaging (cm3)]]*Table3[[#This Row],[Quantity (doses)]]/1000,"")</f>
        <v/>
      </c>
      <c r="Y707" s="293" t="str">
        <f>IF(Table3[[#This Row],[Status]]="Ordered",(DATE(YEAR(P707),MONTH(P707),1)),IF(Table3[[#This Row],[Status]]="Received",(DATE(YEAR(Q707),MONTH(Q707),1)),""))</f>
        <v/>
      </c>
      <c r="Z707" s="304" t="str">
        <f t="shared" si="40"/>
        <v/>
      </c>
      <c r="AA707" s="48" t="str">
        <f t="shared" si="41"/>
        <v/>
      </c>
      <c r="AB707" s="48" t="str">
        <f t="shared" si="42"/>
        <v/>
      </c>
      <c r="AC707" s="292" t="str">
        <f t="shared" si="43"/>
        <v/>
      </c>
      <c r="AD707" s="48" t="str">
        <f>IF(Table3[[#This Row],[Actual Arrival date]]&gt;0,IF(Table3[[#This Row],[Expected arrival date]]&gt;0,Table3[[#This Row],[Actual Arrival date]]-Table3[[#This Row],[Expected arrival date]],""),"")</f>
        <v/>
      </c>
    </row>
    <row r="708" spans="1:30" x14ac:dyDescent="0.25">
      <c r="A708" s="303" t="str">
        <f>Start!$D$7</f>
        <v>Anyland</v>
      </c>
      <c r="B708" s="48" t="str">
        <f>_xlfn.IFNA(VLOOKUP(A708,list!B:C,2,FALSE),"")</f>
        <v>ANY</v>
      </c>
      <c r="C708" s="48"/>
      <c r="D708" s="127"/>
      <c r="E708" s="48" t="str">
        <f>_xlfn.IFNA(VLOOKUP(Table3[[#This Row],[Product]], ProductListTbl[], 3, 0), "")</f>
        <v/>
      </c>
      <c r="F708" s="303" t="str">
        <f>_xlfn.IFNA(VLOOKUP(D708,ProductListTbl[],5,0),"")</f>
        <v/>
      </c>
      <c r="G708" s="303" t="str">
        <f>_xlfn.IFNA(VLOOKUP(D708,ProductListTbl[],6,0),"")</f>
        <v/>
      </c>
      <c r="H708" s="130" t="str">
        <f>_xlfn.IFNA(VLOOKUP(D708,ProductListTbl[],7,0),"")</f>
        <v/>
      </c>
      <c r="I708" s="130" t="str">
        <f>_xlfn.IFNA(VLOOKUP(D708,ProductListTbl[],8,0),"")</f>
        <v/>
      </c>
      <c r="J708" s="127"/>
      <c r="K708" s="129"/>
      <c r="L708" s="128"/>
      <c r="M708" s="305" t="str">
        <f>IFERROR(Table3[[#This Row],[Quantity (doses)]]/Table3[[#This Row],[Doses per vial or syringe]],"")</f>
        <v/>
      </c>
      <c r="N708" s="127"/>
      <c r="O708" s="127"/>
      <c r="P708" s="381"/>
      <c r="Q708" s="129"/>
      <c r="R708" s="127"/>
      <c r="S708" s="127"/>
      <c r="T708" s="127"/>
      <c r="U708" s="127"/>
      <c r="V708" s="305" t="str">
        <f>_xlfn.IFNA(VLOOKUP(D708,ProductListTbl[],9,0),"")</f>
        <v/>
      </c>
      <c r="W708" s="305" t="str">
        <f>IFERROR(Table3[[#This Row],[Storage space per secondary packaging (cm3)]]*Table3[[#This Row],[Quantity  (vials or syringes)]]/1000,"")</f>
        <v/>
      </c>
      <c r="X708" s="305" t="str">
        <f>IFERROR(Table3[[#This Row],[Storage space per tertiary packaging (cm3)]]*Table3[[#This Row],[Quantity (doses)]]/1000,"")</f>
        <v/>
      </c>
      <c r="Y708" s="293" t="str">
        <f>IF(Table3[[#This Row],[Status]]="Ordered",(DATE(YEAR(P708),MONTH(P708),1)),IF(Table3[[#This Row],[Status]]="Received",(DATE(YEAR(Q708),MONTH(Q708),1)),""))</f>
        <v/>
      </c>
      <c r="Z708" s="304" t="str">
        <f t="shared" si="40"/>
        <v/>
      </c>
      <c r="AA708" s="48" t="str">
        <f t="shared" si="41"/>
        <v/>
      </c>
      <c r="AB708" s="48" t="str">
        <f t="shared" si="42"/>
        <v/>
      </c>
      <c r="AC708" s="292" t="str">
        <f t="shared" si="43"/>
        <v/>
      </c>
      <c r="AD708" s="48" t="str">
        <f>IF(Table3[[#This Row],[Actual Arrival date]]&gt;0,IF(Table3[[#This Row],[Expected arrival date]]&gt;0,Table3[[#This Row],[Actual Arrival date]]-Table3[[#This Row],[Expected arrival date]],""),"")</f>
        <v/>
      </c>
    </row>
    <row r="709" spans="1:30" x14ac:dyDescent="0.25">
      <c r="A709" s="303" t="str">
        <f>Start!$D$7</f>
        <v>Anyland</v>
      </c>
      <c r="B709" s="48" t="str">
        <f>_xlfn.IFNA(VLOOKUP(A709,list!B:C,2,FALSE),"")</f>
        <v>ANY</v>
      </c>
      <c r="C709" s="48"/>
      <c r="D709" s="127"/>
      <c r="E709" s="48" t="str">
        <f>_xlfn.IFNA(VLOOKUP(Table3[[#This Row],[Product]], ProductListTbl[], 3, 0), "")</f>
        <v/>
      </c>
      <c r="F709" s="303" t="str">
        <f>_xlfn.IFNA(VLOOKUP(D709,ProductListTbl[],5,0),"")</f>
        <v/>
      </c>
      <c r="G709" s="303" t="str">
        <f>_xlfn.IFNA(VLOOKUP(D709,ProductListTbl[],6,0),"")</f>
        <v/>
      </c>
      <c r="H709" s="130" t="str">
        <f>_xlfn.IFNA(VLOOKUP(D709,ProductListTbl[],7,0),"")</f>
        <v/>
      </c>
      <c r="I709" s="130" t="str">
        <f>_xlfn.IFNA(VLOOKUP(D709,ProductListTbl[],8,0),"")</f>
        <v/>
      </c>
      <c r="J709" s="127"/>
      <c r="K709" s="129"/>
      <c r="L709" s="128"/>
      <c r="M709" s="305" t="str">
        <f>IFERROR(Table3[[#This Row],[Quantity (doses)]]/Table3[[#This Row],[Doses per vial or syringe]],"")</f>
        <v/>
      </c>
      <c r="N709" s="127"/>
      <c r="O709" s="127"/>
      <c r="P709" s="381"/>
      <c r="Q709" s="129"/>
      <c r="R709" s="127"/>
      <c r="S709" s="127"/>
      <c r="T709" s="127"/>
      <c r="U709" s="127"/>
      <c r="V709" s="305" t="str">
        <f>_xlfn.IFNA(VLOOKUP(D709,ProductListTbl[],9,0),"")</f>
        <v/>
      </c>
      <c r="W709" s="305" t="str">
        <f>IFERROR(Table3[[#This Row],[Storage space per secondary packaging (cm3)]]*Table3[[#This Row],[Quantity  (vials or syringes)]]/1000,"")</f>
        <v/>
      </c>
      <c r="X709" s="305" t="str">
        <f>IFERROR(Table3[[#This Row],[Storage space per tertiary packaging (cm3)]]*Table3[[#This Row],[Quantity (doses)]]/1000,"")</f>
        <v/>
      </c>
      <c r="Y709" s="293" t="str">
        <f>IF(Table3[[#This Row],[Status]]="Ordered",(DATE(YEAR(P709),MONTH(P709),1)),IF(Table3[[#This Row],[Status]]="Received",(DATE(YEAR(Q709),MONTH(Q709),1)),""))</f>
        <v/>
      </c>
      <c r="Z709" s="304" t="str">
        <f t="shared" ref="Z709:Z772" si="44">IFERROR(IF(K709&gt;0,((K709-Q709)/(365.25/12)),""),"")</f>
        <v/>
      </c>
      <c r="AA709" s="48" t="str">
        <f t="shared" ref="AA709:AA772" si="45">IFERROR(IF(K709="","",MONTH(EOMONTH(K709,(DAY(K709)&gt;15)+0))),"")</f>
        <v/>
      </c>
      <c r="AB709" s="48" t="str">
        <f t="shared" ref="AB709:AB772" si="46">IFERROR(IF(K709="","",IF(AND(MONTH(K709)=12,AA709=1),YEAR(K709)+1,YEAR(K709))),"")</f>
        <v/>
      </c>
      <c r="AC709" s="292" t="str">
        <f t="shared" ref="AC709:AC772" si="47">IF(OR(AA709="",AB709=""),"",DATE(AB709,AA709,1))</f>
        <v/>
      </c>
      <c r="AD709" s="48" t="str">
        <f>IF(Table3[[#This Row],[Actual Arrival date]]&gt;0,IF(Table3[[#This Row],[Expected arrival date]]&gt;0,Table3[[#This Row],[Actual Arrival date]]-Table3[[#This Row],[Expected arrival date]],""),"")</f>
        <v/>
      </c>
    </row>
    <row r="710" spans="1:30" x14ac:dyDescent="0.25">
      <c r="A710" s="303" t="str">
        <f>Start!$D$7</f>
        <v>Anyland</v>
      </c>
      <c r="B710" s="48" t="str">
        <f>_xlfn.IFNA(VLOOKUP(A710,list!B:C,2,FALSE),"")</f>
        <v>ANY</v>
      </c>
      <c r="C710" s="48"/>
      <c r="D710" s="127"/>
      <c r="E710" s="48" t="str">
        <f>_xlfn.IFNA(VLOOKUP(Table3[[#This Row],[Product]], ProductListTbl[], 3, 0), "")</f>
        <v/>
      </c>
      <c r="F710" s="303" t="str">
        <f>_xlfn.IFNA(VLOOKUP(D710,ProductListTbl[],5,0),"")</f>
        <v/>
      </c>
      <c r="G710" s="303" t="str">
        <f>_xlfn.IFNA(VLOOKUP(D710,ProductListTbl[],6,0),"")</f>
        <v/>
      </c>
      <c r="H710" s="130" t="str">
        <f>_xlfn.IFNA(VLOOKUP(D710,ProductListTbl[],7,0),"")</f>
        <v/>
      </c>
      <c r="I710" s="130" t="str">
        <f>_xlfn.IFNA(VLOOKUP(D710,ProductListTbl[],8,0),"")</f>
        <v/>
      </c>
      <c r="J710" s="127"/>
      <c r="K710" s="129"/>
      <c r="L710" s="128"/>
      <c r="M710" s="305" t="str">
        <f>IFERROR(Table3[[#This Row],[Quantity (doses)]]/Table3[[#This Row],[Doses per vial or syringe]],"")</f>
        <v/>
      </c>
      <c r="N710" s="127"/>
      <c r="O710" s="127"/>
      <c r="P710" s="381"/>
      <c r="Q710" s="129"/>
      <c r="R710" s="127"/>
      <c r="S710" s="127"/>
      <c r="T710" s="127"/>
      <c r="U710" s="127"/>
      <c r="V710" s="305" t="str">
        <f>_xlfn.IFNA(VLOOKUP(D710,ProductListTbl[],9,0),"")</f>
        <v/>
      </c>
      <c r="W710" s="305" t="str">
        <f>IFERROR(Table3[[#This Row],[Storage space per secondary packaging (cm3)]]*Table3[[#This Row],[Quantity  (vials or syringes)]]/1000,"")</f>
        <v/>
      </c>
      <c r="X710" s="305" t="str">
        <f>IFERROR(Table3[[#This Row],[Storage space per tertiary packaging (cm3)]]*Table3[[#This Row],[Quantity (doses)]]/1000,"")</f>
        <v/>
      </c>
      <c r="Y710" s="293" t="str">
        <f>IF(Table3[[#This Row],[Status]]="Ordered",(DATE(YEAR(P710),MONTH(P710),1)),IF(Table3[[#This Row],[Status]]="Received",(DATE(YEAR(Q710),MONTH(Q710),1)),""))</f>
        <v/>
      </c>
      <c r="Z710" s="304" t="str">
        <f t="shared" si="44"/>
        <v/>
      </c>
      <c r="AA710" s="48" t="str">
        <f t="shared" si="45"/>
        <v/>
      </c>
      <c r="AB710" s="48" t="str">
        <f t="shared" si="46"/>
        <v/>
      </c>
      <c r="AC710" s="292" t="str">
        <f t="shared" si="47"/>
        <v/>
      </c>
      <c r="AD710" s="48" t="str">
        <f>IF(Table3[[#This Row],[Actual Arrival date]]&gt;0,IF(Table3[[#This Row],[Expected arrival date]]&gt;0,Table3[[#This Row],[Actual Arrival date]]-Table3[[#This Row],[Expected arrival date]],""),"")</f>
        <v/>
      </c>
    </row>
    <row r="711" spans="1:30" x14ac:dyDescent="0.25">
      <c r="A711" s="303" t="str">
        <f>Start!$D$7</f>
        <v>Anyland</v>
      </c>
      <c r="B711" s="48" t="str">
        <f>_xlfn.IFNA(VLOOKUP(A711,list!B:C,2,FALSE),"")</f>
        <v>ANY</v>
      </c>
      <c r="C711" s="48"/>
      <c r="D711" s="127"/>
      <c r="E711" s="48" t="str">
        <f>_xlfn.IFNA(VLOOKUP(Table3[[#This Row],[Product]], ProductListTbl[], 3, 0), "")</f>
        <v/>
      </c>
      <c r="F711" s="303" t="str">
        <f>_xlfn.IFNA(VLOOKUP(D711,ProductListTbl[],5,0),"")</f>
        <v/>
      </c>
      <c r="G711" s="303" t="str">
        <f>_xlfn.IFNA(VLOOKUP(D711,ProductListTbl[],6,0),"")</f>
        <v/>
      </c>
      <c r="H711" s="130" t="str">
        <f>_xlfn.IFNA(VLOOKUP(D711,ProductListTbl[],7,0),"")</f>
        <v/>
      </c>
      <c r="I711" s="130" t="str">
        <f>_xlfn.IFNA(VLOOKUP(D711,ProductListTbl[],8,0),"")</f>
        <v/>
      </c>
      <c r="J711" s="127"/>
      <c r="K711" s="129"/>
      <c r="L711" s="128"/>
      <c r="M711" s="305" t="str">
        <f>IFERROR(Table3[[#This Row],[Quantity (doses)]]/Table3[[#This Row],[Doses per vial or syringe]],"")</f>
        <v/>
      </c>
      <c r="N711" s="127"/>
      <c r="O711" s="127"/>
      <c r="P711" s="381"/>
      <c r="Q711" s="129"/>
      <c r="R711" s="127"/>
      <c r="S711" s="127"/>
      <c r="T711" s="127"/>
      <c r="U711" s="127"/>
      <c r="V711" s="305" t="str">
        <f>_xlfn.IFNA(VLOOKUP(D711,ProductListTbl[],9,0),"")</f>
        <v/>
      </c>
      <c r="W711" s="305" t="str">
        <f>IFERROR(Table3[[#This Row],[Storage space per secondary packaging (cm3)]]*Table3[[#This Row],[Quantity  (vials or syringes)]]/1000,"")</f>
        <v/>
      </c>
      <c r="X711" s="305" t="str">
        <f>IFERROR(Table3[[#This Row],[Storage space per tertiary packaging (cm3)]]*Table3[[#This Row],[Quantity (doses)]]/1000,"")</f>
        <v/>
      </c>
      <c r="Y711" s="293" t="str">
        <f>IF(Table3[[#This Row],[Status]]="Ordered",(DATE(YEAR(P711),MONTH(P711),1)),IF(Table3[[#This Row],[Status]]="Received",(DATE(YEAR(Q711),MONTH(Q711),1)),""))</f>
        <v/>
      </c>
      <c r="Z711" s="304" t="str">
        <f t="shared" si="44"/>
        <v/>
      </c>
      <c r="AA711" s="48" t="str">
        <f t="shared" si="45"/>
        <v/>
      </c>
      <c r="AB711" s="48" t="str">
        <f t="shared" si="46"/>
        <v/>
      </c>
      <c r="AC711" s="292" t="str">
        <f t="shared" si="47"/>
        <v/>
      </c>
      <c r="AD711" s="48" t="str">
        <f>IF(Table3[[#This Row],[Actual Arrival date]]&gt;0,IF(Table3[[#This Row],[Expected arrival date]]&gt;0,Table3[[#This Row],[Actual Arrival date]]-Table3[[#This Row],[Expected arrival date]],""),"")</f>
        <v/>
      </c>
    </row>
    <row r="712" spans="1:30" x14ac:dyDescent="0.25">
      <c r="A712" s="303" t="str">
        <f>Start!$D$7</f>
        <v>Anyland</v>
      </c>
      <c r="B712" s="48" t="str">
        <f>_xlfn.IFNA(VLOOKUP(A712,list!B:C,2,FALSE),"")</f>
        <v>ANY</v>
      </c>
      <c r="C712" s="48"/>
      <c r="D712" s="127"/>
      <c r="E712" s="48" t="str">
        <f>_xlfn.IFNA(VLOOKUP(Table3[[#This Row],[Product]], ProductListTbl[], 3, 0), "")</f>
        <v/>
      </c>
      <c r="F712" s="303" t="str">
        <f>_xlfn.IFNA(VLOOKUP(D712,ProductListTbl[],5,0),"")</f>
        <v/>
      </c>
      <c r="G712" s="303" t="str">
        <f>_xlfn.IFNA(VLOOKUP(D712,ProductListTbl[],6,0),"")</f>
        <v/>
      </c>
      <c r="H712" s="130" t="str">
        <f>_xlfn.IFNA(VLOOKUP(D712,ProductListTbl[],7,0),"")</f>
        <v/>
      </c>
      <c r="I712" s="130" t="str">
        <f>_xlfn.IFNA(VLOOKUP(D712,ProductListTbl[],8,0),"")</f>
        <v/>
      </c>
      <c r="J712" s="127"/>
      <c r="K712" s="129"/>
      <c r="L712" s="128"/>
      <c r="M712" s="305" t="str">
        <f>IFERROR(Table3[[#This Row],[Quantity (doses)]]/Table3[[#This Row],[Doses per vial or syringe]],"")</f>
        <v/>
      </c>
      <c r="N712" s="127"/>
      <c r="O712" s="127"/>
      <c r="P712" s="381"/>
      <c r="Q712" s="129"/>
      <c r="R712" s="127"/>
      <c r="S712" s="127"/>
      <c r="T712" s="127"/>
      <c r="U712" s="127"/>
      <c r="V712" s="305" t="str">
        <f>_xlfn.IFNA(VLOOKUP(D712,ProductListTbl[],9,0),"")</f>
        <v/>
      </c>
      <c r="W712" s="305" t="str">
        <f>IFERROR(Table3[[#This Row],[Storage space per secondary packaging (cm3)]]*Table3[[#This Row],[Quantity  (vials or syringes)]]/1000,"")</f>
        <v/>
      </c>
      <c r="X712" s="305" t="str">
        <f>IFERROR(Table3[[#This Row],[Storage space per tertiary packaging (cm3)]]*Table3[[#This Row],[Quantity (doses)]]/1000,"")</f>
        <v/>
      </c>
      <c r="Y712" s="293" t="str">
        <f>IF(Table3[[#This Row],[Status]]="Ordered",(DATE(YEAR(P712),MONTH(P712),1)),IF(Table3[[#This Row],[Status]]="Received",(DATE(YEAR(Q712),MONTH(Q712),1)),""))</f>
        <v/>
      </c>
      <c r="Z712" s="304" t="str">
        <f t="shared" si="44"/>
        <v/>
      </c>
      <c r="AA712" s="48" t="str">
        <f t="shared" si="45"/>
        <v/>
      </c>
      <c r="AB712" s="48" t="str">
        <f t="shared" si="46"/>
        <v/>
      </c>
      <c r="AC712" s="292" t="str">
        <f t="shared" si="47"/>
        <v/>
      </c>
      <c r="AD712" s="48" t="str">
        <f>IF(Table3[[#This Row],[Actual Arrival date]]&gt;0,IF(Table3[[#This Row],[Expected arrival date]]&gt;0,Table3[[#This Row],[Actual Arrival date]]-Table3[[#This Row],[Expected arrival date]],""),"")</f>
        <v/>
      </c>
    </row>
    <row r="713" spans="1:30" x14ac:dyDescent="0.25">
      <c r="A713" s="303" t="str">
        <f>Start!$D$7</f>
        <v>Anyland</v>
      </c>
      <c r="B713" s="48" t="str">
        <f>_xlfn.IFNA(VLOOKUP(A713,list!B:C,2,FALSE),"")</f>
        <v>ANY</v>
      </c>
      <c r="C713" s="48"/>
      <c r="D713" s="127"/>
      <c r="E713" s="48" t="str">
        <f>_xlfn.IFNA(VLOOKUP(Table3[[#This Row],[Product]], ProductListTbl[], 3, 0), "")</f>
        <v/>
      </c>
      <c r="F713" s="303" t="str">
        <f>_xlfn.IFNA(VLOOKUP(D713,ProductListTbl[],5,0),"")</f>
        <v/>
      </c>
      <c r="G713" s="303" t="str">
        <f>_xlfn.IFNA(VLOOKUP(D713,ProductListTbl[],6,0),"")</f>
        <v/>
      </c>
      <c r="H713" s="130" t="str">
        <f>_xlfn.IFNA(VLOOKUP(D713,ProductListTbl[],7,0),"")</f>
        <v/>
      </c>
      <c r="I713" s="130" t="str">
        <f>_xlfn.IFNA(VLOOKUP(D713,ProductListTbl[],8,0),"")</f>
        <v/>
      </c>
      <c r="J713" s="127"/>
      <c r="K713" s="129"/>
      <c r="L713" s="128"/>
      <c r="M713" s="305" t="str">
        <f>IFERROR(Table3[[#This Row],[Quantity (doses)]]/Table3[[#This Row],[Doses per vial or syringe]],"")</f>
        <v/>
      </c>
      <c r="N713" s="127"/>
      <c r="O713" s="127"/>
      <c r="P713" s="381"/>
      <c r="Q713" s="129"/>
      <c r="R713" s="127"/>
      <c r="S713" s="127"/>
      <c r="T713" s="127"/>
      <c r="U713" s="127"/>
      <c r="V713" s="305" t="str">
        <f>_xlfn.IFNA(VLOOKUP(D713,ProductListTbl[],9,0),"")</f>
        <v/>
      </c>
      <c r="W713" s="305" t="str">
        <f>IFERROR(Table3[[#This Row],[Storage space per secondary packaging (cm3)]]*Table3[[#This Row],[Quantity  (vials or syringes)]]/1000,"")</f>
        <v/>
      </c>
      <c r="X713" s="305" t="str">
        <f>IFERROR(Table3[[#This Row],[Storage space per tertiary packaging (cm3)]]*Table3[[#This Row],[Quantity (doses)]]/1000,"")</f>
        <v/>
      </c>
      <c r="Y713" s="293" t="str">
        <f>IF(Table3[[#This Row],[Status]]="Ordered",(DATE(YEAR(P713),MONTH(P713),1)),IF(Table3[[#This Row],[Status]]="Received",(DATE(YEAR(Q713),MONTH(Q713),1)),""))</f>
        <v/>
      </c>
      <c r="Z713" s="304" t="str">
        <f t="shared" si="44"/>
        <v/>
      </c>
      <c r="AA713" s="48" t="str">
        <f t="shared" si="45"/>
        <v/>
      </c>
      <c r="AB713" s="48" t="str">
        <f t="shared" si="46"/>
        <v/>
      </c>
      <c r="AC713" s="292" t="str">
        <f t="shared" si="47"/>
        <v/>
      </c>
      <c r="AD713" s="48" t="str">
        <f>IF(Table3[[#This Row],[Actual Arrival date]]&gt;0,IF(Table3[[#This Row],[Expected arrival date]]&gt;0,Table3[[#This Row],[Actual Arrival date]]-Table3[[#This Row],[Expected arrival date]],""),"")</f>
        <v/>
      </c>
    </row>
    <row r="714" spans="1:30" x14ac:dyDescent="0.25">
      <c r="A714" s="303" t="str">
        <f>Start!$D$7</f>
        <v>Anyland</v>
      </c>
      <c r="B714" s="48" t="str">
        <f>_xlfn.IFNA(VLOOKUP(A714,list!B:C,2,FALSE),"")</f>
        <v>ANY</v>
      </c>
      <c r="C714" s="48"/>
      <c r="D714" s="127"/>
      <c r="E714" s="48" t="str">
        <f>_xlfn.IFNA(VLOOKUP(Table3[[#This Row],[Product]], ProductListTbl[], 3, 0), "")</f>
        <v/>
      </c>
      <c r="F714" s="303" t="str">
        <f>_xlfn.IFNA(VLOOKUP(D714,ProductListTbl[],5,0),"")</f>
        <v/>
      </c>
      <c r="G714" s="303" t="str">
        <f>_xlfn.IFNA(VLOOKUP(D714,ProductListTbl[],6,0),"")</f>
        <v/>
      </c>
      <c r="H714" s="130" t="str">
        <f>_xlfn.IFNA(VLOOKUP(D714,ProductListTbl[],7,0),"")</f>
        <v/>
      </c>
      <c r="I714" s="130" t="str">
        <f>_xlfn.IFNA(VLOOKUP(D714,ProductListTbl[],8,0),"")</f>
        <v/>
      </c>
      <c r="J714" s="127"/>
      <c r="K714" s="129"/>
      <c r="L714" s="128"/>
      <c r="M714" s="305" t="str">
        <f>IFERROR(Table3[[#This Row],[Quantity (doses)]]/Table3[[#This Row],[Doses per vial or syringe]],"")</f>
        <v/>
      </c>
      <c r="N714" s="127"/>
      <c r="O714" s="127"/>
      <c r="P714" s="381"/>
      <c r="Q714" s="129"/>
      <c r="R714" s="127"/>
      <c r="S714" s="127"/>
      <c r="T714" s="127"/>
      <c r="U714" s="127"/>
      <c r="V714" s="305" t="str">
        <f>_xlfn.IFNA(VLOOKUP(D714,ProductListTbl[],9,0),"")</f>
        <v/>
      </c>
      <c r="W714" s="305" t="str">
        <f>IFERROR(Table3[[#This Row],[Storage space per secondary packaging (cm3)]]*Table3[[#This Row],[Quantity  (vials or syringes)]]/1000,"")</f>
        <v/>
      </c>
      <c r="X714" s="305" t="str">
        <f>IFERROR(Table3[[#This Row],[Storage space per tertiary packaging (cm3)]]*Table3[[#This Row],[Quantity (doses)]]/1000,"")</f>
        <v/>
      </c>
      <c r="Y714" s="293" t="str">
        <f>IF(Table3[[#This Row],[Status]]="Ordered",(DATE(YEAR(P714),MONTH(P714),1)),IF(Table3[[#This Row],[Status]]="Received",(DATE(YEAR(Q714),MONTH(Q714),1)),""))</f>
        <v/>
      </c>
      <c r="Z714" s="304" t="str">
        <f t="shared" si="44"/>
        <v/>
      </c>
      <c r="AA714" s="48" t="str">
        <f t="shared" si="45"/>
        <v/>
      </c>
      <c r="AB714" s="48" t="str">
        <f t="shared" si="46"/>
        <v/>
      </c>
      <c r="AC714" s="292" t="str">
        <f t="shared" si="47"/>
        <v/>
      </c>
      <c r="AD714" s="48" t="str">
        <f>IF(Table3[[#This Row],[Actual Arrival date]]&gt;0,IF(Table3[[#This Row],[Expected arrival date]]&gt;0,Table3[[#This Row],[Actual Arrival date]]-Table3[[#This Row],[Expected arrival date]],""),"")</f>
        <v/>
      </c>
    </row>
    <row r="715" spans="1:30" x14ac:dyDescent="0.25">
      <c r="A715" s="303" t="str">
        <f>Start!$D$7</f>
        <v>Anyland</v>
      </c>
      <c r="B715" s="48" t="str">
        <f>_xlfn.IFNA(VLOOKUP(A715,list!B:C,2,FALSE),"")</f>
        <v>ANY</v>
      </c>
      <c r="C715" s="48"/>
      <c r="D715" s="127"/>
      <c r="E715" s="48" t="str">
        <f>_xlfn.IFNA(VLOOKUP(Table3[[#This Row],[Product]], ProductListTbl[], 3, 0), "")</f>
        <v/>
      </c>
      <c r="F715" s="303" t="str">
        <f>_xlfn.IFNA(VLOOKUP(D715,ProductListTbl[],5,0),"")</f>
        <v/>
      </c>
      <c r="G715" s="303" t="str">
        <f>_xlfn.IFNA(VLOOKUP(D715,ProductListTbl[],6,0),"")</f>
        <v/>
      </c>
      <c r="H715" s="130" t="str">
        <f>_xlfn.IFNA(VLOOKUP(D715,ProductListTbl[],7,0),"")</f>
        <v/>
      </c>
      <c r="I715" s="130" t="str">
        <f>_xlfn.IFNA(VLOOKUP(D715,ProductListTbl[],8,0),"")</f>
        <v/>
      </c>
      <c r="J715" s="127"/>
      <c r="K715" s="129"/>
      <c r="L715" s="128"/>
      <c r="M715" s="305" t="str">
        <f>IFERROR(Table3[[#This Row],[Quantity (doses)]]/Table3[[#This Row],[Doses per vial or syringe]],"")</f>
        <v/>
      </c>
      <c r="N715" s="127"/>
      <c r="O715" s="127"/>
      <c r="P715" s="381"/>
      <c r="Q715" s="129"/>
      <c r="R715" s="127"/>
      <c r="S715" s="127"/>
      <c r="T715" s="127"/>
      <c r="U715" s="127"/>
      <c r="V715" s="305" t="str">
        <f>_xlfn.IFNA(VLOOKUP(D715,ProductListTbl[],9,0),"")</f>
        <v/>
      </c>
      <c r="W715" s="305" t="str">
        <f>IFERROR(Table3[[#This Row],[Storage space per secondary packaging (cm3)]]*Table3[[#This Row],[Quantity  (vials or syringes)]]/1000,"")</f>
        <v/>
      </c>
      <c r="X715" s="305" t="str">
        <f>IFERROR(Table3[[#This Row],[Storage space per tertiary packaging (cm3)]]*Table3[[#This Row],[Quantity (doses)]]/1000,"")</f>
        <v/>
      </c>
      <c r="Y715" s="293" t="str">
        <f>IF(Table3[[#This Row],[Status]]="Ordered",(DATE(YEAR(P715),MONTH(P715),1)),IF(Table3[[#This Row],[Status]]="Received",(DATE(YEAR(Q715),MONTH(Q715),1)),""))</f>
        <v/>
      </c>
      <c r="Z715" s="304" t="str">
        <f t="shared" si="44"/>
        <v/>
      </c>
      <c r="AA715" s="48" t="str">
        <f t="shared" si="45"/>
        <v/>
      </c>
      <c r="AB715" s="48" t="str">
        <f t="shared" si="46"/>
        <v/>
      </c>
      <c r="AC715" s="292" t="str">
        <f t="shared" si="47"/>
        <v/>
      </c>
      <c r="AD715" s="48" t="str">
        <f>IF(Table3[[#This Row],[Actual Arrival date]]&gt;0,IF(Table3[[#This Row],[Expected arrival date]]&gt;0,Table3[[#This Row],[Actual Arrival date]]-Table3[[#This Row],[Expected arrival date]],""),"")</f>
        <v/>
      </c>
    </row>
    <row r="716" spans="1:30" x14ac:dyDescent="0.25">
      <c r="A716" s="303" t="str">
        <f>Start!$D$7</f>
        <v>Anyland</v>
      </c>
      <c r="B716" s="48" t="str">
        <f>_xlfn.IFNA(VLOOKUP(A716,list!B:C,2,FALSE),"")</f>
        <v>ANY</v>
      </c>
      <c r="C716" s="48"/>
      <c r="D716" s="127"/>
      <c r="E716" s="48" t="str">
        <f>_xlfn.IFNA(VLOOKUP(Table3[[#This Row],[Product]], ProductListTbl[], 3, 0), "")</f>
        <v/>
      </c>
      <c r="F716" s="303" t="str">
        <f>_xlfn.IFNA(VLOOKUP(D716,ProductListTbl[],5,0),"")</f>
        <v/>
      </c>
      <c r="G716" s="303" t="str">
        <f>_xlfn.IFNA(VLOOKUP(D716,ProductListTbl[],6,0),"")</f>
        <v/>
      </c>
      <c r="H716" s="130" t="str">
        <f>_xlfn.IFNA(VLOOKUP(D716,ProductListTbl[],7,0),"")</f>
        <v/>
      </c>
      <c r="I716" s="130" t="str">
        <f>_xlfn.IFNA(VLOOKUP(D716,ProductListTbl[],8,0),"")</f>
        <v/>
      </c>
      <c r="J716" s="127"/>
      <c r="K716" s="129"/>
      <c r="L716" s="128"/>
      <c r="M716" s="305" t="str">
        <f>IFERROR(Table3[[#This Row],[Quantity (doses)]]/Table3[[#This Row],[Doses per vial or syringe]],"")</f>
        <v/>
      </c>
      <c r="N716" s="127"/>
      <c r="O716" s="127"/>
      <c r="P716" s="381"/>
      <c r="Q716" s="129"/>
      <c r="R716" s="127"/>
      <c r="S716" s="127"/>
      <c r="T716" s="127"/>
      <c r="U716" s="127"/>
      <c r="V716" s="305" t="str">
        <f>_xlfn.IFNA(VLOOKUP(D716,ProductListTbl[],9,0),"")</f>
        <v/>
      </c>
      <c r="W716" s="305" t="str">
        <f>IFERROR(Table3[[#This Row],[Storage space per secondary packaging (cm3)]]*Table3[[#This Row],[Quantity  (vials or syringes)]]/1000,"")</f>
        <v/>
      </c>
      <c r="X716" s="305" t="str">
        <f>IFERROR(Table3[[#This Row],[Storage space per tertiary packaging (cm3)]]*Table3[[#This Row],[Quantity (doses)]]/1000,"")</f>
        <v/>
      </c>
      <c r="Y716" s="293" t="str">
        <f>IF(Table3[[#This Row],[Status]]="Ordered",(DATE(YEAR(P716),MONTH(P716),1)),IF(Table3[[#This Row],[Status]]="Received",(DATE(YEAR(Q716),MONTH(Q716),1)),""))</f>
        <v/>
      </c>
      <c r="Z716" s="304" t="str">
        <f t="shared" si="44"/>
        <v/>
      </c>
      <c r="AA716" s="48" t="str">
        <f t="shared" si="45"/>
        <v/>
      </c>
      <c r="AB716" s="48" t="str">
        <f t="shared" si="46"/>
        <v/>
      </c>
      <c r="AC716" s="292" t="str">
        <f t="shared" si="47"/>
        <v/>
      </c>
      <c r="AD716" s="48" t="str">
        <f>IF(Table3[[#This Row],[Actual Arrival date]]&gt;0,IF(Table3[[#This Row],[Expected arrival date]]&gt;0,Table3[[#This Row],[Actual Arrival date]]-Table3[[#This Row],[Expected arrival date]],""),"")</f>
        <v/>
      </c>
    </row>
    <row r="717" spans="1:30" x14ac:dyDescent="0.25">
      <c r="A717" s="303" t="str">
        <f>Start!$D$7</f>
        <v>Anyland</v>
      </c>
      <c r="B717" s="48" t="str">
        <f>_xlfn.IFNA(VLOOKUP(A717,list!B:C,2,FALSE),"")</f>
        <v>ANY</v>
      </c>
      <c r="C717" s="48"/>
      <c r="D717" s="127"/>
      <c r="E717" s="48" t="str">
        <f>_xlfn.IFNA(VLOOKUP(Table3[[#This Row],[Product]], ProductListTbl[], 3, 0), "")</f>
        <v/>
      </c>
      <c r="F717" s="303" t="str">
        <f>_xlfn.IFNA(VLOOKUP(D717,ProductListTbl[],5,0),"")</f>
        <v/>
      </c>
      <c r="G717" s="303" t="str">
        <f>_xlfn.IFNA(VLOOKUP(D717,ProductListTbl[],6,0),"")</f>
        <v/>
      </c>
      <c r="H717" s="130" t="str">
        <f>_xlfn.IFNA(VLOOKUP(D717,ProductListTbl[],7,0),"")</f>
        <v/>
      </c>
      <c r="I717" s="130" t="str">
        <f>_xlfn.IFNA(VLOOKUP(D717,ProductListTbl[],8,0),"")</f>
        <v/>
      </c>
      <c r="J717" s="127"/>
      <c r="K717" s="129"/>
      <c r="L717" s="128"/>
      <c r="M717" s="305" t="str">
        <f>IFERROR(Table3[[#This Row],[Quantity (doses)]]/Table3[[#This Row],[Doses per vial or syringe]],"")</f>
        <v/>
      </c>
      <c r="N717" s="127"/>
      <c r="O717" s="127"/>
      <c r="P717" s="381"/>
      <c r="Q717" s="129"/>
      <c r="R717" s="127"/>
      <c r="S717" s="127"/>
      <c r="T717" s="127"/>
      <c r="U717" s="127"/>
      <c r="V717" s="305" t="str">
        <f>_xlfn.IFNA(VLOOKUP(D717,ProductListTbl[],9,0),"")</f>
        <v/>
      </c>
      <c r="W717" s="305" t="str">
        <f>IFERROR(Table3[[#This Row],[Storage space per secondary packaging (cm3)]]*Table3[[#This Row],[Quantity  (vials or syringes)]]/1000,"")</f>
        <v/>
      </c>
      <c r="X717" s="305" t="str">
        <f>IFERROR(Table3[[#This Row],[Storage space per tertiary packaging (cm3)]]*Table3[[#This Row],[Quantity (doses)]]/1000,"")</f>
        <v/>
      </c>
      <c r="Y717" s="293" t="str">
        <f>IF(Table3[[#This Row],[Status]]="Ordered",(DATE(YEAR(P717),MONTH(P717),1)),IF(Table3[[#This Row],[Status]]="Received",(DATE(YEAR(Q717),MONTH(Q717),1)),""))</f>
        <v/>
      </c>
      <c r="Z717" s="304" t="str">
        <f t="shared" si="44"/>
        <v/>
      </c>
      <c r="AA717" s="48" t="str">
        <f t="shared" si="45"/>
        <v/>
      </c>
      <c r="AB717" s="48" t="str">
        <f t="shared" si="46"/>
        <v/>
      </c>
      <c r="AC717" s="292" t="str">
        <f t="shared" si="47"/>
        <v/>
      </c>
      <c r="AD717" s="48" t="str">
        <f>IF(Table3[[#This Row],[Actual Arrival date]]&gt;0,IF(Table3[[#This Row],[Expected arrival date]]&gt;0,Table3[[#This Row],[Actual Arrival date]]-Table3[[#This Row],[Expected arrival date]],""),"")</f>
        <v/>
      </c>
    </row>
    <row r="718" spans="1:30" x14ac:dyDescent="0.25">
      <c r="A718" s="303" t="str">
        <f>Start!$D$7</f>
        <v>Anyland</v>
      </c>
      <c r="B718" s="48" t="str">
        <f>_xlfn.IFNA(VLOOKUP(A718,list!B:C,2,FALSE),"")</f>
        <v>ANY</v>
      </c>
      <c r="C718" s="48"/>
      <c r="D718" s="127"/>
      <c r="E718" s="48" t="str">
        <f>_xlfn.IFNA(VLOOKUP(Table3[[#This Row],[Product]], ProductListTbl[], 3, 0), "")</f>
        <v/>
      </c>
      <c r="F718" s="303" t="str">
        <f>_xlfn.IFNA(VLOOKUP(D718,ProductListTbl[],5,0),"")</f>
        <v/>
      </c>
      <c r="G718" s="303" t="str">
        <f>_xlfn.IFNA(VLOOKUP(D718,ProductListTbl[],6,0),"")</f>
        <v/>
      </c>
      <c r="H718" s="130" t="str">
        <f>_xlfn.IFNA(VLOOKUP(D718,ProductListTbl[],7,0),"")</f>
        <v/>
      </c>
      <c r="I718" s="130" t="str">
        <f>_xlfn.IFNA(VLOOKUP(D718,ProductListTbl[],8,0),"")</f>
        <v/>
      </c>
      <c r="J718" s="127"/>
      <c r="K718" s="129"/>
      <c r="L718" s="128"/>
      <c r="M718" s="305" t="str">
        <f>IFERROR(Table3[[#This Row],[Quantity (doses)]]/Table3[[#This Row],[Doses per vial or syringe]],"")</f>
        <v/>
      </c>
      <c r="N718" s="127"/>
      <c r="O718" s="127"/>
      <c r="P718" s="381"/>
      <c r="Q718" s="129"/>
      <c r="R718" s="127"/>
      <c r="S718" s="127"/>
      <c r="T718" s="127"/>
      <c r="U718" s="127"/>
      <c r="V718" s="305" t="str">
        <f>_xlfn.IFNA(VLOOKUP(D718,ProductListTbl[],9,0),"")</f>
        <v/>
      </c>
      <c r="W718" s="305" t="str">
        <f>IFERROR(Table3[[#This Row],[Storage space per secondary packaging (cm3)]]*Table3[[#This Row],[Quantity  (vials or syringes)]]/1000,"")</f>
        <v/>
      </c>
      <c r="X718" s="305" t="str">
        <f>IFERROR(Table3[[#This Row],[Storage space per tertiary packaging (cm3)]]*Table3[[#This Row],[Quantity (doses)]]/1000,"")</f>
        <v/>
      </c>
      <c r="Y718" s="293" t="str">
        <f>IF(Table3[[#This Row],[Status]]="Ordered",(DATE(YEAR(P718),MONTH(P718),1)),IF(Table3[[#This Row],[Status]]="Received",(DATE(YEAR(Q718),MONTH(Q718),1)),""))</f>
        <v/>
      </c>
      <c r="Z718" s="304" t="str">
        <f t="shared" si="44"/>
        <v/>
      </c>
      <c r="AA718" s="48" t="str">
        <f t="shared" si="45"/>
        <v/>
      </c>
      <c r="AB718" s="48" t="str">
        <f t="shared" si="46"/>
        <v/>
      </c>
      <c r="AC718" s="292" t="str">
        <f t="shared" si="47"/>
        <v/>
      </c>
      <c r="AD718" s="48" t="str">
        <f>IF(Table3[[#This Row],[Actual Arrival date]]&gt;0,IF(Table3[[#This Row],[Expected arrival date]]&gt;0,Table3[[#This Row],[Actual Arrival date]]-Table3[[#This Row],[Expected arrival date]],""),"")</f>
        <v/>
      </c>
    </row>
    <row r="719" spans="1:30" x14ac:dyDescent="0.25">
      <c r="A719" s="303" t="str">
        <f>Start!$D$7</f>
        <v>Anyland</v>
      </c>
      <c r="B719" s="48" t="str">
        <f>_xlfn.IFNA(VLOOKUP(A719,list!B:C,2,FALSE),"")</f>
        <v>ANY</v>
      </c>
      <c r="C719" s="48"/>
      <c r="D719" s="127"/>
      <c r="E719" s="48" t="str">
        <f>_xlfn.IFNA(VLOOKUP(Table3[[#This Row],[Product]], ProductListTbl[], 3, 0), "")</f>
        <v/>
      </c>
      <c r="F719" s="303" t="str">
        <f>_xlfn.IFNA(VLOOKUP(D719,ProductListTbl[],5,0),"")</f>
        <v/>
      </c>
      <c r="G719" s="303" t="str">
        <f>_xlfn.IFNA(VLOOKUP(D719,ProductListTbl[],6,0),"")</f>
        <v/>
      </c>
      <c r="H719" s="130" t="str">
        <f>_xlfn.IFNA(VLOOKUP(D719,ProductListTbl[],7,0),"")</f>
        <v/>
      </c>
      <c r="I719" s="130" t="str">
        <f>_xlfn.IFNA(VLOOKUP(D719,ProductListTbl[],8,0),"")</f>
        <v/>
      </c>
      <c r="J719" s="127"/>
      <c r="K719" s="129"/>
      <c r="L719" s="128"/>
      <c r="M719" s="305" t="str">
        <f>IFERROR(Table3[[#This Row],[Quantity (doses)]]/Table3[[#This Row],[Doses per vial or syringe]],"")</f>
        <v/>
      </c>
      <c r="N719" s="127"/>
      <c r="O719" s="127"/>
      <c r="P719" s="381"/>
      <c r="Q719" s="129"/>
      <c r="R719" s="127"/>
      <c r="S719" s="127"/>
      <c r="T719" s="127"/>
      <c r="U719" s="127"/>
      <c r="V719" s="305" t="str">
        <f>_xlfn.IFNA(VLOOKUP(D719,ProductListTbl[],9,0),"")</f>
        <v/>
      </c>
      <c r="W719" s="305" t="str">
        <f>IFERROR(Table3[[#This Row],[Storage space per secondary packaging (cm3)]]*Table3[[#This Row],[Quantity  (vials or syringes)]]/1000,"")</f>
        <v/>
      </c>
      <c r="X719" s="305" t="str">
        <f>IFERROR(Table3[[#This Row],[Storage space per tertiary packaging (cm3)]]*Table3[[#This Row],[Quantity (doses)]]/1000,"")</f>
        <v/>
      </c>
      <c r="Y719" s="293" t="str">
        <f>IF(Table3[[#This Row],[Status]]="Ordered",(DATE(YEAR(P719),MONTH(P719),1)),IF(Table3[[#This Row],[Status]]="Received",(DATE(YEAR(Q719),MONTH(Q719),1)),""))</f>
        <v/>
      </c>
      <c r="Z719" s="304" t="str">
        <f t="shared" si="44"/>
        <v/>
      </c>
      <c r="AA719" s="48" t="str">
        <f t="shared" si="45"/>
        <v/>
      </c>
      <c r="AB719" s="48" t="str">
        <f t="shared" si="46"/>
        <v/>
      </c>
      <c r="AC719" s="292" t="str">
        <f t="shared" si="47"/>
        <v/>
      </c>
      <c r="AD719" s="48" t="str">
        <f>IF(Table3[[#This Row],[Actual Arrival date]]&gt;0,IF(Table3[[#This Row],[Expected arrival date]]&gt;0,Table3[[#This Row],[Actual Arrival date]]-Table3[[#This Row],[Expected arrival date]],""),"")</f>
        <v/>
      </c>
    </row>
    <row r="720" spans="1:30" x14ac:dyDescent="0.25">
      <c r="A720" s="303" t="str">
        <f>Start!$D$7</f>
        <v>Anyland</v>
      </c>
      <c r="B720" s="48" t="str">
        <f>_xlfn.IFNA(VLOOKUP(A720,list!B:C,2,FALSE),"")</f>
        <v>ANY</v>
      </c>
      <c r="C720" s="48"/>
      <c r="D720" s="127"/>
      <c r="E720" s="48" t="str">
        <f>_xlfn.IFNA(VLOOKUP(Table3[[#This Row],[Product]], ProductListTbl[], 3, 0), "")</f>
        <v/>
      </c>
      <c r="F720" s="303" t="str">
        <f>_xlfn.IFNA(VLOOKUP(D720,ProductListTbl[],5,0),"")</f>
        <v/>
      </c>
      <c r="G720" s="303" t="str">
        <f>_xlfn.IFNA(VLOOKUP(D720,ProductListTbl[],6,0),"")</f>
        <v/>
      </c>
      <c r="H720" s="130" t="str">
        <f>_xlfn.IFNA(VLOOKUP(D720,ProductListTbl[],7,0),"")</f>
        <v/>
      </c>
      <c r="I720" s="130" t="str">
        <f>_xlfn.IFNA(VLOOKUP(D720,ProductListTbl[],8,0),"")</f>
        <v/>
      </c>
      <c r="J720" s="127"/>
      <c r="K720" s="129"/>
      <c r="L720" s="128"/>
      <c r="M720" s="305" t="str">
        <f>IFERROR(Table3[[#This Row],[Quantity (doses)]]/Table3[[#This Row],[Doses per vial or syringe]],"")</f>
        <v/>
      </c>
      <c r="N720" s="127"/>
      <c r="O720" s="127"/>
      <c r="P720" s="381"/>
      <c r="Q720" s="129"/>
      <c r="R720" s="127"/>
      <c r="S720" s="127"/>
      <c r="T720" s="127"/>
      <c r="U720" s="127"/>
      <c r="V720" s="305" t="str">
        <f>_xlfn.IFNA(VLOOKUP(D720,ProductListTbl[],9,0),"")</f>
        <v/>
      </c>
      <c r="W720" s="305" t="str">
        <f>IFERROR(Table3[[#This Row],[Storage space per secondary packaging (cm3)]]*Table3[[#This Row],[Quantity  (vials or syringes)]]/1000,"")</f>
        <v/>
      </c>
      <c r="X720" s="305" t="str">
        <f>IFERROR(Table3[[#This Row],[Storage space per tertiary packaging (cm3)]]*Table3[[#This Row],[Quantity (doses)]]/1000,"")</f>
        <v/>
      </c>
      <c r="Y720" s="293" t="str">
        <f>IF(Table3[[#This Row],[Status]]="Ordered",(DATE(YEAR(P720),MONTH(P720),1)),IF(Table3[[#This Row],[Status]]="Received",(DATE(YEAR(Q720),MONTH(Q720),1)),""))</f>
        <v/>
      </c>
      <c r="Z720" s="304" t="str">
        <f t="shared" si="44"/>
        <v/>
      </c>
      <c r="AA720" s="48" t="str">
        <f t="shared" si="45"/>
        <v/>
      </c>
      <c r="AB720" s="48" t="str">
        <f t="shared" si="46"/>
        <v/>
      </c>
      <c r="AC720" s="292" t="str">
        <f t="shared" si="47"/>
        <v/>
      </c>
      <c r="AD720" s="48" t="str">
        <f>IF(Table3[[#This Row],[Actual Arrival date]]&gt;0,IF(Table3[[#This Row],[Expected arrival date]]&gt;0,Table3[[#This Row],[Actual Arrival date]]-Table3[[#This Row],[Expected arrival date]],""),"")</f>
        <v/>
      </c>
    </row>
    <row r="721" spans="1:30" x14ac:dyDescent="0.25">
      <c r="A721" s="303" t="str">
        <f>Start!$D$7</f>
        <v>Anyland</v>
      </c>
      <c r="B721" s="48" t="str">
        <f>_xlfn.IFNA(VLOOKUP(A721,list!B:C,2,FALSE),"")</f>
        <v>ANY</v>
      </c>
      <c r="C721" s="48"/>
      <c r="D721" s="127"/>
      <c r="E721" s="48" t="str">
        <f>_xlfn.IFNA(VLOOKUP(Table3[[#This Row],[Product]], ProductListTbl[], 3, 0), "")</f>
        <v/>
      </c>
      <c r="F721" s="303" t="str">
        <f>_xlfn.IFNA(VLOOKUP(D721,ProductListTbl[],5,0),"")</f>
        <v/>
      </c>
      <c r="G721" s="303" t="str">
        <f>_xlfn.IFNA(VLOOKUP(D721,ProductListTbl[],6,0),"")</f>
        <v/>
      </c>
      <c r="H721" s="130" t="str">
        <f>_xlfn.IFNA(VLOOKUP(D721,ProductListTbl[],7,0),"")</f>
        <v/>
      </c>
      <c r="I721" s="130" t="str">
        <f>_xlfn.IFNA(VLOOKUP(D721,ProductListTbl[],8,0),"")</f>
        <v/>
      </c>
      <c r="J721" s="127"/>
      <c r="K721" s="129"/>
      <c r="L721" s="128"/>
      <c r="M721" s="305" t="str">
        <f>IFERROR(Table3[[#This Row],[Quantity (doses)]]/Table3[[#This Row],[Doses per vial or syringe]],"")</f>
        <v/>
      </c>
      <c r="N721" s="127"/>
      <c r="O721" s="127"/>
      <c r="P721" s="381"/>
      <c r="Q721" s="129"/>
      <c r="R721" s="127"/>
      <c r="S721" s="127"/>
      <c r="T721" s="127"/>
      <c r="U721" s="127"/>
      <c r="V721" s="305" t="str">
        <f>_xlfn.IFNA(VLOOKUP(D721,ProductListTbl[],9,0),"")</f>
        <v/>
      </c>
      <c r="W721" s="305" t="str">
        <f>IFERROR(Table3[[#This Row],[Storage space per secondary packaging (cm3)]]*Table3[[#This Row],[Quantity  (vials or syringes)]]/1000,"")</f>
        <v/>
      </c>
      <c r="X721" s="305" t="str">
        <f>IFERROR(Table3[[#This Row],[Storage space per tertiary packaging (cm3)]]*Table3[[#This Row],[Quantity (doses)]]/1000,"")</f>
        <v/>
      </c>
      <c r="Y721" s="293" t="str">
        <f>IF(Table3[[#This Row],[Status]]="Ordered",(DATE(YEAR(P721),MONTH(P721),1)),IF(Table3[[#This Row],[Status]]="Received",(DATE(YEAR(Q721),MONTH(Q721),1)),""))</f>
        <v/>
      </c>
      <c r="Z721" s="304" t="str">
        <f t="shared" si="44"/>
        <v/>
      </c>
      <c r="AA721" s="48" t="str">
        <f t="shared" si="45"/>
        <v/>
      </c>
      <c r="AB721" s="48" t="str">
        <f t="shared" si="46"/>
        <v/>
      </c>
      <c r="AC721" s="292" t="str">
        <f t="shared" si="47"/>
        <v/>
      </c>
      <c r="AD721" s="48" t="str">
        <f>IF(Table3[[#This Row],[Actual Arrival date]]&gt;0,IF(Table3[[#This Row],[Expected arrival date]]&gt;0,Table3[[#This Row],[Actual Arrival date]]-Table3[[#This Row],[Expected arrival date]],""),"")</f>
        <v/>
      </c>
    </row>
    <row r="722" spans="1:30" x14ac:dyDescent="0.25">
      <c r="A722" s="303" t="str">
        <f>Start!$D$7</f>
        <v>Anyland</v>
      </c>
      <c r="B722" s="48" t="str">
        <f>_xlfn.IFNA(VLOOKUP(A722,list!B:C,2,FALSE),"")</f>
        <v>ANY</v>
      </c>
      <c r="C722" s="48"/>
      <c r="D722" s="127"/>
      <c r="E722" s="48" t="str">
        <f>_xlfn.IFNA(VLOOKUP(Table3[[#This Row],[Product]], ProductListTbl[], 3, 0), "")</f>
        <v/>
      </c>
      <c r="F722" s="303" t="str">
        <f>_xlfn.IFNA(VLOOKUP(D722,ProductListTbl[],5,0),"")</f>
        <v/>
      </c>
      <c r="G722" s="303" t="str">
        <f>_xlfn.IFNA(VLOOKUP(D722,ProductListTbl[],6,0),"")</f>
        <v/>
      </c>
      <c r="H722" s="130" t="str">
        <f>_xlfn.IFNA(VLOOKUP(D722,ProductListTbl[],7,0),"")</f>
        <v/>
      </c>
      <c r="I722" s="130" t="str">
        <f>_xlfn.IFNA(VLOOKUP(D722,ProductListTbl[],8,0),"")</f>
        <v/>
      </c>
      <c r="J722" s="127"/>
      <c r="K722" s="129"/>
      <c r="L722" s="128"/>
      <c r="M722" s="305" t="str">
        <f>IFERROR(Table3[[#This Row],[Quantity (doses)]]/Table3[[#This Row],[Doses per vial or syringe]],"")</f>
        <v/>
      </c>
      <c r="N722" s="127"/>
      <c r="O722" s="127"/>
      <c r="P722" s="381"/>
      <c r="Q722" s="129"/>
      <c r="R722" s="127"/>
      <c r="S722" s="127"/>
      <c r="T722" s="127"/>
      <c r="U722" s="127"/>
      <c r="V722" s="305" t="str">
        <f>_xlfn.IFNA(VLOOKUP(D722,ProductListTbl[],9,0),"")</f>
        <v/>
      </c>
      <c r="W722" s="305" t="str">
        <f>IFERROR(Table3[[#This Row],[Storage space per secondary packaging (cm3)]]*Table3[[#This Row],[Quantity  (vials or syringes)]]/1000,"")</f>
        <v/>
      </c>
      <c r="X722" s="305" t="str">
        <f>IFERROR(Table3[[#This Row],[Storage space per tertiary packaging (cm3)]]*Table3[[#This Row],[Quantity (doses)]]/1000,"")</f>
        <v/>
      </c>
      <c r="Y722" s="293" t="str">
        <f>IF(Table3[[#This Row],[Status]]="Ordered",(DATE(YEAR(P722),MONTH(P722),1)),IF(Table3[[#This Row],[Status]]="Received",(DATE(YEAR(Q722),MONTH(Q722),1)),""))</f>
        <v/>
      </c>
      <c r="Z722" s="304" t="str">
        <f t="shared" si="44"/>
        <v/>
      </c>
      <c r="AA722" s="48" t="str">
        <f t="shared" si="45"/>
        <v/>
      </c>
      <c r="AB722" s="48" t="str">
        <f t="shared" si="46"/>
        <v/>
      </c>
      <c r="AC722" s="292" t="str">
        <f t="shared" si="47"/>
        <v/>
      </c>
      <c r="AD722" s="48" t="str">
        <f>IF(Table3[[#This Row],[Actual Arrival date]]&gt;0,IF(Table3[[#This Row],[Expected arrival date]]&gt;0,Table3[[#This Row],[Actual Arrival date]]-Table3[[#This Row],[Expected arrival date]],""),"")</f>
        <v/>
      </c>
    </row>
    <row r="723" spans="1:30" x14ac:dyDescent="0.25">
      <c r="A723" s="303" t="str">
        <f>Start!$D$7</f>
        <v>Anyland</v>
      </c>
      <c r="B723" s="48" t="str">
        <f>_xlfn.IFNA(VLOOKUP(A723,list!B:C,2,FALSE),"")</f>
        <v>ANY</v>
      </c>
      <c r="C723" s="48"/>
      <c r="D723" s="127"/>
      <c r="E723" s="48" t="str">
        <f>_xlfn.IFNA(VLOOKUP(Table3[[#This Row],[Product]], ProductListTbl[], 3, 0), "")</f>
        <v/>
      </c>
      <c r="F723" s="303" t="str">
        <f>_xlfn.IFNA(VLOOKUP(D723,ProductListTbl[],5,0),"")</f>
        <v/>
      </c>
      <c r="G723" s="303" t="str">
        <f>_xlfn.IFNA(VLOOKUP(D723,ProductListTbl[],6,0),"")</f>
        <v/>
      </c>
      <c r="H723" s="130" t="str">
        <f>_xlfn.IFNA(VLOOKUP(D723,ProductListTbl[],7,0),"")</f>
        <v/>
      </c>
      <c r="I723" s="130" t="str">
        <f>_xlfn.IFNA(VLOOKUP(D723,ProductListTbl[],8,0),"")</f>
        <v/>
      </c>
      <c r="J723" s="127"/>
      <c r="K723" s="129"/>
      <c r="L723" s="128"/>
      <c r="M723" s="305" t="str">
        <f>IFERROR(Table3[[#This Row],[Quantity (doses)]]/Table3[[#This Row],[Doses per vial or syringe]],"")</f>
        <v/>
      </c>
      <c r="N723" s="127"/>
      <c r="O723" s="127"/>
      <c r="P723" s="381"/>
      <c r="Q723" s="129"/>
      <c r="R723" s="127"/>
      <c r="S723" s="127"/>
      <c r="T723" s="127"/>
      <c r="U723" s="127"/>
      <c r="V723" s="305" t="str">
        <f>_xlfn.IFNA(VLOOKUP(D723,ProductListTbl[],9,0),"")</f>
        <v/>
      </c>
      <c r="W723" s="305" t="str">
        <f>IFERROR(Table3[[#This Row],[Storage space per secondary packaging (cm3)]]*Table3[[#This Row],[Quantity  (vials or syringes)]]/1000,"")</f>
        <v/>
      </c>
      <c r="X723" s="305" t="str">
        <f>IFERROR(Table3[[#This Row],[Storage space per tertiary packaging (cm3)]]*Table3[[#This Row],[Quantity (doses)]]/1000,"")</f>
        <v/>
      </c>
      <c r="Y723" s="293" t="str">
        <f>IF(Table3[[#This Row],[Status]]="Ordered",(DATE(YEAR(P723),MONTH(P723),1)),IF(Table3[[#This Row],[Status]]="Received",(DATE(YEAR(Q723),MONTH(Q723),1)),""))</f>
        <v/>
      </c>
      <c r="Z723" s="304" t="str">
        <f t="shared" si="44"/>
        <v/>
      </c>
      <c r="AA723" s="48" t="str">
        <f t="shared" si="45"/>
        <v/>
      </c>
      <c r="AB723" s="48" t="str">
        <f t="shared" si="46"/>
        <v/>
      </c>
      <c r="AC723" s="292" t="str">
        <f t="shared" si="47"/>
        <v/>
      </c>
      <c r="AD723" s="48" t="str">
        <f>IF(Table3[[#This Row],[Actual Arrival date]]&gt;0,IF(Table3[[#This Row],[Expected arrival date]]&gt;0,Table3[[#This Row],[Actual Arrival date]]-Table3[[#This Row],[Expected arrival date]],""),"")</f>
        <v/>
      </c>
    </row>
    <row r="724" spans="1:30" x14ac:dyDescent="0.25">
      <c r="A724" s="303" t="str">
        <f>Start!$D$7</f>
        <v>Anyland</v>
      </c>
      <c r="B724" s="48" t="str">
        <f>_xlfn.IFNA(VLOOKUP(A724,list!B:C,2,FALSE),"")</f>
        <v>ANY</v>
      </c>
      <c r="C724" s="48"/>
      <c r="D724" s="127"/>
      <c r="E724" s="48" t="str">
        <f>_xlfn.IFNA(VLOOKUP(Table3[[#This Row],[Product]], ProductListTbl[], 3, 0), "")</f>
        <v/>
      </c>
      <c r="F724" s="303" t="str">
        <f>_xlfn.IFNA(VLOOKUP(D724,ProductListTbl[],5,0),"")</f>
        <v/>
      </c>
      <c r="G724" s="303" t="str">
        <f>_xlfn.IFNA(VLOOKUP(D724,ProductListTbl[],6,0),"")</f>
        <v/>
      </c>
      <c r="H724" s="130" t="str">
        <f>_xlfn.IFNA(VLOOKUP(D724,ProductListTbl[],7,0),"")</f>
        <v/>
      </c>
      <c r="I724" s="130" t="str">
        <f>_xlfn.IFNA(VLOOKUP(D724,ProductListTbl[],8,0),"")</f>
        <v/>
      </c>
      <c r="J724" s="127"/>
      <c r="K724" s="129"/>
      <c r="L724" s="128"/>
      <c r="M724" s="305" t="str">
        <f>IFERROR(Table3[[#This Row],[Quantity (doses)]]/Table3[[#This Row],[Doses per vial or syringe]],"")</f>
        <v/>
      </c>
      <c r="N724" s="127"/>
      <c r="O724" s="127"/>
      <c r="P724" s="381"/>
      <c r="Q724" s="129"/>
      <c r="R724" s="127"/>
      <c r="S724" s="127"/>
      <c r="T724" s="127"/>
      <c r="U724" s="127"/>
      <c r="V724" s="305" t="str">
        <f>_xlfn.IFNA(VLOOKUP(D724,ProductListTbl[],9,0),"")</f>
        <v/>
      </c>
      <c r="W724" s="305" t="str">
        <f>IFERROR(Table3[[#This Row],[Storage space per secondary packaging (cm3)]]*Table3[[#This Row],[Quantity  (vials or syringes)]]/1000,"")</f>
        <v/>
      </c>
      <c r="X724" s="305" t="str">
        <f>IFERROR(Table3[[#This Row],[Storage space per tertiary packaging (cm3)]]*Table3[[#This Row],[Quantity (doses)]]/1000,"")</f>
        <v/>
      </c>
      <c r="Y724" s="293" t="str">
        <f>IF(Table3[[#This Row],[Status]]="Ordered",(DATE(YEAR(P724),MONTH(P724),1)),IF(Table3[[#This Row],[Status]]="Received",(DATE(YEAR(Q724),MONTH(Q724),1)),""))</f>
        <v/>
      </c>
      <c r="Z724" s="304" t="str">
        <f t="shared" si="44"/>
        <v/>
      </c>
      <c r="AA724" s="48" t="str">
        <f t="shared" si="45"/>
        <v/>
      </c>
      <c r="AB724" s="48" t="str">
        <f t="shared" si="46"/>
        <v/>
      </c>
      <c r="AC724" s="292" t="str">
        <f t="shared" si="47"/>
        <v/>
      </c>
      <c r="AD724" s="48" t="str">
        <f>IF(Table3[[#This Row],[Actual Arrival date]]&gt;0,IF(Table3[[#This Row],[Expected arrival date]]&gt;0,Table3[[#This Row],[Actual Arrival date]]-Table3[[#This Row],[Expected arrival date]],""),"")</f>
        <v/>
      </c>
    </row>
    <row r="725" spans="1:30" x14ac:dyDescent="0.25">
      <c r="A725" s="303" t="str">
        <f>Start!$D$7</f>
        <v>Anyland</v>
      </c>
      <c r="B725" s="48" t="str">
        <f>_xlfn.IFNA(VLOOKUP(A725,list!B:C,2,FALSE),"")</f>
        <v>ANY</v>
      </c>
      <c r="C725" s="48"/>
      <c r="D725" s="127"/>
      <c r="E725" s="48" t="str">
        <f>_xlfn.IFNA(VLOOKUP(Table3[[#This Row],[Product]], ProductListTbl[], 3, 0), "")</f>
        <v/>
      </c>
      <c r="F725" s="303" t="str">
        <f>_xlfn.IFNA(VLOOKUP(D725,ProductListTbl[],5,0),"")</f>
        <v/>
      </c>
      <c r="G725" s="303" t="str">
        <f>_xlfn.IFNA(VLOOKUP(D725,ProductListTbl[],6,0),"")</f>
        <v/>
      </c>
      <c r="H725" s="130" t="str">
        <f>_xlfn.IFNA(VLOOKUP(D725,ProductListTbl[],7,0),"")</f>
        <v/>
      </c>
      <c r="I725" s="130" t="str">
        <f>_xlfn.IFNA(VLOOKUP(D725,ProductListTbl[],8,0),"")</f>
        <v/>
      </c>
      <c r="J725" s="127"/>
      <c r="K725" s="129"/>
      <c r="L725" s="128"/>
      <c r="M725" s="305" t="str">
        <f>IFERROR(Table3[[#This Row],[Quantity (doses)]]/Table3[[#This Row],[Doses per vial or syringe]],"")</f>
        <v/>
      </c>
      <c r="N725" s="127"/>
      <c r="O725" s="127"/>
      <c r="P725" s="381"/>
      <c r="Q725" s="129"/>
      <c r="R725" s="127"/>
      <c r="S725" s="127"/>
      <c r="T725" s="127"/>
      <c r="U725" s="127"/>
      <c r="V725" s="305" t="str">
        <f>_xlfn.IFNA(VLOOKUP(D725,ProductListTbl[],9,0),"")</f>
        <v/>
      </c>
      <c r="W725" s="305" t="str">
        <f>IFERROR(Table3[[#This Row],[Storage space per secondary packaging (cm3)]]*Table3[[#This Row],[Quantity  (vials or syringes)]]/1000,"")</f>
        <v/>
      </c>
      <c r="X725" s="305" t="str">
        <f>IFERROR(Table3[[#This Row],[Storage space per tertiary packaging (cm3)]]*Table3[[#This Row],[Quantity (doses)]]/1000,"")</f>
        <v/>
      </c>
      <c r="Y725" s="293" t="str">
        <f>IF(Table3[[#This Row],[Status]]="Ordered",(DATE(YEAR(P725),MONTH(P725),1)),IF(Table3[[#This Row],[Status]]="Received",(DATE(YEAR(Q725),MONTH(Q725),1)),""))</f>
        <v/>
      </c>
      <c r="Z725" s="304" t="str">
        <f t="shared" si="44"/>
        <v/>
      </c>
      <c r="AA725" s="48" t="str">
        <f t="shared" si="45"/>
        <v/>
      </c>
      <c r="AB725" s="48" t="str">
        <f t="shared" si="46"/>
        <v/>
      </c>
      <c r="AC725" s="292" t="str">
        <f t="shared" si="47"/>
        <v/>
      </c>
      <c r="AD725" s="48" t="str">
        <f>IF(Table3[[#This Row],[Actual Arrival date]]&gt;0,IF(Table3[[#This Row],[Expected arrival date]]&gt;0,Table3[[#This Row],[Actual Arrival date]]-Table3[[#This Row],[Expected arrival date]],""),"")</f>
        <v/>
      </c>
    </row>
    <row r="726" spans="1:30" x14ac:dyDescent="0.25">
      <c r="A726" s="303" t="str">
        <f>Start!$D$7</f>
        <v>Anyland</v>
      </c>
      <c r="B726" s="48" t="str">
        <f>_xlfn.IFNA(VLOOKUP(A726,list!B:C,2,FALSE),"")</f>
        <v>ANY</v>
      </c>
      <c r="C726" s="48"/>
      <c r="D726" s="127"/>
      <c r="E726" s="48" t="str">
        <f>_xlfn.IFNA(VLOOKUP(Table3[[#This Row],[Product]], ProductListTbl[], 3, 0), "")</f>
        <v/>
      </c>
      <c r="F726" s="303" t="str">
        <f>_xlfn.IFNA(VLOOKUP(D726,ProductListTbl[],5,0),"")</f>
        <v/>
      </c>
      <c r="G726" s="303" t="str">
        <f>_xlfn.IFNA(VLOOKUP(D726,ProductListTbl[],6,0),"")</f>
        <v/>
      </c>
      <c r="H726" s="130" t="str">
        <f>_xlfn.IFNA(VLOOKUP(D726,ProductListTbl[],7,0),"")</f>
        <v/>
      </c>
      <c r="I726" s="130" t="str">
        <f>_xlfn.IFNA(VLOOKUP(D726,ProductListTbl[],8,0),"")</f>
        <v/>
      </c>
      <c r="J726" s="127"/>
      <c r="K726" s="129"/>
      <c r="L726" s="128"/>
      <c r="M726" s="305" t="str">
        <f>IFERROR(Table3[[#This Row],[Quantity (doses)]]/Table3[[#This Row],[Doses per vial or syringe]],"")</f>
        <v/>
      </c>
      <c r="N726" s="127"/>
      <c r="O726" s="127"/>
      <c r="P726" s="381"/>
      <c r="Q726" s="129"/>
      <c r="R726" s="127"/>
      <c r="S726" s="127"/>
      <c r="T726" s="127"/>
      <c r="U726" s="127"/>
      <c r="V726" s="305" t="str">
        <f>_xlfn.IFNA(VLOOKUP(D726,ProductListTbl[],9,0),"")</f>
        <v/>
      </c>
      <c r="W726" s="305" t="str">
        <f>IFERROR(Table3[[#This Row],[Storage space per secondary packaging (cm3)]]*Table3[[#This Row],[Quantity  (vials or syringes)]]/1000,"")</f>
        <v/>
      </c>
      <c r="X726" s="305" t="str">
        <f>IFERROR(Table3[[#This Row],[Storage space per tertiary packaging (cm3)]]*Table3[[#This Row],[Quantity (doses)]]/1000,"")</f>
        <v/>
      </c>
      <c r="Y726" s="293" t="str">
        <f>IF(Table3[[#This Row],[Status]]="Ordered",(DATE(YEAR(P726),MONTH(P726),1)),IF(Table3[[#This Row],[Status]]="Received",(DATE(YEAR(Q726),MONTH(Q726),1)),""))</f>
        <v/>
      </c>
      <c r="Z726" s="304" t="str">
        <f t="shared" si="44"/>
        <v/>
      </c>
      <c r="AA726" s="48" t="str">
        <f t="shared" si="45"/>
        <v/>
      </c>
      <c r="AB726" s="48" t="str">
        <f t="shared" si="46"/>
        <v/>
      </c>
      <c r="AC726" s="292" t="str">
        <f t="shared" si="47"/>
        <v/>
      </c>
      <c r="AD726" s="48" t="str">
        <f>IF(Table3[[#This Row],[Actual Arrival date]]&gt;0,IF(Table3[[#This Row],[Expected arrival date]]&gt;0,Table3[[#This Row],[Actual Arrival date]]-Table3[[#This Row],[Expected arrival date]],""),"")</f>
        <v/>
      </c>
    </row>
    <row r="727" spans="1:30" x14ac:dyDescent="0.25">
      <c r="A727" s="303" t="str">
        <f>Start!$D$7</f>
        <v>Anyland</v>
      </c>
      <c r="B727" s="48" t="str">
        <f>_xlfn.IFNA(VLOOKUP(A727,list!B:C,2,FALSE),"")</f>
        <v>ANY</v>
      </c>
      <c r="C727" s="48"/>
      <c r="D727" s="127"/>
      <c r="E727" s="48" t="str">
        <f>_xlfn.IFNA(VLOOKUP(Table3[[#This Row],[Product]], ProductListTbl[], 3, 0), "")</f>
        <v/>
      </c>
      <c r="F727" s="303" t="str">
        <f>_xlfn.IFNA(VLOOKUP(D727,ProductListTbl[],5,0),"")</f>
        <v/>
      </c>
      <c r="G727" s="303" t="str">
        <f>_xlfn.IFNA(VLOOKUP(D727,ProductListTbl[],6,0),"")</f>
        <v/>
      </c>
      <c r="H727" s="130" t="str">
        <f>_xlfn.IFNA(VLOOKUP(D727,ProductListTbl[],7,0),"")</f>
        <v/>
      </c>
      <c r="I727" s="130" t="str">
        <f>_xlfn.IFNA(VLOOKUP(D727,ProductListTbl[],8,0),"")</f>
        <v/>
      </c>
      <c r="J727" s="127"/>
      <c r="K727" s="129"/>
      <c r="L727" s="128"/>
      <c r="M727" s="305" t="str">
        <f>IFERROR(Table3[[#This Row],[Quantity (doses)]]/Table3[[#This Row],[Doses per vial or syringe]],"")</f>
        <v/>
      </c>
      <c r="N727" s="127"/>
      <c r="O727" s="127"/>
      <c r="P727" s="381"/>
      <c r="Q727" s="129"/>
      <c r="R727" s="127"/>
      <c r="S727" s="127"/>
      <c r="T727" s="127"/>
      <c r="U727" s="127"/>
      <c r="V727" s="305" t="str">
        <f>_xlfn.IFNA(VLOOKUP(D727,ProductListTbl[],9,0),"")</f>
        <v/>
      </c>
      <c r="W727" s="305" t="str">
        <f>IFERROR(Table3[[#This Row],[Storage space per secondary packaging (cm3)]]*Table3[[#This Row],[Quantity  (vials or syringes)]]/1000,"")</f>
        <v/>
      </c>
      <c r="X727" s="305" t="str">
        <f>IFERROR(Table3[[#This Row],[Storage space per tertiary packaging (cm3)]]*Table3[[#This Row],[Quantity (doses)]]/1000,"")</f>
        <v/>
      </c>
      <c r="Y727" s="293" t="str">
        <f>IF(Table3[[#This Row],[Status]]="Ordered",(DATE(YEAR(P727),MONTH(P727),1)),IF(Table3[[#This Row],[Status]]="Received",(DATE(YEAR(Q727),MONTH(Q727),1)),""))</f>
        <v/>
      </c>
      <c r="Z727" s="304" t="str">
        <f t="shared" si="44"/>
        <v/>
      </c>
      <c r="AA727" s="48" t="str">
        <f t="shared" si="45"/>
        <v/>
      </c>
      <c r="AB727" s="48" t="str">
        <f t="shared" si="46"/>
        <v/>
      </c>
      <c r="AC727" s="292" t="str">
        <f t="shared" si="47"/>
        <v/>
      </c>
      <c r="AD727" s="48" t="str">
        <f>IF(Table3[[#This Row],[Actual Arrival date]]&gt;0,IF(Table3[[#This Row],[Expected arrival date]]&gt;0,Table3[[#This Row],[Actual Arrival date]]-Table3[[#This Row],[Expected arrival date]],""),"")</f>
        <v/>
      </c>
    </row>
    <row r="728" spans="1:30" x14ac:dyDescent="0.25">
      <c r="A728" s="303" t="str">
        <f>Start!$D$7</f>
        <v>Anyland</v>
      </c>
      <c r="B728" s="48" t="str">
        <f>_xlfn.IFNA(VLOOKUP(A728,list!B:C,2,FALSE),"")</f>
        <v>ANY</v>
      </c>
      <c r="C728" s="48"/>
      <c r="D728" s="127"/>
      <c r="E728" s="48" t="str">
        <f>_xlfn.IFNA(VLOOKUP(Table3[[#This Row],[Product]], ProductListTbl[], 3, 0), "")</f>
        <v/>
      </c>
      <c r="F728" s="303" t="str">
        <f>_xlfn.IFNA(VLOOKUP(D728,ProductListTbl[],5,0),"")</f>
        <v/>
      </c>
      <c r="G728" s="303" t="str">
        <f>_xlfn.IFNA(VLOOKUP(D728,ProductListTbl[],6,0),"")</f>
        <v/>
      </c>
      <c r="H728" s="130" t="str">
        <f>_xlfn.IFNA(VLOOKUP(D728,ProductListTbl[],7,0),"")</f>
        <v/>
      </c>
      <c r="I728" s="130" t="str">
        <f>_xlfn.IFNA(VLOOKUP(D728,ProductListTbl[],8,0),"")</f>
        <v/>
      </c>
      <c r="J728" s="127"/>
      <c r="K728" s="129"/>
      <c r="L728" s="128"/>
      <c r="M728" s="305" t="str">
        <f>IFERROR(Table3[[#This Row],[Quantity (doses)]]/Table3[[#This Row],[Doses per vial or syringe]],"")</f>
        <v/>
      </c>
      <c r="N728" s="127"/>
      <c r="O728" s="127"/>
      <c r="P728" s="381"/>
      <c r="Q728" s="129"/>
      <c r="R728" s="127"/>
      <c r="S728" s="127"/>
      <c r="T728" s="127"/>
      <c r="U728" s="127"/>
      <c r="V728" s="305" t="str">
        <f>_xlfn.IFNA(VLOOKUP(D728,ProductListTbl[],9,0),"")</f>
        <v/>
      </c>
      <c r="W728" s="305" t="str">
        <f>IFERROR(Table3[[#This Row],[Storage space per secondary packaging (cm3)]]*Table3[[#This Row],[Quantity  (vials or syringes)]]/1000,"")</f>
        <v/>
      </c>
      <c r="X728" s="305" t="str">
        <f>IFERROR(Table3[[#This Row],[Storage space per tertiary packaging (cm3)]]*Table3[[#This Row],[Quantity (doses)]]/1000,"")</f>
        <v/>
      </c>
      <c r="Y728" s="293" t="str">
        <f>IF(Table3[[#This Row],[Status]]="Ordered",(DATE(YEAR(P728),MONTH(P728),1)),IF(Table3[[#This Row],[Status]]="Received",(DATE(YEAR(Q728),MONTH(Q728),1)),""))</f>
        <v/>
      </c>
      <c r="Z728" s="304" t="str">
        <f t="shared" si="44"/>
        <v/>
      </c>
      <c r="AA728" s="48" t="str">
        <f t="shared" si="45"/>
        <v/>
      </c>
      <c r="AB728" s="48" t="str">
        <f t="shared" si="46"/>
        <v/>
      </c>
      <c r="AC728" s="292" t="str">
        <f t="shared" si="47"/>
        <v/>
      </c>
      <c r="AD728" s="48" t="str">
        <f>IF(Table3[[#This Row],[Actual Arrival date]]&gt;0,IF(Table3[[#This Row],[Expected arrival date]]&gt;0,Table3[[#This Row],[Actual Arrival date]]-Table3[[#This Row],[Expected arrival date]],""),"")</f>
        <v/>
      </c>
    </row>
    <row r="729" spans="1:30" x14ac:dyDescent="0.25">
      <c r="A729" s="303" t="str">
        <f>Start!$D$7</f>
        <v>Anyland</v>
      </c>
      <c r="B729" s="48" t="str">
        <f>_xlfn.IFNA(VLOOKUP(A729,list!B:C,2,FALSE),"")</f>
        <v>ANY</v>
      </c>
      <c r="C729" s="48"/>
      <c r="D729" s="127"/>
      <c r="E729" s="48" t="str">
        <f>_xlfn.IFNA(VLOOKUP(Table3[[#This Row],[Product]], ProductListTbl[], 3, 0), "")</f>
        <v/>
      </c>
      <c r="F729" s="303" t="str">
        <f>_xlfn.IFNA(VLOOKUP(D729,ProductListTbl[],5,0),"")</f>
        <v/>
      </c>
      <c r="G729" s="303" t="str">
        <f>_xlfn.IFNA(VLOOKUP(D729,ProductListTbl[],6,0),"")</f>
        <v/>
      </c>
      <c r="H729" s="130" t="str">
        <f>_xlfn.IFNA(VLOOKUP(D729,ProductListTbl[],7,0),"")</f>
        <v/>
      </c>
      <c r="I729" s="130" t="str">
        <f>_xlfn.IFNA(VLOOKUP(D729,ProductListTbl[],8,0),"")</f>
        <v/>
      </c>
      <c r="J729" s="127"/>
      <c r="K729" s="129"/>
      <c r="L729" s="128"/>
      <c r="M729" s="305" t="str">
        <f>IFERROR(Table3[[#This Row],[Quantity (doses)]]/Table3[[#This Row],[Doses per vial or syringe]],"")</f>
        <v/>
      </c>
      <c r="N729" s="127"/>
      <c r="O729" s="127"/>
      <c r="P729" s="381"/>
      <c r="Q729" s="129"/>
      <c r="R729" s="127"/>
      <c r="S729" s="127"/>
      <c r="T729" s="127"/>
      <c r="U729" s="127"/>
      <c r="V729" s="305" t="str">
        <f>_xlfn.IFNA(VLOOKUP(D729,ProductListTbl[],9,0),"")</f>
        <v/>
      </c>
      <c r="W729" s="305" t="str">
        <f>IFERROR(Table3[[#This Row],[Storage space per secondary packaging (cm3)]]*Table3[[#This Row],[Quantity  (vials or syringes)]]/1000,"")</f>
        <v/>
      </c>
      <c r="X729" s="305" t="str">
        <f>IFERROR(Table3[[#This Row],[Storage space per tertiary packaging (cm3)]]*Table3[[#This Row],[Quantity (doses)]]/1000,"")</f>
        <v/>
      </c>
      <c r="Y729" s="293" t="str">
        <f>IF(Table3[[#This Row],[Status]]="Ordered",(DATE(YEAR(P729),MONTH(P729),1)),IF(Table3[[#This Row],[Status]]="Received",(DATE(YEAR(Q729),MONTH(Q729),1)),""))</f>
        <v/>
      </c>
      <c r="Z729" s="304" t="str">
        <f t="shared" si="44"/>
        <v/>
      </c>
      <c r="AA729" s="48" t="str">
        <f t="shared" si="45"/>
        <v/>
      </c>
      <c r="AB729" s="48" t="str">
        <f t="shared" si="46"/>
        <v/>
      </c>
      <c r="AC729" s="292" t="str">
        <f t="shared" si="47"/>
        <v/>
      </c>
      <c r="AD729" s="48" t="str">
        <f>IF(Table3[[#This Row],[Actual Arrival date]]&gt;0,IF(Table3[[#This Row],[Expected arrival date]]&gt;0,Table3[[#This Row],[Actual Arrival date]]-Table3[[#This Row],[Expected arrival date]],""),"")</f>
        <v/>
      </c>
    </row>
    <row r="730" spans="1:30" x14ac:dyDescent="0.25">
      <c r="A730" s="303" t="str">
        <f>Start!$D$7</f>
        <v>Anyland</v>
      </c>
      <c r="B730" s="48" t="str">
        <f>_xlfn.IFNA(VLOOKUP(A730,list!B:C,2,FALSE),"")</f>
        <v>ANY</v>
      </c>
      <c r="C730" s="48"/>
      <c r="D730" s="127"/>
      <c r="E730" s="48" t="str">
        <f>_xlfn.IFNA(VLOOKUP(Table3[[#This Row],[Product]], ProductListTbl[], 3, 0), "")</f>
        <v/>
      </c>
      <c r="F730" s="303" t="str">
        <f>_xlfn.IFNA(VLOOKUP(D730,ProductListTbl[],5,0),"")</f>
        <v/>
      </c>
      <c r="G730" s="303" t="str">
        <f>_xlfn.IFNA(VLOOKUP(D730,ProductListTbl[],6,0),"")</f>
        <v/>
      </c>
      <c r="H730" s="130" t="str">
        <f>_xlfn.IFNA(VLOOKUP(D730,ProductListTbl[],7,0),"")</f>
        <v/>
      </c>
      <c r="I730" s="130" t="str">
        <f>_xlfn.IFNA(VLOOKUP(D730,ProductListTbl[],8,0),"")</f>
        <v/>
      </c>
      <c r="J730" s="127"/>
      <c r="K730" s="129"/>
      <c r="L730" s="128"/>
      <c r="M730" s="305" t="str">
        <f>IFERROR(Table3[[#This Row],[Quantity (doses)]]/Table3[[#This Row],[Doses per vial or syringe]],"")</f>
        <v/>
      </c>
      <c r="N730" s="127"/>
      <c r="O730" s="127"/>
      <c r="P730" s="381"/>
      <c r="Q730" s="129"/>
      <c r="R730" s="127"/>
      <c r="S730" s="127"/>
      <c r="T730" s="127"/>
      <c r="U730" s="127"/>
      <c r="V730" s="305" t="str">
        <f>_xlfn.IFNA(VLOOKUP(D730,ProductListTbl[],9,0),"")</f>
        <v/>
      </c>
      <c r="W730" s="305" t="str">
        <f>IFERROR(Table3[[#This Row],[Storage space per secondary packaging (cm3)]]*Table3[[#This Row],[Quantity  (vials or syringes)]]/1000,"")</f>
        <v/>
      </c>
      <c r="X730" s="305" t="str">
        <f>IFERROR(Table3[[#This Row],[Storage space per tertiary packaging (cm3)]]*Table3[[#This Row],[Quantity (doses)]]/1000,"")</f>
        <v/>
      </c>
      <c r="Y730" s="293" t="str">
        <f>IF(Table3[[#This Row],[Status]]="Ordered",(DATE(YEAR(P730),MONTH(P730),1)),IF(Table3[[#This Row],[Status]]="Received",(DATE(YEAR(Q730),MONTH(Q730),1)),""))</f>
        <v/>
      </c>
      <c r="Z730" s="304" t="str">
        <f t="shared" si="44"/>
        <v/>
      </c>
      <c r="AA730" s="48" t="str">
        <f t="shared" si="45"/>
        <v/>
      </c>
      <c r="AB730" s="48" t="str">
        <f t="shared" si="46"/>
        <v/>
      </c>
      <c r="AC730" s="292" t="str">
        <f t="shared" si="47"/>
        <v/>
      </c>
      <c r="AD730" s="48" t="str">
        <f>IF(Table3[[#This Row],[Actual Arrival date]]&gt;0,IF(Table3[[#This Row],[Expected arrival date]]&gt;0,Table3[[#This Row],[Actual Arrival date]]-Table3[[#This Row],[Expected arrival date]],""),"")</f>
        <v/>
      </c>
    </row>
    <row r="731" spans="1:30" x14ac:dyDescent="0.25">
      <c r="A731" s="303" t="str">
        <f>Start!$D$7</f>
        <v>Anyland</v>
      </c>
      <c r="B731" s="48" t="str">
        <f>_xlfn.IFNA(VLOOKUP(A731,list!B:C,2,FALSE),"")</f>
        <v>ANY</v>
      </c>
      <c r="C731" s="48"/>
      <c r="D731" s="127"/>
      <c r="E731" s="48" t="str">
        <f>_xlfn.IFNA(VLOOKUP(Table3[[#This Row],[Product]], ProductListTbl[], 3, 0), "")</f>
        <v/>
      </c>
      <c r="F731" s="303" t="str">
        <f>_xlfn.IFNA(VLOOKUP(D731,ProductListTbl[],5,0),"")</f>
        <v/>
      </c>
      <c r="G731" s="303" t="str">
        <f>_xlfn.IFNA(VLOOKUP(D731,ProductListTbl[],6,0),"")</f>
        <v/>
      </c>
      <c r="H731" s="130" t="str">
        <f>_xlfn.IFNA(VLOOKUP(D731,ProductListTbl[],7,0),"")</f>
        <v/>
      </c>
      <c r="I731" s="130" t="str">
        <f>_xlfn.IFNA(VLOOKUP(D731,ProductListTbl[],8,0),"")</f>
        <v/>
      </c>
      <c r="J731" s="127"/>
      <c r="K731" s="129"/>
      <c r="L731" s="128"/>
      <c r="M731" s="305" t="str">
        <f>IFERROR(Table3[[#This Row],[Quantity (doses)]]/Table3[[#This Row],[Doses per vial or syringe]],"")</f>
        <v/>
      </c>
      <c r="N731" s="127"/>
      <c r="O731" s="127"/>
      <c r="P731" s="381"/>
      <c r="Q731" s="129"/>
      <c r="R731" s="127"/>
      <c r="S731" s="127"/>
      <c r="T731" s="127"/>
      <c r="U731" s="127"/>
      <c r="V731" s="305" t="str">
        <f>_xlfn.IFNA(VLOOKUP(D731,ProductListTbl[],9,0),"")</f>
        <v/>
      </c>
      <c r="W731" s="305" t="str">
        <f>IFERROR(Table3[[#This Row],[Storage space per secondary packaging (cm3)]]*Table3[[#This Row],[Quantity  (vials or syringes)]]/1000,"")</f>
        <v/>
      </c>
      <c r="X731" s="305" t="str">
        <f>IFERROR(Table3[[#This Row],[Storage space per tertiary packaging (cm3)]]*Table3[[#This Row],[Quantity (doses)]]/1000,"")</f>
        <v/>
      </c>
      <c r="Y731" s="293" t="str">
        <f>IF(Table3[[#This Row],[Status]]="Ordered",(DATE(YEAR(P731),MONTH(P731),1)),IF(Table3[[#This Row],[Status]]="Received",(DATE(YEAR(Q731),MONTH(Q731),1)),""))</f>
        <v/>
      </c>
      <c r="Z731" s="304" t="str">
        <f t="shared" si="44"/>
        <v/>
      </c>
      <c r="AA731" s="48" t="str">
        <f t="shared" si="45"/>
        <v/>
      </c>
      <c r="AB731" s="48" t="str">
        <f t="shared" si="46"/>
        <v/>
      </c>
      <c r="AC731" s="292" t="str">
        <f t="shared" si="47"/>
        <v/>
      </c>
      <c r="AD731" s="48" t="str">
        <f>IF(Table3[[#This Row],[Actual Arrival date]]&gt;0,IF(Table3[[#This Row],[Expected arrival date]]&gt;0,Table3[[#This Row],[Actual Arrival date]]-Table3[[#This Row],[Expected arrival date]],""),"")</f>
        <v/>
      </c>
    </row>
    <row r="732" spans="1:30" x14ac:dyDescent="0.25">
      <c r="A732" s="303" t="str">
        <f>Start!$D$7</f>
        <v>Anyland</v>
      </c>
      <c r="B732" s="48" t="str">
        <f>_xlfn.IFNA(VLOOKUP(A732,list!B:C,2,FALSE),"")</f>
        <v>ANY</v>
      </c>
      <c r="C732" s="48"/>
      <c r="D732" s="127"/>
      <c r="E732" s="48" t="str">
        <f>_xlfn.IFNA(VLOOKUP(Table3[[#This Row],[Product]], ProductListTbl[], 3, 0), "")</f>
        <v/>
      </c>
      <c r="F732" s="303" t="str">
        <f>_xlfn.IFNA(VLOOKUP(D732,ProductListTbl[],5,0),"")</f>
        <v/>
      </c>
      <c r="G732" s="303" t="str">
        <f>_xlfn.IFNA(VLOOKUP(D732,ProductListTbl[],6,0),"")</f>
        <v/>
      </c>
      <c r="H732" s="130" t="str">
        <f>_xlfn.IFNA(VLOOKUP(D732,ProductListTbl[],7,0),"")</f>
        <v/>
      </c>
      <c r="I732" s="130" t="str">
        <f>_xlfn.IFNA(VLOOKUP(D732,ProductListTbl[],8,0),"")</f>
        <v/>
      </c>
      <c r="J732" s="127"/>
      <c r="K732" s="129"/>
      <c r="L732" s="128"/>
      <c r="M732" s="305" t="str">
        <f>IFERROR(Table3[[#This Row],[Quantity (doses)]]/Table3[[#This Row],[Doses per vial or syringe]],"")</f>
        <v/>
      </c>
      <c r="N732" s="127"/>
      <c r="O732" s="127"/>
      <c r="P732" s="381"/>
      <c r="Q732" s="129"/>
      <c r="R732" s="127"/>
      <c r="S732" s="127"/>
      <c r="T732" s="127"/>
      <c r="U732" s="127"/>
      <c r="V732" s="305" t="str">
        <f>_xlfn.IFNA(VLOOKUP(D732,ProductListTbl[],9,0),"")</f>
        <v/>
      </c>
      <c r="W732" s="305" t="str">
        <f>IFERROR(Table3[[#This Row],[Storage space per secondary packaging (cm3)]]*Table3[[#This Row],[Quantity  (vials or syringes)]]/1000,"")</f>
        <v/>
      </c>
      <c r="X732" s="305" t="str">
        <f>IFERROR(Table3[[#This Row],[Storage space per tertiary packaging (cm3)]]*Table3[[#This Row],[Quantity (doses)]]/1000,"")</f>
        <v/>
      </c>
      <c r="Y732" s="293" t="str">
        <f>IF(Table3[[#This Row],[Status]]="Ordered",(DATE(YEAR(P732),MONTH(P732),1)),IF(Table3[[#This Row],[Status]]="Received",(DATE(YEAR(Q732),MONTH(Q732),1)),""))</f>
        <v/>
      </c>
      <c r="Z732" s="304" t="str">
        <f t="shared" si="44"/>
        <v/>
      </c>
      <c r="AA732" s="48" t="str">
        <f t="shared" si="45"/>
        <v/>
      </c>
      <c r="AB732" s="48" t="str">
        <f t="shared" si="46"/>
        <v/>
      </c>
      <c r="AC732" s="292" t="str">
        <f t="shared" si="47"/>
        <v/>
      </c>
      <c r="AD732" s="48" t="str">
        <f>IF(Table3[[#This Row],[Actual Arrival date]]&gt;0,IF(Table3[[#This Row],[Expected arrival date]]&gt;0,Table3[[#This Row],[Actual Arrival date]]-Table3[[#This Row],[Expected arrival date]],""),"")</f>
        <v/>
      </c>
    </row>
    <row r="733" spans="1:30" x14ac:dyDescent="0.25">
      <c r="A733" s="303" t="str">
        <f>Start!$D$7</f>
        <v>Anyland</v>
      </c>
      <c r="B733" s="48" t="str">
        <f>_xlfn.IFNA(VLOOKUP(A733,list!B:C,2,FALSE),"")</f>
        <v>ANY</v>
      </c>
      <c r="C733" s="48"/>
      <c r="D733" s="127"/>
      <c r="E733" s="48" t="str">
        <f>_xlfn.IFNA(VLOOKUP(Table3[[#This Row],[Product]], ProductListTbl[], 3, 0), "")</f>
        <v/>
      </c>
      <c r="F733" s="303" t="str">
        <f>_xlfn.IFNA(VLOOKUP(D733,ProductListTbl[],5,0),"")</f>
        <v/>
      </c>
      <c r="G733" s="303" t="str">
        <f>_xlfn.IFNA(VLOOKUP(D733,ProductListTbl[],6,0),"")</f>
        <v/>
      </c>
      <c r="H733" s="130" t="str">
        <f>_xlfn.IFNA(VLOOKUP(D733,ProductListTbl[],7,0),"")</f>
        <v/>
      </c>
      <c r="I733" s="130" t="str">
        <f>_xlfn.IFNA(VLOOKUP(D733,ProductListTbl[],8,0),"")</f>
        <v/>
      </c>
      <c r="J733" s="127"/>
      <c r="K733" s="129"/>
      <c r="L733" s="128"/>
      <c r="M733" s="305" t="str">
        <f>IFERROR(Table3[[#This Row],[Quantity (doses)]]/Table3[[#This Row],[Doses per vial or syringe]],"")</f>
        <v/>
      </c>
      <c r="N733" s="127"/>
      <c r="O733" s="127"/>
      <c r="P733" s="381"/>
      <c r="Q733" s="129"/>
      <c r="R733" s="127"/>
      <c r="S733" s="127"/>
      <c r="T733" s="127"/>
      <c r="U733" s="127"/>
      <c r="V733" s="305" t="str">
        <f>_xlfn.IFNA(VLOOKUP(D733,ProductListTbl[],9,0),"")</f>
        <v/>
      </c>
      <c r="W733" s="305" t="str">
        <f>IFERROR(Table3[[#This Row],[Storage space per secondary packaging (cm3)]]*Table3[[#This Row],[Quantity  (vials or syringes)]]/1000,"")</f>
        <v/>
      </c>
      <c r="X733" s="305" t="str">
        <f>IFERROR(Table3[[#This Row],[Storage space per tertiary packaging (cm3)]]*Table3[[#This Row],[Quantity (doses)]]/1000,"")</f>
        <v/>
      </c>
      <c r="Y733" s="293" t="str">
        <f>IF(Table3[[#This Row],[Status]]="Ordered",(DATE(YEAR(P733),MONTH(P733),1)),IF(Table3[[#This Row],[Status]]="Received",(DATE(YEAR(Q733),MONTH(Q733),1)),""))</f>
        <v/>
      </c>
      <c r="Z733" s="304" t="str">
        <f t="shared" si="44"/>
        <v/>
      </c>
      <c r="AA733" s="48" t="str">
        <f t="shared" si="45"/>
        <v/>
      </c>
      <c r="AB733" s="48" t="str">
        <f t="shared" si="46"/>
        <v/>
      </c>
      <c r="AC733" s="292" t="str">
        <f t="shared" si="47"/>
        <v/>
      </c>
      <c r="AD733" s="48" t="str">
        <f>IF(Table3[[#This Row],[Actual Arrival date]]&gt;0,IF(Table3[[#This Row],[Expected arrival date]]&gt;0,Table3[[#This Row],[Actual Arrival date]]-Table3[[#This Row],[Expected arrival date]],""),"")</f>
        <v/>
      </c>
    </row>
    <row r="734" spans="1:30" x14ac:dyDescent="0.25">
      <c r="A734" s="303" t="str">
        <f>Start!$D$7</f>
        <v>Anyland</v>
      </c>
      <c r="B734" s="48" t="str">
        <f>_xlfn.IFNA(VLOOKUP(A734,list!B:C,2,FALSE),"")</f>
        <v>ANY</v>
      </c>
      <c r="C734" s="48"/>
      <c r="D734" s="127"/>
      <c r="E734" s="48" t="str">
        <f>_xlfn.IFNA(VLOOKUP(Table3[[#This Row],[Product]], ProductListTbl[], 3, 0), "")</f>
        <v/>
      </c>
      <c r="F734" s="303" t="str">
        <f>_xlfn.IFNA(VLOOKUP(D734,ProductListTbl[],5,0),"")</f>
        <v/>
      </c>
      <c r="G734" s="303" t="str">
        <f>_xlfn.IFNA(VLOOKUP(D734,ProductListTbl[],6,0),"")</f>
        <v/>
      </c>
      <c r="H734" s="130" t="str">
        <f>_xlfn.IFNA(VLOOKUP(D734,ProductListTbl[],7,0),"")</f>
        <v/>
      </c>
      <c r="I734" s="130" t="str">
        <f>_xlfn.IFNA(VLOOKUP(D734,ProductListTbl[],8,0),"")</f>
        <v/>
      </c>
      <c r="J734" s="127"/>
      <c r="K734" s="129"/>
      <c r="L734" s="128"/>
      <c r="M734" s="305" t="str">
        <f>IFERROR(Table3[[#This Row],[Quantity (doses)]]/Table3[[#This Row],[Doses per vial or syringe]],"")</f>
        <v/>
      </c>
      <c r="N734" s="127"/>
      <c r="O734" s="127"/>
      <c r="P734" s="381"/>
      <c r="Q734" s="129"/>
      <c r="R734" s="127"/>
      <c r="S734" s="127"/>
      <c r="T734" s="127"/>
      <c r="U734" s="127"/>
      <c r="V734" s="305" t="str">
        <f>_xlfn.IFNA(VLOOKUP(D734,ProductListTbl[],9,0),"")</f>
        <v/>
      </c>
      <c r="W734" s="305" t="str">
        <f>IFERROR(Table3[[#This Row],[Storage space per secondary packaging (cm3)]]*Table3[[#This Row],[Quantity  (vials or syringes)]]/1000,"")</f>
        <v/>
      </c>
      <c r="X734" s="305" t="str">
        <f>IFERROR(Table3[[#This Row],[Storage space per tertiary packaging (cm3)]]*Table3[[#This Row],[Quantity (doses)]]/1000,"")</f>
        <v/>
      </c>
      <c r="Y734" s="293" t="str">
        <f>IF(Table3[[#This Row],[Status]]="Ordered",(DATE(YEAR(P734),MONTH(P734),1)),IF(Table3[[#This Row],[Status]]="Received",(DATE(YEAR(Q734),MONTH(Q734),1)),""))</f>
        <v/>
      </c>
      <c r="Z734" s="304" t="str">
        <f t="shared" si="44"/>
        <v/>
      </c>
      <c r="AA734" s="48" t="str">
        <f t="shared" si="45"/>
        <v/>
      </c>
      <c r="AB734" s="48" t="str">
        <f t="shared" si="46"/>
        <v/>
      </c>
      <c r="AC734" s="292" t="str">
        <f t="shared" si="47"/>
        <v/>
      </c>
      <c r="AD734" s="48" t="str">
        <f>IF(Table3[[#This Row],[Actual Arrival date]]&gt;0,IF(Table3[[#This Row],[Expected arrival date]]&gt;0,Table3[[#This Row],[Actual Arrival date]]-Table3[[#This Row],[Expected arrival date]],""),"")</f>
        <v/>
      </c>
    </row>
    <row r="735" spans="1:30" x14ac:dyDescent="0.25">
      <c r="A735" s="303" t="str">
        <f>Start!$D$7</f>
        <v>Anyland</v>
      </c>
      <c r="B735" s="48" t="str">
        <f>_xlfn.IFNA(VLOOKUP(A735,list!B:C,2,FALSE),"")</f>
        <v>ANY</v>
      </c>
      <c r="C735" s="48"/>
      <c r="D735" s="127"/>
      <c r="E735" s="48" t="str">
        <f>_xlfn.IFNA(VLOOKUP(Table3[[#This Row],[Product]], ProductListTbl[], 3, 0), "")</f>
        <v/>
      </c>
      <c r="F735" s="303" t="str">
        <f>_xlfn.IFNA(VLOOKUP(D735,ProductListTbl[],5,0),"")</f>
        <v/>
      </c>
      <c r="G735" s="303" t="str">
        <f>_xlfn.IFNA(VLOOKUP(D735,ProductListTbl[],6,0),"")</f>
        <v/>
      </c>
      <c r="H735" s="130" t="str">
        <f>_xlfn.IFNA(VLOOKUP(D735,ProductListTbl[],7,0),"")</f>
        <v/>
      </c>
      <c r="I735" s="130" t="str">
        <f>_xlfn.IFNA(VLOOKUP(D735,ProductListTbl[],8,0),"")</f>
        <v/>
      </c>
      <c r="J735" s="127"/>
      <c r="K735" s="129"/>
      <c r="L735" s="128"/>
      <c r="M735" s="305" t="str">
        <f>IFERROR(Table3[[#This Row],[Quantity (doses)]]/Table3[[#This Row],[Doses per vial or syringe]],"")</f>
        <v/>
      </c>
      <c r="N735" s="127"/>
      <c r="O735" s="127"/>
      <c r="P735" s="381"/>
      <c r="Q735" s="129"/>
      <c r="R735" s="127"/>
      <c r="S735" s="127"/>
      <c r="T735" s="127"/>
      <c r="U735" s="127"/>
      <c r="V735" s="305" t="str">
        <f>_xlfn.IFNA(VLOOKUP(D735,ProductListTbl[],9,0),"")</f>
        <v/>
      </c>
      <c r="W735" s="305" t="str">
        <f>IFERROR(Table3[[#This Row],[Storage space per secondary packaging (cm3)]]*Table3[[#This Row],[Quantity  (vials or syringes)]]/1000,"")</f>
        <v/>
      </c>
      <c r="X735" s="305" t="str">
        <f>IFERROR(Table3[[#This Row],[Storage space per tertiary packaging (cm3)]]*Table3[[#This Row],[Quantity (doses)]]/1000,"")</f>
        <v/>
      </c>
      <c r="Y735" s="293" t="str">
        <f>IF(Table3[[#This Row],[Status]]="Ordered",(DATE(YEAR(P735),MONTH(P735),1)),IF(Table3[[#This Row],[Status]]="Received",(DATE(YEAR(Q735),MONTH(Q735),1)),""))</f>
        <v/>
      </c>
      <c r="Z735" s="304" t="str">
        <f t="shared" si="44"/>
        <v/>
      </c>
      <c r="AA735" s="48" t="str">
        <f t="shared" si="45"/>
        <v/>
      </c>
      <c r="AB735" s="48" t="str">
        <f t="shared" si="46"/>
        <v/>
      </c>
      <c r="AC735" s="292" t="str">
        <f t="shared" si="47"/>
        <v/>
      </c>
      <c r="AD735" s="48" t="str">
        <f>IF(Table3[[#This Row],[Actual Arrival date]]&gt;0,IF(Table3[[#This Row],[Expected arrival date]]&gt;0,Table3[[#This Row],[Actual Arrival date]]-Table3[[#This Row],[Expected arrival date]],""),"")</f>
        <v/>
      </c>
    </row>
    <row r="736" spans="1:30" x14ac:dyDescent="0.25">
      <c r="A736" s="303" t="str">
        <f>Start!$D$7</f>
        <v>Anyland</v>
      </c>
      <c r="B736" s="48" t="str">
        <f>_xlfn.IFNA(VLOOKUP(A736,list!B:C,2,FALSE),"")</f>
        <v>ANY</v>
      </c>
      <c r="C736" s="48"/>
      <c r="D736" s="127"/>
      <c r="E736" s="48" t="str">
        <f>_xlfn.IFNA(VLOOKUP(Table3[[#This Row],[Product]], ProductListTbl[], 3, 0), "")</f>
        <v/>
      </c>
      <c r="F736" s="303" t="str">
        <f>_xlfn.IFNA(VLOOKUP(D736,ProductListTbl[],5,0),"")</f>
        <v/>
      </c>
      <c r="G736" s="303" t="str">
        <f>_xlfn.IFNA(VLOOKUP(D736,ProductListTbl[],6,0),"")</f>
        <v/>
      </c>
      <c r="H736" s="130" t="str">
        <f>_xlfn.IFNA(VLOOKUP(D736,ProductListTbl[],7,0),"")</f>
        <v/>
      </c>
      <c r="I736" s="130" t="str">
        <f>_xlfn.IFNA(VLOOKUP(D736,ProductListTbl[],8,0),"")</f>
        <v/>
      </c>
      <c r="J736" s="127"/>
      <c r="K736" s="129"/>
      <c r="L736" s="128"/>
      <c r="M736" s="305" t="str">
        <f>IFERROR(Table3[[#This Row],[Quantity (doses)]]/Table3[[#This Row],[Doses per vial or syringe]],"")</f>
        <v/>
      </c>
      <c r="N736" s="127"/>
      <c r="O736" s="127"/>
      <c r="P736" s="381"/>
      <c r="Q736" s="129"/>
      <c r="R736" s="127"/>
      <c r="S736" s="127"/>
      <c r="T736" s="127"/>
      <c r="U736" s="127"/>
      <c r="V736" s="305" t="str">
        <f>_xlfn.IFNA(VLOOKUP(D736,ProductListTbl[],9,0),"")</f>
        <v/>
      </c>
      <c r="W736" s="305" t="str">
        <f>IFERROR(Table3[[#This Row],[Storage space per secondary packaging (cm3)]]*Table3[[#This Row],[Quantity  (vials or syringes)]]/1000,"")</f>
        <v/>
      </c>
      <c r="X736" s="305" t="str">
        <f>IFERROR(Table3[[#This Row],[Storage space per tertiary packaging (cm3)]]*Table3[[#This Row],[Quantity (doses)]]/1000,"")</f>
        <v/>
      </c>
      <c r="Y736" s="293" t="str">
        <f>IF(Table3[[#This Row],[Status]]="Ordered",(DATE(YEAR(P736),MONTH(P736),1)),IF(Table3[[#This Row],[Status]]="Received",(DATE(YEAR(Q736),MONTH(Q736),1)),""))</f>
        <v/>
      </c>
      <c r="Z736" s="304" t="str">
        <f t="shared" si="44"/>
        <v/>
      </c>
      <c r="AA736" s="48" t="str">
        <f t="shared" si="45"/>
        <v/>
      </c>
      <c r="AB736" s="48" t="str">
        <f t="shared" si="46"/>
        <v/>
      </c>
      <c r="AC736" s="292" t="str">
        <f t="shared" si="47"/>
        <v/>
      </c>
      <c r="AD736" s="48" t="str">
        <f>IF(Table3[[#This Row],[Actual Arrival date]]&gt;0,IF(Table3[[#This Row],[Expected arrival date]]&gt;0,Table3[[#This Row],[Actual Arrival date]]-Table3[[#This Row],[Expected arrival date]],""),"")</f>
        <v/>
      </c>
    </row>
    <row r="737" spans="1:30" x14ac:dyDescent="0.25">
      <c r="A737" s="303" t="str">
        <f>Start!$D$7</f>
        <v>Anyland</v>
      </c>
      <c r="B737" s="48" t="str">
        <f>_xlfn.IFNA(VLOOKUP(A737,list!B:C,2,FALSE),"")</f>
        <v>ANY</v>
      </c>
      <c r="C737" s="48"/>
      <c r="D737" s="127"/>
      <c r="E737" s="48" t="str">
        <f>_xlfn.IFNA(VLOOKUP(Table3[[#This Row],[Product]], ProductListTbl[], 3, 0), "")</f>
        <v/>
      </c>
      <c r="F737" s="303" t="str">
        <f>_xlfn.IFNA(VLOOKUP(D737,ProductListTbl[],5,0),"")</f>
        <v/>
      </c>
      <c r="G737" s="303" t="str">
        <f>_xlfn.IFNA(VLOOKUP(D737,ProductListTbl[],6,0),"")</f>
        <v/>
      </c>
      <c r="H737" s="130" t="str">
        <f>_xlfn.IFNA(VLOOKUP(D737,ProductListTbl[],7,0),"")</f>
        <v/>
      </c>
      <c r="I737" s="130" t="str">
        <f>_xlfn.IFNA(VLOOKUP(D737,ProductListTbl[],8,0),"")</f>
        <v/>
      </c>
      <c r="J737" s="127"/>
      <c r="K737" s="129"/>
      <c r="L737" s="128"/>
      <c r="M737" s="305" t="str">
        <f>IFERROR(Table3[[#This Row],[Quantity (doses)]]/Table3[[#This Row],[Doses per vial or syringe]],"")</f>
        <v/>
      </c>
      <c r="N737" s="127"/>
      <c r="O737" s="127"/>
      <c r="P737" s="381"/>
      <c r="Q737" s="129"/>
      <c r="R737" s="127"/>
      <c r="S737" s="127"/>
      <c r="T737" s="127"/>
      <c r="U737" s="127"/>
      <c r="V737" s="305" t="str">
        <f>_xlfn.IFNA(VLOOKUP(D737,ProductListTbl[],9,0),"")</f>
        <v/>
      </c>
      <c r="W737" s="305" t="str">
        <f>IFERROR(Table3[[#This Row],[Storage space per secondary packaging (cm3)]]*Table3[[#This Row],[Quantity  (vials or syringes)]]/1000,"")</f>
        <v/>
      </c>
      <c r="X737" s="305" t="str">
        <f>IFERROR(Table3[[#This Row],[Storage space per tertiary packaging (cm3)]]*Table3[[#This Row],[Quantity (doses)]]/1000,"")</f>
        <v/>
      </c>
      <c r="Y737" s="293" t="str">
        <f>IF(Table3[[#This Row],[Status]]="Ordered",(DATE(YEAR(P737),MONTH(P737),1)),IF(Table3[[#This Row],[Status]]="Received",(DATE(YEAR(Q737),MONTH(Q737),1)),""))</f>
        <v/>
      </c>
      <c r="Z737" s="304" t="str">
        <f t="shared" si="44"/>
        <v/>
      </c>
      <c r="AA737" s="48" t="str">
        <f t="shared" si="45"/>
        <v/>
      </c>
      <c r="AB737" s="48" t="str">
        <f t="shared" si="46"/>
        <v/>
      </c>
      <c r="AC737" s="292" t="str">
        <f t="shared" si="47"/>
        <v/>
      </c>
      <c r="AD737" s="48" t="str">
        <f>IF(Table3[[#This Row],[Actual Arrival date]]&gt;0,IF(Table3[[#This Row],[Expected arrival date]]&gt;0,Table3[[#This Row],[Actual Arrival date]]-Table3[[#This Row],[Expected arrival date]],""),"")</f>
        <v/>
      </c>
    </row>
    <row r="738" spans="1:30" x14ac:dyDescent="0.25">
      <c r="A738" s="303" t="str">
        <f>Start!$D$7</f>
        <v>Anyland</v>
      </c>
      <c r="B738" s="48" t="str">
        <f>_xlfn.IFNA(VLOOKUP(A738,list!B:C,2,FALSE),"")</f>
        <v>ANY</v>
      </c>
      <c r="C738" s="48"/>
      <c r="D738" s="127"/>
      <c r="E738" s="48" t="str">
        <f>_xlfn.IFNA(VLOOKUP(Table3[[#This Row],[Product]], ProductListTbl[], 3, 0), "")</f>
        <v/>
      </c>
      <c r="F738" s="303" t="str">
        <f>_xlfn.IFNA(VLOOKUP(D738,ProductListTbl[],5,0),"")</f>
        <v/>
      </c>
      <c r="G738" s="303" t="str">
        <f>_xlfn.IFNA(VLOOKUP(D738,ProductListTbl[],6,0),"")</f>
        <v/>
      </c>
      <c r="H738" s="130" t="str">
        <f>_xlfn.IFNA(VLOOKUP(D738,ProductListTbl[],7,0),"")</f>
        <v/>
      </c>
      <c r="I738" s="130" t="str">
        <f>_xlfn.IFNA(VLOOKUP(D738,ProductListTbl[],8,0),"")</f>
        <v/>
      </c>
      <c r="J738" s="127"/>
      <c r="K738" s="129"/>
      <c r="L738" s="128"/>
      <c r="M738" s="305" t="str">
        <f>IFERROR(Table3[[#This Row],[Quantity (doses)]]/Table3[[#This Row],[Doses per vial or syringe]],"")</f>
        <v/>
      </c>
      <c r="N738" s="127"/>
      <c r="O738" s="127"/>
      <c r="P738" s="381"/>
      <c r="Q738" s="129"/>
      <c r="R738" s="127"/>
      <c r="S738" s="127"/>
      <c r="T738" s="127"/>
      <c r="U738" s="127"/>
      <c r="V738" s="305" t="str">
        <f>_xlfn.IFNA(VLOOKUP(D738,ProductListTbl[],9,0),"")</f>
        <v/>
      </c>
      <c r="W738" s="305" t="str">
        <f>IFERROR(Table3[[#This Row],[Storage space per secondary packaging (cm3)]]*Table3[[#This Row],[Quantity  (vials or syringes)]]/1000,"")</f>
        <v/>
      </c>
      <c r="X738" s="305" t="str">
        <f>IFERROR(Table3[[#This Row],[Storage space per tertiary packaging (cm3)]]*Table3[[#This Row],[Quantity (doses)]]/1000,"")</f>
        <v/>
      </c>
      <c r="Y738" s="293" t="str">
        <f>IF(Table3[[#This Row],[Status]]="Ordered",(DATE(YEAR(P738),MONTH(P738),1)),IF(Table3[[#This Row],[Status]]="Received",(DATE(YEAR(Q738),MONTH(Q738),1)),""))</f>
        <v/>
      </c>
      <c r="Z738" s="304" t="str">
        <f t="shared" si="44"/>
        <v/>
      </c>
      <c r="AA738" s="48" t="str">
        <f t="shared" si="45"/>
        <v/>
      </c>
      <c r="AB738" s="48" t="str">
        <f t="shared" si="46"/>
        <v/>
      </c>
      <c r="AC738" s="292" t="str">
        <f t="shared" si="47"/>
        <v/>
      </c>
      <c r="AD738" s="48" t="str">
        <f>IF(Table3[[#This Row],[Actual Arrival date]]&gt;0,IF(Table3[[#This Row],[Expected arrival date]]&gt;0,Table3[[#This Row],[Actual Arrival date]]-Table3[[#This Row],[Expected arrival date]],""),"")</f>
        <v/>
      </c>
    </row>
    <row r="739" spans="1:30" x14ac:dyDescent="0.25">
      <c r="A739" s="303" t="str">
        <f>Start!$D$7</f>
        <v>Anyland</v>
      </c>
      <c r="B739" s="48" t="str">
        <f>_xlfn.IFNA(VLOOKUP(A739,list!B:C,2,FALSE),"")</f>
        <v>ANY</v>
      </c>
      <c r="C739" s="48"/>
      <c r="D739" s="127"/>
      <c r="E739" s="48" t="str">
        <f>_xlfn.IFNA(VLOOKUP(Table3[[#This Row],[Product]], ProductListTbl[], 3, 0), "")</f>
        <v/>
      </c>
      <c r="F739" s="303" t="str">
        <f>_xlfn.IFNA(VLOOKUP(D739,ProductListTbl[],5,0),"")</f>
        <v/>
      </c>
      <c r="G739" s="303" t="str">
        <f>_xlfn.IFNA(VLOOKUP(D739,ProductListTbl[],6,0),"")</f>
        <v/>
      </c>
      <c r="H739" s="130" t="str">
        <f>_xlfn.IFNA(VLOOKUP(D739,ProductListTbl[],7,0),"")</f>
        <v/>
      </c>
      <c r="I739" s="130" t="str">
        <f>_xlfn.IFNA(VLOOKUP(D739,ProductListTbl[],8,0),"")</f>
        <v/>
      </c>
      <c r="J739" s="127"/>
      <c r="K739" s="129"/>
      <c r="L739" s="128"/>
      <c r="M739" s="305" t="str">
        <f>IFERROR(Table3[[#This Row],[Quantity (doses)]]/Table3[[#This Row],[Doses per vial or syringe]],"")</f>
        <v/>
      </c>
      <c r="N739" s="127"/>
      <c r="O739" s="127"/>
      <c r="P739" s="381"/>
      <c r="Q739" s="129"/>
      <c r="R739" s="127"/>
      <c r="S739" s="127"/>
      <c r="T739" s="127"/>
      <c r="U739" s="127"/>
      <c r="V739" s="305" t="str">
        <f>_xlfn.IFNA(VLOOKUP(D739,ProductListTbl[],9,0),"")</f>
        <v/>
      </c>
      <c r="W739" s="305" t="str">
        <f>IFERROR(Table3[[#This Row],[Storage space per secondary packaging (cm3)]]*Table3[[#This Row],[Quantity  (vials or syringes)]]/1000,"")</f>
        <v/>
      </c>
      <c r="X739" s="305" t="str">
        <f>IFERROR(Table3[[#This Row],[Storage space per tertiary packaging (cm3)]]*Table3[[#This Row],[Quantity (doses)]]/1000,"")</f>
        <v/>
      </c>
      <c r="Y739" s="293" t="str">
        <f>IF(Table3[[#This Row],[Status]]="Ordered",(DATE(YEAR(P739),MONTH(P739),1)),IF(Table3[[#This Row],[Status]]="Received",(DATE(YEAR(Q739),MONTH(Q739),1)),""))</f>
        <v/>
      </c>
      <c r="Z739" s="304" t="str">
        <f t="shared" si="44"/>
        <v/>
      </c>
      <c r="AA739" s="48" t="str">
        <f t="shared" si="45"/>
        <v/>
      </c>
      <c r="AB739" s="48" t="str">
        <f t="shared" si="46"/>
        <v/>
      </c>
      <c r="AC739" s="292" t="str">
        <f t="shared" si="47"/>
        <v/>
      </c>
      <c r="AD739" s="48" t="str">
        <f>IF(Table3[[#This Row],[Actual Arrival date]]&gt;0,IF(Table3[[#This Row],[Expected arrival date]]&gt;0,Table3[[#This Row],[Actual Arrival date]]-Table3[[#This Row],[Expected arrival date]],""),"")</f>
        <v/>
      </c>
    </row>
    <row r="740" spans="1:30" x14ac:dyDescent="0.25">
      <c r="A740" s="303" t="str">
        <f>Start!$D$7</f>
        <v>Anyland</v>
      </c>
      <c r="B740" s="48" t="str">
        <f>_xlfn.IFNA(VLOOKUP(A740,list!B:C,2,FALSE),"")</f>
        <v>ANY</v>
      </c>
      <c r="C740" s="48"/>
      <c r="D740" s="127"/>
      <c r="E740" s="48" t="str">
        <f>_xlfn.IFNA(VLOOKUP(Table3[[#This Row],[Product]], ProductListTbl[], 3, 0), "")</f>
        <v/>
      </c>
      <c r="F740" s="303" t="str">
        <f>_xlfn.IFNA(VLOOKUP(D740,ProductListTbl[],5,0),"")</f>
        <v/>
      </c>
      <c r="G740" s="303" t="str">
        <f>_xlfn.IFNA(VLOOKUP(D740,ProductListTbl[],6,0),"")</f>
        <v/>
      </c>
      <c r="H740" s="130" t="str">
        <f>_xlfn.IFNA(VLOOKUP(D740,ProductListTbl[],7,0),"")</f>
        <v/>
      </c>
      <c r="I740" s="130" t="str">
        <f>_xlfn.IFNA(VLOOKUP(D740,ProductListTbl[],8,0),"")</f>
        <v/>
      </c>
      <c r="J740" s="127"/>
      <c r="K740" s="129"/>
      <c r="L740" s="128"/>
      <c r="M740" s="305" t="str">
        <f>IFERROR(Table3[[#This Row],[Quantity (doses)]]/Table3[[#This Row],[Doses per vial or syringe]],"")</f>
        <v/>
      </c>
      <c r="N740" s="127"/>
      <c r="O740" s="127"/>
      <c r="P740" s="381"/>
      <c r="Q740" s="129"/>
      <c r="R740" s="127"/>
      <c r="S740" s="127"/>
      <c r="T740" s="127"/>
      <c r="U740" s="127"/>
      <c r="V740" s="305" t="str">
        <f>_xlfn.IFNA(VLOOKUP(D740,ProductListTbl[],9,0),"")</f>
        <v/>
      </c>
      <c r="W740" s="305" t="str">
        <f>IFERROR(Table3[[#This Row],[Storage space per secondary packaging (cm3)]]*Table3[[#This Row],[Quantity  (vials or syringes)]]/1000,"")</f>
        <v/>
      </c>
      <c r="X740" s="305" t="str">
        <f>IFERROR(Table3[[#This Row],[Storage space per tertiary packaging (cm3)]]*Table3[[#This Row],[Quantity (doses)]]/1000,"")</f>
        <v/>
      </c>
      <c r="Y740" s="293" t="str">
        <f>IF(Table3[[#This Row],[Status]]="Ordered",(DATE(YEAR(P740),MONTH(P740),1)),IF(Table3[[#This Row],[Status]]="Received",(DATE(YEAR(Q740),MONTH(Q740),1)),""))</f>
        <v/>
      </c>
      <c r="Z740" s="304" t="str">
        <f t="shared" si="44"/>
        <v/>
      </c>
      <c r="AA740" s="48" t="str">
        <f t="shared" si="45"/>
        <v/>
      </c>
      <c r="AB740" s="48" t="str">
        <f t="shared" si="46"/>
        <v/>
      </c>
      <c r="AC740" s="292" t="str">
        <f t="shared" si="47"/>
        <v/>
      </c>
      <c r="AD740" s="48" t="str">
        <f>IF(Table3[[#This Row],[Actual Arrival date]]&gt;0,IF(Table3[[#This Row],[Expected arrival date]]&gt;0,Table3[[#This Row],[Actual Arrival date]]-Table3[[#This Row],[Expected arrival date]],""),"")</f>
        <v/>
      </c>
    </row>
    <row r="741" spans="1:30" x14ac:dyDescent="0.25">
      <c r="A741" s="303" t="str">
        <f>Start!$D$7</f>
        <v>Anyland</v>
      </c>
      <c r="B741" s="48" t="str">
        <f>_xlfn.IFNA(VLOOKUP(A741,list!B:C,2,FALSE),"")</f>
        <v>ANY</v>
      </c>
      <c r="C741" s="48"/>
      <c r="D741" s="127"/>
      <c r="E741" s="48" t="str">
        <f>_xlfn.IFNA(VLOOKUP(Table3[[#This Row],[Product]], ProductListTbl[], 3, 0), "")</f>
        <v/>
      </c>
      <c r="F741" s="303" t="str">
        <f>_xlfn.IFNA(VLOOKUP(D741,ProductListTbl[],5,0),"")</f>
        <v/>
      </c>
      <c r="G741" s="303" t="str">
        <f>_xlfn.IFNA(VLOOKUP(D741,ProductListTbl[],6,0),"")</f>
        <v/>
      </c>
      <c r="H741" s="130" t="str">
        <f>_xlfn.IFNA(VLOOKUP(D741,ProductListTbl[],7,0),"")</f>
        <v/>
      </c>
      <c r="I741" s="130" t="str">
        <f>_xlfn.IFNA(VLOOKUP(D741,ProductListTbl[],8,0),"")</f>
        <v/>
      </c>
      <c r="J741" s="127"/>
      <c r="K741" s="129"/>
      <c r="L741" s="128"/>
      <c r="M741" s="305" t="str">
        <f>IFERROR(Table3[[#This Row],[Quantity (doses)]]/Table3[[#This Row],[Doses per vial or syringe]],"")</f>
        <v/>
      </c>
      <c r="N741" s="127"/>
      <c r="O741" s="127"/>
      <c r="P741" s="381"/>
      <c r="Q741" s="129"/>
      <c r="R741" s="127"/>
      <c r="S741" s="127"/>
      <c r="T741" s="127"/>
      <c r="U741" s="127"/>
      <c r="V741" s="305" t="str">
        <f>_xlfn.IFNA(VLOOKUP(D741,ProductListTbl[],9,0),"")</f>
        <v/>
      </c>
      <c r="W741" s="305" t="str">
        <f>IFERROR(Table3[[#This Row],[Storage space per secondary packaging (cm3)]]*Table3[[#This Row],[Quantity  (vials or syringes)]]/1000,"")</f>
        <v/>
      </c>
      <c r="X741" s="305" t="str">
        <f>IFERROR(Table3[[#This Row],[Storage space per tertiary packaging (cm3)]]*Table3[[#This Row],[Quantity (doses)]]/1000,"")</f>
        <v/>
      </c>
      <c r="Y741" s="293" t="str">
        <f>IF(Table3[[#This Row],[Status]]="Ordered",(DATE(YEAR(P741),MONTH(P741),1)),IF(Table3[[#This Row],[Status]]="Received",(DATE(YEAR(Q741),MONTH(Q741),1)),""))</f>
        <v/>
      </c>
      <c r="Z741" s="304" t="str">
        <f t="shared" si="44"/>
        <v/>
      </c>
      <c r="AA741" s="48" t="str">
        <f t="shared" si="45"/>
        <v/>
      </c>
      <c r="AB741" s="48" t="str">
        <f t="shared" si="46"/>
        <v/>
      </c>
      <c r="AC741" s="292" t="str">
        <f t="shared" si="47"/>
        <v/>
      </c>
      <c r="AD741" s="48" t="str">
        <f>IF(Table3[[#This Row],[Actual Arrival date]]&gt;0,IF(Table3[[#This Row],[Expected arrival date]]&gt;0,Table3[[#This Row],[Actual Arrival date]]-Table3[[#This Row],[Expected arrival date]],""),"")</f>
        <v/>
      </c>
    </row>
    <row r="742" spans="1:30" x14ac:dyDescent="0.25">
      <c r="A742" s="303" t="str">
        <f>Start!$D$7</f>
        <v>Anyland</v>
      </c>
      <c r="B742" s="48" t="str">
        <f>_xlfn.IFNA(VLOOKUP(A742,list!B:C,2,FALSE),"")</f>
        <v>ANY</v>
      </c>
      <c r="C742" s="48"/>
      <c r="D742" s="127"/>
      <c r="E742" s="48" t="str">
        <f>_xlfn.IFNA(VLOOKUP(Table3[[#This Row],[Product]], ProductListTbl[], 3, 0), "")</f>
        <v/>
      </c>
      <c r="F742" s="303" t="str">
        <f>_xlfn.IFNA(VLOOKUP(D742,ProductListTbl[],5,0),"")</f>
        <v/>
      </c>
      <c r="G742" s="303" t="str">
        <f>_xlfn.IFNA(VLOOKUP(D742,ProductListTbl[],6,0),"")</f>
        <v/>
      </c>
      <c r="H742" s="130" t="str">
        <f>_xlfn.IFNA(VLOOKUP(D742,ProductListTbl[],7,0),"")</f>
        <v/>
      </c>
      <c r="I742" s="130" t="str">
        <f>_xlfn.IFNA(VLOOKUP(D742,ProductListTbl[],8,0),"")</f>
        <v/>
      </c>
      <c r="J742" s="127"/>
      <c r="K742" s="129"/>
      <c r="L742" s="128"/>
      <c r="M742" s="305" t="str">
        <f>IFERROR(Table3[[#This Row],[Quantity (doses)]]/Table3[[#This Row],[Doses per vial or syringe]],"")</f>
        <v/>
      </c>
      <c r="N742" s="127"/>
      <c r="O742" s="127"/>
      <c r="P742" s="381"/>
      <c r="Q742" s="129"/>
      <c r="R742" s="127"/>
      <c r="S742" s="127"/>
      <c r="T742" s="127"/>
      <c r="U742" s="127"/>
      <c r="V742" s="305" t="str">
        <f>_xlfn.IFNA(VLOOKUP(D742,ProductListTbl[],9,0),"")</f>
        <v/>
      </c>
      <c r="W742" s="305" t="str">
        <f>IFERROR(Table3[[#This Row],[Storage space per secondary packaging (cm3)]]*Table3[[#This Row],[Quantity  (vials or syringes)]]/1000,"")</f>
        <v/>
      </c>
      <c r="X742" s="305" t="str">
        <f>IFERROR(Table3[[#This Row],[Storage space per tertiary packaging (cm3)]]*Table3[[#This Row],[Quantity (doses)]]/1000,"")</f>
        <v/>
      </c>
      <c r="Y742" s="293" t="str">
        <f>IF(Table3[[#This Row],[Status]]="Ordered",(DATE(YEAR(P742),MONTH(P742),1)),IF(Table3[[#This Row],[Status]]="Received",(DATE(YEAR(Q742),MONTH(Q742),1)),""))</f>
        <v/>
      </c>
      <c r="Z742" s="304" t="str">
        <f t="shared" si="44"/>
        <v/>
      </c>
      <c r="AA742" s="48" t="str">
        <f t="shared" si="45"/>
        <v/>
      </c>
      <c r="AB742" s="48" t="str">
        <f t="shared" si="46"/>
        <v/>
      </c>
      <c r="AC742" s="292" t="str">
        <f t="shared" si="47"/>
        <v/>
      </c>
      <c r="AD742" s="48" t="str">
        <f>IF(Table3[[#This Row],[Actual Arrival date]]&gt;0,IF(Table3[[#This Row],[Expected arrival date]]&gt;0,Table3[[#This Row],[Actual Arrival date]]-Table3[[#This Row],[Expected arrival date]],""),"")</f>
        <v/>
      </c>
    </row>
    <row r="743" spans="1:30" x14ac:dyDescent="0.25">
      <c r="A743" s="303" t="str">
        <f>Start!$D$7</f>
        <v>Anyland</v>
      </c>
      <c r="B743" s="48" t="str">
        <f>_xlfn.IFNA(VLOOKUP(A743,list!B:C,2,FALSE),"")</f>
        <v>ANY</v>
      </c>
      <c r="C743" s="48"/>
      <c r="D743" s="127"/>
      <c r="E743" s="48" t="str">
        <f>_xlfn.IFNA(VLOOKUP(Table3[[#This Row],[Product]], ProductListTbl[], 3, 0), "")</f>
        <v/>
      </c>
      <c r="F743" s="303" t="str">
        <f>_xlfn.IFNA(VLOOKUP(D743,ProductListTbl[],5,0),"")</f>
        <v/>
      </c>
      <c r="G743" s="303" t="str">
        <f>_xlfn.IFNA(VLOOKUP(D743,ProductListTbl[],6,0),"")</f>
        <v/>
      </c>
      <c r="H743" s="130" t="str">
        <f>_xlfn.IFNA(VLOOKUP(D743,ProductListTbl[],7,0),"")</f>
        <v/>
      </c>
      <c r="I743" s="130" t="str">
        <f>_xlfn.IFNA(VLOOKUP(D743,ProductListTbl[],8,0),"")</f>
        <v/>
      </c>
      <c r="J743" s="127"/>
      <c r="K743" s="129"/>
      <c r="L743" s="128"/>
      <c r="M743" s="305" t="str">
        <f>IFERROR(Table3[[#This Row],[Quantity (doses)]]/Table3[[#This Row],[Doses per vial or syringe]],"")</f>
        <v/>
      </c>
      <c r="N743" s="127"/>
      <c r="O743" s="127"/>
      <c r="P743" s="381"/>
      <c r="Q743" s="129"/>
      <c r="R743" s="127"/>
      <c r="S743" s="127"/>
      <c r="T743" s="127"/>
      <c r="U743" s="127"/>
      <c r="V743" s="305" t="str">
        <f>_xlfn.IFNA(VLOOKUP(D743,ProductListTbl[],9,0),"")</f>
        <v/>
      </c>
      <c r="W743" s="305" t="str">
        <f>IFERROR(Table3[[#This Row],[Storage space per secondary packaging (cm3)]]*Table3[[#This Row],[Quantity  (vials or syringes)]]/1000,"")</f>
        <v/>
      </c>
      <c r="X743" s="305" t="str">
        <f>IFERROR(Table3[[#This Row],[Storage space per tertiary packaging (cm3)]]*Table3[[#This Row],[Quantity (doses)]]/1000,"")</f>
        <v/>
      </c>
      <c r="Y743" s="293" t="str">
        <f>IF(Table3[[#This Row],[Status]]="Ordered",(DATE(YEAR(P743),MONTH(P743),1)),IF(Table3[[#This Row],[Status]]="Received",(DATE(YEAR(Q743),MONTH(Q743),1)),""))</f>
        <v/>
      </c>
      <c r="Z743" s="304" t="str">
        <f t="shared" si="44"/>
        <v/>
      </c>
      <c r="AA743" s="48" t="str">
        <f t="shared" si="45"/>
        <v/>
      </c>
      <c r="AB743" s="48" t="str">
        <f t="shared" si="46"/>
        <v/>
      </c>
      <c r="AC743" s="292" t="str">
        <f t="shared" si="47"/>
        <v/>
      </c>
      <c r="AD743" s="48" t="str">
        <f>IF(Table3[[#This Row],[Actual Arrival date]]&gt;0,IF(Table3[[#This Row],[Expected arrival date]]&gt;0,Table3[[#This Row],[Actual Arrival date]]-Table3[[#This Row],[Expected arrival date]],""),"")</f>
        <v/>
      </c>
    </row>
    <row r="744" spans="1:30" x14ac:dyDescent="0.25">
      <c r="A744" s="303" t="str">
        <f>Start!$D$7</f>
        <v>Anyland</v>
      </c>
      <c r="B744" s="48" t="str">
        <f>_xlfn.IFNA(VLOOKUP(A744,list!B:C,2,FALSE),"")</f>
        <v>ANY</v>
      </c>
      <c r="C744" s="48"/>
      <c r="D744" s="127"/>
      <c r="E744" s="48" t="str">
        <f>_xlfn.IFNA(VLOOKUP(Table3[[#This Row],[Product]], ProductListTbl[], 3, 0), "")</f>
        <v/>
      </c>
      <c r="F744" s="303" t="str">
        <f>_xlfn.IFNA(VLOOKUP(D744,ProductListTbl[],5,0),"")</f>
        <v/>
      </c>
      <c r="G744" s="303" t="str">
        <f>_xlfn.IFNA(VLOOKUP(D744,ProductListTbl[],6,0),"")</f>
        <v/>
      </c>
      <c r="H744" s="130" t="str">
        <f>_xlfn.IFNA(VLOOKUP(D744,ProductListTbl[],7,0),"")</f>
        <v/>
      </c>
      <c r="I744" s="130" t="str">
        <f>_xlfn.IFNA(VLOOKUP(D744,ProductListTbl[],8,0),"")</f>
        <v/>
      </c>
      <c r="J744" s="127"/>
      <c r="K744" s="129"/>
      <c r="L744" s="128"/>
      <c r="M744" s="305" t="str">
        <f>IFERROR(Table3[[#This Row],[Quantity (doses)]]/Table3[[#This Row],[Doses per vial or syringe]],"")</f>
        <v/>
      </c>
      <c r="N744" s="127"/>
      <c r="O744" s="127"/>
      <c r="P744" s="381"/>
      <c r="Q744" s="129"/>
      <c r="R744" s="127"/>
      <c r="S744" s="127"/>
      <c r="T744" s="127"/>
      <c r="U744" s="127"/>
      <c r="V744" s="305" t="str">
        <f>_xlfn.IFNA(VLOOKUP(D744,ProductListTbl[],9,0),"")</f>
        <v/>
      </c>
      <c r="W744" s="305" t="str">
        <f>IFERROR(Table3[[#This Row],[Storage space per secondary packaging (cm3)]]*Table3[[#This Row],[Quantity  (vials or syringes)]]/1000,"")</f>
        <v/>
      </c>
      <c r="X744" s="305" t="str">
        <f>IFERROR(Table3[[#This Row],[Storage space per tertiary packaging (cm3)]]*Table3[[#This Row],[Quantity (doses)]]/1000,"")</f>
        <v/>
      </c>
      <c r="Y744" s="293" t="str">
        <f>IF(Table3[[#This Row],[Status]]="Ordered",(DATE(YEAR(P744),MONTH(P744),1)),IF(Table3[[#This Row],[Status]]="Received",(DATE(YEAR(Q744),MONTH(Q744),1)),""))</f>
        <v/>
      </c>
      <c r="Z744" s="304" t="str">
        <f t="shared" si="44"/>
        <v/>
      </c>
      <c r="AA744" s="48" t="str">
        <f t="shared" si="45"/>
        <v/>
      </c>
      <c r="AB744" s="48" t="str">
        <f t="shared" si="46"/>
        <v/>
      </c>
      <c r="AC744" s="292" t="str">
        <f t="shared" si="47"/>
        <v/>
      </c>
      <c r="AD744" s="48" t="str">
        <f>IF(Table3[[#This Row],[Actual Arrival date]]&gt;0,IF(Table3[[#This Row],[Expected arrival date]]&gt;0,Table3[[#This Row],[Actual Arrival date]]-Table3[[#This Row],[Expected arrival date]],""),"")</f>
        <v/>
      </c>
    </row>
    <row r="745" spans="1:30" x14ac:dyDescent="0.25">
      <c r="A745" s="303" t="str">
        <f>Start!$D$7</f>
        <v>Anyland</v>
      </c>
      <c r="B745" s="48" t="str">
        <f>_xlfn.IFNA(VLOOKUP(A745,list!B:C,2,FALSE),"")</f>
        <v>ANY</v>
      </c>
      <c r="C745" s="48"/>
      <c r="D745" s="127"/>
      <c r="E745" s="48" t="str">
        <f>_xlfn.IFNA(VLOOKUP(Table3[[#This Row],[Product]], ProductListTbl[], 3, 0), "")</f>
        <v/>
      </c>
      <c r="F745" s="303" t="str">
        <f>_xlfn.IFNA(VLOOKUP(D745,ProductListTbl[],5,0),"")</f>
        <v/>
      </c>
      <c r="G745" s="303" t="str">
        <f>_xlfn.IFNA(VLOOKUP(D745,ProductListTbl[],6,0),"")</f>
        <v/>
      </c>
      <c r="H745" s="130" t="str">
        <f>_xlfn.IFNA(VLOOKUP(D745,ProductListTbl[],7,0),"")</f>
        <v/>
      </c>
      <c r="I745" s="130" t="str">
        <f>_xlfn.IFNA(VLOOKUP(D745,ProductListTbl[],8,0),"")</f>
        <v/>
      </c>
      <c r="J745" s="127"/>
      <c r="K745" s="129"/>
      <c r="L745" s="128"/>
      <c r="M745" s="305" t="str">
        <f>IFERROR(Table3[[#This Row],[Quantity (doses)]]/Table3[[#This Row],[Doses per vial or syringe]],"")</f>
        <v/>
      </c>
      <c r="N745" s="127"/>
      <c r="O745" s="127"/>
      <c r="P745" s="381"/>
      <c r="Q745" s="129"/>
      <c r="R745" s="127"/>
      <c r="S745" s="127"/>
      <c r="T745" s="127"/>
      <c r="U745" s="127"/>
      <c r="V745" s="305" t="str">
        <f>_xlfn.IFNA(VLOOKUP(D745,ProductListTbl[],9,0),"")</f>
        <v/>
      </c>
      <c r="W745" s="305" t="str">
        <f>IFERROR(Table3[[#This Row],[Storage space per secondary packaging (cm3)]]*Table3[[#This Row],[Quantity  (vials or syringes)]]/1000,"")</f>
        <v/>
      </c>
      <c r="X745" s="305" t="str">
        <f>IFERROR(Table3[[#This Row],[Storage space per tertiary packaging (cm3)]]*Table3[[#This Row],[Quantity (doses)]]/1000,"")</f>
        <v/>
      </c>
      <c r="Y745" s="293" t="str">
        <f>IF(Table3[[#This Row],[Status]]="Ordered",(DATE(YEAR(P745),MONTH(P745),1)),IF(Table3[[#This Row],[Status]]="Received",(DATE(YEAR(Q745),MONTH(Q745),1)),""))</f>
        <v/>
      </c>
      <c r="Z745" s="304" t="str">
        <f t="shared" si="44"/>
        <v/>
      </c>
      <c r="AA745" s="48" t="str">
        <f t="shared" si="45"/>
        <v/>
      </c>
      <c r="AB745" s="48" t="str">
        <f t="shared" si="46"/>
        <v/>
      </c>
      <c r="AC745" s="292" t="str">
        <f t="shared" si="47"/>
        <v/>
      </c>
      <c r="AD745" s="48" t="str">
        <f>IF(Table3[[#This Row],[Actual Arrival date]]&gt;0,IF(Table3[[#This Row],[Expected arrival date]]&gt;0,Table3[[#This Row],[Actual Arrival date]]-Table3[[#This Row],[Expected arrival date]],""),"")</f>
        <v/>
      </c>
    </row>
    <row r="746" spans="1:30" x14ac:dyDescent="0.25">
      <c r="A746" s="303" t="str">
        <f>Start!$D$7</f>
        <v>Anyland</v>
      </c>
      <c r="B746" s="48" t="str">
        <f>_xlfn.IFNA(VLOOKUP(A746,list!B:C,2,FALSE),"")</f>
        <v>ANY</v>
      </c>
      <c r="C746" s="48"/>
      <c r="D746" s="127"/>
      <c r="E746" s="48" t="str">
        <f>_xlfn.IFNA(VLOOKUP(Table3[[#This Row],[Product]], ProductListTbl[], 3, 0), "")</f>
        <v/>
      </c>
      <c r="F746" s="303" t="str">
        <f>_xlfn.IFNA(VLOOKUP(D746,ProductListTbl[],5,0),"")</f>
        <v/>
      </c>
      <c r="G746" s="303" t="str">
        <f>_xlfn.IFNA(VLOOKUP(D746,ProductListTbl[],6,0),"")</f>
        <v/>
      </c>
      <c r="H746" s="130" t="str">
        <f>_xlfn.IFNA(VLOOKUP(D746,ProductListTbl[],7,0),"")</f>
        <v/>
      </c>
      <c r="I746" s="130" t="str">
        <f>_xlfn.IFNA(VLOOKUP(D746,ProductListTbl[],8,0),"")</f>
        <v/>
      </c>
      <c r="J746" s="127"/>
      <c r="K746" s="129"/>
      <c r="L746" s="128"/>
      <c r="M746" s="305" t="str">
        <f>IFERROR(Table3[[#This Row],[Quantity (doses)]]/Table3[[#This Row],[Doses per vial or syringe]],"")</f>
        <v/>
      </c>
      <c r="N746" s="127"/>
      <c r="O746" s="127"/>
      <c r="P746" s="381"/>
      <c r="Q746" s="129"/>
      <c r="R746" s="127"/>
      <c r="S746" s="127"/>
      <c r="T746" s="127"/>
      <c r="U746" s="127"/>
      <c r="V746" s="305" t="str">
        <f>_xlfn.IFNA(VLOOKUP(D746,ProductListTbl[],9,0),"")</f>
        <v/>
      </c>
      <c r="W746" s="305" t="str">
        <f>IFERROR(Table3[[#This Row],[Storage space per secondary packaging (cm3)]]*Table3[[#This Row],[Quantity  (vials or syringes)]]/1000,"")</f>
        <v/>
      </c>
      <c r="X746" s="305" t="str">
        <f>IFERROR(Table3[[#This Row],[Storage space per tertiary packaging (cm3)]]*Table3[[#This Row],[Quantity (doses)]]/1000,"")</f>
        <v/>
      </c>
      <c r="Y746" s="293" t="str">
        <f>IF(Table3[[#This Row],[Status]]="Ordered",(DATE(YEAR(P746),MONTH(P746),1)),IF(Table3[[#This Row],[Status]]="Received",(DATE(YEAR(Q746),MONTH(Q746),1)),""))</f>
        <v/>
      </c>
      <c r="Z746" s="304" t="str">
        <f t="shared" si="44"/>
        <v/>
      </c>
      <c r="AA746" s="48" t="str">
        <f t="shared" si="45"/>
        <v/>
      </c>
      <c r="AB746" s="48" t="str">
        <f t="shared" si="46"/>
        <v/>
      </c>
      <c r="AC746" s="292" t="str">
        <f t="shared" si="47"/>
        <v/>
      </c>
      <c r="AD746" s="48" t="str">
        <f>IF(Table3[[#This Row],[Actual Arrival date]]&gt;0,IF(Table3[[#This Row],[Expected arrival date]]&gt;0,Table3[[#This Row],[Actual Arrival date]]-Table3[[#This Row],[Expected arrival date]],""),"")</f>
        <v/>
      </c>
    </row>
    <row r="747" spans="1:30" x14ac:dyDescent="0.25">
      <c r="A747" s="303" t="str">
        <f>Start!$D$7</f>
        <v>Anyland</v>
      </c>
      <c r="B747" s="48" t="str">
        <f>_xlfn.IFNA(VLOOKUP(A747,list!B:C,2,FALSE),"")</f>
        <v>ANY</v>
      </c>
      <c r="C747" s="48"/>
      <c r="D747" s="127"/>
      <c r="E747" s="48" t="str">
        <f>_xlfn.IFNA(VLOOKUP(Table3[[#This Row],[Product]], ProductListTbl[], 3, 0), "")</f>
        <v/>
      </c>
      <c r="F747" s="303" t="str">
        <f>_xlfn.IFNA(VLOOKUP(D747,ProductListTbl[],5,0),"")</f>
        <v/>
      </c>
      <c r="G747" s="303" t="str">
        <f>_xlfn.IFNA(VLOOKUP(D747,ProductListTbl[],6,0),"")</f>
        <v/>
      </c>
      <c r="H747" s="130" t="str">
        <f>_xlfn.IFNA(VLOOKUP(D747,ProductListTbl[],7,0),"")</f>
        <v/>
      </c>
      <c r="I747" s="130" t="str">
        <f>_xlfn.IFNA(VLOOKUP(D747,ProductListTbl[],8,0),"")</f>
        <v/>
      </c>
      <c r="J747" s="127"/>
      <c r="K747" s="129"/>
      <c r="L747" s="128"/>
      <c r="M747" s="305" t="str">
        <f>IFERROR(Table3[[#This Row],[Quantity (doses)]]/Table3[[#This Row],[Doses per vial or syringe]],"")</f>
        <v/>
      </c>
      <c r="N747" s="127"/>
      <c r="O747" s="127"/>
      <c r="P747" s="381"/>
      <c r="Q747" s="129"/>
      <c r="R747" s="127"/>
      <c r="S747" s="127"/>
      <c r="T747" s="127"/>
      <c r="U747" s="127"/>
      <c r="V747" s="305" t="str">
        <f>_xlfn.IFNA(VLOOKUP(D747,ProductListTbl[],9,0),"")</f>
        <v/>
      </c>
      <c r="W747" s="305" t="str">
        <f>IFERROR(Table3[[#This Row],[Storage space per secondary packaging (cm3)]]*Table3[[#This Row],[Quantity  (vials or syringes)]]/1000,"")</f>
        <v/>
      </c>
      <c r="X747" s="305" t="str">
        <f>IFERROR(Table3[[#This Row],[Storage space per tertiary packaging (cm3)]]*Table3[[#This Row],[Quantity (doses)]]/1000,"")</f>
        <v/>
      </c>
      <c r="Y747" s="293" t="str">
        <f>IF(Table3[[#This Row],[Status]]="Ordered",(DATE(YEAR(P747),MONTH(P747),1)),IF(Table3[[#This Row],[Status]]="Received",(DATE(YEAR(Q747),MONTH(Q747),1)),""))</f>
        <v/>
      </c>
      <c r="Z747" s="304" t="str">
        <f t="shared" si="44"/>
        <v/>
      </c>
      <c r="AA747" s="48" t="str">
        <f t="shared" si="45"/>
        <v/>
      </c>
      <c r="AB747" s="48" t="str">
        <f t="shared" si="46"/>
        <v/>
      </c>
      <c r="AC747" s="292" t="str">
        <f t="shared" si="47"/>
        <v/>
      </c>
      <c r="AD747" s="48" t="str">
        <f>IF(Table3[[#This Row],[Actual Arrival date]]&gt;0,IF(Table3[[#This Row],[Expected arrival date]]&gt;0,Table3[[#This Row],[Actual Arrival date]]-Table3[[#This Row],[Expected arrival date]],""),"")</f>
        <v/>
      </c>
    </row>
    <row r="748" spans="1:30" x14ac:dyDescent="0.25">
      <c r="A748" s="303" t="str">
        <f>Start!$D$7</f>
        <v>Anyland</v>
      </c>
      <c r="B748" s="48" t="str">
        <f>_xlfn.IFNA(VLOOKUP(A748,list!B:C,2,FALSE),"")</f>
        <v>ANY</v>
      </c>
      <c r="C748" s="48"/>
      <c r="D748" s="127"/>
      <c r="E748" s="48" t="str">
        <f>_xlfn.IFNA(VLOOKUP(Table3[[#This Row],[Product]], ProductListTbl[], 3, 0), "")</f>
        <v/>
      </c>
      <c r="F748" s="303" t="str">
        <f>_xlfn.IFNA(VLOOKUP(D748,ProductListTbl[],5,0),"")</f>
        <v/>
      </c>
      <c r="G748" s="303" t="str">
        <f>_xlfn.IFNA(VLOOKUP(D748,ProductListTbl[],6,0),"")</f>
        <v/>
      </c>
      <c r="H748" s="130" t="str">
        <f>_xlfn.IFNA(VLOOKUP(D748,ProductListTbl[],7,0),"")</f>
        <v/>
      </c>
      <c r="I748" s="130" t="str">
        <f>_xlfn.IFNA(VLOOKUP(D748,ProductListTbl[],8,0),"")</f>
        <v/>
      </c>
      <c r="J748" s="127"/>
      <c r="K748" s="129"/>
      <c r="L748" s="128"/>
      <c r="M748" s="305" t="str">
        <f>IFERROR(Table3[[#This Row],[Quantity (doses)]]/Table3[[#This Row],[Doses per vial or syringe]],"")</f>
        <v/>
      </c>
      <c r="N748" s="127"/>
      <c r="O748" s="127"/>
      <c r="P748" s="381"/>
      <c r="Q748" s="129"/>
      <c r="R748" s="127"/>
      <c r="S748" s="127"/>
      <c r="T748" s="127"/>
      <c r="U748" s="127"/>
      <c r="V748" s="305" t="str">
        <f>_xlfn.IFNA(VLOOKUP(D748,ProductListTbl[],9,0),"")</f>
        <v/>
      </c>
      <c r="W748" s="305" t="str">
        <f>IFERROR(Table3[[#This Row],[Storage space per secondary packaging (cm3)]]*Table3[[#This Row],[Quantity  (vials or syringes)]]/1000,"")</f>
        <v/>
      </c>
      <c r="X748" s="305" t="str">
        <f>IFERROR(Table3[[#This Row],[Storage space per tertiary packaging (cm3)]]*Table3[[#This Row],[Quantity (doses)]]/1000,"")</f>
        <v/>
      </c>
      <c r="Y748" s="293" t="str">
        <f>IF(Table3[[#This Row],[Status]]="Ordered",(DATE(YEAR(P748),MONTH(P748),1)),IF(Table3[[#This Row],[Status]]="Received",(DATE(YEAR(Q748),MONTH(Q748),1)),""))</f>
        <v/>
      </c>
      <c r="Z748" s="304" t="str">
        <f t="shared" si="44"/>
        <v/>
      </c>
      <c r="AA748" s="48" t="str">
        <f t="shared" si="45"/>
        <v/>
      </c>
      <c r="AB748" s="48" t="str">
        <f t="shared" si="46"/>
        <v/>
      </c>
      <c r="AC748" s="292" t="str">
        <f t="shared" si="47"/>
        <v/>
      </c>
      <c r="AD748" s="48" t="str">
        <f>IF(Table3[[#This Row],[Actual Arrival date]]&gt;0,IF(Table3[[#This Row],[Expected arrival date]]&gt;0,Table3[[#This Row],[Actual Arrival date]]-Table3[[#This Row],[Expected arrival date]],""),"")</f>
        <v/>
      </c>
    </row>
    <row r="749" spans="1:30" x14ac:dyDescent="0.25">
      <c r="A749" s="303" t="str">
        <f>Start!$D$7</f>
        <v>Anyland</v>
      </c>
      <c r="B749" s="48" t="str">
        <f>_xlfn.IFNA(VLOOKUP(A749,list!B:C,2,FALSE),"")</f>
        <v>ANY</v>
      </c>
      <c r="C749" s="48"/>
      <c r="D749" s="127"/>
      <c r="E749" s="48" t="str">
        <f>_xlfn.IFNA(VLOOKUP(Table3[[#This Row],[Product]], ProductListTbl[], 3, 0), "")</f>
        <v/>
      </c>
      <c r="F749" s="303" t="str">
        <f>_xlfn.IFNA(VLOOKUP(D749,ProductListTbl[],5,0),"")</f>
        <v/>
      </c>
      <c r="G749" s="303" t="str">
        <f>_xlfn.IFNA(VLOOKUP(D749,ProductListTbl[],6,0),"")</f>
        <v/>
      </c>
      <c r="H749" s="130" t="str">
        <f>_xlfn.IFNA(VLOOKUP(D749,ProductListTbl[],7,0),"")</f>
        <v/>
      </c>
      <c r="I749" s="130" t="str">
        <f>_xlfn.IFNA(VLOOKUP(D749,ProductListTbl[],8,0),"")</f>
        <v/>
      </c>
      <c r="J749" s="127"/>
      <c r="K749" s="129"/>
      <c r="L749" s="128"/>
      <c r="M749" s="305" t="str">
        <f>IFERROR(Table3[[#This Row],[Quantity (doses)]]/Table3[[#This Row],[Doses per vial or syringe]],"")</f>
        <v/>
      </c>
      <c r="N749" s="127"/>
      <c r="O749" s="127"/>
      <c r="P749" s="381"/>
      <c r="Q749" s="129"/>
      <c r="R749" s="127"/>
      <c r="S749" s="127"/>
      <c r="T749" s="127"/>
      <c r="U749" s="127"/>
      <c r="V749" s="305" t="str">
        <f>_xlfn.IFNA(VLOOKUP(D749,ProductListTbl[],9,0),"")</f>
        <v/>
      </c>
      <c r="W749" s="305" t="str">
        <f>IFERROR(Table3[[#This Row],[Storage space per secondary packaging (cm3)]]*Table3[[#This Row],[Quantity  (vials or syringes)]]/1000,"")</f>
        <v/>
      </c>
      <c r="X749" s="305" t="str">
        <f>IFERROR(Table3[[#This Row],[Storage space per tertiary packaging (cm3)]]*Table3[[#This Row],[Quantity (doses)]]/1000,"")</f>
        <v/>
      </c>
      <c r="Y749" s="293" t="str">
        <f>IF(Table3[[#This Row],[Status]]="Ordered",(DATE(YEAR(P749),MONTH(P749),1)),IF(Table3[[#This Row],[Status]]="Received",(DATE(YEAR(Q749),MONTH(Q749),1)),""))</f>
        <v/>
      </c>
      <c r="Z749" s="304" t="str">
        <f t="shared" si="44"/>
        <v/>
      </c>
      <c r="AA749" s="48" t="str">
        <f t="shared" si="45"/>
        <v/>
      </c>
      <c r="AB749" s="48" t="str">
        <f t="shared" si="46"/>
        <v/>
      </c>
      <c r="AC749" s="292" t="str">
        <f t="shared" si="47"/>
        <v/>
      </c>
      <c r="AD749" s="48" t="str">
        <f>IF(Table3[[#This Row],[Actual Arrival date]]&gt;0,IF(Table3[[#This Row],[Expected arrival date]]&gt;0,Table3[[#This Row],[Actual Arrival date]]-Table3[[#This Row],[Expected arrival date]],""),"")</f>
        <v/>
      </c>
    </row>
    <row r="750" spans="1:30" x14ac:dyDescent="0.25">
      <c r="A750" s="303" t="str">
        <f>Start!$D$7</f>
        <v>Anyland</v>
      </c>
      <c r="B750" s="48" t="str">
        <f>_xlfn.IFNA(VLOOKUP(A750,list!B:C,2,FALSE),"")</f>
        <v>ANY</v>
      </c>
      <c r="C750" s="48"/>
      <c r="D750" s="127"/>
      <c r="E750" s="48" t="str">
        <f>_xlfn.IFNA(VLOOKUP(Table3[[#This Row],[Product]], ProductListTbl[], 3, 0), "")</f>
        <v/>
      </c>
      <c r="F750" s="303" t="str">
        <f>_xlfn.IFNA(VLOOKUP(D750,ProductListTbl[],5,0),"")</f>
        <v/>
      </c>
      <c r="G750" s="303" t="str">
        <f>_xlfn.IFNA(VLOOKUP(D750,ProductListTbl[],6,0),"")</f>
        <v/>
      </c>
      <c r="H750" s="130" t="str">
        <f>_xlfn.IFNA(VLOOKUP(D750,ProductListTbl[],7,0),"")</f>
        <v/>
      </c>
      <c r="I750" s="130" t="str">
        <f>_xlfn.IFNA(VLOOKUP(D750,ProductListTbl[],8,0),"")</f>
        <v/>
      </c>
      <c r="J750" s="127"/>
      <c r="K750" s="129"/>
      <c r="L750" s="128"/>
      <c r="M750" s="305" t="str">
        <f>IFERROR(Table3[[#This Row],[Quantity (doses)]]/Table3[[#This Row],[Doses per vial or syringe]],"")</f>
        <v/>
      </c>
      <c r="N750" s="127"/>
      <c r="O750" s="127"/>
      <c r="P750" s="381"/>
      <c r="Q750" s="129"/>
      <c r="R750" s="127"/>
      <c r="S750" s="127"/>
      <c r="T750" s="127"/>
      <c r="U750" s="127"/>
      <c r="V750" s="305" t="str">
        <f>_xlfn.IFNA(VLOOKUP(D750,ProductListTbl[],9,0),"")</f>
        <v/>
      </c>
      <c r="W750" s="305" t="str">
        <f>IFERROR(Table3[[#This Row],[Storage space per secondary packaging (cm3)]]*Table3[[#This Row],[Quantity  (vials or syringes)]]/1000,"")</f>
        <v/>
      </c>
      <c r="X750" s="305" t="str">
        <f>IFERROR(Table3[[#This Row],[Storage space per tertiary packaging (cm3)]]*Table3[[#This Row],[Quantity (doses)]]/1000,"")</f>
        <v/>
      </c>
      <c r="Y750" s="293" t="str">
        <f>IF(Table3[[#This Row],[Status]]="Ordered",(DATE(YEAR(P750),MONTH(P750),1)),IF(Table3[[#This Row],[Status]]="Received",(DATE(YEAR(Q750),MONTH(Q750),1)),""))</f>
        <v/>
      </c>
      <c r="Z750" s="304" t="str">
        <f t="shared" si="44"/>
        <v/>
      </c>
      <c r="AA750" s="48" t="str">
        <f t="shared" si="45"/>
        <v/>
      </c>
      <c r="AB750" s="48" t="str">
        <f t="shared" si="46"/>
        <v/>
      </c>
      <c r="AC750" s="292" t="str">
        <f t="shared" si="47"/>
        <v/>
      </c>
      <c r="AD750" s="48" t="str">
        <f>IF(Table3[[#This Row],[Actual Arrival date]]&gt;0,IF(Table3[[#This Row],[Expected arrival date]]&gt;0,Table3[[#This Row],[Actual Arrival date]]-Table3[[#This Row],[Expected arrival date]],""),"")</f>
        <v/>
      </c>
    </row>
    <row r="751" spans="1:30" x14ac:dyDescent="0.25">
      <c r="A751" s="303" t="str">
        <f>Start!$D$7</f>
        <v>Anyland</v>
      </c>
      <c r="B751" s="48" t="str">
        <f>_xlfn.IFNA(VLOOKUP(A751,list!B:C,2,FALSE),"")</f>
        <v>ANY</v>
      </c>
      <c r="C751" s="48"/>
      <c r="D751" s="127"/>
      <c r="E751" s="48" t="str">
        <f>_xlfn.IFNA(VLOOKUP(Table3[[#This Row],[Product]], ProductListTbl[], 3, 0), "")</f>
        <v/>
      </c>
      <c r="F751" s="303" t="str">
        <f>_xlfn.IFNA(VLOOKUP(D751,ProductListTbl[],5,0),"")</f>
        <v/>
      </c>
      <c r="G751" s="303" t="str">
        <f>_xlfn.IFNA(VLOOKUP(D751,ProductListTbl[],6,0),"")</f>
        <v/>
      </c>
      <c r="H751" s="130" t="str">
        <f>_xlfn.IFNA(VLOOKUP(D751,ProductListTbl[],7,0),"")</f>
        <v/>
      </c>
      <c r="I751" s="130" t="str">
        <f>_xlfn.IFNA(VLOOKUP(D751,ProductListTbl[],8,0),"")</f>
        <v/>
      </c>
      <c r="J751" s="127"/>
      <c r="K751" s="129"/>
      <c r="L751" s="128"/>
      <c r="M751" s="305" t="str">
        <f>IFERROR(Table3[[#This Row],[Quantity (doses)]]/Table3[[#This Row],[Doses per vial or syringe]],"")</f>
        <v/>
      </c>
      <c r="N751" s="127"/>
      <c r="O751" s="127"/>
      <c r="P751" s="381"/>
      <c r="Q751" s="129"/>
      <c r="R751" s="127"/>
      <c r="S751" s="127"/>
      <c r="T751" s="127"/>
      <c r="U751" s="127"/>
      <c r="V751" s="305" t="str">
        <f>_xlfn.IFNA(VLOOKUP(D751,ProductListTbl[],9,0),"")</f>
        <v/>
      </c>
      <c r="W751" s="305" t="str">
        <f>IFERROR(Table3[[#This Row],[Storage space per secondary packaging (cm3)]]*Table3[[#This Row],[Quantity  (vials or syringes)]]/1000,"")</f>
        <v/>
      </c>
      <c r="X751" s="305" t="str">
        <f>IFERROR(Table3[[#This Row],[Storage space per tertiary packaging (cm3)]]*Table3[[#This Row],[Quantity (doses)]]/1000,"")</f>
        <v/>
      </c>
      <c r="Y751" s="293" t="str">
        <f>IF(Table3[[#This Row],[Status]]="Ordered",(DATE(YEAR(P751),MONTH(P751),1)),IF(Table3[[#This Row],[Status]]="Received",(DATE(YEAR(Q751),MONTH(Q751),1)),""))</f>
        <v/>
      </c>
      <c r="Z751" s="304" t="str">
        <f t="shared" si="44"/>
        <v/>
      </c>
      <c r="AA751" s="48" t="str">
        <f t="shared" si="45"/>
        <v/>
      </c>
      <c r="AB751" s="48" t="str">
        <f t="shared" si="46"/>
        <v/>
      </c>
      <c r="AC751" s="292" t="str">
        <f t="shared" si="47"/>
        <v/>
      </c>
      <c r="AD751" s="48" t="str">
        <f>IF(Table3[[#This Row],[Actual Arrival date]]&gt;0,IF(Table3[[#This Row],[Expected arrival date]]&gt;0,Table3[[#This Row],[Actual Arrival date]]-Table3[[#This Row],[Expected arrival date]],""),"")</f>
        <v/>
      </c>
    </row>
    <row r="752" spans="1:30" x14ac:dyDescent="0.25">
      <c r="A752" s="303" t="str">
        <f>Start!$D$7</f>
        <v>Anyland</v>
      </c>
      <c r="B752" s="48" t="str">
        <f>_xlfn.IFNA(VLOOKUP(A752,list!B:C,2,FALSE),"")</f>
        <v>ANY</v>
      </c>
      <c r="C752" s="48"/>
      <c r="D752" s="127"/>
      <c r="E752" s="48" t="str">
        <f>_xlfn.IFNA(VLOOKUP(Table3[[#This Row],[Product]], ProductListTbl[], 3, 0), "")</f>
        <v/>
      </c>
      <c r="F752" s="303" t="str">
        <f>_xlfn.IFNA(VLOOKUP(D752,ProductListTbl[],5,0),"")</f>
        <v/>
      </c>
      <c r="G752" s="303" t="str">
        <f>_xlfn.IFNA(VLOOKUP(D752,ProductListTbl[],6,0),"")</f>
        <v/>
      </c>
      <c r="H752" s="130" t="str">
        <f>_xlfn.IFNA(VLOOKUP(D752,ProductListTbl[],7,0),"")</f>
        <v/>
      </c>
      <c r="I752" s="130" t="str">
        <f>_xlfn.IFNA(VLOOKUP(D752,ProductListTbl[],8,0),"")</f>
        <v/>
      </c>
      <c r="J752" s="127"/>
      <c r="K752" s="129"/>
      <c r="L752" s="128"/>
      <c r="M752" s="305" t="str">
        <f>IFERROR(Table3[[#This Row],[Quantity (doses)]]/Table3[[#This Row],[Doses per vial or syringe]],"")</f>
        <v/>
      </c>
      <c r="N752" s="127"/>
      <c r="O752" s="127"/>
      <c r="P752" s="381"/>
      <c r="Q752" s="129"/>
      <c r="R752" s="127"/>
      <c r="S752" s="127"/>
      <c r="T752" s="127"/>
      <c r="U752" s="127"/>
      <c r="V752" s="305" t="str">
        <f>_xlfn.IFNA(VLOOKUP(D752,ProductListTbl[],9,0),"")</f>
        <v/>
      </c>
      <c r="W752" s="305" t="str">
        <f>IFERROR(Table3[[#This Row],[Storage space per secondary packaging (cm3)]]*Table3[[#This Row],[Quantity  (vials or syringes)]]/1000,"")</f>
        <v/>
      </c>
      <c r="X752" s="305" t="str">
        <f>IFERROR(Table3[[#This Row],[Storage space per tertiary packaging (cm3)]]*Table3[[#This Row],[Quantity (doses)]]/1000,"")</f>
        <v/>
      </c>
      <c r="Y752" s="293" t="str">
        <f>IF(Table3[[#This Row],[Status]]="Ordered",(DATE(YEAR(P752),MONTH(P752),1)),IF(Table3[[#This Row],[Status]]="Received",(DATE(YEAR(Q752),MONTH(Q752),1)),""))</f>
        <v/>
      </c>
      <c r="Z752" s="304" t="str">
        <f t="shared" si="44"/>
        <v/>
      </c>
      <c r="AA752" s="48" t="str">
        <f t="shared" si="45"/>
        <v/>
      </c>
      <c r="AB752" s="48" t="str">
        <f t="shared" si="46"/>
        <v/>
      </c>
      <c r="AC752" s="292" t="str">
        <f t="shared" si="47"/>
        <v/>
      </c>
      <c r="AD752" s="48" t="str">
        <f>IF(Table3[[#This Row],[Actual Arrival date]]&gt;0,IF(Table3[[#This Row],[Expected arrival date]]&gt;0,Table3[[#This Row],[Actual Arrival date]]-Table3[[#This Row],[Expected arrival date]],""),"")</f>
        <v/>
      </c>
    </row>
    <row r="753" spans="1:30" x14ac:dyDescent="0.25">
      <c r="A753" s="303" t="str">
        <f>Start!$D$7</f>
        <v>Anyland</v>
      </c>
      <c r="B753" s="48" t="str">
        <f>_xlfn.IFNA(VLOOKUP(A753,list!B:C,2,FALSE),"")</f>
        <v>ANY</v>
      </c>
      <c r="C753" s="48"/>
      <c r="D753" s="127"/>
      <c r="E753" s="48" t="str">
        <f>_xlfn.IFNA(VLOOKUP(Table3[[#This Row],[Product]], ProductListTbl[], 3, 0), "")</f>
        <v/>
      </c>
      <c r="F753" s="303" t="str">
        <f>_xlfn.IFNA(VLOOKUP(D753,ProductListTbl[],5,0),"")</f>
        <v/>
      </c>
      <c r="G753" s="303" t="str">
        <f>_xlfn.IFNA(VLOOKUP(D753,ProductListTbl[],6,0),"")</f>
        <v/>
      </c>
      <c r="H753" s="130" t="str">
        <f>_xlfn.IFNA(VLOOKUP(D753,ProductListTbl[],7,0),"")</f>
        <v/>
      </c>
      <c r="I753" s="130" t="str">
        <f>_xlfn.IFNA(VLOOKUP(D753,ProductListTbl[],8,0),"")</f>
        <v/>
      </c>
      <c r="J753" s="127"/>
      <c r="K753" s="129"/>
      <c r="L753" s="128"/>
      <c r="M753" s="305" t="str">
        <f>IFERROR(Table3[[#This Row],[Quantity (doses)]]/Table3[[#This Row],[Doses per vial or syringe]],"")</f>
        <v/>
      </c>
      <c r="N753" s="127"/>
      <c r="O753" s="127"/>
      <c r="P753" s="381"/>
      <c r="Q753" s="129"/>
      <c r="R753" s="127"/>
      <c r="S753" s="127"/>
      <c r="T753" s="127"/>
      <c r="U753" s="127"/>
      <c r="V753" s="305" t="str">
        <f>_xlfn.IFNA(VLOOKUP(D753,ProductListTbl[],9,0),"")</f>
        <v/>
      </c>
      <c r="W753" s="305" t="str">
        <f>IFERROR(Table3[[#This Row],[Storage space per secondary packaging (cm3)]]*Table3[[#This Row],[Quantity  (vials or syringes)]]/1000,"")</f>
        <v/>
      </c>
      <c r="X753" s="305" t="str">
        <f>IFERROR(Table3[[#This Row],[Storage space per tertiary packaging (cm3)]]*Table3[[#This Row],[Quantity (doses)]]/1000,"")</f>
        <v/>
      </c>
      <c r="Y753" s="293" t="str">
        <f>IF(Table3[[#This Row],[Status]]="Ordered",(DATE(YEAR(P753),MONTH(P753),1)),IF(Table3[[#This Row],[Status]]="Received",(DATE(YEAR(Q753),MONTH(Q753),1)),""))</f>
        <v/>
      </c>
      <c r="Z753" s="304" t="str">
        <f t="shared" si="44"/>
        <v/>
      </c>
      <c r="AA753" s="48" t="str">
        <f t="shared" si="45"/>
        <v/>
      </c>
      <c r="AB753" s="48" t="str">
        <f t="shared" si="46"/>
        <v/>
      </c>
      <c r="AC753" s="292" t="str">
        <f t="shared" si="47"/>
        <v/>
      </c>
      <c r="AD753" s="48" t="str">
        <f>IF(Table3[[#This Row],[Actual Arrival date]]&gt;0,IF(Table3[[#This Row],[Expected arrival date]]&gt;0,Table3[[#This Row],[Actual Arrival date]]-Table3[[#This Row],[Expected arrival date]],""),"")</f>
        <v/>
      </c>
    </row>
    <row r="754" spans="1:30" x14ac:dyDescent="0.25">
      <c r="A754" s="303" t="str">
        <f>Start!$D$7</f>
        <v>Anyland</v>
      </c>
      <c r="B754" s="48" t="str">
        <f>_xlfn.IFNA(VLOOKUP(A754,list!B:C,2,FALSE),"")</f>
        <v>ANY</v>
      </c>
      <c r="C754" s="48"/>
      <c r="D754" s="127"/>
      <c r="E754" s="48" t="str">
        <f>_xlfn.IFNA(VLOOKUP(Table3[[#This Row],[Product]], ProductListTbl[], 3, 0), "")</f>
        <v/>
      </c>
      <c r="F754" s="303" t="str">
        <f>_xlfn.IFNA(VLOOKUP(D754,ProductListTbl[],5,0),"")</f>
        <v/>
      </c>
      <c r="G754" s="303" t="str">
        <f>_xlfn.IFNA(VLOOKUP(D754,ProductListTbl[],6,0),"")</f>
        <v/>
      </c>
      <c r="H754" s="130" t="str">
        <f>_xlfn.IFNA(VLOOKUP(D754,ProductListTbl[],7,0),"")</f>
        <v/>
      </c>
      <c r="I754" s="130" t="str">
        <f>_xlfn.IFNA(VLOOKUP(D754,ProductListTbl[],8,0),"")</f>
        <v/>
      </c>
      <c r="J754" s="127"/>
      <c r="K754" s="129"/>
      <c r="L754" s="128"/>
      <c r="M754" s="305" t="str">
        <f>IFERROR(Table3[[#This Row],[Quantity (doses)]]/Table3[[#This Row],[Doses per vial or syringe]],"")</f>
        <v/>
      </c>
      <c r="N754" s="127"/>
      <c r="O754" s="127"/>
      <c r="P754" s="381"/>
      <c r="Q754" s="129"/>
      <c r="R754" s="127"/>
      <c r="S754" s="127"/>
      <c r="T754" s="127"/>
      <c r="U754" s="127"/>
      <c r="V754" s="305" t="str">
        <f>_xlfn.IFNA(VLOOKUP(D754,ProductListTbl[],9,0),"")</f>
        <v/>
      </c>
      <c r="W754" s="305" t="str">
        <f>IFERROR(Table3[[#This Row],[Storage space per secondary packaging (cm3)]]*Table3[[#This Row],[Quantity  (vials or syringes)]]/1000,"")</f>
        <v/>
      </c>
      <c r="X754" s="305" t="str">
        <f>IFERROR(Table3[[#This Row],[Storage space per tertiary packaging (cm3)]]*Table3[[#This Row],[Quantity (doses)]]/1000,"")</f>
        <v/>
      </c>
      <c r="Y754" s="293" t="str">
        <f>IF(Table3[[#This Row],[Status]]="Ordered",(DATE(YEAR(P754),MONTH(P754),1)),IF(Table3[[#This Row],[Status]]="Received",(DATE(YEAR(Q754),MONTH(Q754),1)),""))</f>
        <v/>
      </c>
      <c r="Z754" s="304" t="str">
        <f t="shared" si="44"/>
        <v/>
      </c>
      <c r="AA754" s="48" t="str">
        <f t="shared" si="45"/>
        <v/>
      </c>
      <c r="AB754" s="48" t="str">
        <f t="shared" si="46"/>
        <v/>
      </c>
      <c r="AC754" s="292" t="str">
        <f t="shared" si="47"/>
        <v/>
      </c>
      <c r="AD754" s="48" t="str">
        <f>IF(Table3[[#This Row],[Actual Arrival date]]&gt;0,IF(Table3[[#This Row],[Expected arrival date]]&gt;0,Table3[[#This Row],[Actual Arrival date]]-Table3[[#This Row],[Expected arrival date]],""),"")</f>
        <v/>
      </c>
    </row>
    <row r="755" spans="1:30" x14ac:dyDescent="0.25">
      <c r="A755" s="303" t="str">
        <f>Start!$D$7</f>
        <v>Anyland</v>
      </c>
      <c r="B755" s="48" t="str">
        <f>_xlfn.IFNA(VLOOKUP(A755,list!B:C,2,FALSE),"")</f>
        <v>ANY</v>
      </c>
      <c r="C755" s="48"/>
      <c r="D755" s="127"/>
      <c r="E755" s="48" t="str">
        <f>_xlfn.IFNA(VLOOKUP(Table3[[#This Row],[Product]], ProductListTbl[], 3, 0), "")</f>
        <v/>
      </c>
      <c r="F755" s="303" t="str">
        <f>_xlfn.IFNA(VLOOKUP(D755,ProductListTbl[],5,0),"")</f>
        <v/>
      </c>
      <c r="G755" s="303" t="str">
        <f>_xlfn.IFNA(VLOOKUP(D755,ProductListTbl[],6,0),"")</f>
        <v/>
      </c>
      <c r="H755" s="130" t="str">
        <f>_xlfn.IFNA(VLOOKUP(D755,ProductListTbl[],7,0),"")</f>
        <v/>
      </c>
      <c r="I755" s="130" t="str">
        <f>_xlfn.IFNA(VLOOKUP(D755,ProductListTbl[],8,0),"")</f>
        <v/>
      </c>
      <c r="J755" s="127"/>
      <c r="K755" s="129"/>
      <c r="L755" s="128"/>
      <c r="M755" s="305" t="str">
        <f>IFERROR(Table3[[#This Row],[Quantity (doses)]]/Table3[[#This Row],[Doses per vial or syringe]],"")</f>
        <v/>
      </c>
      <c r="N755" s="127"/>
      <c r="O755" s="127"/>
      <c r="P755" s="381"/>
      <c r="Q755" s="129"/>
      <c r="R755" s="127"/>
      <c r="S755" s="127"/>
      <c r="T755" s="127"/>
      <c r="U755" s="127"/>
      <c r="V755" s="305" t="str">
        <f>_xlfn.IFNA(VLOOKUP(D755,ProductListTbl[],9,0),"")</f>
        <v/>
      </c>
      <c r="W755" s="305" t="str">
        <f>IFERROR(Table3[[#This Row],[Storage space per secondary packaging (cm3)]]*Table3[[#This Row],[Quantity  (vials or syringes)]]/1000,"")</f>
        <v/>
      </c>
      <c r="X755" s="305" t="str">
        <f>IFERROR(Table3[[#This Row],[Storage space per tertiary packaging (cm3)]]*Table3[[#This Row],[Quantity (doses)]]/1000,"")</f>
        <v/>
      </c>
      <c r="Y755" s="293" t="str">
        <f>IF(Table3[[#This Row],[Status]]="Ordered",(DATE(YEAR(P755),MONTH(P755),1)),IF(Table3[[#This Row],[Status]]="Received",(DATE(YEAR(Q755),MONTH(Q755),1)),""))</f>
        <v/>
      </c>
      <c r="Z755" s="304" t="str">
        <f t="shared" si="44"/>
        <v/>
      </c>
      <c r="AA755" s="48" t="str">
        <f t="shared" si="45"/>
        <v/>
      </c>
      <c r="AB755" s="48" t="str">
        <f t="shared" si="46"/>
        <v/>
      </c>
      <c r="AC755" s="292" t="str">
        <f t="shared" si="47"/>
        <v/>
      </c>
      <c r="AD755" s="48" t="str">
        <f>IF(Table3[[#This Row],[Actual Arrival date]]&gt;0,IF(Table3[[#This Row],[Expected arrival date]]&gt;0,Table3[[#This Row],[Actual Arrival date]]-Table3[[#This Row],[Expected arrival date]],""),"")</f>
        <v/>
      </c>
    </row>
    <row r="756" spans="1:30" x14ac:dyDescent="0.25">
      <c r="A756" s="303" t="str">
        <f>Start!$D$7</f>
        <v>Anyland</v>
      </c>
      <c r="B756" s="48" t="str">
        <f>_xlfn.IFNA(VLOOKUP(A756,list!B:C,2,FALSE),"")</f>
        <v>ANY</v>
      </c>
      <c r="C756" s="48"/>
      <c r="D756" s="127"/>
      <c r="E756" s="48" t="str">
        <f>_xlfn.IFNA(VLOOKUP(Table3[[#This Row],[Product]], ProductListTbl[], 3, 0), "")</f>
        <v/>
      </c>
      <c r="F756" s="303" t="str">
        <f>_xlfn.IFNA(VLOOKUP(D756,ProductListTbl[],5,0),"")</f>
        <v/>
      </c>
      <c r="G756" s="303" t="str">
        <f>_xlfn.IFNA(VLOOKUP(D756,ProductListTbl[],6,0),"")</f>
        <v/>
      </c>
      <c r="H756" s="130" t="str">
        <f>_xlfn.IFNA(VLOOKUP(D756,ProductListTbl[],7,0),"")</f>
        <v/>
      </c>
      <c r="I756" s="130" t="str">
        <f>_xlfn.IFNA(VLOOKUP(D756,ProductListTbl[],8,0),"")</f>
        <v/>
      </c>
      <c r="J756" s="127"/>
      <c r="K756" s="129"/>
      <c r="L756" s="128"/>
      <c r="M756" s="305" t="str">
        <f>IFERROR(Table3[[#This Row],[Quantity (doses)]]/Table3[[#This Row],[Doses per vial or syringe]],"")</f>
        <v/>
      </c>
      <c r="N756" s="127"/>
      <c r="O756" s="127"/>
      <c r="P756" s="381"/>
      <c r="Q756" s="129"/>
      <c r="R756" s="127"/>
      <c r="S756" s="127"/>
      <c r="T756" s="127"/>
      <c r="U756" s="127"/>
      <c r="V756" s="305" t="str">
        <f>_xlfn.IFNA(VLOOKUP(D756,ProductListTbl[],9,0),"")</f>
        <v/>
      </c>
      <c r="W756" s="305" t="str">
        <f>IFERROR(Table3[[#This Row],[Storage space per secondary packaging (cm3)]]*Table3[[#This Row],[Quantity  (vials or syringes)]]/1000,"")</f>
        <v/>
      </c>
      <c r="X756" s="305" t="str">
        <f>IFERROR(Table3[[#This Row],[Storage space per tertiary packaging (cm3)]]*Table3[[#This Row],[Quantity (doses)]]/1000,"")</f>
        <v/>
      </c>
      <c r="Y756" s="293" t="str">
        <f>IF(Table3[[#This Row],[Status]]="Ordered",(DATE(YEAR(P756),MONTH(P756),1)),IF(Table3[[#This Row],[Status]]="Received",(DATE(YEAR(Q756),MONTH(Q756),1)),""))</f>
        <v/>
      </c>
      <c r="Z756" s="304" t="str">
        <f t="shared" si="44"/>
        <v/>
      </c>
      <c r="AA756" s="48" t="str">
        <f t="shared" si="45"/>
        <v/>
      </c>
      <c r="AB756" s="48" t="str">
        <f t="shared" si="46"/>
        <v/>
      </c>
      <c r="AC756" s="292" t="str">
        <f t="shared" si="47"/>
        <v/>
      </c>
      <c r="AD756" s="48" t="str">
        <f>IF(Table3[[#This Row],[Actual Arrival date]]&gt;0,IF(Table3[[#This Row],[Expected arrival date]]&gt;0,Table3[[#This Row],[Actual Arrival date]]-Table3[[#This Row],[Expected arrival date]],""),"")</f>
        <v/>
      </c>
    </row>
    <row r="757" spans="1:30" x14ac:dyDescent="0.25">
      <c r="A757" s="303" t="str">
        <f>Start!$D$7</f>
        <v>Anyland</v>
      </c>
      <c r="B757" s="48" t="str">
        <f>_xlfn.IFNA(VLOOKUP(A757,list!B:C,2,FALSE),"")</f>
        <v>ANY</v>
      </c>
      <c r="C757" s="48"/>
      <c r="D757" s="127"/>
      <c r="E757" s="48" t="str">
        <f>_xlfn.IFNA(VLOOKUP(Table3[[#This Row],[Product]], ProductListTbl[], 3, 0), "")</f>
        <v/>
      </c>
      <c r="F757" s="303" t="str">
        <f>_xlfn.IFNA(VLOOKUP(D757,ProductListTbl[],5,0),"")</f>
        <v/>
      </c>
      <c r="G757" s="303" t="str">
        <f>_xlfn.IFNA(VLOOKUP(D757,ProductListTbl[],6,0),"")</f>
        <v/>
      </c>
      <c r="H757" s="130" t="str">
        <f>_xlfn.IFNA(VLOOKUP(D757,ProductListTbl[],7,0),"")</f>
        <v/>
      </c>
      <c r="I757" s="130" t="str">
        <f>_xlfn.IFNA(VLOOKUP(D757,ProductListTbl[],8,0),"")</f>
        <v/>
      </c>
      <c r="J757" s="127"/>
      <c r="K757" s="129"/>
      <c r="L757" s="128"/>
      <c r="M757" s="305" t="str">
        <f>IFERROR(Table3[[#This Row],[Quantity (doses)]]/Table3[[#This Row],[Doses per vial or syringe]],"")</f>
        <v/>
      </c>
      <c r="N757" s="127"/>
      <c r="O757" s="127"/>
      <c r="P757" s="381"/>
      <c r="Q757" s="129"/>
      <c r="R757" s="127"/>
      <c r="S757" s="127"/>
      <c r="T757" s="127"/>
      <c r="U757" s="127"/>
      <c r="V757" s="305" t="str">
        <f>_xlfn.IFNA(VLOOKUP(D757,ProductListTbl[],9,0),"")</f>
        <v/>
      </c>
      <c r="W757" s="305" t="str">
        <f>IFERROR(Table3[[#This Row],[Storage space per secondary packaging (cm3)]]*Table3[[#This Row],[Quantity  (vials or syringes)]]/1000,"")</f>
        <v/>
      </c>
      <c r="X757" s="305" t="str">
        <f>IFERROR(Table3[[#This Row],[Storage space per tertiary packaging (cm3)]]*Table3[[#This Row],[Quantity (doses)]]/1000,"")</f>
        <v/>
      </c>
      <c r="Y757" s="293" t="str">
        <f>IF(Table3[[#This Row],[Status]]="Ordered",(DATE(YEAR(P757),MONTH(P757),1)),IF(Table3[[#This Row],[Status]]="Received",(DATE(YEAR(Q757),MONTH(Q757),1)),""))</f>
        <v/>
      </c>
      <c r="Z757" s="304" t="str">
        <f t="shared" si="44"/>
        <v/>
      </c>
      <c r="AA757" s="48" t="str">
        <f t="shared" si="45"/>
        <v/>
      </c>
      <c r="AB757" s="48" t="str">
        <f t="shared" si="46"/>
        <v/>
      </c>
      <c r="AC757" s="292" t="str">
        <f t="shared" si="47"/>
        <v/>
      </c>
      <c r="AD757" s="48" t="str">
        <f>IF(Table3[[#This Row],[Actual Arrival date]]&gt;0,IF(Table3[[#This Row],[Expected arrival date]]&gt;0,Table3[[#This Row],[Actual Arrival date]]-Table3[[#This Row],[Expected arrival date]],""),"")</f>
        <v/>
      </c>
    </row>
    <row r="758" spans="1:30" x14ac:dyDescent="0.25">
      <c r="A758" s="303" t="str">
        <f>Start!$D$7</f>
        <v>Anyland</v>
      </c>
      <c r="B758" s="48" t="str">
        <f>_xlfn.IFNA(VLOOKUP(A758,list!B:C,2,FALSE),"")</f>
        <v>ANY</v>
      </c>
      <c r="C758" s="48"/>
      <c r="D758" s="127"/>
      <c r="E758" s="48" t="str">
        <f>_xlfn.IFNA(VLOOKUP(Table3[[#This Row],[Product]], ProductListTbl[], 3, 0), "")</f>
        <v/>
      </c>
      <c r="F758" s="303" t="str">
        <f>_xlfn.IFNA(VLOOKUP(D758,ProductListTbl[],5,0),"")</f>
        <v/>
      </c>
      <c r="G758" s="303" t="str">
        <f>_xlfn.IFNA(VLOOKUP(D758,ProductListTbl[],6,0),"")</f>
        <v/>
      </c>
      <c r="H758" s="130" t="str">
        <f>_xlfn.IFNA(VLOOKUP(D758,ProductListTbl[],7,0),"")</f>
        <v/>
      </c>
      <c r="I758" s="130" t="str">
        <f>_xlfn.IFNA(VLOOKUP(D758,ProductListTbl[],8,0),"")</f>
        <v/>
      </c>
      <c r="J758" s="127"/>
      <c r="K758" s="129"/>
      <c r="L758" s="128"/>
      <c r="M758" s="305" t="str">
        <f>IFERROR(Table3[[#This Row],[Quantity (doses)]]/Table3[[#This Row],[Doses per vial or syringe]],"")</f>
        <v/>
      </c>
      <c r="N758" s="127"/>
      <c r="O758" s="127"/>
      <c r="P758" s="381"/>
      <c r="Q758" s="129"/>
      <c r="R758" s="127"/>
      <c r="S758" s="127"/>
      <c r="T758" s="127"/>
      <c r="U758" s="127"/>
      <c r="V758" s="305" t="str">
        <f>_xlfn.IFNA(VLOOKUP(D758,ProductListTbl[],9,0),"")</f>
        <v/>
      </c>
      <c r="W758" s="305" t="str">
        <f>IFERROR(Table3[[#This Row],[Storage space per secondary packaging (cm3)]]*Table3[[#This Row],[Quantity  (vials or syringes)]]/1000,"")</f>
        <v/>
      </c>
      <c r="X758" s="305" t="str">
        <f>IFERROR(Table3[[#This Row],[Storage space per tertiary packaging (cm3)]]*Table3[[#This Row],[Quantity (doses)]]/1000,"")</f>
        <v/>
      </c>
      <c r="Y758" s="293" t="str">
        <f>IF(Table3[[#This Row],[Status]]="Ordered",(DATE(YEAR(P758),MONTH(P758),1)),IF(Table3[[#This Row],[Status]]="Received",(DATE(YEAR(Q758),MONTH(Q758),1)),""))</f>
        <v/>
      </c>
      <c r="Z758" s="304" t="str">
        <f t="shared" si="44"/>
        <v/>
      </c>
      <c r="AA758" s="48" t="str">
        <f t="shared" si="45"/>
        <v/>
      </c>
      <c r="AB758" s="48" t="str">
        <f t="shared" si="46"/>
        <v/>
      </c>
      <c r="AC758" s="292" t="str">
        <f t="shared" si="47"/>
        <v/>
      </c>
      <c r="AD758" s="48" t="str">
        <f>IF(Table3[[#This Row],[Actual Arrival date]]&gt;0,IF(Table3[[#This Row],[Expected arrival date]]&gt;0,Table3[[#This Row],[Actual Arrival date]]-Table3[[#This Row],[Expected arrival date]],""),"")</f>
        <v/>
      </c>
    </row>
    <row r="759" spans="1:30" x14ac:dyDescent="0.25">
      <c r="A759" s="303" t="str">
        <f>Start!$D$7</f>
        <v>Anyland</v>
      </c>
      <c r="B759" s="48" t="str">
        <f>_xlfn.IFNA(VLOOKUP(A759,list!B:C,2,FALSE),"")</f>
        <v>ANY</v>
      </c>
      <c r="C759" s="48"/>
      <c r="D759" s="127"/>
      <c r="E759" s="48" t="str">
        <f>_xlfn.IFNA(VLOOKUP(Table3[[#This Row],[Product]], ProductListTbl[], 3, 0), "")</f>
        <v/>
      </c>
      <c r="F759" s="303" t="str">
        <f>_xlfn.IFNA(VLOOKUP(D759,ProductListTbl[],5,0),"")</f>
        <v/>
      </c>
      <c r="G759" s="303" t="str">
        <f>_xlfn.IFNA(VLOOKUP(D759,ProductListTbl[],6,0),"")</f>
        <v/>
      </c>
      <c r="H759" s="130" t="str">
        <f>_xlfn.IFNA(VLOOKUP(D759,ProductListTbl[],7,0),"")</f>
        <v/>
      </c>
      <c r="I759" s="130" t="str">
        <f>_xlfn.IFNA(VLOOKUP(D759,ProductListTbl[],8,0),"")</f>
        <v/>
      </c>
      <c r="J759" s="127"/>
      <c r="K759" s="129"/>
      <c r="L759" s="128"/>
      <c r="M759" s="305" t="str">
        <f>IFERROR(Table3[[#This Row],[Quantity (doses)]]/Table3[[#This Row],[Doses per vial or syringe]],"")</f>
        <v/>
      </c>
      <c r="N759" s="127"/>
      <c r="O759" s="127"/>
      <c r="P759" s="381"/>
      <c r="Q759" s="129"/>
      <c r="R759" s="127"/>
      <c r="S759" s="127"/>
      <c r="T759" s="127"/>
      <c r="U759" s="127"/>
      <c r="V759" s="305" t="str">
        <f>_xlfn.IFNA(VLOOKUP(D759,ProductListTbl[],9,0),"")</f>
        <v/>
      </c>
      <c r="W759" s="305" t="str">
        <f>IFERROR(Table3[[#This Row],[Storage space per secondary packaging (cm3)]]*Table3[[#This Row],[Quantity  (vials or syringes)]]/1000,"")</f>
        <v/>
      </c>
      <c r="X759" s="305" t="str">
        <f>IFERROR(Table3[[#This Row],[Storage space per tertiary packaging (cm3)]]*Table3[[#This Row],[Quantity (doses)]]/1000,"")</f>
        <v/>
      </c>
      <c r="Y759" s="293" t="str">
        <f>IF(Table3[[#This Row],[Status]]="Ordered",(DATE(YEAR(P759),MONTH(P759),1)),IF(Table3[[#This Row],[Status]]="Received",(DATE(YEAR(Q759),MONTH(Q759),1)),""))</f>
        <v/>
      </c>
      <c r="Z759" s="304" t="str">
        <f t="shared" si="44"/>
        <v/>
      </c>
      <c r="AA759" s="48" t="str">
        <f t="shared" si="45"/>
        <v/>
      </c>
      <c r="AB759" s="48" t="str">
        <f t="shared" si="46"/>
        <v/>
      </c>
      <c r="AC759" s="292" t="str">
        <f t="shared" si="47"/>
        <v/>
      </c>
      <c r="AD759" s="48" t="str">
        <f>IF(Table3[[#This Row],[Actual Arrival date]]&gt;0,IF(Table3[[#This Row],[Expected arrival date]]&gt;0,Table3[[#This Row],[Actual Arrival date]]-Table3[[#This Row],[Expected arrival date]],""),"")</f>
        <v/>
      </c>
    </row>
    <row r="760" spans="1:30" x14ac:dyDescent="0.25">
      <c r="A760" s="303" t="str">
        <f>Start!$D$7</f>
        <v>Anyland</v>
      </c>
      <c r="B760" s="48" t="str">
        <f>_xlfn.IFNA(VLOOKUP(A760,list!B:C,2,FALSE),"")</f>
        <v>ANY</v>
      </c>
      <c r="C760" s="48"/>
      <c r="D760" s="127"/>
      <c r="E760" s="48" t="str">
        <f>_xlfn.IFNA(VLOOKUP(Table3[[#This Row],[Product]], ProductListTbl[], 3, 0), "")</f>
        <v/>
      </c>
      <c r="F760" s="303" t="str">
        <f>_xlfn.IFNA(VLOOKUP(D760,ProductListTbl[],5,0),"")</f>
        <v/>
      </c>
      <c r="G760" s="303" t="str">
        <f>_xlfn.IFNA(VLOOKUP(D760,ProductListTbl[],6,0),"")</f>
        <v/>
      </c>
      <c r="H760" s="130" t="str">
        <f>_xlfn.IFNA(VLOOKUP(D760,ProductListTbl[],7,0),"")</f>
        <v/>
      </c>
      <c r="I760" s="130" t="str">
        <f>_xlfn.IFNA(VLOOKUP(D760,ProductListTbl[],8,0),"")</f>
        <v/>
      </c>
      <c r="J760" s="127"/>
      <c r="K760" s="129"/>
      <c r="L760" s="128"/>
      <c r="M760" s="305" t="str">
        <f>IFERROR(Table3[[#This Row],[Quantity (doses)]]/Table3[[#This Row],[Doses per vial or syringe]],"")</f>
        <v/>
      </c>
      <c r="N760" s="127"/>
      <c r="O760" s="127"/>
      <c r="P760" s="381"/>
      <c r="Q760" s="129"/>
      <c r="R760" s="127"/>
      <c r="S760" s="127"/>
      <c r="T760" s="127"/>
      <c r="U760" s="127"/>
      <c r="V760" s="305" t="str">
        <f>_xlfn.IFNA(VLOOKUP(D760,ProductListTbl[],9,0),"")</f>
        <v/>
      </c>
      <c r="W760" s="305" t="str">
        <f>IFERROR(Table3[[#This Row],[Storage space per secondary packaging (cm3)]]*Table3[[#This Row],[Quantity  (vials or syringes)]]/1000,"")</f>
        <v/>
      </c>
      <c r="X760" s="305" t="str">
        <f>IFERROR(Table3[[#This Row],[Storage space per tertiary packaging (cm3)]]*Table3[[#This Row],[Quantity (doses)]]/1000,"")</f>
        <v/>
      </c>
      <c r="Y760" s="293" t="str">
        <f>IF(Table3[[#This Row],[Status]]="Ordered",(DATE(YEAR(P760),MONTH(P760),1)),IF(Table3[[#This Row],[Status]]="Received",(DATE(YEAR(Q760),MONTH(Q760),1)),""))</f>
        <v/>
      </c>
      <c r="Z760" s="304" t="str">
        <f t="shared" si="44"/>
        <v/>
      </c>
      <c r="AA760" s="48" t="str">
        <f t="shared" si="45"/>
        <v/>
      </c>
      <c r="AB760" s="48" t="str">
        <f t="shared" si="46"/>
        <v/>
      </c>
      <c r="AC760" s="292" t="str">
        <f t="shared" si="47"/>
        <v/>
      </c>
      <c r="AD760" s="48" t="str">
        <f>IF(Table3[[#This Row],[Actual Arrival date]]&gt;0,IF(Table3[[#This Row],[Expected arrival date]]&gt;0,Table3[[#This Row],[Actual Arrival date]]-Table3[[#This Row],[Expected arrival date]],""),"")</f>
        <v/>
      </c>
    </row>
    <row r="761" spans="1:30" x14ac:dyDescent="0.25">
      <c r="A761" s="303" t="str">
        <f>Start!$D$7</f>
        <v>Anyland</v>
      </c>
      <c r="B761" s="48" t="str">
        <f>_xlfn.IFNA(VLOOKUP(A761,list!B:C,2,FALSE),"")</f>
        <v>ANY</v>
      </c>
      <c r="C761" s="48"/>
      <c r="D761" s="127"/>
      <c r="E761" s="48" t="str">
        <f>_xlfn.IFNA(VLOOKUP(Table3[[#This Row],[Product]], ProductListTbl[], 3, 0), "")</f>
        <v/>
      </c>
      <c r="F761" s="303" t="str">
        <f>_xlfn.IFNA(VLOOKUP(D761,ProductListTbl[],5,0),"")</f>
        <v/>
      </c>
      <c r="G761" s="303" t="str">
        <f>_xlfn.IFNA(VLOOKUP(D761,ProductListTbl[],6,0),"")</f>
        <v/>
      </c>
      <c r="H761" s="130" t="str">
        <f>_xlfn.IFNA(VLOOKUP(D761,ProductListTbl[],7,0),"")</f>
        <v/>
      </c>
      <c r="I761" s="130" t="str">
        <f>_xlfn.IFNA(VLOOKUP(D761,ProductListTbl[],8,0),"")</f>
        <v/>
      </c>
      <c r="J761" s="127"/>
      <c r="K761" s="129"/>
      <c r="L761" s="128"/>
      <c r="M761" s="305" t="str">
        <f>IFERROR(Table3[[#This Row],[Quantity (doses)]]/Table3[[#This Row],[Doses per vial or syringe]],"")</f>
        <v/>
      </c>
      <c r="N761" s="127"/>
      <c r="O761" s="127"/>
      <c r="P761" s="381"/>
      <c r="Q761" s="129"/>
      <c r="R761" s="127"/>
      <c r="S761" s="127"/>
      <c r="T761" s="127"/>
      <c r="U761" s="127"/>
      <c r="V761" s="305" t="str">
        <f>_xlfn.IFNA(VLOOKUP(D761,ProductListTbl[],9,0),"")</f>
        <v/>
      </c>
      <c r="W761" s="305" t="str">
        <f>IFERROR(Table3[[#This Row],[Storage space per secondary packaging (cm3)]]*Table3[[#This Row],[Quantity  (vials or syringes)]]/1000,"")</f>
        <v/>
      </c>
      <c r="X761" s="305" t="str">
        <f>IFERROR(Table3[[#This Row],[Storage space per tertiary packaging (cm3)]]*Table3[[#This Row],[Quantity (doses)]]/1000,"")</f>
        <v/>
      </c>
      <c r="Y761" s="293" t="str">
        <f>IF(Table3[[#This Row],[Status]]="Ordered",(DATE(YEAR(P761),MONTH(P761),1)),IF(Table3[[#This Row],[Status]]="Received",(DATE(YEAR(Q761),MONTH(Q761),1)),""))</f>
        <v/>
      </c>
      <c r="Z761" s="304" t="str">
        <f t="shared" si="44"/>
        <v/>
      </c>
      <c r="AA761" s="48" t="str">
        <f t="shared" si="45"/>
        <v/>
      </c>
      <c r="AB761" s="48" t="str">
        <f t="shared" si="46"/>
        <v/>
      </c>
      <c r="AC761" s="292" t="str">
        <f t="shared" si="47"/>
        <v/>
      </c>
      <c r="AD761" s="48" t="str">
        <f>IF(Table3[[#This Row],[Actual Arrival date]]&gt;0,IF(Table3[[#This Row],[Expected arrival date]]&gt;0,Table3[[#This Row],[Actual Arrival date]]-Table3[[#This Row],[Expected arrival date]],""),"")</f>
        <v/>
      </c>
    </row>
    <row r="762" spans="1:30" x14ac:dyDescent="0.25">
      <c r="A762" s="303" t="str">
        <f>Start!$D$7</f>
        <v>Anyland</v>
      </c>
      <c r="B762" s="48" t="str">
        <f>_xlfn.IFNA(VLOOKUP(A762,list!B:C,2,FALSE),"")</f>
        <v>ANY</v>
      </c>
      <c r="C762" s="48"/>
      <c r="D762" s="127"/>
      <c r="E762" s="48" t="str">
        <f>_xlfn.IFNA(VLOOKUP(Table3[[#This Row],[Product]], ProductListTbl[], 3, 0), "")</f>
        <v/>
      </c>
      <c r="F762" s="303" t="str">
        <f>_xlfn.IFNA(VLOOKUP(D762,ProductListTbl[],5,0),"")</f>
        <v/>
      </c>
      <c r="G762" s="303" t="str">
        <f>_xlfn.IFNA(VLOOKUP(D762,ProductListTbl[],6,0),"")</f>
        <v/>
      </c>
      <c r="H762" s="130" t="str">
        <f>_xlfn.IFNA(VLOOKUP(D762,ProductListTbl[],7,0),"")</f>
        <v/>
      </c>
      <c r="I762" s="130" t="str">
        <f>_xlfn.IFNA(VLOOKUP(D762,ProductListTbl[],8,0),"")</f>
        <v/>
      </c>
      <c r="J762" s="127"/>
      <c r="K762" s="129"/>
      <c r="L762" s="128"/>
      <c r="M762" s="305" t="str">
        <f>IFERROR(Table3[[#This Row],[Quantity (doses)]]/Table3[[#This Row],[Doses per vial or syringe]],"")</f>
        <v/>
      </c>
      <c r="N762" s="127"/>
      <c r="O762" s="127"/>
      <c r="P762" s="381"/>
      <c r="Q762" s="129"/>
      <c r="R762" s="127"/>
      <c r="S762" s="127"/>
      <c r="T762" s="127"/>
      <c r="U762" s="127"/>
      <c r="V762" s="305" t="str">
        <f>_xlfn.IFNA(VLOOKUP(D762,ProductListTbl[],9,0),"")</f>
        <v/>
      </c>
      <c r="W762" s="305" t="str">
        <f>IFERROR(Table3[[#This Row],[Storage space per secondary packaging (cm3)]]*Table3[[#This Row],[Quantity  (vials or syringes)]]/1000,"")</f>
        <v/>
      </c>
      <c r="X762" s="305" t="str">
        <f>IFERROR(Table3[[#This Row],[Storage space per tertiary packaging (cm3)]]*Table3[[#This Row],[Quantity (doses)]]/1000,"")</f>
        <v/>
      </c>
      <c r="Y762" s="293" t="str">
        <f>IF(Table3[[#This Row],[Status]]="Ordered",(DATE(YEAR(P762),MONTH(P762),1)),IF(Table3[[#This Row],[Status]]="Received",(DATE(YEAR(Q762),MONTH(Q762),1)),""))</f>
        <v/>
      </c>
      <c r="Z762" s="304" t="str">
        <f t="shared" si="44"/>
        <v/>
      </c>
      <c r="AA762" s="48" t="str">
        <f t="shared" si="45"/>
        <v/>
      </c>
      <c r="AB762" s="48" t="str">
        <f t="shared" si="46"/>
        <v/>
      </c>
      <c r="AC762" s="292" t="str">
        <f t="shared" si="47"/>
        <v/>
      </c>
      <c r="AD762" s="48" t="str">
        <f>IF(Table3[[#This Row],[Actual Arrival date]]&gt;0,IF(Table3[[#This Row],[Expected arrival date]]&gt;0,Table3[[#This Row],[Actual Arrival date]]-Table3[[#This Row],[Expected arrival date]],""),"")</f>
        <v/>
      </c>
    </row>
    <row r="763" spans="1:30" x14ac:dyDescent="0.25">
      <c r="A763" s="303" t="str">
        <f>Start!$D$7</f>
        <v>Anyland</v>
      </c>
      <c r="B763" s="48" t="str">
        <f>_xlfn.IFNA(VLOOKUP(A763,list!B:C,2,FALSE),"")</f>
        <v>ANY</v>
      </c>
      <c r="C763" s="48"/>
      <c r="D763" s="127"/>
      <c r="E763" s="48" t="str">
        <f>_xlfn.IFNA(VLOOKUP(Table3[[#This Row],[Product]], ProductListTbl[], 3, 0), "")</f>
        <v/>
      </c>
      <c r="F763" s="303" t="str">
        <f>_xlfn.IFNA(VLOOKUP(D763,ProductListTbl[],5,0),"")</f>
        <v/>
      </c>
      <c r="G763" s="303" t="str">
        <f>_xlfn.IFNA(VLOOKUP(D763,ProductListTbl[],6,0),"")</f>
        <v/>
      </c>
      <c r="H763" s="130" t="str">
        <f>_xlfn.IFNA(VLOOKUP(D763,ProductListTbl[],7,0),"")</f>
        <v/>
      </c>
      <c r="I763" s="130" t="str">
        <f>_xlfn.IFNA(VLOOKUP(D763,ProductListTbl[],8,0),"")</f>
        <v/>
      </c>
      <c r="J763" s="127"/>
      <c r="K763" s="129"/>
      <c r="L763" s="128"/>
      <c r="M763" s="305" t="str">
        <f>IFERROR(Table3[[#This Row],[Quantity (doses)]]/Table3[[#This Row],[Doses per vial or syringe]],"")</f>
        <v/>
      </c>
      <c r="N763" s="127"/>
      <c r="O763" s="127"/>
      <c r="P763" s="381"/>
      <c r="Q763" s="129"/>
      <c r="R763" s="127"/>
      <c r="S763" s="127"/>
      <c r="T763" s="127"/>
      <c r="U763" s="127"/>
      <c r="V763" s="305" t="str">
        <f>_xlfn.IFNA(VLOOKUP(D763,ProductListTbl[],9,0),"")</f>
        <v/>
      </c>
      <c r="W763" s="305" t="str">
        <f>IFERROR(Table3[[#This Row],[Storage space per secondary packaging (cm3)]]*Table3[[#This Row],[Quantity  (vials or syringes)]]/1000,"")</f>
        <v/>
      </c>
      <c r="X763" s="305" t="str">
        <f>IFERROR(Table3[[#This Row],[Storage space per tertiary packaging (cm3)]]*Table3[[#This Row],[Quantity (doses)]]/1000,"")</f>
        <v/>
      </c>
      <c r="Y763" s="293" t="str">
        <f>IF(Table3[[#This Row],[Status]]="Ordered",(DATE(YEAR(P763),MONTH(P763),1)),IF(Table3[[#This Row],[Status]]="Received",(DATE(YEAR(Q763),MONTH(Q763),1)),""))</f>
        <v/>
      </c>
      <c r="Z763" s="304" t="str">
        <f t="shared" si="44"/>
        <v/>
      </c>
      <c r="AA763" s="48" t="str">
        <f t="shared" si="45"/>
        <v/>
      </c>
      <c r="AB763" s="48" t="str">
        <f t="shared" si="46"/>
        <v/>
      </c>
      <c r="AC763" s="292" t="str">
        <f t="shared" si="47"/>
        <v/>
      </c>
      <c r="AD763" s="48" t="str">
        <f>IF(Table3[[#This Row],[Actual Arrival date]]&gt;0,IF(Table3[[#This Row],[Expected arrival date]]&gt;0,Table3[[#This Row],[Actual Arrival date]]-Table3[[#This Row],[Expected arrival date]],""),"")</f>
        <v/>
      </c>
    </row>
    <row r="764" spans="1:30" x14ac:dyDescent="0.25">
      <c r="A764" s="303" t="str">
        <f>Start!$D$7</f>
        <v>Anyland</v>
      </c>
      <c r="B764" s="48" t="str">
        <f>_xlfn.IFNA(VLOOKUP(A764,list!B:C,2,FALSE),"")</f>
        <v>ANY</v>
      </c>
      <c r="C764" s="48"/>
      <c r="D764" s="127"/>
      <c r="E764" s="48" t="str">
        <f>_xlfn.IFNA(VLOOKUP(Table3[[#This Row],[Product]], ProductListTbl[], 3, 0), "")</f>
        <v/>
      </c>
      <c r="F764" s="303" t="str">
        <f>_xlfn.IFNA(VLOOKUP(D764,ProductListTbl[],5,0),"")</f>
        <v/>
      </c>
      <c r="G764" s="303" t="str">
        <f>_xlfn.IFNA(VLOOKUP(D764,ProductListTbl[],6,0),"")</f>
        <v/>
      </c>
      <c r="H764" s="130" t="str">
        <f>_xlfn.IFNA(VLOOKUP(D764,ProductListTbl[],7,0),"")</f>
        <v/>
      </c>
      <c r="I764" s="130" t="str">
        <f>_xlfn.IFNA(VLOOKUP(D764,ProductListTbl[],8,0),"")</f>
        <v/>
      </c>
      <c r="J764" s="127"/>
      <c r="K764" s="129"/>
      <c r="L764" s="128"/>
      <c r="M764" s="305" t="str">
        <f>IFERROR(Table3[[#This Row],[Quantity (doses)]]/Table3[[#This Row],[Doses per vial or syringe]],"")</f>
        <v/>
      </c>
      <c r="N764" s="127"/>
      <c r="O764" s="127"/>
      <c r="P764" s="381"/>
      <c r="Q764" s="129"/>
      <c r="R764" s="127"/>
      <c r="S764" s="127"/>
      <c r="T764" s="127"/>
      <c r="U764" s="127"/>
      <c r="V764" s="305" t="str">
        <f>_xlfn.IFNA(VLOOKUP(D764,ProductListTbl[],9,0),"")</f>
        <v/>
      </c>
      <c r="W764" s="305" t="str">
        <f>IFERROR(Table3[[#This Row],[Storage space per secondary packaging (cm3)]]*Table3[[#This Row],[Quantity  (vials or syringes)]]/1000,"")</f>
        <v/>
      </c>
      <c r="X764" s="305" t="str">
        <f>IFERROR(Table3[[#This Row],[Storage space per tertiary packaging (cm3)]]*Table3[[#This Row],[Quantity (doses)]]/1000,"")</f>
        <v/>
      </c>
      <c r="Y764" s="293" t="str">
        <f>IF(Table3[[#This Row],[Status]]="Ordered",(DATE(YEAR(P764),MONTH(P764),1)),IF(Table3[[#This Row],[Status]]="Received",(DATE(YEAR(Q764),MONTH(Q764),1)),""))</f>
        <v/>
      </c>
      <c r="Z764" s="304" t="str">
        <f t="shared" si="44"/>
        <v/>
      </c>
      <c r="AA764" s="48" t="str">
        <f t="shared" si="45"/>
        <v/>
      </c>
      <c r="AB764" s="48" t="str">
        <f t="shared" si="46"/>
        <v/>
      </c>
      <c r="AC764" s="292" t="str">
        <f t="shared" si="47"/>
        <v/>
      </c>
      <c r="AD764" s="48" t="str">
        <f>IF(Table3[[#This Row],[Actual Arrival date]]&gt;0,IF(Table3[[#This Row],[Expected arrival date]]&gt;0,Table3[[#This Row],[Actual Arrival date]]-Table3[[#This Row],[Expected arrival date]],""),"")</f>
        <v/>
      </c>
    </row>
    <row r="765" spans="1:30" x14ac:dyDescent="0.25">
      <c r="A765" s="303" t="str">
        <f>Start!$D$7</f>
        <v>Anyland</v>
      </c>
      <c r="B765" s="48" t="str">
        <f>_xlfn.IFNA(VLOOKUP(A765,list!B:C,2,FALSE),"")</f>
        <v>ANY</v>
      </c>
      <c r="C765" s="48"/>
      <c r="D765" s="127"/>
      <c r="E765" s="48" t="str">
        <f>_xlfn.IFNA(VLOOKUP(Table3[[#This Row],[Product]], ProductListTbl[], 3, 0), "")</f>
        <v/>
      </c>
      <c r="F765" s="303" t="str">
        <f>_xlfn.IFNA(VLOOKUP(D765,ProductListTbl[],5,0),"")</f>
        <v/>
      </c>
      <c r="G765" s="303" t="str">
        <f>_xlfn.IFNA(VLOOKUP(D765,ProductListTbl[],6,0),"")</f>
        <v/>
      </c>
      <c r="H765" s="130" t="str">
        <f>_xlfn.IFNA(VLOOKUP(D765,ProductListTbl[],7,0),"")</f>
        <v/>
      </c>
      <c r="I765" s="130" t="str">
        <f>_xlfn.IFNA(VLOOKUP(D765,ProductListTbl[],8,0),"")</f>
        <v/>
      </c>
      <c r="J765" s="127"/>
      <c r="K765" s="129"/>
      <c r="L765" s="128"/>
      <c r="M765" s="305" t="str">
        <f>IFERROR(Table3[[#This Row],[Quantity (doses)]]/Table3[[#This Row],[Doses per vial or syringe]],"")</f>
        <v/>
      </c>
      <c r="N765" s="127"/>
      <c r="O765" s="127"/>
      <c r="P765" s="381"/>
      <c r="Q765" s="129"/>
      <c r="R765" s="127"/>
      <c r="S765" s="127"/>
      <c r="T765" s="127"/>
      <c r="U765" s="127"/>
      <c r="V765" s="305" t="str">
        <f>_xlfn.IFNA(VLOOKUP(D765,ProductListTbl[],9,0),"")</f>
        <v/>
      </c>
      <c r="W765" s="305" t="str">
        <f>IFERROR(Table3[[#This Row],[Storage space per secondary packaging (cm3)]]*Table3[[#This Row],[Quantity  (vials or syringes)]]/1000,"")</f>
        <v/>
      </c>
      <c r="X765" s="305" t="str">
        <f>IFERROR(Table3[[#This Row],[Storage space per tertiary packaging (cm3)]]*Table3[[#This Row],[Quantity (doses)]]/1000,"")</f>
        <v/>
      </c>
      <c r="Y765" s="293" t="str">
        <f>IF(Table3[[#This Row],[Status]]="Ordered",(DATE(YEAR(P765),MONTH(P765),1)),IF(Table3[[#This Row],[Status]]="Received",(DATE(YEAR(Q765),MONTH(Q765),1)),""))</f>
        <v/>
      </c>
      <c r="Z765" s="304" t="str">
        <f t="shared" si="44"/>
        <v/>
      </c>
      <c r="AA765" s="48" t="str">
        <f t="shared" si="45"/>
        <v/>
      </c>
      <c r="AB765" s="48" t="str">
        <f t="shared" si="46"/>
        <v/>
      </c>
      <c r="AC765" s="292" t="str">
        <f t="shared" si="47"/>
        <v/>
      </c>
      <c r="AD765" s="48" t="str">
        <f>IF(Table3[[#This Row],[Actual Arrival date]]&gt;0,IF(Table3[[#This Row],[Expected arrival date]]&gt;0,Table3[[#This Row],[Actual Arrival date]]-Table3[[#This Row],[Expected arrival date]],""),"")</f>
        <v/>
      </c>
    </row>
    <row r="766" spans="1:30" x14ac:dyDescent="0.25">
      <c r="A766" s="303" t="str">
        <f>Start!$D$7</f>
        <v>Anyland</v>
      </c>
      <c r="B766" s="48" t="str">
        <f>_xlfn.IFNA(VLOOKUP(A766,list!B:C,2,FALSE),"")</f>
        <v>ANY</v>
      </c>
      <c r="C766" s="48"/>
      <c r="D766" s="127"/>
      <c r="E766" s="48" t="str">
        <f>_xlfn.IFNA(VLOOKUP(Table3[[#This Row],[Product]], ProductListTbl[], 3, 0), "")</f>
        <v/>
      </c>
      <c r="F766" s="303" t="str">
        <f>_xlfn.IFNA(VLOOKUP(D766,ProductListTbl[],5,0),"")</f>
        <v/>
      </c>
      <c r="G766" s="303" t="str">
        <f>_xlfn.IFNA(VLOOKUP(D766,ProductListTbl[],6,0),"")</f>
        <v/>
      </c>
      <c r="H766" s="130" t="str">
        <f>_xlfn.IFNA(VLOOKUP(D766,ProductListTbl[],7,0),"")</f>
        <v/>
      </c>
      <c r="I766" s="130" t="str">
        <f>_xlfn.IFNA(VLOOKUP(D766,ProductListTbl[],8,0),"")</f>
        <v/>
      </c>
      <c r="J766" s="127"/>
      <c r="K766" s="129"/>
      <c r="L766" s="128"/>
      <c r="M766" s="305" t="str">
        <f>IFERROR(Table3[[#This Row],[Quantity (doses)]]/Table3[[#This Row],[Doses per vial or syringe]],"")</f>
        <v/>
      </c>
      <c r="N766" s="127"/>
      <c r="O766" s="127"/>
      <c r="P766" s="381"/>
      <c r="Q766" s="129"/>
      <c r="R766" s="127"/>
      <c r="S766" s="127"/>
      <c r="T766" s="127"/>
      <c r="U766" s="127"/>
      <c r="V766" s="305" t="str">
        <f>_xlfn.IFNA(VLOOKUP(D766,ProductListTbl[],9,0),"")</f>
        <v/>
      </c>
      <c r="W766" s="305" t="str">
        <f>IFERROR(Table3[[#This Row],[Storage space per secondary packaging (cm3)]]*Table3[[#This Row],[Quantity  (vials or syringes)]]/1000,"")</f>
        <v/>
      </c>
      <c r="X766" s="305" t="str">
        <f>IFERROR(Table3[[#This Row],[Storage space per tertiary packaging (cm3)]]*Table3[[#This Row],[Quantity (doses)]]/1000,"")</f>
        <v/>
      </c>
      <c r="Y766" s="293" t="str">
        <f>IF(Table3[[#This Row],[Status]]="Ordered",(DATE(YEAR(P766),MONTH(P766),1)),IF(Table3[[#This Row],[Status]]="Received",(DATE(YEAR(Q766),MONTH(Q766),1)),""))</f>
        <v/>
      </c>
      <c r="Z766" s="304" t="str">
        <f t="shared" si="44"/>
        <v/>
      </c>
      <c r="AA766" s="48" t="str">
        <f t="shared" si="45"/>
        <v/>
      </c>
      <c r="AB766" s="48" t="str">
        <f t="shared" si="46"/>
        <v/>
      </c>
      <c r="AC766" s="292" t="str">
        <f t="shared" si="47"/>
        <v/>
      </c>
      <c r="AD766" s="48" t="str">
        <f>IF(Table3[[#This Row],[Actual Arrival date]]&gt;0,IF(Table3[[#This Row],[Expected arrival date]]&gt;0,Table3[[#This Row],[Actual Arrival date]]-Table3[[#This Row],[Expected arrival date]],""),"")</f>
        <v/>
      </c>
    </row>
    <row r="767" spans="1:30" x14ac:dyDescent="0.25">
      <c r="A767" s="303" t="str">
        <f>Start!$D$7</f>
        <v>Anyland</v>
      </c>
      <c r="B767" s="48" t="str">
        <f>_xlfn.IFNA(VLOOKUP(A767,list!B:C,2,FALSE),"")</f>
        <v>ANY</v>
      </c>
      <c r="C767" s="48"/>
      <c r="D767" s="127"/>
      <c r="E767" s="48" t="str">
        <f>_xlfn.IFNA(VLOOKUP(Table3[[#This Row],[Product]], ProductListTbl[], 3, 0), "")</f>
        <v/>
      </c>
      <c r="F767" s="303" t="str">
        <f>_xlfn.IFNA(VLOOKUP(D767,ProductListTbl[],5,0),"")</f>
        <v/>
      </c>
      <c r="G767" s="303" t="str">
        <f>_xlfn.IFNA(VLOOKUP(D767,ProductListTbl[],6,0),"")</f>
        <v/>
      </c>
      <c r="H767" s="130" t="str">
        <f>_xlfn.IFNA(VLOOKUP(D767,ProductListTbl[],7,0),"")</f>
        <v/>
      </c>
      <c r="I767" s="130" t="str">
        <f>_xlfn.IFNA(VLOOKUP(D767,ProductListTbl[],8,0),"")</f>
        <v/>
      </c>
      <c r="J767" s="127"/>
      <c r="K767" s="129"/>
      <c r="L767" s="128"/>
      <c r="M767" s="305" t="str">
        <f>IFERROR(Table3[[#This Row],[Quantity (doses)]]/Table3[[#This Row],[Doses per vial or syringe]],"")</f>
        <v/>
      </c>
      <c r="N767" s="127"/>
      <c r="O767" s="127"/>
      <c r="P767" s="381"/>
      <c r="Q767" s="129"/>
      <c r="R767" s="127"/>
      <c r="S767" s="127"/>
      <c r="T767" s="127"/>
      <c r="U767" s="127"/>
      <c r="V767" s="305" t="str">
        <f>_xlfn.IFNA(VLOOKUP(D767,ProductListTbl[],9,0),"")</f>
        <v/>
      </c>
      <c r="W767" s="305" t="str">
        <f>IFERROR(Table3[[#This Row],[Storage space per secondary packaging (cm3)]]*Table3[[#This Row],[Quantity  (vials or syringes)]]/1000,"")</f>
        <v/>
      </c>
      <c r="X767" s="305" t="str">
        <f>IFERROR(Table3[[#This Row],[Storage space per tertiary packaging (cm3)]]*Table3[[#This Row],[Quantity (doses)]]/1000,"")</f>
        <v/>
      </c>
      <c r="Y767" s="293" t="str">
        <f>IF(Table3[[#This Row],[Status]]="Ordered",(DATE(YEAR(P767),MONTH(P767),1)),IF(Table3[[#This Row],[Status]]="Received",(DATE(YEAR(Q767),MONTH(Q767),1)),""))</f>
        <v/>
      </c>
      <c r="Z767" s="304" t="str">
        <f t="shared" si="44"/>
        <v/>
      </c>
      <c r="AA767" s="48" t="str">
        <f t="shared" si="45"/>
        <v/>
      </c>
      <c r="AB767" s="48" t="str">
        <f t="shared" si="46"/>
        <v/>
      </c>
      <c r="AC767" s="292" t="str">
        <f t="shared" si="47"/>
        <v/>
      </c>
      <c r="AD767" s="48" t="str">
        <f>IF(Table3[[#This Row],[Actual Arrival date]]&gt;0,IF(Table3[[#This Row],[Expected arrival date]]&gt;0,Table3[[#This Row],[Actual Arrival date]]-Table3[[#This Row],[Expected arrival date]],""),"")</f>
        <v/>
      </c>
    </row>
    <row r="768" spans="1:30" x14ac:dyDescent="0.25">
      <c r="A768" s="303" t="str">
        <f>Start!$D$7</f>
        <v>Anyland</v>
      </c>
      <c r="B768" s="48" t="str">
        <f>_xlfn.IFNA(VLOOKUP(A768,list!B:C,2,FALSE),"")</f>
        <v>ANY</v>
      </c>
      <c r="C768" s="48"/>
      <c r="D768" s="127"/>
      <c r="E768" s="48" t="str">
        <f>_xlfn.IFNA(VLOOKUP(Table3[[#This Row],[Product]], ProductListTbl[], 3, 0), "")</f>
        <v/>
      </c>
      <c r="F768" s="303" t="str">
        <f>_xlfn.IFNA(VLOOKUP(D768,ProductListTbl[],5,0),"")</f>
        <v/>
      </c>
      <c r="G768" s="303" t="str">
        <f>_xlfn.IFNA(VLOOKUP(D768,ProductListTbl[],6,0),"")</f>
        <v/>
      </c>
      <c r="H768" s="130" t="str">
        <f>_xlfn.IFNA(VLOOKUP(D768,ProductListTbl[],7,0),"")</f>
        <v/>
      </c>
      <c r="I768" s="130" t="str">
        <f>_xlfn.IFNA(VLOOKUP(D768,ProductListTbl[],8,0),"")</f>
        <v/>
      </c>
      <c r="J768" s="127"/>
      <c r="K768" s="129"/>
      <c r="L768" s="128"/>
      <c r="M768" s="305" t="str">
        <f>IFERROR(Table3[[#This Row],[Quantity (doses)]]/Table3[[#This Row],[Doses per vial or syringe]],"")</f>
        <v/>
      </c>
      <c r="N768" s="127"/>
      <c r="O768" s="127"/>
      <c r="P768" s="381"/>
      <c r="Q768" s="129"/>
      <c r="R768" s="127"/>
      <c r="S768" s="127"/>
      <c r="T768" s="127"/>
      <c r="U768" s="127"/>
      <c r="V768" s="305" t="str">
        <f>_xlfn.IFNA(VLOOKUP(D768,ProductListTbl[],9,0),"")</f>
        <v/>
      </c>
      <c r="W768" s="305" t="str">
        <f>IFERROR(Table3[[#This Row],[Storage space per secondary packaging (cm3)]]*Table3[[#This Row],[Quantity  (vials or syringes)]]/1000,"")</f>
        <v/>
      </c>
      <c r="X768" s="305" t="str">
        <f>IFERROR(Table3[[#This Row],[Storage space per tertiary packaging (cm3)]]*Table3[[#This Row],[Quantity (doses)]]/1000,"")</f>
        <v/>
      </c>
      <c r="Y768" s="293" t="str">
        <f>IF(Table3[[#This Row],[Status]]="Ordered",(DATE(YEAR(P768),MONTH(P768),1)),IF(Table3[[#This Row],[Status]]="Received",(DATE(YEAR(Q768),MONTH(Q768),1)),""))</f>
        <v/>
      </c>
      <c r="Z768" s="304" t="str">
        <f t="shared" si="44"/>
        <v/>
      </c>
      <c r="AA768" s="48" t="str">
        <f t="shared" si="45"/>
        <v/>
      </c>
      <c r="AB768" s="48" t="str">
        <f t="shared" si="46"/>
        <v/>
      </c>
      <c r="AC768" s="292" t="str">
        <f t="shared" si="47"/>
        <v/>
      </c>
      <c r="AD768" s="48" t="str">
        <f>IF(Table3[[#This Row],[Actual Arrival date]]&gt;0,IF(Table3[[#This Row],[Expected arrival date]]&gt;0,Table3[[#This Row],[Actual Arrival date]]-Table3[[#This Row],[Expected arrival date]],""),"")</f>
        <v/>
      </c>
    </row>
    <row r="769" spans="1:30" x14ac:dyDescent="0.25">
      <c r="A769" s="303" t="str">
        <f>Start!$D$7</f>
        <v>Anyland</v>
      </c>
      <c r="B769" s="48" t="str">
        <f>_xlfn.IFNA(VLOOKUP(A769,list!B:C,2,FALSE),"")</f>
        <v>ANY</v>
      </c>
      <c r="C769" s="48"/>
      <c r="D769" s="127"/>
      <c r="E769" s="48" t="str">
        <f>_xlfn.IFNA(VLOOKUP(Table3[[#This Row],[Product]], ProductListTbl[], 3, 0), "")</f>
        <v/>
      </c>
      <c r="F769" s="303" t="str">
        <f>_xlfn.IFNA(VLOOKUP(D769,ProductListTbl[],5,0),"")</f>
        <v/>
      </c>
      <c r="G769" s="303" t="str">
        <f>_xlfn.IFNA(VLOOKUP(D769,ProductListTbl[],6,0),"")</f>
        <v/>
      </c>
      <c r="H769" s="130" t="str">
        <f>_xlfn.IFNA(VLOOKUP(D769,ProductListTbl[],7,0),"")</f>
        <v/>
      </c>
      <c r="I769" s="130" t="str">
        <f>_xlfn.IFNA(VLOOKUP(D769,ProductListTbl[],8,0),"")</f>
        <v/>
      </c>
      <c r="J769" s="127"/>
      <c r="K769" s="129"/>
      <c r="L769" s="128"/>
      <c r="M769" s="305" t="str">
        <f>IFERROR(Table3[[#This Row],[Quantity (doses)]]/Table3[[#This Row],[Doses per vial or syringe]],"")</f>
        <v/>
      </c>
      <c r="N769" s="127"/>
      <c r="O769" s="127"/>
      <c r="P769" s="381"/>
      <c r="Q769" s="129"/>
      <c r="R769" s="127"/>
      <c r="S769" s="127"/>
      <c r="T769" s="127"/>
      <c r="U769" s="127"/>
      <c r="V769" s="305" t="str">
        <f>_xlfn.IFNA(VLOOKUP(D769,ProductListTbl[],9,0),"")</f>
        <v/>
      </c>
      <c r="W769" s="305" t="str">
        <f>IFERROR(Table3[[#This Row],[Storage space per secondary packaging (cm3)]]*Table3[[#This Row],[Quantity  (vials or syringes)]]/1000,"")</f>
        <v/>
      </c>
      <c r="X769" s="305" t="str">
        <f>IFERROR(Table3[[#This Row],[Storage space per tertiary packaging (cm3)]]*Table3[[#This Row],[Quantity (doses)]]/1000,"")</f>
        <v/>
      </c>
      <c r="Y769" s="293" t="str">
        <f>IF(Table3[[#This Row],[Status]]="Ordered",(DATE(YEAR(P769),MONTH(P769),1)),IF(Table3[[#This Row],[Status]]="Received",(DATE(YEAR(Q769),MONTH(Q769),1)),""))</f>
        <v/>
      </c>
      <c r="Z769" s="304" t="str">
        <f t="shared" si="44"/>
        <v/>
      </c>
      <c r="AA769" s="48" t="str">
        <f t="shared" si="45"/>
        <v/>
      </c>
      <c r="AB769" s="48" t="str">
        <f t="shared" si="46"/>
        <v/>
      </c>
      <c r="AC769" s="292" t="str">
        <f t="shared" si="47"/>
        <v/>
      </c>
      <c r="AD769" s="48" t="str">
        <f>IF(Table3[[#This Row],[Actual Arrival date]]&gt;0,IF(Table3[[#This Row],[Expected arrival date]]&gt;0,Table3[[#This Row],[Actual Arrival date]]-Table3[[#This Row],[Expected arrival date]],""),"")</f>
        <v/>
      </c>
    </row>
    <row r="770" spans="1:30" x14ac:dyDescent="0.25">
      <c r="A770" s="303" t="str">
        <f>Start!$D$7</f>
        <v>Anyland</v>
      </c>
      <c r="B770" s="48" t="str">
        <f>_xlfn.IFNA(VLOOKUP(A770,list!B:C,2,FALSE),"")</f>
        <v>ANY</v>
      </c>
      <c r="C770" s="48"/>
      <c r="D770" s="127"/>
      <c r="E770" s="48" t="str">
        <f>_xlfn.IFNA(VLOOKUP(Table3[[#This Row],[Product]], ProductListTbl[], 3, 0), "")</f>
        <v/>
      </c>
      <c r="F770" s="303" t="str">
        <f>_xlfn.IFNA(VLOOKUP(D770,ProductListTbl[],5,0),"")</f>
        <v/>
      </c>
      <c r="G770" s="303" t="str">
        <f>_xlfn.IFNA(VLOOKUP(D770,ProductListTbl[],6,0),"")</f>
        <v/>
      </c>
      <c r="H770" s="130" t="str">
        <f>_xlfn.IFNA(VLOOKUP(D770,ProductListTbl[],7,0),"")</f>
        <v/>
      </c>
      <c r="I770" s="130" t="str">
        <f>_xlfn.IFNA(VLOOKUP(D770,ProductListTbl[],8,0),"")</f>
        <v/>
      </c>
      <c r="J770" s="127"/>
      <c r="K770" s="129"/>
      <c r="L770" s="128"/>
      <c r="M770" s="305" t="str">
        <f>IFERROR(Table3[[#This Row],[Quantity (doses)]]/Table3[[#This Row],[Doses per vial or syringe]],"")</f>
        <v/>
      </c>
      <c r="N770" s="127"/>
      <c r="O770" s="127"/>
      <c r="P770" s="381"/>
      <c r="Q770" s="129"/>
      <c r="R770" s="127"/>
      <c r="S770" s="127"/>
      <c r="T770" s="127"/>
      <c r="U770" s="127"/>
      <c r="V770" s="305" t="str">
        <f>_xlfn.IFNA(VLOOKUP(D770,ProductListTbl[],9,0),"")</f>
        <v/>
      </c>
      <c r="W770" s="305" t="str">
        <f>IFERROR(Table3[[#This Row],[Storage space per secondary packaging (cm3)]]*Table3[[#This Row],[Quantity  (vials or syringes)]]/1000,"")</f>
        <v/>
      </c>
      <c r="X770" s="305" t="str">
        <f>IFERROR(Table3[[#This Row],[Storage space per tertiary packaging (cm3)]]*Table3[[#This Row],[Quantity (doses)]]/1000,"")</f>
        <v/>
      </c>
      <c r="Y770" s="293" t="str">
        <f>IF(Table3[[#This Row],[Status]]="Ordered",(DATE(YEAR(P770),MONTH(P770),1)),IF(Table3[[#This Row],[Status]]="Received",(DATE(YEAR(Q770),MONTH(Q770),1)),""))</f>
        <v/>
      </c>
      <c r="Z770" s="304" t="str">
        <f t="shared" si="44"/>
        <v/>
      </c>
      <c r="AA770" s="48" t="str">
        <f t="shared" si="45"/>
        <v/>
      </c>
      <c r="AB770" s="48" t="str">
        <f t="shared" si="46"/>
        <v/>
      </c>
      <c r="AC770" s="292" t="str">
        <f t="shared" si="47"/>
        <v/>
      </c>
      <c r="AD770" s="48" t="str">
        <f>IF(Table3[[#This Row],[Actual Arrival date]]&gt;0,IF(Table3[[#This Row],[Expected arrival date]]&gt;0,Table3[[#This Row],[Actual Arrival date]]-Table3[[#This Row],[Expected arrival date]],""),"")</f>
        <v/>
      </c>
    </row>
    <row r="771" spans="1:30" x14ac:dyDescent="0.25">
      <c r="A771" s="303" t="str">
        <f>Start!$D$7</f>
        <v>Anyland</v>
      </c>
      <c r="B771" s="48" t="str">
        <f>_xlfn.IFNA(VLOOKUP(A771,list!B:C,2,FALSE),"")</f>
        <v>ANY</v>
      </c>
      <c r="C771" s="48"/>
      <c r="D771" s="127"/>
      <c r="E771" s="48" t="str">
        <f>_xlfn.IFNA(VLOOKUP(Table3[[#This Row],[Product]], ProductListTbl[], 3, 0), "")</f>
        <v/>
      </c>
      <c r="F771" s="303" t="str">
        <f>_xlfn.IFNA(VLOOKUP(D771,ProductListTbl[],5,0),"")</f>
        <v/>
      </c>
      <c r="G771" s="303" t="str">
        <f>_xlfn.IFNA(VLOOKUP(D771,ProductListTbl[],6,0),"")</f>
        <v/>
      </c>
      <c r="H771" s="130" t="str">
        <f>_xlfn.IFNA(VLOOKUP(D771,ProductListTbl[],7,0),"")</f>
        <v/>
      </c>
      <c r="I771" s="130" t="str">
        <f>_xlfn.IFNA(VLOOKUP(D771,ProductListTbl[],8,0),"")</f>
        <v/>
      </c>
      <c r="J771" s="127"/>
      <c r="K771" s="129"/>
      <c r="L771" s="128"/>
      <c r="M771" s="305" t="str">
        <f>IFERROR(Table3[[#This Row],[Quantity (doses)]]/Table3[[#This Row],[Doses per vial or syringe]],"")</f>
        <v/>
      </c>
      <c r="N771" s="127"/>
      <c r="O771" s="127"/>
      <c r="P771" s="381"/>
      <c r="Q771" s="129"/>
      <c r="R771" s="127"/>
      <c r="S771" s="127"/>
      <c r="T771" s="127"/>
      <c r="U771" s="127"/>
      <c r="V771" s="305" t="str">
        <f>_xlfn.IFNA(VLOOKUP(D771,ProductListTbl[],9,0),"")</f>
        <v/>
      </c>
      <c r="W771" s="305" t="str">
        <f>IFERROR(Table3[[#This Row],[Storage space per secondary packaging (cm3)]]*Table3[[#This Row],[Quantity  (vials or syringes)]]/1000,"")</f>
        <v/>
      </c>
      <c r="X771" s="305" t="str">
        <f>IFERROR(Table3[[#This Row],[Storage space per tertiary packaging (cm3)]]*Table3[[#This Row],[Quantity (doses)]]/1000,"")</f>
        <v/>
      </c>
      <c r="Y771" s="293" t="str">
        <f>IF(Table3[[#This Row],[Status]]="Ordered",(DATE(YEAR(P771),MONTH(P771),1)),IF(Table3[[#This Row],[Status]]="Received",(DATE(YEAR(Q771),MONTH(Q771),1)),""))</f>
        <v/>
      </c>
      <c r="Z771" s="304" t="str">
        <f t="shared" si="44"/>
        <v/>
      </c>
      <c r="AA771" s="48" t="str">
        <f t="shared" si="45"/>
        <v/>
      </c>
      <c r="AB771" s="48" t="str">
        <f t="shared" si="46"/>
        <v/>
      </c>
      <c r="AC771" s="292" t="str">
        <f t="shared" si="47"/>
        <v/>
      </c>
      <c r="AD771" s="48" t="str">
        <f>IF(Table3[[#This Row],[Actual Arrival date]]&gt;0,IF(Table3[[#This Row],[Expected arrival date]]&gt;0,Table3[[#This Row],[Actual Arrival date]]-Table3[[#This Row],[Expected arrival date]],""),"")</f>
        <v/>
      </c>
    </row>
    <row r="772" spans="1:30" x14ac:dyDescent="0.25">
      <c r="A772" s="303" t="str">
        <f>Start!$D$7</f>
        <v>Anyland</v>
      </c>
      <c r="B772" s="48" t="str">
        <f>_xlfn.IFNA(VLOOKUP(A772,list!B:C,2,FALSE),"")</f>
        <v>ANY</v>
      </c>
      <c r="C772" s="48"/>
      <c r="D772" s="127"/>
      <c r="E772" s="48" t="str">
        <f>_xlfn.IFNA(VLOOKUP(Table3[[#This Row],[Product]], ProductListTbl[], 3, 0), "")</f>
        <v/>
      </c>
      <c r="F772" s="303" t="str">
        <f>_xlfn.IFNA(VLOOKUP(D772,ProductListTbl[],5,0),"")</f>
        <v/>
      </c>
      <c r="G772" s="303" t="str">
        <f>_xlfn.IFNA(VLOOKUP(D772,ProductListTbl[],6,0),"")</f>
        <v/>
      </c>
      <c r="H772" s="130" t="str">
        <f>_xlfn.IFNA(VLOOKUP(D772,ProductListTbl[],7,0),"")</f>
        <v/>
      </c>
      <c r="I772" s="130" t="str">
        <f>_xlfn.IFNA(VLOOKUP(D772,ProductListTbl[],8,0),"")</f>
        <v/>
      </c>
      <c r="J772" s="127"/>
      <c r="K772" s="129"/>
      <c r="L772" s="128"/>
      <c r="M772" s="305" t="str">
        <f>IFERROR(Table3[[#This Row],[Quantity (doses)]]/Table3[[#This Row],[Doses per vial or syringe]],"")</f>
        <v/>
      </c>
      <c r="N772" s="127"/>
      <c r="O772" s="127"/>
      <c r="P772" s="381"/>
      <c r="Q772" s="129"/>
      <c r="R772" s="127"/>
      <c r="S772" s="127"/>
      <c r="T772" s="127"/>
      <c r="U772" s="127"/>
      <c r="V772" s="305" t="str">
        <f>_xlfn.IFNA(VLOOKUP(D772,ProductListTbl[],9,0),"")</f>
        <v/>
      </c>
      <c r="W772" s="305" t="str">
        <f>IFERROR(Table3[[#This Row],[Storage space per secondary packaging (cm3)]]*Table3[[#This Row],[Quantity  (vials or syringes)]]/1000,"")</f>
        <v/>
      </c>
      <c r="X772" s="305" t="str">
        <f>IFERROR(Table3[[#This Row],[Storage space per tertiary packaging (cm3)]]*Table3[[#This Row],[Quantity (doses)]]/1000,"")</f>
        <v/>
      </c>
      <c r="Y772" s="293" t="str">
        <f>IF(Table3[[#This Row],[Status]]="Ordered",(DATE(YEAR(P772),MONTH(P772),1)),IF(Table3[[#This Row],[Status]]="Received",(DATE(YEAR(Q772),MONTH(Q772),1)),""))</f>
        <v/>
      </c>
      <c r="Z772" s="304" t="str">
        <f t="shared" si="44"/>
        <v/>
      </c>
      <c r="AA772" s="48" t="str">
        <f t="shared" si="45"/>
        <v/>
      </c>
      <c r="AB772" s="48" t="str">
        <f t="shared" si="46"/>
        <v/>
      </c>
      <c r="AC772" s="292" t="str">
        <f t="shared" si="47"/>
        <v/>
      </c>
      <c r="AD772" s="48" t="str">
        <f>IF(Table3[[#This Row],[Actual Arrival date]]&gt;0,IF(Table3[[#This Row],[Expected arrival date]]&gt;0,Table3[[#This Row],[Actual Arrival date]]-Table3[[#This Row],[Expected arrival date]],""),"")</f>
        <v/>
      </c>
    </row>
    <row r="773" spans="1:30" x14ac:dyDescent="0.25">
      <c r="A773" s="303" t="str">
        <f>Start!$D$7</f>
        <v>Anyland</v>
      </c>
      <c r="B773" s="48" t="str">
        <f>_xlfn.IFNA(VLOOKUP(A773,list!B:C,2,FALSE),"")</f>
        <v>ANY</v>
      </c>
      <c r="C773" s="48"/>
      <c r="D773" s="127"/>
      <c r="E773" s="48" t="str">
        <f>_xlfn.IFNA(VLOOKUP(Table3[[#This Row],[Product]], ProductListTbl[], 3, 0), "")</f>
        <v/>
      </c>
      <c r="F773" s="303" t="str">
        <f>_xlfn.IFNA(VLOOKUP(D773,ProductListTbl[],5,0),"")</f>
        <v/>
      </c>
      <c r="G773" s="303" t="str">
        <f>_xlfn.IFNA(VLOOKUP(D773,ProductListTbl[],6,0),"")</f>
        <v/>
      </c>
      <c r="H773" s="130" t="str">
        <f>_xlfn.IFNA(VLOOKUP(D773,ProductListTbl[],7,0),"")</f>
        <v/>
      </c>
      <c r="I773" s="130" t="str">
        <f>_xlfn.IFNA(VLOOKUP(D773,ProductListTbl[],8,0),"")</f>
        <v/>
      </c>
      <c r="J773" s="127"/>
      <c r="K773" s="129"/>
      <c r="L773" s="128"/>
      <c r="M773" s="305" t="str">
        <f>IFERROR(Table3[[#This Row],[Quantity (doses)]]/Table3[[#This Row],[Doses per vial or syringe]],"")</f>
        <v/>
      </c>
      <c r="N773" s="127"/>
      <c r="O773" s="127"/>
      <c r="P773" s="381"/>
      <c r="Q773" s="129"/>
      <c r="R773" s="127"/>
      <c r="S773" s="127"/>
      <c r="T773" s="127"/>
      <c r="U773" s="127"/>
      <c r="V773" s="305" t="str">
        <f>_xlfn.IFNA(VLOOKUP(D773,ProductListTbl[],9,0),"")</f>
        <v/>
      </c>
      <c r="W773" s="305" t="str">
        <f>IFERROR(Table3[[#This Row],[Storage space per secondary packaging (cm3)]]*Table3[[#This Row],[Quantity  (vials or syringes)]]/1000,"")</f>
        <v/>
      </c>
      <c r="X773" s="305" t="str">
        <f>IFERROR(Table3[[#This Row],[Storage space per tertiary packaging (cm3)]]*Table3[[#This Row],[Quantity (doses)]]/1000,"")</f>
        <v/>
      </c>
      <c r="Y773" s="293" t="str">
        <f>IF(Table3[[#This Row],[Status]]="Ordered",(DATE(YEAR(P773),MONTH(P773),1)),IF(Table3[[#This Row],[Status]]="Received",(DATE(YEAR(Q773),MONTH(Q773),1)),""))</f>
        <v/>
      </c>
      <c r="Z773" s="304" t="str">
        <f t="shared" ref="Z773:Z836" si="48">IFERROR(IF(K773&gt;0,((K773-Q773)/(365.25/12)),""),"")</f>
        <v/>
      </c>
      <c r="AA773" s="48" t="str">
        <f t="shared" ref="AA773:AA836" si="49">IFERROR(IF(K773="","",MONTH(EOMONTH(K773,(DAY(K773)&gt;15)+0))),"")</f>
        <v/>
      </c>
      <c r="AB773" s="48" t="str">
        <f t="shared" ref="AB773:AB836" si="50">IFERROR(IF(K773="","",IF(AND(MONTH(K773)=12,AA773=1),YEAR(K773)+1,YEAR(K773))),"")</f>
        <v/>
      </c>
      <c r="AC773" s="292" t="str">
        <f t="shared" ref="AC773:AC836" si="51">IF(OR(AA773="",AB773=""),"",DATE(AB773,AA773,1))</f>
        <v/>
      </c>
      <c r="AD773" s="48" t="str">
        <f>IF(Table3[[#This Row],[Actual Arrival date]]&gt;0,IF(Table3[[#This Row],[Expected arrival date]]&gt;0,Table3[[#This Row],[Actual Arrival date]]-Table3[[#This Row],[Expected arrival date]],""),"")</f>
        <v/>
      </c>
    </row>
    <row r="774" spans="1:30" x14ac:dyDescent="0.25">
      <c r="A774" s="303" t="str">
        <f>Start!$D$7</f>
        <v>Anyland</v>
      </c>
      <c r="B774" s="48" t="str">
        <f>_xlfn.IFNA(VLOOKUP(A774,list!B:C,2,FALSE),"")</f>
        <v>ANY</v>
      </c>
      <c r="C774" s="48"/>
      <c r="D774" s="127"/>
      <c r="E774" s="48" t="str">
        <f>_xlfn.IFNA(VLOOKUP(Table3[[#This Row],[Product]], ProductListTbl[], 3, 0), "")</f>
        <v/>
      </c>
      <c r="F774" s="303" t="str">
        <f>_xlfn.IFNA(VLOOKUP(D774,ProductListTbl[],5,0),"")</f>
        <v/>
      </c>
      <c r="G774" s="303" t="str">
        <f>_xlfn.IFNA(VLOOKUP(D774,ProductListTbl[],6,0),"")</f>
        <v/>
      </c>
      <c r="H774" s="130" t="str">
        <f>_xlfn.IFNA(VLOOKUP(D774,ProductListTbl[],7,0),"")</f>
        <v/>
      </c>
      <c r="I774" s="130" t="str">
        <f>_xlfn.IFNA(VLOOKUP(D774,ProductListTbl[],8,0),"")</f>
        <v/>
      </c>
      <c r="J774" s="127"/>
      <c r="K774" s="129"/>
      <c r="L774" s="128"/>
      <c r="M774" s="305" t="str">
        <f>IFERROR(Table3[[#This Row],[Quantity (doses)]]/Table3[[#This Row],[Doses per vial or syringe]],"")</f>
        <v/>
      </c>
      <c r="N774" s="127"/>
      <c r="O774" s="127"/>
      <c r="P774" s="381"/>
      <c r="Q774" s="129"/>
      <c r="R774" s="127"/>
      <c r="S774" s="127"/>
      <c r="T774" s="127"/>
      <c r="U774" s="127"/>
      <c r="V774" s="305" t="str">
        <f>_xlfn.IFNA(VLOOKUP(D774,ProductListTbl[],9,0),"")</f>
        <v/>
      </c>
      <c r="W774" s="305" t="str">
        <f>IFERROR(Table3[[#This Row],[Storage space per secondary packaging (cm3)]]*Table3[[#This Row],[Quantity  (vials or syringes)]]/1000,"")</f>
        <v/>
      </c>
      <c r="X774" s="305" t="str">
        <f>IFERROR(Table3[[#This Row],[Storage space per tertiary packaging (cm3)]]*Table3[[#This Row],[Quantity (doses)]]/1000,"")</f>
        <v/>
      </c>
      <c r="Y774" s="293" t="str">
        <f>IF(Table3[[#This Row],[Status]]="Ordered",(DATE(YEAR(P774),MONTH(P774),1)),IF(Table3[[#This Row],[Status]]="Received",(DATE(YEAR(Q774),MONTH(Q774),1)),""))</f>
        <v/>
      </c>
      <c r="Z774" s="304" t="str">
        <f t="shared" si="48"/>
        <v/>
      </c>
      <c r="AA774" s="48" t="str">
        <f t="shared" si="49"/>
        <v/>
      </c>
      <c r="AB774" s="48" t="str">
        <f t="shared" si="50"/>
        <v/>
      </c>
      <c r="AC774" s="292" t="str">
        <f t="shared" si="51"/>
        <v/>
      </c>
      <c r="AD774" s="48" t="str">
        <f>IF(Table3[[#This Row],[Actual Arrival date]]&gt;0,IF(Table3[[#This Row],[Expected arrival date]]&gt;0,Table3[[#This Row],[Actual Arrival date]]-Table3[[#This Row],[Expected arrival date]],""),"")</f>
        <v/>
      </c>
    </row>
    <row r="775" spans="1:30" x14ac:dyDescent="0.25">
      <c r="A775" s="303" t="str">
        <f>Start!$D$7</f>
        <v>Anyland</v>
      </c>
      <c r="B775" s="48" t="str">
        <f>_xlfn.IFNA(VLOOKUP(A775,list!B:C,2,FALSE),"")</f>
        <v>ANY</v>
      </c>
      <c r="C775" s="48"/>
      <c r="D775" s="127"/>
      <c r="E775" s="48" t="str">
        <f>_xlfn.IFNA(VLOOKUP(Table3[[#This Row],[Product]], ProductListTbl[], 3, 0), "")</f>
        <v/>
      </c>
      <c r="F775" s="303" t="str">
        <f>_xlfn.IFNA(VLOOKUP(D775,ProductListTbl[],5,0),"")</f>
        <v/>
      </c>
      <c r="G775" s="303" t="str">
        <f>_xlfn.IFNA(VLOOKUP(D775,ProductListTbl[],6,0),"")</f>
        <v/>
      </c>
      <c r="H775" s="130" t="str">
        <f>_xlfn.IFNA(VLOOKUP(D775,ProductListTbl[],7,0),"")</f>
        <v/>
      </c>
      <c r="I775" s="130" t="str">
        <f>_xlfn.IFNA(VLOOKUP(D775,ProductListTbl[],8,0),"")</f>
        <v/>
      </c>
      <c r="J775" s="127"/>
      <c r="K775" s="129"/>
      <c r="L775" s="128"/>
      <c r="M775" s="305" t="str">
        <f>IFERROR(Table3[[#This Row],[Quantity (doses)]]/Table3[[#This Row],[Doses per vial or syringe]],"")</f>
        <v/>
      </c>
      <c r="N775" s="127"/>
      <c r="O775" s="127"/>
      <c r="P775" s="381"/>
      <c r="Q775" s="129"/>
      <c r="R775" s="127"/>
      <c r="S775" s="127"/>
      <c r="T775" s="127"/>
      <c r="U775" s="127"/>
      <c r="V775" s="305" t="str">
        <f>_xlfn.IFNA(VLOOKUP(D775,ProductListTbl[],9,0),"")</f>
        <v/>
      </c>
      <c r="W775" s="305" t="str">
        <f>IFERROR(Table3[[#This Row],[Storage space per secondary packaging (cm3)]]*Table3[[#This Row],[Quantity  (vials or syringes)]]/1000,"")</f>
        <v/>
      </c>
      <c r="X775" s="305" t="str">
        <f>IFERROR(Table3[[#This Row],[Storage space per tertiary packaging (cm3)]]*Table3[[#This Row],[Quantity (doses)]]/1000,"")</f>
        <v/>
      </c>
      <c r="Y775" s="293" t="str">
        <f>IF(Table3[[#This Row],[Status]]="Ordered",(DATE(YEAR(P775),MONTH(P775),1)),IF(Table3[[#This Row],[Status]]="Received",(DATE(YEAR(Q775),MONTH(Q775),1)),""))</f>
        <v/>
      </c>
      <c r="Z775" s="304" t="str">
        <f t="shared" si="48"/>
        <v/>
      </c>
      <c r="AA775" s="48" t="str">
        <f t="shared" si="49"/>
        <v/>
      </c>
      <c r="AB775" s="48" t="str">
        <f t="shared" si="50"/>
        <v/>
      </c>
      <c r="AC775" s="292" t="str">
        <f t="shared" si="51"/>
        <v/>
      </c>
      <c r="AD775" s="48" t="str">
        <f>IF(Table3[[#This Row],[Actual Arrival date]]&gt;0,IF(Table3[[#This Row],[Expected arrival date]]&gt;0,Table3[[#This Row],[Actual Arrival date]]-Table3[[#This Row],[Expected arrival date]],""),"")</f>
        <v/>
      </c>
    </row>
    <row r="776" spans="1:30" x14ac:dyDescent="0.25">
      <c r="A776" s="303" t="str">
        <f>Start!$D$7</f>
        <v>Anyland</v>
      </c>
      <c r="B776" s="48" t="str">
        <f>_xlfn.IFNA(VLOOKUP(A776,list!B:C,2,FALSE),"")</f>
        <v>ANY</v>
      </c>
      <c r="C776" s="48"/>
      <c r="D776" s="127"/>
      <c r="E776" s="48" t="str">
        <f>_xlfn.IFNA(VLOOKUP(Table3[[#This Row],[Product]], ProductListTbl[], 3, 0), "")</f>
        <v/>
      </c>
      <c r="F776" s="303" t="str">
        <f>_xlfn.IFNA(VLOOKUP(D776,ProductListTbl[],5,0),"")</f>
        <v/>
      </c>
      <c r="G776" s="303" t="str">
        <f>_xlfn.IFNA(VLOOKUP(D776,ProductListTbl[],6,0),"")</f>
        <v/>
      </c>
      <c r="H776" s="130" t="str">
        <f>_xlfn.IFNA(VLOOKUP(D776,ProductListTbl[],7,0),"")</f>
        <v/>
      </c>
      <c r="I776" s="130" t="str">
        <f>_xlfn.IFNA(VLOOKUP(D776,ProductListTbl[],8,0),"")</f>
        <v/>
      </c>
      <c r="J776" s="127"/>
      <c r="K776" s="129"/>
      <c r="L776" s="128"/>
      <c r="M776" s="305" t="str">
        <f>IFERROR(Table3[[#This Row],[Quantity (doses)]]/Table3[[#This Row],[Doses per vial or syringe]],"")</f>
        <v/>
      </c>
      <c r="N776" s="127"/>
      <c r="O776" s="127"/>
      <c r="P776" s="381"/>
      <c r="Q776" s="129"/>
      <c r="R776" s="127"/>
      <c r="S776" s="127"/>
      <c r="T776" s="127"/>
      <c r="U776" s="127"/>
      <c r="V776" s="305" t="str">
        <f>_xlfn.IFNA(VLOOKUP(D776,ProductListTbl[],9,0),"")</f>
        <v/>
      </c>
      <c r="W776" s="305" t="str">
        <f>IFERROR(Table3[[#This Row],[Storage space per secondary packaging (cm3)]]*Table3[[#This Row],[Quantity  (vials or syringes)]]/1000,"")</f>
        <v/>
      </c>
      <c r="X776" s="305" t="str">
        <f>IFERROR(Table3[[#This Row],[Storage space per tertiary packaging (cm3)]]*Table3[[#This Row],[Quantity (doses)]]/1000,"")</f>
        <v/>
      </c>
      <c r="Y776" s="293" t="str">
        <f>IF(Table3[[#This Row],[Status]]="Ordered",(DATE(YEAR(P776),MONTH(P776),1)),IF(Table3[[#This Row],[Status]]="Received",(DATE(YEAR(Q776),MONTH(Q776),1)),""))</f>
        <v/>
      </c>
      <c r="Z776" s="304" t="str">
        <f t="shared" si="48"/>
        <v/>
      </c>
      <c r="AA776" s="48" t="str">
        <f t="shared" si="49"/>
        <v/>
      </c>
      <c r="AB776" s="48" t="str">
        <f t="shared" si="50"/>
        <v/>
      </c>
      <c r="AC776" s="292" t="str">
        <f t="shared" si="51"/>
        <v/>
      </c>
      <c r="AD776" s="48" t="str">
        <f>IF(Table3[[#This Row],[Actual Arrival date]]&gt;0,IF(Table3[[#This Row],[Expected arrival date]]&gt;0,Table3[[#This Row],[Actual Arrival date]]-Table3[[#This Row],[Expected arrival date]],""),"")</f>
        <v/>
      </c>
    </row>
    <row r="777" spans="1:30" x14ac:dyDescent="0.25">
      <c r="A777" s="303" t="str">
        <f>Start!$D$7</f>
        <v>Anyland</v>
      </c>
      <c r="B777" s="48" t="str">
        <f>_xlfn.IFNA(VLOOKUP(A777,list!B:C,2,FALSE),"")</f>
        <v>ANY</v>
      </c>
      <c r="C777" s="48"/>
      <c r="D777" s="127"/>
      <c r="E777" s="48" t="str">
        <f>_xlfn.IFNA(VLOOKUP(Table3[[#This Row],[Product]], ProductListTbl[], 3, 0), "")</f>
        <v/>
      </c>
      <c r="F777" s="303" t="str">
        <f>_xlfn.IFNA(VLOOKUP(D777,ProductListTbl[],5,0),"")</f>
        <v/>
      </c>
      <c r="G777" s="303" t="str">
        <f>_xlfn.IFNA(VLOOKUP(D777,ProductListTbl[],6,0),"")</f>
        <v/>
      </c>
      <c r="H777" s="130" t="str">
        <f>_xlfn.IFNA(VLOOKUP(D777,ProductListTbl[],7,0),"")</f>
        <v/>
      </c>
      <c r="I777" s="130" t="str">
        <f>_xlfn.IFNA(VLOOKUP(D777,ProductListTbl[],8,0),"")</f>
        <v/>
      </c>
      <c r="J777" s="127"/>
      <c r="K777" s="129"/>
      <c r="L777" s="128"/>
      <c r="M777" s="305" t="str">
        <f>IFERROR(Table3[[#This Row],[Quantity (doses)]]/Table3[[#This Row],[Doses per vial or syringe]],"")</f>
        <v/>
      </c>
      <c r="N777" s="127"/>
      <c r="O777" s="127"/>
      <c r="P777" s="381"/>
      <c r="Q777" s="129"/>
      <c r="R777" s="127"/>
      <c r="S777" s="127"/>
      <c r="T777" s="127"/>
      <c r="U777" s="127"/>
      <c r="V777" s="305" t="str">
        <f>_xlfn.IFNA(VLOOKUP(D777,ProductListTbl[],9,0),"")</f>
        <v/>
      </c>
      <c r="W777" s="305" t="str">
        <f>IFERROR(Table3[[#This Row],[Storage space per secondary packaging (cm3)]]*Table3[[#This Row],[Quantity  (vials or syringes)]]/1000,"")</f>
        <v/>
      </c>
      <c r="X777" s="305" t="str">
        <f>IFERROR(Table3[[#This Row],[Storage space per tertiary packaging (cm3)]]*Table3[[#This Row],[Quantity (doses)]]/1000,"")</f>
        <v/>
      </c>
      <c r="Y777" s="293" t="str">
        <f>IF(Table3[[#This Row],[Status]]="Ordered",(DATE(YEAR(P777),MONTH(P777),1)),IF(Table3[[#This Row],[Status]]="Received",(DATE(YEAR(Q777),MONTH(Q777),1)),""))</f>
        <v/>
      </c>
      <c r="Z777" s="304" t="str">
        <f t="shared" si="48"/>
        <v/>
      </c>
      <c r="AA777" s="48" t="str">
        <f t="shared" si="49"/>
        <v/>
      </c>
      <c r="AB777" s="48" t="str">
        <f t="shared" si="50"/>
        <v/>
      </c>
      <c r="AC777" s="292" t="str">
        <f t="shared" si="51"/>
        <v/>
      </c>
      <c r="AD777" s="48" t="str">
        <f>IF(Table3[[#This Row],[Actual Arrival date]]&gt;0,IF(Table3[[#This Row],[Expected arrival date]]&gt;0,Table3[[#This Row],[Actual Arrival date]]-Table3[[#This Row],[Expected arrival date]],""),"")</f>
        <v/>
      </c>
    </row>
    <row r="778" spans="1:30" x14ac:dyDescent="0.25">
      <c r="A778" s="303" t="str">
        <f>Start!$D$7</f>
        <v>Anyland</v>
      </c>
      <c r="B778" s="48" t="str">
        <f>_xlfn.IFNA(VLOOKUP(A778,list!B:C,2,FALSE),"")</f>
        <v>ANY</v>
      </c>
      <c r="C778" s="48"/>
      <c r="D778" s="127"/>
      <c r="E778" s="48" t="str">
        <f>_xlfn.IFNA(VLOOKUP(Table3[[#This Row],[Product]], ProductListTbl[], 3, 0), "")</f>
        <v/>
      </c>
      <c r="F778" s="303" t="str">
        <f>_xlfn.IFNA(VLOOKUP(D778,ProductListTbl[],5,0),"")</f>
        <v/>
      </c>
      <c r="G778" s="303" t="str">
        <f>_xlfn.IFNA(VLOOKUP(D778,ProductListTbl[],6,0),"")</f>
        <v/>
      </c>
      <c r="H778" s="130" t="str">
        <f>_xlfn.IFNA(VLOOKUP(D778,ProductListTbl[],7,0),"")</f>
        <v/>
      </c>
      <c r="I778" s="130" t="str">
        <f>_xlfn.IFNA(VLOOKUP(D778,ProductListTbl[],8,0),"")</f>
        <v/>
      </c>
      <c r="J778" s="127"/>
      <c r="K778" s="129"/>
      <c r="L778" s="128"/>
      <c r="M778" s="305" t="str">
        <f>IFERROR(Table3[[#This Row],[Quantity (doses)]]/Table3[[#This Row],[Doses per vial or syringe]],"")</f>
        <v/>
      </c>
      <c r="N778" s="127"/>
      <c r="O778" s="127"/>
      <c r="P778" s="381"/>
      <c r="Q778" s="129"/>
      <c r="R778" s="127"/>
      <c r="S778" s="127"/>
      <c r="T778" s="127"/>
      <c r="U778" s="127"/>
      <c r="V778" s="305" t="str">
        <f>_xlfn.IFNA(VLOOKUP(D778,ProductListTbl[],9,0),"")</f>
        <v/>
      </c>
      <c r="W778" s="305" t="str">
        <f>IFERROR(Table3[[#This Row],[Storage space per secondary packaging (cm3)]]*Table3[[#This Row],[Quantity  (vials or syringes)]]/1000,"")</f>
        <v/>
      </c>
      <c r="X778" s="305" t="str">
        <f>IFERROR(Table3[[#This Row],[Storage space per tertiary packaging (cm3)]]*Table3[[#This Row],[Quantity (doses)]]/1000,"")</f>
        <v/>
      </c>
      <c r="Y778" s="293" t="str">
        <f>IF(Table3[[#This Row],[Status]]="Ordered",(DATE(YEAR(P778),MONTH(P778),1)),IF(Table3[[#This Row],[Status]]="Received",(DATE(YEAR(Q778),MONTH(Q778),1)),""))</f>
        <v/>
      </c>
      <c r="Z778" s="304" t="str">
        <f t="shared" si="48"/>
        <v/>
      </c>
      <c r="AA778" s="48" t="str">
        <f t="shared" si="49"/>
        <v/>
      </c>
      <c r="AB778" s="48" t="str">
        <f t="shared" si="50"/>
        <v/>
      </c>
      <c r="AC778" s="292" t="str">
        <f t="shared" si="51"/>
        <v/>
      </c>
      <c r="AD778" s="48" t="str">
        <f>IF(Table3[[#This Row],[Actual Arrival date]]&gt;0,IF(Table3[[#This Row],[Expected arrival date]]&gt;0,Table3[[#This Row],[Actual Arrival date]]-Table3[[#This Row],[Expected arrival date]],""),"")</f>
        <v/>
      </c>
    </row>
    <row r="779" spans="1:30" x14ac:dyDescent="0.25">
      <c r="A779" s="303" t="str">
        <f>Start!$D$7</f>
        <v>Anyland</v>
      </c>
      <c r="B779" s="48" t="str">
        <f>_xlfn.IFNA(VLOOKUP(A779,list!B:C,2,FALSE),"")</f>
        <v>ANY</v>
      </c>
      <c r="C779" s="48"/>
      <c r="D779" s="127"/>
      <c r="E779" s="48" t="str">
        <f>_xlfn.IFNA(VLOOKUP(Table3[[#This Row],[Product]], ProductListTbl[], 3, 0), "")</f>
        <v/>
      </c>
      <c r="F779" s="303" t="str">
        <f>_xlfn.IFNA(VLOOKUP(D779,ProductListTbl[],5,0),"")</f>
        <v/>
      </c>
      <c r="G779" s="303" t="str">
        <f>_xlfn.IFNA(VLOOKUP(D779,ProductListTbl[],6,0),"")</f>
        <v/>
      </c>
      <c r="H779" s="130" t="str">
        <f>_xlfn.IFNA(VLOOKUP(D779,ProductListTbl[],7,0),"")</f>
        <v/>
      </c>
      <c r="I779" s="130" t="str">
        <f>_xlfn.IFNA(VLOOKUP(D779,ProductListTbl[],8,0),"")</f>
        <v/>
      </c>
      <c r="J779" s="127"/>
      <c r="K779" s="129"/>
      <c r="L779" s="128"/>
      <c r="M779" s="305" t="str">
        <f>IFERROR(Table3[[#This Row],[Quantity (doses)]]/Table3[[#This Row],[Doses per vial or syringe]],"")</f>
        <v/>
      </c>
      <c r="N779" s="127"/>
      <c r="O779" s="127"/>
      <c r="P779" s="381"/>
      <c r="Q779" s="129"/>
      <c r="R779" s="127"/>
      <c r="S779" s="127"/>
      <c r="T779" s="127"/>
      <c r="U779" s="127"/>
      <c r="V779" s="305" t="str">
        <f>_xlfn.IFNA(VLOOKUP(D779,ProductListTbl[],9,0),"")</f>
        <v/>
      </c>
      <c r="W779" s="305" t="str">
        <f>IFERROR(Table3[[#This Row],[Storage space per secondary packaging (cm3)]]*Table3[[#This Row],[Quantity  (vials or syringes)]]/1000,"")</f>
        <v/>
      </c>
      <c r="X779" s="305" t="str">
        <f>IFERROR(Table3[[#This Row],[Storage space per tertiary packaging (cm3)]]*Table3[[#This Row],[Quantity (doses)]]/1000,"")</f>
        <v/>
      </c>
      <c r="Y779" s="293" t="str">
        <f>IF(Table3[[#This Row],[Status]]="Ordered",(DATE(YEAR(P779),MONTH(P779),1)),IF(Table3[[#This Row],[Status]]="Received",(DATE(YEAR(Q779),MONTH(Q779),1)),""))</f>
        <v/>
      </c>
      <c r="Z779" s="304" t="str">
        <f t="shared" si="48"/>
        <v/>
      </c>
      <c r="AA779" s="48" t="str">
        <f t="shared" si="49"/>
        <v/>
      </c>
      <c r="AB779" s="48" t="str">
        <f t="shared" si="50"/>
        <v/>
      </c>
      <c r="AC779" s="292" t="str">
        <f t="shared" si="51"/>
        <v/>
      </c>
      <c r="AD779" s="48" t="str">
        <f>IF(Table3[[#This Row],[Actual Arrival date]]&gt;0,IF(Table3[[#This Row],[Expected arrival date]]&gt;0,Table3[[#This Row],[Actual Arrival date]]-Table3[[#This Row],[Expected arrival date]],""),"")</f>
        <v/>
      </c>
    </row>
    <row r="780" spans="1:30" x14ac:dyDescent="0.25">
      <c r="A780" s="303" t="str">
        <f>Start!$D$7</f>
        <v>Anyland</v>
      </c>
      <c r="B780" s="48" t="str">
        <f>_xlfn.IFNA(VLOOKUP(A780,list!B:C,2,FALSE),"")</f>
        <v>ANY</v>
      </c>
      <c r="C780" s="48"/>
      <c r="D780" s="127"/>
      <c r="E780" s="48" t="str">
        <f>_xlfn.IFNA(VLOOKUP(Table3[[#This Row],[Product]], ProductListTbl[], 3, 0), "")</f>
        <v/>
      </c>
      <c r="F780" s="303" t="str">
        <f>_xlfn.IFNA(VLOOKUP(D780,ProductListTbl[],5,0),"")</f>
        <v/>
      </c>
      <c r="G780" s="303" t="str">
        <f>_xlfn.IFNA(VLOOKUP(D780,ProductListTbl[],6,0),"")</f>
        <v/>
      </c>
      <c r="H780" s="130" t="str">
        <f>_xlfn.IFNA(VLOOKUP(D780,ProductListTbl[],7,0),"")</f>
        <v/>
      </c>
      <c r="I780" s="130" t="str">
        <f>_xlfn.IFNA(VLOOKUP(D780,ProductListTbl[],8,0),"")</f>
        <v/>
      </c>
      <c r="J780" s="127"/>
      <c r="K780" s="129"/>
      <c r="L780" s="128"/>
      <c r="M780" s="305" t="str">
        <f>IFERROR(Table3[[#This Row],[Quantity (doses)]]/Table3[[#This Row],[Doses per vial or syringe]],"")</f>
        <v/>
      </c>
      <c r="N780" s="127"/>
      <c r="O780" s="127"/>
      <c r="P780" s="381"/>
      <c r="Q780" s="129"/>
      <c r="R780" s="127"/>
      <c r="S780" s="127"/>
      <c r="T780" s="127"/>
      <c r="U780" s="127"/>
      <c r="V780" s="305" t="str">
        <f>_xlfn.IFNA(VLOOKUP(D780,ProductListTbl[],9,0),"")</f>
        <v/>
      </c>
      <c r="W780" s="305" t="str">
        <f>IFERROR(Table3[[#This Row],[Storage space per secondary packaging (cm3)]]*Table3[[#This Row],[Quantity  (vials or syringes)]]/1000,"")</f>
        <v/>
      </c>
      <c r="X780" s="305" t="str">
        <f>IFERROR(Table3[[#This Row],[Storage space per tertiary packaging (cm3)]]*Table3[[#This Row],[Quantity (doses)]]/1000,"")</f>
        <v/>
      </c>
      <c r="Y780" s="293" t="str">
        <f>IF(Table3[[#This Row],[Status]]="Ordered",(DATE(YEAR(P780),MONTH(P780),1)),IF(Table3[[#This Row],[Status]]="Received",(DATE(YEAR(Q780),MONTH(Q780),1)),""))</f>
        <v/>
      </c>
      <c r="Z780" s="304" t="str">
        <f t="shared" si="48"/>
        <v/>
      </c>
      <c r="AA780" s="48" t="str">
        <f t="shared" si="49"/>
        <v/>
      </c>
      <c r="AB780" s="48" t="str">
        <f t="shared" si="50"/>
        <v/>
      </c>
      <c r="AC780" s="292" t="str">
        <f t="shared" si="51"/>
        <v/>
      </c>
      <c r="AD780" s="48" t="str">
        <f>IF(Table3[[#This Row],[Actual Arrival date]]&gt;0,IF(Table3[[#This Row],[Expected arrival date]]&gt;0,Table3[[#This Row],[Actual Arrival date]]-Table3[[#This Row],[Expected arrival date]],""),"")</f>
        <v/>
      </c>
    </row>
    <row r="781" spans="1:30" x14ac:dyDescent="0.25">
      <c r="A781" s="303" t="str">
        <f>Start!$D$7</f>
        <v>Anyland</v>
      </c>
      <c r="B781" s="48" t="str">
        <f>_xlfn.IFNA(VLOOKUP(A781,list!B:C,2,FALSE),"")</f>
        <v>ANY</v>
      </c>
      <c r="C781" s="48"/>
      <c r="D781" s="127"/>
      <c r="E781" s="48" t="str">
        <f>_xlfn.IFNA(VLOOKUP(Table3[[#This Row],[Product]], ProductListTbl[], 3, 0), "")</f>
        <v/>
      </c>
      <c r="F781" s="303" t="str">
        <f>_xlfn.IFNA(VLOOKUP(D781,ProductListTbl[],5,0),"")</f>
        <v/>
      </c>
      <c r="G781" s="303" t="str">
        <f>_xlfn.IFNA(VLOOKUP(D781,ProductListTbl[],6,0),"")</f>
        <v/>
      </c>
      <c r="H781" s="130" t="str">
        <f>_xlfn.IFNA(VLOOKUP(D781,ProductListTbl[],7,0),"")</f>
        <v/>
      </c>
      <c r="I781" s="130" t="str">
        <f>_xlfn.IFNA(VLOOKUP(D781,ProductListTbl[],8,0),"")</f>
        <v/>
      </c>
      <c r="J781" s="127"/>
      <c r="K781" s="129"/>
      <c r="L781" s="128"/>
      <c r="M781" s="305" t="str">
        <f>IFERROR(Table3[[#This Row],[Quantity (doses)]]/Table3[[#This Row],[Doses per vial or syringe]],"")</f>
        <v/>
      </c>
      <c r="N781" s="127"/>
      <c r="O781" s="127"/>
      <c r="P781" s="381"/>
      <c r="Q781" s="129"/>
      <c r="R781" s="127"/>
      <c r="S781" s="127"/>
      <c r="T781" s="127"/>
      <c r="U781" s="127"/>
      <c r="V781" s="305" t="str">
        <f>_xlfn.IFNA(VLOOKUP(D781,ProductListTbl[],9,0),"")</f>
        <v/>
      </c>
      <c r="W781" s="305" t="str">
        <f>IFERROR(Table3[[#This Row],[Storage space per secondary packaging (cm3)]]*Table3[[#This Row],[Quantity  (vials or syringes)]]/1000,"")</f>
        <v/>
      </c>
      <c r="X781" s="305" t="str">
        <f>IFERROR(Table3[[#This Row],[Storage space per tertiary packaging (cm3)]]*Table3[[#This Row],[Quantity (doses)]]/1000,"")</f>
        <v/>
      </c>
      <c r="Y781" s="293" t="str">
        <f>IF(Table3[[#This Row],[Status]]="Ordered",(DATE(YEAR(P781),MONTH(P781),1)),IF(Table3[[#This Row],[Status]]="Received",(DATE(YEAR(Q781),MONTH(Q781),1)),""))</f>
        <v/>
      </c>
      <c r="Z781" s="304" t="str">
        <f t="shared" si="48"/>
        <v/>
      </c>
      <c r="AA781" s="48" t="str">
        <f t="shared" si="49"/>
        <v/>
      </c>
      <c r="AB781" s="48" t="str">
        <f t="shared" si="50"/>
        <v/>
      </c>
      <c r="AC781" s="292" t="str">
        <f t="shared" si="51"/>
        <v/>
      </c>
      <c r="AD781" s="48" t="str">
        <f>IF(Table3[[#This Row],[Actual Arrival date]]&gt;0,IF(Table3[[#This Row],[Expected arrival date]]&gt;0,Table3[[#This Row],[Actual Arrival date]]-Table3[[#This Row],[Expected arrival date]],""),"")</f>
        <v/>
      </c>
    </row>
    <row r="782" spans="1:30" x14ac:dyDescent="0.25">
      <c r="A782" s="303" t="str">
        <f>Start!$D$7</f>
        <v>Anyland</v>
      </c>
      <c r="B782" s="48" t="str">
        <f>_xlfn.IFNA(VLOOKUP(A782,list!B:C,2,FALSE),"")</f>
        <v>ANY</v>
      </c>
      <c r="C782" s="48"/>
      <c r="D782" s="127"/>
      <c r="E782" s="48" t="str">
        <f>_xlfn.IFNA(VLOOKUP(Table3[[#This Row],[Product]], ProductListTbl[], 3, 0), "")</f>
        <v/>
      </c>
      <c r="F782" s="303" t="str">
        <f>_xlfn.IFNA(VLOOKUP(D782,ProductListTbl[],5,0),"")</f>
        <v/>
      </c>
      <c r="G782" s="303" t="str">
        <f>_xlfn.IFNA(VLOOKUP(D782,ProductListTbl[],6,0),"")</f>
        <v/>
      </c>
      <c r="H782" s="130" t="str">
        <f>_xlfn.IFNA(VLOOKUP(D782,ProductListTbl[],7,0),"")</f>
        <v/>
      </c>
      <c r="I782" s="130" t="str">
        <f>_xlfn.IFNA(VLOOKUP(D782,ProductListTbl[],8,0),"")</f>
        <v/>
      </c>
      <c r="J782" s="127"/>
      <c r="K782" s="129"/>
      <c r="L782" s="128"/>
      <c r="M782" s="305" t="str">
        <f>IFERROR(Table3[[#This Row],[Quantity (doses)]]/Table3[[#This Row],[Doses per vial or syringe]],"")</f>
        <v/>
      </c>
      <c r="N782" s="127"/>
      <c r="O782" s="127"/>
      <c r="P782" s="381"/>
      <c r="Q782" s="129"/>
      <c r="R782" s="127"/>
      <c r="S782" s="127"/>
      <c r="T782" s="127"/>
      <c r="U782" s="127"/>
      <c r="V782" s="305" t="str">
        <f>_xlfn.IFNA(VLOOKUP(D782,ProductListTbl[],9,0),"")</f>
        <v/>
      </c>
      <c r="W782" s="305" t="str">
        <f>IFERROR(Table3[[#This Row],[Storage space per secondary packaging (cm3)]]*Table3[[#This Row],[Quantity  (vials or syringes)]]/1000,"")</f>
        <v/>
      </c>
      <c r="X782" s="305" t="str">
        <f>IFERROR(Table3[[#This Row],[Storage space per tertiary packaging (cm3)]]*Table3[[#This Row],[Quantity (doses)]]/1000,"")</f>
        <v/>
      </c>
      <c r="Y782" s="293" t="str">
        <f>IF(Table3[[#This Row],[Status]]="Ordered",(DATE(YEAR(P782),MONTH(P782),1)),IF(Table3[[#This Row],[Status]]="Received",(DATE(YEAR(Q782),MONTH(Q782),1)),""))</f>
        <v/>
      </c>
      <c r="Z782" s="304" t="str">
        <f t="shared" si="48"/>
        <v/>
      </c>
      <c r="AA782" s="48" t="str">
        <f t="shared" si="49"/>
        <v/>
      </c>
      <c r="AB782" s="48" t="str">
        <f t="shared" si="50"/>
        <v/>
      </c>
      <c r="AC782" s="292" t="str">
        <f t="shared" si="51"/>
        <v/>
      </c>
      <c r="AD782" s="48" t="str">
        <f>IF(Table3[[#This Row],[Actual Arrival date]]&gt;0,IF(Table3[[#This Row],[Expected arrival date]]&gt;0,Table3[[#This Row],[Actual Arrival date]]-Table3[[#This Row],[Expected arrival date]],""),"")</f>
        <v/>
      </c>
    </row>
    <row r="783" spans="1:30" x14ac:dyDescent="0.25">
      <c r="A783" s="303" t="str">
        <f>Start!$D$7</f>
        <v>Anyland</v>
      </c>
      <c r="B783" s="48" t="str">
        <f>_xlfn.IFNA(VLOOKUP(A783,list!B:C,2,FALSE),"")</f>
        <v>ANY</v>
      </c>
      <c r="C783" s="48"/>
      <c r="D783" s="127"/>
      <c r="E783" s="48" t="str">
        <f>_xlfn.IFNA(VLOOKUP(Table3[[#This Row],[Product]], ProductListTbl[], 3, 0), "")</f>
        <v/>
      </c>
      <c r="F783" s="303" t="str">
        <f>_xlfn.IFNA(VLOOKUP(D783,ProductListTbl[],5,0),"")</f>
        <v/>
      </c>
      <c r="G783" s="303" t="str">
        <f>_xlfn.IFNA(VLOOKUP(D783,ProductListTbl[],6,0),"")</f>
        <v/>
      </c>
      <c r="H783" s="130" t="str">
        <f>_xlfn.IFNA(VLOOKUP(D783,ProductListTbl[],7,0),"")</f>
        <v/>
      </c>
      <c r="I783" s="130" t="str">
        <f>_xlfn.IFNA(VLOOKUP(D783,ProductListTbl[],8,0),"")</f>
        <v/>
      </c>
      <c r="J783" s="127"/>
      <c r="K783" s="129"/>
      <c r="L783" s="128"/>
      <c r="M783" s="305" t="str">
        <f>IFERROR(Table3[[#This Row],[Quantity (doses)]]/Table3[[#This Row],[Doses per vial or syringe]],"")</f>
        <v/>
      </c>
      <c r="N783" s="127"/>
      <c r="O783" s="127"/>
      <c r="P783" s="381"/>
      <c r="Q783" s="129"/>
      <c r="R783" s="127"/>
      <c r="S783" s="127"/>
      <c r="T783" s="127"/>
      <c r="U783" s="127"/>
      <c r="V783" s="305" t="str">
        <f>_xlfn.IFNA(VLOOKUP(D783,ProductListTbl[],9,0),"")</f>
        <v/>
      </c>
      <c r="W783" s="305" t="str">
        <f>IFERROR(Table3[[#This Row],[Storage space per secondary packaging (cm3)]]*Table3[[#This Row],[Quantity  (vials or syringes)]]/1000,"")</f>
        <v/>
      </c>
      <c r="X783" s="305" t="str">
        <f>IFERROR(Table3[[#This Row],[Storage space per tertiary packaging (cm3)]]*Table3[[#This Row],[Quantity (doses)]]/1000,"")</f>
        <v/>
      </c>
      <c r="Y783" s="293" t="str">
        <f>IF(Table3[[#This Row],[Status]]="Ordered",(DATE(YEAR(P783),MONTH(P783),1)),IF(Table3[[#This Row],[Status]]="Received",(DATE(YEAR(Q783),MONTH(Q783),1)),""))</f>
        <v/>
      </c>
      <c r="Z783" s="304" t="str">
        <f t="shared" si="48"/>
        <v/>
      </c>
      <c r="AA783" s="48" t="str">
        <f t="shared" si="49"/>
        <v/>
      </c>
      <c r="AB783" s="48" t="str">
        <f t="shared" si="50"/>
        <v/>
      </c>
      <c r="AC783" s="292" t="str">
        <f t="shared" si="51"/>
        <v/>
      </c>
      <c r="AD783" s="48" t="str">
        <f>IF(Table3[[#This Row],[Actual Arrival date]]&gt;0,IF(Table3[[#This Row],[Expected arrival date]]&gt;0,Table3[[#This Row],[Actual Arrival date]]-Table3[[#This Row],[Expected arrival date]],""),"")</f>
        <v/>
      </c>
    </row>
    <row r="784" spans="1:30" x14ac:dyDescent="0.25">
      <c r="A784" s="303" t="str">
        <f>Start!$D$7</f>
        <v>Anyland</v>
      </c>
      <c r="B784" s="48" t="str">
        <f>_xlfn.IFNA(VLOOKUP(A784,list!B:C,2,FALSE),"")</f>
        <v>ANY</v>
      </c>
      <c r="C784" s="48"/>
      <c r="D784" s="127"/>
      <c r="E784" s="48" t="str">
        <f>_xlfn.IFNA(VLOOKUP(Table3[[#This Row],[Product]], ProductListTbl[], 3, 0), "")</f>
        <v/>
      </c>
      <c r="F784" s="303" t="str">
        <f>_xlfn.IFNA(VLOOKUP(D784,ProductListTbl[],5,0),"")</f>
        <v/>
      </c>
      <c r="G784" s="303" t="str">
        <f>_xlfn.IFNA(VLOOKUP(D784,ProductListTbl[],6,0),"")</f>
        <v/>
      </c>
      <c r="H784" s="130" t="str">
        <f>_xlfn.IFNA(VLOOKUP(D784,ProductListTbl[],7,0),"")</f>
        <v/>
      </c>
      <c r="I784" s="130" t="str">
        <f>_xlfn.IFNA(VLOOKUP(D784,ProductListTbl[],8,0),"")</f>
        <v/>
      </c>
      <c r="J784" s="127"/>
      <c r="K784" s="129"/>
      <c r="L784" s="128"/>
      <c r="M784" s="305" t="str">
        <f>IFERROR(Table3[[#This Row],[Quantity (doses)]]/Table3[[#This Row],[Doses per vial or syringe]],"")</f>
        <v/>
      </c>
      <c r="N784" s="127"/>
      <c r="O784" s="127"/>
      <c r="P784" s="381"/>
      <c r="Q784" s="129"/>
      <c r="R784" s="127"/>
      <c r="S784" s="127"/>
      <c r="T784" s="127"/>
      <c r="U784" s="127"/>
      <c r="V784" s="305" t="str">
        <f>_xlfn.IFNA(VLOOKUP(D784,ProductListTbl[],9,0),"")</f>
        <v/>
      </c>
      <c r="W784" s="305" t="str">
        <f>IFERROR(Table3[[#This Row],[Storage space per secondary packaging (cm3)]]*Table3[[#This Row],[Quantity  (vials or syringes)]]/1000,"")</f>
        <v/>
      </c>
      <c r="X784" s="305" t="str">
        <f>IFERROR(Table3[[#This Row],[Storage space per tertiary packaging (cm3)]]*Table3[[#This Row],[Quantity (doses)]]/1000,"")</f>
        <v/>
      </c>
      <c r="Y784" s="293" t="str">
        <f>IF(Table3[[#This Row],[Status]]="Ordered",(DATE(YEAR(P784),MONTH(P784),1)),IF(Table3[[#This Row],[Status]]="Received",(DATE(YEAR(Q784),MONTH(Q784),1)),""))</f>
        <v/>
      </c>
      <c r="Z784" s="304" t="str">
        <f t="shared" si="48"/>
        <v/>
      </c>
      <c r="AA784" s="48" t="str">
        <f t="shared" si="49"/>
        <v/>
      </c>
      <c r="AB784" s="48" t="str">
        <f t="shared" si="50"/>
        <v/>
      </c>
      <c r="AC784" s="292" t="str">
        <f t="shared" si="51"/>
        <v/>
      </c>
      <c r="AD784" s="48" t="str">
        <f>IF(Table3[[#This Row],[Actual Arrival date]]&gt;0,IF(Table3[[#This Row],[Expected arrival date]]&gt;0,Table3[[#This Row],[Actual Arrival date]]-Table3[[#This Row],[Expected arrival date]],""),"")</f>
        <v/>
      </c>
    </row>
    <row r="785" spans="1:30" x14ac:dyDescent="0.25">
      <c r="A785" s="303" t="str">
        <f>Start!$D$7</f>
        <v>Anyland</v>
      </c>
      <c r="B785" s="48" t="str">
        <f>_xlfn.IFNA(VLOOKUP(A785,list!B:C,2,FALSE),"")</f>
        <v>ANY</v>
      </c>
      <c r="C785" s="48"/>
      <c r="D785" s="127"/>
      <c r="E785" s="48" t="str">
        <f>_xlfn.IFNA(VLOOKUP(Table3[[#This Row],[Product]], ProductListTbl[], 3, 0), "")</f>
        <v/>
      </c>
      <c r="F785" s="303" t="str">
        <f>_xlfn.IFNA(VLOOKUP(D785,ProductListTbl[],5,0),"")</f>
        <v/>
      </c>
      <c r="G785" s="303" t="str">
        <f>_xlfn.IFNA(VLOOKUP(D785,ProductListTbl[],6,0),"")</f>
        <v/>
      </c>
      <c r="H785" s="130" t="str">
        <f>_xlfn.IFNA(VLOOKUP(D785,ProductListTbl[],7,0),"")</f>
        <v/>
      </c>
      <c r="I785" s="130" t="str">
        <f>_xlfn.IFNA(VLOOKUP(D785,ProductListTbl[],8,0),"")</f>
        <v/>
      </c>
      <c r="J785" s="127"/>
      <c r="K785" s="129"/>
      <c r="L785" s="128"/>
      <c r="M785" s="305" t="str">
        <f>IFERROR(Table3[[#This Row],[Quantity (doses)]]/Table3[[#This Row],[Doses per vial or syringe]],"")</f>
        <v/>
      </c>
      <c r="N785" s="127"/>
      <c r="O785" s="127"/>
      <c r="P785" s="381"/>
      <c r="Q785" s="129"/>
      <c r="R785" s="127"/>
      <c r="S785" s="127"/>
      <c r="T785" s="127"/>
      <c r="U785" s="127"/>
      <c r="V785" s="305" t="str">
        <f>_xlfn.IFNA(VLOOKUP(D785,ProductListTbl[],9,0),"")</f>
        <v/>
      </c>
      <c r="W785" s="305" t="str">
        <f>IFERROR(Table3[[#This Row],[Storage space per secondary packaging (cm3)]]*Table3[[#This Row],[Quantity  (vials or syringes)]]/1000,"")</f>
        <v/>
      </c>
      <c r="X785" s="305" t="str">
        <f>IFERROR(Table3[[#This Row],[Storage space per tertiary packaging (cm3)]]*Table3[[#This Row],[Quantity (doses)]]/1000,"")</f>
        <v/>
      </c>
      <c r="Y785" s="293" t="str">
        <f>IF(Table3[[#This Row],[Status]]="Ordered",(DATE(YEAR(P785),MONTH(P785),1)),IF(Table3[[#This Row],[Status]]="Received",(DATE(YEAR(Q785),MONTH(Q785),1)),""))</f>
        <v/>
      </c>
      <c r="Z785" s="304" t="str">
        <f t="shared" si="48"/>
        <v/>
      </c>
      <c r="AA785" s="48" t="str">
        <f t="shared" si="49"/>
        <v/>
      </c>
      <c r="AB785" s="48" t="str">
        <f t="shared" si="50"/>
        <v/>
      </c>
      <c r="AC785" s="292" t="str">
        <f t="shared" si="51"/>
        <v/>
      </c>
      <c r="AD785" s="48" t="str">
        <f>IF(Table3[[#This Row],[Actual Arrival date]]&gt;0,IF(Table3[[#This Row],[Expected arrival date]]&gt;0,Table3[[#This Row],[Actual Arrival date]]-Table3[[#This Row],[Expected arrival date]],""),"")</f>
        <v/>
      </c>
    </row>
    <row r="786" spans="1:30" x14ac:dyDescent="0.25">
      <c r="A786" s="303" t="str">
        <f>Start!$D$7</f>
        <v>Anyland</v>
      </c>
      <c r="B786" s="48" t="str">
        <f>_xlfn.IFNA(VLOOKUP(A786,list!B:C,2,FALSE),"")</f>
        <v>ANY</v>
      </c>
      <c r="C786" s="48"/>
      <c r="D786" s="127"/>
      <c r="E786" s="48" t="str">
        <f>_xlfn.IFNA(VLOOKUP(Table3[[#This Row],[Product]], ProductListTbl[], 3, 0), "")</f>
        <v/>
      </c>
      <c r="F786" s="303" t="str">
        <f>_xlfn.IFNA(VLOOKUP(D786,ProductListTbl[],5,0),"")</f>
        <v/>
      </c>
      <c r="G786" s="303" t="str">
        <f>_xlfn.IFNA(VLOOKUP(D786,ProductListTbl[],6,0),"")</f>
        <v/>
      </c>
      <c r="H786" s="130" t="str">
        <f>_xlfn.IFNA(VLOOKUP(D786,ProductListTbl[],7,0),"")</f>
        <v/>
      </c>
      <c r="I786" s="130" t="str">
        <f>_xlfn.IFNA(VLOOKUP(D786,ProductListTbl[],8,0),"")</f>
        <v/>
      </c>
      <c r="J786" s="127"/>
      <c r="K786" s="129"/>
      <c r="L786" s="128"/>
      <c r="M786" s="305" t="str">
        <f>IFERROR(Table3[[#This Row],[Quantity (doses)]]/Table3[[#This Row],[Doses per vial or syringe]],"")</f>
        <v/>
      </c>
      <c r="N786" s="127"/>
      <c r="O786" s="127"/>
      <c r="P786" s="381"/>
      <c r="Q786" s="129"/>
      <c r="R786" s="127"/>
      <c r="S786" s="127"/>
      <c r="T786" s="127"/>
      <c r="U786" s="127"/>
      <c r="V786" s="305" t="str">
        <f>_xlfn.IFNA(VLOOKUP(D786,ProductListTbl[],9,0),"")</f>
        <v/>
      </c>
      <c r="W786" s="305" t="str">
        <f>IFERROR(Table3[[#This Row],[Storage space per secondary packaging (cm3)]]*Table3[[#This Row],[Quantity  (vials or syringes)]]/1000,"")</f>
        <v/>
      </c>
      <c r="X786" s="305" t="str">
        <f>IFERROR(Table3[[#This Row],[Storage space per tertiary packaging (cm3)]]*Table3[[#This Row],[Quantity (doses)]]/1000,"")</f>
        <v/>
      </c>
      <c r="Y786" s="293" t="str">
        <f>IF(Table3[[#This Row],[Status]]="Ordered",(DATE(YEAR(P786),MONTH(P786),1)),IF(Table3[[#This Row],[Status]]="Received",(DATE(YEAR(Q786),MONTH(Q786),1)),""))</f>
        <v/>
      </c>
      <c r="Z786" s="304" t="str">
        <f t="shared" si="48"/>
        <v/>
      </c>
      <c r="AA786" s="48" t="str">
        <f t="shared" si="49"/>
        <v/>
      </c>
      <c r="AB786" s="48" t="str">
        <f t="shared" si="50"/>
        <v/>
      </c>
      <c r="AC786" s="292" t="str">
        <f t="shared" si="51"/>
        <v/>
      </c>
      <c r="AD786" s="48" t="str">
        <f>IF(Table3[[#This Row],[Actual Arrival date]]&gt;0,IF(Table3[[#This Row],[Expected arrival date]]&gt;0,Table3[[#This Row],[Actual Arrival date]]-Table3[[#This Row],[Expected arrival date]],""),"")</f>
        <v/>
      </c>
    </row>
    <row r="787" spans="1:30" x14ac:dyDescent="0.25">
      <c r="A787" s="303" t="str">
        <f>Start!$D$7</f>
        <v>Anyland</v>
      </c>
      <c r="B787" s="48" t="str">
        <f>_xlfn.IFNA(VLOOKUP(A787,list!B:C,2,FALSE),"")</f>
        <v>ANY</v>
      </c>
      <c r="C787" s="48"/>
      <c r="D787" s="127"/>
      <c r="E787" s="48" t="str">
        <f>_xlfn.IFNA(VLOOKUP(Table3[[#This Row],[Product]], ProductListTbl[], 3, 0), "")</f>
        <v/>
      </c>
      <c r="F787" s="303" t="str">
        <f>_xlfn.IFNA(VLOOKUP(D787,ProductListTbl[],5,0),"")</f>
        <v/>
      </c>
      <c r="G787" s="303" t="str">
        <f>_xlfn.IFNA(VLOOKUP(D787,ProductListTbl[],6,0),"")</f>
        <v/>
      </c>
      <c r="H787" s="130" t="str">
        <f>_xlfn.IFNA(VLOOKUP(D787,ProductListTbl[],7,0),"")</f>
        <v/>
      </c>
      <c r="I787" s="130" t="str">
        <f>_xlfn.IFNA(VLOOKUP(D787,ProductListTbl[],8,0),"")</f>
        <v/>
      </c>
      <c r="J787" s="127"/>
      <c r="K787" s="129"/>
      <c r="L787" s="128"/>
      <c r="M787" s="305" t="str">
        <f>IFERROR(Table3[[#This Row],[Quantity (doses)]]/Table3[[#This Row],[Doses per vial or syringe]],"")</f>
        <v/>
      </c>
      <c r="N787" s="127"/>
      <c r="O787" s="127"/>
      <c r="P787" s="381"/>
      <c r="Q787" s="129"/>
      <c r="R787" s="127"/>
      <c r="S787" s="127"/>
      <c r="T787" s="127"/>
      <c r="U787" s="127"/>
      <c r="V787" s="305" t="str">
        <f>_xlfn.IFNA(VLOOKUP(D787,ProductListTbl[],9,0),"")</f>
        <v/>
      </c>
      <c r="W787" s="305" t="str">
        <f>IFERROR(Table3[[#This Row],[Storage space per secondary packaging (cm3)]]*Table3[[#This Row],[Quantity  (vials or syringes)]]/1000,"")</f>
        <v/>
      </c>
      <c r="X787" s="305" t="str">
        <f>IFERROR(Table3[[#This Row],[Storage space per tertiary packaging (cm3)]]*Table3[[#This Row],[Quantity (doses)]]/1000,"")</f>
        <v/>
      </c>
      <c r="Y787" s="293" t="str">
        <f>IF(Table3[[#This Row],[Status]]="Ordered",(DATE(YEAR(P787),MONTH(P787),1)),IF(Table3[[#This Row],[Status]]="Received",(DATE(YEAR(Q787),MONTH(Q787),1)),""))</f>
        <v/>
      </c>
      <c r="Z787" s="304" t="str">
        <f t="shared" si="48"/>
        <v/>
      </c>
      <c r="AA787" s="48" t="str">
        <f t="shared" si="49"/>
        <v/>
      </c>
      <c r="AB787" s="48" t="str">
        <f t="shared" si="50"/>
        <v/>
      </c>
      <c r="AC787" s="292" t="str">
        <f t="shared" si="51"/>
        <v/>
      </c>
      <c r="AD787" s="48" t="str">
        <f>IF(Table3[[#This Row],[Actual Arrival date]]&gt;0,IF(Table3[[#This Row],[Expected arrival date]]&gt;0,Table3[[#This Row],[Actual Arrival date]]-Table3[[#This Row],[Expected arrival date]],""),"")</f>
        <v/>
      </c>
    </row>
    <row r="788" spans="1:30" x14ac:dyDescent="0.25">
      <c r="A788" s="303" t="str">
        <f>Start!$D$7</f>
        <v>Anyland</v>
      </c>
      <c r="B788" s="48" t="str">
        <f>_xlfn.IFNA(VLOOKUP(A788,list!B:C,2,FALSE),"")</f>
        <v>ANY</v>
      </c>
      <c r="C788" s="48"/>
      <c r="D788" s="127"/>
      <c r="E788" s="48" t="str">
        <f>_xlfn.IFNA(VLOOKUP(Table3[[#This Row],[Product]], ProductListTbl[], 3, 0), "")</f>
        <v/>
      </c>
      <c r="F788" s="303" t="str">
        <f>_xlfn.IFNA(VLOOKUP(D788,ProductListTbl[],5,0),"")</f>
        <v/>
      </c>
      <c r="G788" s="303" t="str">
        <f>_xlfn.IFNA(VLOOKUP(D788,ProductListTbl[],6,0),"")</f>
        <v/>
      </c>
      <c r="H788" s="130" t="str">
        <f>_xlfn.IFNA(VLOOKUP(D788,ProductListTbl[],7,0),"")</f>
        <v/>
      </c>
      <c r="I788" s="130" t="str">
        <f>_xlfn.IFNA(VLOOKUP(D788,ProductListTbl[],8,0),"")</f>
        <v/>
      </c>
      <c r="J788" s="127"/>
      <c r="K788" s="129"/>
      <c r="L788" s="128"/>
      <c r="M788" s="305" t="str">
        <f>IFERROR(Table3[[#This Row],[Quantity (doses)]]/Table3[[#This Row],[Doses per vial or syringe]],"")</f>
        <v/>
      </c>
      <c r="N788" s="127"/>
      <c r="O788" s="127"/>
      <c r="P788" s="381"/>
      <c r="Q788" s="129"/>
      <c r="R788" s="127"/>
      <c r="S788" s="127"/>
      <c r="T788" s="127"/>
      <c r="U788" s="127"/>
      <c r="V788" s="305" t="str">
        <f>_xlfn.IFNA(VLOOKUP(D788,ProductListTbl[],9,0),"")</f>
        <v/>
      </c>
      <c r="W788" s="305" t="str">
        <f>IFERROR(Table3[[#This Row],[Storage space per secondary packaging (cm3)]]*Table3[[#This Row],[Quantity  (vials or syringes)]]/1000,"")</f>
        <v/>
      </c>
      <c r="X788" s="305" t="str">
        <f>IFERROR(Table3[[#This Row],[Storage space per tertiary packaging (cm3)]]*Table3[[#This Row],[Quantity (doses)]]/1000,"")</f>
        <v/>
      </c>
      <c r="Y788" s="293" t="str">
        <f>IF(Table3[[#This Row],[Status]]="Ordered",(DATE(YEAR(P788),MONTH(P788),1)),IF(Table3[[#This Row],[Status]]="Received",(DATE(YEAR(Q788),MONTH(Q788),1)),""))</f>
        <v/>
      </c>
      <c r="Z788" s="304" t="str">
        <f t="shared" si="48"/>
        <v/>
      </c>
      <c r="AA788" s="48" t="str">
        <f t="shared" si="49"/>
        <v/>
      </c>
      <c r="AB788" s="48" t="str">
        <f t="shared" si="50"/>
        <v/>
      </c>
      <c r="AC788" s="292" t="str">
        <f t="shared" si="51"/>
        <v/>
      </c>
      <c r="AD788" s="48" t="str">
        <f>IF(Table3[[#This Row],[Actual Arrival date]]&gt;0,IF(Table3[[#This Row],[Expected arrival date]]&gt;0,Table3[[#This Row],[Actual Arrival date]]-Table3[[#This Row],[Expected arrival date]],""),"")</f>
        <v/>
      </c>
    </row>
    <row r="789" spans="1:30" x14ac:dyDescent="0.25">
      <c r="A789" s="303" t="str">
        <f>Start!$D$7</f>
        <v>Anyland</v>
      </c>
      <c r="B789" s="48" t="str">
        <f>_xlfn.IFNA(VLOOKUP(A789,list!B:C,2,FALSE),"")</f>
        <v>ANY</v>
      </c>
      <c r="C789" s="48"/>
      <c r="D789" s="127"/>
      <c r="E789" s="48" t="str">
        <f>_xlfn.IFNA(VLOOKUP(Table3[[#This Row],[Product]], ProductListTbl[], 3, 0), "")</f>
        <v/>
      </c>
      <c r="F789" s="303" t="str">
        <f>_xlfn.IFNA(VLOOKUP(D789,ProductListTbl[],5,0),"")</f>
        <v/>
      </c>
      <c r="G789" s="303" t="str">
        <f>_xlfn.IFNA(VLOOKUP(D789,ProductListTbl[],6,0),"")</f>
        <v/>
      </c>
      <c r="H789" s="130" t="str">
        <f>_xlfn.IFNA(VLOOKUP(D789,ProductListTbl[],7,0),"")</f>
        <v/>
      </c>
      <c r="I789" s="130" t="str">
        <f>_xlfn.IFNA(VLOOKUP(D789,ProductListTbl[],8,0),"")</f>
        <v/>
      </c>
      <c r="J789" s="127"/>
      <c r="K789" s="129"/>
      <c r="L789" s="128"/>
      <c r="M789" s="305" t="str">
        <f>IFERROR(Table3[[#This Row],[Quantity (doses)]]/Table3[[#This Row],[Doses per vial or syringe]],"")</f>
        <v/>
      </c>
      <c r="N789" s="127"/>
      <c r="O789" s="127"/>
      <c r="P789" s="381"/>
      <c r="Q789" s="129"/>
      <c r="R789" s="127"/>
      <c r="S789" s="127"/>
      <c r="T789" s="127"/>
      <c r="U789" s="127"/>
      <c r="V789" s="305" t="str">
        <f>_xlfn.IFNA(VLOOKUP(D789,ProductListTbl[],9,0),"")</f>
        <v/>
      </c>
      <c r="W789" s="305" t="str">
        <f>IFERROR(Table3[[#This Row],[Storage space per secondary packaging (cm3)]]*Table3[[#This Row],[Quantity  (vials or syringes)]]/1000,"")</f>
        <v/>
      </c>
      <c r="X789" s="305" t="str">
        <f>IFERROR(Table3[[#This Row],[Storage space per tertiary packaging (cm3)]]*Table3[[#This Row],[Quantity (doses)]]/1000,"")</f>
        <v/>
      </c>
      <c r="Y789" s="293" t="str">
        <f>IF(Table3[[#This Row],[Status]]="Ordered",(DATE(YEAR(P789),MONTH(P789),1)),IF(Table3[[#This Row],[Status]]="Received",(DATE(YEAR(Q789),MONTH(Q789),1)),""))</f>
        <v/>
      </c>
      <c r="Z789" s="304" t="str">
        <f t="shared" si="48"/>
        <v/>
      </c>
      <c r="AA789" s="48" t="str">
        <f t="shared" si="49"/>
        <v/>
      </c>
      <c r="AB789" s="48" t="str">
        <f t="shared" si="50"/>
        <v/>
      </c>
      <c r="AC789" s="292" t="str">
        <f t="shared" si="51"/>
        <v/>
      </c>
      <c r="AD789" s="48" t="str">
        <f>IF(Table3[[#This Row],[Actual Arrival date]]&gt;0,IF(Table3[[#This Row],[Expected arrival date]]&gt;0,Table3[[#This Row],[Actual Arrival date]]-Table3[[#This Row],[Expected arrival date]],""),"")</f>
        <v/>
      </c>
    </row>
    <row r="790" spans="1:30" x14ac:dyDescent="0.25">
      <c r="A790" s="303" t="str">
        <f>Start!$D$7</f>
        <v>Anyland</v>
      </c>
      <c r="B790" s="48" t="str">
        <f>_xlfn.IFNA(VLOOKUP(A790,list!B:C,2,FALSE),"")</f>
        <v>ANY</v>
      </c>
      <c r="C790" s="48"/>
      <c r="D790" s="127"/>
      <c r="E790" s="48" t="str">
        <f>_xlfn.IFNA(VLOOKUP(Table3[[#This Row],[Product]], ProductListTbl[], 3, 0), "")</f>
        <v/>
      </c>
      <c r="F790" s="303" t="str">
        <f>_xlfn.IFNA(VLOOKUP(D790,ProductListTbl[],5,0),"")</f>
        <v/>
      </c>
      <c r="G790" s="303" t="str">
        <f>_xlfn.IFNA(VLOOKUP(D790,ProductListTbl[],6,0),"")</f>
        <v/>
      </c>
      <c r="H790" s="130" t="str">
        <f>_xlfn.IFNA(VLOOKUP(D790,ProductListTbl[],7,0),"")</f>
        <v/>
      </c>
      <c r="I790" s="130" t="str">
        <f>_xlfn.IFNA(VLOOKUP(D790,ProductListTbl[],8,0),"")</f>
        <v/>
      </c>
      <c r="J790" s="127"/>
      <c r="K790" s="129"/>
      <c r="L790" s="128"/>
      <c r="M790" s="305" t="str">
        <f>IFERROR(Table3[[#This Row],[Quantity (doses)]]/Table3[[#This Row],[Doses per vial or syringe]],"")</f>
        <v/>
      </c>
      <c r="N790" s="127"/>
      <c r="O790" s="127"/>
      <c r="P790" s="381"/>
      <c r="Q790" s="129"/>
      <c r="R790" s="127"/>
      <c r="S790" s="127"/>
      <c r="T790" s="127"/>
      <c r="U790" s="127"/>
      <c r="V790" s="305" t="str">
        <f>_xlfn.IFNA(VLOOKUP(D790,ProductListTbl[],9,0),"")</f>
        <v/>
      </c>
      <c r="W790" s="305" t="str">
        <f>IFERROR(Table3[[#This Row],[Storage space per secondary packaging (cm3)]]*Table3[[#This Row],[Quantity  (vials or syringes)]]/1000,"")</f>
        <v/>
      </c>
      <c r="X790" s="305" t="str">
        <f>IFERROR(Table3[[#This Row],[Storage space per tertiary packaging (cm3)]]*Table3[[#This Row],[Quantity (doses)]]/1000,"")</f>
        <v/>
      </c>
      <c r="Y790" s="293" t="str">
        <f>IF(Table3[[#This Row],[Status]]="Ordered",(DATE(YEAR(P790),MONTH(P790),1)),IF(Table3[[#This Row],[Status]]="Received",(DATE(YEAR(Q790),MONTH(Q790),1)),""))</f>
        <v/>
      </c>
      <c r="Z790" s="304" t="str">
        <f t="shared" si="48"/>
        <v/>
      </c>
      <c r="AA790" s="48" t="str">
        <f t="shared" si="49"/>
        <v/>
      </c>
      <c r="AB790" s="48" t="str">
        <f t="shared" si="50"/>
        <v/>
      </c>
      <c r="AC790" s="292" t="str">
        <f t="shared" si="51"/>
        <v/>
      </c>
      <c r="AD790" s="48" t="str">
        <f>IF(Table3[[#This Row],[Actual Arrival date]]&gt;0,IF(Table3[[#This Row],[Expected arrival date]]&gt;0,Table3[[#This Row],[Actual Arrival date]]-Table3[[#This Row],[Expected arrival date]],""),"")</f>
        <v/>
      </c>
    </row>
    <row r="791" spans="1:30" x14ac:dyDescent="0.25">
      <c r="A791" s="303" t="str">
        <f>Start!$D$7</f>
        <v>Anyland</v>
      </c>
      <c r="B791" s="48" t="str">
        <f>_xlfn.IFNA(VLOOKUP(A791,list!B:C,2,FALSE),"")</f>
        <v>ANY</v>
      </c>
      <c r="C791" s="48"/>
      <c r="D791" s="127"/>
      <c r="E791" s="48" t="str">
        <f>_xlfn.IFNA(VLOOKUP(Table3[[#This Row],[Product]], ProductListTbl[], 3, 0), "")</f>
        <v/>
      </c>
      <c r="F791" s="303" t="str">
        <f>_xlfn.IFNA(VLOOKUP(D791,ProductListTbl[],5,0),"")</f>
        <v/>
      </c>
      <c r="G791" s="303" t="str">
        <f>_xlfn.IFNA(VLOOKUP(D791,ProductListTbl[],6,0),"")</f>
        <v/>
      </c>
      <c r="H791" s="130" t="str">
        <f>_xlfn.IFNA(VLOOKUP(D791,ProductListTbl[],7,0),"")</f>
        <v/>
      </c>
      <c r="I791" s="130" t="str">
        <f>_xlfn.IFNA(VLOOKUP(D791,ProductListTbl[],8,0),"")</f>
        <v/>
      </c>
      <c r="J791" s="127"/>
      <c r="K791" s="129"/>
      <c r="L791" s="128"/>
      <c r="M791" s="305" t="str">
        <f>IFERROR(Table3[[#This Row],[Quantity (doses)]]/Table3[[#This Row],[Doses per vial or syringe]],"")</f>
        <v/>
      </c>
      <c r="N791" s="127"/>
      <c r="O791" s="127"/>
      <c r="P791" s="381"/>
      <c r="Q791" s="129"/>
      <c r="R791" s="127"/>
      <c r="S791" s="127"/>
      <c r="T791" s="127"/>
      <c r="U791" s="127"/>
      <c r="V791" s="305" t="str">
        <f>_xlfn.IFNA(VLOOKUP(D791,ProductListTbl[],9,0),"")</f>
        <v/>
      </c>
      <c r="W791" s="305" t="str">
        <f>IFERROR(Table3[[#This Row],[Storage space per secondary packaging (cm3)]]*Table3[[#This Row],[Quantity  (vials or syringes)]]/1000,"")</f>
        <v/>
      </c>
      <c r="X791" s="305" t="str">
        <f>IFERROR(Table3[[#This Row],[Storage space per tertiary packaging (cm3)]]*Table3[[#This Row],[Quantity (doses)]]/1000,"")</f>
        <v/>
      </c>
      <c r="Y791" s="293" t="str">
        <f>IF(Table3[[#This Row],[Status]]="Ordered",(DATE(YEAR(P791),MONTH(P791),1)),IF(Table3[[#This Row],[Status]]="Received",(DATE(YEAR(Q791),MONTH(Q791),1)),""))</f>
        <v/>
      </c>
      <c r="Z791" s="304" t="str">
        <f t="shared" si="48"/>
        <v/>
      </c>
      <c r="AA791" s="48" t="str">
        <f t="shared" si="49"/>
        <v/>
      </c>
      <c r="AB791" s="48" t="str">
        <f t="shared" si="50"/>
        <v/>
      </c>
      <c r="AC791" s="292" t="str">
        <f t="shared" si="51"/>
        <v/>
      </c>
      <c r="AD791" s="48" t="str">
        <f>IF(Table3[[#This Row],[Actual Arrival date]]&gt;0,IF(Table3[[#This Row],[Expected arrival date]]&gt;0,Table3[[#This Row],[Actual Arrival date]]-Table3[[#This Row],[Expected arrival date]],""),"")</f>
        <v/>
      </c>
    </row>
    <row r="792" spans="1:30" x14ac:dyDescent="0.25">
      <c r="A792" s="303" t="str">
        <f>Start!$D$7</f>
        <v>Anyland</v>
      </c>
      <c r="B792" s="48" t="str">
        <f>_xlfn.IFNA(VLOOKUP(A792,list!B:C,2,FALSE),"")</f>
        <v>ANY</v>
      </c>
      <c r="C792" s="48"/>
      <c r="D792" s="127"/>
      <c r="E792" s="48" t="str">
        <f>_xlfn.IFNA(VLOOKUP(Table3[[#This Row],[Product]], ProductListTbl[], 3, 0), "")</f>
        <v/>
      </c>
      <c r="F792" s="303" t="str">
        <f>_xlfn.IFNA(VLOOKUP(D792,ProductListTbl[],5,0),"")</f>
        <v/>
      </c>
      <c r="G792" s="303" t="str">
        <f>_xlfn.IFNA(VLOOKUP(D792,ProductListTbl[],6,0),"")</f>
        <v/>
      </c>
      <c r="H792" s="130" t="str">
        <f>_xlfn.IFNA(VLOOKUP(D792,ProductListTbl[],7,0),"")</f>
        <v/>
      </c>
      <c r="I792" s="130" t="str">
        <f>_xlfn.IFNA(VLOOKUP(D792,ProductListTbl[],8,0),"")</f>
        <v/>
      </c>
      <c r="J792" s="127"/>
      <c r="K792" s="129"/>
      <c r="L792" s="128"/>
      <c r="M792" s="305" t="str">
        <f>IFERROR(Table3[[#This Row],[Quantity (doses)]]/Table3[[#This Row],[Doses per vial or syringe]],"")</f>
        <v/>
      </c>
      <c r="N792" s="127"/>
      <c r="O792" s="127"/>
      <c r="P792" s="381"/>
      <c r="Q792" s="129"/>
      <c r="R792" s="127"/>
      <c r="S792" s="127"/>
      <c r="T792" s="127"/>
      <c r="U792" s="127"/>
      <c r="V792" s="305" t="str">
        <f>_xlfn.IFNA(VLOOKUP(D792,ProductListTbl[],9,0),"")</f>
        <v/>
      </c>
      <c r="W792" s="305" t="str">
        <f>IFERROR(Table3[[#This Row],[Storage space per secondary packaging (cm3)]]*Table3[[#This Row],[Quantity  (vials or syringes)]]/1000,"")</f>
        <v/>
      </c>
      <c r="X792" s="305" t="str">
        <f>IFERROR(Table3[[#This Row],[Storage space per tertiary packaging (cm3)]]*Table3[[#This Row],[Quantity (doses)]]/1000,"")</f>
        <v/>
      </c>
      <c r="Y792" s="293" t="str">
        <f>IF(Table3[[#This Row],[Status]]="Ordered",(DATE(YEAR(P792),MONTH(P792),1)),IF(Table3[[#This Row],[Status]]="Received",(DATE(YEAR(Q792),MONTH(Q792),1)),""))</f>
        <v/>
      </c>
      <c r="Z792" s="304" t="str">
        <f t="shared" si="48"/>
        <v/>
      </c>
      <c r="AA792" s="48" t="str">
        <f t="shared" si="49"/>
        <v/>
      </c>
      <c r="AB792" s="48" t="str">
        <f t="shared" si="50"/>
        <v/>
      </c>
      <c r="AC792" s="292" t="str">
        <f t="shared" si="51"/>
        <v/>
      </c>
      <c r="AD792" s="48" t="str">
        <f>IF(Table3[[#This Row],[Actual Arrival date]]&gt;0,IF(Table3[[#This Row],[Expected arrival date]]&gt;0,Table3[[#This Row],[Actual Arrival date]]-Table3[[#This Row],[Expected arrival date]],""),"")</f>
        <v/>
      </c>
    </row>
    <row r="793" spans="1:30" x14ac:dyDescent="0.25">
      <c r="A793" s="303" t="str">
        <f>Start!$D$7</f>
        <v>Anyland</v>
      </c>
      <c r="B793" s="48" t="str">
        <f>_xlfn.IFNA(VLOOKUP(A793,list!B:C,2,FALSE),"")</f>
        <v>ANY</v>
      </c>
      <c r="C793" s="48"/>
      <c r="D793" s="127"/>
      <c r="E793" s="48" t="str">
        <f>_xlfn.IFNA(VLOOKUP(Table3[[#This Row],[Product]], ProductListTbl[], 3, 0), "")</f>
        <v/>
      </c>
      <c r="F793" s="303" t="str">
        <f>_xlfn.IFNA(VLOOKUP(D793,ProductListTbl[],5,0),"")</f>
        <v/>
      </c>
      <c r="G793" s="303" t="str">
        <f>_xlfn.IFNA(VLOOKUP(D793,ProductListTbl[],6,0),"")</f>
        <v/>
      </c>
      <c r="H793" s="130" t="str">
        <f>_xlfn.IFNA(VLOOKUP(D793,ProductListTbl[],7,0),"")</f>
        <v/>
      </c>
      <c r="I793" s="130" t="str">
        <f>_xlfn.IFNA(VLOOKUP(D793,ProductListTbl[],8,0),"")</f>
        <v/>
      </c>
      <c r="J793" s="127"/>
      <c r="K793" s="129"/>
      <c r="L793" s="128"/>
      <c r="M793" s="305" t="str">
        <f>IFERROR(Table3[[#This Row],[Quantity (doses)]]/Table3[[#This Row],[Doses per vial or syringe]],"")</f>
        <v/>
      </c>
      <c r="N793" s="127"/>
      <c r="O793" s="127"/>
      <c r="P793" s="381"/>
      <c r="Q793" s="129"/>
      <c r="R793" s="127"/>
      <c r="S793" s="127"/>
      <c r="T793" s="127"/>
      <c r="U793" s="127"/>
      <c r="V793" s="305" t="str">
        <f>_xlfn.IFNA(VLOOKUP(D793,ProductListTbl[],9,0),"")</f>
        <v/>
      </c>
      <c r="W793" s="305" t="str">
        <f>IFERROR(Table3[[#This Row],[Storage space per secondary packaging (cm3)]]*Table3[[#This Row],[Quantity  (vials or syringes)]]/1000,"")</f>
        <v/>
      </c>
      <c r="X793" s="305" t="str">
        <f>IFERROR(Table3[[#This Row],[Storage space per tertiary packaging (cm3)]]*Table3[[#This Row],[Quantity (doses)]]/1000,"")</f>
        <v/>
      </c>
      <c r="Y793" s="293" t="str">
        <f>IF(Table3[[#This Row],[Status]]="Ordered",(DATE(YEAR(P793),MONTH(P793),1)),IF(Table3[[#This Row],[Status]]="Received",(DATE(YEAR(Q793),MONTH(Q793),1)),""))</f>
        <v/>
      </c>
      <c r="Z793" s="304" t="str">
        <f t="shared" si="48"/>
        <v/>
      </c>
      <c r="AA793" s="48" t="str">
        <f t="shared" si="49"/>
        <v/>
      </c>
      <c r="AB793" s="48" t="str">
        <f t="shared" si="50"/>
        <v/>
      </c>
      <c r="AC793" s="292" t="str">
        <f t="shared" si="51"/>
        <v/>
      </c>
      <c r="AD793" s="48" t="str">
        <f>IF(Table3[[#This Row],[Actual Arrival date]]&gt;0,IF(Table3[[#This Row],[Expected arrival date]]&gt;0,Table3[[#This Row],[Actual Arrival date]]-Table3[[#This Row],[Expected arrival date]],""),"")</f>
        <v/>
      </c>
    </row>
    <row r="794" spans="1:30" x14ac:dyDescent="0.25">
      <c r="A794" s="303" t="str">
        <f>Start!$D$7</f>
        <v>Anyland</v>
      </c>
      <c r="B794" s="48" t="str">
        <f>_xlfn.IFNA(VLOOKUP(A794,list!B:C,2,FALSE),"")</f>
        <v>ANY</v>
      </c>
      <c r="C794" s="48"/>
      <c r="D794" s="127"/>
      <c r="E794" s="48" t="str">
        <f>_xlfn.IFNA(VLOOKUP(Table3[[#This Row],[Product]], ProductListTbl[], 3, 0), "")</f>
        <v/>
      </c>
      <c r="F794" s="303" t="str">
        <f>_xlfn.IFNA(VLOOKUP(D794,ProductListTbl[],5,0),"")</f>
        <v/>
      </c>
      <c r="G794" s="303" t="str">
        <f>_xlfn.IFNA(VLOOKUP(D794,ProductListTbl[],6,0),"")</f>
        <v/>
      </c>
      <c r="H794" s="130" t="str">
        <f>_xlfn.IFNA(VLOOKUP(D794,ProductListTbl[],7,0),"")</f>
        <v/>
      </c>
      <c r="I794" s="130" t="str">
        <f>_xlfn.IFNA(VLOOKUP(D794,ProductListTbl[],8,0),"")</f>
        <v/>
      </c>
      <c r="J794" s="127"/>
      <c r="K794" s="129"/>
      <c r="L794" s="128"/>
      <c r="M794" s="305" t="str">
        <f>IFERROR(Table3[[#This Row],[Quantity (doses)]]/Table3[[#This Row],[Doses per vial or syringe]],"")</f>
        <v/>
      </c>
      <c r="N794" s="127"/>
      <c r="O794" s="127"/>
      <c r="P794" s="381"/>
      <c r="Q794" s="129"/>
      <c r="R794" s="127"/>
      <c r="S794" s="127"/>
      <c r="T794" s="127"/>
      <c r="U794" s="127"/>
      <c r="V794" s="305" t="str">
        <f>_xlfn.IFNA(VLOOKUP(D794,ProductListTbl[],9,0),"")</f>
        <v/>
      </c>
      <c r="W794" s="305" t="str">
        <f>IFERROR(Table3[[#This Row],[Storage space per secondary packaging (cm3)]]*Table3[[#This Row],[Quantity  (vials or syringes)]]/1000,"")</f>
        <v/>
      </c>
      <c r="X794" s="305" t="str">
        <f>IFERROR(Table3[[#This Row],[Storage space per tertiary packaging (cm3)]]*Table3[[#This Row],[Quantity (doses)]]/1000,"")</f>
        <v/>
      </c>
      <c r="Y794" s="293" t="str">
        <f>IF(Table3[[#This Row],[Status]]="Ordered",(DATE(YEAR(P794),MONTH(P794),1)),IF(Table3[[#This Row],[Status]]="Received",(DATE(YEAR(Q794),MONTH(Q794),1)),""))</f>
        <v/>
      </c>
      <c r="Z794" s="304" t="str">
        <f t="shared" si="48"/>
        <v/>
      </c>
      <c r="AA794" s="48" t="str">
        <f t="shared" si="49"/>
        <v/>
      </c>
      <c r="AB794" s="48" t="str">
        <f t="shared" si="50"/>
        <v/>
      </c>
      <c r="AC794" s="292" t="str">
        <f t="shared" si="51"/>
        <v/>
      </c>
      <c r="AD794" s="48" t="str">
        <f>IF(Table3[[#This Row],[Actual Arrival date]]&gt;0,IF(Table3[[#This Row],[Expected arrival date]]&gt;0,Table3[[#This Row],[Actual Arrival date]]-Table3[[#This Row],[Expected arrival date]],""),"")</f>
        <v/>
      </c>
    </row>
    <row r="795" spans="1:30" x14ac:dyDescent="0.25">
      <c r="A795" s="303" t="str">
        <f>Start!$D$7</f>
        <v>Anyland</v>
      </c>
      <c r="B795" s="48" t="str">
        <f>_xlfn.IFNA(VLOOKUP(A795,list!B:C,2,FALSE),"")</f>
        <v>ANY</v>
      </c>
      <c r="C795" s="48"/>
      <c r="D795" s="127"/>
      <c r="E795" s="48" t="str">
        <f>_xlfn.IFNA(VLOOKUP(Table3[[#This Row],[Product]], ProductListTbl[], 3, 0), "")</f>
        <v/>
      </c>
      <c r="F795" s="303" t="str">
        <f>_xlfn.IFNA(VLOOKUP(D795,ProductListTbl[],5,0),"")</f>
        <v/>
      </c>
      <c r="G795" s="303" t="str">
        <f>_xlfn.IFNA(VLOOKUP(D795,ProductListTbl[],6,0),"")</f>
        <v/>
      </c>
      <c r="H795" s="130" t="str">
        <f>_xlfn.IFNA(VLOOKUP(D795,ProductListTbl[],7,0),"")</f>
        <v/>
      </c>
      <c r="I795" s="130" t="str">
        <f>_xlfn.IFNA(VLOOKUP(D795,ProductListTbl[],8,0),"")</f>
        <v/>
      </c>
      <c r="J795" s="127"/>
      <c r="K795" s="129"/>
      <c r="L795" s="128"/>
      <c r="M795" s="305" t="str">
        <f>IFERROR(Table3[[#This Row],[Quantity (doses)]]/Table3[[#This Row],[Doses per vial or syringe]],"")</f>
        <v/>
      </c>
      <c r="N795" s="127"/>
      <c r="O795" s="127"/>
      <c r="P795" s="381"/>
      <c r="Q795" s="129"/>
      <c r="R795" s="127"/>
      <c r="S795" s="127"/>
      <c r="T795" s="127"/>
      <c r="U795" s="127"/>
      <c r="V795" s="305" t="str">
        <f>_xlfn.IFNA(VLOOKUP(D795,ProductListTbl[],9,0),"")</f>
        <v/>
      </c>
      <c r="W795" s="305" t="str">
        <f>IFERROR(Table3[[#This Row],[Storage space per secondary packaging (cm3)]]*Table3[[#This Row],[Quantity  (vials or syringes)]]/1000,"")</f>
        <v/>
      </c>
      <c r="X795" s="305" t="str">
        <f>IFERROR(Table3[[#This Row],[Storage space per tertiary packaging (cm3)]]*Table3[[#This Row],[Quantity (doses)]]/1000,"")</f>
        <v/>
      </c>
      <c r="Y795" s="293" t="str">
        <f>IF(Table3[[#This Row],[Status]]="Ordered",(DATE(YEAR(P795),MONTH(P795),1)),IF(Table3[[#This Row],[Status]]="Received",(DATE(YEAR(Q795),MONTH(Q795),1)),""))</f>
        <v/>
      </c>
      <c r="Z795" s="304" t="str">
        <f t="shared" si="48"/>
        <v/>
      </c>
      <c r="AA795" s="48" t="str">
        <f t="shared" si="49"/>
        <v/>
      </c>
      <c r="AB795" s="48" t="str">
        <f t="shared" si="50"/>
        <v/>
      </c>
      <c r="AC795" s="292" t="str">
        <f t="shared" si="51"/>
        <v/>
      </c>
      <c r="AD795" s="48" t="str">
        <f>IF(Table3[[#This Row],[Actual Arrival date]]&gt;0,IF(Table3[[#This Row],[Expected arrival date]]&gt;0,Table3[[#This Row],[Actual Arrival date]]-Table3[[#This Row],[Expected arrival date]],""),"")</f>
        <v/>
      </c>
    </row>
    <row r="796" spans="1:30" x14ac:dyDescent="0.25">
      <c r="A796" s="303" t="str">
        <f>Start!$D$7</f>
        <v>Anyland</v>
      </c>
      <c r="B796" s="48" t="str">
        <f>_xlfn.IFNA(VLOOKUP(A796,list!B:C,2,FALSE),"")</f>
        <v>ANY</v>
      </c>
      <c r="C796" s="48"/>
      <c r="D796" s="127"/>
      <c r="E796" s="48" t="str">
        <f>_xlfn.IFNA(VLOOKUP(Table3[[#This Row],[Product]], ProductListTbl[], 3, 0), "")</f>
        <v/>
      </c>
      <c r="F796" s="303" t="str">
        <f>_xlfn.IFNA(VLOOKUP(D796,ProductListTbl[],5,0),"")</f>
        <v/>
      </c>
      <c r="G796" s="303" t="str">
        <f>_xlfn.IFNA(VLOOKUP(D796,ProductListTbl[],6,0),"")</f>
        <v/>
      </c>
      <c r="H796" s="130" t="str">
        <f>_xlfn.IFNA(VLOOKUP(D796,ProductListTbl[],7,0),"")</f>
        <v/>
      </c>
      <c r="I796" s="130" t="str">
        <f>_xlfn.IFNA(VLOOKUP(D796,ProductListTbl[],8,0),"")</f>
        <v/>
      </c>
      <c r="J796" s="127"/>
      <c r="K796" s="129"/>
      <c r="L796" s="128"/>
      <c r="M796" s="305" t="str">
        <f>IFERROR(Table3[[#This Row],[Quantity (doses)]]/Table3[[#This Row],[Doses per vial or syringe]],"")</f>
        <v/>
      </c>
      <c r="N796" s="127"/>
      <c r="O796" s="127"/>
      <c r="P796" s="381"/>
      <c r="Q796" s="129"/>
      <c r="R796" s="127"/>
      <c r="S796" s="127"/>
      <c r="T796" s="127"/>
      <c r="U796" s="127"/>
      <c r="V796" s="305" t="str">
        <f>_xlfn.IFNA(VLOOKUP(D796,ProductListTbl[],9,0),"")</f>
        <v/>
      </c>
      <c r="W796" s="305" t="str">
        <f>IFERROR(Table3[[#This Row],[Storage space per secondary packaging (cm3)]]*Table3[[#This Row],[Quantity  (vials or syringes)]]/1000,"")</f>
        <v/>
      </c>
      <c r="X796" s="305" t="str">
        <f>IFERROR(Table3[[#This Row],[Storage space per tertiary packaging (cm3)]]*Table3[[#This Row],[Quantity (doses)]]/1000,"")</f>
        <v/>
      </c>
      <c r="Y796" s="293" t="str">
        <f>IF(Table3[[#This Row],[Status]]="Ordered",(DATE(YEAR(P796),MONTH(P796),1)),IF(Table3[[#This Row],[Status]]="Received",(DATE(YEAR(Q796),MONTH(Q796),1)),""))</f>
        <v/>
      </c>
      <c r="Z796" s="304" t="str">
        <f t="shared" si="48"/>
        <v/>
      </c>
      <c r="AA796" s="48" t="str">
        <f t="shared" si="49"/>
        <v/>
      </c>
      <c r="AB796" s="48" t="str">
        <f t="shared" si="50"/>
        <v/>
      </c>
      <c r="AC796" s="292" t="str">
        <f t="shared" si="51"/>
        <v/>
      </c>
      <c r="AD796" s="48" t="str">
        <f>IF(Table3[[#This Row],[Actual Arrival date]]&gt;0,IF(Table3[[#This Row],[Expected arrival date]]&gt;0,Table3[[#This Row],[Actual Arrival date]]-Table3[[#This Row],[Expected arrival date]],""),"")</f>
        <v/>
      </c>
    </row>
    <row r="797" spans="1:30" x14ac:dyDescent="0.25">
      <c r="A797" s="303" t="str">
        <f>Start!$D$7</f>
        <v>Anyland</v>
      </c>
      <c r="B797" s="48" t="str">
        <f>_xlfn.IFNA(VLOOKUP(A797,list!B:C,2,FALSE),"")</f>
        <v>ANY</v>
      </c>
      <c r="C797" s="48"/>
      <c r="D797" s="127"/>
      <c r="E797" s="48" t="str">
        <f>_xlfn.IFNA(VLOOKUP(Table3[[#This Row],[Product]], ProductListTbl[], 3, 0), "")</f>
        <v/>
      </c>
      <c r="F797" s="303" t="str">
        <f>_xlfn.IFNA(VLOOKUP(D797,ProductListTbl[],5,0),"")</f>
        <v/>
      </c>
      <c r="G797" s="303" t="str">
        <f>_xlfn.IFNA(VLOOKUP(D797,ProductListTbl[],6,0),"")</f>
        <v/>
      </c>
      <c r="H797" s="130" t="str">
        <f>_xlfn.IFNA(VLOOKUP(D797,ProductListTbl[],7,0),"")</f>
        <v/>
      </c>
      <c r="I797" s="130" t="str">
        <f>_xlfn.IFNA(VLOOKUP(D797,ProductListTbl[],8,0),"")</f>
        <v/>
      </c>
      <c r="J797" s="127"/>
      <c r="K797" s="129"/>
      <c r="L797" s="128"/>
      <c r="M797" s="305" t="str">
        <f>IFERROR(Table3[[#This Row],[Quantity (doses)]]/Table3[[#This Row],[Doses per vial or syringe]],"")</f>
        <v/>
      </c>
      <c r="N797" s="127"/>
      <c r="O797" s="127"/>
      <c r="P797" s="381"/>
      <c r="Q797" s="129"/>
      <c r="R797" s="127"/>
      <c r="S797" s="127"/>
      <c r="T797" s="127"/>
      <c r="U797" s="127"/>
      <c r="V797" s="305" t="str">
        <f>_xlfn.IFNA(VLOOKUP(D797,ProductListTbl[],9,0),"")</f>
        <v/>
      </c>
      <c r="W797" s="305" t="str">
        <f>IFERROR(Table3[[#This Row],[Storage space per secondary packaging (cm3)]]*Table3[[#This Row],[Quantity  (vials or syringes)]]/1000,"")</f>
        <v/>
      </c>
      <c r="X797" s="305" t="str">
        <f>IFERROR(Table3[[#This Row],[Storage space per tertiary packaging (cm3)]]*Table3[[#This Row],[Quantity (doses)]]/1000,"")</f>
        <v/>
      </c>
      <c r="Y797" s="293" t="str">
        <f>IF(Table3[[#This Row],[Status]]="Ordered",(DATE(YEAR(P797),MONTH(P797),1)),IF(Table3[[#This Row],[Status]]="Received",(DATE(YEAR(Q797),MONTH(Q797),1)),""))</f>
        <v/>
      </c>
      <c r="Z797" s="304" t="str">
        <f t="shared" si="48"/>
        <v/>
      </c>
      <c r="AA797" s="48" t="str">
        <f t="shared" si="49"/>
        <v/>
      </c>
      <c r="AB797" s="48" t="str">
        <f t="shared" si="50"/>
        <v/>
      </c>
      <c r="AC797" s="292" t="str">
        <f t="shared" si="51"/>
        <v/>
      </c>
      <c r="AD797" s="48" t="str">
        <f>IF(Table3[[#This Row],[Actual Arrival date]]&gt;0,IF(Table3[[#This Row],[Expected arrival date]]&gt;0,Table3[[#This Row],[Actual Arrival date]]-Table3[[#This Row],[Expected arrival date]],""),"")</f>
        <v/>
      </c>
    </row>
    <row r="798" spans="1:30" x14ac:dyDescent="0.25">
      <c r="A798" s="303" t="str">
        <f>Start!$D$7</f>
        <v>Anyland</v>
      </c>
      <c r="B798" s="48" t="str">
        <f>_xlfn.IFNA(VLOOKUP(A798,list!B:C,2,FALSE),"")</f>
        <v>ANY</v>
      </c>
      <c r="C798" s="48"/>
      <c r="D798" s="127"/>
      <c r="E798" s="48" t="str">
        <f>_xlfn.IFNA(VLOOKUP(Table3[[#This Row],[Product]], ProductListTbl[], 3, 0), "")</f>
        <v/>
      </c>
      <c r="F798" s="303" t="str">
        <f>_xlfn.IFNA(VLOOKUP(D798,ProductListTbl[],5,0),"")</f>
        <v/>
      </c>
      <c r="G798" s="303" t="str">
        <f>_xlfn.IFNA(VLOOKUP(D798,ProductListTbl[],6,0),"")</f>
        <v/>
      </c>
      <c r="H798" s="130" t="str">
        <f>_xlfn.IFNA(VLOOKUP(D798,ProductListTbl[],7,0),"")</f>
        <v/>
      </c>
      <c r="I798" s="130" t="str">
        <f>_xlfn.IFNA(VLOOKUP(D798,ProductListTbl[],8,0),"")</f>
        <v/>
      </c>
      <c r="J798" s="127"/>
      <c r="K798" s="129"/>
      <c r="L798" s="128"/>
      <c r="M798" s="305" t="str">
        <f>IFERROR(Table3[[#This Row],[Quantity (doses)]]/Table3[[#This Row],[Doses per vial or syringe]],"")</f>
        <v/>
      </c>
      <c r="N798" s="127"/>
      <c r="O798" s="127"/>
      <c r="P798" s="381"/>
      <c r="Q798" s="129"/>
      <c r="R798" s="127"/>
      <c r="S798" s="127"/>
      <c r="T798" s="127"/>
      <c r="U798" s="127"/>
      <c r="V798" s="305" t="str">
        <f>_xlfn.IFNA(VLOOKUP(D798,ProductListTbl[],9,0),"")</f>
        <v/>
      </c>
      <c r="W798" s="305" t="str">
        <f>IFERROR(Table3[[#This Row],[Storage space per secondary packaging (cm3)]]*Table3[[#This Row],[Quantity  (vials or syringes)]]/1000,"")</f>
        <v/>
      </c>
      <c r="X798" s="305" t="str">
        <f>IFERROR(Table3[[#This Row],[Storage space per tertiary packaging (cm3)]]*Table3[[#This Row],[Quantity (doses)]]/1000,"")</f>
        <v/>
      </c>
      <c r="Y798" s="293" t="str">
        <f>IF(Table3[[#This Row],[Status]]="Ordered",(DATE(YEAR(P798),MONTH(P798),1)),IF(Table3[[#This Row],[Status]]="Received",(DATE(YEAR(Q798),MONTH(Q798),1)),""))</f>
        <v/>
      </c>
      <c r="Z798" s="304" t="str">
        <f t="shared" si="48"/>
        <v/>
      </c>
      <c r="AA798" s="48" t="str">
        <f t="shared" si="49"/>
        <v/>
      </c>
      <c r="AB798" s="48" t="str">
        <f t="shared" si="50"/>
        <v/>
      </c>
      <c r="AC798" s="292" t="str">
        <f t="shared" si="51"/>
        <v/>
      </c>
      <c r="AD798" s="48" t="str">
        <f>IF(Table3[[#This Row],[Actual Arrival date]]&gt;0,IF(Table3[[#This Row],[Expected arrival date]]&gt;0,Table3[[#This Row],[Actual Arrival date]]-Table3[[#This Row],[Expected arrival date]],""),"")</f>
        <v/>
      </c>
    </row>
    <row r="799" spans="1:30" x14ac:dyDescent="0.25">
      <c r="A799" s="303" t="str">
        <f>Start!$D$7</f>
        <v>Anyland</v>
      </c>
      <c r="B799" s="48" t="str">
        <f>_xlfn.IFNA(VLOOKUP(A799,list!B:C,2,FALSE),"")</f>
        <v>ANY</v>
      </c>
      <c r="C799" s="48"/>
      <c r="D799" s="127"/>
      <c r="E799" s="48" t="str">
        <f>_xlfn.IFNA(VLOOKUP(Table3[[#This Row],[Product]], ProductListTbl[], 3, 0), "")</f>
        <v/>
      </c>
      <c r="F799" s="303" t="str">
        <f>_xlfn.IFNA(VLOOKUP(D799,ProductListTbl[],5,0),"")</f>
        <v/>
      </c>
      <c r="G799" s="303" t="str">
        <f>_xlfn.IFNA(VLOOKUP(D799,ProductListTbl[],6,0),"")</f>
        <v/>
      </c>
      <c r="H799" s="130" t="str">
        <f>_xlfn.IFNA(VLOOKUP(D799,ProductListTbl[],7,0),"")</f>
        <v/>
      </c>
      <c r="I799" s="130" t="str">
        <f>_xlfn.IFNA(VLOOKUP(D799,ProductListTbl[],8,0),"")</f>
        <v/>
      </c>
      <c r="J799" s="127"/>
      <c r="K799" s="129"/>
      <c r="L799" s="128"/>
      <c r="M799" s="305" t="str">
        <f>IFERROR(Table3[[#This Row],[Quantity (doses)]]/Table3[[#This Row],[Doses per vial or syringe]],"")</f>
        <v/>
      </c>
      <c r="N799" s="127"/>
      <c r="O799" s="127"/>
      <c r="P799" s="381"/>
      <c r="Q799" s="129"/>
      <c r="R799" s="127"/>
      <c r="S799" s="127"/>
      <c r="T799" s="127"/>
      <c r="U799" s="127"/>
      <c r="V799" s="305" t="str">
        <f>_xlfn.IFNA(VLOOKUP(D799,ProductListTbl[],9,0),"")</f>
        <v/>
      </c>
      <c r="W799" s="305" t="str">
        <f>IFERROR(Table3[[#This Row],[Storage space per secondary packaging (cm3)]]*Table3[[#This Row],[Quantity  (vials or syringes)]]/1000,"")</f>
        <v/>
      </c>
      <c r="X799" s="305" t="str">
        <f>IFERROR(Table3[[#This Row],[Storage space per tertiary packaging (cm3)]]*Table3[[#This Row],[Quantity (doses)]]/1000,"")</f>
        <v/>
      </c>
      <c r="Y799" s="293" t="str">
        <f>IF(Table3[[#This Row],[Status]]="Ordered",(DATE(YEAR(P799),MONTH(P799),1)),IF(Table3[[#This Row],[Status]]="Received",(DATE(YEAR(Q799),MONTH(Q799),1)),""))</f>
        <v/>
      </c>
      <c r="Z799" s="304" t="str">
        <f t="shared" si="48"/>
        <v/>
      </c>
      <c r="AA799" s="48" t="str">
        <f t="shared" si="49"/>
        <v/>
      </c>
      <c r="AB799" s="48" t="str">
        <f t="shared" si="50"/>
        <v/>
      </c>
      <c r="AC799" s="292" t="str">
        <f t="shared" si="51"/>
        <v/>
      </c>
      <c r="AD799" s="48" t="str">
        <f>IF(Table3[[#This Row],[Actual Arrival date]]&gt;0,IF(Table3[[#This Row],[Expected arrival date]]&gt;0,Table3[[#This Row],[Actual Arrival date]]-Table3[[#This Row],[Expected arrival date]],""),"")</f>
        <v/>
      </c>
    </row>
    <row r="800" spans="1:30" x14ac:dyDescent="0.25">
      <c r="A800" s="303" t="str">
        <f>Start!$D$7</f>
        <v>Anyland</v>
      </c>
      <c r="B800" s="48" t="str">
        <f>_xlfn.IFNA(VLOOKUP(A800,list!B:C,2,FALSE),"")</f>
        <v>ANY</v>
      </c>
      <c r="C800" s="48"/>
      <c r="D800" s="127"/>
      <c r="E800" s="48" t="str">
        <f>_xlfn.IFNA(VLOOKUP(Table3[[#This Row],[Product]], ProductListTbl[], 3, 0), "")</f>
        <v/>
      </c>
      <c r="F800" s="303" t="str">
        <f>_xlfn.IFNA(VLOOKUP(D800,ProductListTbl[],5,0),"")</f>
        <v/>
      </c>
      <c r="G800" s="303" t="str">
        <f>_xlfn.IFNA(VLOOKUP(D800,ProductListTbl[],6,0),"")</f>
        <v/>
      </c>
      <c r="H800" s="130" t="str">
        <f>_xlfn.IFNA(VLOOKUP(D800,ProductListTbl[],7,0),"")</f>
        <v/>
      </c>
      <c r="I800" s="130" t="str">
        <f>_xlfn.IFNA(VLOOKUP(D800,ProductListTbl[],8,0),"")</f>
        <v/>
      </c>
      <c r="J800" s="127"/>
      <c r="K800" s="129"/>
      <c r="L800" s="128"/>
      <c r="M800" s="305" t="str">
        <f>IFERROR(Table3[[#This Row],[Quantity (doses)]]/Table3[[#This Row],[Doses per vial or syringe]],"")</f>
        <v/>
      </c>
      <c r="N800" s="127"/>
      <c r="O800" s="127"/>
      <c r="P800" s="381"/>
      <c r="Q800" s="129"/>
      <c r="R800" s="127"/>
      <c r="S800" s="127"/>
      <c r="T800" s="127"/>
      <c r="U800" s="127"/>
      <c r="V800" s="305" t="str">
        <f>_xlfn.IFNA(VLOOKUP(D800,ProductListTbl[],9,0),"")</f>
        <v/>
      </c>
      <c r="W800" s="305" t="str">
        <f>IFERROR(Table3[[#This Row],[Storage space per secondary packaging (cm3)]]*Table3[[#This Row],[Quantity  (vials or syringes)]]/1000,"")</f>
        <v/>
      </c>
      <c r="X800" s="305" t="str">
        <f>IFERROR(Table3[[#This Row],[Storage space per tertiary packaging (cm3)]]*Table3[[#This Row],[Quantity (doses)]]/1000,"")</f>
        <v/>
      </c>
      <c r="Y800" s="293" t="str">
        <f>IF(Table3[[#This Row],[Status]]="Ordered",(DATE(YEAR(P800),MONTH(P800),1)),IF(Table3[[#This Row],[Status]]="Received",(DATE(YEAR(Q800),MONTH(Q800),1)),""))</f>
        <v/>
      </c>
      <c r="Z800" s="304" t="str">
        <f t="shared" si="48"/>
        <v/>
      </c>
      <c r="AA800" s="48" t="str">
        <f t="shared" si="49"/>
        <v/>
      </c>
      <c r="AB800" s="48" t="str">
        <f t="shared" si="50"/>
        <v/>
      </c>
      <c r="AC800" s="292" t="str">
        <f t="shared" si="51"/>
        <v/>
      </c>
      <c r="AD800" s="48" t="str">
        <f>IF(Table3[[#This Row],[Actual Arrival date]]&gt;0,IF(Table3[[#This Row],[Expected arrival date]]&gt;0,Table3[[#This Row],[Actual Arrival date]]-Table3[[#This Row],[Expected arrival date]],""),"")</f>
        <v/>
      </c>
    </row>
    <row r="801" spans="1:30" x14ac:dyDescent="0.25">
      <c r="A801" s="303" t="str">
        <f>Start!$D$7</f>
        <v>Anyland</v>
      </c>
      <c r="B801" s="48" t="str">
        <f>_xlfn.IFNA(VLOOKUP(A801,list!B:C,2,FALSE),"")</f>
        <v>ANY</v>
      </c>
      <c r="C801" s="48"/>
      <c r="D801" s="127"/>
      <c r="E801" s="48" t="str">
        <f>_xlfn.IFNA(VLOOKUP(Table3[[#This Row],[Product]], ProductListTbl[], 3, 0), "")</f>
        <v/>
      </c>
      <c r="F801" s="303" t="str">
        <f>_xlfn.IFNA(VLOOKUP(D801,ProductListTbl[],5,0),"")</f>
        <v/>
      </c>
      <c r="G801" s="303" t="str">
        <f>_xlfn.IFNA(VLOOKUP(D801,ProductListTbl[],6,0),"")</f>
        <v/>
      </c>
      <c r="H801" s="130" t="str">
        <f>_xlfn.IFNA(VLOOKUP(D801,ProductListTbl[],7,0),"")</f>
        <v/>
      </c>
      <c r="I801" s="130" t="str">
        <f>_xlfn.IFNA(VLOOKUP(D801,ProductListTbl[],8,0),"")</f>
        <v/>
      </c>
      <c r="J801" s="127"/>
      <c r="K801" s="129"/>
      <c r="L801" s="128"/>
      <c r="M801" s="305" t="str">
        <f>IFERROR(Table3[[#This Row],[Quantity (doses)]]/Table3[[#This Row],[Doses per vial or syringe]],"")</f>
        <v/>
      </c>
      <c r="N801" s="127"/>
      <c r="O801" s="127"/>
      <c r="P801" s="381"/>
      <c r="Q801" s="129"/>
      <c r="R801" s="127"/>
      <c r="S801" s="127"/>
      <c r="T801" s="127"/>
      <c r="U801" s="127"/>
      <c r="V801" s="305" t="str">
        <f>_xlfn.IFNA(VLOOKUP(D801,ProductListTbl[],9,0),"")</f>
        <v/>
      </c>
      <c r="W801" s="305" t="str">
        <f>IFERROR(Table3[[#This Row],[Storage space per secondary packaging (cm3)]]*Table3[[#This Row],[Quantity  (vials or syringes)]]/1000,"")</f>
        <v/>
      </c>
      <c r="X801" s="305" t="str">
        <f>IFERROR(Table3[[#This Row],[Storage space per tertiary packaging (cm3)]]*Table3[[#This Row],[Quantity (doses)]]/1000,"")</f>
        <v/>
      </c>
      <c r="Y801" s="293" t="str">
        <f>IF(Table3[[#This Row],[Status]]="Ordered",(DATE(YEAR(P801),MONTH(P801),1)),IF(Table3[[#This Row],[Status]]="Received",(DATE(YEAR(Q801),MONTH(Q801),1)),""))</f>
        <v/>
      </c>
      <c r="Z801" s="304" t="str">
        <f t="shared" si="48"/>
        <v/>
      </c>
      <c r="AA801" s="48" t="str">
        <f t="shared" si="49"/>
        <v/>
      </c>
      <c r="AB801" s="48" t="str">
        <f t="shared" si="50"/>
        <v/>
      </c>
      <c r="AC801" s="292" t="str">
        <f t="shared" si="51"/>
        <v/>
      </c>
      <c r="AD801" s="48" t="str">
        <f>IF(Table3[[#This Row],[Actual Arrival date]]&gt;0,IF(Table3[[#This Row],[Expected arrival date]]&gt;0,Table3[[#This Row],[Actual Arrival date]]-Table3[[#This Row],[Expected arrival date]],""),"")</f>
        <v/>
      </c>
    </row>
    <row r="802" spans="1:30" x14ac:dyDescent="0.25">
      <c r="A802" s="303" t="str">
        <f>Start!$D$7</f>
        <v>Anyland</v>
      </c>
      <c r="B802" s="48" t="str">
        <f>_xlfn.IFNA(VLOOKUP(A802,list!B:C,2,FALSE),"")</f>
        <v>ANY</v>
      </c>
      <c r="C802" s="48"/>
      <c r="D802" s="127"/>
      <c r="E802" s="48" t="str">
        <f>_xlfn.IFNA(VLOOKUP(Table3[[#This Row],[Product]], ProductListTbl[], 3, 0), "")</f>
        <v/>
      </c>
      <c r="F802" s="303" t="str">
        <f>_xlfn.IFNA(VLOOKUP(D802,ProductListTbl[],5,0),"")</f>
        <v/>
      </c>
      <c r="G802" s="303" t="str">
        <f>_xlfn.IFNA(VLOOKUP(D802,ProductListTbl[],6,0),"")</f>
        <v/>
      </c>
      <c r="H802" s="130" t="str">
        <f>_xlfn.IFNA(VLOOKUP(D802,ProductListTbl[],7,0),"")</f>
        <v/>
      </c>
      <c r="I802" s="130" t="str">
        <f>_xlfn.IFNA(VLOOKUP(D802,ProductListTbl[],8,0),"")</f>
        <v/>
      </c>
      <c r="J802" s="127"/>
      <c r="K802" s="129"/>
      <c r="L802" s="128"/>
      <c r="M802" s="305" t="str">
        <f>IFERROR(Table3[[#This Row],[Quantity (doses)]]/Table3[[#This Row],[Doses per vial or syringe]],"")</f>
        <v/>
      </c>
      <c r="N802" s="127"/>
      <c r="O802" s="127"/>
      <c r="P802" s="381"/>
      <c r="Q802" s="129"/>
      <c r="R802" s="127"/>
      <c r="S802" s="127"/>
      <c r="T802" s="127"/>
      <c r="U802" s="127"/>
      <c r="V802" s="305" t="str">
        <f>_xlfn.IFNA(VLOOKUP(D802,ProductListTbl[],9,0),"")</f>
        <v/>
      </c>
      <c r="W802" s="305" t="str">
        <f>IFERROR(Table3[[#This Row],[Storage space per secondary packaging (cm3)]]*Table3[[#This Row],[Quantity  (vials or syringes)]]/1000,"")</f>
        <v/>
      </c>
      <c r="X802" s="305" t="str">
        <f>IFERROR(Table3[[#This Row],[Storage space per tertiary packaging (cm3)]]*Table3[[#This Row],[Quantity (doses)]]/1000,"")</f>
        <v/>
      </c>
      <c r="Y802" s="293" t="str">
        <f>IF(Table3[[#This Row],[Status]]="Ordered",(DATE(YEAR(P802),MONTH(P802),1)),IF(Table3[[#This Row],[Status]]="Received",(DATE(YEAR(Q802),MONTH(Q802),1)),""))</f>
        <v/>
      </c>
      <c r="Z802" s="304" t="str">
        <f t="shared" si="48"/>
        <v/>
      </c>
      <c r="AA802" s="48" t="str">
        <f t="shared" si="49"/>
        <v/>
      </c>
      <c r="AB802" s="48" t="str">
        <f t="shared" si="50"/>
        <v/>
      </c>
      <c r="AC802" s="292" t="str">
        <f t="shared" si="51"/>
        <v/>
      </c>
      <c r="AD802" s="48" t="str">
        <f>IF(Table3[[#This Row],[Actual Arrival date]]&gt;0,IF(Table3[[#This Row],[Expected arrival date]]&gt;0,Table3[[#This Row],[Actual Arrival date]]-Table3[[#This Row],[Expected arrival date]],""),"")</f>
        <v/>
      </c>
    </row>
    <row r="803" spans="1:30" x14ac:dyDescent="0.25">
      <c r="A803" s="303" t="str">
        <f>Start!$D$7</f>
        <v>Anyland</v>
      </c>
      <c r="B803" s="48" t="str">
        <f>_xlfn.IFNA(VLOOKUP(A803,list!B:C,2,FALSE),"")</f>
        <v>ANY</v>
      </c>
      <c r="C803" s="48"/>
      <c r="D803" s="127"/>
      <c r="E803" s="48" t="str">
        <f>_xlfn.IFNA(VLOOKUP(Table3[[#This Row],[Product]], ProductListTbl[], 3, 0), "")</f>
        <v/>
      </c>
      <c r="F803" s="303" t="str">
        <f>_xlfn.IFNA(VLOOKUP(D803,ProductListTbl[],5,0),"")</f>
        <v/>
      </c>
      <c r="G803" s="303" t="str">
        <f>_xlfn.IFNA(VLOOKUP(D803,ProductListTbl[],6,0),"")</f>
        <v/>
      </c>
      <c r="H803" s="130" t="str">
        <f>_xlfn.IFNA(VLOOKUP(D803,ProductListTbl[],7,0),"")</f>
        <v/>
      </c>
      <c r="I803" s="130" t="str">
        <f>_xlfn.IFNA(VLOOKUP(D803,ProductListTbl[],8,0),"")</f>
        <v/>
      </c>
      <c r="J803" s="127"/>
      <c r="K803" s="129"/>
      <c r="L803" s="128"/>
      <c r="M803" s="305" t="str">
        <f>IFERROR(Table3[[#This Row],[Quantity (doses)]]/Table3[[#This Row],[Doses per vial or syringe]],"")</f>
        <v/>
      </c>
      <c r="N803" s="127"/>
      <c r="O803" s="127"/>
      <c r="P803" s="381"/>
      <c r="Q803" s="129"/>
      <c r="R803" s="127"/>
      <c r="S803" s="127"/>
      <c r="T803" s="127"/>
      <c r="U803" s="127"/>
      <c r="V803" s="305" t="str">
        <f>_xlfn.IFNA(VLOOKUP(D803,ProductListTbl[],9,0),"")</f>
        <v/>
      </c>
      <c r="W803" s="305" t="str">
        <f>IFERROR(Table3[[#This Row],[Storage space per secondary packaging (cm3)]]*Table3[[#This Row],[Quantity  (vials or syringes)]]/1000,"")</f>
        <v/>
      </c>
      <c r="X803" s="305" t="str">
        <f>IFERROR(Table3[[#This Row],[Storage space per tertiary packaging (cm3)]]*Table3[[#This Row],[Quantity (doses)]]/1000,"")</f>
        <v/>
      </c>
      <c r="Y803" s="293" t="str">
        <f>IF(Table3[[#This Row],[Status]]="Ordered",(DATE(YEAR(P803),MONTH(P803),1)),IF(Table3[[#This Row],[Status]]="Received",(DATE(YEAR(Q803),MONTH(Q803),1)),""))</f>
        <v/>
      </c>
      <c r="Z803" s="304" t="str">
        <f t="shared" si="48"/>
        <v/>
      </c>
      <c r="AA803" s="48" t="str">
        <f t="shared" si="49"/>
        <v/>
      </c>
      <c r="AB803" s="48" t="str">
        <f t="shared" si="50"/>
        <v/>
      </c>
      <c r="AC803" s="292" t="str">
        <f t="shared" si="51"/>
        <v/>
      </c>
      <c r="AD803" s="48" t="str">
        <f>IF(Table3[[#This Row],[Actual Arrival date]]&gt;0,IF(Table3[[#This Row],[Expected arrival date]]&gt;0,Table3[[#This Row],[Actual Arrival date]]-Table3[[#This Row],[Expected arrival date]],""),"")</f>
        <v/>
      </c>
    </row>
    <row r="804" spans="1:30" x14ac:dyDescent="0.25">
      <c r="A804" s="303" t="str">
        <f>Start!$D$7</f>
        <v>Anyland</v>
      </c>
      <c r="B804" s="48" t="str">
        <f>_xlfn.IFNA(VLOOKUP(A804,list!B:C,2,FALSE),"")</f>
        <v>ANY</v>
      </c>
      <c r="C804" s="48"/>
      <c r="D804" s="127"/>
      <c r="E804" s="48" t="str">
        <f>_xlfn.IFNA(VLOOKUP(Table3[[#This Row],[Product]], ProductListTbl[], 3, 0), "")</f>
        <v/>
      </c>
      <c r="F804" s="303" t="str">
        <f>_xlfn.IFNA(VLOOKUP(D804,ProductListTbl[],5,0),"")</f>
        <v/>
      </c>
      <c r="G804" s="303" t="str">
        <f>_xlfn.IFNA(VLOOKUP(D804,ProductListTbl[],6,0),"")</f>
        <v/>
      </c>
      <c r="H804" s="130" t="str">
        <f>_xlfn.IFNA(VLOOKUP(D804,ProductListTbl[],7,0),"")</f>
        <v/>
      </c>
      <c r="I804" s="130" t="str">
        <f>_xlfn.IFNA(VLOOKUP(D804,ProductListTbl[],8,0),"")</f>
        <v/>
      </c>
      <c r="J804" s="127"/>
      <c r="K804" s="129"/>
      <c r="L804" s="128"/>
      <c r="M804" s="305" t="str">
        <f>IFERROR(Table3[[#This Row],[Quantity (doses)]]/Table3[[#This Row],[Doses per vial or syringe]],"")</f>
        <v/>
      </c>
      <c r="N804" s="127"/>
      <c r="O804" s="127"/>
      <c r="P804" s="381"/>
      <c r="Q804" s="129"/>
      <c r="R804" s="127"/>
      <c r="S804" s="127"/>
      <c r="T804" s="127"/>
      <c r="U804" s="127"/>
      <c r="V804" s="305" t="str">
        <f>_xlfn.IFNA(VLOOKUP(D804,ProductListTbl[],9,0),"")</f>
        <v/>
      </c>
      <c r="W804" s="305" t="str">
        <f>IFERROR(Table3[[#This Row],[Storage space per secondary packaging (cm3)]]*Table3[[#This Row],[Quantity  (vials or syringes)]]/1000,"")</f>
        <v/>
      </c>
      <c r="X804" s="305" t="str">
        <f>IFERROR(Table3[[#This Row],[Storage space per tertiary packaging (cm3)]]*Table3[[#This Row],[Quantity (doses)]]/1000,"")</f>
        <v/>
      </c>
      <c r="Y804" s="293" t="str">
        <f>IF(Table3[[#This Row],[Status]]="Ordered",(DATE(YEAR(P804),MONTH(P804),1)),IF(Table3[[#This Row],[Status]]="Received",(DATE(YEAR(Q804),MONTH(Q804),1)),""))</f>
        <v/>
      </c>
      <c r="Z804" s="304" t="str">
        <f t="shared" si="48"/>
        <v/>
      </c>
      <c r="AA804" s="48" t="str">
        <f t="shared" si="49"/>
        <v/>
      </c>
      <c r="AB804" s="48" t="str">
        <f t="shared" si="50"/>
        <v/>
      </c>
      <c r="AC804" s="292" t="str">
        <f t="shared" si="51"/>
        <v/>
      </c>
      <c r="AD804" s="48" t="str">
        <f>IF(Table3[[#This Row],[Actual Arrival date]]&gt;0,IF(Table3[[#This Row],[Expected arrival date]]&gt;0,Table3[[#This Row],[Actual Arrival date]]-Table3[[#This Row],[Expected arrival date]],""),"")</f>
        <v/>
      </c>
    </row>
    <row r="805" spans="1:30" x14ac:dyDescent="0.25">
      <c r="A805" s="303" t="str">
        <f>Start!$D$7</f>
        <v>Anyland</v>
      </c>
      <c r="B805" s="48" t="str">
        <f>_xlfn.IFNA(VLOOKUP(A805,list!B:C,2,FALSE),"")</f>
        <v>ANY</v>
      </c>
      <c r="C805" s="48"/>
      <c r="D805" s="127"/>
      <c r="E805" s="48" t="str">
        <f>_xlfn.IFNA(VLOOKUP(Table3[[#This Row],[Product]], ProductListTbl[], 3, 0), "")</f>
        <v/>
      </c>
      <c r="F805" s="303" t="str">
        <f>_xlfn.IFNA(VLOOKUP(D805,ProductListTbl[],5,0),"")</f>
        <v/>
      </c>
      <c r="G805" s="303" t="str">
        <f>_xlfn.IFNA(VLOOKUP(D805,ProductListTbl[],6,0),"")</f>
        <v/>
      </c>
      <c r="H805" s="130" t="str">
        <f>_xlfn.IFNA(VLOOKUP(D805,ProductListTbl[],7,0),"")</f>
        <v/>
      </c>
      <c r="I805" s="130" t="str">
        <f>_xlfn.IFNA(VLOOKUP(D805,ProductListTbl[],8,0),"")</f>
        <v/>
      </c>
      <c r="J805" s="127"/>
      <c r="K805" s="129"/>
      <c r="L805" s="128"/>
      <c r="M805" s="305" t="str">
        <f>IFERROR(Table3[[#This Row],[Quantity (doses)]]/Table3[[#This Row],[Doses per vial or syringe]],"")</f>
        <v/>
      </c>
      <c r="N805" s="127"/>
      <c r="O805" s="127"/>
      <c r="P805" s="381"/>
      <c r="Q805" s="129"/>
      <c r="R805" s="127"/>
      <c r="S805" s="127"/>
      <c r="T805" s="127"/>
      <c r="U805" s="127"/>
      <c r="V805" s="305" t="str">
        <f>_xlfn.IFNA(VLOOKUP(D805,ProductListTbl[],9,0),"")</f>
        <v/>
      </c>
      <c r="W805" s="305" t="str">
        <f>IFERROR(Table3[[#This Row],[Storage space per secondary packaging (cm3)]]*Table3[[#This Row],[Quantity  (vials or syringes)]]/1000,"")</f>
        <v/>
      </c>
      <c r="X805" s="305" t="str">
        <f>IFERROR(Table3[[#This Row],[Storage space per tertiary packaging (cm3)]]*Table3[[#This Row],[Quantity (doses)]]/1000,"")</f>
        <v/>
      </c>
      <c r="Y805" s="293" t="str">
        <f>IF(Table3[[#This Row],[Status]]="Ordered",(DATE(YEAR(P805),MONTH(P805),1)),IF(Table3[[#This Row],[Status]]="Received",(DATE(YEAR(Q805),MONTH(Q805),1)),""))</f>
        <v/>
      </c>
      <c r="Z805" s="304" t="str">
        <f t="shared" si="48"/>
        <v/>
      </c>
      <c r="AA805" s="48" t="str">
        <f t="shared" si="49"/>
        <v/>
      </c>
      <c r="AB805" s="48" t="str">
        <f t="shared" si="50"/>
        <v/>
      </c>
      <c r="AC805" s="292" t="str">
        <f t="shared" si="51"/>
        <v/>
      </c>
      <c r="AD805" s="48" t="str">
        <f>IF(Table3[[#This Row],[Actual Arrival date]]&gt;0,IF(Table3[[#This Row],[Expected arrival date]]&gt;0,Table3[[#This Row],[Actual Arrival date]]-Table3[[#This Row],[Expected arrival date]],""),"")</f>
        <v/>
      </c>
    </row>
    <row r="806" spans="1:30" x14ac:dyDescent="0.25">
      <c r="A806" s="303" t="str">
        <f>Start!$D$7</f>
        <v>Anyland</v>
      </c>
      <c r="B806" s="48" t="str">
        <f>_xlfn.IFNA(VLOOKUP(A806,list!B:C,2,FALSE),"")</f>
        <v>ANY</v>
      </c>
      <c r="C806" s="48"/>
      <c r="D806" s="127"/>
      <c r="E806" s="48" t="str">
        <f>_xlfn.IFNA(VLOOKUP(Table3[[#This Row],[Product]], ProductListTbl[], 3, 0), "")</f>
        <v/>
      </c>
      <c r="F806" s="303" t="str">
        <f>_xlfn.IFNA(VLOOKUP(D806,ProductListTbl[],5,0),"")</f>
        <v/>
      </c>
      <c r="G806" s="303" t="str">
        <f>_xlfn.IFNA(VLOOKUP(D806,ProductListTbl[],6,0),"")</f>
        <v/>
      </c>
      <c r="H806" s="130" t="str">
        <f>_xlfn.IFNA(VLOOKUP(D806,ProductListTbl[],7,0),"")</f>
        <v/>
      </c>
      <c r="I806" s="130" t="str">
        <f>_xlfn.IFNA(VLOOKUP(D806,ProductListTbl[],8,0),"")</f>
        <v/>
      </c>
      <c r="J806" s="127"/>
      <c r="K806" s="129"/>
      <c r="L806" s="128"/>
      <c r="M806" s="305" t="str">
        <f>IFERROR(Table3[[#This Row],[Quantity (doses)]]/Table3[[#This Row],[Doses per vial or syringe]],"")</f>
        <v/>
      </c>
      <c r="N806" s="127"/>
      <c r="O806" s="127"/>
      <c r="P806" s="381"/>
      <c r="Q806" s="129"/>
      <c r="R806" s="127"/>
      <c r="S806" s="127"/>
      <c r="T806" s="127"/>
      <c r="U806" s="127"/>
      <c r="V806" s="305" t="str">
        <f>_xlfn.IFNA(VLOOKUP(D806,ProductListTbl[],9,0),"")</f>
        <v/>
      </c>
      <c r="W806" s="305" t="str">
        <f>IFERROR(Table3[[#This Row],[Storage space per secondary packaging (cm3)]]*Table3[[#This Row],[Quantity  (vials or syringes)]]/1000,"")</f>
        <v/>
      </c>
      <c r="X806" s="305" t="str">
        <f>IFERROR(Table3[[#This Row],[Storage space per tertiary packaging (cm3)]]*Table3[[#This Row],[Quantity (doses)]]/1000,"")</f>
        <v/>
      </c>
      <c r="Y806" s="293" t="str">
        <f>IF(Table3[[#This Row],[Status]]="Ordered",(DATE(YEAR(P806),MONTH(P806),1)),IF(Table3[[#This Row],[Status]]="Received",(DATE(YEAR(Q806),MONTH(Q806),1)),""))</f>
        <v/>
      </c>
      <c r="Z806" s="304" t="str">
        <f t="shared" si="48"/>
        <v/>
      </c>
      <c r="AA806" s="48" t="str">
        <f t="shared" si="49"/>
        <v/>
      </c>
      <c r="AB806" s="48" t="str">
        <f t="shared" si="50"/>
        <v/>
      </c>
      <c r="AC806" s="292" t="str">
        <f t="shared" si="51"/>
        <v/>
      </c>
      <c r="AD806" s="48" t="str">
        <f>IF(Table3[[#This Row],[Actual Arrival date]]&gt;0,IF(Table3[[#This Row],[Expected arrival date]]&gt;0,Table3[[#This Row],[Actual Arrival date]]-Table3[[#This Row],[Expected arrival date]],""),"")</f>
        <v/>
      </c>
    </row>
    <row r="807" spans="1:30" x14ac:dyDescent="0.25">
      <c r="A807" s="303" t="str">
        <f>Start!$D$7</f>
        <v>Anyland</v>
      </c>
      <c r="B807" s="48" t="str">
        <f>_xlfn.IFNA(VLOOKUP(A807,list!B:C,2,FALSE),"")</f>
        <v>ANY</v>
      </c>
      <c r="C807" s="48"/>
      <c r="D807" s="127"/>
      <c r="E807" s="48" t="str">
        <f>_xlfn.IFNA(VLOOKUP(Table3[[#This Row],[Product]], ProductListTbl[], 3, 0), "")</f>
        <v/>
      </c>
      <c r="F807" s="303" t="str">
        <f>_xlfn.IFNA(VLOOKUP(D807,ProductListTbl[],5,0),"")</f>
        <v/>
      </c>
      <c r="G807" s="303" t="str">
        <f>_xlfn.IFNA(VLOOKUP(D807,ProductListTbl[],6,0),"")</f>
        <v/>
      </c>
      <c r="H807" s="130" t="str">
        <f>_xlfn.IFNA(VLOOKUP(D807,ProductListTbl[],7,0),"")</f>
        <v/>
      </c>
      <c r="I807" s="130" t="str">
        <f>_xlfn.IFNA(VLOOKUP(D807,ProductListTbl[],8,0),"")</f>
        <v/>
      </c>
      <c r="J807" s="127"/>
      <c r="K807" s="129"/>
      <c r="L807" s="128"/>
      <c r="M807" s="305" t="str">
        <f>IFERROR(Table3[[#This Row],[Quantity (doses)]]/Table3[[#This Row],[Doses per vial or syringe]],"")</f>
        <v/>
      </c>
      <c r="N807" s="127"/>
      <c r="O807" s="127"/>
      <c r="P807" s="381"/>
      <c r="Q807" s="129"/>
      <c r="R807" s="127"/>
      <c r="S807" s="127"/>
      <c r="T807" s="127"/>
      <c r="U807" s="127"/>
      <c r="V807" s="305" t="str">
        <f>_xlfn.IFNA(VLOOKUP(D807,ProductListTbl[],9,0),"")</f>
        <v/>
      </c>
      <c r="W807" s="305" t="str">
        <f>IFERROR(Table3[[#This Row],[Storage space per secondary packaging (cm3)]]*Table3[[#This Row],[Quantity  (vials or syringes)]]/1000,"")</f>
        <v/>
      </c>
      <c r="X807" s="305" t="str">
        <f>IFERROR(Table3[[#This Row],[Storage space per tertiary packaging (cm3)]]*Table3[[#This Row],[Quantity (doses)]]/1000,"")</f>
        <v/>
      </c>
      <c r="Y807" s="293" t="str">
        <f>IF(Table3[[#This Row],[Status]]="Ordered",(DATE(YEAR(P807),MONTH(P807),1)),IF(Table3[[#This Row],[Status]]="Received",(DATE(YEAR(Q807),MONTH(Q807),1)),""))</f>
        <v/>
      </c>
      <c r="Z807" s="304" t="str">
        <f t="shared" si="48"/>
        <v/>
      </c>
      <c r="AA807" s="48" t="str">
        <f t="shared" si="49"/>
        <v/>
      </c>
      <c r="AB807" s="48" t="str">
        <f t="shared" si="50"/>
        <v/>
      </c>
      <c r="AC807" s="292" t="str">
        <f t="shared" si="51"/>
        <v/>
      </c>
      <c r="AD807" s="48" t="str">
        <f>IF(Table3[[#This Row],[Actual Arrival date]]&gt;0,IF(Table3[[#This Row],[Expected arrival date]]&gt;0,Table3[[#This Row],[Actual Arrival date]]-Table3[[#This Row],[Expected arrival date]],""),"")</f>
        <v/>
      </c>
    </row>
    <row r="808" spans="1:30" x14ac:dyDescent="0.25">
      <c r="A808" s="303" t="str">
        <f>Start!$D$7</f>
        <v>Anyland</v>
      </c>
      <c r="B808" s="48" t="str">
        <f>_xlfn.IFNA(VLOOKUP(A808,list!B:C,2,FALSE),"")</f>
        <v>ANY</v>
      </c>
      <c r="C808" s="48"/>
      <c r="D808" s="127"/>
      <c r="E808" s="48" t="str">
        <f>_xlfn.IFNA(VLOOKUP(Table3[[#This Row],[Product]], ProductListTbl[], 3, 0), "")</f>
        <v/>
      </c>
      <c r="F808" s="303" t="str">
        <f>_xlfn.IFNA(VLOOKUP(D808,ProductListTbl[],5,0),"")</f>
        <v/>
      </c>
      <c r="G808" s="303" t="str">
        <f>_xlfn.IFNA(VLOOKUP(D808,ProductListTbl[],6,0),"")</f>
        <v/>
      </c>
      <c r="H808" s="130" t="str">
        <f>_xlfn.IFNA(VLOOKUP(D808,ProductListTbl[],7,0),"")</f>
        <v/>
      </c>
      <c r="I808" s="130" t="str">
        <f>_xlfn.IFNA(VLOOKUP(D808,ProductListTbl[],8,0),"")</f>
        <v/>
      </c>
      <c r="J808" s="127"/>
      <c r="K808" s="129"/>
      <c r="L808" s="128"/>
      <c r="M808" s="305" t="str">
        <f>IFERROR(Table3[[#This Row],[Quantity (doses)]]/Table3[[#This Row],[Doses per vial or syringe]],"")</f>
        <v/>
      </c>
      <c r="N808" s="127"/>
      <c r="O808" s="127"/>
      <c r="P808" s="381"/>
      <c r="Q808" s="129"/>
      <c r="R808" s="127"/>
      <c r="S808" s="127"/>
      <c r="T808" s="127"/>
      <c r="U808" s="127"/>
      <c r="V808" s="305" t="str">
        <f>_xlfn.IFNA(VLOOKUP(D808,ProductListTbl[],9,0),"")</f>
        <v/>
      </c>
      <c r="W808" s="305" t="str">
        <f>IFERROR(Table3[[#This Row],[Storage space per secondary packaging (cm3)]]*Table3[[#This Row],[Quantity  (vials or syringes)]]/1000,"")</f>
        <v/>
      </c>
      <c r="X808" s="305" t="str">
        <f>IFERROR(Table3[[#This Row],[Storage space per tertiary packaging (cm3)]]*Table3[[#This Row],[Quantity (doses)]]/1000,"")</f>
        <v/>
      </c>
      <c r="Y808" s="293" t="str">
        <f>IF(Table3[[#This Row],[Status]]="Ordered",(DATE(YEAR(P808),MONTH(P808),1)),IF(Table3[[#This Row],[Status]]="Received",(DATE(YEAR(Q808),MONTH(Q808),1)),""))</f>
        <v/>
      </c>
      <c r="Z808" s="304" t="str">
        <f t="shared" si="48"/>
        <v/>
      </c>
      <c r="AA808" s="48" t="str">
        <f t="shared" si="49"/>
        <v/>
      </c>
      <c r="AB808" s="48" t="str">
        <f t="shared" si="50"/>
        <v/>
      </c>
      <c r="AC808" s="292" t="str">
        <f t="shared" si="51"/>
        <v/>
      </c>
      <c r="AD808" s="48" t="str">
        <f>IF(Table3[[#This Row],[Actual Arrival date]]&gt;0,IF(Table3[[#This Row],[Expected arrival date]]&gt;0,Table3[[#This Row],[Actual Arrival date]]-Table3[[#This Row],[Expected arrival date]],""),"")</f>
        <v/>
      </c>
    </row>
    <row r="809" spans="1:30" x14ac:dyDescent="0.25">
      <c r="A809" s="303" t="str">
        <f>Start!$D$7</f>
        <v>Anyland</v>
      </c>
      <c r="B809" s="48" t="str">
        <f>_xlfn.IFNA(VLOOKUP(A809,list!B:C,2,FALSE),"")</f>
        <v>ANY</v>
      </c>
      <c r="C809" s="48"/>
      <c r="D809" s="127"/>
      <c r="E809" s="48" t="str">
        <f>_xlfn.IFNA(VLOOKUP(Table3[[#This Row],[Product]], ProductListTbl[], 3, 0), "")</f>
        <v/>
      </c>
      <c r="F809" s="303" t="str">
        <f>_xlfn.IFNA(VLOOKUP(D809,ProductListTbl[],5,0),"")</f>
        <v/>
      </c>
      <c r="G809" s="303" t="str">
        <f>_xlfn.IFNA(VLOOKUP(D809,ProductListTbl[],6,0),"")</f>
        <v/>
      </c>
      <c r="H809" s="130" t="str">
        <f>_xlfn.IFNA(VLOOKUP(D809,ProductListTbl[],7,0),"")</f>
        <v/>
      </c>
      <c r="I809" s="130" t="str">
        <f>_xlfn.IFNA(VLOOKUP(D809,ProductListTbl[],8,0),"")</f>
        <v/>
      </c>
      <c r="J809" s="127"/>
      <c r="K809" s="129"/>
      <c r="L809" s="128"/>
      <c r="M809" s="305" t="str">
        <f>IFERROR(Table3[[#This Row],[Quantity (doses)]]/Table3[[#This Row],[Doses per vial or syringe]],"")</f>
        <v/>
      </c>
      <c r="N809" s="127"/>
      <c r="O809" s="127"/>
      <c r="P809" s="381"/>
      <c r="Q809" s="129"/>
      <c r="R809" s="127"/>
      <c r="S809" s="127"/>
      <c r="T809" s="127"/>
      <c r="U809" s="127"/>
      <c r="V809" s="305" t="str">
        <f>_xlfn.IFNA(VLOOKUP(D809,ProductListTbl[],9,0),"")</f>
        <v/>
      </c>
      <c r="W809" s="305" t="str">
        <f>IFERROR(Table3[[#This Row],[Storage space per secondary packaging (cm3)]]*Table3[[#This Row],[Quantity  (vials or syringes)]]/1000,"")</f>
        <v/>
      </c>
      <c r="X809" s="305" t="str">
        <f>IFERROR(Table3[[#This Row],[Storage space per tertiary packaging (cm3)]]*Table3[[#This Row],[Quantity (doses)]]/1000,"")</f>
        <v/>
      </c>
      <c r="Y809" s="293" t="str">
        <f>IF(Table3[[#This Row],[Status]]="Ordered",(DATE(YEAR(P809),MONTH(P809),1)),IF(Table3[[#This Row],[Status]]="Received",(DATE(YEAR(Q809),MONTH(Q809),1)),""))</f>
        <v/>
      </c>
      <c r="Z809" s="304" t="str">
        <f t="shared" si="48"/>
        <v/>
      </c>
      <c r="AA809" s="48" t="str">
        <f t="shared" si="49"/>
        <v/>
      </c>
      <c r="AB809" s="48" t="str">
        <f t="shared" si="50"/>
        <v/>
      </c>
      <c r="AC809" s="292" t="str">
        <f t="shared" si="51"/>
        <v/>
      </c>
      <c r="AD809" s="48" t="str">
        <f>IF(Table3[[#This Row],[Actual Arrival date]]&gt;0,IF(Table3[[#This Row],[Expected arrival date]]&gt;0,Table3[[#This Row],[Actual Arrival date]]-Table3[[#This Row],[Expected arrival date]],""),"")</f>
        <v/>
      </c>
    </row>
    <row r="810" spans="1:30" x14ac:dyDescent="0.25">
      <c r="A810" s="303" t="str">
        <f>Start!$D$7</f>
        <v>Anyland</v>
      </c>
      <c r="B810" s="48" t="str">
        <f>_xlfn.IFNA(VLOOKUP(A810,list!B:C,2,FALSE),"")</f>
        <v>ANY</v>
      </c>
      <c r="C810" s="48"/>
      <c r="D810" s="127"/>
      <c r="E810" s="48" t="str">
        <f>_xlfn.IFNA(VLOOKUP(Table3[[#This Row],[Product]], ProductListTbl[], 3, 0), "")</f>
        <v/>
      </c>
      <c r="F810" s="303" t="str">
        <f>_xlfn.IFNA(VLOOKUP(D810,ProductListTbl[],5,0),"")</f>
        <v/>
      </c>
      <c r="G810" s="303" t="str">
        <f>_xlfn.IFNA(VLOOKUP(D810,ProductListTbl[],6,0),"")</f>
        <v/>
      </c>
      <c r="H810" s="130" t="str">
        <f>_xlfn.IFNA(VLOOKUP(D810,ProductListTbl[],7,0),"")</f>
        <v/>
      </c>
      <c r="I810" s="130" t="str">
        <f>_xlfn.IFNA(VLOOKUP(D810,ProductListTbl[],8,0),"")</f>
        <v/>
      </c>
      <c r="J810" s="127"/>
      <c r="K810" s="129"/>
      <c r="L810" s="128"/>
      <c r="M810" s="305" t="str">
        <f>IFERROR(Table3[[#This Row],[Quantity (doses)]]/Table3[[#This Row],[Doses per vial or syringe]],"")</f>
        <v/>
      </c>
      <c r="N810" s="127"/>
      <c r="O810" s="127"/>
      <c r="P810" s="381"/>
      <c r="Q810" s="129"/>
      <c r="R810" s="127"/>
      <c r="S810" s="127"/>
      <c r="T810" s="127"/>
      <c r="U810" s="127"/>
      <c r="V810" s="305" t="str">
        <f>_xlfn.IFNA(VLOOKUP(D810,ProductListTbl[],9,0),"")</f>
        <v/>
      </c>
      <c r="W810" s="305" t="str">
        <f>IFERROR(Table3[[#This Row],[Storage space per secondary packaging (cm3)]]*Table3[[#This Row],[Quantity  (vials or syringes)]]/1000,"")</f>
        <v/>
      </c>
      <c r="X810" s="305" t="str">
        <f>IFERROR(Table3[[#This Row],[Storage space per tertiary packaging (cm3)]]*Table3[[#This Row],[Quantity (doses)]]/1000,"")</f>
        <v/>
      </c>
      <c r="Y810" s="293" t="str">
        <f>IF(Table3[[#This Row],[Status]]="Ordered",(DATE(YEAR(P810),MONTH(P810),1)),IF(Table3[[#This Row],[Status]]="Received",(DATE(YEAR(Q810),MONTH(Q810),1)),""))</f>
        <v/>
      </c>
      <c r="Z810" s="304" t="str">
        <f t="shared" si="48"/>
        <v/>
      </c>
      <c r="AA810" s="48" t="str">
        <f t="shared" si="49"/>
        <v/>
      </c>
      <c r="AB810" s="48" t="str">
        <f t="shared" si="50"/>
        <v/>
      </c>
      <c r="AC810" s="292" t="str">
        <f t="shared" si="51"/>
        <v/>
      </c>
      <c r="AD810" s="48" t="str">
        <f>IF(Table3[[#This Row],[Actual Arrival date]]&gt;0,IF(Table3[[#This Row],[Expected arrival date]]&gt;0,Table3[[#This Row],[Actual Arrival date]]-Table3[[#This Row],[Expected arrival date]],""),"")</f>
        <v/>
      </c>
    </row>
    <row r="811" spans="1:30" x14ac:dyDescent="0.25">
      <c r="A811" s="303" t="str">
        <f>Start!$D$7</f>
        <v>Anyland</v>
      </c>
      <c r="B811" s="48" t="str">
        <f>_xlfn.IFNA(VLOOKUP(A811,list!B:C,2,FALSE),"")</f>
        <v>ANY</v>
      </c>
      <c r="C811" s="48"/>
      <c r="D811" s="127"/>
      <c r="E811" s="48" t="str">
        <f>_xlfn.IFNA(VLOOKUP(Table3[[#This Row],[Product]], ProductListTbl[], 3, 0), "")</f>
        <v/>
      </c>
      <c r="F811" s="303" t="str">
        <f>_xlfn.IFNA(VLOOKUP(D811,ProductListTbl[],5,0),"")</f>
        <v/>
      </c>
      <c r="G811" s="303" t="str">
        <f>_xlfn.IFNA(VLOOKUP(D811,ProductListTbl[],6,0),"")</f>
        <v/>
      </c>
      <c r="H811" s="130" t="str">
        <f>_xlfn.IFNA(VLOOKUP(D811,ProductListTbl[],7,0),"")</f>
        <v/>
      </c>
      <c r="I811" s="130" t="str">
        <f>_xlfn.IFNA(VLOOKUP(D811,ProductListTbl[],8,0),"")</f>
        <v/>
      </c>
      <c r="J811" s="127"/>
      <c r="K811" s="129"/>
      <c r="L811" s="128"/>
      <c r="M811" s="305" t="str">
        <f>IFERROR(Table3[[#This Row],[Quantity (doses)]]/Table3[[#This Row],[Doses per vial or syringe]],"")</f>
        <v/>
      </c>
      <c r="N811" s="127"/>
      <c r="O811" s="127"/>
      <c r="P811" s="381"/>
      <c r="Q811" s="129"/>
      <c r="R811" s="127"/>
      <c r="S811" s="127"/>
      <c r="T811" s="127"/>
      <c r="U811" s="127"/>
      <c r="V811" s="305" t="str">
        <f>_xlfn.IFNA(VLOOKUP(D811,ProductListTbl[],9,0),"")</f>
        <v/>
      </c>
      <c r="W811" s="305" t="str">
        <f>IFERROR(Table3[[#This Row],[Storage space per secondary packaging (cm3)]]*Table3[[#This Row],[Quantity  (vials or syringes)]]/1000,"")</f>
        <v/>
      </c>
      <c r="X811" s="305" t="str">
        <f>IFERROR(Table3[[#This Row],[Storage space per tertiary packaging (cm3)]]*Table3[[#This Row],[Quantity (doses)]]/1000,"")</f>
        <v/>
      </c>
      <c r="Y811" s="293" t="str">
        <f>IF(Table3[[#This Row],[Status]]="Ordered",(DATE(YEAR(P811),MONTH(P811),1)),IF(Table3[[#This Row],[Status]]="Received",(DATE(YEAR(Q811),MONTH(Q811),1)),""))</f>
        <v/>
      </c>
      <c r="Z811" s="304" t="str">
        <f t="shared" si="48"/>
        <v/>
      </c>
      <c r="AA811" s="48" t="str">
        <f t="shared" si="49"/>
        <v/>
      </c>
      <c r="AB811" s="48" t="str">
        <f t="shared" si="50"/>
        <v/>
      </c>
      <c r="AC811" s="292" t="str">
        <f t="shared" si="51"/>
        <v/>
      </c>
      <c r="AD811" s="48" t="str">
        <f>IF(Table3[[#This Row],[Actual Arrival date]]&gt;0,IF(Table3[[#This Row],[Expected arrival date]]&gt;0,Table3[[#This Row],[Actual Arrival date]]-Table3[[#This Row],[Expected arrival date]],""),"")</f>
        <v/>
      </c>
    </row>
    <row r="812" spans="1:30" x14ac:dyDescent="0.25">
      <c r="A812" s="303" t="str">
        <f>Start!$D$7</f>
        <v>Anyland</v>
      </c>
      <c r="B812" s="48" t="str">
        <f>_xlfn.IFNA(VLOOKUP(A812,list!B:C,2,FALSE),"")</f>
        <v>ANY</v>
      </c>
      <c r="C812" s="48"/>
      <c r="D812" s="127"/>
      <c r="E812" s="48" t="str">
        <f>_xlfn.IFNA(VLOOKUP(Table3[[#This Row],[Product]], ProductListTbl[], 3, 0), "")</f>
        <v/>
      </c>
      <c r="F812" s="303" t="str">
        <f>_xlfn.IFNA(VLOOKUP(D812,ProductListTbl[],5,0),"")</f>
        <v/>
      </c>
      <c r="G812" s="303" t="str">
        <f>_xlfn.IFNA(VLOOKUP(D812,ProductListTbl[],6,0),"")</f>
        <v/>
      </c>
      <c r="H812" s="130" t="str">
        <f>_xlfn.IFNA(VLOOKUP(D812,ProductListTbl[],7,0),"")</f>
        <v/>
      </c>
      <c r="I812" s="130" t="str">
        <f>_xlfn.IFNA(VLOOKUP(D812,ProductListTbl[],8,0),"")</f>
        <v/>
      </c>
      <c r="J812" s="127"/>
      <c r="K812" s="129"/>
      <c r="L812" s="128"/>
      <c r="M812" s="305" t="str">
        <f>IFERROR(Table3[[#This Row],[Quantity (doses)]]/Table3[[#This Row],[Doses per vial or syringe]],"")</f>
        <v/>
      </c>
      <c r="N812" s="127"/>
      <c r="O812" s="127"/>
      <c r="P812" s="381"/>
      <c r="Q812" s="129"/>
      <c r="R812" s="127"/>
      <c r="S812" s="127"/>
      <c r="T812" s="127"/>
      <c r="U812" s="127"/>
      <c r="V812" s="305" t="str">
        <f>_xlfn.IFNA(VLOOKUP(D812,ProductListTbl[],9,0),"")</f>
        <v/>
      </c>
      <c r="W812" s="305" t="str">
        <f>IFERROR(Table3[[#This Row],[Storage space per secondary packaging (cm3)]]*Table3[[#This Row],[Quantity  (vials or syringes)]]/1000,"")</f>
        <v/>
      </c>
      <c r="X812" s="305" t="str">
        <f>IFERROR(Table3[[#This Row],[Storage space per tertiary packaging (cm3)]]*Table3[[#This Row],[Quantity (doses)]]/1000,"")</f>
        <v/>
      </c>
      <c r="Y812" s="293" t="str">
        <f>IF(Table3[[#This Row],[Status]]="Ordered",(DATE(YEAR(P812),MONTH(P812),1)),IF(Table3[[#This Row],[Status]]="Received",(DATE(YEAR(Q812),MONTH(Q812),1)),""))</f>
        <v/>
      </c>
      <c r="Z812" s="304" t="str">
        <f t="shared" si="48"/>
        <v/>
      </c>
      <c r="AA812" s="48" t="str">
        <f t="shared" si="49"/>
        <v/>
      </c>
      <c r="AB812" s="48" t="str">
        <f t="shared" si="50"/>
        <v/>
      </c>
      <c r="AC812" s="292" t="str">
        <f t="shared" si="51"/>
        <v/>
      </c>
      <c r="AD812" s="48" t="str">
        <f>IF(Table3[[#This Row],[Actual Arrival date]]&gt;0,IF(Table3[[#This Row],[Expected arrival date]]&gt;0,Table3[[#This Row],[Actual Arrival date]]-Table3[[#This Row],[Expected arrival date]],""),"")</f>
        <v/>
      </c>
    </row>
    <row r="813" spans="1:30" x14ac:dyDescent="0.25">
      <c r="A813" s="303" t="str">
        <f>Start!$D$7</f>
        <v>Anyland</v>
      </c>
      <c r="B813" s="48" t="str">
        <f>_xlfn.IFNA(VLOOKUP(A813,list!B:C,2,FALSE),"")</f>
        <v>ANY</v>
      </c>
      <c r="C813" s="48"/>
      <c r="D813" s="127"/>
      <c r="E813" s="48" t="str">
        <f>_xlfn.IFNA(VLOOKUP(Table3[[#This Row],[Product]], ProductListTbl[], 3, 0), "")</f>
        <v/>
      </c>
      <c r="F813" s="303" t="str">
        <f>_xlfn.IFNA(VLOOKUP(D813,ProductListTbl[],5,0),"")</f>
        <v/>
      </c>
      <c r="G813" s="303" t="str">
        <f>_xlfn.IFNA(VLOOKUP(D813,ProductListTbl[],6,0),"")</f>
        <v/>
      </c>
      <c r="H813" s="130" t="str">
        <f>_xlfn.IFNA(VLOOKUP(D813,ProductListTbl[],7,0),"")</f>
        <v/>
      </c>
      <c r="I813" s="130" t="str">
        <f>_xlfn.IFNA(VLOOKUP(D813,ProductListTbl[],8,0),"")</f>
        <v/>
      </c>
      <c r="J813" s="127"/>
      <c r="K813" s="129"/>
      <c r="L813" s="128"/>
      <c r="M813" s="305" t="str">
        <f>IFERROR(Table3[[#This Row],[Quantity (doses)]]/Table3[[#This Row],[Doses per vial or syringe]],"")</f>
        <v/>
      </c>
      <c r="N813" s="127"/>
      <c r="O813" s="127"/>
      <c r="P813" s="381"/>
      <c r="Q813" s="129"/>
      <c r="R813" s="127"/>
      <c r="S813" s="127"/>
      <c r="T813" s="127"/>
      <c r="U813" s="127"/>
      <c r="V813" s="305" t="str">
        <f>_xlfn.IFNA(VLOOKUP(D813,ProductListTbl[],9,0),"")</f>
        <v/>
      </c>
      <c r="W813" s="305" t="str">
        <f>IFERROR(Table3[[#This Row],[Storage space per secondary packaging (cm3)]]*Table3[[#This Row],[Quantity  (vials or syringes)]]/1000,"")</f>
        <v/>
      </c>
      <c r="X813" s="305" t="str">
        <f>IFERROR(Table3[[#This Row],[Storage space per tertiary packaging (cm3)]]*Table3[[#This Row],[Quantity (doses)]]/1000,"")</f>
        <v/>
      </c>
      <c r="Y813" s="293" t="str">
        <f>IF(Table3[[#This Row],[Status]]="Ordered",(DATE(YEAR(P813),MONTH(P813),1)),IF(Table3[[#This Row],[Status]]="Received",(DATE(YEAR(Q813),MONTH(Q813),1)),""))</f>
        <v/>
      </c>
      <c r="Z813" s="304" t="str">
        <f t="shared" si="48"/>
        <v/>
      </c>
      <c r="AA813" s="48" t="str">
        <f t="shared" si="49"/>
        <v/>
      </c>
      <c r="AB813" s="48" t="str">
        <f t="shared" si="50"/>
        <v/>
      </c>
      <c r="AC813" s="292" t="str">
        <f t="shared" si="51"/>
        <v/>
      </c>
      <c r="AD813" s="48" t="str">
        <f>IF(Table3[[#This Row],[Actual Arrival date]]&gt;0,IF(Table3[[#This Row],[Expected arrival date]]&gt;0,Table3[[#This Row],[Actual Arrival date]]-Table3[[#This Row],[Expected arrival date]],""),"")</f>
        <v/>
      </c>
    </row>
    <row r="814" spans="1:30" x14ac:dyDescent="0.25">
      <c r="A814" s="303" t="str">
        <f>Start!$D$7</f>
        <v>Anyland</v>
      </c>
      <c r="B814" s="48" t="str">
        <f>_xlfn.IFNA(VLOOKUP(A814,list!B:C,2,FALSE),"")</f>
        <v>ANY</v>
      </c>
      <c r="C814" s="48"/>
      <c r="D814" s="127"/>
      <c r="E814" s="48" t="str">
        <f>_xlfn.IFNA(VLOOKUP(Table3[[#This Row],[Product]], ProductListTbl[], 3, 0), "")</f>
        <v/>
      </c>
      <c r="F814" s="303" t="str">
        <f>_xlfn.IFNA(VLOOKUP(D814,ProductListTbl[],5,0),"")</f>
        <v/>
      </c>
      <c r="G814" s="303" t="str">
        <f>_xlfn.IFNA(VLOOKUP(D814,ProductListTbl[],6,0),"")</f>
        <v/>
      </c>
      <c r="H814" s="130" t="str">
        <f>_xlfn.IFNA(VLOOKUP(D814,ProductListTbl[],7,0),"")</f>
        <v/>
      </c>
      <c r="I814" s="130" t="str">
        <f>_xlfn.IFNA(VLOOKUP(D814,ProductListTbl[],8,0),"")</f>
        <v/>
      </c>
      <c r="J814" s="127"/>
      <c r="K814" s="129"/>
      <c r="L814" s="128"/>
      <c r="M814" s="305" t="str">
        <f>IFERROR(Table3[[#This Row],[Quantity (doses)]]/Table3[[#This Row],[Doses per vial or syringe]],"")</f>
        <v/>
      </c>
      <c r="N814" s="127"/>
      <c r="O814" s="127"/>
      <c r="P814" s="381"/>
      <c r="Q814" s="129"/>
      <c r="R814" s="127"/>
      <c r="S814" s="127"/>
      <c r="T814" s="127"/>
      <c r="U814" s="127"/>
      <c r="V814" s="305" t="str">
        <f>_xlfn.IFNA(VLOOKUP(D814,ProductListTbl[],9,0),"")</f>
        <v/>
      </c>
      <c r="W814" s="305" t="str">
        <f>IFERROR(Table3[[#This Row],[Storage space per secondary packaging (cm3)]]*Table3[[#This Row],[Quantity  (vials or syringes)]]/1000,"")</f>
        <v/>
      </c>
      <c r="X814" s="305" t="str">
        <f>IFERROR(Table3[[#This Row],[Storage space per tertiary packaging (cm3)]]*Table3[[#This Row],[Quantity (doses)]]/1000,"")</f>
        <v/>
      </c>
      <c r="Y814" s="293" t="str">
        <f>IF(Table3[[#This Row],[Status]]="Ordered",(DATE(YEAR(P814),MONTH(P814),1)),IF(Table3[[#This Row],[Status]]="Received",(DATE(YEAR(Q814),MONTH(Q814),1)),""))</f>
        <v/>
      </c>
      <c r="Z814" s="304" t="str">
        <f t="shared" si="48"/>
        <v/>
      </c>
      <c r="AA814" s="48" t="str">
        <f t="shared" si="49"/>
        <v/>
      </c>
      <c r="AB814" s="48" t="str">
        <f t="shared" si="50"/>
        <v/>
      </c>
      <c r="AC814" s="292" t="str">
        <f t="shared" si="51"/>
        <v/>
      </c>
      <c r="AD814" s="48" t="str">
        <f>IF(Table3[[#This Row],[Actual Arrival date]]&gt;0,IF(Table3[[#This Row],[Expected arrival date]]&gt;0,Table3[[#This Row],[Actual Arrival date]]-Table3[[#This Row],[Expected arrival date]],""),"")</f>
        <v/>
      </c>
    </row>
    <row r="815" spans="1:30" x14ac:dyDescent="0.25">
      <c r="A815" s="303" t="str">
        <f>Start!$D$7</f>
        <v>Anyland</v>
      </c>
      <c r="B815" s="48" t="str">
        <f>_xlfn.IFNA(VLOOKUP(A815,list!B:C,2,FALSE),"")</f>
        <v>ANY</v>
      </c>
      <c r="C815" s="48"/>
      <c r="D815" s="127"/>
      <c r="E815" s="48" t="str">
        <f>_xlfn.IFNA(VLOOKUP(Table3[[#This Row],[Product]], ProductListTbl[], 3, 0), "")</f>
        <v/>
      </c>
      <c r="F815" s="303" t="str">
        <f>_xlfn.IFNA(VLOOKUP(D815,ProductListTbl[],5,0),"")</f>
        <v/>
      </c>
      <c r="G815" s="303" t="str">
        <f>_xlfn.IFNA(VLOOKUP(D815,ProductListTbl[],6,0),"")</f>
        <v/>
      </c>
      <c r="H815" s="130" t="str">
        <f>_xlfn.IFNA(VLOOKUP(D815,ProductListTbl[],7,0),"")</f>
        <v/>
      </c>
      <c r="I815" s="130" t="str">
        <f>_xlfn.IFNA(VLOOKUP(D815,ProductListTbl[],8,0),"")</f>
        <v/>
      </c>
      <c r="J815" s="127"/>
      <c r="K815" s="129"/>
      <c r="L815" s="128"/>
      <c r="M815" s="305" t="str">
        <f>IFERROR(Table3[[#This Row],[Quantity (doses)]]/Table3[[#This Row],[Doses per vial or syringe]],"")</f>
        <v/>
      </c>
      <c r="N815" s="127"/>
      <c r="O815" s="127"/>
      <c r="P815" s="381"/>
      <c r="Q815" s="129"/>
      <c r="R815" s="127"/>
      <c r="S815" s="127"/>
      <c r="T815" s="127"/>
      <c r="U815" s="127"/>
      <c r="V815" s="305" t="str">
        <f>_xlfn.IFNA(VLOOKUP(D815,ProductListTbl[],9,0),"")</f>
        <v/>
      </c>
      <c r="W815" s="305" t="str">
        <f>IFERROR(Table3[[#This Row],[Storage space per secondary packaging (cm3)]]*Table3[[#This Row],[Quantity  (vials or syringes)]]/1000,"")</f>
        <v/>
      </c>
      <c r="X815" s="305" t="str">
        <f>IFERROR(Table3[[#This Row],[Storage space per tertiary packaging (cm3)]]*Table3[[#This Row],[Quantity (doses)]]/1000,"")</f>
        <v/>
      </c>
      <c r="Y815" s="293" t="str">
        <f>IF(Table3[[#This Row],[Status]]="Ordered",(DATE(YEAR(P815),MONTH(P815),1)),IF(Table3[[#This Row],[Status]]="Received",(DATE(YEAR(Q815),MONTH(Q815),1)),""))</f>
        <v/>
      </c>
      <c r="Z815" s="304" t="str">
        <f t="shared" si="48"/>
        <v/>
      </c>
      <c r="AA815" s="48" t="str">
        <f t="shared" si="49"/>
        <v/>
      </c>
      <c r="AB815" s="48" t="str">
        <f t="shared" si="50"/>
        <v/>
      </c>
      <c r="AC815" s="292" t="str">
        <f t="shared" si="51"/>
        <v/>
      </c>
      <c r="AD815" s="48" t="str">
        <f>IF(Table3[[#This Row],[Actual Arrival date]]&gt;0,IF(Table3[[#This Row],[Expected arrival date]]&gt;0,Table3[[#This Row],[Actual Arrival date]]-Table3[[#This Row],[Expected arrival date]],""),"")</f>
        <v/>
      </c>
    </row>
    <row r="816" spans="1:30" x14ac:dyDescent="0.25">
      <c r="A816" s="303" t="str">
        <f>Start!$D$7</f>
        <v>Anyland</v>
      </c>
      <c r="B816" s="48" t="str">
        <f>_xlfn.IFNA(VLOOKUP(A816,list!B:C,2,FALSE),"")</f>
        <v>ANY</v>
      </c>
      <c r="C816" s="48"/>
      <c r="D816" s="127"/>
      <c r="E816" s="48" t="str">
        <f>_xlfn.IFNA(VLOOKUP(Table3[[#This Row],[Product]], ProductListTbl[], 3, 0), "")</f>
        <v/>
      </c>
      <c r="F816" s="303" t="str">
        <f>_xlfn.IFNA(VLOOKUP(D816,ProductListTbl[],5,0),"")</f>
        <v/>
      </c>
      <c r="G816" s="303" t="str">
        <f>_xlfn.IFNA(VLOOKUP(D816,ProductListTbl[],6,0),"")</f>
        <v/>
      </c>
      <c r="H816" s="130" t="str">
        <f>_xlfn.IFNA(VLOOKUP(D816,ProductListTbl[],7,0),"")</f>
        <v/>
      </c>
      <c r="I816" s="130" t="str">
        <f>_xlfn.IFNA(VLOOKUP(D816,ProductListTbl[],8,0),"")</f>
        <v/>
      </c>
      <c r="J816" s="127"/>
      <c r="K816" s="129"/>
      <c r="L816" s="128"/>
      <c r="M816" s="305" t="str">
        <f>IFERROR(Table3[[#This Row],[Quantity (doses)]]/Table3[[#This Row],[Doses per vial or syringe]],"")</f>
        <v/>
      </c>
      <c r="N816" s="127"/>
      <c r="O816" s="127"/>
      <c r="P816" s="381"/>
      <c r="Q816" s="129"/>
      <c r="R816" s="127"/>
      <c r="S816" s="127"/>
      <c r="T816" s="127"/>
      <c r="U816" s="127"/>
      <c r="V816" s="305" t="str">
        <f>_xlfn.IFNA(VLOOKUP(D816,ProductListTbl[],9,0),"")</f>
        <v/>
      </c>
      <c r="W816" s="305" t="str">
        <f>IFERROR(Table3[[#This Row],[Storage space per secondary packaging (cm3)]]*Table3[[#This Row],[Quantity  (vials or syringes)]]/1000,"")</f>
        <v/>
      </c>
      <c r="X816" s="305" t="str">
        <f>IFERROR(Table3[[#This Row],[Storage space per tertiary packaging (cm3)]]*Table3[[#This Row],[Quantity (doses)]]/1000,"")</f>
        <v/>
      </c>
      <c r="Y816" s="293" t="str">
        <f>IF(Table3[[#This Row],[Status]]="Ordered",(DATE(YEAR(P816),MONTH(P816),1)),IF(Table3[[#This Row],[Status]]="Received",(DATE(YEAR(Q816),MONTH(Q816),1)),""))</f>
        <v/>
      </c>
      <c r="Z816" s="304" t="str">
        <f t="shared" si="48"/>
        <v/>
      </c>
      <c r="AA816" s="48" t="str">
        <f t="shared" si="49"/>
        <v/>
      </c>
      <c r="AB816" s="48" t="str">
        <f t="shared" si="50"/>
        <v/>
      </c>
      <c r="AC816" s="292" t="str">
        <f t="shared" si="51"/>
        <v/>
      </c>
      <c r="AD816" s="48" t="str">
        <f>IF(Table3[[#This Row],[Actual Arrival date]]&gt;0,IF(Table3[[#This Row],[Expected arrival date]]&gt;0,Table3[[#This Row],[Actual Arrival date]]-Table3[[#This Row],[Expected arrival date]],""),"")</f>
        <v/>
      </c>
    </row>
    <row r="817" spans="1:30" x14ac:dyDescent="0.25">
      <c r="A817" s="303" t="str">
        <f>Start!$D$7</f>
        <v>Anyland</v>
      </c>
      <c r="B817" s="48" t="str">
        <f>_xlfn.IFNA(VLOOKUP(A817,list!B:C,2,FALSE),"")</f>
        <v>ANY</v>
      </c>
      <c r="C817" s="48"/>
      <c r="D817" s="127"/>
      <c r="E817" s="48" t="str">
        <f>_xlfn.IFNA(VLOOKUP(Table3[[#This Row],[Product]], ProductListTbl[], 3, 0), "")</f>
        <v/>
      </c>
      <c r="F817" s="303" t="str">
        <f>_xlfn.IFNA(VLOOKUP(D817,ProductListTbl[],5,0),"")</f>
        <v/>
      </c>
      <c r="G817" s="303" t="str">
        <f>_xlfn.IFNA(VLOOKUP(D817,ProductListTbl[],6,0),"")</f>
        <v/>
      </c>
      <c r="H817" s="130" t="str">
        <f>_xlfn.IFNA(VLOOKUP(D817,ProductListTbl[],7,0),"")</f>
        <v/>
      </c>
      <c r="I817" s="130" t="str">
        <f>_xlfn.IFNA(VLOOKUP(D817,ProductListTbl[],8,0),"")</f>
        <v/>
      </c>
      <c r="J817" s="127"/>
      <c r="K817" s="129"/>
      <c r="L817" s="128"/>
      <c r="M817" s="305" t="str">
        <f>IFERROR(Table3[[#This Row],[Quantity (doses)]]/Table3[[#This Row],[Doses per vial or syringe]],"")</f>
        <v/>
      </c>
      <c r="N817" s="127"/>
      <c r="O817" s="127"/>
      <c r="P817" s="381"/>
      <c r="Q817" s="129"/>
      <c r="R817" s="127"/>
      <c r="S817" s="127"/>
      <c r="T817" s="127"/>
      <c r="U817" s="127"/>
      <c r="V817" s="305" t="str">
        <f>_xlfn.IFNA(VLOOKUP(D817,ProductListTbl[],9,0),"")</f>
        <v/>
      </c>
      <c r="W817" s="305" t="str">
        <f>IFERROR(Table3[[#This Row],[Storage space per secondary packaging (cm3)]]*Table3[[#This Row],[Quantity  (vials or syringes)]]/1000,"")</f>
        <v/>
      </c>
      <c r="X817" s="305" t="str">
        <f>IFERROR(Table3[[#This Row],[Storage space per tertiary packaging (cm3)]]*Table3[[#This Row],[Quantity (doses)]]/1000,"")</f>
        <v/>
      </c>
      <c r="Y817" s="293" t="str">
        <f>IF(Table3[[#This Row],[Status]]="Ordered",(DATE(YEAR(P817),MONTH(P817),1)),IF(Table3[[#This Row],[Status]]="Received",(DATE(YEAR(Q817),MONTH(Q817),1)),""))</f>
        <v/>
      </c>
      <c r="Z817" s="304" t="str">
        <f t="shared" si="48"/>
        <v/>
      </c>
      <c r="AA817" s="48" t="str">
        <f t="shared" si="49"/>
        <v/>
      </c>
      <c r="AB817" s="48" t="str">
        <f t="shared" si="50"/>
        <v/>
      </c>
      <c r="AC817" s="292" t="str">
        <f t="shared" si="51"/>
        <v/>
      </c>
      <c r="AD817" s="48" t="str">
        <f>IF(Table3[[#This Row],[Actual Arrival date]]&gt;0,IF(Table3[[#This Row],[Expected arrival date]]&gt;0,Table3[[#This Row],[Actual Arrival date]]-Table3[[#This Row],[Expected arrival date]],""),"")</f>
        <v/>
      </c>
    </row>
    <row r="818" spans="1:30" x14ac:dyDescent="0.25">
      <c r="A818" s="303" t="str">
        <f>Start!$D$7</f>
        <v>Anyland</v>
      </c>
      <c r="B818" s="48" t="str">
        <f>_xlfn.IFNA(VLOOKUP(A818,list!B:C,2,FALSE),"")</f>
        <v>ANY</v>
      </c>
      <c r="C818" s="48"/>
      <c r="D818" s="127"/>
      <c r="E818" s="48" t="str">
        <f>_xlfn.IFNA(VLOOKUP(Table3[[#This Row],[Product]], ProductListTbl[], 3, 0), "")</f>
        <v/>
      </c>
      <c r="F818" s="303" t="str">
        <f>_xlfn.IFNA(VLOOKUP(D818,ProductListTbl[],5,0),"")</f>
        <v/>
      </c>
      <c r="G818" s="303" t="str">
        <f>_xlfn.IFNA(VLOOKUP(D818,ProductListTbl[],6,0),"")</f>
        <v/>
      </c>
      <c r="H818" s="130" t="str">
        <f>_xlfn.IFNA(VLOOKUP(D818,ProductListTbl[],7,0),"")</f>
        <v/>
      </c>
      <c r="I818" s="130" t="str">
        <f>_xlfn.IFNA(VLOOKUP(D818,ProductListTbl[],8,0),"")</f>
        <v/>
      </c>
      <c r="J818" s="127"/>
      <c r="K818" s="129"/>
      <c r="L818" s="128"/>
      <c r="M818" s="305" t="str">
        <f>IFERROR(Table3[[#This Row],[Quantity (doses)]]/Table3[[#This Row],[Doses per vial or syringe]],"")</f>
        <v/>
      </c>
      <c r="N818" s="127"/>
      <c r="O818" s="127"/>
      <c r="P818" s="381"/>
      <c r="Q818" s="129"/>
      <c r="R818" s="127"/>
      <c r="S818" s="127"/>
      <c r="T818" s="127"/>
      <c r="U818" s="127"/>
      <c r="V818" s="305" t="str">
        <f>_xlfn.IFNA(VLOOKUP(D818,ProductListTbl[],9,0),"")</f>
        <v/>
      </c>
      <c r="W818" s="305" t="str">
        <f>IFERROR(Table3[[#This Row],[Storage space per secondary packaging (cm3)]]*Table3[[#This Row],[Quantity  (vials or syringes)]]/1000,"")</f>
        <v/>
      </c>
      <c r="X818" s="305" t="str">
        <f>IFERROR(Table3[[#This Row],[Storage space per tertiary packaging (cm3)]]*Table3[[#This Row],[Quantity (doses)]]/1000,"")</f>
        <v/>
      </c>
      <c r="Y818" s="293" t="str">
        <f>IF(Table3[[#This Row],[Status]]="Ordered",(DATE(YEAR(P818),MONTH(P818),1)),IF(Table3[[#This Row],[Status]]="Received",(DATE(YEAR(Q818),MONTH(Q818),1)),""))</f>
        <v/>
      </c>
      <c r="Z818" s="304" t="str">
        <f t="shared" si="48"/>
        <v/>
      </c>
      <c r="AA818" s="48" t="str">
        <f t="shared" si="49"/>
        <v/>
      </c>
      <c r="AB818" s="48" t="str">
        <f t="shared" si="50"/>
        <v/>
      </c>
      <c r="AC818" s="292" t="str">
        <f t="shared" si="51"/>
        <v/>
      </c>
      <c r="AD818" s="48" t="str">
        <f>IF(Table3[[#This Row],[Actual Arrival date]]&gt;0,IF(Table3[[#This Row],[Expected arrival date]]&gt;0,Table3[[#This Row],[Actual Arrival date]]-Table3[[#This Row],[Expected arrival date]],""),"")</f>
        <v/>
      </c>
    </row>
    <row r="819" spans="1:30" x14ac:dyDescent="0.25">
      <c r="A819" s="303" t="str">
        <f>Start!$D$7</f>
        <v>Anyland</v>
      </c>
      <c r="B819" s="48" t="str">
        <f>_xlfn.IFNA(VLOOKUP(A819,list!B:C,2,FALSE),"")</f>
        <v>ANY</v>
      </c>
      <c r="C819" s="48"/>
      <c r="D819" s="127"/>
      <c r="E819" s="48" t="str">
        <f>_xlfn.IFNA(VLOOKUP(Table3[[#This Row],[Product]], ProductListTbl[], 3, 0), "")</f>
        <v/>
      </c>
      <c r="F819" s="303" t="str">
        <f>_xlfn.IFNA(VLOOKUP(D819,ProductListTbl[],5,0),"")</f>
        <v/>
      </c>
      <c r="G819" s="303" t="str">
        <f>_xlfn.IFNA(VLOOKUP(D819,ProductListTbl[],6,0),"")</f>
        <v/>
      </c>
      <c r="H819" s="130" t="str">
        <f>_xlfn.IFNA(VLOOKUP(D819,ProductListTbl[],7,0),"")</f>
        <v/>
      </c>
      <c r="I819" s="130" t="str">
        <f>_xlfn.IFNA(VLOOKUP(D819,ProductListTbl[],8,0),"")</f>
        <v/>
      </c>
      <c r="J819" s="127"/>
      <c r="K819" s="129"/>
      <c r="L819" s="128"/>
      <c r="M819" s="305" t="str">
        <f>IFERROR(Table3[[#This Row],[Quantity (doses)]]/Table3[[#This Row],[Doses per vial or syringe]],"")</f>
        <v/>
      </c>
      <c r="N819" s="127"/>
      <c r="O819" s="127"/>
      <c r="P819" s="381"/>
      <c r="Q819" s="129"/>
      <c r="R819" s="127"/>
      <c r="S819" s="127"/>
      <c r="T819" s="127"/>
      <c r="U819" s="127"/>
      <c r="V819" s="305" t="str">
        <f>_xlfn.IFNA(VLOOKUP(D819,ProductListTbl[],9,0),"")</f>
        <v/>
      </c>
      <c r="W819" s="305" t="str">
        <f>IFERROR(Table3[[#This Row],[Storage space per secondary packaging (cm3)]]*Table3[[#This Row],[Quantity  (vials or syringes)]]/1000,"")</f>
        <v/>
      </c>
      <c r="X819" s="305" t="str">
        <f>IFERROR(Table3[[#This Row],[Storage space per tertiary packaging (cm3)]]*Table3[[#This Row],[Quantity (doses)]]/1000,"")</f>
        <v/>
      </c>
      <c r="Y819" s="293" t="str">
        <f>IF(Table3[[#This Row],[Status]]="Ordered",(DATE(YEAR(P819),MONTH(P819),1)),IF(Table3[[#This Row],[Status]]="Received",(DATE(YEAR(Q819),MONTH(Q819),1)),""))</f>
        <v/>
      </c>
      <c r="Z819" s="304" t="str">
        <f t="shared" si="48"/>
        <v/>
      </c>
      <c r="AA819" s="48" t="str">
        <f t="shared" si="49"/>
        <v/>
      </c>
      <c r="AB819" s="48" t="str">
        <f t="shared" si="50"/>
        <v/>
      </c>
      <c r="AC819" s="292" t="str">
        <f t="shared" si="51"/>
        <v/>
      </c>
      <c r="AD819" s="48" t="str">
        <f>IF(Table3[[#This Row],[Actual Arrival date]]&gt;0,IF(Table3[[#This Row],[Expected arrival date]]&gt;0,Table3[[#This Row],[Actual Arrival date]]-Table3[[#This Row],[Expected arrival date]],""),"")</f>
        <v/>
      </c>
    </row>
    <row r="820" spans="1:30" x14ac:dyDescent="0.25">
      <c r="A820" s="303" t="str">
        <f>Start!$D$7</f>
        <v>Anyland</v>
      </c>
      <c r="B820" s="48" t="str">
        <f>_xlfn.IFNA(VLOOKUP(A820,list!B:C,2,FALSE),"")</f>
        <v>ANY</v>
      </c>
      <c r="C820" s="48"/>
      <c r="D820" s="127"/>
      <c r="E820" s="48" t="str">
        <f>_xlfn.IFNA(VLOOKUP(Table3[[#This Row],[Product]], ProductListTbl[], 3, 0), "")</f>
        <v/>
      </c>
      <c r="F820" s="303" t="str">
        <f>_xlfn.IFNA(VLOOKUP(D820,ProductListTbl[],5,0),"")</f>
        <v/>
      </c>
      <c r="G820" s="303" t="str">
        <f>_xlfn.IFNA(VLOOKUP(D820,ProductListTbl[],6,0),"")</f>
        <v/>
      </c>
      <c r="H820" s="130" t="str">
        <f>_xlfn.IFNA(VLOOKUP(D820,ProductListTbl[],7,0),"")</f>
        <v/>
      </c>
      <c r="I820" s="130" t="str">
        <f>_xlfn.IFNA(VLOOKUP(D820,ProductListTbl[],8,0),"")</f>
        <v/>
      </c>
      <c r="J820" s="127"/>
      <c r="K820" s="129"/>
      <c r="L820" s="128"/>
      <c r="M820" s="305" t="str">
        <f>IFERROR(Table3[[#This Row],[Quantity (doses)]]/Table3[[#This Row],[Doses per vial or syringe]],"")</f>
        <v/>
      </c>
      <c r="N820" s="127"/>
      <c r="O820" s="127"/>
      <c r="P820" s="381"/>
      <c r="Q820" s="129"/>
      <c r="R820" s="127"/>
      <c r="S820" s="127"/>
      <c r="T820" s="127"/>
      <c r="U820" s="127"/>
      <c r="V820" s="305" t="str">
        <f>_xlfn.IFNA(VLOOKUP(D820,ProductListTbl[],9,0),"")</f>
        <v/>
      </c>
      <c r="W820" s="305" t="str">
        <f>IFERROR(Table3[[#This Row],[Storage space per secondary packaging (cm3)]]*Table3[[#This Row],[Quantity  (vials or syringes)]]/1000,"")</f>
        <v/>
      </c>
      <c r="X820" s="305" t="str">
        <f>IFERROR(Table3[[#This Row],[Storage space per tertiary packaging (cm3)]]*Table3[[#This Row],[Quantity (doses)]]/1000,"")</f>
        <v/>
      </c>
      <c r="Y820" s="293" t="str">
        <f>IF(Table3[[#This Row],[Status]]="Ordered",(DATE(YEAR(P820),MONTH(P820),1)),IF(Table3[[#This Row],[Status]]="Received",(DATE(YEAR(Q820),MONTH(Q820),1)),""))</f>
        <v/>
      </c>
      <c r="Z820" s="304" t="str">
        <f t="shared" si="48"/>
        <v/>
      </c>
      <c r="AA820" s="48" t="str">
        <f t="shared" si="49"/>
        <v/>
      </c>
      <c r="AB820" s="48" t="str">
        <f t="shared" si="50"/>
        <v/>
      </c>
      <c r="AC820" s="292" t="str">
        <f t="shared" si="51"/>
        <v/>
      </c>
      <c r="AD820" s="48" t="str">
        <f>IF(Table3[[#This Row],[Actual Arrival date]]&gt;0,IF(Table3[[#This Row],[Expected arrival date]]&gt;0,Table3[[#This Row],[Actual Arrival date]]-Table3[[#This Row],[Expected arrival date]],""),"")</f>
        <v/>
      </c>
    </row>
    <row r="821" spans="1:30" x14ac:dyDescent="0.25">
      <c r="A821" s="303" t="str">
        <f>Start!$D$7</f>
        <v>Anyland</v>
      </c>
      <c r="B821" s="48" t="str">
        <f>_xlfn.IFNA(VLOOKUP(A821,list!B:C,2,FALSE),"")</f>
        <v>ANY</v>
      </c>
      <c r="C821" s="48"/>
      <c r="D821" s="127"/>
      <c r="E821" s="48" t="str">
        <f>_xlfn.IFNA(VLOOKUP(Table3[[#This Row],[Product]], ProductListTbl[], 3, 0), "")</f>
        <v/>
      </c>
      <c r="F821" s="303" t="str">
        <f>_xlfn.IFNA(VLOOKUP(D821,ProductListTbl[],5,0),"")</f>
        <v/>
      </c>
      <c r="G821" s="303" t="str">
        <f>_xlfn.IFNA(VLOOKUP(D821,ProductListTbl[],6,0),"")</f>
        <v/>
      </c>
      <c r="H821" s="130" t="str">
        <f>_xlfn.IFNA(VLOOKUP(D821,ProductListTbl[],7,0),"")</f>
        <v/>
      </c>
      <c r="I821" s="130" t="str">
        <f>_xlfn.IFNA(VLOOKUP(D821,ProductListTbl[],8,0),"")</f>
        <v/>
      </c>
      <c r="J821" s="127"/>
      <c r="K821" s="129"/>
      <c r="L821" s="128"/>
      <c r="M821" s="305" t="str">
        <f>IFERROR(Table3[[#This Row],[Quantity (doses)]]/Table3[[#This Row],[Doses per vial or syringe]],"")</f>
        <v/>
      </c>
      <c r="N821" s="127"/>
      <c r="O821" s="127"/>
      <c r="P821" s="381"/>
      <c r="Q821" s="129"/>
      <c r="R821" s="127"/>
      <c r="S821" s="127"/>
      <c r="T821" s="127"/>
      <c r="U821" s="127"/>
      <c r="V821" s="305" t="str">
        <f>_xlfn.IFNA(VLOOKUP(D821,ProductListTbl[],9,0),"")</f>
        <v/>
      </c>
      <c r="W821" s="305" t="str">
        <f>IFERROR(Table3[[#This Row],[Storage space per secondary packaging (cm3)]]*Table3[[#This Row],[Quantity  (vials or syringes)]]/1000,"")</f>
        <v/>
      </c>
      <c r="X821" s="305" t="str">
        <f>IFERROR(Table3[[#This Row],[Storage space per tertiary packaging (cm3)]]*Table3[[#This Row],[Quantity (doses)]]/1000,"")</f>
        <v/>
      </c>
      <c r="Y821" s="293" t="str">
        <f>IF(Table3[[#This Row],[Status]]="Ordered",(DATE(YEAR(P821),MONTH(P821),1)),IF(Table3[[#This Row],[Status]]="Received",(DATE(YEAR(Q821),MONTH(Q821),1)),""))</f>
        <v/>
      </c>
      <c r="Z821" s="304" t="str">
        <f t="shared" si="48"/>
        <v/>
      </c>
      <c r="AA821" s="48" t="str">
        <f t="shared" si="49"/>
        <v/>
      </c>
      <c r="AB821" s="48" t="str">
        <f t="shared" si="50"/>
        <v/>
      </c>
      <c r="AC821" s="292" t="str">
        <f t="shared" si="51"/>
        <v/>
      </c>
      <c r="AD821" s="48" t="str">
        <f>IF(Table3[[#This Row],[Actual Arrival date]]&gt;0,IF(Table3[[#This Row],[Expected arrival date]]&gt;0,Table3[[#This Row],[Actual Arrival date]]-Table3[[#This Row],[Expected arrival date]],""),"")</f>
        <v/>
      </c>
    </row>
    <row r="822" spans="1:30" x14ac:dyDescent="0.25">
      <c r="A822" s="303" t="str">
        <f>Start!$D$7</f>
        <v>Anyland</v>
      </c>
      <c r="B822" s="48" t="str">
        <f>_xlfn.IFNA(VLOOKUP(A822,list!B:C,2,FALSE),"")</f>
        <v>ANY</v>
      </c>
      <c r="C822" s="48"/>
      <c r="D822" s="127"/>
      <c r="E822" s="48" t="str">
        <f>_xlfn.IFNA(VLOOKUP(Table3[[#This Row],[Product]], ProductListTbl[], 3, 0), "")</f>
        <v/>
      </c>
      <c r="F822" s="303" t="str">
        <f>_xlfn.IFNA(VLOOKUP(D822,ProductListTbl[],5,0),"")</f>
        <v/>
      </c>
      <c r="G822" s="303" t="str">
        <f>_xlfn.IFNA(VLOOKUP(D822,ProductListTbl[],6,0),"")</f>
        <v/>
      </c>
      <c r="H822" s="130" t="str">
        <f>_xlfn.IFNA(VLOOKUP(D822,ProductListTbl[],7,0),"")</f>
        <v/>
      </c>
      <c r="I822" s="130" t="str">
        <f>_xlfn.IFNA(VLOOKUP(D822,ProductListTbl[],8,0),"")</f>
        <v/>
      </c>
      <c r="J822" s="127"/>
      <c r="K822" s="129"/>
      <c r="L822" s="128"/>
      <c r="M822" s="305" t="str">
        <f>IFERROR(Table3[[#This Row],[Quantity (doses)]]/Table3[[#This Row],[Doses per vial or syringe]],"")</f>
        <v/>
      </c>
      <c r="N822" s="127"/>
      <c r="O822" s="127"/>
      <c r="P822" s="381"/>
      <c r="Q822" s="129"/>
      <c r="R822" s="127"/>
      <c r="S822" s="127"/>
      <c r="T822" s="127"/>
      <c r="U822" s="127"/>
      <c r="V822" s="305" t="str">
        <f>_xlfn.IFNA(VLOOKUP(D822,ProductListTbl[],9,0),"")</f>
        <v/>
      </c>
      <c r="W822" s="305" t="str">
        <f>IFERROR(Table3[[#This Row],[Storage space per secondary packaging (cm3)]]*Table3[[#This Row],[Quantity  (vials or syringes)]]/1000,"")</f>
        <v/>
      </c>
      <c r="X822" s="305" t="str">
        <f>IFERROR(Table3[[#This Row],[Storage space per tertiary packaging (cm3)]]*Table3[[#This Row],[Quantity (doses)]]/1000,"")</f>
        <v/>
      </c>
      <c r="Y822" s="293" t="str">
        <f>IF(Table3[[#This Row],[Status]]="Ordered",(DATE(YEAR(P822),MONTH(P822),1)),IF(Table3[[#This Row],[Status]]="Received",(DATE(YEAR(Q822),MONTH(Q822),1)),""))</f>
        <v/>
      </c>
      <c r="Z822" s="304" t="str">
        <f t="shared" si="48"/>
        <v/>
      </c>
      <c r="AA822" s="48" t="str">
        <f t="shared" si="49"/>
        <v/>
      </c>
      <c r="AB822" s="48" t="str">
        <f t="shared" si="50"/>
        <v/>
      </c>
      <c r="AC822" s="292" t="str">
        <f t="shared" si="51"/>
        <v/>
      </c>
      <c r="AD822" s="48" t="str">
        <f>IF(Table3[[#This Row],[Actual Arrival date]]&gt;0,IF(Table3[[#This Row],[Expected arrival date]]&gt;0,Table3[[#This Row],[Actual Arrival date]]-Table3[[#This Row],[Expected arrival date]],""),"")</f>
        <v/>
      </c>
    </row>
    <row r="823" spans="1:30" x14ac:dyDescent="0.25">
      <c r="A823" s="303" t="str">
        <f>Start!$D$7</f>
        <v>Anyland</v>
      </c>
      <c r="B823" s="48" t="str">
        <f>_xlfn.IFNA(VLOOKUP(A823,list!B:C,2,FALSE),"")</f>
        <v>ANY</v>
      </c>
      <c r="C823" s="48"/>
      <c r="D823" s="127"/>
      <c r="E823" s="48" t="str">
        <f>_xlfn.IFNA(VLOOKUP(Table3[[#This Row],[Product]], ProductListTbl[], 3, 0), "")</f>
        <v/>
      </c>
      <c r="F823" s="303" t="str">
        <f>_xlfn.IFNA(VLOOKUP(D823,ProductListTbl[],5,0),"")</f>
        <v/>
      </c>
      <c r="G823" s="303" t="str">
        <f>_xlfn.IFNA(VLOOKUP(D823,ProductListTbl[],6,0),"")</f>
        <v/>
      </c>
      <c r="H823" s="130" t="str">
        <f>_xlfn.IFNA(VLOOKUP(D823,ProductListTbl[],7,0),"")</f>
        <v/>
      </c>
      <c r="I823" s="130" t="str">
        <f>_xlfn.IFNA(VLOOKUP(D823,ProductListTbl[],8,0),"")</f>
        <v/>
      </c>
      <c r="J823" s="127"/>
      <c r="K823" s="129"/>
      <c r="L823" s="128"/>
      <c r="M823" s="305" t="str">
        <f>IFERROR(Table3[[#This Row],[Quantity (doses)]]/Table3[[#This Row],[Doses per vial or syringe]],"")</f>
        <v/>
      </c>
      <c r="N823" s="127"/>
      <c r="O823" s="127"/>
      <c r="P823" s="381"/>
      <c r="Q823" s="129"/>
      <c r="R823" s="127"/>
      <c r="S823" s="127"/>
      <c r="T823" s="127"/>
      <c r="U823" s="127"/>
      <c r="V823" s="305" t="str">
        <f>_xlfn.IFNA(VLOOKUP(D823,ProductListTbl[],9,0),"")</f>
        <v/>
      </c>
      <c r="W823" s="305" t="str">
        <f>IFERROR(Table3[[#This Row],[Storage space per secondary packaging (cm3)]]*Table3[[#This Row],[Quantity  (vials or syringes)]]/1000,"")</f>
        <v/>
      </c>
      <c r="X823" s="305" t="str">
        <f>IFERROR(Table3[[#This Row],[Storage space per tertiary packaging (cm3)]]*Table3[[#This Row],[Quantity (doses)]]/1000,"")</f>
        <v/>
      </c>
      <c r="Y823" s="293" t="str">
        <f>IF(Table3[[#This Row],[Status]]="Ordered",(DATE(YEAR(P823),MONTH(P823),1)),IF(Table3[[#This Row],[Status]]="Received",(DATE(YEAR(Q823),MONTH(Q823),1)),""))</f>
        <v/>
      </c>
      <c r="Z823" s="304" t="str">
        <f t="shared" si="48"/>
        <v/>
      </c>
      <c r="AA823" s="48" t="str">
        <f t="shared" si="49"/>
        <v/>
      </c>
      <c r="AB823" s="48" t="str">
        <f t="shared" si="50"/>
        <v/>
      </c>
      <c r="AC823" s="292" t="str">
        <f t="shared" si="51"/>
        <v/>
      </c>
      <c r="AD823" s="48" t="str">
        <f>IF(Table3[[#This Row],[Actual Arrival date]]&gt;0,IF(Table3[[#This Row],[Expected arrival date]]&gt;0,Table3[[#This Row],[Actual Arrival date]]-Table3[[#This Row],[Expected arrival date]],""),"")</f>
        <v/>
      </c>
    </row>
    <row r="824" spans="1:30" x14ac:dyDescent="0.25">
      <c r="A824" s="303" t="str">
        <f>Start!$D$7</f>
        <v>Anyland</v>
      </c>
      <c r="B824" s="48" t="str">
        <f>_xlfn.IFNA(VLOOKUP(A824,list!B:C,2,FALSE),"")</f>
        <v>ANY</v>
      </c>
      <c r="C824" s="48"/>
      <c r="D824" s="127"/>
      <c r="E824" s="48" t="str">
        <f>_xlfn.IFNA(VLOOKUP(Table3[[#This Row],[Product]], ProductListTbl[], 3, 0), "")</f>
        <v/>
      </c>
      <c r="F824" s="303" t="str">
        <f>_xlfn.IFNA(VLOOKUP(D824,ProductListTbl[],5,0),"")</f>
        <v/>
      </c>
      <c r="G824" s="303" t="str">
        <f>_xlfn.IFNA(VLOOKUP(D824,ProductListTbl[],6,0),"")</f>
        <v/>
      </c>
      <c r="H824" s="130" t="str">
        <f>_xlfn.IFNA(VLOOKUP(D824,ProductListTbl[],7,0),"")</f>
        <v/>
      </c>
      <c r="I824" s="130" t="str">
        <f>_xlfn.IFNA(VLOOKUP(D824,ProductListTbl[],8,0),"")</f>
        <v/>
      </c>
      <c r="J824" s="127"/>
      <c r="K824" s="129"/>
      <c r="L824" s="128"/>
      <c r="M824" s="305" t="str">
        <f>IFERROR(Table3[[#This Row],[Quantity (doses)]]/Table3[[#This Row],[Doses per vial or syringe]],"")</f>
        <v/>
      </c>
      <c r="N824" s="127"/>
      <c r="O824" s="127"/>
      <c r="P824" s="381"/>
      <c r="Q824" s="129"/>
      <c r="R824" s="127"/>
      <c r="S824" s="127"/>
      <c r="T824" s="127"/>
      <c r="U824" s="127"/>
      <c r="V824" s="305" t="str">
        <f>_xlfn.IFNA(VLOOKUP(D824,ProductListTbl[],9,0),"")</f>
        <v/>
      </c>
      <c r="W824" s="305" t="str">
        <f>IFERROR(Table3[[#This Row],[Storage space per secondary packaging (cm3)]]*Table3[[#This Row],[Quantity  (vials or syringes)]]/1000,"")</f>
        <v/>
      </c>
      <c r="X824" s="305" t="str">
        <f>IFERROR(Table3[[#This Row],[Storage space per tertiary packaging (cm3)]]*Table3[[#This Row],[Quantity (doses)]]/1000,"")</f>
        <v/>
      </c>
      <c r="Y824" s="293" t="str">
        <f>IF(Table3[[#This Row],[Status]]="Ordered",(DATE(YEAR(P824),MONTH(P824),1)),IF(Table3[[#This Row],[Status]]="Received",(DATE(YEAR(Q824),MONTH(Q824),1)),""))</f>
        <v/>
      </c>
      <c r="Z824" s="304" t="str">
        <f t="shared" si="48"/>
        <v/>
      </c>
      <c r="AA824" s="48" t="str">
        <f t="shared" si="49"/>
        <v/>
      </c>
      <c r="AB824" s="48" t="str">
        <f t="shared" si="50"/>
        <v/>
      </c>
      <c r="AC824" s="292" t="str">
        <f t="shared" si="51"/>
        <v/>
      </c>
      <c r="AD824" s="48" t="str">
        <f>IF(Table3[[#This Row],[Actual Arrival date]]&gt;0,IF(Table3[[#This Row],[Expected arrival date]]&gt;0,Table3[[#This Row],[Actual Arrival date]]-Table3[[#This Row],[Expected arrival date]],""),"")</f>
        <v/>
      </c>
    </row>
    <row r="825" spans="1:30" x14ac:dyDescent="0.25">
      <c r="A825" s="303" t="str">
        <f>Start!$D$7</f>
        <v>Anyland</v>
      </c>
      <c r="B825" s="48" t="str">
        <f>_xlfn.IFNA(VLOOKUP(A825,list!B:C,2,FALSE),"")</f>
        <v>ANY</v>
      </c>
      <c r="C825" s="48"/>
      <c r="D825" s="127"/>
      <c r="E825" s="48" t="str">
        <f>_xlfn.IFNA(VLOOKUP(Table3[[#This Row],[Product]], ProductListTbl[], 3, 0), "")</f>
        <v/>
      </c>
      <c r="F825" s="303" t="str">
        <f>_xlfn.IFNA(VLOOKUP(D825,ProductListTbl[],5,0),"")</f>
        <v/>
      </c>
      <c r="G825" s="303" t="str">
        <f>_xlfn.IFNA(VLOOKUP(D825,ProductListTbl[],6,0),"")</f>
        <v/>
      </c>
      <c r="H825" s="130" t="str">
        <f>_xlfn.IFNA(VLOOKUP(D825,ProductListTbl[],7,0),"")</f>
        <v/>
      </c>
      <c r="I825" s="130" t="str">
        <f>_xlfn.IFNA(VLOOKUP(D825,ProductListTbl[],8,0),"")</f>
        <v/>
      </c>
      <c r="J825" s="127"/>
      <c r="K825" s="129"/>
      <c r="L825" s="128"/>
      <c r="M825" s="305" t="str">
        <f>IFERROR(Table3[[#This Row],[Quantity (doses)]]/Table3[[#This Row],[Doses per vial or syringe]],"")</f>
        <v/>
      </c>
      <c r="N825" s="127"/>
      <c r="O825" s="127"/>
      <c r="P825" s="381"/>
      <c r="Q825" s="129"/>
      <c r="R825" s="127"/>
      <c r="S825" s="127"/>
      <c r="T825" s="127"/>
      <c r="U825" s="127"/>
      <c r="V825" s="305" t="str">
        <f>_xlfn.IFNA(VLOOKUP(D825,ProductListTbl[],9,0),"")</f>
        <v/>
      </c>
      <c r="W825" s="305" t="str">
        <f>IFERROR(Table3[[#This Row],[Storage space per secondary packaging (cm3)]]*Table3[[#This Row],[Quantity  (vials or syringes)]]/1000,"")</f>
        <v/>
      </c>
      <c r="X825" s="305" t="str">
        <f>IFERROR(Table3[[#This Row],[Storage space per tertiary packaging (cm3)]]*Table3[[#This Row],[Quantity (doses)]]/1000,"")</f>
        <v/>
      </c>
      <c r="Y825" s="293" t="str">
        <f>IF(Table3[[#This Row],[Status]]="Ordered",(DATE(YEAR(P825),MONTH(P825),1)),IF(Table3[[#This Row],[Status]]="Received",(DATE(YEAR(Q825),MONTH(Q825),1)),""))</f>
        <v/>
      </c>
      <c r="Z825" s="304" t="str">
        <f t="shared" si="48"/>
        <v/>
      </c>
      <c r="AA825" s="48" t="str">
        <f t="shared" si="49"/>
        <v/>
      </c>
      <c r="AB825" s="48" t="str">
        <f t="shared" si="50"/>
        <v/>
      </c>
      <c r="AC825" s="292" t="str">
        <f t="shared" si="51"/>
        <v/>
      </c>
      <c r="AD825" s="48" t="str">
        <f>IF(Table3[[#This Row],[Actual Arrival date]]&gt;0,IF(Table3[[#This Row],[Expected arrival date]]&gt;0,Table3[[#This Row],[Actual Arrival date]]-Table3[[#This Row],[Expected arrival date]],""),"")</f>
        <v/>
      </c>
    </row>
    <row r="826" spans="1:30" x14ac:dyDescent="0.25">
      <c r="A826" s="303" t="str">
        <f>Start!$D$7</f>
        <v>Anyland</v>
      </c>
      <c r="B826" s="48" t="str">
        <f>_xlfn.IFNA(VLOOKUP(A826,list!B:C,2,FALSE),"")</f>
        <v>ANY</v>
      </c>
      <c r="C826" s="48"/>
      <c r="D826" s="127"/>
      <c r="E826" s="48" t="str">
        <f>_xlfn.IFNA(VLOOKUP(Table3[[#This Row],[Product]], ProductListTbl[], 3, 0), "")</f>
        <v/>
      </c>
      <c r="F826" s="303" t="str">
        <f>_xlfn.IFNA(VLOOKUP(D826,ProductListTbl[],5,0),"")</f>
        <v/>
      </c>
      <c r="G826" s="303" t="str">
        <f>_xlfn.IFNA(VLOOKUP(D826,ProductListTbl[],6,0),"")</f>
        <v/>
      </c>
      <c r="H826" s="130" t="str">
        <f>_xlfn.IFNA(VLOOKUP(D826,ProductListTbl[],7,0),"")</f>
        <v/>
      </c>
      <c r="I826" s="130" t="str">
        <f>_xlfn.IFNA(VLOOKUP(D826,ProductListTbl[],8,0),"")</f>
        <v/>
      </c>
      <c r="J826" s="127"/>
      <c r="K826" s="129"/>
      <c r="L826" s="128"/>
      <c r="M826" s="305" t="str">
        <f>IFERROR(Table3[[#This Row],[Quantity (doses)]]/Table3[[#This Row],[Doses per vial or syringe]],"")</f>
        <v/>
      </c>
      <c r="N826" s="127"/>
      <c r="O826" s="127"/>
      <c r="P826" s="381"/>
      <c r="Q826" s="129"/>
      <c r="R826" s="127"/>
      <c r="S826" s="127"/>
      <c r="T826" s="127"/>
      <c r="U826" s="127"/>
      <c r="V826" s="305" t="str">
        <f>_xlfn.IFNA(VLOOKUP(D826,ProductListTbl[],9,0),"")</f>
        <v/>
      </c>
      <c r="W826" s="305" t="str">
        <f>IFERROR(Table3[[#This Row],[Storage space per secondary packaging (cm3)]]*Table3[[#This Row],[Quantity  (vials or syringes)]]/1000,"")</f>
        <v/>
      </c>
      <c r="X826" s="305" t="str">
        <f>IFERROR(Table3[[#This Row],[Storage space per tertiary packaging (cm3)]]*Table3[[#This Row],[Quantity (doses)]]/1000,"")</f>
        <v/>
      </c>
      <c r="Y826" s="293" t="str">
        <f>IF(Table3[[#This Row],[Status]]="Ordered",(DATE(YEAR(P826),MONTH(P826),1)),IF(Table3[[#This Row],[Status]]="Received",(DATE(YEAR(Q826),MONTH(Q826),1)),""))</f>
        <v/>
      </c>
      <c r="Z826" s="304" t="str">
        <f t="shared" si="48"/>
        <v/>
      </c>
      <c r="AA826" s="48" t="str">
        <f t="shared" si="49"/>
        <v/>
      </c>
      <c r="AB826" s="48" t="str">
        <f t="shared" si="50"/>
        <v/>
      </c>
      <c r="AC826" s="292" t="str">
        <f t="shared" si="51"/>
        <v/>
      </c>
      <c r="AD826" s="48" t="str">
        <f>IF(Table3[[#This Row],[Actual Arrival date]]&gt;0,IF(Table3[[#This Row],[Expected arrival date]]&gt;0,Table3[[#This Row],[Actual Arrival date]]-Table3[[#This Row],[Expected arrival date]],""),"")</f>
        <v/>
      </c>
    </row>
    <row r="827" spans="1:30" x14ac:dyDescent="0.25">
      <c r="A827" s="303" t="str">
        <f>Start!$D$7</f>
        <v>Anyland</v>
      </c>
      <c r="B827" s="48" t="str">
        <f>_xlfn.IFNA(VLOOKUP(A827,list!B:C,2,FALSE),"")</f>
        <v>ANY</v>
      </c>
      <c r="C827" s="48"/>
      <c r="D827" s="127"/>
      <c r="E827" s="48" t="str">
        <f>_xlfn.IFNA(VLOOKUP(Table3[[#This Row],[Product]], ProductListTbl[], 3, 0), "")</f>
        <v/>
      </c>
      <c r="F827" s="303" t="str">
        <f>_xlfn.IFNA(VLOOKUP(D827,ProductListTbl[],5,0),"")</f>
        <v/>
      </c>
      <c r="G827" s="303" t="str">
        <f>_xlfn.IFNA(VLOOKUP(D827,ProductListTbl[],6,0),"")</f>
        <v/>
      </c>
      <c r="H827" s="130" t="str">
        <f>_xlfn.IFNA(VLOOKUP(D827,ProductListTbl[],7,0),"")</f>
        <v/>
      </c>
      <c r="I827" s="130" t="str">
        <f>_xlfn.IFNA(VLOOKUP(D827,ProductListTbl[],8,0),"")</f>
        <v/>
      </c>
      <c r="J827" s="127"/>
      <c r="K827" s="129"/>
      <c r="L827" s="128"/>
      <c r="M827" s="305" t="str">
        <f>IFERROR(Table3[[#This Row],[Quantity (doses)]]/Table3[[#This Row],[Doses per vial or syringe]],"")</f>
        <v/>
      </c>
      <c r="N827" s="127"/>
      <c r="O827" s="127"/>
      <c r="P827" s="381"/>
      <c r="Q827" s="129"/>
      <c r="R827" s="127"/>
      <c r="S827" s="127"/>
      <c r="T827" s="127"/>
      <c r="U827" s="127"/>
      <c r="V827" s="305" t="str">
        <f>_xlfn.IFNA(VLOOKUP(D827,ProductListTbl[],9,0),"")</f>
        <v/>
      </c>
      <c r="W827" s="305" t="str">
        <f>IFERROR(Table3[[#This Row],[Storage space per secondary packaging (cm3)]]*Table3[[#This Row],[Quantity  (vials or syringes)]]/1000,"")</f>
        <v/>
      </c>
      <c r="X827" s="305" t="str">
        <f>IFERROR(Table3[[#This Row],[Storage space per tertiary packaging (cm3)]]*Table3[[#This Row],[Quantity (doses)]]/1000,"")</f>
        <v/>
      </c>
      <c r="Y827" s="293" t="str">
        <f>IF(Table3[[#This Row],[Status]]="Ordered",(DATE(YEAR(P827),MONTH(P827),1)),IF(Table3[[#This Row],[Status]]="Received",(DATE(YEAR(Q827),MONTH(Q827),1)),""))</f>
        <v/>
      </c>
      <c r="Z827" s="304" t="str">
        <f t="shared" si="48"/>
        <v/>
      </c>
      <c r="AA827" s="48" t="str">
        <f t="shared" si="49"/>
        <v/>
      </c>
      <c r="AB827" s="48" t="str">
        <f t="shared" si="50"/>
        <v/>
      </c>
      <c r="AC827" s="292" t="str">
        <f t="shared" si="51"/>
        <v/>
      </c>
      <c r="AD827" s="48" t="str">
        <f>IF(Table3[[#This Row],[Actual Arrival date]]&gt;0,IF(Table3[[#This Row],[Expected arrival date]]&gt;0,Table3[[#This Row],[Actual Arrival date]]-Table3[[#This Row],[Expected arrival date]],""),"")</f>
        <v/>
      </c>
    </row>
    <row r="828" spans="1:30" x14ac:dyDescent="0.25">
      <c r="A828" s="303" t="str">
        <f>Start!$D$7</f>
        <v>Anyland</v>
      </c>
      <c r="B828" s="48" t="str">
        <f>_xlfn.IFNA(VLOOKUP(A828,list!B:C,2,FALSE),"")</f>
        <v>ANY</v>
      </c>
      <c r="C828" s="48"/>
      <c r="D828" s="127"/>
      <c r="E828" s="48" t="str">
        <f>_xlfn.IFNA(VLOOKUP(Table3[[#This Row],[Product]], ProductListTbl[], 3, 0), "")</f>
        <v/>
      </c>
      <c r="F828" s="303" t="str">
        <f>_xlfn.IFNA(VLOOKUP(D828,ProductListTbl[],5,0),"")</f>
        <v/>
      </c>
      <c r="G828" s="303" t="str">
        <f>_xlfn.IFNA(VLOOKUP(D828,ProductListTbl[],6,0),"")</f>
        <v/>
      </c>
      <c r="H828" s="130" t="str">
        <f>_xlfn.IFNA(VLOOKUP(D828,ProductListTbl[],7,0),"")</f>
        <v/>
      </c>
      <c r="I828" s="130" t="str">
        <f>_xlfn.IFNA(VLOOKUP(D828,ProductListTbl[],8,0),"")</f>
        <v/>
      </c>
      <c r="J828" s="127"/>
      <c r="K828" s="129"/>
      <c r="L828" s="128"/>
      <c r="M828" s="305" t="str">
        <f>IFERROR(Table3[[#This Row],[Quantity (doses)]]/Table3[[#This Row],[Doses per vial or syringe]],"")</f>
        <v/>
      </c>
      <c r="N828" s="127"/>
      <c r="O828" s="127"/>
      <c r="P828" s="381"/>
      <c r="Q828" s="129"/>
      <c r="R828" s="127"/>
      <c r="S828" s="127"/>
      <c r="T828" s="127"/>
      <c r="U828" s="127"/>
      <c r="V828" s="305" t="str">
        <f>_xlfn.IFNA(VLOOKUP(D828,ProductListTbl[],9,0),"")</f>
        <v/>
      </c>
      <c r="W828" s="305" t="str">
        <f>IFERROR(Table3[[#This Row],[Storage space per secondary packaging (cm3)]]*Table3[[#This Row],[Quantity  (vials or syringes)]]/1000,"")</f>
        <v/>
      </c>
      <c r="X828" s="305" t="str">
        <f>IFERROR(Table3[[#This Row],[Storage space per tertiary packaging (cm3)]]*Table3[[#This Row],[Quantity (doses)]]/1000,"")</f>
        <v/>
      </c>
      <c r="Y828" s="293" t="str">
        <f>IF(Table3[[#This Row],[Status]]="Ordered",(DATE(YEAR(P828),MONTH(P828),1)),IF(Table3[[#This Row],[Status]]="Received",(DATE(YEAR(Q828),MONTH(Q828),1)),""))</f>
        <v/>
      </c>
      <c r="Z828" s="304" t="str">
        <f t="shared" si="48"/>
        <v/>
      </c>
      <c r="AA828" s="48" t="str">
        <f t="shared" si="49"/>
        <v/>
      </c>
      <c r="AB828" s="48" t="str">
        <f t="shared" si="50"/>
        <v/>
      </c>
      <c r="AC828" s="292" t="str">
        <f t="shared" si="51"/>
        <v/>
      </c>
      <c r="AD828" s="48" t="str">
        <f>IF(Table3[[#This Row],[Actual Arrival date]]&gt;0,IF(Table3[[#This Row],[Expected arrival date]]&gt;0,Table3[[#This Row],[Actual Arrival date]]-Table3[[#This Row],[Expected arrival date]],""),"")</f>
        <v/>
      </c>
    </row>
    <row r="829" spans="1:30" x14ac:dyDescent="0.25">
      <c r="A829" s="303" t="str">
        <f>Start!$D$7</f>
        <v>Anyland</v>
      </c>
      <c r="B829" s="48" t="str">
        <f>_xlfn.IFNA(VLOOKUP(A829,list!B:C,2,FALSE),"")</f>
        <v>ANY</v>
      </c>
      <c r="C829" s="48"/>
      <c r="D829" s="127"/>
      <c r="E829" s="48" t="str">
        <f>_xlfn.IFNA(VLOOKUP(Table3[[#This Row],[Product]], ProductListTbl[], 3, 0), "")</f>
        <v/>
      </c>
      <c r="F829" s="303" t="str">
        <f>_xlfn.IFNA(VLOOKUP(D829,ProductListTbl[],5,0),"")</f>
        <v/>
      </c>
      <c r="G829" s="303" t="str">
        <f>_xlfn.IFNA(VLOOKUP(D829,ProductListTbl[],6,0),"")</f>
        <v/>
      </c>
      <c r="H829" s="130" t="str">
        <f>_xlfn.IFNA(VLOOKUP(D829,ProductListTbl[],7,0),"")</f>
        <v/>
      </c>
      <c r="I829" s="130" t="str">
        <f>_xlfn.IFNA(VLOOKUP(D829,ProductListTbl[],8,0),"")</f>
        <v/>
      </c>
      <c r="J829" s="127"/>
      <c r="K829" s="129"/>
      <c r="L829" s="128"/>
      <c r="M829" s="305" t="str">
        <f>IFERROR(Table3[[#This Row],[Quantity (doses)]]/Table3[[#This Row],[Doses per vial or syringe]],"")</f>
        <v/>
      </c>
      <c r="N829" s="127"/>
      <c r="O829" s="127"/>
      <c r="P829" s="381"/>
      <c r="Q829" s="129"/>
      <c r="R829" s="127"/>
      <c r="S829" s="127"/>
      <c r="T829" s="127"/>
      <c r="U829" s="127"/>
      <c r="V829" s="305" t="str">
        <f>_xlfn.IFNA(VLOOKUP(D829,ProductListTbl[],9,0),"")</f>
        <v/>
      </c>
      <c r="W829" s="305" t="str">
        <f>IFERROR(Table3[[#This Row],[Storage space per secondary packaging (cm3)]]*Table3[[#This Row],[Quantity  (vials or syringes)]]/1000,"")</f>
        <v/>
      </c>
      <c r="X829" s="305" t="str">
        <f>IFERROR(Table3[[#This Row],[Storage space per tertiary packaging (cm3)]]*Table3[[#This Row],[Quantity (doses)]]/1000,"")</f>
        <v/>
      </c>
      <c r="Y829" s="293" t="str">
        <f>IF(Table3[[#This Row],[Status]]="Ordered",(DATE(YEAR(P829),MONTH(P829),1)),IF(Table3[[#This Row],[Status]]="Received",(DATE(YEAR(Q829),MONTH(Q829),1)),""))</f>
        <v/>
      </c>
      <c r="Z829" s="304" t="str">
        <f t="shared" si="48"/>
        <v/>
      </c>
      <c r="AA829" s="48" t="str">
        <f t="shared" si="49"/>
        <v/>
      </c>
      <c r="AB829" s="48" t="str">
        <f t="shared" si="50"/>
        <v/>
      </c>
      <c r="AC829" s="292" t="str">
        <f t="shared" si="51"/>
        <v/>
      </c>
      <c r="AD829" s="48" t="str">
        <f>IF(Table3[[#This Row],[Actual Arrival date]]&gt;0,IF(Table3[[#This Row],[Expected arrival date]]&gt;0,Table3[[#This Row],[Actual Arrival date]]-Table3[[#This Row],[Expected arrival date]],""),"")</f>
        <v/>
      </c>
    </row>
    <row r="830" spans="1:30" x14ac:dyDescent="0.25">
      <c r="A830" s="303" t="str">
        <f>Start!$D$7</f>
        <v>Anyland</v>
      </c>
      <c r="B830" s="48" t="str">
        <f>_xlfn.IFNA(VLOOKUP(A830,list!B:C,2,FALSE),"")</f>
        <v>ANY</v>
      </c>
      <c r="C830" s="48"/>
      <c r="D830" s="127"/>
      <c r="E830" s="48" t="str">
        <f>_xlfn.IFNA(VLOOKUP(Table3[[#This Row],[Product]], ProductListTbl[], 3, 0), "")</f>
        <v/>
      </c>
      <c r="F830" s="303" t="str">
        <f>_xlfn.IFNA(VLOOKUP(D830,ProductListTbl[],5,0),"")</f>
        <v/>
      </c>
      <c r="G830" s="303" t="str">
        <f>_xlfn.IFNA(VLOOKUP(D830,ProductListTbl[],6,0),"")</f>
        <v/>
      </c>
      <c r="H830" s="130" t="str">
        <f>_xlfn.IFNA(VLOOKUP(D830,ProductListTbl[],7,0),"")</f>
        <v/>
      </c>
      <c r="I830" s="130" t="str">
        <f>_xlfn.IFNA(VLOOKUP(D830,ProductListTbl[],8,0),"")</f>
        <v/>
      </c>
      <c r="J830" s="127"/>
      <c r="K830" s="129"/>
      <c r="L830" s="128"/>
      <c r="M830" s="305" t="str">
        <f>IFERROR(Table3[[#This Row],[Quantity (doses)]]/Table3[[#This Row],[Doses per vial or syringe]],"")</f>
        <v/>
      </c>
      <c r="N830" s="127"/>
      <c r="O830" s="127"/>
      <c r="P830" s="381"/>
      <c r="Q830" s="129"/>
      <c r="R830" s="127"/>
      <c r="S830" s="127"/>
      <c r="T830" s="127"/>
      <c r="U830" s="127"/>
      <c r="V830" s="305" t="str">
        <f>_xlfn.IFNA(VLOOKUP(D830,ProductListTbl[],9,0),"")</f>
        <v/>
      </c>
      <c r="W830" s="305" t="str">
        <f>IFERROR(Table3[[#This Row],[Storage space per secondary packaging (cm3)]]*Table3[[#This Row],[Quantity  (vials or syringes)]]/1000,"")</f>
        <v/>
      </c>
      <c r="X830" s="305" t="str">
        <f>IFERROR(Table3[[#This Row],[Storage space per tertiary packaging (cm3)]]*Table3[[#This Row],[Quantity (doses)]]/1000,"")</f>
        <v/>
      </c>
      <c r="Y830" s="293" t="str">
        <f>IF(Table3[[#This Row],[Status]]="Ordered",(DATE(YEAR(P830),MONTH(P830),1)),IF(Table3[[#This Row],[Status]]="Received",(DATE(YEAR(Q830),MONTH(Q830),1)),""))</f>
        <v/>
      </c>
      <c r="Z830" s="304" t="str">
        <f t="shared" si="48"/>
        <v/>
      </c>
      <c r="AA830" s="48" t="str">
        <f t="shared" si="49"/>
        <v/>
      </c>
      <c r="AB830" s="48" t="str">
        <f t="shared" si="50"/>
        <v/>
      </c>
      <c r="AC830" s="292" t="str">
        <f t="shared" si="51"/>
        <v/>
      </c>
      <c r="AD830" s="48" t="str">
        <f>IF(Table3[[#This Row],[Actual Arrival date]]&gt;0,IF(Table3[[#This Row],[Expected arrival date]]&gt;0,Table3[[#This Row],[Actual Arrival date]]-Table3[[#This Row],[Expected arrival date]],""),"")</f>
        <v/>
      </c>
    </row>
    <row r="831" spans="1:30" x14ac:dyDescent="0.25">
      <c r="A831" s="303" t="str">
        <f>Start!$D$7</f>
        <v>Anyland</v>
      </c>
      <c r="B831" s="48" t="str">
        <f>_xlfn.IFNA(VLOOKUP(A831,list!B:C,2,FALSE),"")</f>
        <v>ANY</v>
      </c>
      <c r="C831" s="48"/>
      <c r="D831" s="127"/>
      <c r="E831" s="48" t="str">
        <f>_xlfn.IFNA(VLOOKUP(Table3[[#This Row],[Product]], ProductListTbl[], 3, 0), "")</f>
        <v/>
      </c>
      <c r="F831" s="303" t="str">
        <f>_xlfn.IFNA(VLOOKUP(D831,ProductListTbl[],5,0),"")</f>
        <v/>
      </c>
      <c r="G831" s="303" t="str">
        <f>_xlfn.IFNA(VLOOKUP(D831,ProductListTbl[],6,0),"")</f>
        <v/>
      </c>
      <c r="H831" s="130" t="str">
        <f>_xlfn.IFNA(VLOOKUP(D831,ProductListTbl[],7,0),"")</f>
        <v/>
      </c>
      <c r="I831" s="130" t="str">
        <f>_xlfn.IFNA(VLOOKUP(D831,ProductListTbl[],8,0),"")</f>
        <v/>
      </c>
      <c r="J831" s="127"/>
      <c r="K831" s="129"/>
      <c r="L831" s="128"/>
      <c r="M831" s="305" t="str">
        <f>IFERROR(Table3[[#This Row],[Quantity (doses)]]/Table3[[#This Row],[Doses per vial or syringe]],"")</f>
        <v/>
      </c>
      <c r="N831" s="127"/>
      <c r="O831" s="127"/>
      <c r="P831" s="381"/>
      <c r="Q831" s="129"/>
      <c r="R831" s="127"/>
      <c r="S831" s="127"/>
      <c r="T831" s="127"/>
      <c r="U831" s="127"/>
      <c r="V831" s="305" t="str">
        <f>_xlfn.IFNA(VLOOKUP(D831,ProductListTbl[],9,0),"")</f>
        <v/>
      </c>
      <c r="W831" s="305" t="str">
        <f>IFERROR(Table3[[#This Row],[Storage space per secondary packaging (cm3)]]*Table3[[#This Row],[Quantity  (vials or syringes)]]/1000,"")</f>
        <v/>
      </c>
      <c r="X831" s="305" t="str">
        <f>IFERROR(Table3[[#This Row],[Storage space per tertiary packaging (cm3)]]*Table3[[#This Row],[Quantity (doses)]]/1000,"")</f>
        <v/>
      </c>
      <c r="Y831" s="293" t="str">
        <f>IF(Table3[[#This Row],[Status]]="Ordered",(DATE(YEAR(P831),MONTH(P831),1)),IF(Table3[[#This Row],[Status]]="Received",(DATE(YEAR(Q831),MONTH(Q831),1)),""))</f>
        <v/>
      </c>
      <c r="Z831" s="304" t="str">
        <f t="shared" si="48"/>
        <v/>
      </c>
      <c r="AA831" s="48" t="str">
        <f t="shared" si="49"/>
        <v/>
      </c>
      <c r="AB831" s="48" t="str">
        <f t="shared" si="50"/>
        <v/>
      </c>
      <c r="AC831" s="292" t="str">
        <f t="shared" si="51"/>
        <v/>
      </c>
      <c r="AD831" s="48" t="str">
        <f>IF(Table3[[#This Row],[Actual Arrival date]]&gt;0,IF(Table3[[#This Row],[Expected arrival date]]&gt;0,Table3[[#This Row],[Actual Arrival date]]-Table3[[#This Row],[Expected arrival date]],""),"")</f>
        <v/>
      </c>
    </row>
    <row r="832" spans="1:30" x14ac:dyDescent="0.25">
      <c r="A832" s="303" t="str">
        <f>Start!$D$7</f>
        <v>Anyland</v>
      </c>
      <c r="B832" s="48" t="str">
        <f>_xlfn.IFNA(VLOOKUP(A832,list!B:C,2,FALSE),"")</f>
        <v>ANY</v>
      </c>
      <c r="C832" s="48"/>
      <c r="D832" s="127"/>
      <c r="E832" s="48" t="str">
        <f>_xlfn.IFNA(VLOOKUP(Table3[[#This Row],[Product]], ProductListTbl[], 3, 0), "")</f>
        <v/>
      </c>
      <c r="F832" s="303" t="str">
        <f>_xlfn.IFNA(VLOOKUP(D832,ProductListTbl[],5,0),"")</f>
        <v/>
      </c>
      <c r="G832" s="303" t="str">
        <f>_xlfn.IFNA(VLOOKUP(D832,ProductListTbl[],6,0),"")</f>
        <v/>
      </c>
      <c r="H832" s="130" t="str">
        <f>_xlfn.IFNA(VLOOKUP(D832,ProductListTbl[],7,0),"")</f>
        <v/>
      </c>
      <c r="I832" s="130" t="str">
        <f>_xlfn.IFNA(VLOOKUP(D832,ProductListTbl[],8,0),"")</f>
        <v/>
      </c>
      <c r="J832" s="127"/>
      <c r="K832" s="129"/>
      <c r="L832" s="128"/>
      <c r="M832" s="305" t="str">
        <f>IFERROR(Table3[[#This Row],[Quantity (doses)]]/Table3[[#This Row],[Doses per vial or syringe]],"")</f>
        <v/>
      </c>
      <c r="N832" s="127"/>
      <c r="O832" s="127"/>
      <c r="P832" s="381"/>
      <c r="Q832" s="129"/>
      <c r="R832" s="127"/>
      <c r="S832" s="127"/>
      <c r="T832" s="127"/>
      <c r="U832" s="127"/>
      <c r="V832" s="305" t="str">
        <f>_xlfn.IFNA(VLOOKUP(D832,ProductListTbl[],9,0),"")</f>
        <v/>
      </c>
      <c r="W832" s="305" t="str">
        <f>IFERROR(Table3[[#This Row],[Storage space per secondary packaging (cm3)]]*Table3[[#This Row],[Quantity  (vials or syringes)]]/1000,"")</f>
        <v/>
      </c>
      <c r="X832" s="305" t="str">
        <f>IFERROR(Table3[[#This Row],[Storage space per tertiary packaging (cm3)]]*Table3[[#This Row],[Quantity (doses)]]/1000,"")</f>
        <v/>
      </c>
      <c r="Y832" s="293" t="str">
        <f>IF(Table3[[#This Row],[Status]]="Ordered",(DATE(YEAR(P832),MONTH(P832),1)),IF(Table3[[#This Row],[Status]]="Received",(DATE(YEAR(Q832),MONTH(Q832),1)),""))</f>
        <v/>
      </c>
      <c r="Z832" s="304" t="str">
        <f t="shared" si="48"/>
        <v/>
      </c>
      <c r="AA832" s="48" t="str">
        <f t="shared" si="49"/>
        <v/>
      </c>
      <c r="AB832" s="48" t="str">
        <f t="shared" si="50"/>
        <v/>
      </c>
      <c r="AC832" s="292" t="str">
        <f t="shared" si="51"/>
        <v/>
      </c>
      <c r="AD832" s="48" t="str">
        <f>IF(Table3[[#This Row],[Actual Arrival date]]&gt;0,IF(Table3[[#This Row],[Expected arrival date]]&gt;0,Table3[[#This Row],[Actual Arrival date]]-Table3[[#This Row],[Expected arrival date]],""),"")</f>
        <v/>
      </c>
    </row>
    <row r="833" spans="1:30" x14ac:dyDescent="0.25">
      <c r="A833" s="303" t="str">
        <f>Start!$D$7</f>
        <v>Anyland</v>
      </c>
      <c r="B833" s="48" t="str">
        <f>_xlfn.IFNA(VLOOKUP(A833,list!B:C,2,FALSE),"")</f>
        <v>ANY</v>
      </c>
      <c r="C833" s="48"/>
      <c r="D833" s="127"/>
      <c r="E833" s="48" t="str">
        <f>_xlfn.IFNA(VLOOKUP(Table3[[#This Row],[Product]], ProductListTbl[], 3, 0), "")</f>
        <v/>
      </c>
      <c r="F833" s="303" t="str">
        <f>_xlfn.IFNA(VLOOKUP(D833,ProductListTbl[],5,0),"")</f>
        <v/>
      </c>
      <c r="G833" s="303" t="str">
        <f>_xlfn.IFNA(VLOOKUP(D833,ProductListTbl[],6,0),"")</f>
        <v/>
      </c>
      <c r="H833" s="130" t="str">
        <f>_xlfn.IFNA(VLOOKUP(D833,ProductListTbl[],7,0),"")</f>
        <v/>
      </c>
      <c r="I833" s="130" t="str">
        <f>_xlfn.IFNA(VLOOKUP(D833,ProductListTbl[],8,0),"")</f>
        <v/>
      </c>
      <c r="J833" s="127"/>
      <c r="K833" s="129"/>
      <c r="L833" s="128"/>
      <c r="M833" s="305" t="str">
        <f>IFERROR(Table3[[#This Row],[Quantity (doses)]]/Table3[[#This Row],[Doses per vial or syringe]],"")</f>
        <v/>
      </c>
      <c r="N833" s="127"/>
      <c r="O833" s="127"/>
      <c r="P833" s="381"/>
      <c r="Q833" s="129"/>
      <c r="R833" s="127"/>
      <c r="S833" s="127"/>
      <c r="T833" s="127"/>
      <c r="U833" s="127"/>
      <c r="V833" s="305" t="str">
        <f>_xlfn.IFNA(VLOOKUP(D833,ProductListTbl[],9,0),"")</f>
        <v/>
      </c>
      <c r="W833" s="305" t="str">
        <f>IFERROR(Table3[[#This Row],[Storage space per secondary packaging (cm3)]]*Table3[[#This Row],[Quantity  (vials or syringes)]]/1000,"")</f>
        <v/>
      </c>
      <c r="X833" s="305" t="str">
        <f>IFERROR(Table3[[#This Row],[Storage space per tertiary packaging (cm3)]]*Table3[[#This Row],[Quantity (doses)]]/1000,"")</f>
        <v/>
      </c>
      <c r="Y833" s="293" t="str">
        <f>IF(Table3[[#This Row],[Status]]="Ordered",(DATE(YEAR(P833),MONTH(P833),1)),IF(Table3[[#This Row],[Status]]="Received",(DATE(YEAR(Q833),MONTH(Q833),1)),""))</f>
        <v/>
      </c>
      <c r="Z833" s="304" t="str">
        <f t="shared" si="48"/>
        <v/>
      </c>
      <c r="AA833" s="48" t="str">
        <f t="shared" si="49"/>
        <v/>
      </c>
      <c r="AB833" s="48" t="str">
        <f t="shared" si="50"/>
        <v/>
      </c>
      <c r="AC833" s="292" t="str">
        <f t="shared" si="51"/>
        <v/>
      </c>
      <c r="AD833" s="48" t="str">
        <f>IF(Table3[[#This Row],[Actual Arrival date]]&gt;0,IF(Table3[[#This Row],[Expected arrival date]]&gt;0,Table3[[#This Row],[Actual Arrival date]]-Table3[[#This Row],[Expected arrival date]],""),"")</f>
        <v/>
      </c>
    </row>
    <row r="834" spans="1:30" x14ac:dyDescent="0.25">
      <c r="A834" s="303" t="str">
        <f>Start!$D$7</f>
        <v>Anyland</v>
      </c>
      <c r="B834" s="48" t="str">
        <f>_xlfn.IFNA(VLOOKUP(A834,list!B:C,2,FALSE),"")</f>
        <v>ANY</v>
      </c>
      <c r="C834" s="48"/>
      <c r="D834" s="127"/>
      <c r="E834" s="48" t="str">
        <f>_xlfn.IFNA(VLOOKUP(Table3[[#This Row],[Product]], ProductListTbl[], 3, 0), "")</f>
        <v/>
      </c>
      <c r="F834" s="303" t="str">
        <f>_xlfn.IFNA(VLOOKUP(D834,ProductListTbl[],5,0),"")</f>
        <v/>
      </c>
      <c r="G834" s="303" t="str">
        <f>_xlfn.IFNA(VLOOKUP(D834,ProductListTbl[],6,0),"")</f>
        <v/>
      </c>
      <c r="H834" s="130" t="str">
        <f>_xlfn.IFNA(VLOOKUP(D834,ProductListTbl[],7,0),"")</f>
        <v/>
      </c>
      <c r="I834" s="130" t="str">
        <f>_xlfn.IFNA(VLOOKUP(D834,ProductListTbl[],8,0),"")</f>
        <v/>
      </c>
      <c r="J834" s="127"/>
      <c r="K834" s="129"/>
      <c r="L834" s="128"/>
      <c r="M834" s="305" t="str">
        <f>IFERROR(Table3[[#This Row],[Quantity (doses)]]/Table3[[#This Row],[Doses per vial or syringe]],"")</f>
        <v/>
      </c>
      <c r="N834" s="127"/>
      <c r="O834" s="127"/>
      <c r="P834" s="381"/>
      <c r="Q834" s="129"/>
      <c r="R834" s="127"/>
      <c r="S834" s="127"/>
      <c r="T834" s="127"/>
      <c r="U834" s="127"/>
      <c r="V834" s="305" t="str">
        <f>_xlfn.IFNA(VLOOKUP(D834,ProductListTbl[],9,0),"")</f>
        <v/>
      </c>
      <c r="W834" s="305" t="str">
        <f>IFERROR(Table3[[#This Row],[Storage space per secondary packaging (cm3)]]*Table3[[#This Row],[Quantity  (vials or syringes)]]/1000,"")</f>
        <v/>
      </c>
      <c r="X834" s="305" t="str">
        <f>IFERROR(Table3[[#This Row],[Storage space per tertiary packaging (cm3)]]*Table3[[#This Row],[Quantity (doses)]]/1000,"")</f>
        <v/>
      </c>
      <c r="Y834" s="293" t="str">
        <f>IF(Table3[[#This Row],[Status]]="Ordered",(DATE(YEAR(P834),MONTH(P834),1)),IF(Table3[[#This Row],[Status]]="Received",(DATE(YEAR(Q834),MONTH(Q834),1)),""))</f>
        <v/>
      </c>
      <c r="Z834" s="304" t="str">
        <f t="shared" si="48"/>
        <v/>
      </c>
      <c r="AA834" s="48" t="str">
        <f t="shared" si="49"/>
        <v/>
      </c>
      <c r="AB834" s="48" t="str">
        <f t="shared" si="50"/>
        <v/>
      </c>
      <c r="AC834" s="292" t="str">
        <f t="shared" si="51"/>
        <v/>
      </c>
      <c r="AD834" s="48" t="str">
        <f>IF(Table3[[#This Row],[Actual Arrival date]]&gt;0,IF(Table3[[#This Row],[Expected arrival date]]&gt;0,Table3[[#This Row],[Actual Arrival date]]-Table3[[#This Row],[Expected arrival date]],""),"")</f>
        <v/>
      </c>
    </row>
    <row r="835" spans="1:30" x14ac:dyDescent="0.25">
      <c r="A835" s="303" t="str">
        <f>Start!$D$7</f>
        <v>Anyland</v>
      </c>
      <c r="B835" s="48" t="str">
        <f>_xlfn.IFNA(VLOOKUP(A835,list!B:C,2,FALSE),"")</f>
        <v>ANY</v>
      </c>
      <c r="C835" s="48"/>
      <c r="D835" s="127"/>
      <c r="E835" s="48" t="str">
        <f>_xlfn.IFNA(VLOOKUP(Table3[[#This Row],[Product]], ProductListTbl[], 3, 0), "")</f>
        <v/>
      </c>
      <c r="F835" s="303" t="str">
        <f>_xlfn.IFNA(VLOOKUP(D835,ProductListTbl[],5,0),"")</f>
        <v/>
      </c>
      <c r="G835" s="303" t="str">
        <f>_xlfn.IFNA(VLOOKUP(D835,ProductListTbl[],6,0),"")</f>
        <v/>
      </c>
      <c r="H835" s="130" t="str">
        <f>_xlfn.IFNA(VLOOKUP(D835,ProductListTbl[],7,0),"")</f>
        <v/>
      </c>
      <c r="I835" s="130" t="str">
        <f>_xlfn.IFNA(VLOOKUP(D835,ProductListTbl[],8,0),"")</f>
        <v/>
      </c>
      <c r="J835" s="127"/>
      <c r="K835" s="129"/>
      <c r="L835" s="128"/>
      <c r="M835" s="305" t="str">
        <f>IFERROR(Table3[[#This Row],[Quantity (doses)]]/Table3[[#This Row],[Doses per vial or syringe]],"")</f>
        <v/>
      </c>
      <c r="N835" s="127"/>
      <c r="O835" s="127"/>
      <c r="P835" s="381"/>
      <c r="Q835" s="129"/>
      <c r="R835" s="127"/>
      <c r="S835" s="127"/>
      <c r="T835" s="127"/>
      <c r="U835" s="127"/>
      <c r="V835" s="305" t="str">
        <f>_xlfn.IFNA(VLOOKUP(D835,ProductListTbl[],9,0),"")</f>
        <v/>
      </c>
      <c r="W835" s="305" t="str">
        <f>IFERROR(Table3[[#This Row],[Storage space per secondary packaging (cm3)]]*Table3[[#This Row],[Quantity  (vials or syringes)]]/1000,"")</f>
        <v/>
      </c>
      <c r="X835" s="305" t="str">
        <f>IFERROR(Table3[[#This Row],[Storage space per tertiary packaging (cm3)]]*Table3[[#This Row],[Quantity (doses)]]/1000,"")</f>
        <v/>
      </c>
      <c r="Y835" s="293" t="str">
        <f>IF(Table3[[#This Row],[Status]]="Ordered",(DATE(YEAR(P835),MONTH(P835),1)),IF(Table3[[#This Row],[Status]]="Received",(DATE(YEAR(Q835),MONTH(Q835),1)),""))</f>
        <v/>
      </c>
      <c r="Z835" s="304" t="str">
        <f t="shared" si="48"/>
        <v/>
      </c>
      <c r="AA835" s="48" t="str">
        <f t="shared" si="49"/>
        <v/>
      </c>
      <c r="AB835" s="48" t="str">
        <f t="shared" si="50"/>
        <v/>
      </c>
      <c r="AC835" s="292" t="str">
        <f t="shared" si="51"/>
        <v/>
      </c>
      <c r="AD835" s="48" t="str">
        <f>IF(Table3[[#This Row],[Actual Arrival date]]&gt;0,IF(Table3[[#This Row],[Expected arrival date]]&gt;0,Table3[[#This Row],[Actual Arrival date]]-Table3[[#This Row],[Expected arrival date]],""),"")</f>
        <v/>
      </c>
    </row>
    <row r="836" spans="1:30" x14ac:dyDescent="0.25">
      <c r="A836" s="303" t="str">
        <f>Start!$D$7</f>
        <v>Anyland</v>
      </c>
      <c r="B836" s="48" t="str">
        <f>_xlfn.IFNA(VLOOKUP(A836,list!B:C,2,FALSE),"")</f>
        <v>ANY</v>
      </c>
      <c r="C836" s="48"/>
      <c r="D836" s="127"/>
      <c r="E836" s="48" t="str">
        <f>_xlfn.IFNA(VLOOKUP(Table3[[#This Row],[Product]], ProductListTbl[], 3, 0), "")</f>
        <v/>
      </c>
      <c r="F836" s="303" t="str">
        <f>_xlfn.IFNA(VLOOKUP(D836,ProductListTbl[],5,0),"")</f>
        <v/>
      </c>
      <c r="G836" s="303" t="str">
        <f>_xlfn.IFNA(VLOOKUP(D836,ProductListTbl[],6,0),"")</f>
        <v/>
      </c>
      <c r="H836" s="130" t="str">
        <f>_xlfn.IFNA(VLOOKUP(D836,ProductListTbl[],7,0),"")</f>
        <v/>
      </c>
      <c r="I836" s="130" t="str">
        <f>_xlfn.IFNA(VLOOKUP(D836,ProductListTbl[],8,0),"")</f>
        <v/>
      </c>
      <c r="J836" s="127"/>
      <c r="K836" s="129"/>
      <c r="L836" s="128"/>
      <c r="M836" s="305" t="str">
        <f>IFERROR(Table3[[#This Row],[Quantity (doses)]]/Table3[[#This Row],[Doses per vial or syringe]],"")</f>
        <v/>
      </c>
      <c r="N836" s="127"/>
      <c r="O836" s="127"/>
      <c r="P836" s="381"/>
      <c r="Q836" s="129"/>
      <c r="R836" s="127"/>
      <c r="S836" s="127"/>
      <c r="T836" s="127"/>
      <c r="U836" s="127"/>
      <c r="V836" s="305" t="str">
        <f>_xlfn.IFNA(VLOOKUP(D836,ProductListTbl[],9,0),"")</f>
        <v/>
      </c>
      <c r="W836" s="305" t="str">
        <f>IFERROR(Table3[[#This Row],[Storage space per secondary packaging (cm3)]]*Table3[[#This Row],[Quantity  (vials or syringes)]]/1000,"")</f>
        <v/>
      </c>
      <c r="X836" s="305" t="str">
        <f>IFERROR(Table3[[#This Row],[Storage space per tertiary packaging (cm3)]]*Table3[[#This Row],[Quantity (doses)]]/1000,"")</f>
        <v/>
      </c>
      <c r="Y836" s="293" t="str">
        <f>IF(Table3[[#This Row],[Status]]="Ordered",(DATE(YEAR(P836),MONTH(P836),1)),IF(Table3[[#This Row],[Status]]="Received",(DATE(YEAR(Q836),MONTH(Q836),1)),""))</f>
        <v/>
      </c>
      <c r="Z836" s="304" t="str">
        <f t="shared" si="48"/>
        <v/>
      </c>
      <c r="AA836" s="48" t="str">
        <f t="shared" si="49"/>
        <v/>
      </c>
      <c r="AB836" s="48" t="str">
        <f t="shared" si="50"/>
        <v/>
      </c>
      <c r="AC836" s="292" t="str">
        <f t="shared" si="51"/>
        <v/>
      </c>
      <c r="AD836" s="48" t="str">
        <f>IF(Table3[[#This Row],[Actual Arrival date]]&gt;0,IF(Table3[[#This Row],[Expected arrival date]]&gt;0,Table3[[#This Row],[Actual Arrival date]]-Table3[[#This Row],[Expected arrival date]],""),"")</f>
        <v/>
      </c>
    </row>
    <row r="837" spans="1:30" x14ac:dyDescent="0.25">
      <c r="A837" s="303" t="str">
        <f>Start!$D$7</f>
        <v>Anyland</v>
      </c>
      <c r="B837" s="48" t="str">
        <f>_xlfn.IFNA(VLOOKUP(A837,list!B:C,2,FALSE),"")</f>
        <v>ANY</v>
      </c>
      <c r="C837" s="48"/>
      <c r="D837" s="127"/>
      <c r="E837" s="48" t="str">
        <f>_xlfn.IFNA(VLOOKUP(Table3[[#This Row],[Product]], ProductListTbl[], 3, 0), "")</f>
        <v/>
      </c>
      <c r="F837" s="303" t="str">
        <f>_xlfn.IFNA(VLOOKUP(D837,ProductListTbl[],5,0),"")</f>
        <v/>
      </c>
      <c r="G837" s="303" t="str">
        <f>_xlfn.IFNA(VLOOKUP(D837,ProductListTbl[],6,0),"")</f>
        <v/>
      </c>
      <c r="H837" s="130" t="str">
        <f>_xlfn.IFNA(VLOOKUP(D837,ProductListTbl[],7,0),"")</f>
        <v/>
      </c>
      <c r="I837" s="130" t="str">
        <f>_xlfn.IFNA(VLOOKUP(D837,ProductListTbl[],8,0),"")</f>
        <v/>
      </c>
      <c r="J837" s="127"/>
      <c r="K837" s="129"/>
      <c r="L837" s="128"/>
      <c r="M837" s="305" t="str">
        <f>IFERROR(Table3[[#This Row],[Quantity (doses)]]/Table3[[#This Row],[Doses per vial or syringe]],"")</f>
        <v/>
      </c>
      <c r="N837" s="127"/>
      <c r="O837" s="127"/>
      <c r="P837" s="381"/>
      <c r="Q837" s="129"/>
      <c r="R837" s="127"/>
      <c r="S837" s="127"/>
      <c r="T837" s="127"/>
      <c r="U837" s="127"/>
      <c r="V837" s="305" t="str">
        <f>_xlfn.IFNA(VLOOKUP(D837,ProductListTbl[],9,0),"")</f>
        <v/>
      </c>
      <c r="W837" s="305" t="str">
        <f>IFERROR(Table3[[#This Row],[Storage space per secondary packaging (cm3)]]*Table3[[#This Row],[Quantity  (vials or syringes)]]/1000,"")</f>
        <v/>
      </c>
      <c r="X837" s="305" t="str">
        <f>IFERROR(Table3[[#This Row],[Storage space per tertiary packaging (cm3)]]*Table3[[#This Row],[Quantity (doses)]]/1000,"")</f>
        <v/>
      </c>
      <c r="Y837" s="293" t="str">
        <f>IF(Table3[[#This Row],[Status]]="Ordered",(DATE(YEAR(P837),MONTH(P837),1)),IF(Table3[[#This Row],[Status]]="Received",(DATE(YEAR(Q837),MONTH(Q837),1)),""))</f>
        <v/>
      </c>
      <c r="Z837" s="304" t="str">
        <f t="shared" ref="Z837:Z900" si="52">IFERROR(IF(K837&gt;0,((K837-Q837)/(365.25/12)),""),"")</f>
        <v/>
      </c>
      <c r="AA837" s="48" t="str">
        <f t="shared" ref="AA837:AA900" si="53">IFERROR(IF(K837="","",MONTH(EOMONTH(K837,(DAY(K837)&gt;15)+0))),"")</f>
        <v/>
      </c>
      <c r="AB837" s="48" t="str">
        <f t="shared" ref="AB837:AB900" si="54">IFERROR(IF(K837="","",IF(AND(MONTH(K837)=12,AA837=1),YEAR(K837)+1,YEAR(K837))),"")</f>
        <v/>
      </c>
      <c r="AC837" s="292" t="str">
        <f t="shared" ref="AC837:AC900" si="55">IF(OR(AA837="",AB837=""),"",DATE(AB837,AA837,1))</f>
        <v/>
      </c>
      <c r="AD837" s="48" t="str">
        <f>IF(Table3[[#This Row],[Actual Arrival date]]&gt;0,IF(Table3[[#This Row],[Expected arrival date]]&gt;0,Table3[[#This Row],[Actual Arrival date]]-Table3[[#This Row],[Expected arrival date]],""),"")</f>
        <v/>
      </c>
    </row>
    <row r="838" spans="1:30" x14ac:dyDescent="0.25">
      <c r="A838" s="303" t="str">
        <f>Start!$D$7</f>
        <v>Anyland</v>
      </c>
      <c r="B838" s="48" t="str">
        <f>_xlfn.IFNA(VLOOKUP(A838,list!B:C,2,FALSE),"")</f>
        <v>ANY</v>
      </c>
      <c r="C838" s="48"/>
      <c r="D838" s="127"/>
      <c r="E838" s="48" t="str">
        <f>_xlfn.IFNA(VLOOKUP(Table3[[#This Row],[Product]], ProductListTbl[], 3, 0), "")</f>
        <v/>
      </c>
      <c r="F838" s="303" t="str">
        <f>_xlfn.IFNA(VLOOKUP(D838,ProductListTbl[],5,0),"")</f>
        <v/>
      </c>
      <c r="G838" s="303" t="str">
        <f>_xlfn.IFNA(VLOOKUP(D838,ProductListTbl[],6,0),"")</f>
        <v/>
      </c>
      <c r="H838" s="130" t="str">
        <f>_xlfn.IFNA(VLOOKUP(D838,ProductListTbl[],7,0),"")</f>
        <v/>
      </c>
      <c r="I838" s="130" t="str">
        <f>_xlfn.IFNA(VLOOKUP(D838,ProductListTbl[],8,0),"")</f>
        <v/>
      </c>
      <c r="J838" s="127"/>
      <c r="K838" s="129"/>
      <c r="L838" s="128"/>
      <c r="M838" s="305" t="str">
        <f>IFERROR(Table3[[#This Row],[Quantity (doses)]]/Table3[[#This Row],[Doses per vial or syringe]],"")</f>
        <v/>
      </c>
      <c r="N838" s="127"/>
      <c r="O838" s="127"/>
      <c r="P838" s="381"/>
      <c r="Q838" s="129"/>
      <c r="R838" s="127"/>
      <c r="S838" s="127"/>
      <c r="T838" s="127"/>
      <c r="U838" s="127"/>
      <c r="V838" s="305" t="str">
        <f>_xlfn.IFNA(VLOOKUP(D838,ProductListTbl[],9,0),"")</f>
        <v/>
      </c>
      <c r="W838" s="305" t="str">
        <f>IFERROR(Table3[[#This Row],[Storage space per secondary packaging (cm3)]]*Table3[[#This Row],[Quantity  (vials or syringes)]]/1000,"")</f>
        <v/>
      </c>
      <c r="X838" s="305" t="str">
        <f>IFERROR(Table3[[#This Row],[Storage space per tertiary packaging (cm3)]]*Table3[[#This Row],[Quantity (doses)]]/1000,"")</f>
        <v/>
      </c>
      <c r="Y838" s="293" t="str">
        <f>IF(Table3[[#This Row],[Status]]="Ordered",(DATE(YEAR(P838),MONTH(P838),1)),IF(Table3[[#This Row],[Status]]="Received",(DATE(YEAR(Q838),MONTH(Q838),1)),""))</f>
        <v/>
      </c>
      <c r="Z838" s="304" t="str">
        <f t="shared" si="52"/>
        <v/>
      </c>
      <c r="AA838" s="48" t="str">
        <f t="shared" si="53"/>
        <v/>
      </c>
      <c r="AB838" s="48" t="str">
        <f t="shared" si="54"/>
        <v/>
      </c>
      <c r="AC838" s="292" t="str">
        <f t="shared" si="55"/>
        <v/>
      </c>
      <c r="AD838" s="48" t="str">
        <f>IF(Table3[[#This Row],[Actual Arrival date]]&gt;0,IF(Table3[[#This Row],[Expected arrival date]]&gt;0,Table3[[#This Row],[Actual Arrival date]]-Table3[[#This Row],[Expected arrival date]],""),"")</f>
        <v/>
      </c>
    </row>
    <row r="839" spans="1:30" x14ac:dyDescent="0.25">
      <c r="A839" s="303" t="str">
        <f>Start!$D$7</f>
        <v>Anyland</v>
      </c>
      <c r="B839" s="48" t="str">
        <f>_xlfn.IFNA(VLOOKUP(A839,list!B:C,2,FALSE),"")</f>
        <v>ANY</v>
      </c>
      <c r="C839" s="48"/>
      <c r="D839" s="127"/>
      <c r="E839" s="48" t="str">
        <f>_xlfn.IFNA(VLOOKUP(Table3[[#This Row],[Product]], ProductListTbl[], 3, 0), "")</f>
        <v/>
      </c>
      <c r="F839" s="303" t="str">
        <f>_xlfn.IFNA(VLOOKUP(D839,ProductListTbl[],5,0),"")</f>
        <v/>
      </c>
      <c r="G839" s="303" t="str">
        <f>_xlfn.IFNA(VLOOKUP(D839,ProductListTbl[],6,0),"")</f>
        <v/>
      </c>
      <c r="H839" s="130" t="str">
        <f>_xlfn.IFNA(VLOOKUP(D839,ProductListTbl[],7,0),"")</f>
        <v/>
      </c>
      <c r="I839" s="130" t="str">
        <f>_xlfn.IFNA(VLOOKUP(D839,ProductListTbl[],8,0),"")</f>
        <v/>
      </c>
      <c r="J839" s="127"/>
      <c r="K839" s="129"/>
      <c r="L839" s="128"/>
      <c r="M839" s="305" t="str">
        <f>IFERROR(Table3[[#This Row],[Quantity (doses)]]/Table3[[#This Row],[Doses per vial or syringe]],"")</f>
        <v/>
      </c>
      <c r="N839" s="127"/>
      <c r="O839" s="127"/>
      <c r="P839" s="381"/>
      <c r="Q839" s="129"/>
      <c r="R839" s="127"/>
      <c r="S839" s="127"/>
      <c r="T839" s="127"/>
      <c r="U839" s="127"/>
      <c r="V839" s="305" t="str">
        <f>_xlfn.IFNA(VLOOKUP(D839,ProductListTbl[],9,0),"")</f>
        <v/>
      </c>
      <c r="W839" s="305" t="str">
        <f>IFERROR(Table3[[#This Row],[Storage space per secondary packaging (cm3)]]*Table3[[#This Row],[Quantity  (vials or syringes)]]/1000,"")</f>
        <v/>
      </c>
      <c r="X839" s="305" t="str">
        <f>IFERROR(Table3[[#This Row],[Storage space per tertiary packaging (cm3)]]*Table3[[#This Row],[Quantity (doses)]]/1000,"")</f>
        <v/>
      </c>
      <c r="Y839" s="293" t="str">
        <f>IF(Table3[[#This Row],[Status]]="Ordered",(DATE(YEAR(P839),MONTH(P839),1)),IF(Table3[[#This Row],[Status]]="Received",(DATE(YEAR(Q839),MONTH(Q839),1)),""))</f>
        <v/>
      </c>
      <c r="Z839" s="304" t="str">
        <f t="shared" si="52"/>
        <v/>
      </c>
      <c r="AA839" s="48" t="str">
        <f t="shared" si="53"/>
        <v/>
      </c>
      <c r="AB839" s="48" t="str">
        <f t="shared" si="54"/>
        <v/>
      </c>
      <c r="AC839" s="292" t="str">
        <f t="shared" si="55"/>
        <v/>
      </c>
      <c r="AD839" s="48" t="str">
        <f>IF(Table3[[#This Row],[Actual Arrival date]]&gt;0,IF(Table3[[#This Row],[Expected arrival date]]&gt;0,Table3[[#This Row],[Actual Arrival date]]-Table3[[#This Row],[Expected arrival date]],""),"")</f>
        <v/>
      </c>
    </row>
    <row r="840" spans="1:30" x14ac:dyDescent="0.25">
      <c r="A840" s="303" t="str">
        <f>Start!$D$7</f>
        <v>Anyland</v>
      </c>
      <c r="B840" s="48" t="str">
        <f>_xlfn.IFNA(VLOOKUP(A840,list!B:C,2,FALSE),"")</f>
        <v>ANY</v>
      </c>
      <c r="C840" s="48"/>
      <c r="D840" s="127"/>
      <c r="E840" s="48" t="str">
        <f>_xlfn.IFNA(VLOOKUP(Table3[[#This Row],[Product]], ProductListTbl[], 3, 0), "")</f>
        <v/>
      </c>
      <c r="F840" s="303" t="str">
        <f>_xlfn.IFNA(VLOOKUP(D840,ProductListTbl[],5,0),"")</f>
        <v/>
      </c>
      <c r="G840" s="303" t="str">
        <f>_xlfn.IFNA(VLOOKUP(D840,ProductListTbl[],6,0),"")</f>
        <v/>
      </c>
      <c r="H840" s="130" t="str">
        <f>_xlfn.IFNA(VLOOKUP(D840,ProductListTbl[],7,0),"")</f>
        <v/>
      </c>
      <c r="I840" s="130" t="str">
        <f>_xlfn.IFNA(VLOOKUP(D840,ProductListTbl[],8,0),"")</f>
        <v/>
      </c>
      <c r="J840" s="127"/>
      <c r="K840" s="129"/>
      <c r="L840" s="128"/>
      <c r="M840" s="305" t="str">
        <f>IFERROR(Table3[[#This Row],[Quantity (doses)]]/Table3[[#This Row],[Doses per vial or syringe]],"")</f>
        <v/>
      </c>
      <c r="N840" s="127"/>
      <c r="O840" s="127"/>
      <c r="P840" s="381"/>
      <c r="Q840" s="129"/>
      <c r="R840" s="127"/>
      <c r="S840" s="127"/>
      <c r="T840" s="127"/>
      <c r="U840" s="127"/>
      <c r="V840" s="305" t="str">
        <f>_xlfn.IFNA(VLOOKUP(D840,ProductListTbl[],9,0),"")</f>
        <v/>
      </c>
      <c r="W840" s="305" t="str">
        <f>IFERROR(Table3[[#This Row],[Storage space per secondary packaging (cm3)]]*Table3[[#This Row],[Quantity  (vials or syringes)]]/1000,"")</f>
        <v/>
      </c>
      <c r="X840" s="305" t="str">
        <f>IFERROR(Table3[[#This Row],[Storage space per tertiary packaging (cm3)]]*Table3[[#This Row],[Quantity (doses)]]/1000,"")</f>
        <v/>
      </c>
      <c r="Y840" s="293" t="str">
        <f>IF(Table3[[#This Row],[Status]]="Ordered",(DATE(YEAR(P840),MONTH(P840),1)),IF(Table3[[#This Row],[Status]]="Received",(DATE(YEAR(Q840),MONTH(Q840),1)),""))</f>
        <v/>
      </c>
      <c r="Z840" s="304" t="str">
        <f t="shared" si="52"/>
        <v/>
      </c>
      <c r="AA840" s="48" t="str">
        <f t="shared" si="53"/>
        <v/>
      </c>
      <c r="AB840" s="48" t="str">
        <f t="shared" si="54"/>
        <v/>
      </c>
      <c r="AC840" s="292" t="str">
        <f t="shared" si="55"/>
        <v/>
      </c>
      <c r="AD840" s="48" t="str">
        <f>IF(Table3[[#This Row],[Actual Arrival date]]&gt;0,IF(Table3[[#This Row],[Expected arrival date]]&gt;0,Table3[[#This Row],[Actual Arrival date]]-Table3[[#This Row],[Expected arrival date]],""),"")</f>
        <v/>
      </c>
    </row>
    <row r="841" spans="1:30" x14ac:dyDescent="0.25">
      <c r="A841" s="303" t="str">
        <f>Start!$D$7</f>
        <v>Anyland</v>
      </c>
      <c r="B841" s="48" t="str">
        <f>_xlfn.IFNA(VLOOKUP(A841,list!B:C,2,FALSE),"")</f>
        <v>ANY</v>
      </c>
      <c r="C841" s="48"/>
      <c r="D841" s="127"/>
      <c r="E841" s="48" t="str">
        <f>_xlfn.IFNA(VLOOKUP(Table3[[#This Row],[Product]], ProductListTbl[], 3, 0), "")</f>
        <v/>
      </c>
      <c r="F841" s="303" t="str">
        <f>_xlfn.IFNA(VLOOKUP(D841,ProductListTbl[],5,0),"")</f>
        <v/>
      </c>
      <c r="G841" s="303" t="str">
        <f>_xlfn.IFNA(VLOOKUP(D841,ProductListTbl[],6,0),"")</f>
        <v/>
      </c>
      <c r="H841" s="130" t="str">
        <f>_xlfn.IFNA(VLOOKUP(D841,ProductListTbl[],7,0),"")</f>
        <v/>
      </c>
      <c r="I841" s="130" t="str">
        <f>_xlfn.IFNA(VLOOKUP(D841,ProductListTbl[],8,0),"")</f>
        <v/>
      </c>
      <c r="J841" s="127"/>
      <c r="K841" s="129"/>
      <c r="L841" s="128"/>
      <c r="M841" s="305" t="str">
        <f>IFERROR(Table3[[#This Row],[Quantity (doses)]]/Table3[[#This Row],[Doses per vial or syringe]],"")</f>
        <v/>
      </c>
      <c r="N841" s="127"/>
      <c r="O841" s="127"/>
      <c r="P841" s="381"/>
      <c r="Q841" s="129"/>
      <c r="R841" s="127"/>
      <c r="S841" s="127"/>
      <c r="T841" s="127"/>
      <c r="U841" s="127"/>
      <c r="V841" s="305" t="str">
        <f>_xlfn.IFNA(VLOOKUP(D841,ProductListTbl[],9,0),"")</f>
        <v/>
      </c>
      <c r="W841" s="305" t="str">
        <f>IFERROR(Table3[[#This Row],[Storage space per secondary packaging (cm3)]]*Table3[[#This Row],[Quantity  (vials or syringes)]]/1000,"")</f>
        <v/>
      </c>
      <c r="X841" s="305" t="str">
        <f>IFERROR(Table3[[#This Row],[Storage space per tertiary packaging (cm3)]]*Table3[[#This Row],[Quantity (doses)]]/1000,"")</f>
        <v/>
      </c>
      <c r="Y841" s="293" t="str">
        <f>IF(Table3[[#This Row],[Status]]="Ordered",(DATE(YEAR(P841),MONTH(P841),1)),IF(Table3[[#This Row],[Status]]="Received",(DATE(YEAR(Q841),MONTH(Q841),1)),""))</f>
        <v/>
      </c>
      <c r="Z841" s="304" t="str">
        <f t="shared" si="52"/>
        <v/>
      </c>
      <c r="AA841" s="48" t="str">
        <f t="shared" si="53"/>
        <v/>
      </c>
      <c r="AB841" s="48" t="str">
        <f t="shared" si="54"/>
        <v/>
      </c>
      <c r="AC841" s="292" t="str">
        <f t="shared" si="55"/>
        <v/>
      </c>
      <c r="AD841" s="48" t="str">
        <f>IF(Table3[[#This Row],[Actual Arrival date]]&gt;0,IF(Table3[[#This Row],[Expected arrival date]]&gt;0,Table3[[#This Row],[Actual Arrival date]]-Table3[[#This Row],[Expected arrival date]],""),"")</f>
        <v/>
      </c>
    </row>
    <row r="842" spans="1:30" x14ac:dyDescent="0.25">
      <c r="A842" s="303" t="str">
        <f>Start!$D$7</f>
        <v>Anyland</v>
      </c>
      <c r="B842" s="48" t="str">
        <f>_xlfn.IFNA(VLOOKUP(A842,list!B:C,2,FALSE),"")</f>
        <v>ANY</v>
      </c>
      <c r="C842" s="48"/>
      <c r="D842" s="127"/>
      <c r="E842" s="48" t="str">
        <f>_xlfn.IFNA(VLOOKUP(Table3[[#This Row],[Product]], ProductListTbl[], 3, 0), "")</f>
        <v/>
      </c>
      <c r="F842" s="303" t="str">
        <f>_xlfn.IFNA(VLOOKUP(D842,ProductListTbl[],5,0),"")</f>
        <v/>
      </c>
      <c r="G842" s="303" t="str">
        <f>_xlfn.IFNA(VLOOKUP(D842,ProductListTbl[],6,0),"")</f>
        <v/>
      </c>
      <c r="H842" s="130" t="str">
        <f>_xlfn.IFNA(VLOOKUP(D842,ProductListTbl[],7,0),"")</f>
        <v/>
      </c>
      <c r="I842" s="130" t="str">
        <f>_xlfn.IFNA(VLOOKUP(D842,ProductListTbl[],8,0),"")</f>
        <v/>
      </c>
      <c r="J842" s="127"/>
      <c r="K842" s="129"/>
      <c r="L842" s="128"/>
      <c r="M842" s="305" t="str">
        <f>IFERROR(Table3[[#This Row],[Quantity (doses)]]/Table3[[#This Row],[Doses per vial or syringe]],"")</f>
        <v/>
      </c>
      <c r="N842" s="127"/>
      <c r="O842" s="127"/>
      <c r="P842" s="381"/>
      <c r="Q842" s="129"/>
      <c r="R842" s="127"/>
      <c r="S842" s="127"/>
      <c r="T842" s="127"/>
      <c r="U842" s="127"/>
      <c r="V842" s="305" t="str">
        <f>_xlfn.IFNA(VLOOKUP(D842,ProductListTbl[],9,0),"")</f>
        <v/>
      </c>
      <c r="W842" s="305" t="str">
        <f>IFERROR(Table3[[#This Row],[Storage space per secondary packaging (cm3)]]*Table3[[#This Row],[Quantity  (vials or syringes)]]/1000,"")</f>
        <v/>
      </c>
      <c r="X842" s="305" t="str">
        <f>IFERROR(Table3[[#This Row],[Storage space per tertiary packaging (cm3)]]*Table3[[#This Row],[Quantity (doses)]]/1000,"")</f>
        <v/>
      </c>
      <c r="Y842" s="293" t="str">
        <f>IF(Table3[[#This Row],[Status]]="Ordered",(DATE(YEAR(P842),MONTH(P842),1)),IF(Table3[[#This Row],[Status]]="Received",(DATE(YEAR(Q842),MONTH(Q842),1)),""))</f>
        <v/>
      </c>
      <c r="Z842" s="304" t="str">
        <f t="shared" si="52"/>
        <v/>
      </c>
      <c r="AA842" s="48" t="str">
        <f t="shared" si="53"/>
        <v/>
      </c>
      <c r="AB842" s="48" t="str">
        <f t="shared" si="54"/>
        <v/>
      </c>
      <c r="AC842" s="292" t="str">
        <f t="shared" si="55"/>
        <v/>
      </c>
      <c r="AD842" s="48" t="str">
        <f>IF(Table3[[#This Row],[Actual Arrival date]]&gt;0,IF(Table3[[#This Row],[Expected arrival date]]&gt;0,Table3[[#This Row],[Actual Arrival date]]-Table3[[#This Row],[Expected arrival date]],""),"")</f>
        <v/>
      </c>
    </row>
    <row r="843" spans="1:30" x14ac:dyDescent="0.25">
      <c r="A843" s="303" t="str">
        <f>Start!$D$7</f>
        <v>Anyland</v>
      </c>
      <c r="B843" s="48" t="str">
        <f>_xlfn.IFNA(VLOOKUP(A843,list!B:C,2,FALSE),"")</f>
        <v>ANY</v>
      </c>
      <c r="C843" s="48"/>
      <c r="D843" s="127"/>
      <c r="E843" s="48" t="str">
        <f>_xlfn.IFNA(VLOOKUP(Table3[[#This Row],[Product]], ProductListTbl[], 3, 0), "")</f>
        <v/>
      </c>
      <c r="F843" s="303" t="str">
        <f>_xlfn.IFNA(VLOOKUP(D843,ProductListTbl[],5,0),"")</f>
        <v/>
      </c>
      <c r="G843" s="303" t="str">
        <f>_xlfn.IFNA(VLOOKUP(D843,ProductListTbl[],6,0),"")</f>
        <v/>
      </c>
      <c r="H843" s="130" t="str">
        <f>_xlfn.IFNA(VLOOKUP(D843,ProductListTbl[],7,0),"")</f>
        <v/>
      </c>
      <c r="I843" s="130" t="str">
        <f>_xlfn.IFNA(VLOOKUP(D843,ProductListTbl[],8,0),"")</f>
        <v/>
      </c>
      <c r="J843" s="127"/>
      <c r="K843" s="129"/>
      <c r="L843" s="128"/>
      <c r="M843" s="305" t="str">
        <f>IFERROR(Table3[[#This Row],[Quantity (doses)]]/Table3[[#This Row],[Doses per vial or syringe]],"")</f>
        <v/>
      </c>
      <c r="N843" s="127"/>
      <c r="O843" s="127"/>
      <c r="P843" s="381"/>
      <c r="Q843" s="129"/>
      <c r="R843" s="127"/>
      <c r="S843" s="127"/>
      <c r="T843" s="127"/>
      <c r="U843" s="127"/>
      <c r="V843" s="305" t="str">
        <f>_xlfn.IFNA(VLOOKUP(D843,ProductListTbl[],9,0),"")</f>
        <v/>
      </c>
      <c r="W843" s="305" t="str">
        <f>IFERROR(Table3[[#This Row],[Storage space per secondary packaging (cm3)]]*Table3[[#This Row],[Quantity  (vials or syringes)]]/1000,"")</f>
        <v/>
      </c>
      <c r="X843" s="305" t="str">
        <f>IFERROR(Table3[[#This Row],[Storage space per tertiary packaging (cm3)]]*Table3[[#This Row],[Quantity (doses)]]/1000,"")</f>
        <v/>
      </c>
      <c r="Y843" s="293" t="str">
        <f>IF(Table3[[#This Row],[Status]]="Ordered",(DATE(YEAR(P843),MONTH(P843),1)),IF(Table3[[#This Row],[Status]]="Received",(DATE(YEAR(Q843),MONTH(Q843),1)),""))</f>
        <v/>
      </c>
      <c r="Z843" s="304" t="str">
        <f t="shared" si="52"/>
        <v/>
      </c>
      <c r="AA843" s="48" t="str">
        <f t="shared" si="53"/>
        <v/>
      </c>
      <c r="AB843" s="48" t="str">
        <f t="shared" si="54"/>
        <v/>
      </c>
      <c r="AC843" s="292" t="str">
        <f t="shared" si="55"/>
        <v/>
      </c>
      <c r="AD843" s="48" t="str">
        <f>IF(Table3[[#This Row],[Actual Arrival date]]&gt;0,IF(Table3[[#This Row],[Expected arrival date]]&gt;0,Table3[[#This Row],[Actual Arrival date]]-Table3[[#This Row],[Expected arrival date]],""),"")</f>
        <v/>
      </c>
    </row>
    <row r="844" spans="1:30" x14ac:dyDescent="0.25">
      <c r="A844" s="303" t="str">
        <f>Start!$D$7</f>
        <v>Anyland</v>
      </c>
      <c r="B844" s="48" t="str">
        <f>_xlfn.IFNA(VLOOKUP(A844,list!B:C,2,FALSE),"")</f>
        <v>ANY</v>
      </c>
      <c r="C844" s="48"/>
      <c r="D844" s="127"/>
      <c r="E844" s="48" t="str">
        <f>_xlfn.IFNA(VLOOKUP(Table3[[#This Row],[Product]], ProductListTbl[], 3, 0), "")</f>
        <v/>
      </c>
      <c r="F844" s="303" t="str">
        <f>_xlfn.IFNA(VLOOKUP(D844,ProductListTbl[],5,0),"")</f>
        <v/>
      </c>
      <c r="G844" s="303" t="str">
        <f>_xlfn.IFNA(VLOOKUP(D844,ProductListTbl[],6,0),"")</f>
        <v/>
      </c>
      <c r="H844" s="130" t="str">
        <f>_xlfn.IFNA(VLOOKUP(D844,ProductListTbl[],7,0),"")</f>
        <v/>
      </c>
      <c r="I844" s="130" t="str">
        <f>_xlfn.IFNA(VLOOKUP(D844,ProductListTbl[],8,0),"")</f>
        <v/>
      </c>
      <c r="J844" s="127"/>
      <c r="K844" s="129"/>
      <c r="L844" s="128"/>
      <c r="M844" s="305" t="str">
        <f>IFERROR(Table3[[#This Row],[Quantity (doses)]]/Table3[[#This Row],[Doses per vial or syringe]],"")</f>
        <v/>
      </c>
      <c r="N844" s="127"/>
      <c r="O844" s="127"/>
      <c r="P844" s="381"/>
      <c r="Q844" s="129"/>
      <c r="R844" s="127"/>
      <c r="S844" s="127"/>
      <c r="T844" s="127"/>
      <c r="U844" s="127"/>
      <c r="V844" s="305" t="str">
        <f>_xlfn.IFNA(VLOOKUP(D844,ProductListTbl[],9,0),"")</f>
        <v/>
      </c>
      <c r="W844" s="305" t="str">
        <f>IFERROR(Table3[[#This Row],[Storage space per secondary packaging (cm3)]]*Table3[[#This Row],[Quantity  (vials or syringes)]]/1000,"")</f>
        <v/>
      </c>
      <c r="X844" s="305" t="str">
        <f>IFERROR(Table3[[#This Row],[Storage space per tertiary packaging (cm3)]]*Table3[[#This Row],[Quantity (doses)]]/1000,"")</f>
        <v/>
      </c>
      <c r="Y844" s="293" t="str">
        <f>IF(Table3[[#This Row],[Status]]="Ordered",(DATE(YEAR(P844),MONTH(P844),1)),IF(Table3[[#This Row],[Status]]="Received",(DATE(YEAR(Q844),MONTH(Q844),1)),""))</f>
        <v/>
      </c>
      <c r="Z844" s="304" t="str">
        <f t="shared" si="52"/>
        <v/>
      </c>
      <c r="AA844" s="48" t="str">
        <f t="shared" si="53"/>
        <v/>
      </c>
      <c r="AB844" s="48" t="str">
        <f t="shared" si="54"/>
        <v/>
      </c>
      <c r="AC844" s="292" t="str">
        <f t="shared" si="55"/>
        <v/>
      </c>
      <c r="AD844" s="48" t="str">
        <f>IF(Table3[[#This Row],[Actual Arrival date]]&gt;0,IF(Table3[[#This Row],[Expected arrival date]]&gt;0,Table3[[#This Row],[Actual Arrival date]]-Table3[[#This Row],[Expected arrival date]],""),"")</f>
        <v/>
      </c>
    </row>
    <row r="845" spans="1:30" x14ac:dyDescent="0.25">
      <c r="A845" s="303" t="str">
        <f>Start!$D$7</f>
        <v>Anyland</v>
      </c>
      <c r="B845" s="48" t="str">
        <f>_xlfn.IFNA(VLOOKUP(A845,list!B:C,2,FALSE),"")</f>
        <v>ANY</v>
      </c>
      <c r="C845" s="48"/>
      <c r="D845" s="127"/>
      <c r="E845" s="48" t="str">
        <f>_xlfn.IFNA(VLOOKUP(Table3[[#This Row],[Product]], ProductListTbl[], 3, 0), "")</f>
        <v/>
      </c>
      <c r="F845" s="303" t="str">
        <f>_xlfn.IFNA(VLOOKUP(D845,ProductListTbl[],5,0),"")</f>
        <v/>
      </c>
      <c r="G845" s="303" t="str">
        <f>_xlfn.IFNA(VLOOKUP(D845,ProductListTbl[],6,0),"")</f>
        <v/>
      </c>
      <c r="H845" s="130" t="str">
        <f>_xlfn.IFNA(VLOOKUP(D845,ProductListTbl[],7,0),"")</f>
        <v/>
      </c>
      <c r="I845" s="130" t="str">
        <f>_xlfn.IFNA(VLOOKUP(D845,ProductListTbl[],8,0),"")</f>
        <v/>
      </c>
      <c r="J845" s="127"/>
      <c r="K845" s="129"/>
      <c r="L845" s="128"/>
      <c r="M845" s="305" t="str">
        <f>IFERROR(Table3[[#This Row],[Quantity (doses)]]/Table3[[#This Row],[Doses per vial or syringe]],"")</f>
        <v/>
      </c>
      <c r="N845" s="127"/>
      <c r="O845" s="127"/>
      <c r="P845" s="381"/>
      <c r="Q845" s="129"/>
      <c r="R845" s="127"/>
      <c r="S845" s="127"/>
      <c r="T845" s="127"/>
      <c r="U845" s="127"/>
      <c r="V845" s="305" t="str">
        <f>_xlfn.IFNA(VLOOKUP(D845,ProductListTbl[],9,0),"")</f>
        <v/>
      </c>
      <c r="W845" s="305" t="str">
        <f>IFERROR(Table3[[#This Row],[Storage space per secondary packaging (cm3)]]*Table3[[#This Row],[Quantity  (vials or syringes)]]/1000,"")</f>
        <v/>
      </c>
      <c r="X845" s="305" t="str">
        <f>IFERROR(Table3[[#This Row],[Storage space per tertiary packaging (cm3)]]*Table3[[#This Row],[Quantity (doses)]]/1000,"")</f>
        <v/>
      </c>
      <c r="Y845" s="293" t="str">
        <f>IF(Table3[[#This Row],[Status]]="Ordered",(DATE(YEAR(P845),MONTH(P845),1)),IF(Table3[[#This Row],[Status]]="Received",(DATE(YEAR(Q845),MONTH(Q845),1)),""))</f>
        <v/>
      </c>
      <c r="Z845" s="304" t="str">
        <f t="shared" si="52"/>
        <v/>
      </c>
      <c r="AA845" s="48" t="str">
        <f t="shared" si="53"/>
        <v/>
      </c>
      <c r="AB845" s="48" t="str">
        <f t="shared" si="54"/>
        <v/>
      </c>
      <c r="AC845" s="292" t="str">
        <f t="shared" si="55"/>
        <v/>
      </c>
      <c r="AD845" s="48" t="str">
        <f>IF(Table3[[#This Row],[Actual Arrival date]]&gt;0,IF(Table3[[#This Row],[Expected arrival date]]&gt;0,Table3[[#This Row],[Actual Arrival date]]-Table3[[#This Row],[Expected arrival date]],""),"")</f>
        <v/>
      </c>
    </row>
    <row r="846" spans="1:30" x14ac:dyDescent="0.25">
      <c r="A846" s="303" t="str">
        <f>Start!$D$7</f>
        <v>Anyland</v>
      </c>
      <c r="B846" s="48" t="str">
        <f>_xlfn.IFNA(VLOOKUP(A846,list!B:C,2,FALSE),"")</f>
        <v>ANY</v>
      </c>
      <c r="C846" s="48"/>
      <c r="D846" s="127"/>
      <c r="E846" s="48" t="str">
        <f>_xlfn.IFNA(VLOOKUP(Table3[[#This Row],[Product]], ProductListTbl[], 3, 0), "")</f>
        <v/>
      </c>
      <c r="F846" s="303" t="str">
        <f>_xlfn.IFNA(VLOOKUP(D846,ProductListTbl[],5,0),"")</f>
        <v/>
      </c>
      <c r="G846" s="303" t="str">
        <f>_xlfn.IFNA(VLOOKUP(D846,ProductListTbl[],6,0),"")</f>
        <v/>
      </c>
      <c r="H846" s="130" t="str">
        <f>_xlfn.IFNA(VLOOKUP(D846,ProductListTbl[],7,0),"")</f>
        <v/>
      </c>
      <c r="I846" s="130" t="str">
        <f>_xlfn.IFNA(VLOOKUP(D846,ProductListTbl[],8,0),"")</f>
        <v/>
      </c>
      <c r="J846" s="127"/>
      <c r="K846" s="129"/>
      <c r="L846" s="128"/>
      <c r="M846" s="305" t="str">
        <f>IFERROR(Table3[[#This Row],[Quantity (doses)]]/Table3[[#This Row],[Doses per vial or syringe]],"")</f>
        <v/>
      </c>
      <c r="N846" s="127"/>
      <c r="O846" s="127"/>
      <c r="P846" s="381"/>
      <c r="Q846" s="129"/>
      <c r="R846" s="127"/>
      <c r="S846" s="127"/>
      <c r="T846" s="127"/>
      <c r="U846" s="127"/>
      <c r="V846" s="305" t="str">
        <f>_xlfn.IFNA(VLOOKUP(D846,ProductListTbl[],9,0),"")</f>
        <v/>
      </c>
      <c r="W846" s="305" t="str">
        <f>IFERROR(Table3[[#This Row],[Storage space per secondary packaging (cm3)]]*Table3[[#This Row],[Quantity  (vials or syringes)]]/1000,"")</f>
        <v/>
      </c>
      <c r="X846" s="305" t="str">
        <f>IFERROR(Table3[[#This Row],[Storage space per tertiary packaging (cm3)]]*Table3[[#This Row],[Quantity (doses)]]/1000,"")</f>
        <v/>
      </c>
      <c r="Y846" s="293" t="str">
        <f>IF(Table3[[#This Row],[Status]]="Ordered",(DATE(YEAR(P846),MONTH(P846),1)),IF(Table3[[#This Row],[Status]]="Received",(DATE(YEAR(Q846),MONTH(Q846),1)),""))</f>
        <v/>
      </c>
      <c r="Z846" s="304" t="str">
        <f t="shared" si="52"/>
        <v/>
      </c>
      <c r="AA846" s="48" t="str">
        <f t="shared" si="53"/>
        <v/>
      </c>
      <c r="AB846" s="48" t="str">
        <f t="shared" si="54"/>
        <v/>
      </c>
      <c r="AC846" s="292" t="str">
        <f t="shared" si="55"/>
        <v/>
      </c>
      <c r="AD846" s="48" t="str">
        <f>IF(Table3[[#This Row],[Actual Arrival date]]&gt;0,IF(Table3[[#This Row],[Expected arrival date]]&gt;0,Table3[[#This Row],[Actual Arrival date]]-Table3[[#This Row],[Expected arrival date]],""),"")</f>
        <v/>
      </c>
    </row>
    <row r="847" spans="1:30" x14ac:dyDescent="0.25">
      <c r="A847" s="303" t="str">
        <f>Start!$D$7</f>
        <v>Anyland</v>
      </c>
      <c r="B847" s="48" t="str">
        <f>_xlfn.IFNA(VLOOKUP(A847,list!B:C,2,FALSE),"")</f>
        <v>ANY</v>
      </c>
      <c r="C847" s="48"/>
      <c r="D847" s="127"/>
      <c r="E847" s="48" t="str">
        <f>_xlfn.IFNA(VLOOKUP(Table3[[#This Row],[Product]], ProductListTbl[], 3, 0), "")</f>
        <v/>
      </c>
      <c r="F847" s="303" t="str">
        <f>_xlfn.IFNA(VLOOKUP(D847,ProductListTbl[],5,0),"")</f>
        <v/>
      </c>
      <c r="G847" s="303" t="str">
        <f>_xlfn.IFNA(VLOOKUP(D847,ProductListTbl[],6,0),"")</f>
        <v/>
      </c>
      <c r="H847" s="130" t="str">
        <f>_xlfn.IFNA(VLOOKUP(D847,ProductListTbl[],7,0),"")</f>
        <v/>
      </c>
      <c r="I847" s="130" t="str">
        <f>_xlfn.IFNA(VLOOKUP(D847,ProductListTbl[],8,0),"")</f>
        <v/>
      </c>
      <c r="J847" s="127"/>
      <c r="K847" s="129"/>
      <c r="L847" s="128"/>
      <c r="M847" s="305" t="str">
        <f>IFERROR(Table3[[#This Row],[Quantity (doses)]]/Table3[[#This Row],[Doses per vial or syringe]],"")</f>
        <v/>
      </c>
      <c r="N847" s="127"/>
      <c r="O847" s="127"/>
      <c r="P847" s="381"/>
      <c r="Q847" s="129"/>
      <c r="R847" s="127"/>
      <c r="S847" s="127"/>
      <c r="T847" s="127"/>
      <c r="U847" s="127"/>
      <c r="V847" s="305" t="str">
        <f>_xlfn.IFNA(VLOOKUP(D847,ProductListTbl[],9,0),"")</f>
        <v/>
      </c>
      <c r="W847" s="305" t="str">
        <f>IFERROR(Table3[[#This Row],[Storage space per secondary packaging (cm3)]]*Table3[[#This Row],[Quantity  (vials or syringes)]]/1000,"")</f>
        <v/>
      </c>
      <c r="X847" s="305" t="str">
        <f>IFERROR(Table3[[#This Row],[Storage space per tertiary packaging (cm3)]]*Table3[[#This Row],[Quantity (doses)]]/1000,"")</f>
        <v/>
      </c>
      <c r="Y847" s="293" t="str">
        <f>IF(Table3[[#This Row],[Status]]="Ordered",(DATE(YEAR(P847),MONTH(P847),1)),IF(Table3[[#This Row],[Status]]="Received",(DATE(YEAR(Q847),MONTH(Q847),1)),""))</f>
        <v/>
      </c>
      <c r="Z847" s="304" t="str">
        <f t="shared" si="52"/>
        <v/>
      </c>
      <c r="AA847" s="48" t="str">
        <f t="shared" si="53"/>
        <v/>
      </c>
      <c r="AB847" s="48" t="str">
        <f t="shared" si="54"/>
        <v/>
      </c>
      <c r="AC847" s="292" t="str">
        <f t="shared" si="55"/>
        <v/>
      </c>
      <c r="AD847" s="48" t="str">
        <f>IF(Table3[[#This Row],[Actual Arrival date]]&gt;0,IF(Table3[[#This Row],[Expected arrival date]]&gt;0,Table3[[#This Row],[Actual Arrival date]]-Table3[[#This Row],[Expected arrival date]],""),"")</f>
        <v/>
      </c>
    </row>
    <row r="848" spans="1:30" x14ac:dyDescent="0.25">
      <c r="A848" s="303" t="str">
        <f>Start!$D$7</f>
        <v>Anyland</v>
      </c>
      <c r="B848" s="48" t="str">
        <f>_xlfn.IFNA(VLOOKUP(A848,list!B:C,2,FALSE),"")</f>
        <v>ANY</v>
      </c>
      <c r="C848" s="48"/>
      <c r="D848" s="127"/>
      <c r="E848" s="48" t="str">
        <f>_xlfn.IFNA(VLOOKUP(Table3[[#This Row],[Product]], ProductListTbl[], 3, 0), "")</f>
        <v/>
      </c>
      <c r="F848" s="303" t="str">
        <f>_xlfn.IFNA(VLOOKUP(D848,ProductListTbl[],5,0),"")</f>
        <v/>
      </c>
      <c r="G848" s="303" t="str">
        <f>_xlfn.IFNA(VLOOKUP(D848,ProductListTbl[],6,0),"")</f>
        <v/>
      </c>
      <c r="H848" s="130" t="str">
        <f>_xlfn.IFNA(VLOOKUP(D848,ProductListTbl[],7,0),"")</f>
        <v/>
      </c>
      <c r="I848" s="130" t="str">
        <f>_xlfn.IFNA(VLOOKUP(D848,ProductListTbl[],8,0),"")</f>
        <v/>
      </c>
      <c r="J848" s="127"/>
      <c r="K848" s="129"/>
      <c r="L848" s="128"/>
      <c r="M848" s="305" t="str">
        <f>IFERROR(Table3[[#This Row],[Quantity (doses)]]/Table3[[#This Row],[Doses per vial or syringe]],"")</f>
        <v/>
      </c>
      <c r="N848" s="127"/>
      <c r="O848" s="127"/>
      <c r="P848" s="381"/>
      <c r="Q848" s="129"/>
      <c r="R848" s="127"/>
      <c r="S848" s="127"/>
      <c r="T848" s="127"/>
      <c r="U848" s="127"/>
      <c r="V848" s="305" t="str">
        <f>_xlfn.IFNA(VLOOKUP(D848,ProductListTbl[],9,0),"")</f>
        <v/>
      </c>
      <c r="W848" s="305" t="str">
        <f>IFERROR(Table3[[#This Row],[Storage space per secondary packaging (cm3)]]*Table3[[#This Row],[Quantity  (vials or syringes)]]/1000,"")</f>
        <v/>
      </c>
      <c r="X848" s="305" t="str">
        <f>IFERROR(Table3[[#This Row],[Storage space per tertiary packaging (cm3)]]*Table3[[#This Row],[Quantity (doses)]]/1000,"")</f>
        <v/>
      </c>
      <c r="Y848" s="293" t="str">
        <f>IF(Table3[[#This Row],[Status]]="Ordered",(DATE(YEAR(P848),MONTH(P848),1)),IF(Table3[[#This Row],[Status]]="Received",(DATE(YEAR(Q848),MONTH(Q848),1)),""))</f>
        <v/>
      </c>
      <c r="Z848" s="304" t="str">
        <f t="shared" si="52"/>
        <v/>
      </c>
      <c r="AA848" s="48" t="str">
        <f t="shared" si="53"/>
        <v/>
      </c>
      <c r="AB848" s="48" t="str">
        <f t="shared" si="54"/>
        <v/>
      </c>
      <c r="AC848" s="292" t="str">
        <f t="shared" si="55"/>
        <v/>
      </c>
      <c r="AD848" s="48" t="str">
        <f>IF(Table3[[#This Row],[Actual Arrival date]]&gt;0,IF(Table3[[#This Row],[Expected arrival date]]&gt;0,Table3[[#This Row],[Actual Arrival date]]-Table3[[#This Row],[Expected arrival date]],""),"")</f>
        <v/>
      </c>
    </row>
    <row r="849" spans="1:30" x14ac:dyDescent="0.25">
      <c r="A849" s="303" t="str">
        <f>Start!$D$7</f>
        <v>Anyland</v>
      </c>
      <c r="B849" s="48" t="str">
        <f>_xlfn.IFNA(VLOOKUP(A849,list!B:C,2,FALSE),"")</f>
        <v>ANY</v>
      </c>
      <c r="C849" s="48"/>
      <c r="D849" s="127"/>
      <c r="E849" s="48" t="str">
        <f>_xlfn.IFNA(VLOOKUP(Table3[[#This Row],[Product]], ProductListTbl[], 3, 0), "")</f>
        <v/>
      </c>
      <c r="F849" s="303" t="str">
        <f>_xlfn.IFNA(VLOOKUP(D849,ProductListTbl[],5,0),"")</f>
        <v/>
      </c>
      <c r="G849" s="303" t="str">
        <f>_xlfn.IFNA(VLOOKUP(D849,ProductListTbl[],6,0),"")</f>
        <v/>
      </c>
      <c r="H849" s="130" t="str">
        <f>_xlfn.IFNA(VLOOKUP(D849,ProductListTbl[],7,0),"")</f>
        <v/>
      </c>
      <c r="I849" s="130" t="str">
        <f>_xlfn.IFNA(VLOOKUP(D849,ProductListTbl[],8,0),"")</f>
        <v/>
      </c>
      <c r="J849" s="127"/>
      <c r="K849" s="129"/>
      <c r="L849" s="128"/>
      <c r="M849" s="305" t="str">
        <f>IFERROR(Table3[[#This Row],[Quantity (doses)]]/Table3[[#This Row],[Doses per vial or syringe]],"")</f>
        <v/>
      </c>
      <c r="N849" s="127"/>
      <c r="O849" s="127"/>
      <c r="P849" s="381"/>
      <c r="Q849" s="129"/>
      <c r="R849" s="127"/>
      <c r="S849" s="127"/>
      <c r="T849" s="127"/>
      <c r="U849" s="127"/>
      <c r="V849" s="305" t="str">
        <f>_xlfn.IFNA(VLOOKUP(D849,ProductListTbl[],9,0),"")</f>
        <v/>
      </c>
      <c r="W849" s="305" t="str">
        <f>IFERROR(Table3[[#This Row],[Storage space per secondary packaging (cm3)]]*Table3[[#This Row],[Quantity  (vials or syringes)]]/1000,"")</f>
        <v/>
      </c>
      <c r="X849" s="305" t="str">
        <f>IFERROR(Table3[[#This Row],[Storage space per tertiary packaging (cm3)]]*Table3[[#This Row],[Quantity (doses)]]/1000,"")</f>
        <v/>
      </c>
      <c r="Y849" s="293" t="str">
        <f>IF(Table3[[#This Row],[Status]]="Ordered",(DATE(YEAR(P849),MONTH(P849),1)),IF(Table3[[#This Row],[Status]]="Received",(DATE(YEAR(Q849),MONTH(Q849),1)),""))</f>
        <v/>
      </c>
      <c r="Z849" s="304" t="str">
        <f t="shared" si="52"/>
        <v/>
      </c>
      <c r="AA849" s="48" t="str">
        <f t="shared" si="53"/>
        <v/>
      </c>
      <c r="AB849" s="48" t="str">
        <f t="shared" si="54"/>
        <v/>
      </c>
      <c r="AC849" s="292" t="str">
        <f t="shared" si="55"/>
        <v/>
      </c>
      <c r="AD849" s="48" t="str">
        <f>IF(Table3[[#This Row],[Actual Arrival date]]&gt;0,IF(Table3[[#This Row],[Expected arrival date]]&gt;0,Table3[[#This Row],[Actual Arrival date]]-Table3[[#This Row],[Expected arrival date]],""),"")</f>
        <v/>
      </c>
    </row>
    <row r="850" spans="1:30" x14ac:dyDescent="0.25">
      <c r="A850" s="303" t="str">
        <f>Start!$D$7</f>
        <v>Anyland</v>
      </c>
      <c r="B850" s="48" t="str">
        <f>_xlfn.IFNA(VLOOKUP(A850,list!B:C,2,FALSE),"")</f>
        <v>ANY</v>
      </c>
      <c r="C850" s="48"/>
      <c r="D850" s="127"/>
      <c r="E850" s="48" t="str">
        <f>_xlfn.IFNA(VLOOKUP(Table3[[#This Row],[Product]], ProductListTbl[], 3, 0), "")</f>
        <v/>
      </c>
      <c r="F850" s="303" t="str">
        <f>_xlfn.IFNA(VLOOKUP(D850,ProductListTbl[],5,0),"")</f>
        <v/>
      </c>
      <c r="G850" s="303" t="str">
        <f>_xlfn.IFNA(VLOOKUP(D850,ProductListTbl[],6,0),"")</f>
        <v/>
      </c>
      <c r="H850" s="130" t="str">
        <f>_xlfn.IFNA(VLOOKUP(D850,ProductListTbl[],7,0),"")</f>
        <v/>
      </c>
      <c r="I850" s="130" t="str">
        <f>_xlfn.IFNA(VLOOKUP(D850,ProductListTbl[],8,0),"")</f>
        <v/>
      </c>
      <c r="J850" s="127"/>
      <c r="K850" s="129"/>
      <c r="L850" s="128"/>
      <c r="M850" s="305" t="str">
        <f>IFERROR(Table3[[#This Row],[Quantity (doses)]]/Table3[[#This Row],[Doses per vial or syringe]],"")</f>
        <v/>
      </c>
      <c r="N850" s="127"/>
      <c r="O850" s="127"/>
      <c r="P850" s="381"/>
      <c r="Q850" s="129"/>
      <c r="R850" s="127"/>
      <c r="S850" s="127"/>
      <c r="T850" s="127"/>
      <c r="U850" s="127"/>
      <c r="V850" s="305" t="str">
        <f>_xlfn.IFNA(VLOOKUP(D850,ProductListTbl[],9,0),"")</f>
        <v/>
      </c>
      <c r="W850" s="305" t="str">
        <f>IFERROR(Table3[[#This Row],[Storage space per secondary packaging (cm3)]]*Table3[[#This Row],[Quantity  (vials or syringes)]]/1000,"")</f>
        <v/>
      </c>
      <c r="X850" s="305" t="str">
        <f>IFERROR(Table3[[#This Row],[Storage space per tertiary packaging (cm3)]]*Table3[[#This Row],[Quantity (doses)]]/1000,"")</f>
        <v/>
      </c>
      <c r="Y850" s="293" t="str">
        <f>IF(Table3[[#This Row],[Status]]="Ordered",(DATE(YEAR(P850),MONTH(P850),1)),IF(Table3[[#This Row],[Status]]="Received",(DATE(YEAR(Q850),MONTH(Q850),1)),""))</f>
        <v/>
      </c>
      <c r="Z850" s="304" t="str">
        <f t="shared" si="52"/>
        <v/>
      </c>
      <c r="AA850" s="48" t="str">
        <f t="shared" si="53"/>
        <v/>
      </c>
      <c r="AB850" s="48" t="str">
        <f t="shared" si="54"/>
        <v/>
      </c>
      <c r="AC850" s="292" t="str">
        <f t="shared" si="55"/>
        <v/>
      </c>
      <c r="AD850" s="48" t="str">
        <f>IF(Table3[[#This Row],[Actual Arrival date]]&gt;0,IF(Table3[[#This Row],[Expected arrival date]]&gt;0,Table3[[#This Row],[Actual Arrival date]]-Table3[[#This Row],[Expected arrival date]],""),"")</f>
        <v/>
      </c>
    </row>
    <row r="851" spans="1:30" x14ac:dyDescent="0.25">
      <c r="A851" s="303" t="str">
        <f>Start!$D$7</f>
        <v>Anyland</v>
      </c>
      <c r="B851" s="48" t="str">
        <f>_xlfn.IFNA(VLOOKUP(A851,list!B:C,2,FALSE),"")</f>
        <v>ANY</v>
      </c>
      <c r="C851" s="48"/>
      <c r="D851" s="127"/>
      <c r="E851" s="48" t="str">
        <f>_xlfn.IFNA(VLOOKUP(Table3[[#This Row],[Product]], ProductListTbl[], 3, 0), "")</f>
        <v/>
      </c>
      <c r="F851" s="303" t="str">
        <f>_xlfn.IFNA(VLOOKUP(D851,ProductListTbl[],5,0),"")</f>
        <v/>
      </c>
      <c r="G851" s="303" t="str">
        <f>_xlfn.IFNA(VLOOKUP(D851,ProductListTbl[],6,0),"")</f>
        <v/>
      </c>
      <c r="H851" s="130" t="str">
        <f>_xlfn.IFNA(VLOOKUP(D851,ProductListTbl[],7,0),"")</f>
        <v/>
      </c>
      <c r="I851" s="130" t="str">
        <f>_xlfn.IFNA(VLOOKUP(D851,ProductListTbl[],8,0),"")</f>
        <v/>
      </c>
      <c r="J851" s="127"/>
      <c r="K851" s="129"/>
      <c r="L851" s="128"/>
      <c r="M851" s="305" t="str">
        <f>IFERROR(Table3[[#This Row],[Quantity (doses)]]/Table3[[#This Row],[Doses per vial or syringe]],"")</f>
        <v/>
      </c>
      <c r="N851" s="127"/>
      <c r="O851" s="127"/>
      <c r="P851" s="381"/>
      <c r="Q851" s="129"/>
      <c r="R851" s="127"/>
      <c r="S851" s="127"/>
      <c r="T851" s="127"/>
      <c r="U851" s="127"/>
      <c r="V851" s="305" t="str">
        <f>_xlfn.IFNA(VLOOKUP(D851,ProductListTbl[],9,0),"")</f>
        <v/>
      </c>
      <c r="W851" s="305" t="str">
        <f>IFERROR(Table3[[#This Row],[Storage space per secondary packaging (cm3)]]*Table3[[#This Row],[Quantity  (vials or syringes)]]/1000,"")</f>
        <v/>
      </c>
      <c r="X851" s="305" t="str">
        <f>IFERROR(Table3[[#This Row],[Storage space per tertiary packaging (cm3)]]*Table3[[#This Row],[Quantity (doses)]]/1000,"")</f>
        <v/>
      </c>
      <c r="Y851" s="293" t="str">
        <f>IF(Table3[[#This Row],[Status]]="Ordered",(DATE(YEAR(P851),MONTH(P851),1)),IF(Table3[[#This Row],[Status]]="Received",(DATE(YEAR(Q851),MONTH(Q851),1)),""))</f>
        <v/>
      </c>
      <c r="Z851" s="304" t="str">
        <f t="shared" si="52"/>
        <v/>
      </c>
      <c r="AA851" s="48" t="str">
        <f t="shared" si="53"/>
        <v/>
      </c>
      <c r="AB851" s="48" t="str">
        <f t="shared" si="54"/>
        <v/>
      </c>
      <c r="AC851" s="292" t="str">
        <f t="shared" si="55"/>
        <v/>
      </c>
      <c r="AD851" s="48" t="str">
        <f>IF(Table3[[#This Row],[Actual Arrival date]]&gt;0,IF(Table3[[#This Row],[Expected arrival date]]&gt;0,Table3[[#This Row],[Actual Arrival date]]-Table3[[#This Row],[Expected arrival date]],""),"")</f>
        <v/>
      </c>
    </row>
    <row r="852" spans="1:30" x14ac:dyDescent="0.25">
      <c r="A852" s="303" t="str">
        <f>Start!$D$7</f>
        <v>Anyland</v>
      </c>
      <c r="B852" s="48" t="str">
        <f>_xlfn.IFNA(VLOOKUP(A852,list!B:C,2,FALSE),"")</f>
        <v>ANY</v>
      </c>
      <c r="C852" s="48"/>
      <c r="D852" s="127"/>
      <c r="E852" s="48" t="str">
        <f>_xlfn.IFNA(VLOOKUP(Table3[[#This Row],[Product]], ProductListTbl[], 3, 0), "")</f>
        <v/>
      </c>
      <c r="F852" s="303" t="str">
        <f>_xlfn.IFNA(VLOOKUP(D852,ProductListTbl[],5,0),"")</f>
        <v/>
      </c>
      <c r="G852" s="303" t="str">
        <f>_xlfn.IFNA(VLOOKUP(D852,ProductListTbl[],6,0),"")</f>
        <v/>
      </c>
      <c r="H852" s="130" t="str">
        <f>_xlfn.IFNA(VLOOKUP(D852,ProductListTbl[],7,0),"")</f>
        <v/>
      </c>
      <c r="I852" s="130" t="str">
        <f>_xlfn.IFNA(VLOOKUP(D852,ProductListTbl[],8,0),"")</f>
        <v/>
      </c>
      <c r="J852" s="127"/>
      <c r="K852" s="129"/>
      <c r="L852" s="128"/>
      <c r="M852" s="305" t="str">
        <f>IFERROR(Table3[[#This Row],[Quantity (doses)]]/Table3[[#This Row],[Doses per vial or syringe]],"")</f>
        <v/>
      </c>
      <c r="N852" s="127"/>
      <c r="O852" s="127"/>
      <c r="P852" s="381"/>
      <c r="Q852" s="129"/>
      <c r="R852" s="127"/>
      <c r="S852" s="127"/>
      <c r="T852" s="127"/>
      <c r="U852" s="127"/>
      <c r="V852" s="305" t="str">
        <f>_xlfn.IFNA(VLOOKUP(D852,ProductListTbl[],9,0),"")</f>
        <v/>
      </c>
      <c r="W852" s="305" t="str">
        <f>IFERROR(Table3[[#This Row],[Storage space per secondary packaging (cm3)]]*Table3[[#This Row],[Quantity  (vials or syringes)]]/1000,"")</f>
        <v/>
      </c>
      <c r="X852" s="305" t="str">
        <f>IFERROR(Table3[[#This Row],[Storage space per tertiary packaging (cm3)]]*Table3[[#This Row],[Quantity (doses)]]/1000,"")</f>
        <v/>
      </c>
      <c r="Y852" s="293" t="str">
        <f>IF(Table3[[#This Row],[Status]]="Ordered",(DATE(YEAR(P852),MONTH(P852),1)),IF(Table3[[#This Row],[Status]]="Received",(DATE(YEAR(Q852),MONTH(Q852),1)),""))</f>
        <v/>
      </c>
      <c r="Z852" s="304" t="str">
        <f t="shared" si="52"/>
        <v/>
      </c>
      <c r="AA852" s="48" t="str">
        <f t="shared" si="53"/>
        <v/>
      </c>
      <c r="AB852" s="48" t="str">
        <f t="shared" si="54"/>
        <v/>
      </c>
      <c r="AC852" s="292" t="str">
        <f t="shared" si="55"/>
        <v/>
      </c>
      <c r="AD852" s="48" t="str">
        <f>IF(Table3[[#This Row],[Actual Arrival date]]&gt;0,IF(Table3[[#This Row],[Expected arrival date]]&gt;0,Table3[[#This Row],[Actual Arrival date]]-Table3[[#This Row],[Expected arrival date]],""),"")</f>
        <v/>
      </c>
    </row>
    <row r="853" spans="1:30" x14ac:dyDescent="0.25">
      <c r="A853" s="303" t="str">
        <f>Start!$D$7</f>
        <v>Anyland</v>
      </c>
      <c r="B853" s="48" t="str">
        <f>_xlfn.IFNA(VLOOKUP(A853,list!B:C,2,FALSE),"")</f>
        <v>ANY</v>
      </c>
      <c r="C853" s="48"/>
      <c r="D853" s="127"/>
      <c r="E853" s="48" t="str">
        <f>_xlfn.IFNA(VLOOKUP(Table3[[#This Row],[Product]], ProductListTbl[], 3, 0), "")</f>
        <v/>
      </c>
      <c r="F853" s="303" t="str">
        <f>_xlfn.IFNA(VLOOKUP(D853,ProductListTbl[],5,0),"")</f>
        <v/>
      </c>
      <c r="G853" s="303" t="str">
        <f>_xlfn.IFNA(VLOOKUP(D853,ProductListTbl[],6,0),"")</f>
        <v/>
      </c>
      <c r="H853" s="130" t="str">
        <f>_xlfn.IFNA(VLOOKUP(D853,ProductListTbl[],7,0),"")</f>
        <v/>
      </c>
      <c r="I853" s="130" t="str">
        <f>_xlfn.IFNA(VLOOKUP(D853,ProductListTbl[],8,0),"")</f>
        <v/>
      </c>
      <c r="J853" s="127"/>
      <c r="K853" s="129"/>
      <c r="L853" s="128"/>
      <c r="M853" s="305" t="str">
        <f>IFERROR(Table3[[#This Row],[Quantity (doses)]]/Table3[[#This Row],[Doses per vial or syringe]],"")</f>
        <v/>
      </c>
      <c r="N853" s="127"/>
      <c r="O853" s="127"/>
      <c r="P853" s="381"/>
      <c r="Q853" s="129"/>
      <c r="R853" s="127"/>
      <c r="S853" s="127"/>
      <c r="T853" s="127"/>
      <c r="U853" s="127"/>
      <c r="V853" s="305" t="str">
        <f>_xlfn.IFNA(VLOOKUP(D853,ProductListTbl[],9,0),"")</f>
        <v/>
      </c>
      <c r="W853" s="305" t="str">
        <f>IFERROR(Table3[[#This Row],[Storage space per secondary packaging (cm3)]]*Table3[[#This Row],[Quantity  (vials or syringes)]]/1000,"")</f>
        <v/>
      </c>
      <c r="X853" s="305" t="str">
        <f>IFERROR(Table3[[#This Row],[Storage space per tertiary packaging (cm3)]]*Table3[[#This Row],[Quantity (doses)]]/1000,"")</f>
        <v/>
      </c>
      <c r="Y853" s="293" t="str">
        <f>IF(Table3[[#This Row],[Status]]="Ordered",(DATE(YEAR(P853),MONTH(P853),1)),IF(Table3[[#This Row],[Status]]="Received",(DATE(YEAR(Q853),MONTH(Q853),1)),""))</f>
        <v/>
      </c>
      <c r="Z853" s="304" t="str">
        <f t="shared" si="52"/>
        <v/>
      </c>
      <c r="AA853" s="48" t="str">
        <f t="shared" si="53"/>
        <v/>
      </c>
      <c r="AB853" s="48" t="str">
        <f t="shared" si="54"/>
        <v/>
      </c>
      <c r="AC853" s="292" t="str">
        <f t="shared" si="55"/>
        <v/>
      </c>
      <c r="AD853" s="48" t="str">
        <f>IF(Table3[[#This Row],[Actual Arrival date]]&gt;0,IF(Table3[[#This Row],[Expected arrival date]]&gt;0,Table3[[#This Row],[Actual Arrival date]]-Table3[[#This Row],[Expected arrival date]],""),"")</f>
        <v/>
      </c>
    </row>
    <row r="854" spans="1:30" x14ac:dyDescent="0.25">
      <c r="A854" s="303" t="str">
        <f>Start!$D$7</f>
        <v>Anyland</v>
      </c>
      <c r="B854" s="48" t="str">
        <f>_xlfn.IFNA(VLOOKUP(A854,list!B:C,2,FALSE),"")</f>
        <v>ANY</v>
      </c>
      <c r="C854" s="48"/>
      <c r="D854" s="127"/>
      <c r="E854" s="48" t="str">
        <f>_xlfn.IFNA(VLOOKUP(Table3[[#This Row],[Product]], ProductListTbl[], 3, 0), "")</f>
        <v/>
      </c>
      <c r="F854" s="303" t="str">
        <f>_xlfn.IFNA(VLOOKUP(D854,ProductListTbl[],5,0),"")</f>
        <v/>
      </c>
      <c r="G854" s="303" t="str">
        <f>_xlfn.IFNA(VLOOKUP(D854,ProductListTbl[],6,0),"")</f>
        <v/>
      </c>
      <c r="H854" s="130" t="str">
        <f>_xlfn.IFNA(VLOOKUP(D854,ProductListTbl[],7,0),"")</f>
        <v/>
      </c>
      <c r="I854" s="130" t="str">
        <f>_xlfn.IFNA(VLOOKUP(D854,ProductListTbl[],8,0),"")</f>
        <v/>
      </c>
      <c r="J854" s="127"/>
      <c r="K854" s="129"/>
      <c r="L854" s="128"/>
      <c r="M854" s="305" t="str">
        <f>IFERROR(Table3[[#This Row],[Quantity (doses)]]/Table3[[#This Row],[Doses per vial or syringe]],"")</f>
        <v/>
      </c>
      <c r="N854" s="127"/>
      <c r="O854" s="127"/>
      <c r="P854" s="381"/>
      <c r="Q854" s="129"/>
      <c r="R854" s="127"/>
      <c r="S854" s="127"/>
      <c r="T854" s="127"/>
      <c r="U854" s="127"/>
      <c r="V854" s="305" t="str">
        <f>_xlfn.IFNA(VLOOKUP(D854,ProductListTbl[],9,0),"")</f>
        <v/>
      </c>
      <c r="W854" s="305" t="str">
        <f>IFERROR(Table3[[#This Row],[Storage space per secondary packaging (cm3)]]*Table3[[#This Row],[Quantity  (vials or syringes)]]/1000,"")</f>
        <v/>
      </c>
      <c r="X854" s="305" t="str">
        <f>IFERROR(Table3[[#This Row],[Storage space per tertiary packaging (cm3)]]*Table3[[#This Row],[Quantity (doses)]]/1000,"")</f>
        <v/>
      </c>
      <c r="Y854" s="293" t="str">
        <f>IF(Table3[[#This Row],[Status]]="Ordered",(DATE(YEAR(P854),MONTH(P854),1)),IF(Table3[[#This Row],[Status]]="Received",(DATE(YEAR(Q854),MONTH(Q854),1)),""))</f>
        <v/>
      </c>
      <c r="Z854" s="304" t="str">
        <f t="shared" si="52"/>
        <v/>
      </c>
      <c r="AA854" s="48" t="str">
        <f t="shared" si="53"/>
        <v/>
      </c>
      <c r="AB854" s="48" t="str">
        <f t="shared" si="54"/>
        <v/>
      </c>
      <c r="AC854" s="292" t="str">
        <f t="shared" si="55"/>
        <v/>
      </c>
      <c r="AD854" s="48" t="str">
        <f>IF(Table3[[#This Row],[Actual Arrival date]]&gt;0,IF(Table3[[#This Row],[Expected arrival date]]&gt;0,Table3[[#This Row],[Actual Arrival date]]-Table3[[#This Row],[Expected arrival date]],""),"")</f>
        <v/>
      </c>
    </row>
    <row r="855" spans="1:30" x14ac:dyDescent="0.25">
      <c r="A855" s="303" t="str">
        <f>Start!$D$7</f>
        <v>Anyland</v>
      </c>
      <c r="B855" s="48" t="str">
        <f>_xlfn.IFNA(VLOOKUP(A855,list!B:C,2,FALSE),"")</f>
        <v>ANY</v>
      </c>
      <c r="C855" s="48"/>
      <c r="D855" s="127"/>
      <c r="E855" s="48" t="str">
        <f>_xlfn.IFNA(VLOOKUP(Table3[[#This Row],[Product]], ProductListTbl[], 3, 0), "")</f>
        <v/>
      </c>
      <c r="F855" s="303" t="str">
        <f>_xlfn.IFNA(VLOOKUP(D855,ProductListTbl[],5,0),"")</f>
        <v/>
      </c>
      <c r="G855" s="303" t="str">
        <f>_xlfn.IFNA(VLOOKUP(D855,ProductListTbl[],6,0),"")</f>
        <v/>
      </c>
      <c r="H855" s="130" t="str">
        <f>_xlfn.IFNA(VLOOKUP(D855,ProductListTbl[],7,0),"")</f>
        <v/>
      </c>
      <c r="I855" s="130" t="str">
        <f>_xlfn.IFNA(VLOOKUP(D855,ProductListTbl[],8,0),"")</f>
        <v/>
      </c>
      <c r="J855" s="127"/>
      <c r="K855" s="129"/>
      <c r="L855" s="128"/>
      <c r="M855" s="305" t="str">
        <f>IFERROR(Table3[[#This Row],[Quantity (doses)]]/Table3[[#This Row],[Doses per vial or syringe]],"")</f>
        <v/>
      </c>
      <c r="N855" s="127"/>
      <c r="O855" s="127"/>
      <c r="P855" s="381"/>
      <c r="Q855" s="129"/>
      <c r="R855" s="127"/>
      <c r="S855" s="127"/>
      <c r="T855" s="127"/>
      <c r="U855" s="127"/>
      <c r="V855" s="305" t="str">
        <f>_xlfn.IFNA(VLOOKUP(D855,ProductListTbl[],9,0),"")</f>
        <v/>
      </c>
      <c r="W855" s="305" t="str">
        <f>IFERROR(Table3[[#This Row],[Storage space per secondary packaging (cm3)]]*Table3[[#This Row],[Quantity  (vials or syringes)]]/1000,"")</f>
        <v/>
      </c>
      <c r="X855" s="305" t="str">
        <f>IFERROR(Table3[[#This Row],[Storage space per tertiary packaging (cm3)]]*Table3[[#This Row],[Quantity (doses)]]/1000,"")</f>
        <v/>
      </c>
      <c r="Y855" s="293" t="str">
        <f>IF(Table3[[#This Row],[Status]]="Ordered",(DATE(YEAR(P855),MONTH(P855),1)),IF(Table3[[#This Row],[Status]]="Received",(DATE(YEAR(Q855),MONTH(Q855),1)),""))</f>
        <v/>
      </c>
      <c r="Z855" s="304" t="str">
        <f t="shared" si="52"/>
        <v/>
      </c>
      <c r="AA855" s="48" t="str">
        <f t="shared" si="53"/>
        <v/>
      </c>
      <c r="AB855" s="48" t="str">
        <f t="shared" si="54"/>
        <v/>
      </c>
      <c r="AC855" s="292" t="str">
        <f t="shared" si="55"/>
        <v/>
      </c>
      <c r="AD855" s="48" t="str">
        <f>IF(Table3[[#This Row],[Actual Arrival date]]&gt;0,IF(Table3[[#This Row],[Expected arrival date]]&gt;0,Table3[[#This Row],[Actual Arrival date]]-Table3[[#This Row],[Expected arrival date]],""),"")</f>
        <v/>
      </c>
    </row>
    <row r="856" spans="1:30" x14ac:dyDescent="0.25">
      <c r="A856" s="303" t="str">
        <f>Start!$D$7</f>
        <v>Anyland</v>
      </c>
      <c r="B856" s="48" t="str">
        <f>_xlfn.IFNA(VLOOKUP(A856,list!B:C,2,FALSE),"")</f>
        <v>ANY</v>
      </c>
      <c r="C856" s="48"/>
      <c r="D856" s="127"/>
      <c r="E856" s="48" t="str">
        <f>_xlfn.IFNA(VLOOKUP(Table3[[#This Row],[Product]], ProductListTbl[], 3, 0), "")</f>
        <v/>
      </c>
      <c r="F856" s="303" t="str">
        <f>_xlfn.IFNA(VLOOKUP(D856,ProductListTbl[],5,0),"")</f>
        <v/>
      </c>
      <c r="G856" s="303" t="str">
        <f>_xlfn.IFNA(VLOOKUP(D856,ProductListTbl[],6,0),"")</f>
        <v/>
      </c>
      <c r="H856" s="130" t="str">
        <f>_xlfn.IFNA(VLOOKUP(D856,ProductListTbl[],7,0),"")</f>
        <v/>
      </c>
      <c r="I856" s="130" t="str">
        <f>_xlfn.IFNA(VLOOKUP(D856,ProductListTbl[],8,0),"")</f>
        <v/>
      </c>
      <c r="J856" s="127"/>
      <c r="K856" s="129"/>
      <c r="L856" s="128"/>
      <c r="M856" s="305" t="str">
        <f>IFERROR(Table3[[#This Row],[Quantity (doses)]]/Table3[[#This Row],[Doses per vial or syringe]],"")</f>
        <v/>
      </c>
      <c r="N856" s="127"/>
      <c r="O856" s="127"/>
      <c r="P856" s="381"/>
      <c r="Q856" s="129"/>
      <c r="R856" s="127"/>
      <c r="S856" s="127"/>
      <c r="T856" s="127"/>
      <c r="U856" s="127"/>
      <c r="V856" s="305" t="str">
        <f>_xlfn.IFNA(VLOOKUP(D856,ProductListTbl[],9,0),"")</f>
        <v/>
      </c>
      <c r="W856" s="305" t="str">
        <f>IFERROR(Table3[[#This Row],[Storage space per secondary packaging (cm3)]]*Table3[[#This Row],[Quantity  (vials or syringes)]]/1000,"")</f>
        <v/>
      </c>
      <c r="X856" s="305" t="str">
        <f>IFERROR(Table3[[#This Row],[Storage space per tertiary packaging (cm3)]]*Table3[[#This Row],[Quantity (doses)]]/1000,"")</f>
        <v/>
      </c>
      <c r="Y856" s="293" t="str">
        <f>IF(Table3[[#This Row],[Status]]="Ordered",(DATE(YEAR(P856),MONTH(P856),1)),IF(Table3[[#This Row],[Status]]="Received",(DATE(YEAR(Q856),MONTH(Q856),1)),""))</f>
        <v/>
      </c>
      <c r="Z856" s="304" t="str">
        <f t="shared" si="52"/>
        <v/>
      </c>
      <c r="AA856" s="48" t="str">
        <f t="shared" si="53"/>
        <v/>
      </c>
      <c r="AB856" s="48" t="str">
        <f t="shared" si="54"/>
        <v/>
      </c>
      <c r="AC856" s="292" t="str">
        <f t="shared" si="55"/>
        <v/>
      </c>
      <c r="AD856" s="48" t="str">
        <f>IF(Table3[[#This Row],[Actual Arrival date]]&gt;0,IF(Table3[[#This Row],[Expected arrival date]]&gt;0,Table3[[#This Row],[Actual Arrival date]]-Table3[[#This Row],[Expected arrival date]],""),"")</f>
        <v/>
      </c>
    </row>
    <row r="857" spans="1:30" x14ac:dyDescent="0.25">
      <c r="A857" s="303" t="str">
        <f>Start!$D$7</f>
        <v>Anyland</v>
      </c>
      <c r="B857" s="48" t="str">
        <f>_xlfn.IFNA(VLOOKUP(A857,list!B:C,2,FALSE),"")</f>
        <v>ANY</v>
      </c>
      <c r="C857" s="48"/>
      <c r="D857" s="127"/>
      <c r="E857" s="48" t="str">
        <f>_xlfn.IFNA(VLOOKUP(Table3[[#This Row],[Product]], ProductListTbl[], 3, 0), "")</f>
        <v/>
      </c>
      <c r="F857" s="303" t="str">
        <f>_xlfn.IFNA(VLOOKUP(D857,ProductListTbl[],5,0),"")</f>
        <v/>
      </c>
      <c r="G857" s="303" t="str">
        <f>_xlfn.IFNA(VLOOKUP(D857,ProductListTbl[],6,0),"")</f>
        <v/>
      </c>
      <c r="H857" s="130" t="str">
        <f>_xlfn.IFNA(VLOOKUP(D857,ProductListTbl[],7,0),"")</f>
        <v/>
      </c>
      <c r="I857" s="130" t="str">
        <f>_xlfn.IFNA(VLOOKUP(D857,ProductListTbl[],8,0),"")</f>
        <v/>
      </c>
      <c r="J857" s="127"/>
      <c r="K857" s="129"/>
      <c r="L857" s="128"/>
      <c r="M857" s="305" t="str">
        <f>IFERROR(Table3[[#This Row],[Quantity (doses)]]/Table3[[#This Row],[Doses per vial or syringe]],"")</f>
        <v/>
      </c>
      <c r="N857" s="127"/>
      <c r="O857" s="127"/>
      <c r="P857" s="381"/>
      <c r="Q857" s="129"/>
      <c r="R857" s="127"/>
      <c r="S857" s="127"/>
      <c r="T857" s="127"/>
      <c r="U857" s="127"/>
      <c r="V857" s="305" t="str">
        <f>_xlfn.IFNA(VLOOKUP(D857,ProductListTbl[],9,0),"")</f>
        <v/>
      </c>
      <c r="W857" s="305" t="str">
        <f>IFERROR(Table3[[#This Row],[Storage space per secondary packaging (cm3)]]*Table3[[#This Row],[Quantity  (vials or syringes)]]/1000,"")</f>
        <v/>
      </c>
      <c r="X857" s="305" t="str">
        <f>IFERROR(Table3[[#This Row],[Storage space per tertiary packaging (cm3)]]*Table3[[#This Row],[Quantity (doses)]]/1000,"")</f>
        <v/>
      </c>
      <c r="Y857" s="293" t="str">
        <f>IF(Table3[[#This Row],[Status]]="Ordered",(DATE(YEAR(P857),MONTH(P857),1)),IF(Table3[[#This Row],[Status]]="Received",(DATE(YEAR(Q857),MONTH(Q857),1)),""))</f>
        <v/>
      </c>
      <c r="Z857" s="304" t="str">
        <f t="shared" si="52"/>
        <v/>
      </c>
      <c r="AA857" s="48" t="str">
        <f t="shared" si="53"/>
        <v/>
      </c>
      <c r="AB857" s="48" t="str">
        <f t="shared" si="54"/>
        <v/>
      </c>
      <c r="AC857" s="292" t="str">
        <f t="shared" si="55"/>
        <v/>
      </c>
      <c r="AD857" s="48" t="str">
        <f>IF(Table3[[#This Row],[Actual Arrival date]]&gt;0,IF(Table3[[#This Row],[Expected arrival date]]&gt;0,Table3[[#This Row],[Actual Arrival date]]-Table3[[#This Row],[Expected arrival date]],""),"")</f>
        <v/>
      </c>
    </row>
    <row r="858" spans="1:30" x14ac:dyDescent="0.25">
      <c r="A858" s="303" t="str">
        <f>Start!$D$7</f>
        <v>Anyland</v>
      </c>
      <c r="B858" s="48" t="str">
        <f>_xlfn.IFNA(VLOOKUP(A858,list!B:C,2,FALSE),"")</f>
        <v>ANY</v>
      </c>
      <c r="C858" s="48"/>
      <c r="D858" s="127"/>
      <c r="E858" s="48" t="str">
        <f>_xlfn.IFNA(VLOOKUP(Table3[[#This Row],[Product]], ProductListTbl[], 3, 0), "")</f>
        <v/>
      </c>
      <c r="F858" s="303" t="str">
        <f>_xlfn.IFNA(VLOOKUP(D858,ProductListTbl[],5,0),"")</f>
        <v/>
      </c>
      <c r="G858" s="303" t="str">
        <f>_xlfn.IFNA(VLOOKUP(D858,ProductListTbl[],6,0),"")</f>
        <v/>
      </c>
      <c r="H858" s="130" t="str">
        <f>_xlfn.IFNA(VLOOKUP(D858,ProductListTbl[],7,0),"")</f>
        <v/>
      </c>
      <c r="I858" s="130" t="str">
        <f>_xlfn.IFNA(VLOOKUP(D858,ProductListTbl[],8,0),"")</f>
        <v/>
      </c>
      <c r="J858" s="127"/>
      <c r="K858" s="129"/>
      <c r="L858" s="128"/>
      <c r="M858" s="305" t="str">
        <f>IFERROR(Table3[[#This Row],[Quantity (doses)]]/Table3[[#This Row],[Doses per vial or syringe]],"")</f>
        <v/>
      </c>
      <c r="N858" s="127"/>
      <c r="O858" s="127"/>
      <c r="P858" s="381"/>
      <c r="Q858" s="129"/>
      <c r="R858" s="127"/>
      <c r="S858" s="127"/>
      <c r="T858" s="127"/>
      <c r="U858" s="127"/>
      <c r="V858" s="305" t="str">
        <f>_xlfn.IFNA(VLOOKUP(D858,ProductListTbl[],9,0),"")</f>
        <v/>
      </c>
      <c r="W858" s="305" t="str">
        <f>IFERROR(Table3[[#This Row],[Storage space per secondary packaging (cm3)]]*Table3[[#This Row],[Quantity  (vials or syringes)]]/1000,"")</f>
        <v/>
      </c>
      <c r="X858" s="305" t="str">
        <f>IFERROR(Table3[[#This Row],[Storage space per tertiary packaging (cm3)]]*Table3[[#This Row],[Quantity (doses)]]/1000,"")</f>
        <v/>
      </c>
      <c r="Y858" s="293" t="str">
        <f>IF(Table3[[#This Row],[Status]]="Ordered",(DATE(YEAR(P858),MONTH(P858),1)),IF(Table3[[#This Row],[Status]]="Received",(DATE(YEAR(Q858),MONTH(Q858),1)),""))</f>
        <v/>
      </c>
      <c r="Z858" s="304" t="str">
        <f t="shared" si="52"/>
        <v/>
      </c>
      <c r="AA858" s="48" t="str">
        <f t="shared" si="53"/>
        <v/>
      </c>
      <c r="AB858" s="48" t="str">
        <f t="shared" si="54"/>
        <v/>
      </c>
      <c r="AC858" s="292" t="str">
        <f t="shared" si="55"/>
        <v/>
      </c>
      <c r="AD858" s="48" t="str">
        <f>IF(Table3[[#This Row],[Actual Arrival date]]&gt;0,IF(Table3[[#This Row],[Expected arrival date]]&gt;0,Table3[[#This Row],[Actual Arrival date]]-Table3[[#This Row],[Expected arrival date]],""),"")</f>
        <v/>
      </c>
    </row>
    <row r="859" spans="1:30" x14ac:dyDescent="0.25">
      <c r="A859" s="303" t="str">
        <f>Start!$D$7</f>
        <v>Anyland</v>
      </c>
      <c r="B859" s="48" t="str">
        <f>_xlfn.IFNA(VLOOKUP(A859,list!B:C,2,FALSE),"")</f>
        <v>ANY</v>
      </c>
      <c r="C859" s="48"/>
      <c r="D859" s="127"/>
      <c r="E859" s="48" t="str">
        <f>_xlfn.IFNA(VLOOKUP(Table3[[#This Row],[Product]], ProductListTbl[], 3, 0), "")</f>
        <v/>
      </c>
      <c r="F859" s="303" t="str">
        <f>_xlfn.IFNA(VLOOKUP(D859,ProductListTbl[],5,0),"")</f>
        <v/>
      </c>
      <c r="G859" s="303" t="str">
        <f>_xlfn.IFNA(VLOOKUP(D859,ProductListTbl[],6,0),"")</f>
        <v/>
      </c>
      <c r="H859" s="130" t="str">
        <f>_xlfn.IFNA(VLOOKUP(D859,ProductListTbl[],7,0),"")</f>
        <v/>
      </c>
      <c r="I859" s="130" t="str">
        <f>_xlfn.IFNA(VLOOKUP(D859,ProductListTbl[],8,0),"")</f>
        <v/>
      </c>
      <c r="J859" s="127"/>
      <c r="K859" s="129"/>
      <c r="L859" s="128"/>
      <c r="M859" s="305" t="str">
        <f>IFERROR(Table3[[#This Row],[Quantity (doses)]]/Table3[[#This Row],[Doses per vial or syringe]],"")</f>
        <v/>
      </c>
      <c r="N859" s="127"/>
      <c r="O859" s="127"/>
      <c r="P859" s="381"/>
      <c r="Q859" s="129"/>
      <c r="R859" s="127"/>
      <c r="S859" s="127"/>
      <c r="T859" s="127"/>
      <c r="U859" s="127"/>
      <c r="V859" s="305" t="str">
        <f>_xlfn.IFNA(VLOOKUP(D859,ProductListTbl[],9,0),"")</f>
        <v/>
      </c>
      <c r="W859" s="305" t="str">
        <f>IFERROR(Table3[[#This Row],[Storage space per secondary packaging (cm3)]]*Table3[[#This Row],[Quantity  (vials or syringes)]]/1000,"")</f>
        <v/>
      </c>
      <c r="X859" s="305" t="str">
        <f>IFERROR(Table3[[#This Row],[Storage space per tertiary packaging (cm3)]]*Table3[[#This Row],[Quantity (doses)]]/1000,"")</f>
        <v/>
      </c>
      <c r="Y859" s="293" t="str">
        <f>IF(Table3[[#This Row],[Status]]="Ordered",(DATE(YEAR(P859),MONTH(P859),1)),IF(Table3[[#This Row],[Status]]="Received",(DATE(YEAR(Q859),MONTH(Q859),1)),""))</f>
        <v/>
      </c>
      <c r="Z859" s="304" t="str">
        <f t="shared" si="52"/>
        <v/>
      </c>
      <c r="AA859" s="48" t="str">
        <f t="shared" si="53"/>
        <v/>
      </c>
      <c r="AB859" s="48" t="str">
        <f t="shared" si="54"/>
        <v/>
      </c>
      <c r="AC859" s="292" t="str">
        <f t="shared" si="55"/>
        <v/>
      </c>
      <c r="AD859" s="48" t="str">
        <f>IF(Table3[[#This Row],[Actual Arrival date]]&gt;0,IF(Table3[[#This Row],[Expected arrival date]]&gt;0,Table3[[#This Row],[Actual Arrival date]]-Table3[[#This Row],[Expected arrival date]],""),"")</f>
        <v/>
      </c>
    </row>
    <row r="860" spans="1:30" x14ac:dyDescent="0.25">
      <c r="A860" s="303" t="str">
        <f>Start!$D$7</f>
        <v>Anyland</v>
      </c>
      <c r="B860" s="48" t="str">
        <f>_xlfn.IFNA(VLOOKUP(A860,list!B:C,2,FALSE),"")</f>
        <v>ANY</v>
      </c>
      <c r="C860" s="48"/>
      <c r="D860" s="127"/>
      <c r="E860" s="48" t="str">
        <f>_xlfn.IFNA(VLOOKUP(Table3[[#This Row],[Product]], ProductListTbl[], 3, 0), "")</f>
        <v/>
      </c>
      <c r="F860" s="303" t="str">
        <f>_xlfn.IFNA(VLOOKUP(D860,ProductListTbl[],5,0),"")</f>
        <v/>
      </c>
      <c r="G860" s="303" t="str">
        <f>_xlfn.IFNA(VLOOKUP(D860,ProductListTbl[],6,0),"")</f>
        <v/>
      </c>
      <c r="H860" s="130" t="str">
        <f>_xlfn.IFNA(VLOOKUP(D860,ProductListTbl[],7,0),"")</f>
        <v/>
      </c>
      <c r="I860" s="130" t="str">
        <f>_xlfn.IFNA(VLOOKUP(D860,ProductListTbl[],8,0),"")</f>
        <v/>
      </c>
      <c r="J860" s="127"/>
      <c r="K860" s="129"/>
      <c r="L860" s="128"/>
      <c r="M860" s="305" t="str">
        <f>IFERROR(Table3[[#This Row],[Quantity (doses)]]/Table3[[#This Row],[Doses per vial or syringe]],"")</f>
        <v/>
      </c>
      <c r="N860" s="127"/>
      <c r="O860" s="127"/>
      <c r="P860" s="381"/>
      <c r="Q860" s="129"/>
      <c r="R860" s="127"/>
      <c r="S860" s="127"/>
      <c r="T860" s="127"/>
      <c r="U860" s="127"/>
      <c r="V860" s="305" t="str">
        <f>_xlfn.IFNA(VLOOKUP(D860,ProductListTbl[],9,0),"")</f>
        <v/>
      </c>
      <c r="W860" s="305" t="str">
        <f>IFERROR(Table3[[#This Row],[Storage space per secondary packaging (cm3)]]*Table3[[#This Row],[Quantity  (vials or syringes)]]/1000,"")</f>
        <v/>
      </c>
      <c r="X860" s="305" t="str">
        <f>IFERROR(Table3[[#This Row],[Storage space per tertiary packaging (cm3)]]*Table3[[#This Row],[Quantity (doses)]]/1000,"")</f>
        <v/>
      </c>
      <c r="Y860" s="293" t="str">
        <f>IF(Table3[[#This Row],[Status]]="Ordered",(DATE(YEAR(P860),MONTH(P860),1)),IF(Table3[[#This Row],[Status]]="Received",(DATE(YEAR(Q860),MONTH(Q860),1)),""))</f>
        <v/>
      </c>
      <c r="Z860" s="304" t="str">
        <f t="shared" si="52"/>
        <v/>
      </c>
      <c r="AA860" s="48" t="str">
        <f t="shared" si="53"/>
        <v/>
      </c>
      <c r="AB860" s="48" t="str">
        <f t="shared" si="54"/>
        <v/>
      </c>
      <c r="AC860" s="292" t="str">
        <f t="shared" si="55"/>
        <v/>
      </c>
      <c r="AD860" s="48" t="str">
        <f>IF(Table3[[#This Row],[Actual Arrival date]]&gt;0,IF(Table3[[#This Row],[Expected arrival date]]&gt;0,Table3[[#This Row],[Actual Arrival date]]-Table3[[#This Row],[Expected arrival date]],""),"")</f>
        <v/>
      </c>
    </row>
    <row r="861" spans="1:30" x14ac:dyDescent="0.25">
      <c r="A861" s="303" t="str">
        <f>Start!$D$7</f>
        <v>Anyland</v>
      </c>
      <c r="B861" s="48" t="str">
        <f>_xlfn.IFNA(VLOOKUP(A861,list!B:C,2,FALSE),"")</f>
        <v>ANY</v>
      </c>
      <c r="C861" s="48"/>
      <c r="D861" s="127"/>
      <c r="E861" s="48" t="str">
        <f>_xlfn.IFNA(VLOOKUP(Table3[[#This Row],[Product]], ProductListTbl[], 3, 0), "")</f>
        <v/>
      </c>
      <c r="F861" s="303" t="str">
        <f>_xlfn.IFNA(VLOOKUP(D861,ProductListTbl[],5,0),"")</f>
        <v/>
      </c>
      <c r="G861" s="303" t="str">
        <f>_xlfn.IFNA(VLOOKUP(D861,ProductListTbl[],6,0),"")</f>
        <v/>
      </c>
      <c r="H861" s="130" t="str">
        <f>_xlfn.IFNA(VLOOKUP(D861,ProductListTbl[],7,0),"")</f>
        <v/>
      </c>
      <c r="I861" s="130" t="str">
        <f>_xlfn.IFNA(VLOOKUP(D861,ProductListTbl[],8,0),"")</f>
        <v/>
      </c>
      <c r="J861" s="127"/>
      <c r="K861" s="129"/>
      <c r="L861" s="128"/>
      <c r="M861" s="305" t="str">
        <f>IFERROR(Table3[[#This Row],[Quantity (doses)]]/Table3[[#This Row],[Doses per vial or syringe]],"")</f>
        <v/>
      </c>
      <c r="N861" s="127"/>
      <c r="O861" s="127"/>
      <c r="P861" s="381"/>
      <c r="Q861" s="129"/>
      <c r="R861" s="127"/>
      <c r="S861" s="127"/>
      <c r="T861" s="127"/>
      <c r="U861" s="127"/>
      <c r="V861" s="305" t="str">
        <f>_xlfn.IFNA(VLOOKUP(D861,ProductListTbl[],9,0),"")</f>
        <v/>
      </c>
      <c r="W861" s="305" t="str">
        <f>IFERROR(Table3[[#This Row],[Storage space per secondary packaging (cm3)]]*Table3[[#This Row],[Quantity  (vials or syringes)]]/1000,"")</f>
        <v/>
      </c>
      <c r="X861" s="305" t="str">
        <f>IFERROR(Table3[[#This Row],[Storage space per tertiary packaging (cm3)]]*Table3[[#This Row],[Quantity (doses)]]/1000,"")</f>
        <v/>
      </c>
      <c r="Y861" s="293" t="str">
        <f>IF(Table3[[#This Row],[Status]]="Ordered",(DATE(YEAR(P861),MONTH(P861),1)),IF(Table3[[#This Row],[Status]]="Received",(DATE(YEAR(Q861),MONTH(Q861),1)),""))</f>
        <v/>
      </c>
      <c r="Z861" s="304" t="str">
        <f t="shared" si="52"/>
        <v/>
      </c>
      <c r="AA861" s="48" t="str">
        <f t="shared" si="53"/>
        <v/>
      </c>
      <c r="AB861" s="48" t="str">
        <f t="shared" si="54"/>
        <v/>
      </c>
      <c r="AC861" s="292" t="str">
        <f t="shared" si="55"/>
        <v/>
      </c>
      <c r="AD861" s="48" t="str">
        <f>IF(Table3[[#This Row],[Actual Arrival date]]&gt;0,IF(Table3[[#This Row],[Expected arrival date]]&gt;0,Table3[[#This Row],[Actual Arrival date]]-Table3[[#This Row],[Expected arrival date]],""),"")</f>
        <v/>
      </c>
    </row>
    <row r="862" spans="1:30" x14ac:dyDescent="0.25">
      <c r="A862" s="303" t="str">
        <f>Start!$D$7</f>
        <v>Anyland</v>
      </c>
      <c r="B862" s="48" t="str">
        <f>_xlfn.IFNA(VLOOKUP(A862,list!B:C,2,FALSE),"")</f>
        <v>ANY</v>
      </c>
      <c r="C862" s="48"/>
      <c r="D862" s="127"/>
      <c r="E862" s="48" t="str">
        <f>_xlfn.IFNA(VLOOKUP(Table3[[#This Row],[Product]], ProductListTbl[], 3, 0), "")</f>
        <v/>
      </c>
      <c r="F862" s="303" t="str">
        <f>_xlfn.IFNA(VLOOKUP(D862,ProductListTbl[],5,0),"")</f>
        <v/>
      </c>
      <c r="G862" s="303" t="str">
        <f>_xlfn.IFNA(VLOOKUP(D862,ProductListTbl[],6,0),"")</f>
        <v/>
      </c>
      <c r="H862" s="130" t="str">
        <f>_xlfn.IFNA(VLOOKUP(D862,ProductListTbl[],7,0),"")</f>
        <v/>
      </c>
      <c r="I862" s="130" t="str">
        <f>_xlfn.IFNA(VLOOKUP(D862,ProductListTbl[],8,0),"")</f>
        <v/>
      </c>
      <c r="J862" s="127"/>
      <c r="K862" s="129"/>
      <c r="L862" s="128"/>
      <c r="M862" s="305" t="str">
        <f>IFERROR(Table3[[#This Row],[Quantity (doses)]]/Table3[[#This Row],[Doses per vial or syringe]],"")</f>
        <v/>
      </c>
      <c r="N862" s="127"/>
      <c r="O862" s="127"/>
      <c r="P862" s="381"/>
      <c r="Q862" s="129"/>
      <c r="R862" s="127"/>
      <c r="S862" s="127"/>
      <c r="T862" s="127"/>
      <c r="U862" s="127"/>
      <c r="V862" s="305" t="str">
        <f>_xlfn.IFNA(VLOOKUP(D862,ProductListTbl[],9,0),"")</f>
        <v/>
      </c>
      <c r="W862" s="305" t="str">
        <f>IFERROR(Table3[[#This Row],[Storage space per secondary packaging (cm3)]]*Table3[[#This Row],[Quantity  (vials or syringes)]]/1000,"")</f>
        <v/>
      </c>
      <c r="X862" s="305" t="str">
        <f>IFERROR(Table3[[#This Row],[Storage space per tertiary packaging (cm3)]]*Table3[[#This Row],[Quantity (doses)]]/1000,"")</f>
        <v/>
      </c>
      <c r="Y862" s="293" t="str">
        <f>IF(Table3[[#This Row],[Status]]="Ordered",(DATE(YEAR(P862),MONTH(P862),1)),IF(Table3[[#This Row],[Status]]="Received",(DATE(YEAR(Q862),MONTH(Q862),1)),""))</f>
        <v/>
      </c>
      <c r="Z862" s="304" t="str">
        <f t="shared" si="52"/>
        <v/>
      </c>
      <c r="AA862" s="48" t="str">
        <f t="shared" si="53"/>
        <v/>
      </c>
      <c r="AB862" s="48" t="str">
        <f t="shared" si="54"/>
        <v/>
      </c>
      <c r="AC862" s="292" t="str">
        <f t="shared" si="55"/>
        <v/>
      </c>
      <c r="AD862" s="48" t="str">
        <f>IF(Table3[[#This Row],[Actual Arrival date]]&gt;0,IF(Table3[[#This Row],[Expected arrival date]]&gt;0,Table3[[#This Row],[Actual Arrival date]]-Table3[[#This Row],[Expected arrival date]],""),"")</f>
        <v/>
      </c>
    </row>
    <row r="863" spans="1:30" x14ac:dyDescent="0.25">
      <c r="A863" s="303" t="str">
        <f>Start!$D$7</f>
        <v>Anyland</v>
      </c>
      <c r="B863" s="48" t="str">
        <f>_xlfn.IFNA(VLOOKUP(A863,list!B:C,2,FALSE),"")</f>
        <v>ANY</v>
      </c>
      <c r="C863" s="48"/>
      <c r="D863" s="127"/>
      <c r="E863" s="48" t="str">
        <f>_xlfn.IFNA(VLOOKUP(Table3[[#This Row],[Product]], ProductListTbl[], 3, 0), "")</f>
        <v/>
      </c>
      <c r="F863" s="303" t="str">
        <f>_xlfn.IFNA(VLOOKUP(D863,ProductListTbl[],5,0),"")</f>
        <v/>
      </c>
      <c r="G863" s="303" t="str">
        <f>_xlfn.IFNA(VLOOKUP(D863,ProductListTbl[],6,0),"")</f>
        <v/>
      </c>
      <c r="H863" s="130" t="str">
        <f>_xlfn.IFNA(VLOOKUP(D863,ProductListTbl[],7,0),"")</f>
        <v/>
      </c>
      <c r="I863" s="130" t="str">
        <f>_xlfn.IFNA(VLOOKUP(D863,ProductListTbl[],8,0),"")</f>
        <v/>
      </c>
      <c r="J863" s="127"/>
      <c r="K863" s="129"/>
      <c r="L863" s="128"/>
      <c r="M863" s="305" t="str">
        <f>IFERROR(Table3[[#This Row],[Quantity (doses)]]/Table3[[#This Row],[Doses per vial or syringe]],"")</f>
        <v/>
      </c>
      <c r="N863" s="127"/>
      <c r="O863" s="127"/>
      <c r="P863" s="381"/>
      <c r="Q863" s="129"/>
      <c r="R863" s="127"/>
      <c r="S863" s="127"/>
      <c r="T863" s="127"/>
      <c r="U863" s="127"/>
      <c r="V863" s="305" t="str">
        <f>_xlfn.IFNA(VLOOKUP(D863,ProductListTbl[],9,0),"")</f>
        <v/>
      </c>
      <c r="W863" s="305" t="str">
        <f>IFERROR(Table3[[#This Row],[Storage space per secondary packaging (cm3)]]*Table3[[#This Row],[Quantity  (vials or syringes)]]/1000,"")</f>
        <v/>
      </c>
      <c r="X863" s="305" t="str">
        <f>IFERROR(Table3[[#This Row],[Storage space per tertiary packaging (cm3)]]*Table3[[#This Row],[Quantity (doses)]]/1000,"")</f>
        <v/>
      </c>
      <c r="Y863" s="293" t="str">
        <f>IF(Table3[[#This Row],[Status]]="Ordered",(DATE(YEAR(P863),MONTH(P863),1)),IF(Table3[[#This Row],[Status]]="Received",(DATE(YEAR(Q863),MONTH(Q863),1)),""))</f>
        <v/>
      </c>
      <c r="Z863" s="304" t="str">
        <f t="shared" si="52"/>
        <v/>
      </c>
      <c r="AA863" s="48" t="str">
        <f t="shared" si="53"/>
        <v/>
      </c>
      <c r="AB863" s="48" t="str">
        <f t="shared" si="54"/>
        <v/>
      </c>
      <c r="AC863" s="292" t="str">
        <f t="shared" si="55"/>
        <v/>
      </c>
      <c r="AD863" s="48" t="str">
        <f>IF(Table3[[#This Row],[Actual Arrival date]]&gt;0,IF(Table3[[#This Row],[Expected arrival date]]&gt;0,Table3[[#This Row],[Actual Arrival date]]-Table3[[#This Row],[Expected arrival date]],""),"")</f>
        <v/>
      </c>
    </row>
    <row r="864" spans="1:30" x14ac:dyDescent="0.25">
      <c r="A864" s="303" t="str">
        <f>Start!$D$7</f>
        <v>Anyland</v>
      </c>
      <c r="B864" s="48" t="str">
        <f>_xlfn.IFNA(VLOOKUP(A864,list!B:C,2,FALSE),"")</f>
        <v>ANY</v>
      </c>
      <c r="C864" s="48"/>
      <c r="D864" s="127"/>
      <c r="E864" s="48" t="str">
        <f>_xlfn.IFNA(VLOOKUP(Table3[[#This Row],[Product]], ProductListTbl[], 3, 0), "")</f>
        <v/>
      </c>
      <c r="F864" s="303" t="str">
        <f>_xlfn.IFNA(VLOOKUP(D864,ProductListTbl[],5,0),"")</f>
        <v/>
      </c>
      <c r="G864" s="303" t="str">
        <f>_xlfn.IFNA(VLOOKUP(D864,ProductListTbl[],6,0),"")</f>
        <v/>
      </c>
      <c r="H864" s="130" t="str">
        <f>_xlfn.IFNA(VLOOKUP(D864,ProductListTbl[],7,0),"")</f>
        <v/>
      </c>
      <c r="I864" s="130" t="str">
        <f>_xlfn.IFNA(VLOOKUP(D864,ProductListTbl[],8,0),"")</f>
        <v/>
      </c>
      <c r="J864" s="127"/>
      <c r="K864" s="129"/>
      <c r="L864" s="128"/>
      <c r="M864" s="305" t="str">
        <f>IFERROR(Table3[[#This Row],[Quantity (doses)]]/Table3[[#This Row],[Doses per vial or syringe]],"")</f>
        <v/>
      </c>
      <c r="N864" s="127"/>
      <c r="O864" s="127"/>
      <c r="P864" s="381"/>
      <c r="Q864" s="129"/>
      <c r="R864" s="127"/>
      <c r="S864" s="127"/>
      <c r="T864" s="127"/>
      <c r="U864" s="127"/>
      <c r="V864" s="305" t="str">
        <f>_xlfn.IFNA(VLOOKUP(D864,ProductListTbl[],9,0),"")</f>
        <v/>
      </c>
      <c r="W864" s="305" t="str">
        <f>IFERROR(Table3[[#This Row],[Storage space per secondary packaging (cm3)]]*Table3[[#This Row],[Quantity  (vials or syringes)]]/1000,"")</f>
        <v/>
      </c>
      <c r="X864" s="305" t="str">
        <f>IFERROR(Table3[[#This Row],[Storage space per tertiary packaging (cm3)]]*Table3[[#This Row],[Quantity (doses)]]/1000,"")</f>
        <v/>
      </c>
      <c r="Y864" s="293" t="str">
        <f>IF(Table3[[#This Row],[Status]]="Ordered",(DATE(YEAR(P864),MONTH(P864),1)),IF(Table3[[#This Row],[Status]]="Received",(DATE(YEAR(Q864),MONTH(Q864),1)),""))</f>
        <v/>
      </c>
      <c r="Z864" s="304" t="str">
        <f t="shared" si="52"/>
        <v/>
      </c>
      <c r="AA864" s="48" t="str">
        <f t="shared" si="53"/>
        <v/>
      </c>
      <c r="AB864" s="48" t="str">
        <f t="shared" si="54"/>
        <v/>
      </c>
      <c r="AC864" s="292" t="str">
        <f t="shared" si="55"/>
        <v/>
      </c>
      <c r="AD864" s="48" t="str">
        <f>IF(Table3[[#This Row],[Actual Arrival date]]&gt;0,IF(Table3[[#This Row],[Expected arrival date]]&gt;0,Table3[[#This Row],[Actual Arrival date]]-Table3[[#This Row],[Expected arrival date]],""),"")</f>
        <v/>
      </c>
    </row>
    <row r="865" spans="1:30" x14ac:dyDescent="0.25">
      <c r="A865" s="303" t="str">
        <f>Start!$D$7</f>
        <v>Anyland</v>
      </c>
      <c r="B865" s="48" t="str">
        <f>_xlfn.IFNA(VLOOKUP(A865,list!B:C,2,FALSE),"")</f>
        <v>ANY</v>
      </c>
      <c r="C865" s="48"/>
      <c r="D865" s="127"/>
      <c r="E865" s="48" t="str">
        <f>_xlfn.IFNA(VLOOKUP(Table3[[#This Row],[Product]], ProductListTbl[], 3, 0), "")</f>
        <v/>
      </c>
      <c r="F865" s="303" t="str">
        <f>_xlfn.IFNA(VLOOKUP(D865,ProductListTbl[],5,0),"")</f>
        <v/>
      </c>
      <c r="G865" s="303" t="str">
        <f>_xlfn.IFNA(VLOOKUP(D865,ProductListTbl[],6,0),"")</f>
        <v/>
      </c>
      <c r="H865" s="130" t="str">
        <f>_xlfn.IFNA(VLOOKUP(D865,ProductListTbl[],7,0),"")</f>
        <v/>
      </c>
      <c r="I865" s="130" t="str">
        <f>_xlfn.IFNA(VLOOKUP(D865,ProductListTbl[],8,0),"")</f>
        <v/>
      </c>
      <c r="J865" s="127"/>
      <c r="K865" s="129"/>
      <c r="L865" s="128"/>
      <c r="M865" s="305" t="str">
        <f>IFERROR(Table3[[#This Row],[Quantity (doses)]]/Table3[[#This Row],[Doses per vial or syringe]],"")</f>
        <v/>
      </c>
      <c r="N865" s="127"/>
      <c r="O865" s="127"/>
      <c r="P865" s="381"/>
      <c r="Q865" s="129"/>
      <c r="R865" s="127"/>
      <c r="S865" s="127"/>
      <c r="T865" s="127"/>
      <c r="U865" s="127"/>
      <c r="V865" s="305" t="str">
        <f>_xlfn.IFNA(VLOOKUP(D865,ProductListTbl[],9,0),"")</f>
        <v/>
      </c>
      <c r="W865" s="305" t="str">
        <f>IFERROR(Table3[[#This Row],[Storage space per secondary packaging (cm3)]]*Table3[[#This Row],[Quantity  (vials or syringes)]]/1000,"")</f>
        <v/>
      </c>
      <c r="X865" s="305" t="str">
        <f>IFERROR(Table3[[#This Row],[Storage space per tertiary packaging (cm3)]]*Table3[[#This Row],[Quantity (doses)]]/1000,"")</f>
        <v/>
      </c>
      <c r="Y865" s="293" t="str">
        <f>IF(Table3[[#This Row],[Status]]="Ordered",(DATE(YEAR(P865),MONTH(P865),1)),IF(Table3[[#This Row],[Status]]="Received",(DATE(YEAR(Q865),MONTH(Q865),1)),""))</f>
        <v/>
      </c>
      <c r="Z865" s="304" t="str">
        <f t="shared" si="52"/>
        <v/>
      </c>
      <c r="AA865" s="48" t="str">
        <f t="shared" si="53"/>
        <v/>
      </c>
      <c r="AB865" s="48" t="str">
        <f t="shared" si="54"/>
        <v/>
      </c>
      <c r="AC865" s="292" t="str">
        <f t="shared" si="55"/>
        <v/>
      </c>
      <c r="AD865" s="48" t="str">
        <f>IF(Table3[[#This Row],[Actual Arrival date]]&gt;0,IF(Table3[[#This Row],[Expected arrival date]]&gt;0,Table3[[#This Row],[Actual Arrival date]]-Table3[[#This Row],[Expected arrival date]],""),"")</f>
        <v/>
      </c>
    </row>
    <row r="866" spans="1:30" x14ac:dyDescent="0.25">
      <c r="A866" s="303" t="str">
        <f>Start!$D$7</f>
        <v>Anyland</v>
      </c>
      <c r="B866" s="48" t="str">
        <f>_xlfn.IFNA(VLOOKUP(A866,list!B:C,2,FALSE),"")</f>
        <v>ANY</v>
      </c>
      <c r="C866" s="48"/>
      <c r="D866" s="127"/>
      <c r="E866" s="48" t="str">
        <f>_xlfn.IFNA(VLOOKUP(Table3[[#This Row],[Product]], ProductListTbl[], 3, 0), "")</f>
        <v/>
      </c>
      <c r="F866" s="303" t="str">
        <f>_xlfn.IFNA(VLOOKUP(D866,ProductListTbl[],5,0),"")</f>
        <v/>
      </c>
      <c r="G866" s="303" t="str">
        <f>_xlfn.IFNA(VLOOKUP(D866,ProductListTbl[],6,0),"")</f>
        <v/>
      </c>
      <c r="H866" s="130" t="str">
        <f>_xlfn.IFNA(VLOOKUP(D866,ProductListTbl[],7,0),"")</f>
        <v/>
      </c>
      <c r="I866" s="130" t="str">
        <f>_xlfn.IFNA(VLOOKUP(D866,ProductListTbl[],8,0),"")</f>
        <v/>
      </c>
      <c r="J866" s="127"/>
      <c r="K866" s="129"/>
      <c r="L866" s="128"/>
      <c r="M866" s="305" t="str">
        <f>IFERROR(Table3[[#This Row],[Quantity (doses)]]/Table3[[#This Row],[Doses per vial or syringe]],"")</f>
        <v/>
      </c>
      <c r="N866" s="127"/>
      <c r="O866" s="127"/>
      <c r="P866" s="381"/>
      <c r="Q866" s="129"/>
      <c r="R866" s="127"/>
      <c r="S866" s="127"/>
      <c r="T866" s="127"/>
      <c r="U866" s="127"/>
      <c r="V866" s="305" t="str">
        <f>_xlfn.IFNA(VLOOKUP(D866,ProductListTbl[],9,0),"")</f>
        <v/>
      </c>
      <c r="W866" s="305" t="str">
        <f>IFERROR(Table3[[#This Row],[Storage space per secondary packaging (cm3)]]*Table3[[#This Row],[Quantity  (vials or syringes)]]/1000,"")</f>
        <v/>
      </c>
      <c r="X866" s="305" t="str">
        <f>IFERROR(Table3[[#This Row],[Storage space per tertiary packaging (cm3)]]*Table3[[#This Row],[Quantity (doses)]]/1000,"")</f>
        <v/>
      </c>
      <c r="Y866" s="293" t="str">
        <f>IF(Table3[[#This Row],[Status]]="Ordered",(DATE(YEAR(P866),MONTH(P866),1)),IF(Table3[[#This Row],[Status]]="Received",(DATE(YEAR(Q866),MONTH(Q866),1)),""))</f>
        <v/>
      </c>
      <c r="Z866" s="304" t="str">
        <f t="shared" si="52"/>
        <v/>
      </c>
      <c r="AA866" s="48" t="str">
        <f t="shared" si="53"/>
        <v/>
      </c>
      <c r="AB866" s="48" t="str">
        <f t="shared" si="54"/>
        <v/>
      </c>
      <c r="AC866" s="292" t="str">
        <f t="shared" si="55"/>
        <v/>
      </c>
      <c r="AD866" s="48" t="str">
        <f>IF(Table3[[#This Row],[Actual Arrival date]]&gt;0,IF(Table3[[#This Row],[Expected arrival date]]&gt;0,Table3[[#This Row],[Actual Arrival date]]-Table3[[#This Row],[Expected arrival date]],""),"")</f>
        <v/>
      </c>
    </row>
    <row r="867" spans="1:30" x14ac:dyDescent="0.25">
      <c r="A867" s="303" t="str">
        <f>Start!$D$7</f>
        <v>Anyland</v>
      </c>
      <c r="B867" s="48" t="str">
        <f>_xlfn.IFNA(VLOOKUP(A867,list!B:C,2,FALSE),"")</f>
        <v>ANY</v>
      </c>
      <c r="C867" s="48"/>
      <c r="D867" s="127"/>
      <c r="E867" s="48" t="str">
        <f>_xlfn.IFNA(VLOOKUP(Table3[[#This Row],[Product]], ProductListTbl[], 3, 0), "")</f>
        <v/>
      </c>
      <c r="F867" s="303" t="str">
        <f>_xlfn.IFNA(VLOOKUP(D867,ProductListTbl[],5,0),"")</f>
        <v/>
      </c>
      <c r="G867" s="303" t="str">
        <f>_xlfn.IFNA(VLOOKUP(D867,ProductListTbl[],6,0),"")</f>
        <v/>
      </c>
      <c r="H867" s="130" t="str">
        <f>_xlfn.IFNA(VLOOKUP(D867,ProductListTbl[],7,0),"")</f>
        <v/>
      </c>
      <c r="I867" s="130" t="str">
        <f>_xlfn.IFNA(VLOOKUP(D867,ProductListTbl[],8,0),"")</f>
        <v/>
      </c>
      <c r="J867" s="127"/>
      <c r="K867" s="129"/>
      <c r="L867" s="128"/>
      <c r="M867" s="305" t="str">
        <f>IFERROR(Table3[[#This Row],[Quantity (doses)]]/Table3[[#This Row],[Doses per vial or syringe]],"")</f>
        <v/>
      </c>
      <c r="N867" s="127"/>
      <c r="O867" s="127"/>
      <c r="P867" s="381"/>
      <c r="Q867" s="129"/>
      <c r="R867" s="127"/>
      <c r="S867" s="127"/>
      <c r="T867" s="127"/>
      <c r="U867" s="127"/>
      <c r="V867" s="305" t="str">
        <f>_xlfn.IFNA(VLOOKUP(D867,ProductListTbl[],9,0),"")</f>
        <v/>
      </c>
      <c r="W867" s="305" t="str">
        <f>IFERROR(Table3[[#This Row],[Storage space per secondary packaging (cm3)]]*Table3[[#This Row],[Quantity  (vials or syringes)]]/1000,"")</f>
        <v/>
      </c>
      <c r="X867" s="305" t="str">
        <f>IFERROR(Table3[[#This Row],[Storage space per tertiary packaging (cm3)]]*Table3[[#This Row],[Quantity (doses)]]/1000,"")</f>
        <v/>
      </c>
      <c r="Y867" s="293" t="str">
        <f>IF(Table3[[#This Row],[Status]]="Ordered",(DATE(YEAR(P867),MONTH(P867),1)),IF(Table3[[#This Row],[Status]]="Received",(DATE(YEAR(Q867),MONTH(Q867),1)),""))</f>
        <v/>
      </c>
      <c r="Z867" s="304" t="str">
        <f t="shared" si="52"/>
        <v/>
      </c>
      <c r="AA867" s="48" t="str">
        <f t="shared" si="53"/>
        <v/>
      </c>
      <c r="AB867" s="48" t="str">
        <f t="shared" si="54"/>
        <v/>
      </c>
      <c r="AC867" s="292" t="str">
        <f t="shared" si="55"/>
        <v/>
      </c>
      <c r="AD867" s="48" t="str">
        <f>IF(Table3[[#This Row],[Actual Arrival date]]&gt;0,IF(Table3[[#This Row],[Expected arrival date]]&gt;0,Table3[[#This Row],[Actual Arrival date]]-Table3[[#This Row],[Expected arrival date]],""),"")</f>
        <v/>
      </c>
    </row>
    <row r="868" spans="1:30" x14ac:dyDescent="0.25">
      <c r="A868" s="303" t="str">
        <f>Start!$D$7</f>
        <v>Anyland</v>
      </c>
      <c r="B868" s="48" t="str">
        <f>_xlfn.IFNA(VLOOKUP(A868,list!B:C,2,FALSE),"")</f>
        <v>ANY</v>
      </c>
      <c r="C868" s="48"/>
      <c r="D868" s="127"/>
      <c r="E868" s="48" t="str">
        <f>_xlfn.IFNA(VLOOKUP(Table3[[#This Row],[Product]], ProductListTbl[], 3, 0), "")</f>
        <v/>
      </c>
      <c r="F868" s="303" t="str">
        <f>_xlfn.IFNA(VLOOKUP(D868,ProductListTbl[],5,0),"")</f>
        <v/>
      </c>
      <c r="G868" s="303" t="str">
        <f>_xlfn.IFNA(VLOOKUP(D868,ProductListTbl[],6,0),"")</f>
        <v/>
      </c>
      <c r="H868" s="130" t="str">
        <f>_xlfn.IFNA(VLOOKUP(D868,ProductListTbl[],7,0),"")</f>
        <v/>
      </c>
      <c r="I868" s="130" t="str">
        <f>_xlfn.IFNA(VLOOKUP(D868,ProductListTbl[],8,0),"")</f>
        <v/>
      </c>
      <c r="J868" s="127"/>
      <c r="K868" s="129"/>
      <c r="L868" s="128"/>
      <c r="M868" s="305" t="str">
        <f>IFERROR(Table3[[#This Row],[Quantity (doses)]]/Table3[[#This Row],[Doses per vial or syringe]],"")</f>
        <v/>
      </c>
      <c r="N868" s="127"/>
      <c r="O868" s="127"/>
      <c r="P868" s="381"/>
      <c r="Q868" s="129"/>
      <c r="R868" s="127"/>
      <c r="S868" s="127"/>
      <c r="T868" s="127"/>
      <c r="U868" s="127"/>
      <c r="V868" s="305" t="str">
        <f>_xlfn.IFNA(VLOOKUP(D868,ProductListTbl[],9,0),"")</f>
        <v/>
      </c>
      <c r="W868" s="305" t="str">
        <f>IFERROR(Table3[[#This Row],[Storage space per secondary packaging (cm3)]]*Table3[[#This Row],[Quantity  (vials or syringes)]]/1000,"")</f>
        <v/>
      </c>
      <c r="X868" s="305" t="str">
        <f>IFERROR(Table3[[#This Row],[Storage space per tertiary packaging (cm3)]]*Table3[[#This Row],[Quantity (doses)]]/1000,"")</f>
        <v/>
      </c>
      <c r="Y868" s="293" t="str">
        <f>IF(Table3[[#This Row],[Status]]="Ordered",(DATE(YEAR(P868),MONTH(P868),1)),IF(Table3[[#This Row],[Status]]="Received",(DATE(YEAR(Q868),MONTH(Q868),1)),""))</f>
        <v/>
      </c>
      <c r="Z868" s="304" t="str">
        <f t="shared" si="52"/>
        <v/>
      </c>
      <c r="AA868" s="48" t="str">
        <f t="shared" si="53"/>
        <v/>
      </c>
      <c r="AB868" s="48" t="str">
        <f t="shared" si="54"/>
        <v/>
      </c>
      <c r="AC868" s="292" t="str">
        <f t="shared" si="55"/>
        <v/>
      </c>
      <c r="AD868" s="48" t="str">
        <f>IF(Table3[[#This Row],[Actual Arrival date]]&gt;0,IF(Table3[[#This Row],[Expected arrival date]]&gt;0,Table3[[#This Row],[Actual Arrival date]]-Table3[[#This Row],[Expected arrival date]],""),"")</f>
        <v/>
      </c>
    </row>
    <row r="869" spans="1:30" x14ac:dyDescent="0.25">
      <c r="A869" s="303" t="str">
        <f>Start!$D$7</f>
        <v>Anyland</v>
      </c>
      <c r="B869" s="48" t="str">
        <f>_xlfn.IFNA(VLOOKUP(A869,list!B:C,2,FALSE),"")</f>
        <v>ANY</v>
      </c>
      <c r="C869" s="48"/>
      <c r="D869" s="127"/>
      <c r="E869" s="48" t="str">
        <f>_xlfn.IFNA(VLOOKUP(Table3[[#This Row],[Product]], ProductListTbl[], 3, 0), "")</f>
        <v/>
      </c>
      <c r="F869" s="303" t="str">
        <f>_xlfn.IFNA(VLOOKUP(D869,ProductListTbl[],5,0),"")</f>
        <v/>
      </c>
      <c r="G869" s="303" t="str">
        <f>_xlfn.IFNA(VLOOKUP(D869,ProductListTbl[],6,0),"")</f>
        <v/>
      </c>
      <c r="H869" s="130" t="str">
        <f>_xlfn.IFNA(VLOOKUP(D869,ProductListTbl[],7,0),"")</f>
        <v/>
      </c>
      <c r="I869" s="130" t="str">
        <f>_xlfn.IFNA(VLOOKUP(D869,ProductListTbl[],8,0),"")</f>
        <v/>
      </c>
      <c r="J869" s="127"/>
      <c r="K869" s="129"/>
      <c r="L869" s="128"/>
      <c r="M869" s="305" t="str">
        <f>IFERROR(Table3[[#This Row],[Quantity (doses)]]/Table3[[#This Row],[Doses per vial or syringe]],"")</f>
        <v/>
      </c>
      <c r="N869" s="127"/>
      <c r="O869" s="127"/>
      <c r="P869" s="381"/>
      <c r="Q869" s="129"/>
      <c r="R869" s="127"/>
      <c r="S869" s="127"/>
      <c r="T869" s="127"/>
      <c r="U869" s="127"/>
      <c r="V869" s="305" t="str">
        <f>_xlfn.IFNA(VLOOKUP(D869,ProductListTbl[],9,0),"")</f>
        <v/>
      </c>
      <c r="W869" s="305" t="str">
        <f>IFERROR(Table3[[#This Row],[Storage space per secondary packaging (cm3)]]*Table3[[#This Row],[Quantity  (vials or syringes)]]/1000,"")</f>
        <v/>
      </c>
      <c r="X869" s="305" t="str">
        <f>IFERROR(Table3[[#This Row],[Storage space per tertiary packaging (cm3)]]*Table3[[#This Row],[Quantity (doses)]]/1000,"")</f>
        <v/>
      </c>
      <c r="Y869" s="293" t="str">
        <f>IF(Table3[[#This Row],[Status]]="Ordered",(DATE(YEAR(P869),MONTH(P869),1)),IF(Table3[[#This Row],[Status]]="Received",(DATE(YEAR(Q869),MONTH(Q869),1)),""))</f>
        <v/>
      </c>
      <c r="Z869" s="304" t="str">
        <f t="shared" si="52"/>
        <v/>
      </c>
      <c r="AA869" s="48" t="str">
        <f t="shared" si="53"/>
        <v/>
      </c>
      <c r="AB869" s="48" t="str">
        <f t="shared" si="54"/>
        <v/>
      </c>
      <c r="AC869" s="292" t="str">
        <f t="shared" si="55"/>
        <v/>
      </c>
      <c r="AD869" s="48" t="str">
        <f>IF(Table3[[#This Row],[Actual Arrival date]]&gt;0,IF(Table3[[#This Row],[Expected arrival date]]&gt;0,Table3[[#This Row],[Actual Arrival date]]-Table3[[#This Row],[Expected arrival date]],""),"")</f>
        <v/>
      </c>
    </row>
    <row r="870" spans="1:30" x14ac:dyDescent="0.25">
      <c r="A870" s="303" t="str">
        <f>Start!$D$7</f>
        <v>Anyland</v>
      </c>
      <c r="B870" s="48" t="str">
        <f>_xlfn.IFNA(VLOOKUP(A870,list!B:C,2,FALSE),"")</f>
        <v>ANY</v>
      </c>
      <c r="C870" s="48"/>
      <c r="D870" s="127"/>
      <c r="E870" s="48" t="str">
        <f>_xlfn.IFNA(VLOOKUP(Table3[[#This Row],[Product]], ProductListTbl[], 3, 0), "")</f>
        <v/>
      </c>
      <c r="F870" s="303" t="str">
        <f>_xlfn.IFNA(VLOOKUP(D870,ProductListTbl[],5,0),"")</f>
        <v/>
      </c>
      <c r="G870" s="303" t="str">
        <f>_xlfn.IFNA(VLOOKUP(D870,ProductListTbl[],6,0),"")</f>
        <v/>
      </c>
      <c r="H870" s="130" t="str">
        <f>_xlfn.IFNA(VLOOKUP(D870,ProductListTbl[],7,0),"")</f>
        <v/>
      </c>
      <c r="I870" s="130" t="str">
        <f>_xlfn.IFNA(VLOOKUP(D870,ProductListTbl[],8,0),"")</f>
        <v/>
      </c>
      <c r="J870" s="127"/>
      <c r="K870" s="129"/>
      <c r="L870" s="128"/>
      <c r="M870" s="305" t="str">
        <f>IFERROR(Table3[[#This Row],[Quantity (doses)]]/Table3[[#This Row],[Doses per vial or syringe]],"")</f>
        <v/>
      </c>
      <c r="N870" s="127"/>
      <c r="O870" s="127"/>
      <c r="P870" s="381"/>
      <c r="Q870" s="129"/>
      <c r="R870" s="127"/>
      <c r="S870" s="127"/>
      <c r="T870" s="127"/>
      <c r="U870" s="127"/>
      <c r="V870" s="305" t="str">
        <f>_xlfn.IFNA(VLOOKUP(D870,ProductListTbl[],9,0),"")</f>
        <v/>
      </c>
      <c r="W870" s="305" t="str">
        <f>IFERROR(Table3[[#This Row],[Storage space per secondary packaging (cm3)]]*Table3[[#This Row],[Quantity  (vials or syringes)]]/1000,"")</f>
        <v/>
      </c>
      <c r="X870" s="305" t="str">
        <f>IFERROR(Table3[[#This Row],[Storage space per tertiary packaging (cm3)]]*Table3[[#This Row],[Quantity (doses)]]/1000,"")</f>
        <v/>
      </c>
      <c r="Y870" s="293" t="str">
        <f>IF(Table3[[#This Row],[Status]]="Ordered",(DATE(YEAR(P870),MONTH(P870),1)),IF(Table3[[#This Row],[Status]]="Received",(DATE(YEAR(Q870),MONTH(Q870),1)),""))</f>
        <v/>
      </c>
      <c r="Z870" s="304" t="str">
        <f t="shared" si="52"/>
        <v/>
      </c>
      <c r="AA870" s="48" t="str">
        <f t="shared" si="53"/>
        <v/>
      </c>
      <c r="AB870" s="48" t="str">
        <f t="shared" si="54"/>
        <v/>
      </c>
      <c r="AC870" s="292" t="str">
        <f t="shared" si="55"/>
        <v/>
      </c>
      <c r="AD870" s="48" t="str">
        <f>IF(Table3[[#This Row],[Actual Arrival date]]&gt;0,IF(Table3[[#This Row],[Expected arrival date]]&gt;0,Table3[[#This Row],[Actual Arrival date]]-Table3[[#This Row],[Expected arrival date]],""),"")</f>
        <v/>
      </c>
    </row>
    <row r="871" spans="1:30" x14ac:dyDescent="0.25">
      <c r="A871" s="303" t="str">
        <f>Start!$D$7</f>
        <v>Anyland</v>
      </c>
      <c r="B871" s="48" t="str">
        <f>_xlfn.IFNA(VLOOKUP(A871,list!B:C,2,FALSE),"")</f>
        <v>ANY</v>
      </c>
      <c r="C871" s="48"/>
      <c r="D871" s="127"/>
      <c r="E871" s="48" t="str">
        <f>_xlfn.IFNA(VLOOKUP(Table3[[#This Row],[Product]], ProductListTbl[], 3, 0), "")</f>
        <v/>
      </c>
      <c r="F871" s="303" t="str">
        <f>_xlfn.IFNA(VLOOKUP(D871,ProductListTbl[],5,0),"")</f>
        <v/>
      </c>
      <c r="G871" s="303" t="str">
        <f>_xlfn.IFNA(VLOOKUP(D871,ProductListTbl[],6,0),"")</f>
        <v/>
      </c>
      <c r="H871" s="130" t="str">
        <f>_xlfn.IFNA(VLOOKUP(D871,ProductListTbl[],7,0),"")</f>
        <v/>
      </c>
      <c r="I871" s="130" t="str">
        <f>_xlfn.IFNA(VLOOKUP(D871,ProductListTbl[],8,0),"")</f>
        <v/>
      </c>
      <c r="J871" s="127"/>
      <c r="K871" s="129"/>
      <c r="L871" s="128"/>
      <c r="M871" s="305" t="str">
        <f>IFERROR(Table3[[#This Row],[Quantity (doses)]]/Table3[[#This Row],[Doses per vial or syringe]],"")</f>
        <v/>
      </c>
      <c r="N871" s="127"/>
      <c r="O871" s="127"/>
      <c r="P871" s="381"/>
      <c r="Q871" s="129"/>
      <c r="R871" s="127"/>
      <c r="S871" s="127"/>
      <c r="T871" s="127"/>
      <c r="U871" s="127"/>
      <c r="V871" s="305" t="str">
        <f>_xlfn.IFNA(VLOOKUP(D871,ProductListTbl[],9,0),"")</f>
        <v/>
      </c>
      <c r="W871" s="305" t="str">
        <f>IFERROR(Table3[[#This Row],[Storage space per secondary packaging (cm3)]]*Table3[[#This Row],[Quantity  (vials or syringes)]]/1000,"")</f>
        <v/>
      </c>
      <c r="X871" s="305" t="str">
        <f>IFERROR(Table3[[#This Row],[Storage space per tertiary packaging (cm3)]]*Table3[[#This Row],[Quantity (doses)]]/1000,"")</f>
        <v/>
      </c>
      <c r="Y871" s="293" t="str">
        <f>IF(Table3[[#This Row],[Status]]="Ordered",(DATE(YEAR(P871),MONTH(P871),1)),IF(Table3[[#This Row],[Status]]="Received",(DATE(YEAR(Q871),MONTH(Q871),1)),""))</f>
        <v/>
      </c>
      <c r="Z871" s="304" t="str">
        <f t="shared" si="52"/>
        <v/>
      </c>
      <c r="AA871" s="48" t="str">
        <f t="shared" si="53"/>
        <v/>
      </c>
      <c r="AB871" s="48" t="str">
        <f t="shared" si="54"/>
        <v/>
      </c>
      <c r="AC871" s="292" t="str">
        <f t="shared" si="55"/>
        <v/>
      </c>
      <c r="AD871" s="48" t="str">
        <f>IF(Table3[[#This Row],[Actual Arrival date]]&gt;0,IF(Table3[[#This Row],[Expected arrival date]]&gt;0,Table3[[#This Row],[Actual Arrival date]]-Table3[[#This Row],[Expected arrival date]],""),"")</f>
        <v/>
      </c>
    </row>
    <row r="872" spans="1:30" x14ac:dyDescent="0.25">
      <c r="A872" s="303" t="str">
        <f>Start!$D$7</f>
        <v>Anyland</v>
      </c>
      <c r="B872" s="48" t="str">
        <f>_xlfn.IFNA(VLOOKUP(A872,list!B:C,2,FALSE),"")</f>
        <v>ANY</v>
      </c>
      <c r="C872" s="48"/>
      <c r="D872" s="127"/>
      <c r="E872" s="48" t="str">
        <f>_xlfn.IFNA(VLOOKUP(Table3[[#This Row],[Product]], ProductListTbl[], 3, 0), "")</f>
        <v/>
      </c>
      <c r="F872" s="303" t="str">
        <f>_xlfn.IFNA(VLOOKUP(D872,ProductListTbl[],5,0),"")</f>
        <v/>
      </c>
      <c r="G872" s="303" t="str">
        <f>_xlfn.IFNA(VLOOKUP(D872,ProductListTbl[],6,0),"")</f>
        <v/>
      </c>
      <c r="H872" s="130" t="str">
        <f>_xlfn.IFNA(VLOOKUP(D872,ProductListTbl[],7,0),"")</f>
        <v/>
      </c>
      <c r="I872" s="130" t="str">
        <f>_xlfn.IFNA(VLOOKUP(D872,ProductListTbl[],8,0),"")</f>
        <v/>
      </c>
      <c r="J872" s="127"/>
      <c r="K872" s="129"/>
      <c r="L872" s="128"/>
      <c r="M872" s="305" t="str">
        <f>IFERROR(Table3[[#This Row],[Quantity (doses)]]/Table3[[#This Row],[Doses per vial or syringe]],"")</f>
        <v/>
      </c>
      <c r="N872" s="127"/>
      <c r="O872" s="127"/>
      <c r="P872" s="381"/>
      <c r="Q872" s="129"/>
      <c r="R872" s="127"/>
      <c r="S872" s="127"/>
      <c r="T872" s="127"/>
      <c r="U872" s="127"/>
      <c r="V872" s="305" t="str">
        <f>_xlfn.IFNA(VLOOKUP(D872,ProductListTbl[],9,0),"")</f>
        <v/>
      </c>
      <c r="W872" s="305" t="str">
        <f>IFERROR(Table3[[#This Row],[Storage space per secondary packaging (cm3)]]*Table3[[#This Row],[Quantity  (vials or syringes)]]/1000,"")</f>
        <v/>
      </c>
      <c r="X872" s="305" t="str">
        <f>IFERROR(Table3[[#This Row],[Storage space per tertiary packaging (cm3)]]*Table3[[#This Row],[Quantity (doses)]]/1000,"")</f>
        <v/>
      </c>
      <c r="Y872" s="293" t="str">
        <f>IF(Table3[[#This Row],[Status]]="Ordered",(DATE(YEAR(P872),MONTH(P872),1)),IF(Table3[[#This Row],[Status]]="Received",(DATE(YEAR(Q872),MONTH(Q872),1)),""))</f>
        <v/>
      </c>
      <c r="Z872" s="304" t="str">
        <f t="shared" si="52"/>
        <v/>
      </c>
      <c r="AA872" s="48" t="str">
        <f t="shared" si="53"/>
        <v/>
      </c>
      <c r="AB872" s="48" t="str">
        <f t="shared" si="54"/>
        <v/>
      </c>
      <c r="AC872" s="292" t="str">
        <f t="shared" si="55"/>
        <v/>
      </c>
      <c r="AD872" s="48" t="str">
        <f>IF(Table3[[#This Row],[Actual Arrival date]]&gt;0,IF(Table3[[#This Row],[Expected arrival date]]&gt;0,Table3[[#This Row],[Actual Arrival date]]-Table3[[#This Row],[Expected arrival date]],""),"")</f>
        <v/>
      </c>
    </row>
    <row r="873" spans="1:30" x14ac:dyDescent="0.25">
      <c r="A873" s="303" t="str">
        <f>Start!$D$7</f>
        <v>Anyland</v>
      </c>
      <c r="B873" s="48" t="str">
        <f>_xlfn.IFNA(VLOOKUP(A873,list!B:C,2,FALSE),"")</f>
        <v>ANY</v>
      </c>
      <c r="C873" s="48"/>
      <c r="D873" s="127"/>
      <c r="E873" s="48" t="str">
        <f>_xlfn.IFNA(VLOOKUP(Table3[[#This Row],[Product]], ProductListTbl[], 3, 0), "")</f>
        <v/>
      </c>
      <c r="F873" s="303" t="str">
        <f>_xlfn.IFNA(VLOOKUP(D873,ProductListTbl[],5,0),"")</f>
        <v/>
      </c>
      <c r="G873" s="303" t="str">
        <f>_xlfn.IFNA(VLOOKUP(D873,ProductListTbl[],6,0),"")</f>
        <v/>
      </c>
      <c r="H873" s="130" t="str">
        <f>_xlfn.IFNA(VLOOKUP(D873,ProductListTbl[],7,0),"")</f>
        <v/>
      </c>
      <c r="I873" s="130" t="str">
        <f>_xlfn.IFNA(VLOOKUP(D873,ProductListTbl[],8,0),"")</f>
        <v/>
      </c>
      <c r="J873" s="127"/>
      <c r="K873" s="129"/>
      <c r="L873" s="128"/>
      <c r="M873" s="305" t="str">
        <f>IFERROR(Table3[[#This Row],[Quantity (doses)]]/Table3[[#This Row],[Doses per vial or syringe]],"")</f>
        <v/>
      </c>
      <c r="N873" s="127"/>
      <c r="O873" s="127"/>
      <c r="P873" s="381"/>
      <c r="Q873" s="129"/>
      <c r="R873" s="127"/>
      <c r="S873" s="127"/>
      <c r="T873" s="127"/>
      <c r="U873" s="127"/>
      <c r="V873" s="305" t="str">
        <f>_xlfn.IFNA(VLOOKUP(D873,ProductListTbl[],9,0),"")</f>
        <v/>
      </c>
      <c r="W873" s="305" t="str">
        <f>IFERROR(Table3[[#This Row],[Storage space per secondary packaging (cm3)]]*Table3[[#This Row],[Quantity  (vials or syringes)]]/1000,"")</f>
        <v/>
      </c>
      <c r="X873" s="305" t="str">
        <f>IFERROR(Table3[[#This Row],[Storage space per tertiary packaging (cm3)]]*Table3[[#This Row],[Quantity (doses)]]/1000,"")</f>
        <v/>
      </c>
      <c r="Y873" s="293" t="str">
        <f>IF(Table3[[#This Row],[Status]]="Ordered",(DATE(YEAR(P873),MONTH(P873),1)),IF(Table3[[#This Row],[Status]]="Received",(DATE(YEAR(Q873),MONTH(Q873),1)),""))</f>
        <v/>
      </c>
      <c r="Z873" s="304" t="str">
        <f t="shared" si="52"/>
        <v/>
      </c>
      <c r="AA873" s="48" t="str">
        <f t="shared" si="53"/>
        <v/>
      </c>
      <c r="AB873" s="48" t="str">
        <f t="shared" si="54"/>
        <v/>
      </c>
      <c r="AC873" s="292" t="str">
        <f t="shared" si="55"/>
        <v/>
      </c>
      <c r="AD873" s="48" t="str">
        <f>IF(Table3[[#This Row],[Actual Arrival date]]&gt;0,IF(Table3[[#This Row],[Expected arrival date]]&gt;0,Table3[[#This Row],[Actual Arrival date]]-Table3[[#This Row],[Expected arrival date]],""),"")</f>
        <v/>
      </c>
    </row>
    <row r="874" spans="1:30" x14ac:dyDescent="0.25">
      <c r="A874" s="303" t="str">
        <f>Start!$D$7</f>
        <v>Anyland</v>
      </c>
      <c r="B874" s="48" t="str">
        <f>_xlfn.IFNA(VLOOKUP(A874,list!B:C,2,FALSE),"")</f>
        <v>ANY</v>
      </c>
      <c r="C874" s="48"/>
      <c r="D874" s="127"/>
      <c r="E874" s="48" t="str">
        <f>_xlfn.IFNA(VLOOKUP(Table3[[#This Row],[Product]], ProductListTbl[], 3, 0), "")</f>
        <v/>
      </c>
      <c r="F874" s="303" t="str">
        <f>_xlfn.IFNA(VLOOKUP(D874,ProductListTbl[],5,0),"")</f>
        <v/>
      </c>
      <c r="G874" s="303" t="str">
        <f>_xlfn.IFNA(VLOOKUP(D874,ProductListTbl[],6,0),"")</f>
        <v/>
      </c>
      <c r="H874" s="130" t="str">
        <f>_xlfn.IFNA(VLOOKUP(D874,ProductListTbl[],7,0),"")</f>
        <v/>
      </c>
      <c r="I874" s="130" t="str">
        <f>_xlfn.IFNA(VLOOKUP(D874,ProductListTbl[],8,0),"")</f>
        <v/>
      </c>
      <c r="J874" s="127"/>
      <c r="K874" s="129"/>
      <c r="L874" s="128"/>
      <c r="M874" s="305" t="str">
        <f>IFERROR(Table3[[#This Row],[Quantity (doses)]]/Table3[[#This Row],[Doses per vial or syringe]],"")</f>
        <v/>
      </c>
      <c r="N874" s="127"/>
      <c r="O874" s="127"/>
      <c r="P874" s="381"/>
      <c r="Q874" s="129"/>
      <c r="R874" s="127"/>
      <c r="S874" s="127"/>
      <c r="T874" s="127"/>
      <c r="U874" s="127"/>
      <c r="V874" s="305" t="str">
        <f>_xlfn.IFNA(VLOOKUP(D874,ProductListTbl[],9,0),"")</f>
        <v/>
      </c>
      <c r="W874" s="305" t="str">
        <f>IFERROR(Table3[[#This Row],[Storage space per secondary packaging (cm3)]]*Table3[[#This Row],[Quantity  (vials or syringes)]]/1000,"")</f>
        <v/>
      </c>
      <c r="X874" s="305" t="str">
        <f>IFERROR(Table3[[#This Row],[Storage space per tertiary packaging (cm3)]]*Table3[[#This Row],[Quantity (doses)]]/1000,"")</f>
        <v/>
      </c>
      <c r="Y874" s="293" t="str">
        <f>IF(Table3[[#This Row],[Status]]="Ordered",(DATE(YEAR(P874),MONTH(P874),1)),IF(Table3[[#This Row],[Status]]="Received",(DATE(YEAR(Q874),MONTH(Q874),1)),""))</f>
        <v/>
      </c>
      <c r="Z874" s="304" t="str">
        <f t="shared" si="52"/>
        <v/>
      </c>
      <c r="AA874" s="48" t="str">
        <f t="shared" si="53"/>
        <v/>
      </c>
      <c r="AB874" s="48" t="str">
        <f t="shared" si="54"/>
        <v/>
      </c>
      <c r="AC874" s="292" t="str">
        <f t="shared" si="55"/>
        <v/>
      </c>
      <c r="AD874" s="48" t="str">
        <f>IF(Table3[[#This Row],[Actual Arrival date]]&gt;0,IF(Table3[[#This Row],[Expected arrival date]]&gt;0,Table3[[#This Row],[Actual Arrival date]]-Table3[[#This Row],[Expected arrival date]],""),"")</f>
        <v/>
      </c>
    </row>
    <row r="875" spans="1:30" x14ac:dyDescent="0.25">
      <c r="A875" s="303" t="str">
        <f>Start!$D$7</f>
        <v>Anyland</v>
      </c>
      <c r="B875" s="48" t="str">
        <f>_xlfn.IFNA(VLOOKUP(A875,list!B:C,2,FALSE),"")</f>
        <v>ANY</v>
      </c>
      <c r="C875" s="48"/>
      <c r="D875" s="127"/>
      <c r="E875" s="48" t="str">
        <f>_xlfn.IFNA(VLOOKUP(Table3[[#This Row],[Product]], ProductListTbl[], 3, 0), "")</f>
        <v/>
      </c>
      <c r="F875" s="303" t="str">
        <f>_xlfn.IFNA(VLOOKUP(D875,ProductListTbl[],5,0),"")</f>
        <v/>
      </c>
      <c r="G875" s="303" t="str">
        <f>_xlfn.IFNA(VLOOKUP(D875,ProductListTbl[],6,0),"")</f>
        <v/>
      </c>
      <c r="H875" s="130" t="str">
        <f>_xlfn.IFNA(VLOOKUP(D875,ProductListTbl[],7,0),"")</f>
        <v/>
      </c>
      <c r="I875" s="130" t="str">
        <f>_xlfn.IFNA(VLOOKUP(D875,ProductListTbl[],8,0),"")</f>
        <v/>
      </c>
      <c r="J875" s="127"/>
      <c r="K875" s="129"/>
      <c r="L875" s="128"/>
      <c r="M875" s="305" t="str">
        <f>IFERROR(Table3[[#This Row],[Quantity (doses)]]/Table3[[#This Row],[Doses per vial or syringe]],"")</f>
        <v/>
      </c>
      <c r="N875" s="127"/>
      <c r="O875" s="127"/>
      <c r="P875" s="381"/>
      <c r="Q875" s="129"/>
      <c r="R875" s="127"/>
      <c r="S875" s="127"/>
      <c r="T875" s="127"/>
      <c r="U875" s="127"/>
      <c r="V875" s="305" t="str">
        <f>_xlfn.IFNA(VLOOKUP(D875,ProductListTbl[],9,0),"")</f>
        <v/>
      </c>
      <c r="W875" s="305" t="str">
        <f>IFERROR(Table3[[#This Row],[Storage space per secondary packaging (cm3)]]*Table3[[#This Row],[Quantity  (vials or syringes)]]/1000,"")</f>
        <v/>
      </c>
      <c r="X875" s="305" t="str">
        <f>IFERROR(Table3[[#This Row],[Storage space per tertiary packaging (cm3)]]*Table3[[#This Row],[Quantity (doses)]]/1000,"")</f>
        <v/>
      </c>
      <c r="Y875" s="293" t="str">
        <f>IF(Table3[[#This Row],[Status]]="Ordered",(DATE(YEAR(P875),MONTH(P875),1)),IF(Table3[[#This Row],[Status]]="Received",(DATE(YEAR(Q875),MONTH(Q875),1)),""))</f>
        <v/>
      </c>
      <c r="Z875" s="304" t="str">
        <f t="shared" si="52"/>
        <v/>
      </c>
      <c r="AA875" s="48" t="str">
        <f t="shared" si="53"/>
        <v/>
      </c>
      <c r="AB875" s="48" t="str">
        <f t="shared" si="54"/>
        <v/>
      </c>
      <c r="AC875" s="292" t="str">
        <f t="shared" si="55"/>
        <v/>
      </c>
      <c r="AD875" s="48" t="str">
        <f>IF(Table3[[#This Row],[Actual Arrival date]]&gt;0,IF(Table3[[#This Row],[Expected arrival date]]&gt;0,Table3[[#This Row],[Actual Arrival date]]-Table3[[#This Row],[Expected arrival date]],""),"")</f>
        <v/>
      </c>
    </row>
    <row r="876" spans="1:30" x14ac:dyDescent="0.25">
      <c r="A876" s="303" t="str">
        <f>Start!$D$7</f>
        <v>Anyland</v>
      </c>
      <c r="B876" s="48" t="str">
        <f>_xlfn.IFNA(VLOOKUP(A876,list!B:C,2,FALSE),"")</f>
        <v>ANY</v>
      </c>
      <c r="C876" s="48"/>
      <c r="D876" s="127"/>
      <c r="E876" s="48" t="str">
        <f>_xlfn.IFNA(VLOOKUP(Table3[[#This Row],[Product]], ProductListTbl[], 3, 0), "")</f>
        <v/>
      </c>
      <c r="F876" s="303" t="str">
        <f>_xlfn.IFNA(VLOOKUP(D876,ProductListTbl[],5,0),"")</f>
        <v/>
      </c>
      <c r="G876" s="303" t="str">
        <f>_xlfn.IFNA(VLOOKUP(D876,ProductListTbl[],6,0),"")</f>
        <v/>
      </c>
      <c r="H876" s="130" t="str">
        <f>_xlfn.IFNA(VLOOKUP(D876,ProductListTbl[],7,0),"")</f>
        <v/>
      </c>
      <c r="I876" s="130" t="str">
        <f>_xlfn.IFNA(VLOOKUP(D876,ProductListTbl[],8,0),"")</f>
        <v/>
      </c>
      <c r="J876" s="127"/>
      <c r="K876" s="129"/>
      <c r="L876" s="128"/>
      <c r="M876" s="305" t="str">
        <f>IFERROR(Table3[[#This Row],[Quantity (doses)]]/Table3[[#This Row],[Doses per vial or syringe]],"")</f>
        <v/>
      </c>
      <c r="N876" s="127"/>
      <c r="O876" s="127"/>
      <c r="P876" s="381"/>
      <c r="Q876" s="129"/>
      <c r="R876" s="127"/>
      <c r="S876" s="127"/>
      <c r="T876" s="127"/>
      <c r="U876" s="127"/>
      <c r="V876" s="305" t="str">
        <f>_xlfn.IFNA(VLOOKUP(D876,ProductListTbl[],9,0),"")</f>
        <v/>
      </c>
      <c r="W876" s="305" t="str">
        <f>IFERROR(Table3[[#This Row],[Storage space per secondary packaging (cm3)]]*Table3[[#This Row],[Quantity  (vials or syringes)]]/1000,"")</f>
        <v/>
      </c>
      <c r="X876" s="305" t="str">
        <f>IFERROR(Table3[[#This Row],[Storage space per tertiary packaging (cm3)]]*Table3[[#This Row],[Quantity (doses)]]/1000,"")</f>
        <v/>
      </c>
      <c r="Y876" s="293" t="str">
        <f>IF(Table3[[#This Row],[Status]]="Ordered",(DATE(YEAR(P876),MONTH(P876),1)),IF(Table3[[#This Row],[Status]]="Received",(DATE(YEAR(Q876),MONTH(Q876),1)),""))</f>
        <v/>
      </c>
      <c r="Z876" s="304" t="str">
        <f t="shared" si="52"/>
        <v/>
      </c>
      <c r="AA876" s="48" t="str">
        <f t="shared" si="53"/>
        <v/>
      </c>
      <c r="AB876" s="48" t="str">
        <f t="shared" si="54"/>
        <v/>
      </c>
      <c r="AC876" s="292" t="str">
        <f t="shared" si="55"/>
        <v/>
      </c>
      <c r="AD876" s="48" t="str">
        <f>IF(Table3[[#This Row],[Actual Arrival date]]&gt;0,IF(Table3[[#This Row],[Expected arrival date]]&gt;0,Table3[[#This Row],[Actual Arrival date]]-Table3[[#This Row],[Expected arrival date]],""),"")</f>
        <v/>
      </c>
    </row>
    <row r="877" spans="1:30" x14ac:dyDescent="0.25">
      <c r="A877" s="303" t="str">
        <f>Start!$D$7</f>
        <v>Anyland</v>
      </c>
      <c r="B877" s="48" t="str">
        <f>_xlfn.IFNA(VLOOKUP(A877,list!B:C,2,FALSE),"")</f>
        <v>ANY</v>
      </c>
      <c r="C877" s="48"/>
      <c r="D877" s="127"/>
      <c r="E877" s="48" t="str">
        <f>_xlfn.IFNA(VLOOKUP(Table3[[#This Row],[Product]], ProductListTbl[], 3, 0), "")</f>
        <v/>
      </c>
      <c r="F877" s="303" t="str">
        <f>_xlfn.IFNA(VLOOKUP(D877,ProductListTbl[],5,0),"")</f>
        <v/>
      </c>
      <c r="G877" s="303" t="str">
        <f>_xlfn.IFNA(VLOOKUP(D877,ProductListTbl[],6,0),"")</f>
        <v/>
      </c>
      <c r="H877" s="130" t="str">
        <f>_xlfn.IFNA(VLOOKUP(D877,ProductListTbl[],7,0),"")</f>
        <v/>
      </c>
      <c r="I877" s="130" t="str">
        <f>_xlfn.IFNA(VLOOKUP(D877,ProductListTbl[],8,0),"")</f>
        <v/>
      </c>
      <c r="J877" s="127"/>
      <c r="K877" s="129"/>
      <c r="L877" s="128"/>
      <c r="M877" s="305" t="str">
        <f>IFERROR(Table3[[#This Row],[Quantity (doses)]]/Table3[[#This Row],[Doses per vial or syringe]],"")</f>
        <v/>
      </c>
      <c r="N877" s="127"/>
      <c r="O877" s="127"/>
      <c r="P877" s="381"/>
      <c r="Q877" s="129"/>
      <c r="R877" s="127"/>
      <c r="S877" s="127"/>
      <c r="T877" s="127"/>
      <c r="U877" s="127"/>
      <c r="V877" s="305" t="str">
        <f>_xlfn.IFNA(VLOOKUP(D877,ProductListTbl[],9,0),"")</f>
        <v/>
      </c>
      <c r="W877" s="305" t="str">
        <f>IFERROR(Table3[[#This Row],[Storage space per secondary packaging (cm3)]]*Table3[[#This Row],[Quantity  (vials or syringes)]]/1000,"")</f>
        <v/>
      </c>
      <c r="X877" s="305" t="str">
        <f>IFERROR(Table3[[#This Row],[Storage space per tertiary packaging (cm3)]]*Table3[[#This Row],[Quantity (doses)]]/1000,"")</f>
        <v/>
      </c>
      <c r="Y877" s="293" t="str">
        <f>IF(Table3[[#This Row],[Status]]="Ordered",(DATE(YEAR(P877),MONTH(P877),1)),IF(Table3[[#This Row],[Status]]="Received",(DATE(YEAR(Q877),MONTH(Q877),1)),""))</f>
        <v/>
      </c>
      <c r="Z877" s="304" t="str">
        <f t="shared" si="52"/>
        <v/>
      </c>
      <c r="AA877" s="48" t="str">
        <f t="shared" si="53"/>
        <v/>
      </c>
      <c r="AB877" s="48" t="str">
        <f t="shared" si="54"/>
        <v/>
      </c>
      <c r="AC877" s="292" t="str">
        <f t="shared" si="55"/>
        <v/>
      </c>
      <c r="AD877" s="48" t="str">
        <f>IF(Table3[[#This Row],[Actual Arrival date]]&gt;0,IF(Table3[[#This Row],[Expected arrival date]]&gt;0,Table3[[#This Row],[Actual Arrival date]]-Table3[[#This Row],[Expected arrival date]],""),"")</f>
        <v/>
      </c>
    </row>
    <row r="878" spans="1:30" x14ac:dyDescent="0.25">
      <c r="A878" s="303" t="str">
        <f>Start!$D$7</f>
        <v>Anyland</v>
      </c>
      <c r="B878" s="48" t="str">
        <f>_xlfn.IFNA(VLOOKUP(A878,list!B:C,2,FALSE),"")</f>
        <v>ANY</v>
      </c>
      <c r="C878" s="48"/>
      <c r="D878" s="127"/>
      <c r="E878" s="48" t="str">
        <f>_xlfn.IFNA(VLOOKUP(Table3[[#This Row],[Product]], ProductListTbl[], 3, 0), "")</f>
        <v/>
      </c>
      <c r="F878" s="303" t="str">
        <f>_xlfn.IFNA(VLOOKUP(D878,ProductListTbl[],5,0),"")</f>
        <v/>
      </c>
      <c r="G878" s="303" t="str">
        <f>_xlfn.IFNA(VLOOKUP(D878,ProductListTbl[],6,0),"")</f>
        <v/>
      </c>
      <c r="H878" s="130" t="str">
        <f>_xlfn.IFNA(VLOOKUP(D878,ProductListTbl[],7,0),"")</f>
        <v/>
      </c>
      <c r="I878" s="130" t="str">
        <f>_xlfn.IFNA(VLOOKUP(D878,ProductListTbl[],8,0),"")</f>
        <v/>
      </c>
      <c r="J878" s="127"/>
      <c r="K878" s="129"/>
      <c r="L878" s="128"/>
      <c r="M878" s="305" t="str">
        <f>IFERROR(Table3[[#This Row],[Quantity (doses)]]/Table3[[#This Row],[Doses per vial or syringe]],"")</f>
        <v/>
      </c>
      <c r="N878" s="127"/>
      <c r="O878" s="127"/>
      <c r="P878" s="381"/>
      <c r="Q878" s="129"/>
      <c r="R878" s="127"/>
      <c r="S878" s="127"/>
      <c r="T878" s="127"/>
      <c r="U878" s="127"/>
      <c r="V878" s="305" t="str">
        <f>_xlfn.IFNA(VLOOKUP(D878,ProductListTbl[],9,0),"")</f>
        <v/>
      </c>
      <c r="W878" s="305" t="str">
        <f>IFERROR(Table3[[#This Row],[Storage space per secondary packaging (cm3)]]*Table3[[#This Row],[Quantity  (vials or syringes)]]/1000,"")</f>
        <v/>
      </c>
      <c r="X878" s="305" t="str">
        <f>IFERROR(Table3[[#This Row],[Storage space per tertiary packaging (cm3)]]*Table3[[#This Row],[Quantity (doses)]]/1000,"")</f>
        <v/>
      </c>
      <c r="Y878" s="293" t="str">
        <f>IF(Table3[[#This Row],[Status]]="Ordered",(DATE(YEAR(P878),MONTH(P878),1)),IF(Table3[[#This Row],[Status]]="Received",(DATE(YEAR(Q878),MONTH(Q878),1)),""))</f>
        <v/>
      </c>
      <c r="Z878" s="304" t="str">
        <f t="shared" si="52"/>
        <v/>
      </c>
      <c r="AA878" s="48" t="str">
        <f t="shared" si="53"/>
        <v/>
      </c>
      <c r="AB878" s="48" t="str">
        <f t="shared" si="54"/>
        <v/>
      </c>
      <c r="AC878" s="292" t="str">
        <f t="shared" si="55"/>
        <v/>
      </c>
      <c r="AD878" s="48" t="str">
        <f>IF(Table3[[#This Row],[Actual Arrival date]]&gt;0,IF(Table3[[#This Row],[Expected arrival date]]&gt;0,Table3[[#This Row],[Actual Arrival date]]-Table3[[#This Row],[Expected arrival date]],""),"")</f>
        <v/>
      </c>
    </row>
    <row r="879" spans="1:30" x14ac:dyDescent="0.25">
      <c r="A879" s="303" t="str">
        <f>Start!$D$7</f>
        <v>Anyland</v>
      </c>
      <c r="B879" s="48" t="str">
        <f>_xlfn.IFNA(VLOOKUP(A879,list!B:C,2,FALSE),"")</f>
        <v>ANY</v>
      </c>
      <c r="C879" s="48"/>
      <c r="D879" s="127"/>
      <c r="E879" s="48" t="str">
        <f>_xlfn.IFNA(VLOOKUP(Table3[[#This Row],[Product]], ProductListTbl[], 3, 0), "")</f>
        <v/>
      </c>
      <c r="F879" s="303" t="str">
        <f>_xlfn.IFNA(VLOOKUP(D879,ProductListTbl[],5,0),"")</f>
        <v/>
      </c>
      <c r="G879" s="303" t="str">
        <f>_xlfn.IFNA(VLOOKUP(D879,ProductListTbl[],6,0),"")</f>
        <v/>
      </c>
      <c r="H879" s="130" t="str">
        <f>_xlfn.IFNA(VLOOKUP(D879,ProductListTbl[],7,0),"")</f>
        <v/>
      </c>
      <c r="I879" s="130" t="str">
        <f>_xlfn.IFNA(VLOOKUP(D879,ProductListTbl[],8,0),"")</f>
        <v/>
      </c>
      <c r="J879" s="127"/>
      <c r="K879" s="129"/>
      <c r="L879" s="128"/>
      <c r="M879" s="305" t="str">
        <f>IFERROR(Table3[[#This Row],[Quantity (doses)]]/Table3[[#This Row],[Doses per vial or syringe]],"")</f>
        <v/>
      </c>
      <c r="N879" s="127"/>
      <c r="O879" s="127"/>
      <c r="P879" s="381"/>
      <c r="Q879" s="129"/>
      <c r="R879" s="127"/>
      <c r="S879" s="127"/>
      <c r="T879" s="127"/>
      <c r="U879" s="127"/>
      <c r="V879" s="305" t="str">
        <f>_xlfn.IFNA(VLOOKUP(D879,ProductListTbl[],9,0),"")</f>
        <v/>
      </c>
      <c r="W879" s="305" t="str">
        <f>IFERROR(Table3[[#This Row],[Storage space per secondary packaging (cm3)]]*Table3[[#This Row],[Quantity  (vials or syringes)]]/1000,"")</f>
        <v/>
      </c>
      <c r="X879" s="305" t="str">
        <f>IFERROR(Table3[[#This Row],[Storage space per tertiary packaging (cm3)]]*Table3[[#This Row],[Quantity (doses)]]/1000,"")</f>
        <v/>
      </c>
      <c r="Y879" s="293" t="str">
        <f>IF(Table3[[#This Row],[Status]]="Ordered",(DATE(YEAR(P879),MONTH(P879),1)),IF(Table3[[#This Row],[Status]]="Received",(DATE(YEAR(Q879),MONTH(Q879),1)),""))</f>
        <v/>
      </c>
      <c r="Z879" s="304" t="str">
        <f t="shared" si="52"/>
        <v/>
      </c>
      <c r="AA879" s="48" t="str">
        <f t="shared" si="53"/>
        <v/>
      </c>
      <c r="AB879" s="48" t="str">
        <f t="shared" si="54"/>
        <v/>
      </c>
      <c r="AC879" s="292" t="str">
        <f t="shared" si="55"/>
        <v/>
      </c>
      <c r="AD879" s="48" t="str">
        <f>IF(Table3[[#This Row],[Actual Arrival date]]&gt;0,IF(Table3[[#This Row],[Expected arrival date]]&gt;0,Table3[[#This Row],[Actual Arrival date]]-Table3[[#This Row],[Expected arrival date]],""),"")</f>
        <v/>
      </c>
    </row>
    <row r="880" spans="1:30" x14ac:dyDescent="0.25">
      <c r="A880" s="303" t="str">
        <f>Start!$D$7</f>
        <v>Anyland</v>
      </c>
      <c r="B880" s="48" t="str">
        <f>_xlfn.IFNA(VLOOKUP(A880,list!B:C,2,FALSE),"")</f>
        <v>ANY</v>
      </c>
      <c r="C880" s="48"/>
      <c r="D880" s="127"/>
      <c r="E880" s="48" t="str">
        <f>_xlfn.IFNA(VLOOKUP(Table3[[#This Row],[Product]], ProductListTbl[], 3, 0), "")</f>
        <v/>
      </c>
      <c r="F880" s="303" t="str">
        <f>_xlfn.IFNA(VLOOKUP(D880,ProductListTbl[],5,0),"")</f>
        <v/>
      </c>
      <c r="G880" s="303" t="str">
        <f>_xlfn.IFNA(VLOOKUP(D880,ProductListTbl[],6,0),"")</f>
        <v/>
      </c>
      <c r="H880" s="130" t="str">
        <f>_xlfn.IFNA(VLOOKUP(D880,ProductListTbl[],7,0),"")</f>
        <v/>
      </c>
      <c r="I880" s="130" t="str">
        <f>_xlfn.IFNA(VLOOKUP(D880,ProductListTbl[],8,0),"")</f>
        <v/>
      </c>
      <c r="J880" s="127"/>
      <c r="K880" s="129"/>
      <c r="L880" s="128"/>
      <c r="M880" s="305" t="str">
        <f>IFERROR(Table3[[#This Row],[Quantity (doses)]]/Table3[[#This Row],[Doses per vial or syringe]],"")</f>
        <v/>
      </c>
      <c r="N880" s="127"/>
      <c r="O880" s="127"/>
      <c r="P880" s="381"/>
      <c r="Q880" s="129"/>
      <c r="R880" s="127"/>
      <c r="S880" s="127"/>
      <c r="T880" s="127"/>
      <c r="U880" s="127"/>
      <c r="V880" s="305" t="str">
        <f>_xlfn.IFNA(VLOOKUP(D880,ProductListTbl[],9,0),"")</f>
        <v/>
      </c>
      <c r="W880" s="305" t="str">
        <f>IFERROR(Table3[[#This Row],[Storage space per secondary packaging (cm3)]]*Table3[[#This Row],[Quantity  (vials or syringes)]]/1000,"")</f>
        <v/>
      </c>
      <c r="X880" s="305" t="str">
        <f>IFERROR(Table3[[#This Row],[Storage space per tertiary packaging (cm3)]]*Table3[[#This Row],[Quantity (doses)]]/1000,"")</f>
        <v/>
      </c>
      <c r="Y880" s="293" t="str">
        <f>IF(Table3[[#This Row],[Status]]="Ordered",(DATE(YEAR(P880),MONTH(P880),1)),IF(Table3[[#This Row],[Status]]="Received",(DATE(YEAR(Q880),MONTH(Q880),1)),""))</f>
        <v/>
      </c>
      <c r="Z880" s="304" t="str">
        <f t="shared" si="52"/>
        <v/>
      </c>
      <c r="AA880" s="48" t="str">
        <f t="shared" si="53"/>
        <v/>
      </c>
      <c r="AB880" s="48" t="str">
        <f t="shared" si="54"/>
        <v/>
      </c>
      <c r="AC880" s="292" t="str">
        <f t="shared" si="55"/>
        <v/>
      </c>
      <c r="AD880" s="48" t="str">
        <f>IF(Table3[[#This Row],[Actual Arrival date]]&gt;0,IF(Table3[[#This Row],[Expected arrival date]]&gt;0,Table3[[#This Row],[Actual Arrival date]]-Table3[[#This Row],[Expected arrival date]],""),"")</f>
        <v/>
      </c>
    </row>
    <row r="881" spans="1:30" x14ac:dyDescent="0.25">
      <c r="A881" s="303" t="str">
        <f>Start!$D$7</f>
        <v>Anyland</v>
      </c>
      <c r="B881" s="48" t="str">
        <f>_xlfn.IFNA(VLOOKUP(A881,list!B:C,2,FALSE),"")</f>
        <v>ANY</v>
      </c>
      <c r="C881" s="48"/>
      <c r="D881" s="127"/>
      <c r="E881" s="48" t="str">
        <f>_xlfn.IFNA(VLOOKUP(Table3[[#This Row],[Product]], ProductListTbl[], 3, 0), "")</f>
        <v/>
      </c>
      <c r="F881" s="303" t="str">
        <f>_xlfn.IFNA(VLOOKUP(D881,ProductListTbl[],5,0),"")</f>
        <v/>
      </c>
      <c r="G881" s="303" t="str">
        <f>_xlfn.IFNA(VLOOKUP(D881,ProductListTbl[],6,0),"")</f>
        <v/>
      </c>
      <c r="H881" s="130" t="str">
        <f>_xlfn.IFNA(VLOOKUP(D881,ProductListTbl[],7,0),"")</f>
        <v/>
      </c>
      <c r="I881" s="130" t="str">
        <f>_xlfn.IFNA(VLOOKUP(D881,ProductListTbl[],8,0),"")</f>
        <v/>
      </c>
      <c r="J881" s="127"/>
      <c r="K881" s="129"/>
      <c r="L881" s="128"/>
      <c r="M881" s="305" t="str">
        <f>IFERROR(Table3[[#This Row],[Quantity (doses)]]/Table3[[#This Row],[Doses per vial or syringe]],"")</f>
        <v/>
      </c>
      <c r="N881" s="127"/>
      <c r="O881" s="127"/>
      <c r="P881" s="381"/>
      <c r="Q881" s="129"/>
      <c r="R881" s="127"/>
      <c r="S881" s="127"/>
      <c r="T881" s="127"/>
      <c r="U881" s="127"/>
      <c r="V881" s="305" t="str">
        <f>_xlfn.IFNA(VLOOKUP(D881,ProductListTbl[],9,0),"")</f>
        <v/>
      </c>
      <c r="W881" s="305" t="str">
        <f>IFERROR(Table3[[#This Row],[Storage space per secondary packaging (cm3)]]*Table3[[#This Row],[Quantity  (vials or syringes)]]/1000,"")</f>
        <v/>
      </c>
      <c r="X881" s="305" t="str">
        <f>IFERROR(Table3[[#This Row],[Storage space per tertiary packaging (cm3)]]*Table3[[#This Row],[Quantity (doses)]]/1000,"")</f>
        <v/>
      </c>
      <c r="Y881" s="293" t="str">
        <f>IF(Table3[[#This Row],[Status]]="Ordered",(DATE(YEAR(P881),MONTH(P881),1)),IF(Table3[[#This Row],[Status]]="Received",(DATE(YEAR(Q881),MONTH(Q881),1)),""))</f>
        <v/>
      </c>
      <c r="Z881" s="304" t="str">
        <f t="shared" si="52"/>
        <v/>
      </c>
      <c r="AA881" s="48" t="str">
        <f t="shared" si="53"/>
        <v/>
      </c>
      <c r="AB881" s="48" t="str">
        <f t="shared" si="54"/>
        <v/>
      </c>
      <c r="AC881" s="292" t="str">
        <f t="shared" si="55"/>
        <v/>
      </c>
      <c r="AD881" s="48" t="str">
        <f>IF(Table3[[#This Row],[Actual Arrival date]]&gt;0,IF(Table3[[#This Row],[Expected arrival date]]&gt;0,Table3[[#This Row],[Actual Arrival date]]-Table3[[#This Row],[Expected arrival date]],""),"")</f>
        <v/>
      </c>
    </row>
    <row r="882" spans="1:30" x14ac:dyDescent="0.25">
      <c r="A882" s="303" t="str">
        <f>Start!$D$7</f>
        <v>Anyland</v>
      </c>
      <c r="B882" s="48" t="str">
        <f>_xlfn.IFNA(VLOOKUP(A882,list!B:C,2,FALSE),"")</f>
        <v>ANY</v>
      </c>
      <c r="C882" s="48"/>
      <c r="D882" s="127"/>
      <c r="E882" s="48" t="str">
        <f>_xlfn.IFNA(VLOOKUP(Table3[[#This Row],[Product]], ProductListTbl[], 3, 0), "")</f>
        <v/>
      </c>
      <c r="F882" s="303" t="str">
        <f>_xlfn.IFNA(VLOOKUP(D882,ProductListTbl[],5,0),"")</f>
        <v/>
      </c>
      <c r="G882" s="303" t="str">
        <f>_xlfn.IFNA(VLOOKUP(D882,ProductListTbl[],6,0),"")</f>
        <v/>
      </c>
      <c r="H882" s="130" t="str">
        <f>_xlfn.IFNA(VLOOKUP(D882,ProductListTbl[],7,0),"")</f>
        <v/>
      </c>
      <c r="I882" s="130" t="str">
        <f>_xlfn.IFNA(VLOOKUP(D882,ProductListTbl[],8,0),"")</f>
        <v/>
      </c>
      <c r="J882" s="127"/>
      <c r="K882" s="129"/>
      <c r="L882" s="128"/>
      <c r="M882" s="305" t="str">
        <f>IFERROR(Table3[[#This Row],[Quantity (doses)]]/Table3[[#This Row],[Doses per vial or syringe]],"")</f>
        <v/>
      </c>
      <c r="N882" s="127"/>
      <c r="O882" s="127"/>
      <c r="P882" s="381"/>
      <c r="Q882" s="129"/>
      <c r="R882" s="127"/>
      <c r="S882" s="127"/>
      <c r="T882" s="127"/>
      <c r="U882" s="127"/>
      <c r="V882" s="305" t="str">
        <f>_xlfn.IFNA(VLOOKUP(D882,ProductListTbl[],9,0),"")</f>
        <v/>
      </c>
      <c r="W882" s="305" t="str">
        <f>IFERROR(Table3[[#This Row],[Storage space per secondary packaging (cm3)]]*Table3[[#This Row],[Quantity  (vials or syringes)]]/1000,"")</f>
        <v/>
      </c>
      <c r="X882" s="305" t="str">
        <f>IFERROR(Table3[[#This Row],[Storage space per tertiary packaging (cm3)]]*Table3[[#This Row],[Quantity (doses)]]/1000,"")</f>
        <v/>
      </c>
      <c r="Y882" s="293" t="str">
        <f>IF(Table3[[#This Row],[Status]]="Ordered",(DATE(YEAR(P882),MONTH(P882),1)),IF(Table3[[#This Row],[Status]]="Received",(DATE(YEAR(Q882),MONTH(Q882),1)),""))</f>
        <v/>
      </c>
      <c r="Z882" s="304" t="str">
        <f t="shared" si="52"/>
        <v/>
      </c>
      <c r="AA882" s="48" t="str">
        <f t="shared" si="53"/>
        <v/>
      </c>
      <c r="AB882" s="48" t="str">
        <f t="shared" si="54"/>
        <v/>
      </c>
      <c r="AC882" s="292" t="str">
        <f t="shared" si="55"/>
        <v/>
      </c>
      <c r="AD882" s="48" t="str">
        <f>IF(Table3[[#This Row],[Actual Arrival date]]&gt;0,IF(Table3[[#This Row],[Expected arrival date]]&gt;0,Table3[[#This Row],[Actual Arrival date]]-Table3[[#This Row],[Expected arrival date]],""),"")</f>
        <v/>
      </c>
    </row>
    <row r="883" spans="1:30" x14ac:dyDescent="0.25">
      <c r="A883" s="303" t="str">
        <f>Start!$D$7</f>
        <v>Anyland</v>
      </c>
      <c r="B883" s="48" t="str">
        <f>_xlfn.IFNA(VLOOKUP(A883,list!B:C,2,FALSE),"")</f>
        <v>ANY</v>
      </c>
      <c r="C883" s="48"/>
      <c r="D883" s="127"/>
      <c r="E883" s="48" t="str">
        <f>_xlfn.IFNA(VLOOKUP(Table3[[#This Row],[Product]], ProductListTbl[], 3, 0), "")</f>
        <v/>
      </c>
      <c r="F883" s="303" t="str">
        <f>_xlfn.IFNA(VLOOKUP(D883,ProductListTbl[],5,0),"")</f>
        <v/>
      </c>
      <c r="G883" s="303" t="str">
        <f>_xlfn.IFNA(VLOOKUP(D883,ProductListTbl[],6,0),"")</f>
        <v/>
      </c>
      <c r="H883" s="130" t="str">
        <f>_xlfn.IFNA(VLOOKUP(D883,ProductListTbl[],7,0),"")</f>
        <v/>
      </c>
      <c r="I883" s="130" t="str">
        <f>_xlfn.IFNA(VLOOKUP(D883,ProductListTbl[],8,0),"")</f>
        <v/>
      </c>
      <c r="J883" s="127"/>
      <c r="K883" s="129"/>
      <c r="L883" s="128"/>
      <c r="M883" s="305" t="str">
        <f>IFERROR(Table3[[#This Row],[Quantity (doses)]]/Table3[[#This Row],[Doses per vial or syringe]],"")</f>
        <v/>
      </c>
      <c r="N883" s="127"/>
      <c r="O883" s="127"/>
      <c r="P883" s="381"/>
      <c r="Q883" s="129"/>
      <c r="R883" s="127"/>
      <c r="S883" s="127"/>
      <c r="T883" s="127"/>
      <c r="U883" s="127"/>
      <c r="V883" s="305" t="str">
        <f>_xlfn.IFNA(VLOOKUP(D883,ProductListTbl[],9,0),"")</f>
        <v/>
      </c>
      <c r="W883" s="305" t="str">
        <f>IFERROR(Table3[[#This Row],[Storage space per secondary packaging (cm3)]]*Table3[[#This Row],[Quantity  (vials or syringes)]]/1000,"")</f>
        <v/>
      </c>
      <c r="X883" s="305" t="str">
        <f>IFERROR(Table3[[#This Row],[Storage space per tertiary packaging (cm3)]]*Table3[[#This Row],[Quantity (doses)]]/1000,"")</f>
        <v/>
      </c>
      <c r="Y883" s="293" t="str">
        <f>IF(Table3[[#This Row],[Status]]="Ordered",(DATE(YEAR(P883),MONTH(P883),1)),IF(Table3[[#This Row],[Status]]="Received",(DATE(YEAR(Q883),MONTH(Q883),1)),""))</f>
        <v/>
      </c>
      <c r="Z883" s="304" t="str">
        <f t="shared" si="52"/>
        <v/>
      </c>
      <c r="AA883" s="48" t="str">
        <f t="shared" si="53"/>
        <v/>
      </c>
      <c r="AB883" s="48" t="str">
        <f t="shared" si="54"/>
        <v/>
      </c>
      <c r="AC883" s="292" t="str">
        <f t="shared" si="55"/>
        <v/>
      </c>
      <c r="AD883" s="48" t="str">
        <f>IF(Table3[[#This Row],[Actual Arrival date]]&gt;0,IF(Table3[[#This Row],[Expected arrival date]]&gt;0,Table3[[#This Row],[Actual Arrival date]]-Table3[[#This Row],[Expected arrival date]],""),"")</f>
        <v/>
      </c>
    </row>
    <row r="884" spans="1:30" x14ac:dyDescent="0.25">
      <c r="A884" s="303" t="str">
        <f>Start!$D$7</f>
        <v>Anyland</v>
      </c>
      <c r="B884" s="48" t="str">
        <f>_xlfn.IFNA(VLOOKUP(A884,list!B:C,2,FALSE),"")</f>
        <v>ANY</v>
      </c>
      <c r="C884" s="48"/>
      <c r="D884" s="127"/>
      <c r="E884" s="48" t="str">
        <f>_xlfn.IFNA(VLOOKUP(Table3[[#This Row],[Product]], ProductListTbl[], 3, 0), "")</f>
        <v/>
      </c>
      <c r="F884" s="303" t="str">
        <f>_xlfn.IFNA(VLOOKUP(D884,ProductListTbl[],5,0),"")</f>
        <v/>
      </c>
      <c r="G884" s="303" t="str">
        <f>_xlfn.IFNA(VLOOKUP(D884,ProductListTbl[],6,0),"")</f>
        <v/>
      </c>
      <c r="H884" s="130" t="str">
        <f>_xlfn.IFNA(VLOOKUP(D884,ProductListTbl[],7,0),"")</f>
        <v/>
      </c>
      <c r="I884" s="130" t="str">
        <f>_xlfn.IFNA(VLOOKUP(D884,ProductListTbl[],8,0),"")</f>
        <v/>
      </c>
      <c r="J884" s="127"/>
      <c r="K884" s="129"/>
      <c r="L884" s="128"/>
      <c r="M884" s="305" t="str">
        <f>IFERROR(Table3[[#This Row],[Quantity (doses)]]/Table3[[#This Row],[Doses per vial or syringe]],"")</f>
        <v/>
      </c>
      <c r="N884" s="127"/>
      <c r="O884" s="127"/>
      <c r="P884" s="381"/>
      <c r="Q884" s="129"/>
      <c r="R884" s="127"/>
      <c r="S884" s="127"/>
      <c r="T884" s="127"/>
      <c r="U884" s="127"/>
      <c r="V884" s="305" t="str">
        <f>_xlfn.IFNA(VLOOKUP(D884,ProductListTbl[],9,0),"")</f>
        <v/>
      </c>
      <c r="W884" s="305" t="str">
        <f>IFERROR(Table3[[#This Row],[Storage space per secondary packaging (cm3)]]*Table3[[#This Row],[Quantity  (vials or syringes)]]/1000,"")</f>
        <v/>
      </c>
      <c r="X884" s="305" t="str">
        <f>IFERROR(Table3[[#This Row],[Storage space per tertiary packaging (cm3)]]*Table3[[#This Row],[Quantity (doses)]]/1000,"")</f>
        <v/>
      </c>
      <c r="Y884" s="293" t="str">
        <f>IF(Table3[[#This Row],[Status]]="Ordered",(DATE(YEAR(P884),MONTH(P884),1)),IF(Table3[[#This Row],[Status]]="Received",(DATE(YEAR(Q884),MONTH(Q884),1)),""))</f>
        <v/>
      </c>
      <c r="Z884" s="304" t="str">
        <f t="shared" si="52"/>
        <v/>
      </c>
      <c r="AA884" s="48" t="str">
        <f t="shared" si="53"/>
        <v/>
      </c>
      <c r="AB884" s="48" t="str">
        <f t="shared" si="54"/>
        <v/>
      </c>
      <c r="AC884" s="292" t="str">
        <f t="shared" si="55"/>
        <v/>
      </c>
      <c r="AD884" s="48" t="str">
        <f>IF(Table3[[#This Row],[Actual Arrival date]]&gt;0,IF(Table3[[#This Row],[Expected arrival date]]&gt;0,Table3[[#This Row],[Actual Arrival date]]-Table3[[#This Row],[Expected arrival date]],""),"")</f>
        <v/>
      </c>
    </row>
    <row r="885" spans="1:30" x14ac:dyDescent="0.25">
      <c r="A885" s="303" t="str">
        <f>Start!$D$7</f>
        <v>Anyland</v>
      </c>
      <c r="B885" s="48" t="str">
        <f>_xlfn.IFNA(VLOOKUP(A885,list!B:C,2,FALSE),"")</f>
        <v>ANY</v>
      </c>
      <c r="C885" s="48"/>
      <c r="D885" s="127"/>
      <c r="E885" s="48" t="str">
        <f>_xlfn.IFNA(VLOOKUP(Table3[[#This Row],[Product]], ProductListTbl[], 3, 0), "")</f>
        <v/>
      </c>
      <c r="F885" s="303" t="str">
        <f>_xlfn.IFNA(VLOOKUP(D885,ProductListTbl[],5,0),"")</f>
        <v/>
      </c>
      <c r="G885" s="303" t="str">
        <f>_xlfn.IFNA(VLOOKUP(D885,ProductListTbl[],6,0),"")</f>
        <v/>
      </c>
      <c r="H885" s="130" t="str">
        <f>_xlfn.IFNA(VLOOKUP(D885,ProductListTbl[],7,0),"")</f>
        <v/>
      </c>
      <c r="I885" s="130" t="str">
        <f>_xlfn.IFNA(VLOOKUP(D885,ProductListTbl[],8,0),"")</f>
        <v/>
      </c>
      <c r="J885" s="127"/>
      <c r="K885" s="129"/>
      <c r="L885" s="128"/>
      <c r="M885" s="305" t="str">
        <f>IFERROR(Table3[[#This Row],[Quantity (doses)]]/Table3[[#This Row],[Doses per vial or syringe]],"")</f>
        <v/>
      </c>
      <c r="N885" s="127"/>
      <c r="O885" s="127"/>
      <c r="P885" s="381"/>
      <c r="Q885" s="129"/>
      <c r="R885" s="127"/>
      <c r="S885" s="127"/>
      <c r="T885" s="127"/>
      <c r="U885" s="127"/>
      <c r="V885" s="305" t="str">
        <f>_xlfn.IFNA(VLOOKUP(D885,ProductListTbl[],9,0),"")</f>
        <v/>
      </c>
      <c r="W885" s="305" t="str">
        <f>IFERROR(Table3[[#This Row],[Storage space per secondary packaging (cm3)]]*Table3[[#This Row],[Quantity  (vials or syringes)]]/1000,"")</f>
        <v/>
      </c>
      <c r="X885" s="305" t="str">
        <f>IFERROR(Table3[[#This Row],[Storage space per tertiary packaging (cm3)]]*Table3[[#This Row],[Quantity (doses)]]/1000,"")</f>
        <v/>
      </c>
      <c r="Y885" s="293" t="str">
        <f>IF(Table3[[#This Row],[Status]]="Ordered",(DATE(YEAR(P885),MONTH(P885),1)),IF(Table3[[#This Row],[Status]]="Received",(DATE(YEAR(Q885),MONTH(Q885),1)),""))</f>
        <v/>
      </c>
      <c r="Z885" s="304" t="str">
        <f t="shared" si="52"/>
        <v/>
      </c>
      <c r="AA885" s="48" t="str">
        <f t="shared" si="53"/>
        <v/>
      </c>
      <c r="AB885" s="48" t="str">
        <f t="shared" si="54"/>
        <v/>
      </c>
      <c r="AC885" s="292" t="str">
        <f t="shared" si="55"/>
        <v/>
      </c>
      <c r="AD885" s="48" t="str">
        <f>IF(Table3[[#This Row],[Actual Arrival date]]&gt;0,IF(Table3[[#This Row],[Expected arrival date]]&gt;0,Table3[[#This Row],[Actual Arrival date]]-Table3[[#This Row],[Expected arrival date]],""),"")</f>
        <v/>
      </c>
    </row>
    <row r="886" spans="1:30" x14ac:dyDescent="0.25">
      <c r="A886" s="303" t="str">
        <f>Start!$D$7</f>
        <v>Anyland</v>
      </c>
      <c r="B886" s="48" t="str">
        <f>_xlfn.IFNA(VLOOKUP(A886,list!B:C,2,FALSE),"")</f>
        <v>ANY</v>
      </c>
      <c r="C886" s="48"/>
      <c r="D886" s="127"/>
      <c r="E886" s="48" t="str">
        <f>_xlfn.IFNA(VLOOKUP(Table3[[#This Row],[Product]], ProductListTbl[], 3, 0), "")</f>
        <v/>
      </c>
      <c r="F886" s="303" t="str">
        <f>_xlfn.IFNA(VLOOKUP(D886,ProductListTbl[],5,0),"")</f>
        <v/>
      </c>
      <c r="G886" s="303" t="str">
        <f>_xlfn.IFNA(VLOOKUP(D886,ProductListTbl[],6,0),"")</f>
        <v/>
      </c>
      <c r="H886" s="130" t="str">
        <f>_xlfn.IFNA(VLOOKUP(D886,ProductListTbl[],7,0),"")</f>
        <v/>
      </c>
      <c r="I886" s="130" t="str">
        <f>_xlfn.IFNA(VLOOKUP(D886,ProductListTbl[],8,0),"")</f>
        <v/>
      </c>
      <c r="J886" s="127"/>
      <c r="K886" s="129"/>
      <c r="L886" s="128"/>
      <c r="M886" s="305" t="str">
        <f>IFERROR(Table3[[#This Row],[Quantity (doses)]]/Table3[[#This Row],[Doses per vial or syringe]],"")</f>
        <v/>
      </c>
      <c r="N886" s="127"/>
      <c r="O886" s="127"/>
      <c r="P886" s="381"/>
      <c r="Q886" s="129"/>
      <c r="R886" s="127"/>
      <c r="S886" s="127"/>
      <c r="T886" s="127"/>
      <c r="U886" s="127"/>
      <c r="V886" s="305" t="str">
        <f>_xlfn.IFNA(VLOOKUP(D886,ProductListTbl[],9,0),"")</f>
        <v/>
      </c>
      <c r="W886" s="305" t="str">
        <f>IFERROR(Table3[[#This Row],[Storage space per secondary packaging (cm3)]]*Table3[[#This Row],[Quantity  (vials or syringes)]]/1000,"")</f>
        <v/>
      </c>
      <c r="X886" s="305" t="str">
        <f>IFERROR(Table3[[#This Row],[Storage space per tertiary packaging (cm3)]]*Table3[[#This Row],[Quantity (doses)]]/1000,"")</f>
        <v/>
      </c>
      <c r="Y886" s="293" t="str">
        <f>IF(Table3[[#This Row],[Status]]="Ordered",(DATE(YEAR(P886),MONTH(P886),1)),IF(Table3[[#This Row],[Status]]="Received",(DATE(YEAR(Q886),MONTH(Q886),1)),""))</f>
        <v/>
      </c>
      <c r="Z886" s="304" t="str">
        <f t="shared" si="52"/>
        <v/>
      </c>
      <c r="AA886" s="48" t="str">
        <f t="shared" si="53"/>
        <v/>
      </c>
      <c r="AB886" s="48" t="str">
        <f t="shared" si="54"/>
        <v/>
      </c>
      <c r="AC886" s="292" t="str">
        <f t="shared" si="55"/>
        <v/>
      </c>
      <c r="AD886" s="48" t="str">
        <f>IF(Table3[[#This Row],[Actual Arrival date]]&gt;0,IF(Table3[[#This Row],[Expected arrival date]]&gt;0,Table3[[#This Row],[Actual Arrival date]]-Table3[[#This Row],[Expected arrival date]],""),"")</f>
        <v/>
      </c>
    </row>
    <row r="887" spans="1:30" x14ac:dyDescent="0.25">
      <c r="A887" s="303" t="str">
        <f>Start!$D$7</f>
        <v>Anyland</v>
      </c>
      <c r="B887" s="48" t="str">
        <f>_xlfn.IFNA(VLOOKUP(A887,list!B:C,2,FALSE),"")</f>
        <v>ANY</v>
      </c>
      <c r="C887" s="48"/>
      <c r="D887" s="127"/>
      <c r="E887" s="48" t="str">
        <f>_xlfn.IFNA(VLOOKUP(Table3[[#This Row],[Product]], ProductListTbl[], 3, 0), "")</f>
        <v/>
      </c>
      <c r="F887" s="303" t="str">
        <f>_xlfn.IFNA(VLOOKUP(D887,ProductListTbl[],5,0),"")</f>
        <v/>
      </c>
      <c r="G887" s="303" t="str">
        <f>_xlfn.IFNA(VLOOKUP(D887,ProductListTbl[],6,0),"")</f>
        <v/>
      </c>
      <c r="H887" s="130" t="str">
        <f>_xlfn.IFNA(VLOOKUP(D887,ProductListTbl[],7,0),"")</f>
        <v/>
      </c>
      <c r="I887" s="130" t="str">
        <f>_xlfn.IFNA(VLOOKUP(D887,ProductListTbl[],8,0),"")</f>
        <v/>
      </c>
      <c r="J887" s="127"/>
      <c r="K887" s="129"/>
      <c r="L887" s="128"/>
      <c r="M887" s="305" t="str">
        <f>IFERROR(Table3[[#This Row],[Quantity (doses)]]/Table3[[#This Row],[Doses per vial or syringe]],"")</f>
        <v/>
      </c>
      <c r="N887" s="127"/>
      <c r="O887" s="127"/>
      <c r="P887" s="381"/>
      <c r="Q887" s="129"/>
      <c r="R887" s="127"/>
      <c r="S887" s="127"/>
      <c r="T887" s="127"/>
      <c r="U887" s="127"/>
      <c r="V887" s="305" t="str">
        <f>_xlfn.IFNA(VLOOKUP(D887,ProductListTbl[],9,0),"")</f>
        <v/>
      </c>
      <c r="W887" s="305" t="str">
        <f>IFERROR(Table3[[#This Row],[Storage space per secondary packaging (cm3)]]*Table3[[#This Row],[Quantity  (vials or syringes)]]/1000,"")</f>
        <v/>
      </c>
      <c r="X887" s="305" t="str">
        <f>IFERROR(Table3[[#This Row],[Storage space per tertiary packaging (cm3)]]*Table3[[#This Row],[Quantity (doses)]]/1000,"")</f>
        <v/>
      </c>
      <c r="Y887" s="293" t="str">
        <f>IF(Table3[[#This Row],[Status]]="Ordered",(DATE(YEAR(P887),MONTH(P887),1)),IF(Table3[[#This Row],[Status]]="Received",(DATE(YEAR(Q887),MONTH(Q887),1)),""))</f>
        <v/>
      </c>
      <c r="Z887" s="304" t="str">
        <f t="shared" si="52"/>
        <v/>
      </c>
      <c r="AA887" s="48" t="str">
        <f t="shared" si="53"/>
        <v/>
      </c>
      <c r="AB887" s="48" t="str">
        <f t="shared" si="54"/>
        <v/>
      </c>
      <c r="AC887" s="292" t="str">
        <f t="shared" si="55"/>
        <v/>
      </c>
      <c r="AD887" s="48" t="str">
        <f>IF(Table3[[#This Row],[Actual Arrival date]]&gt;0,IF(Table3[[#This Row],[Expected arrival date]]&gt;0,Table3[[#This Row],[Actual Arrival date]]-Table3[[#This Row],[Expected arrival date]],""),"")</f>
        <v/>
      </c>
    </row>
    <row r="888" spans="1:30" x14ac:dyDescent="0.25">
      <c r="A888" s="303" t="str">
        <f>Start!$D$7</f>
        <v>Anyland</v>
      </c>
      <c r="B888" s="48" t="str">
        <f>_xlfn.IFNA(VLOOKUP(A888,list!B:C,2,FALSE),"")</f>
        <v>ANY</v>
      </c>
      <c r="C888" s="48"/>
      <c r="D888" s="127"/>
      <c r="E888" s="48" t="str">
        <f>_xlfn.IFNA(VLOOKUP(Table3[[#This Row],[Product]], ProductListTbl[], 3, 0), "")</f>
        <v/>
      </c>
      <c r="F888" s="303" t="str">
        <f>_xlfn.IFNA(VLOOKUP(D888,ProductListTbl[],5,0),"")</f>
        <v/>
      </c>
      <c r="G888" s="303" t="str">
        <f>_xlfn.IFNA(VLOOKUP(D888,ProductListTbl[],6,0),"")</f>
        <v/>
      </c>
      <c r="H888" s="130" t="str">
        <f>_xlfn.IFNA(VLOOKUP(D888,ProductListTbl[],7,0),"")</f>
        <v/>
      </c>
      <c r="I888" s="130" t="str">
        <f>_xlfn.IFNA(VLOOKUP(D888,ProductListTbl[],8,0),"")</f>
        <v/>
      </c>
      <c r="J888" s="127"/>
      <c r="K888" s="129"/>
      <c r="L888" s="128"/>
      <c r="M888" s="305" t="str">
        <f>IFERROR(Table3[[#This Row],[Quantity (doses)]]/Table3[[#This Row],[Doses per vial or syringe]],"")</f>
        <v/>
      </c>
      <c r="N888" s="127"/>
      <c r="O888" s="127"/>
      <c r="P888" s="381"/>
      <c r="Q888" s="129"/>
      <c r="R888" s="127"/>
      <c r="S888" s="127"/>
      <c r="T888" s="127"/>
      <c r="U888" s="127"/>
      <c r="V888" s="305" t="str">
        <f>_xlfn.IFNA(VLOOKUP(D888,ProductListTbl[],9,0),"")</f>
        <v/>
      </c>
      <c r="W888" s="305" t="str">
        <f>IFERROR(Table3[[#This Row],[Storage space per secondary packaging (cm3)]]*Table3[[#This Row],[Quantity  (vials or syringes)]]/1000,"")</f>
        <v/>
      </c>
      <c r="X888" s="305" t="str">
        <f>IFERROR(Table3[[#This Row],[Storage space per tertiary packaging (cm3)]]*Table3[[#This Row],[Quantity (doses)]]/1000,"")</f>
        <v/>
      </c>
      <c r="Y888" s="293" t="str">
        <f>IF(Table3[[#This Row],[Status]]="Ordered",(DATE(YEAR(P888),MONTH(P888),1)),IF(Table3[[#This Row],[Status]]="Received",(DATE(YEAR(Q888),MONTH(Q888),1)),""))</f>
        <v/>
      </c>
      <c r="Z888" s="304" t="str">
        <f t="shared" si="52"/>
        <v/>
      </c>
      <c r="AA888" s="48" t="str">
        <f t="shared" si="53"/>
        <v/>
      </c>
      <c r="AB888" s="48" t="str">
        <f t="shared" si="54"/>
        <v/>
      </c>
      <c r="AC888" s="292" t="str">
        <f t="shared" si="55"/>
        <v/>
      </c>
      <c r="AD888" s="48" t="str">
        <f>IF(Table3[[#This Row],[Actual Arrival date]]&gt;0,IF(Table3[[#This Row],[Expected arrival date]]&gt;0,Table3[[#This Row],[Actual Arrival date]]-Table3[[#This Row],[Expected arrival date]],""),"")</f>
        <v/>
      </c>
    </row>
    <row r="889" spans="1:30" x14ac:dyDescent="0.25">
      <c r="A889" s="303" t="str">
        <f>Start!$D$7</f>
        <v>Anyland</v>
      </c>
      <c r="B889" s="48" t="str">
        <f>_xlfn.IFNA(VLOOKUP(A889,list!B:C,2,FALSE),"")</f>
        <v>ANY</v>
      </c>
      <c r="C889" s="48"/>
      <c r="D889" s="127"/>
      <c r="E889" s="48" t="str">
        <f>_xlfn.IFNA(VLOOKUP(Table3[[#This Row],[Product]], ProductListTbl[], 3, 0), "")</f>
        <v/>
      </c>
      <c r="F889" s="303" t="str">
        <f>_xlfn.IFNA(VLOOKUP(D889,ProductListTbl[],5,0),"")</f>
        <v/>
      </c>
      <c r="G889" s="303" t="str">
        <f>_xlfn.IFNA(VLOOKUP(D889,ProductListTbl[],6,0),"")</f>
        <v/>
      </c>
      <c r="H889" s="130" t="str">
        <f>_xlfn.IFNA(VLOOKUP(D889,ProductListTbl[],7,0),"")</f>
        <v/>
      </c>
      <c r="I889" s="130" t="str">
        <f>_xlfn.IFNA(VLOOKUP(D889,ProductListTbl[],8,0),"")</f>
        <v/>
      </c>
      <c r="J889" s="127"/>
      <c r="K889" s="129"/>
      <c r="L889" s="128"/>
      <c r="M889" s="305" t="str">
        <f>IFERROR(Table3[[#This Row],[Quantity (doses)]]/Table3[[#This Row],[Doses per vial or syringe]],"")</f>
        <v/>
      </c>
      <c r="N889" s="127"/>
      <c r="O889" s="127"/>
      <c r="P889" s="381"/>
      <c r="Q889" s="129"/>
      <c r="R889" s="127"/>
      <c r="S889" s="127"/>
      <c r="T889" s="127"/>
      <c r="U889" s="127"/>
      <c r="V889" s="305" t="str">
        <f>_xlfn.IFNA(VLOOKUP(D889,ProductListTbl[],9,0),"")</f>
        <v/>
      </c>
      <c r="W889" s="305" t="str">
        <f>IFERROR(Table3[[#This Row],[Storage space per secondary packaging (cm3)]]*Table3[[#This Row],[Quantity  (vials or syringes)]]/1000,"")</f>
        <v/>
      </c>
      <c r="X889" s="305" t="str">
        <f>IFERROR(Table3[[#This Row],[Storage space per tertiary packaging (cm3)]]*Table3[[#This Row],[Quantity (doses)]]/1000,"")</f>
        <v/>
      </c>
      <c r="Y889" s="293" t="str">
        <f>IF(Table3[[#This Row],[Status]]="Ordered",(DATE(YEAR(P889),MONTH(P889),1)),IF(Table3[[#This Row],[Status]]="Received",(DATE(YEAR(Q889),MONTH(Q889),1)),""))</f>
        <v/>
      </c>
      <c r="Z889" s="304" t="str">
        <f t="shared" si="52"/>
        <v/>
      </c>
      <c r="AA889" s="48" t="str">
        <f t="shared" si="53"/>
        <v/>
      </c>
      <c r="AB889" s="48" t="str">
        <f t="shared" si="54"/>
        <v/>
      </c>
      <c r="AC889" s="292" t="str">
        <f t="shared" si="55"/>
        <v/>
      </c>
      <c r="AD889" s="48" t="str">
        <f>IF(Table3[[#This Row],[Actual Arrival date]]&gt;0,IF(Table3[[#This Row],[Expected arrival date]]&gt;0,Table3[[#This Row],[Actual Arrival date]]-Table3[[#This Row],[Expected arrival date]],""),"")</f>
        <v/>
      </c>
    </row>
    <row r="890" spans="1:30" x14ac:dyDescent="0.25">
      <c r="A890" s="303" t="str">
        <f>Start!$D$7</f>
        <v>Anyland</v>
      </c>
      <c r="B890" s="48" t="str">
        <f>_xlfn.IFNA(VLOOKUP(A890,list!B:C,2,FALSE),"")</f>
        <v>ANY</v>
      </c>
      <c r="C890" s="48"/>
      <c r="D890" s="127"/>
      <c r="E890" s="48" t="str">
        <f>_xlfn.IFNA(VLOOKUP(Table3[[#This Row],[Product]], ProductListTbl[], 3, 0), "")</f>
        <v/>
      </c>
      <c r="F890" s="303" t="str">
        <f>_xlfn.IFNA(VLOOKUP(D890,ProductListTbl[],5,0),"")</f>
        <v/>
      </c>
      <c r="G890" s="303" t="str">
        <f>_xlfn.IFNA(VLOOKUP(D890,ProductListTbl[],6,0),"")</f>
        <v/>
      </c>
      <c r="H890" s="130" t="str">
        <f>_xlfn.IFNA(VLOOKUP(D890,ProductListTbl[],7,0),"")</f>
        <v/>
      </c>
      <c r="I890" s="130" t="str">
        <f>_xlfn.IFNA(VLOOKUP(D890,ProductListTbl[],8,0),"")</f>
        <v/>
      </c>
      <c r="J890" s="127"/>
      <c r="K890" s="129"/>
      <c r="L890" s="128"/>
      <c r="M890" s="305" t="str">
        <f>IFERROR(Table3[[#This Row],[Quantity (doses)]]/Table3[[#This Row],[Doses per vial or syringe]],"")</f>
        <v/>
      </c>
      <c r="N890" s="127"/>
      <c r="O890" s="127"/>
      <c r="P890" s="381"/>
      <c r="Q890" s="129"/>
      <c r="R890" s="127"/>
      <c r="S890" s="127"/>
      <c r="T890" s="127"/>
      <c r="U890" s="127"/>
      <c r="V890" s="305" t="str">
        <f>_xlfn.IFNA(VLOOKUP(D890,ProductListTbl[],9,0),"")</f>
        <v/>
      </c>
      <c r="W890" s="305" t="str">
        <f>IFERROR(Table3[[#This Row],[Storage space per secondary packaging (cm3)]]*Table3[[#This Row],[Quantity  (vials or syringes)]]/1000,"")</f>
        <v/>
      </c>
      <c r="X890" s="305" t="str">
        <f>IFERROR(Table3[[#This Row],[Storage space per tertiary packaging (cm3)]]*Table3[[#This Row],[Quantity (doses)]]/1000,"")</f>
        <v/>
      </c>
      <c r="Y890" s="293" t="str">
        <f>IF(Table3[[#This Row],[Status]]="Ordered",(DATE(YEAR(P890),MONTH(P890),1)),IF(Table3[[#This Row],[Status]]="Received",(DATE(YEAR(Q890),MONTH(Q890),1)),""))</f>
        <v/>
      </c>
      <c r="Z890" s="304" t="str">
        <f t="shared" si="52"/>
        <v/>
      </c>
      <c r="AA890" s="48" t="str">
        <f t="shared" si="53"/>
        <v/>
      </c>
      <c r="AB890" s="48" t="str">
        <f t="shared" si="54"/>
        <v/>
      </c>
      <c r="AC890" s="292" t="str">
        <f t="shared" si="55"/>
        <v/>
      </c>
      <c r="AD890" s="48" t="str">
        <f>IF(Table3[[#This Row],[Actual Arrival date]]&gt;0,IF(Table3[[#This Row],[Expected arrival date]]&gt;0,Table3[[#This Row],[Actual Arrival date]]-Table3[[#This Row],[Expected arrival date]],""),"")</f>
        <v/>
      </c>
    </row>
    <row r="891" spans="1:30" x14ac:dyDescent="0.25">
      <c r="A891" s="303" t="str">
        <f>Start!$D$7</f>
        <v>Anyland</v>
      </c>
      <c r="B891" s="48" t="str">
        <f>_xlfn.IFNA(VLOOKUP(A891,list!B:C,2,FALSE),"")</f>
        <v>ANY</v>
      </c>
      <c r="C891" s="48"/>
      <c r="D891" s="127"/>
      <c r="E891" s="48" t="str">
        <f>_xlfn.IFNA(VLOOKUP(Table3[[#This Row],[Product]], ProductListTbl[], 3, 0), "")</f>
        <v/>
      </c>
      <c r="F891" s="303" t="str">
        <f>_xlfn.IFNA(VLOOKUP(D891,ProductListTbl[],5,0),"")</f>
        <v/>
      </c>
      <c r="G891" s="303" t="str">
        <f>_xlfn.IFNA(VLOOKUP(D891,ProductListTbl[],6,0),"")</f>
        <v/>
      </c>
      <c r="H891" s="130" t="str">
        <f>_xlfn.IFNA(VLOOKUP(D891,ProductListTbl[],7,0),"")</f>
        <v/>
      </c>
      <c r="I891" s="130" t="str">
        <f>_xlfn.IFNA(VLOOKUP(D891,ProductListTbl[],8,0),"")</f>
        <v/>
      </c>
      <c r="J891" s="127"/>
      <c r="K891" s="129"/>
      <c r="L891" s="128"/>
      <c r="M891" s="305" t="str">
        <f>IFERROR(Table3[[#This Row],[Quantity (doses)]]/Table3[[#This Row],[Doses per vial or syringe]],"")</f>
        <v/>
      </c>
      <c r="N891" s="127"/>
      <c r="O891" s="127"/>
      <c r="P891" s="381"/>
      <c r="Q891" s="129"/>
      <c r="R891" s="127"/>
      <c r="S891" s="127"/>
      <c r="T891" s="127"/>
      <c r="U891" s="127"/>
      <c r="V891" s="305" t="str">
        <f>_xlfn.IFNA(VLOOKUP(D891,ProductListTbl[],9,0),"")</f>
        <v/>
      </c>
      <c r="W891" s="305" t="str">
        <f>IFERROR(Table3[[#This Row],[Storage space per secondary packaging (cm3)]]*Table3[[#This Row],[Quantity  (vials or syringes)]]/1000,"")</f>
        <v/>
      </c>
      <c r="X891" s="305" t="str">
        <f>IFERROR(Table3[[#This Row],[Storage space per tertiary packaging (cm3)]]*Table3[[#This Row],[Quantity (doses)]]/1000,"")</f>
        <v/>
      </c>
      <c r="Y891" s="293" t="str">
        <f>IF(Table3[[#This Row],[Status]]="Ordered",(DATE(YEAR(P891),MONTH(P891),1)),IF(Table3[[#This Row],[Status]]="Received",(DATE(YEAR(Q891),MONTH(Q891),1)),""))</f>
        <v/>
      </c>
      <c r="Z891" s="304" t="str">
        <f t="shared" si="52"/>
        <v/>
      </c>
      <c r="AA891" s="48" t="str">
        <f t="shared" si="53"/>
        <v/>
      </c>
      <c r="AB891" s="48" t="str">
        <f t="shared" si="54"/>
        <v/>
      </c>
      <c r="AC891" s="292" t="str">
        <f t="shared" si="55"/>
        <v/>
      </c>
      <c r="AD891" s="48" t="str">
        <f>IF(Table3[[#This Row],[Actual Arrival date]]&gt;0,IF(Table3[[#This Row],[Expected arrival date]]&gt;0,Table3[[#This Row],[Actual Arrival date]]-Table3[[#This Row],[Expected arrival date]],""),"")</f>
        <v/>
      </c>
    </row>
    <row r="892" spans="1:30" x14ac:dyDescent="0.25">
      <c r="A892" s="303" t="str">
        <f>Start!$D$7</f>
        <v>Anyland</v>
      </c>
      <c r="B892" s="48" t="str">
        <f>_xlfn.IFNA(VLOOKUP(A892,list!B:C,2,FALSE),"")</f>
        <v>ANY</v>
      </c>
      <c r="C892" s="48"/>
      <c r="D892" s="127"/>
      <c r="E892" s="48" t="str">
        <f>_xlfn.IFNA(VLOOKUP(Table3[[#This Row],[Product]], ProductListTbl[], 3, 0), "")</f>
        <v/>
      </c>
      <c r="F892" s="303" t="str">
        <f>_xlfn.IFNA(VLOOKUP(D892,ProductListTbl[],5,0),"")</f>
        <v/>
      </c>
      <c r="G892" s="303" t="str">
        <f>_xlfn.IFNA(VLOOKUP(D892,ProductListTbl[],6,0),"")</f>
        <v/>
      </c>
      <c r="H892" s="130" t="str">
        <f>_xlfn.IFNA(VLOOKUP(D892,ProductListTbl[],7,0),"")</f>
        <v/>
      </c>
      <c r="I892" s="130" t="str">
        <f>_xlfn.IFNA(VLOOKUP(D892,ProductListTbl[],8,0),"")</f>
        <v/>
      </c>
      <c r="J892" s="127"/>
      <c r="K892" s="129"/>
      <c r="L892" s="128"/>
      <c r="M892" s="305" t="str">
        <f>IFERROR(Table3[[#This Row],[Quantity (doses)]]/Table3[[#This Row],[Doses per vial or syringe]],"")</f>
        <v/>
      </c>
      <c r="N892" s="127"/>
      <c r="O892" s="127"/>
      <c r="P892" s="381"/>
      <c r="Q892" s="129"/>
      <c r="R892" s="127"/>
      <c r="S892" s="127"/>
      <c r="T892" s="127"/>
      <c r="U892" s="127"/>
      <c r="V892" s="305" t="str">
        <f>_xlfn.IFNA(VLOOKUP(D892,ProductListTbl[],9,0),"")</f>
        <v/>
      </c>
      <c r="W892" s="305" t="str">
        <f>IFERROR(Table3[[#This Row],[Storage space per secondary packaging (cm3)]]*Table3[[#This Row],[Quantity  (vials or syringes)]]/1000,"")</f>
        <v/>
      </c>
      <c r="X892" s="305" t="str">
        <f>IFERROR(Table3[[#This Row],[Storage space per tertiary packaging (cm3)]]*Table3[[#This Row],[Quantity (doses)]]/1000,"")</f>
        <v/>
      </c>
      <c r="Y892" s="293" t="str">
        <f>IF(Table3[[#This Row],[Status]]="Ordered",(DATE(YEAR(P892),MONTH(P892),1)),IF(Table3[[#This Row],[Status]]="Received",(DATE(YEAR(Q892),MONTH(Q892),1)),""))</f>
        <v/>
      </c>
      <c r="Z892" s="304" t="str">
        <f t="shared" si="52"/>
        <v/>
      </c>
      <c r="AA892" s="48" t="str">
        <f t="shared" si="53"/>
        <v/>
      </c>
      <c r="AB892" s="48" t="str">
        <f t="shared" si="54"/>
        <v/>
      </c>
      <c r="AC892" s="292" t="str">
        <f t="shared" si="55"/>
        <v/>
      </c>
      <c r="AD892" s="48" t="str">
        <f>IF(Table3[[#This Row],[Actual Arrival date]]&gt;0,IF(Table3[[#This Row],[Expected arrival date]]&gt;0,Table3[[#This Row],[Actual Arrival date]]-Table3[[#This Row],[Expected arrival date]],""),"")</f>
        <v/>
      </c>
    </row>
    <row r="893" spans="1:30" x14ac:dyDescent="0.25">
      <c r="A893" s="303" t="str">
        <f>Start!$D$7</f>
        <v>Anyland</v>
      </c>
      <c r="B893" s="48" t="str">
        <f>_xlfn.IFNA(VLOOKUP(A893,list!B:C,2,FALSE),"")</f>
        <v>ANY</v>
      </c>
      <c r="C893" s="48"/>
      <c r="D893" s="127"/>
      <c r="E893" s="48" t="str">
        <f>_xlfn.IFNA(VLOOKUP(Table3[[#This Row],[Product]], ProductListTbl[], 3, 0), "")</f>
        <v/>
      </c>
      <c r="F893" s="303" t="str">
        <f>_xlfn.IFNA(VLOOKUP(D893,ProductListTbl[],5,0),"")</f>
        <v/>
      </c>
      <c r="G893" s="303" t="str">
        <f>_xlfn.IFNA(VLOOKUP(D893,ProductListTbl[],6,0),"")</f>
        <v/>
      </c>
      <c r="H893" s="130" t="str">
        <f>_xlfn.IFNA(VLOOKUP(D893,ProductListTbl[],7,0),"")</f>
        <v/>
      </c>
      <c r="I893" s="130" t="str">
        <f>_xlfn.IFNA(VLOOKUP(D893,ProductListTbl[],8,0),"")</f>
        <v/>
      </c>
      <c r="J893" s="127"/>
      <c r="K893" s="129"/>
      <c r="L893" s="128"/>
      <c r="M893" s="305" t="str">
        <f>IFERROR(Table3[[#This Row],[Quantity (doses)]]/Table3[[#This Row],[Doses per vial or syringe]],"")</f>
        <v/>
      </c>
      <c r="N893" s="127"/>
      <c r="O893" s="127"/>
      <c r="P893" s="381"/>
      <c r="Q893" s="129"/>
      <c r="R893" s="127"/>
      <c r="S893" s="127"/>
      <c r="T893" s="127"/>
      <c r="U893" s="127"/>
      <c r="V893" s="305" t="str">
        <f>_xlfn.IFNA(VLOOKUP(D893,ProductListTbl[],9,0),"")</f>
        <v/>
      </c>
      <c r="W893" s="305" t="str">
        <f>IFERROR(Table3[[#This Row],[Storage space per secondary packaging (cm3)]]*Table3[[#This Row],[Quantity  (vials or syringes)]]/1000,"")</f>
        <v/>
      </c>
      <c r="X893" s="305" t="str">
        <f>IFERROR(Table3[[#This Row],[Storage space per tertiary packaging (cm3)]]*Table3[[#This Row],[Quantity (doses)]]/1000,"")</f>
        <v/>
      </c>
      <c r="Y893" s="293" t="str">
        <f>IF(Table3[[#This Row],[Status]]="Ordered",(DATE(YEAR(P893),MONTH(P893),1)),IF(Table3[[#This Row],[Status]]="Received",(DATE(YEAR(Q893),MONTH(Q893),1)),""))</f>
        <v/>
      </c>
      <c r="Z893" s="304" t="str">
        <f t="shared" si="52"/>
        <v/>
      </c>
      <c r="AA893" s="48" t="str">
        <f t="shared" si="53"/>
        <v/>
      </c>
      <c r="AB893" s="48" t="str">
        <f t="shared" si="54"/>
        <v/>
      </c>
      <c r="AC893" s="292" t="str">
        <f t="shared" si="55"/>
        <v/>
      </c>
      <c r="AD893" s="48" t="str">
        <f>IF(Table3[[#This Row],[Actual Arrival date]]&gt;0,IF(Table3[[#This Row],[Expected arrival date]]&gt;0,Table3[[#This Row],[Actual Arrival date]]-Table3[[#This Row],[Expected arrival date]],""),"")</f>
        <v/>
      </c>
    </row>
    <row r="894" spans="1:30" x14ac:dyDescent="0.25">
      <c r="A894" s="303" t="str">
        <f>Start!$D$7</f>
        <v>Anyland</v>
      </c>
      <c r="B894" s="48" t="str">
        <f>_xlfn.IFNA(VLOOKUP(A894,list!B:C,2,FALSE),"")</f>
        <v>ANY</v>
      </c>
      <c r="C894" s="48"/>
      <c r="D894" s="127"/>
      <c r="E894" s="48" t="str">
        <f>_xlfn.IFNA(VLOOKUP(Table3[[#This Row],[Product]], ProductListTbl[], 3, 0), "")</f>
        <v/>
      </c>
      <c r="F894" s="303" t="str">
        <f>_xlfn.IFNA(VLOOKUP(D894,ProductListTbl[],5,0),"")</f>
        <v/>
      </c>
      <c r="G894" s="303" t="str">
        <f>_xlfn.IFNA(VLOOKUP(D894,ProductListTbl[],6,0),"")</f>
        <v/>
      </c>
      <c r="H894" s="130" t="str">
        <f>_xlfn.IFNA(VLOOKUP(D894,ProductListTbl[],7,0),"")</f>
        <v/>
      </c>
      <c r="I894" s="130" t="str">
        <f>_xlfn.IFNA(VLOOKUP(D894,ProductListTbl[],8,0),"")</f>
        <v/>
      </c>
      <c r="J894" s="127"/>
      <c r="K894" s="129"/>
      <c r="L894" s="128"/>
      <c r="M894" s="305" t="str">
        <f>IFERROR(Table3[[#This Row],[Quantity (doses)]]/Table3[[#This Row],[Doses per vial or syringe]],"")</f>
        <v/>
      </c>
      <c r="N894" s="127"/>
      <c r="O894" s="127"/>
      <c r="P894" s="381"/>
      <c r="Q894" s="129"/>
      <c r="R894" s="127"/>
      <c r="S894" s="127"/>
      <c r="T894" s="127"/>
      <c r="U894" s="127"/>
      <c r="V894" s="305" t="str">
        <f>_xlfn.IFNA(VLOOKUP(D894,ProductListTbl[],9,0),"")</f>
        <v/>
      </c>
      <c r="W894" s="305" t="str">
        <f>IFERROR(Table3[[#This Row],[Storage space per secondary packaging (cm3)]]*Table3[[#This Row],[Quantity  (vials or syringes)]]/1000,"")</f>
        <v/>
      </c>
      <c r="X894" s="305" t="str">
        <f>IFERROR(Table3[[#This Row],[Storage space per tertiary packaging (cm3)]]*Table3[[#This Row],[Quantity (doses)]]/1000,"")</f>
        <v/>
      </c>
      <c r="Y894" s="293" t="str">
        <f>IF(Table3[[#This Row],[Status]]="Ordered",(DATE(YEAR(P894),MONTH(P894),1)),IF(Table3[[#This Row],[Status]]="Received",(DATE(YEAR(Q894),MONTH(Q894),1)),""))</f>
        <v/>
      </c>
      <c r="Z894" s="304" t="str">
        <f t="shared" si="52"/>
        <v/>
      </c>
      <c r="AA894" s="48" t="str">
        <f t="shared" si="53"/>
        <v/>
      </c>
      <c r="AB894" s="48" t="str">
        <f t="shared" si="54"/>
        <v/>
      </c>
      <c r="AC894" s="292" t="str">
        <f t="shared" si="55"/>
        <v/>
      </c>
      <c r="AD894" s="48" t="str">
        <f>IF(Table3[[#This Row],[Actual Arrival date]]&gt;0,IF(Table3[[#This Row],[Expected arrival date]]&gt;0,Table3[[#This Row],[Actual Arrival date]]-Table3[[#This Row],[Expected arrival date]],""),"")</f>
        <v/>
      </c>
    </row>
    <row r="895" spans="1:30" x14ac:dyDescent="0.25">
      <c r="A895" s="303" t="str">
        <f>Start!$D$7</f>
        <v>Anyland</v>
      </c>
      <c r="B895" s="48" t="str">
        <f>_xlfn.IFNA(VLOOKUP(A895,list!B:C,2,FALSE),"")</f>
        <v>ANY</v>
      </c>
      <c r="C895" s="48"/>
      <c r="D895" s="127"/>
      <c r="E895" s="48" t="str">
        <f>_xlfn.IFNA(VLOOKUP(Table3[[#This Row],[Product]], ProductListTbl[], 3, 0), "")</f>
        <v/>
      </c>
      <c r="F895" s="303" t="str">
        <f>_xlfn.IFNA(VLOOKUP(D895,ProductListTbl[],5,0),"")</f>
        <v/>
      </c>
      <c r="G895" s="303" t="str">
        <f>_xlfn.IFNA(VLOOKUP(D895,ProductListTbl[],6,0),"")</f>
        <v/>
      </c>
      <c r="H895" s="130" t="str">
        <f>_xlfn.IFNA(VLOOKUP(D895,ProductListTbl[],7,0),"")</f>
        <v/>
      </c>
      <c r="I895" s="130" t="str">
        <f>_xlfn.IFNA(VLOOKUP(D895,ProductListTbl[],8,0),"")</f>
        <v/>
      </c>
      <c r="J895" s="127"/>
      <c r="K895" s="129"/>
      <c r="L895" s="128"/>
      <c r="M895" s="305" t="str">
        <f>IFERROR(Table3[[#This Row],[Quantity (doses)]]/Table3[[#This Row],[Doses per vial or syringe]],"")</f>
        <v/>
      </c>
      <c r="N895" s="127"/>
      <c r="O895" s="127"/>
      <c r="P895" s="381"/>
      <c r="Q895" s="129"/>
      <c r="R895" s="127"/>
      <c r="S895" s="127"/>
      <c r="T895" s="127"/>
      <c r="U895" s="127"/>
      <c r="V895" s="305" t="str">
        <f>_xlfn.IFNA(VLOOKUP(D895,ProductListTbl[],9,0),"")</f>
        <v/>
      </c>
      <c r="W895" s="305" t="str">
        <f>IFERROR(Table3[[#This Row],[Storage space per secondary packaging (cm3)]]*Table3[[#This Row],[Quantity  (vials or syringes)]]/1000,"")</f>
        <v/>
      </c>
      <c r="X895" s="305" t="str">
        <f>IFERROR(Table3[[#This Row],[Storage space per tertiary packaging (cm3)]]*Table3[[#This Row],[Quantity (doses)]]/1000,"")</f>
        <v/>
      </c>
      <c r="Y895" s="293" t="str">
        <f>IF(Table3[[#This Row],[Status]]="Ordered",(DATE(YEAR(P895),MONTH(P895),1)),IF(Table3[[#This Row],[Status]]="Received",(DATE(YEAR(Q895),MONTH(Q895),1)),""))</f>
        <v/>
      </c>
      <c r="Z895" s="304" t="str">
        <f t="shared" si="52"/>
        <v/>
      </c>
      <c r="AA895" s="48" t="str">
        <f t="shared" si="53"/>
        <v/>
      </c>
      <c r="AB895" s="48" t="str">
        <f t="shared" si="54"/>
        <v/>
      </c>
      <c r="AC895" s="292" t="str">
        <f t="shared" si="55"/>
        <v/>
      </c>
      <c r="AD895" s="48" t="str">
        <f>IF(Table3[[#This Row],[Actual Arrival date]]&gt;0,IF(Table3[[#This Row],[Expected arrival date]]&gt;0,Table3[[#This Row],[Actual Arrival date]]-Table3[[#This Row],[Expected arrival date]],""),"")</f>
        <v/>
      </c>
    </row>
    <row r="896" spans="1:30" x14ac:dyDescent="0.25">
      <c r="A896" s="303" t="str">
        <f>Start!$D$7</f>
        <v>Anyland</v>
      </c>
      <c r="B896" s="48" t="str">
        <f>_xlfn.IFNA(VLOOKUP(A896,list!B:C,2,FALSE),"")</f>
        <v>ANY</v>
      </c>
      <c r="C896" s="48"/>
      <c r="D896" s="127"/>
      <c r="E896" s="48" t="str">
        <f>_xlfn.IFNA(VLOOKUP(Table3[[#This Row],[Product]], ProductListTbl[], 3, 0), "")</f>
        <v/>
      </c>
      <c r="F896" s="303" t="str">
        <f>_xlfn.IFNA(VLOOKUP(D896,ProductListTbl[],5,0),"")</f>
        <v/>
      </c>
      <c r="G896" s="303" t="str">
        <f>_xlfn.IFNA(VLOOKUP(D896,ProductListTbl[],6,0),"")</f>
        <v/>
      </c>
      <c r="H896" s="130" t="str">
        <f>_xlfn.IFNA(VLOOKUP(D896,ProductListTbl[],7,0),"")</f>
        <v/>
      </c>
      <c r="I896" s="130" t="str">
        <f>_xlfn.IFNA(VLOOKUP(D896,ProductListTbl[],8,0),"")</f>
        <v/>
      </c>
      <c r="J896" s="127"/>
      <c r="K896" s="129"/>
      <c r="L896" s="128"/>
      <c r="M896" s="305" t="str">
        <f>IFERROR(Table3[[#This Row],[Quantity (doses)]]/Table3[[#This Row],[Doses per vial or syringe]],"")</f>
        <v/>
      </c>
      <c r="N896" s="127"/>
      <c r="O896" s="127"/>
      <c r="P896" s="381"/>
      <c r="Q896" s="129"/>
      <c r="R896" s="127"/>
      <c r="S896" s="127"/>
      <c r="T896" s="127"/>
      <c r="U896" s="127"/>
      <c r="V896" s="305" t="str">
        <f>_xlfn.IFNA(VLOOKUP(D896,ProductListTbl[],9,0),"")</f>
        <v/>
      </c>
      <c r="W896" s="305" t="str">
        <f>IFERROR(Table3[[#This Row],[Storage space per secondary packaging (cm3)]]*Table3[[#This Row],[Quantity  (vials or syringes)]]/1000,"")</f>
        <v/>
      </c>
      <c r="X896" s="305" t="str">
        <f>IFERROR(Table3[[#This Row],[Storage space per tertiary packaging (cm3)]]*Table3[[#This Row],[Quantity (doses)]]/1000,"")</f>
        <v/>
      </c>
      <c r="Y896" s="293" t="str">
        <f>IF(Table3[[#This Row],[Status]]="Ordered",(DATE(YEAR(P896),MONTH(P896),1)),IF(Table3[[#This Row],[Status]]="Received",(DATE(YEAR(Q896),MONTH(Q896),1)),""))</f>
        <v/>
      </c>
      <c r="Z896" s="304" t="str">
        <f t="shared" si="52"/>
        <v/>
      </c>
      <c r="AA896" s="48" t="str">
        <f t="shared" si="53"/>
        <v/>
      </c>
      <c r="AB896" s="48" t="str">
        <f t="shared" si="54"/>
        <v/>
      </c>
      <c r="AC896" s="292" t="str">
        <f t="shared" si="55"/>
        <v/>
      </c>
      <c r="AD896" s="48" t="str">
        <f>IF(Table3[[#This Row],[Actual Arrival date]]&gt;0,IF(Table3[[#This Row],[Expected arrival date]]&gt;0,Table3[[#This Row],[Actual Arrival date]]-Table3[[#This Row],[Expected arrival date]],""),"")</f>
        <v/>
      </c>
    </row>
    <row r="897" spans="1:30" x14ac:dyDescent="0.25">
      <c r="A897" s="303" t="str">
        <f>Start!$D$7</f>
        <v>Anyland</v>
      </c>
      <c r="B897" s="48" t="str">
        <f>_xlfn.IFNA(VLOOKUP(A897,list!B:C,2,FALSE),"")</f>
        <v>ANY</v>
      </c>
      <c r="C897" s="48"/>
      <c r="D897" s="127"/>
      <c r="E897" s="48" t="str">
        <f>_xlfn.IFNA(VLOOKUP(Table3[[#This Row],[Product]], ProductListTbl[], 3, 0), "")</f>
        <v/>
      </c>
      <c r="F897" s="303" t="str">
        <f>_xlfn.IFNA(VLOOKUP(D897,ProductListTbl[],5,0),"")</f>
        <v/>
      </c>
      <c r="G897" s="303" t="str">
        <f>_xlfn.IFNA(VLOOKUP(D897,ProductListTbl[],6,0),"")</f>
        <v/>
      </c>
      <c r="H897" s="130" t="str">
        <f>_xlfn.IFNA(VLOOKUP(D897,ProductListTbl[],7,0),"")</f>
        <v/>
      </c>
      <c r="I897" s="130" t="str">
        <f>_xlfn.IFNA(VLOOKUP(D897,ProductListTbl[],8,0),"")</f>
        <v/>
      </c>
      <c r="J897" s="127"/>
      <c r="K897" s="129"/>
      <c r="L897" s="128"/>
      <c r="M897" s="305" t="str">
        <f>IFERROR(Table3[[#This Row],[Quantity (doses)]]/Table3[[#This Row],[Doses per vial or syringe]],"")</f>
        <v/>
      </c>
      <c r="N897" s="127"/>
      <c r="O897" s="127"/>
      <c r="P897" s="381"/>
      <c r="Q897" s="129"/>
      <c r="R897" s="127"/>
      <c r="S897" s="127"/>
      <c r="T897" s="127"/>
      <c r="U897" s="127"/>
      <c r="V897" s="305" t="str">
        <f>_xlfn.IFNA(VLOOKUP(D897,ProductListTbl[],9,0),"")</f>
        <v/>
      </c>
      <c r="W897" s="305" t="str">
        <f>IFERROR(Table3[[#This Row],[Storage space per secondary packaging (cm3)]]*Table3[[#This Row],[Quantity  (vials or syringes)]]/1000,"")</f>
        <v/>
      </c>
      <c r="X897" s="305" t="str">
        <f>IFERROR(Table3[[#This Row],[Storage space per tertiary packaging (cm3)]]*Table3[[#This Row],[Quantity (doses)]]/1000,"")</f>
        <v/>
      </c>
      <c r="Y897" s="293" t="str">
        <f>IF(Table3[[#This Row],[Status]]="Ordered",(DATE(YEAR(P897),MONTH(P897),1)),IF(Table3[[#This Row],[Status]]="Received",(DATE(YEAR(Q897),MONTH(Q897),1)),""))</f>
        <v/>
      </c>
      <c r="Z897" s="304" t="str">
        <f t="shared" si="52"/>
        <v/>
      </c>
      <c r="AA897" s="48" t="str">
        <f t="shared" si="53"/>
        <v/>
      </c>
      <c r="AB897" s="48" t="str">
        <f t="shared" si="54"/>
        <v/>
      </c>
      <c r="AC897" s="292" t="str">
        <f t="shared" si="55"/>
        <v/>
      </c>
      <c r="AD897" s="48" t="str">
        <f>IF(Table3[[#This Row],[Actual Arrival date]]&gt;0,IF(Table3[[#This Row],[Expected arrival date]]&gt;0,Table3[[#This Row],[Actual Arrival date]]-Table3[[#This Row],[Expected arrival date]],""),"")</f>
        <v/>
      </c>
    </row>
    <row r="898" spans="1:30" x14ac:dyDescent="0.25">
      <c r="A898" s="303" t="str">
        <f>Start!$D$7</f>
        <v>Anyland</v>
      </c>
      <c r="B898" s="48" t="str">
        <f>_xlfn.IFNA(VLOOKUP(A898,list!B:C,2,FALSE),"")</f>
        <v>ANY</v>
      </c>
      <c r="C898" s="48"/>
      <c r="D898" s="127"/>
      <c r="E898" s="48" t="str">
        <f>_xlfn.IFNA(VLOOKUP(Table3[[#This Row],[Product]], ProductListTbl[], 3, 0), "")</f>
        <v/>
      </c>
      <c r="F898" s="303" t="str">
        <f>_xlfn.IFNA(VLOOKUP(D898,ProductListTbl[],5,0),"")</f>
        <v/>
      </c>
      <c r="G898" s="303" t="str">
        <f>_xlfn.IFNA(VLOOKUP(D898,ProductListTbl[],6,0),"")</f>
        <v/>
      </c>
      <c r="H898" s="130" t="str">
        <f>_xlfn.IFNA(VLOOKUP(D898,ProductListTbl[],7,0),"")</f>
        <v/>
      </c>
      <c r="I898" s="130" t="str">
        <f>_xlfn.IFNA(VLOOKUP(D898,ProductListTbl[],8,0),"")</f>
        <v/>
      </c>
      <c r="J898" s="127"/>
      <c r="K898" s="129"/>
      <c r="L898" s="128"/>
      <c r="M898" s="305" t="str">
        <f>IFERROR(Table3[[#This Row],[Quantity (doses)]]/Table3[[#This Row],[Doses per vial or syringe]],"")</f>
        <v/>
      </c>
      <c r="N898" s="127"/>
      <c r="O898" s="127"/>
      <c r="P898" s="381"/>
      <c r="Q898" s="129"/>
      <c r="R898" s="127"/>
      <c r="S898" s="127"/>
      <c r="T898" s="127"/>
      <c r="U898" s="127"/>
      <c r="V898" s="305" t="str">
        <f>_xlfn.IFNA(VLOOKUP(D898,ProductListTbl[],9,0),"")</f>
        <v/>
      </c>
      <c r="W898" s="305" t="str">
        <f>IFERROR(Table3[[#This Row],[Storage space per secondary packaging (cm3)]]*Table3[[#This Row],[Quantity  (vials or syringes)]]/1000,"")</f>
        <v/>
      </c>
      <c r="X898" s="305" t="str">
        <f>IFERROR(Table3[[#This Row],[Storage space per tertiary packaging (cm3)]]*Table3[[#This Row],[Quantity (doses)]]/1000,"")</f>
        <v/>
      </c>
      <c r="Y898" s="293" t="str">
        <f>IF(Table3[[#This Row],[Status]]="Ordered",(DATE(YEAR(P898),MONTH(P898),1)),IF(Table3[[#This Row],[Status]]="Received",(DATE(YEAR(Q898),MONTH(Q898),1)),""))</f>
        <v/>
      </c>
      <c r="Z898" s="304" t="str">
        <f t="shared" si="52"/>
        <v/>
      </c>
      <c r="AA898" s="48" t="str">
        <f t="shared" si="53"/>
        <v/>
      </c>
      <c r="AB898" s="48" t="str">
        <f t="shared" si="54"/>
        <v/>
      </c>
      <c r="AC898" s="292" t="str">
        <f t="shared" si="55"/>
        <v/>
      </c>
      <c r="AD898" s="48" t="str">
        <f>IF(Table3[[#This Row],[Actual Arrival date]]&gt;0,IF(Table3[[#This Row],[Expected arrival date]]&gt;0,Table3[[#This Row],[Actual Arrival date]]-Table3[[#This Row],[Expected arrival date]],""),"")</f>
        <v/>
      </c>
    </row>
    <row r="899" spans="1:30" x14ac:dyDescent="0.25">
      <c r="A899" s="303" t="str">
        <f>Start!$D$7</f>
        <v>Anyland</v>
      </c>
      <c r="B899" s="48" t="str">
        <f>_xlfn.IFNA(VLOOKUP(A899,list!B:C,2,FALSE),"")</f>
        <v>ANY</v>
      </c>
      <c r="C899" s="48"/>
      <c r="D899" s="127"/>
      <c r="E899" s="48" t="str">
        <f>_xlfn.IFNA(VLOOKUP(Table3[[#This Row],[Product]], ProductListTbl[], 3, 0), "")</f>
        <v/>
      </c>
      <c r="F899" s="303" t="str">
        <f>_xlfn.IFNA(VLOOKUP(D899,ProductListTbl[],5,0),"")</f>
        <v/>
      </c>
      <c r="G899" s="303" t="str">
        <f>_xlfn.IFNA(VLOOKUP(D899,ProductListTbl[],6,0),"")</f>
        <v/>
      </c>
      <c r="H899" s="130" t="str">
        <f>_xlfn.IFNA(VLOOKUP(D899,ProductListTbl[],7,0),"")</f>
        <v/>
      </c>
      <c r="I899" s="130" t="str">
        <f>_xlfn.IFNA(VLOOKUP(D899,ProductListTbl[],8,0),"")</f>
        <v/>
      </c>
      <c r="J899" s="127"/>
      <c r="K899" s="129"/>
      <c r="L899" s="128"/>
      <c r="M899" s="305" t="str">
        <f>IFERROR(Table3[[#This Row],[Quantity (doses)]]/Table3[[#This Row],[Doses per vial or syringe]],"")</f>
        <v/>
      </c>
      <c r="N899" s="127"/>
      <c r="O899" s="127"/>
      <c r="P899" s="381"/>
      <c r="Q899" s="129"/>
      <c r="R899" s="127"/>
      <c r="S899" s="127"/>
      <c r="T899" s="127"/>
      <c r="U899" s="127"/>
      <c r="V899" s="305" t="str">
        <f>_xlfn.IFNA(VLOOKUP(D899,ProductListTbl[],9,0),"")</f>
        <v/>
      </c>
      <c r="W899" s="305" t="str">
        <f>IFERROR(Table3[[#This Row],[Storage space per secondary packaging (cm3)]]*Table3[[#This Row],[Quantity  (vials or syringes)]]/1000,"")</f>
        <v/>
      </c>
      <c r="X899" s="305" t="str">
        <f>IFERROR(Table3[[#This Row],[Storage space per tertiary packaging (cm3)]]*Table3[[#This Row],[Quantity (doses)]]/1000,"")</f>
        <v/>
      </c>
      <c r="Y899" s="293" t="str">
        <f>IF(Table3[[#This Row],[Status]]="Ordered",(DATE(YEAR(P899),MONTH(P899),1)),IF(Table3[[#This Row],[Status]]="Received",(DATE(YEAR(Q899),MONTH(Q899),1)),""))</f>
        <v/>
      </c>
      <c r="Z899" s="304" t="str">
        <f t="shared" si="52"/>
        <v/>
      </c>
      <c r="AA899" s="48" t="str">
        <f t="shared" si="53"/>
        <v/>
      </c>
      <c r="AB899" s="48" t="str">
        <f t="shared" si="54"/>
        <v/>
      </c>
      <c r="AC899" s="292" t="str">
        <f t="shared" si="55"/>
        <v/>
      </c>
      <c r="AD899" s="48" t="str">
        <f>IF(Table3[[#This Row],[Actual Arrival date]]&gt;0,IF(Table3[[#This Row],[Expected arrival date]]&gt;0,Table3[[#This Row],[Actual Arrival date]]-Table3[[#This Row],[Expected arrival date]],""),"")</f>
        <v/>
      </c>
    </row>
    <row r="900" spans="1:30" x14ac:dyDescent="0.25">
      <c r="A900" s="303" t="str">
        <f>Start!$D$7</f>
        <v>Anyland</v>
      </c>
      <c r="B900" s="48" t="str">
        <f>_xlfn.IFNA(VLOOKUP(A900,list!B:C,2,FALSE),"")</f>
        <v>ANY</v>
      </c>
      <c r="C900" s="48"/>
      <c r="D900" s="127"/>
      <c r="E900" s="48" t="str">
        <f>_xlfn.IFNA(VLOOKUP(Table3[[#This Row],[Product]], ProductListTbl[], 3, 0), "")</f>
        <v/>
      </c>
      <c r="F900" s="303" t="str">
        <f>_xlfn.IFNA(VLOOKUP(D900,ProductListTbl[],5,0),"")</f>
        <v/>
      </c>
      <c r="G900" s="303" t="str">
        <f>_xlfn.IFNA(VLOOKUP(D900,ProductListTbl[],6,0),"")</f>
        <v/>
      </c>
      <c r="H900" s="130" t="str">
        <f>_xlfn.IFNA(VLOOKUP(D900,ProductListTbl[],7,0),"")</f>
        <v/>
      </c>
      <c r="I900" s="130" t="str">
        <f>_xlfn.IFNA(VLOOKUP(D900,ProductListTbl[],8,0),"")</f>
        <v/>
      </c>
      <c r="J900" s="127"/>
      <c r="K900" s="129"/>
      <c r="L900" s="128"/>
      <c r="M900" s="305" t="str">
        <f>IFERROR(Table3[[#This Row],[Quantity (doses)]]/Table3[[#This Row],[Doses per vial or syringe]],"")</f>
        <v/>
      </c>
      <c r="N900" s="127"/>
      <c r="O900" s="127"/>
      <c r="P900" s="381"/>
      <c r="Q900" s="129"/>
      <c r="R900" s="127"/>
      <c r="S900" s="127"/>
      <c r="T900" s="127"/>
      <c r="U900" s="127"/>
      <c r="V900" s="305" t="str">
        <f>_xlfn.IFNA(VLOOKUP(D900,ProductListTbl[],9,0),"")</f>
        <v/>
      </c>
      <c r="W900" s="305" t="str">
        <f>IFERROR(Table3[[#This Row],[Storage space per secondary packaging (cm3)]]*Table3[[#This Row],[Quantity  (vials or syringes)]]/1000,"")</f>
        <v/>
      </c>
      <c r="X900" s="305" t="str">
        <f>IFERROR(Table3[[#This Row],[Storage space per tertiary packaging (cm3)]]*Table3[[#This Row],[Quantity (doses)]]/1000,"")</f>
        <v/>
      </c>
      <c r="Y900" s="293" t="str">
        <f>IF(Table3[[#This Row],[Status]]="Ordered",(DATE(YEAR(P900),MONTH(P900),1)),IF(Table3[[#This Row],[Status]]="Received",(DATE(YEAR(Q900),MONTH(Q900),1)),""))</f>
        <v/>
      </c>
      <c r="Z900" s="304" t="str">
        <f t="shared" si="52"/>
        <v/>
      </c>
      <c r="AA900" s="48" t="str">
        <f t="shared" si="53"/>
        <v/>
      </c>
      <c r="AB900" s="48" t="str">
        <f t="shared" si="54"/>
        <v/>
      </c>
      <c r="AC900" s="292" t="str">
        <f t="shared" si="55"/>
        <v/>
      </c>
      <c r="AD900" s="48" t="str">
        <f>IF(Table3[[#This Row],[Actual Arrival date]]&gt;0,IF(Table3[[#This Row],[Expected arrival date]]&gt;0,Table3[[#This Row],[Actual Arrival date]]-Table3[[#This Row],[Expected arrival date]],""),"")</f>
        <v/>
      </c>
    </row>
    <row r="901" spans="1:30" x14ac:dyDescent="0.25">
      <c r="A901" s="303" t="str">
        <f>Start!$D$7</f>
        <v>Anyland</v>
      </c>
      <c r="B901" s="48" t="str">
        <f>_xlfn.IFNA(VLOOKUP(A901,list!B:C,2,FALSE),"")</f>
        <v>ANY</v>
      </c>
      <c r="C901" s="48"/>
      <c r="D901" s="127"/>
      <c r="E901" s="48" t="str">
        <f>_xlfn.IFNA(VLOOKUP(Table3[[#This Row],[Product]], ProductListTbl[], 3, 0), "")</f>
        <v/>
      </c>
      <c r="F901" s="303" t="str">
        <f>_xlfn.IFNA(VLOOKUP(D901,ProductListTbl[],5,0),"")</f>
        <v/>
      </c>
      <c r="G901" s="303" t="str">
        <f>_xlfn.IFNA(VLOOKUP(D901,ProductListTbl[],6,0),"")</f>
        <v/>
      </c>
      <c r="H901" s="130" t="str">
        <f>_xlfn.IFNA(VLOOKUP(D901,ProductListTbl[],7,0),"")</f>
        <v/>
      </c>
      <c r="I901" s="130" t="str">
        <f>_xlfn.IFNA(VLOOKUP(D901,ProductListTbl[],8,0),"")</f>
        <v/>
      </c>
      <c r="J901" s="127"/>
      <c r="K901" s="129"/>
      <c r="L901" s="128"/>
      <c r="M901" s="305" t="str">
        <f>IFERROR(Table3[[#This Row],[Quantity (doses)]]/Table3[[#This Row],[Doses per vial or syringe]],"")</f>
        <v/>
      </c>
      <c r="N901" s="127"/>
      <c r="O901" s="127"/>
      <c r="P901" s="381"/>
      <c r="Q901" s="129"/>
      <c r="R901" s="127"/>
      <c r="S901" s="127"/>
      <c r="T901" s="127"/>
      <c r="U901" s="127"/>
      <c r="V901" s="305" t="str">
        <f>_xlfn.IFNA(VLOOKUP(D901,ProductListTbl[],9,0),"")</f>
        <v/>
      </c>
      <c r="W901" s="305" t="str">
        <f>IFERROR(Table3[[#This Row],[Storage space per secondary packaging (cm3)]]*Table3[[#This Row],[Quantity  (vials or syringes)]]/1000,"")</f>
        <v/>
      </c>
      <c r="X901" s="305" t="str">
        <f>IFERROR(Table3[[#This Row],[Storage space per tertiary packaging (cm3)]]*Table3[[#This Row],[Quantity (doses)]]/1000,"")</f>
        <v/>
      </c>
      <c r="Y901" s="293" t="str">
        <f>IF(Table3[[#This Row],[Status]]="Ordered",(DATE(YEAR(P901),MONTH(P901),1)),IF(Table3[[#This Row],[Status]]="Received",(DATE(YEAR(Q901),MONTH(Q901),1)),""))</f>
        <v/>
      </c>
      <c r="Z901" s="304" t="str">
        <f t="shared" ref="Z901:Z964" si="56">IFERROR(IF(K901&gt;0,((K901-Q901)/(365.25/12)),""),"")</f>
        <v/>
      </c>
      <c r="AA901" s="48" t="str">
        <f t="shared" ref="AA901:AA964" si="57">IFERROR(IF(K901="","",MONTH(EOMONTH(K901,(DAY(K901)&gt;15)+0))),"")</f>
        <v/>
      </c>
      <c r="AB901" s="48" t="str">
        <f t="shared" ref="AB901:AB964" si="58">IFERROR(IF(K901="","",IF(AND(MONTH(K901)=12,AA901=1),YEAR(K901)+1,YEAR(K901))),"")</f>
        <v/>
      </c>
      <c r="AC901" s="292" t="str">
        <f t="shared" ref="AC901:AC964" si="59">IF(OR(AA901="",AB901=""),"",DATE(AB901,AA901,1))</f>
        <v/>
      </c>
      <c r="AD901" s="48" t="str">
        <f>IF(Table3[[#This Row],[Actual Arrival date]]&gt;0,IF(Table3[[#This Row],[Expected arrival date]]&gt;0,Table3[[#This Row],[Actual Arrival date]]-Table3[[#This Row],[Expected arrival date]],""),"")</f>
        <v/>
      </c>
    </row>
    <row r="902" spans="1:30" x14ac:dyDescent="0.25">
      <c r="A902" s="303" t="str">
        <f>Start!$D$7</f>
        <v>Anyland</v>
      </c>
      <c r="B902" s="48" t="str">
        <f>_xlfn.IFNA(VLOOKUP(A902,list!B:C,2,FALSE),"")</f>
        <v>ANY</v>
      </c>
      <c r="C902" s="48"/>
      <c r="D902" s="127"/>
      <c r="E902" s="48" t="str">
        <f>_xlfn.IFNA(VLOOKUP(Table3[[#This Row],[Product]], ProductListTbl[], 3, 0), "")</f>
        <v/>
      </c>
      <c r="F902" s="303" t="str">
        <f>_xlfn.IFNA(VLOOKUP(D902,ProductListTbl[],5,0),"")</f>
        <v/>
      </c>
      <c r="G902" s="303" t="str">
        <f>_xlfn.IFNA(VLOOKUP(D902,ProductListTbl[],6,0),"")</f>
        <v/>
      </c>
      <c r="H902" s="130" t="str">
        <f>_xlfn.IFNA(VLOOKUP(D902,ProductListTbl[],7,0),"")</f>
        <v/>
      </c>
      <c r="I902" s="130" t="str">
        <f>_xlfn.IFNA(VLOOKUP(D902,ProductListTbl[],8,0),"")</f>
        <v/>
      </c>
      <c r="J902" s="127"/>
      <c r="K902" s="129"/>
      <c r="L902" s="128"/>
      <c r="M902" s="305" t="str">
        <f>IFERROR(Table3[[#This Row],[Quantity (doses)]]/Table3[[#This Row],[Doses per vial or syringe]],"")</f>
        <v/>
      </c>
      <c r="N902" s="127"/>
      <c r="O902" s="127"/>
      <c r="P902" s="381"/>
      <c r="Q902" s="129"/>
      <c r="R902" s="127"/>
      <c r="S902" s="127"/>
      <c r="T902" s="127"/>
      <c r="U902" s="127"/>
      <c r="V902" s="305" t="str">
        <f>_xlfn.IFNA(VLOOKUP(D902,ProductListTbl[],9,0),"")</f>
        <v/>
      </c>
      <c r="W902" s="305" t="str">
        <f>IFERROR(Table3[[#This Row],[Storage space per secondary packaging (cm3)]]*Table3[[#This Row],[Quantity  (vials or syringes)]]/1000,"")</f>
        <v/>
      </c>
      <c r="X902" s="305" t="str">
        <f>IFERROR(Table3[[#This Row],[Storage space per tertiary packaging (cm3)]]*Table3[[#This Row],[Quantity (doses)]]/1000,"")</f>
        <v/>
      </c>
      <c r="Y902" s="293" t="str">
        <f>IF(Table3[[#This Row],[Status]]="Ordered",(DATE(YEAR(P902),MONTH(P902),1)),IF(Table3[[#This Row],[Status]]="Received",(DATE(YEAR(Q902),MONTH(Q902),1)),""))</f>
        <v/>
      </c>
      <c r="Z902" s="304" t="str">
        <f t="shared" si="56"/>
        <v/>
      </c>
      <c r="AA902" s="48" t="str">
        <f t="shared" si="57"/>
        <v/>
      </c>
      <c r="AB902" s="48" t="str">
        <f t="shared" si="58"/>
        <v/>
      </c>
      <c r="AC902" s="292" t="str">
        <f t="shared" si="59"/>
        <v/>
      </c>
      <c r="AD902" s="48" t="str">
        <f>IF(Table3[[#This Row],[Actual Arrival date]]&gt;0,IF(Table3[[#This Row],[Expected arrival date]]&gt;0,Table3[[#This Row],[Actual Arrival date]]-Table3[[#This Row],[Expected arrival date]],""),"")</f>
        <v/>
      </c>
    </row>
    <row r="903" spans="1:30" x14ac:dyDescent="0.25">
      <c r="A903" s="303" t="str">
        <f>Start!$D$7</f>
        <v>Anyland</v>
      </c>
      <c r="B903" s="48" t="str">
        <f>_xlfn.IFNA(VLOOKUP(A903,list!B:C,2,FALSE),"")</f>
        <v>ANY</v>
      </c>
      <c r="C903" s="48"/>
      <c r="D903" s="127"/>
      <c r="E903" s="48" t="str">
        <f>_xlfn.IFNA(VLOOKUP(Table3[[#This Row],[Product]], ProductListTbl[], 3, 0), "")</f>
        <v/>
      </c>
      <c r="F903" s="303" t="str">
        <f>_xlfn.IFNA(VLOOKUP(D903,ProductListTbl[],5,0),"")</f>
        <v/>
      </c>
      <c r="G903" s="303" t="str">
        <f>_xlfn.IFNA(VLOOKUP(D903,ProductListTbl[],6,0),"")</f>
        <v/>
      </c>
      <c r="H903" s="130" t="str">
        <f>_xlfn.IFNA(VLOOKUP(D903,ProductListTbl[],7,0),"")</f>
        <v/>
      </c>
      <c r="I903" s="130" t="str">
        <f>_xlfn.IFNA(VLOOKUP(D903,ProductListTbl[],8,0),"")</f>
        <v/>
      </c>
      <c r="J903" s="127"/>
      <c r="K903" s="129"/>
      <c r="L903" s="128"/>
      <c r="M903" s="305" t="str">
        <f>IFERROR(Table3[[#This Row],[Quantity (doses)]]/Table3[[#This Row],[Doses per vial or syringe]],"")</f>
        <v/>
      </c>
      <c r="N903" s="127"/>
      <c r="O903" s="127"/>
      <c r="P903" s="381"/>
      <c r="Q903" s="129"/>
      <c r="R903" s="127"/>
      <c r="S903" s="127"/>
      <c r="T903" s="127"/>
      <c r="U903" s="127"/>
      <c r="V903" s="305" t="str">
        <f>_xlfn.IFNA(VLOOKUP(D903,ProductListTbl[],9,0),"")</f>
        <v/>
      </c>
      <c r="W903" s="305" t="str">
        <f>IFERROR(Table3[[#This Row],[Storage space per secondary packaging (cm3)]]*Table3[[#This Row],[Quantity  (vials or syringes)]]/1000,"")</f>
        <v/>
      </c>
      <c r="X903" s="305" t="str">
        <f>IFERROR(Table3[[#This Row],[Storage space per tertiary packaging (cm3)]]*Table3[[#This Row],[Quantity (doses)]]/1000,"")</f>
        <v/>
      </c>
      <c r="Y903" s="293" t="str">
        <f>IF(Table3[[#This Row],[Status]]="Ordered",(DATE(YEAR(P903),MONTH(P903),1)),IF(Table3[[#This Row],[Status]]="Received",(DATE(YEAR(Q903),MONTH(Q903),1)),""))</f>
        <v/>
      </c>
      <c r="Z903" s="304" t="str">
        <f t="shared" si="56"/>
        <v/>
      </c>
      <c r="AA903" s="48" t="str">
        <f t="shared" si="57"/>
        <v/>
      </c>
      <c r="AB903" s="48" t="str">
        <f t="shared" si="58"/>
        <v/>
      </c>
      <c r="AC903" s="292" t="str">
        <f t="shared" si="59"/>
        <v/>
      </c>
      <c r="AD903" s="48" t="str">
        <f>IF(Table3[[#This Row],[Actual Arrival date]]&gt;0,IF(Table3[[#This Row],[Expected arrival date]]&gt;0,Table3[[#This Row],[Actual Arrival date]]-Table3[[#This Row],[Expected arrival date]],""),"")</f>
        <v/>
      </c>
    </row>
    <row r="904" spans="1:30" x14ac:dyDescent="0.25">
      <c r="A904" s="303" t="str">
        <f>Start!$D$7</f>
        <v>Anyland</v>
      </c>
      <c r="B904" s="48" t="str">
        <f>_xlfn.IFNA(VLOOKUP(A904,list!B:C,2,FALSE),"")</f>
        <v>ANY</v>
      </c>
      <c r="C904" s="48"/>
      <c r="D904" s="127"/>
      <c r="E904" s="48" t="str">
        <f>_xlfn.IFNA(VLOOKUP(Table3[[#This Row],[Product]], ProductListTbl[], 3, 0), "")</f>
        <v/>
      </c>
      <c r="F904" s="303" t="str">
        <f>_xlfn.IFNA(VLOOKUP(D904,ProductListTbl[],5,0),"")</f>
        <v/>
      </c>
      <c r="G904" s="303" t="str">
        <f>_xlfn.IFNA(VLOOKUP(D904,ProductListTbl[],6,0),"")</f>
        <v/>
      </c>
      <c r="H904" s="130" t="str">
        <f>_xlfn.IFNA(VLOOKUP(D904,ProductListTbl[],7,0),"")</f>
        <v/>
      </c>
      <c r="I904" s="130" t="str">
        <f>_xlfn.IFNA(VLOOKUP(D904,ProductListTbl[],8,0),"")</f>
        <v/>
      </c>
      <c r="J904" s="127"/>
      <c r="K904" s="129"/>
      <c r="L904" s="128"/>
      <c r="M904" s="305" t="str">
        <f>IFERROR(Table3[[#This Row],[Quantity (doses)]]/Table3[[#This Row],[Doses per vial or syringe]],"")</f>
        <v/>
      </c>
      <c r="N904" s="127"/>
      <c r="O904" s="127"/>
      <c r="P904" s="381"/>
      <c r="Q904" s="129"/>
      <c r="R904" s="127"/>
      <c r="S904" s="127"/>
      <c r="T904" s="127"/>
      <c r="U904" s="127"/>
      <c r="V904" s="305" t="str">
        <f>_xlfn.IFNA(VLOOKUP(D904,ProductListTbl[],9,0),"")</f>
        <v/>
      </c>
      <c r="W904" s="305" t="str">
        <f>IFERROR(Table3[[#This Row],[Storage space per secondary packaging (cm3)]]*Table3[[#This Row],[Quantity  (vials or syringes)]]/1000,"")</f>
        <v/>
      </c>
      <c r="X904" s="305" t="str">
        <f>IFERROR(Table3[[#This Row],[Storage space per tertiary packaging (cm3)]]*Table3[[#This Row],[Quantity (doses)]]/1000,"")</f>
        <v/>
      </c>
      <c r="Y904" s="293" t="str">
        <f>IF(Table3[[#This Row],[Status]]="Ordered",(DATE(YEAR(P904),MONTH(P904),1)),IF(Table3[[#This Row],[Status]]="Received",(DATE(YEAR(Q904),MONTH(Q904),1)),""))</f>
        <v/>
      </c>
      <c r="Z904" s="304" t="str">
        <f t="shared" si="56"/>
        <v/>
      </c>
      <c r="AA904" s="48" t="str">
        <f t="shared" si="57"/>
        <v/>
      </c>
      <c r="AB904" s="48" t="str">
        <f t="shared" si="58"/>
        <v/>
      </c>
      <c r="AC904" s="292" t="str">
        <f t="shared" si="59"/>
        <v/>
      </c>
      <c r="AD904" s="48" t="str">
        <f>IF(Table3[[#This Row],[Actual Arrival date]]&gt;0,IF(Table3[[#This Row],[Expected arrival date]]&gt;0,Table3[[#This Row],[Actual Arrival date]]-Table3[[#This Row],[Expected arrival date]],""),"")</f>
        <v/>
      </c>
    </row>
    <row r="905" spans="1:30" x14ac:dyDescent="0.25">
      <c r="A905" s="303" t="str">
        <f>Start!$D$7</f>
        <v>Anyland</v>
      </c>
      <c r="B905" s="48" t="str">
        <f>_xlfn.IFNA(VLOOKUP(A905,list!B:C,2,FALSE),"")</f>
        <v>ANY</v>
      </c>
      <c r="C905" s="48"/>
      <c r="D905" s="127"/>
      <c r="E905" s="48" t="str">
        <f>_xlfn.IFNA(VLOOKUP(Table3[[#This Row],[Product]], ProductListTbl[], 3, 0), "")</f>
        <v/>
      </c>
      <c r="F905" s="303" t="str">
        <f>_xlfn.IFNA(VLOOKUP(D905,ProductListTbl[],5,0),"")</f>
        <v/>
      </c>
      <c r="G905" s="303" t="str">
        <f>_xlfn.IFNA(VLOOKUP(D905,ProductListTbl[],6,0),"")</f>
        <v/>
      </c>
      <c r="H905" s="130" t="str">
        <f>_xlfn.IFNA(VLOOKUP(D905,ProductListTbl[],7,0),"")</f>
        <v/>
      </c>
      <c r="I905" s="130" t="str">
        <f>_xlfn.IFNA(VLOOKUP(D905,ProductListTbl[],8,0),"")</f>
        <v/>
      </c>
      <c r="J905" s="127"/>
      <c r="K905" s="129"/>
      <c r="L905" s="128"/>
      <c r="M905" s="305" t="str">
        <f>IFERROR(Table3[[#This Row],[Quantity (doses)]]/Table3[[#This Row],[Doses per vial or syringe]],"")</f>
        <v/>
      </c>
      <c r="N905" s="127"/>
      <c r="O905" s="127"/>
      <c r="P905" s="381"/>
      <c r="Q905" s="129"/>
      <c r="R905" s="127"/>
      <c r="S905" s="127"/>
      <c r="T905" s="127"/>
      <c r="U905" s="127"/>
      <c r="V905" s="305" t="str">
        <f>_xlfn.IFNA(VLOOKUP(D905,ProductListTbl[],9,0),"")</f>
        <v/>
      </c>
      <c r="W905" s="305" t="str">
        <f>IFERROR(Table3[[#This Row],[Storage space per secondary packaging (cm3)]]*Table3[[#This Row],[Quantity  (vials or syringes)]]/1000,"")</f>
        <v/>
      </c>
      <c r="X905" s="305" t="str">
        <f>IFERROR(Table3[[#This Row],[Storage space per tertiary packaging (cm3)]]*Table3[[#This Row],[Quantity (doses)]]/1000,"")</f>
        <v/>
      </c>
      <c r="Y905" s="293" t="str">
        <f>IF(Table3[[#This Row],[Status]]="Ordered",(DATE(YEAR(P905),MONTH(P905),1)),IF(Table3[[#This Row],[Status]]="Received",(DATE(YEAR(Q905),MONTH(Q905),1)),""))</f>
        <v/>
      </c>
      <c r="Z905" s="304" t="str">
        <f t="shared" si="56"/>
        <v/>
      </c>
      <c r="AA905" s="48" t="str">
        <f t="shared" si="57"/>
        <v/>
      </c>
      <c r="AB905" s="48" t="str">
        <f t="shared" si="58"/>
        <v/>
      </c>
      <c r="AC905" s="292" t="str">
        <f t="shared" si="59"/>
        <v/>
      </c>
      <c r="AD905" s="48" t="str">
        <f>IF(Table3[[#This Row],[Actual Arrival date]]&gt;0,IF(Table3[[#This Row],[Expected arrival date]]&gt;0,Table3[[#This Row],[Actual Arrival date]]-Table3[[#This Row],[Expected arrival date]],""),"")</f>
        <v/>
      </c>
    </row>
    <row r="906" spans="1:30" x14ac:dyDescent="0.25">
      <c r="A906" s="303" t="str">
        <f>Start!$D$7</f>
        <v>Anyland</v>
      </c>
      <c r="B906" s="48" t="str">
        <f>_xlfn.IFNA(VLOOKUP(A906,list!B:C,2,FALSE),"")</f>
        <v>ANY</v>
      </c>
      <c r="C906" s="48"/>
      <c r="D906" s="127"/>
      <c r="E906" s="48" t="str">
        <f>_xlfn.IFNA(VLOOKUP(Table3[[#This Row],[Product]], ProductListTbl[], 3, 0), "")</f>
        <v/>
      </c>
      <c r="F906" s="303" t="str">
        <f>_xlfn.IFNA(VLOOKUP(D906,ProductListTbl[],5,0),"")</f>
        <v/>
      </c>
      <c r="G906" s="303" t="str">
        <f>_xlfn.IFNA(VLOOKUP(D906,ProductListTbl[],6,0),"")</f>
        <v/>
      </c>
      <c r="H906" s="130" t="str">
        <f>_xlfn.IFNA(VLOOKUP(D906,ProductListTbl[],7,0),"")</f>
        <v/>
      </c>
      <c r="I906" s="130" t="str">
        <f>_xlfn.IFNA(VLOOKUP(D906,ProductListTbl[],8,0),"")</f>
        <v/>
      </c>
      <c r="J906" s="127"/>
      <c r="K906" s="129"/>
      <c r="L906" s="128"/>
      <c r="M906" s="305" t="str">
        <f>IFERROR(Table3[[#This Row],[Quantity (doses)]]/Table3[[#This Row],[Doses per vial or syringe]],"")</f>
        <v/>
      </c>
      <c r="N906" s="127"/>
      <c r="O906" s="127"/>
      <c r="P906" s="381"/>
      <c r="Q906" s="129"/>
      <c r="R906" s="127"/>
      <c r="S906" s="127"/>
      <c r="T906" s="127"/>
      <c r="U906" s="127"/>
      <c r="V906" s="305" t="str">
        <f>_xlfn.IFNA(VLOOKUP(D906,ProductListTbl[],9,0),"")</f>
        <v/>
      </c>
      <c r="W906" s="305" t="str">
        <f>IFERROR(Table3[[#This Row],[Storage space per secondary packaging (cm3)]]*Table3[[#This Row],[Quantity  (vials or syringes)]]/1000,"")</f>
        <v/>
      </c>
      <c r="X906" s="305" t="str">
        <f>IFERROR(Table3[[#This Row],[Storage space per tertiary packaging (cm3)]]*Table3[[#This Row],[Quantity (doses)]]/1000,"")</f>
        <v/>
      </c>
      <c r="Y906" s="293" t="str">
        <f>IF(Table3[[#This Row],[Status]]="Ordered",(DATE(YEAR(P906),MONTH(P906),1)),IF(Table3[[#This Row],[Status]]="Received",(DATE(YEAR(Q906),MONTH(Q906),1)),""))</f>
        <v/>
      </c>
      <c r="Z906" s="304" t="str">
        <f t="shared" si="56"/>
        <v/>
      </c>
      <c r="AA906" s="48" t="str">
        <f t="shared" si="57"/>
        <v/>
      </c>
      <c r="AB906" s="48" t="str">
        <f t="shared" si="58"/>
        <v/>
      </c>
      <c r="AC906" s="292" t="str">
        <f t="shared" si="59"/>
        <v/>
      </c>
      <c r="AD906" s="48" t="str">
        <f>IF(Table3[[#This Row],[Actual Arrival date]]&gt;0,IF(Table3[[#This Row],[Expected arrival date]]&gt;0,Table3[[#This Row],[Actual Arrival date]]-Table3[[#This Row],[Expected arrival date]],""),"")</f>
        <v/>
      </c>
    </row>
    <row r="907" spans="1:30" x14ac:dyDescent="0.25">
      <c r="A907" s="303" t="str">
        <f>Start!$D$7</f>
        <v>Anyland</v>
      </c>
      <c r="B907" s="48" t="str">
        <f>_xlfn.IFNA(VLOOKUP(A907,list!B:C,2,FALSE),"")</f>
        <v>ANY</v>
      </c>
      <c r="C907" s="48"/>
      <c r="D907" s="127"/>
      <c r="E907" s="48" t="str">
        <f>_xlfn.IFNA(VLOOKUP(Table3[[#This Row],[Product]], ProductListTbl[], 3, 0), "")</f>
        <v/>
      </c>
      <c r="F907" s="303" t="str">
        <f>_xlfn.IFNA(VLOOKUP(D907,ProductListTbl[],5,0),"")</f>
        <v/>
      </c>
      <c r="G907" s="303" t="str">
        <f>_xlfn.IFNA(VLOOKUP(D907,ProductListTbl[],6,0),"")</f>
        <v/>
      </c>
      <c r="H907" s="130" t="str">
        <f>_xlfn.IFNA(VLOOKUP(D907,ProductListTbl[],7,0),"")</f>
        <v/>
      </c>
      <c r="I907" s="130" t="str">
        <f>_xlfn.IFNA(VLOOKUP(D907,ProductListTbl[],8,0),"")</f>
        <v/>
      </c>
      <c r="J907" s="127"/>
      <c r="K907" s="129"/>
      <c r="L907" s="128"/>
      <c r="M907" s="305" t="str">
        <f>IFERROR(Table3[[#This Row],[Quantity (doses)]]/Table3[[#This Row],[Doses per vial or syringe]],"")</f>
        <v/>
      </c>
      <c r="N907" s="127"/>
      <c r="O907" s="127"/>
      <c r="P907" s="381"/>
      <c r="Q907" s="129"/>
      <c r="R907" s="127"/>
      <c r="S907" s="127"/>
      <c r="T907" s="127"/>
      <c r="U907" s="127"/>
      <c r="V907" s="305" t="str">
        <f>_xlfn.IFNA(VLOOKUP(D907,ProductListTbl[],9,0),"")</f>
        <v/>
      </c>
      <c r="W907" s="305" t="str">
        <f>IFERROR(Table3[[#This Row],[Storage space per secondary packaging (cm3)]]*Table3[[#This Row],[Quantity  (vials or syringes)]]/1000,"")</f>
        <v/>
      </c>
      <c r="X907" s="305" t="str">
        <f>IFERROR(Table3[[#This Row],[Storage space per tertiary packaging (cm3)]]*Table3[[#This Row],[Quantity (doses)]]/1000,"")</f>
        <v/>
      </c>
      <c r="Y907" s="293" t="str">
        <f>IF(Table3[[#This Row],[Status]]="Ordered",(DATE(YEAR(P907),MONTH(P907),1)),IF(Table3[[#This Row],[Status]]="Received",(DATE(YEAR(Q907),MONTH(Q907),1)),""))</f>
        <v/>
      </c>
      <c r="Z907" s="304" t="str">
        <f t="shared" si="56"/>
        <v/>
      </c>
      <c r="AA907" s="48" t="str">
        <f t="shared" si="57"/>
        <v/>
      </c>
      <c r="AB907" s="48" t="str">
        <f t="shared" si="58"/>
        <v/>
      </c>
      <c r="AC907" s="292" t="str">
        <f t="shared" si="59"/>
        <v/>
      </c>
      <c r="AD907" s="48" t="str">
        <f>IF(Table3[[#This Row],[Actual Arrival date]]&gt;0,IF(Table3[[#This Row],[Expected arrival date]]&gt;0,Table3[[#This Row],[Actual Arrival date]]-Table3[[#This Row],[Expected arrival date]],""),"")</f>
        <v/>
      </c>
    </row>
    <row r="908" spans="1:30" x14ac:dyDescent="0.25">
      <c r="A908" s="303" t="str">
        <f>Start!$D$7</f>
        <v>Anyland</v>
      </c>
      <c r="B908" s="48" t="str">
        <f>_xlfn.IFNA(VLOOKUP(A908,list!B:C,2,FALSE),"")</f>
        <v>ANY</v>
      </c>
      <c r="C908" s="48"/>
      <c r="D908" s="127"/>
      <c r="E908" s="48" t="str">
        <f>_xlfn.IFNA(VLOOKUP(Table3[[#This Row],[Product]], ProductListTbl[], 3, 0), "")</f>
        <v/>
      </c>
      <c r="F908" s="303" t="str">
        <f>_xlfn.IFNA(VLOOKUP(D908,ProductListTbl[],5,0),"")</f>
        <v/>
      </c>
      <c r="G908" s="303" t="str">
        <f>_xlfn.IFNA(VLOOKUP(D908,ProductListTbl[],6,0),"")</f>
        <v/>
      </c>
      <c r="H908" s="130" t="str">
        <f>_xlfn.IFNA(VLOOKUP(D908,ProductListTbl[],7,0),"")</f>
        <v/>
      </c>
      <c r="I908" s="130" t="str">
        <f>_xlfn.IFNA(VLOOKUP(D908,ProductListTbl[],8,0),"")</f>
        <v/>
      </c>
      <c r="J908" s="127"/>
      <c r="K908" s="129"/>
      <c r="L908" s="128"/>
      <c r="M908" s="305" t="str">
        <f>IFERROR(Table3[[#This Row],[Quantity (doses)]]/Table3[[#This Row],[Doses per vial or syringe]],"")</f>
        <v/>
      </c>
      <c r="N908" s="127"/>
      <c r="O908" s="127"/>
      <c r="P908" s="381"/>
      <c r="Q908" s="129"/>
      <c r="R908" s="127"/>
      <c r="S908" s="127"/>
      <c r="T908" s="127"/>
      <c r="U908" s="127"/>
      <c r="V908" s="305" t="str">
        <f>_xlfn.IFNA(VLOOKUP(D908,ProductListTbl[],9,0),"")</f>
        <v/>
      </c>
      <c r="W908" s="305" t="str">
        <f>IFERROR(Table3[[#This Row],[Storage space per secondary packaging (cm3)]]*Table3[[#This Row],[Quantity  (vials or syringes)]]/1000,"")</f>
        <v/>
      </c>
      <c r="X908" s="305" t="str">
        <f>IFERROR(Table3[[#This Row],[Storage space per tertiary packaging (cm3)]]*Table3[[#This Row],[Quantity (doses)]]/1000,"")</f>
        <v/>
      </c>
      <c r="Y908" s="293" t="str">
        <f>IF(Table3[[#This Row],[Status]]="Ordered",(DATE(YEAR(P908),MONTH(P908),1)),IF(Table3[[#This Row],[Status]]="Received",(DATE(YEAR(Q908),MONTH(Q908),1)),""))</f>
        <v/>
      </c>
      <c r="Z908" s="304" t="str">
        <f t="shared" si="56"/>
        <v/>
      </c>
      <c r="AA908" s="48" t="str">
        <f t="shared" si="57"/>
        <v/>
      </c>
      <c r="AB908" s="48" t="str">
        <f t="shared" si="58"/>
        <v/>
      </c>
      <c r="AC908" s="292" t="str">
        <f t="shared" si="59"/>
        <v/>
      </c>
      <c r="AD908" s="48" t="str">
        <f>IF(Table3[[#This Row],[Actual Arrival date]]&gt;0,IF(Table3[[#This Row],[Expected arrival date]]&gt;0,Table3[[#This Row],[Actual Arrival date]]-Table3[[#This Row],[Expected arrival date]],""),"")</f>
        <v/>
      </c>
    </row>
    <row r="909" spans="1:30" x14ac:dyDescent="0.25">
      <c r="A909" s="303" t="str">
        <f>Start!$D$7</f>
        <v>Anyland</v>
      </c>
      <c r="B909" s="48" t="str">
        <f>_xlfn.IFNA(VLOOKUP(A909,list!B:C,2,FALSE),"")</f>
        <v>ANY</v>
      </c>
      <c r="C909" s="48"/>
      <c r="D909" s="127"/>
      <c r="E909" s="48" t="str">
        <f>_xlfn.IFNA(VLOOKUP(Table3[[#This Row],[Product]], ProductListTbl[], 3, 0), "")</f>
        <v/>
      </c>
      <c r="F909" s="303" t="str">
        <f>_xlfn.IFNA(VLOOKUP(D909,ProductListTbl[],5,0),"")</f>
        <v/>
      </c>
      <c r="G909" s="303" t="str">
        <f>_xlfn.IFNA(VLOOKUP(D909,ProductListTbl[],6,0),"")</f>
        <v/>
      </c>
      <c r="H909" s="130" t="str">
        <f>_xlfn.IFNA(VLOOKUP(D909,ProductListTbl[],7,0),"")</f>
        <v/>
      </c>
      <c r="I909" s="130" t="str">
        <f>_xlfn.IFNA(VLOOKUP(D909,ProductListTbl[],8,0),"")</f>
        <v/>
      </c>
      <c r="J909" s="127"/>
      <c r="K909" s="129"/>
      <c r="L909" s="128"/>
      <c r="M909" s="305" t="str">
        <f>IFERROR(Table3[[#This Row],[Quantity (doses)]]/Table3[[#This Row],[Doses per vial or syringe]],"")</f>
        <v/>
      </c>
      <c r="N909" s="127"/>
      <c r="O909" s="127"/>
      <c r="P909" s="381"/>
      <c r="Q909" s="129"/>
      <c r="R909" s="127"/>
      <c r="S909" s="127"/>
      <c r="T909" s="127"/>
      <c r="U909" s="127"/>
      <c r="V909" s="305" t="str">
        <f>_xlfn.IFNA(VLOOKUP(D909,ProductListTbl[],9,0),"")</f>
        <v/>
      </c>
      <c r="W909" s="305" t="str">
        <f>IFERROR(Table3[[#This Row],[Storage space per secondary packaging (cm3)]]*Table3[[#This Row],[Quantity  (vials or syringes)]]/1000,"")</f>
        <v/>
      </c>
      <c r="X909" s="305" t="str">
        <f>IFERROR(Table3[[#This Row],[Storage space per tertiary packaging (cm3)]]*Table3[[#This Row],[Quantity (doses)]]/1000,"")</f>
        <v/>
      </c>
      <c r="Y909" s="293" t="str">
        <f>IF(Table3[[#This Row],[Status]]="Ordered",(DATE(YEAR(P909),MONTH(P909),1)),IF(Table3[[#This Row],[Status]]="Received",(DATE(YEAR(Q909),MONTH(Q909),1)),""))</f>
        <v/>
      </c>
      <c r="Z909" s="304" t="str">
        <f t="shared" si="56"/>
        <v/>
      </c>
      <c r="AA909" s="48" t="str">
        <f t="shared" si="57"/>
        <v/>
      </c>
      <c r="AB909" s="48" t="str">
        <f t="shared" si="58"/>
        <v/>
      </c>
      <c r="AC909" s="292" t="str">
        <f t="shared" si="59"/>
        <v/>
      </c>
      <c r="AD909" s="48" t="str">
        <f>IF(Table3[[#This Row],[Actual Arrival date]]&gt;0,IF(Table3[[#This Row],[Expected arrival date]]&gt;0,Table3[[#This Row],[Actual Arrival date]]-Table3[[#This Row],[Expected arrival date]],""),"")</f>
        <v/>
      </c>
    </row>
    <row r="910" spans="1:30" x14ac:dyDescent="0.25">
      <c r="A910" s="303" t="str">
        <f>Start!$D$7</f>
        <v>Anyland</v>
      </c>
      <c r="B910" s="48" t="str">
        <f>_xlfn.IFNA(VLOOKUP(A910,list!B:C,2,FALSE),"")</f>
        <v>ANY</v>
      </c>
      <c r="C910" s="48"/>
      <c r="D910" s="127"/>
      <c r="E910" s="48" t="str">
        <f>_xlfn.IFNA(VLOOKUP(Table3[[#This Row],[Product]], ProductListTbl[], 3, 0), "")</f>
        <v/>
      </c>
      <c r="F910" s="303" t="str">
        <f>_xlfn.IFNA(VLOOKUP(D910,ProductListTbl[],5,0),"")</f>
        <v/>
      </c>
      <c r="G910" s="303" t="str">
        <f>_xlfn.IFNA(VLOOKUP(D910,ProductListTbl[],6,0),"")</f>
        <v/>
      </c>
      <c r="H910" s="130" t="str">
        <f>_xlfn.IFNA(VLOOKUP(D910,ProductListTbl[],7,0),"")</f>
        <v/>
      </c>
      <c r="I910" s="130" t="str">
        <f>_xlfn.IFNA(VLOOKUP(D910,ProductListTbl[],8,0),"")</f>
        <v/>
      </c>
      <c r="J910" s="127"/>
      <c r="K910" s="129"/>
      <c r="L910" s="128"/>
      <c r="M910" s="305" t="str">
        <f>IFERROR(Table3[[#This Row],[Quantity (doses)]]/Table3[[#This Row],[Doses per vial or syringe]],"")</f>
        <v/>
      </c>
      <c r="N910" s="127"/>
      <c r="O910" s="127"/>
      <c r="P910" s="381"/>
      <c r="Q910" s="129"/>
      <c r="R910" s="127"/>
      <c r="S910" s="127"/>
      <c r="T910" s="127"/>
      <c r="U910" s="127"/>
      <c r="V910" s="305" t="str">
        <f>_xlfn.IFNA(VLOOKUP(D910,ProductListTbl[],9,0),"")</f>
        <v/>
      </c>
      <c r="W910" s="305" t="str">
        <f>IFERROR(Table3[[#This Row],[Storage space per secondary packaging (cm3)]]*Table3[[#This Row],[Quantity  (vials or syringes)]]/1000,"")</f>
        <v/>
      </c>
      <c r="X910" s="305" t="str">
        <f>IFERROR(Table3[[#This Row],[Storage space per tertiary packaging (cm3)]]*Table3[[#This Row],[Quantity (doses)]]/1000,"")</f>
        <v/>
      </c>
      <c r="Y910" s="293" t="str">
        <f>IF(Table3[[#This Row],[Status]]="Ordered",(DATE(YEAR(P910),MONTH(P910),1)),IF(Table3[[#This Row],[Status]]="Received",(DATE(YEAR(Q910),MONTH(Q910),1)),""))</f>
        <v/>
      </c>
      <c r="Z910" s="304" t="str">
        <f t="shared" si="56"/>
        <v/>
      </c>
      <c r="AA910" s="48" t="str">
        <f t="shared" si="57"/>
        <v/>
      </c>
      <c r="AB910" s="48" t="str">
        <f t="shared" si="58"/>
        <v/>
      </c>
      <c r="AC910" s="292" t="str">
        <f t="shared" si="59"/>
        <v/>
      </c>
      <c r="AD910" s="48" t="str">
        <f>IF(Table3[[#This Row],[Actual Arrival date]]&gt;0,IF(Table3[[#This Row],[Expected arrival date]]&gt;0,Table3[[#This Row],[Actual Arrival date]]-Table3[[#This Row],[Expected arrival date]],""),"")</f>
        <v/>
      </c>
    </row>
    <row r="911" spans="1:30" x14ac:dyDescent="0.25">
      <c r="A911" s="303" t="str">
        <f>Start!$D$7</f>
        <v>Anyland</v>
      </c>
      <c r="B911" s="48" t="str">
        <f>_xlfn.IFNA(VLOOKUP(A911,list!B:C,2,FALSE),"")</f>
        <v>ANY</v>
      </c>
      <c r="C911" s="48"/>
      <c r="D911" s="127"/>
      <c r="E911" s="48" t="str">
        <f>_xlfn.IFNA(VLOOKUP(Table3[[#This Row],[Product]], ProductListTbl[], 3, 0), "")</f>
        <v/>
      </c>
      <c r="F911" s="303" t="str">
        <f>_xlfn.IFNA(VLOOKUP(D911,ProductListTbl[],5,0),"")</f>
        <v/>
      </c>
      <c r="G911" s="303" t="str">
        <f>_xlfn.IFNA(VLOOKUP(D911,ProductListTbl[],6,0),"")</f>
        <v/>
      </c>
      <c r="H911" s="130" t="str">
        <f>_xlfn.IFNA(VLOOKUP(D911,ProductListTbl[],7,0),"")</f>
        <v/>
      </c>
      <c r="I911" s="130" t="str">
        <f>_xlfn.IFNA(VLOOKUP(D911,ProductListTbl[],8,0),"")</f>
        <v/>
      </c>
      <c r="J911" s="127"/>
      <c r="K911" s="129"/>
      <c r="L911" s="128"/>
      <c r="M911" s="305" t="str">
        <f>IFERROR(Table3[[#This Row],[Quantity (doses)]]/Table3[[#This Row],[Doses per vial or syringe]],"")</f>
        <v/>
      </c>
      <c r="N911" s="127"/>
      <c r="O911" s="127"/>
      <c r="P911" s="381"/>
      <c r="Q911" s="129"/>
      <c r="R911" s="127"/>
      <c r="S911" s="127"/>
      <c r="T911" s="127"/>
      <c r="U911" s="127"/>
      <c r="V911" s="305" t="str">
        <f>_xlfn.IFNA(VLOOKUP(D911,ProductListTbl[],9,0),"")</f>
        <v/>
      </c>
      <c r="W911" s="305" t="str">
        <f>IFERROR(Table3[[#This Row],[Storage space per secondary packaging (cm3)]]*Table3[[#This Row],[Quantity  (vials or syringes)]]/1000,"")</f>
        <v/>
      </c>
      <c r="X911" s="305" t="str">
        <f>IFERROR(Table3[[#This Row],[Storage space per tertiary packaging (cm3)]]*Table3[[#This Row],[Quantity (doses)]]/1000,"")</f>
        <v/>
      </c>
      <c r="Y911" s="293" t="str">
        <f>IF(Table3[[#This Row],[Status]]="Ordered",(DATE(YEAR(P911),MONTH(P911),1)),IF(Table3[[#This Row],[Status]]="Received",(DATE(YEAR(Q911),MONTH(Q911),1)),""))</f>
        <v/>
      </c>
      <c r="Z911" s="304" t="str">
        <f t="shared" si="56"/>
        <v/>
      </c>
      <c r="AA911" s="48" t="str">
        <f t="shared" si="57"/>
        <v/>
      </c>
      <c r="AB911" s="48" t="str">
        <f t="shared" si="58"/>
        <v/>
      </c>
      <c r="AC911" s="292" t="str">
        <f t="shared" si="59"/>
        <v/>
      </c>
      <c r="AD911" s="48" t="str">
        <f>IF(Table3[[#This Row],[Actual Arrival date]]&gt;0,IF(Table3[[#This Row],[Expected arrival date]]&gt;0,Table3[[#This Row],[Actual Arrival date]]-Table3[[#This Row],[Expected arrival date]],""),"")</f>
        <v/>
      </c>
    </row>
    <row r="912" spans="1:30" x14ac:dyDescent="0.25">
      <c r="A912" s="303" t="str">
        <f>Start!$D$7</f>
        <v>Anyland</v>
      </c>
      <c r="B912" s="48" t="str">
        <f>_xlfn.IFNA(VLOOKUP(A912,list!B:C,2,FALSE),"")</f>
        <v>ANY</v>
      </c>
      <c r="C912" s="48"/>
      <c r="D912" s="127"/>
      <c r="E912" s="48" t="str">
        <f>_xlfn.IFNA(VLOOKUP(Table3[[#This Row],[Product]], ProductListTbl[], 3, 0), "")</f>
        <v/>
      </c>
      <c r="F912" s="303" t="str">
        <f>_xlfn.IFNA(VLOOKUP(D912,ProductListTbl[],5,0),"")</f>
        <v/>
      </c>
      <c r="G912" s="303" t="str">
        <f>_xlfn.IFNA(VLOOKUP(D912,ProductListTbl[],6,0),"")</f>
        <v/>
      </c>
      <c r="H912" s="130" t="str">
        <f>_xlfn.IFNA(VLOOKUP(D912,ProductListTbl[],7,0),"")</f>
        <v/>
      </c>
      <c r="I912" s="130" t="str">
        <f>_xlfn.IFNA(VLOOKUP(D912,ProductListTbl[],8,0),"")</f>
        <v/>
      </c>
      <c r="J912" s="127"/>
      <c r="K912" s="129"/>
      <c r="L912" s="128"/>
      <c r="M912" s="305" t="str">
        <f>IFERROR(Table3[[#This Row],[Quantity (doses)]]/Table3[[#This Row],[Doses per vial or syringe]],"")</f>
        <v/>
      </c>
      <c r="N912" s="127"/>
      <c r="O912" s="127"/>
      <c r="P912" s="381"/>
      <c r="Q912" s="129"/>
      <c r="R912" s="127"/>
      <c r="S912" s="127"/>
      <c r="T912" s="127"/>
      <c r="U912" s="127"/>
      <c r="V912" s="305" t="str">
        <f>_xlfn.IFNA(VLOOKUP(D912,ProductListTbl[],9,0),"")</f>
        <v/>
      </c>
      <c r="W912" s="305" t="str">
        <f>IFERROR(Table3[[#This Row],[Storage space per secondary packaging (cm3)]]*Table3[[#This Row],[Quantity  (vials or syringes)]]/1000,"")</f>
        <v/>
      </c>
      <c r="X912" s="305" t="str">
        <f>IFERROR(Table3[[#This Row],[Storage space per tertiary packaging (cm3)]]*Table3[[#This Row],[Quantity (doses)]]/1000,"")</f>
        <v/>
      </c>
      <c r="Y912" s="293" t="str">
        <f>IF(Table3[[#This Row],[Status]]="Ordered",(DATE(YEAR(P912),MONTH(P912),1)),IF(Table3[[#This Row],[Status]]="Received",(DATE(YEAR(Q912),MONTH(Q912),1)),""))</f>
        <v/>
      </c>
      <c r="Z912" s="304" t="str">
        <f t="shared" si="56"/>
        <v/>
      </c>
      <c r="AA912" s="48" t="str">
        <f t="shared" si="57"/>
        <v/>
      </c>
      <c r="AB912" s="48" t="str">
        <f t="shared" si="58"/>
        <v/>
      </c>
      <c r="AC912" s="292" t="str">
        <f t="shared" si="59"/>
        <v/>
      </c>
      <c r="AD912" s="48" t="str">
        <f>IF(Table3[[#This Row],[Actual Arrival date]]&gt;0,IF(Table3[[#This Row],[Expected arrival date]]&gt;0,Table3[[#This Row],[Actual Arrival date]]-Table3[[#This Row],[Expected arrival date]],""),"")</f>
        <v/>
      </c>
    </row>
    <row r="913" spans="1:30" x14ac:dyDescent="0.25">
      <c r="A913" s="303" t="str">
        <f>Start!$D$7</f>
        <v>Anyland</v>
      </c>
      <c r="B913" s="48" t="str">
        <f>_xlfn.IFNA(VLOOKUP(A913,list!B:C,2,FALSE),"")</f>
        <v>ANY</v>
      </c>
      <c r="C913" s="48"/>
      <c r="D913" s="127"/>
      <c r="E913" s="48" t="str">
        <f>_xlfn.IFNA(VLOOKUP(Table3[[#This Row],[Product]], ProductListTbl[], 3, 0), "")</f>
        <v/>
      </c>
      <c r="F913" s="303" t="str">
        <f>_xlfn.IFNA(VLOOKUP(D913,ProductListTbl[],5,0),"")</f>
        <v/>
      </c>
      <c r="G913" s="303" t="str">
        <f>_xlfn.IFNA(VLOOKUP(D913,ProductListTbl[],6,0),"")</f>
        <v/>
      </c>
      <c r="H913" s="130" t="str">
        <f>_xlfn.IFNA(VLOOKUP(D913,ProductListTbl[],7,0),"")</f>
        <v/>
      </c>
      <c r="I913" s="130" t="str">
        <f>_xlfn.IFNA(VLOOKUP(D913,ProductListTbl[],8,0),"")</f>
        <v/>
      </c>
      <c r="J913" s="127"/>
      <c r="K913" s="129"/>
      <c r="L913" s="128"/>
      <c r="M913" s="305" t="str">
        <f>IFERROR(Table3[[#This Row],[Quantity (doses)]]/Table3[[#This Row],[Doses per vial or syringe]],"")</f>
        <v/>
      </c>
      <c r="N913" s="127"/>
      <c r="O913" s="127"/>
      <c r="P913" s="381"/>
      <c r="Q913" s="129"/>
      <c r="R913" s="127"/>
      <c r="S913" s="127"/>
      <c r="T913" s="127"/>
      <c r="U913" s="127"/>
      <c r="V913" s="305" t="str">
        <f>_xlfn.IFNA(VLOOKUP(D913,ProductListTbl[],9,0),"")</f>
        <v/>
      </c>
      <c r="W913" s="305" t="str">
        <f>IFERROR(Table3[[#This Row],[Storage space per secondary packaging (cm3)]]*Table3[[#This Row],[Quantity  (vials or syringes)]]/1000,"")</f>
        <v/>
      </c>
      <c r="X913" s="305" t="str">
        <f>IFERROR(Table3[[#This Row],[Storage space per tertiary packaging (cm3)]]*Table3[[#This Row],[Quantity (doses)]]/1000,"")</f>
        <v/>
      </c>
      <c r="Y913" s="293" t="str">
        <f>IF(Table3[[#This Row],[Status]]="Ordered",(DATE(YEAR(P913),MONTH(P913),1)),IF(Table3[[#This Row],[Status]]="Received",(DATE(YEAR(Q913),MONTH(Q913),1)),""))</f>
        <v/>
      </c>
      <c r="Z913" s="304" t="str">
        <f t="shared" si="56"/>
        <v/>
      </c>
      <c r="AA913" s="48" t="str">
        <f t="shared" si="57"/>
        <v/>
      </c>
      <c r="AB913" s="48" t="str">
        <f t="shared" si="58"/>
        <v/>
      </c>
      <c r="AC913" s="292" t="str">
        <f t="shared" si="59"/>
        <v/>
      </c>
      <c r="AD913" s="48" t="str">
        <f>IF(Table3[[#This Row],[Actual Arrival date]]&gt;0,IF(Table3[[#This Row],[Expected arrival date]]&gt;0,Table3[[#This Row],[Actual Arrival date]]-Table3[[#This Row],[Expected arrival date]],""),"")</f>
        <v/>
      </c>
    </row>
    <row r="914" spans="1:30" x14ac:dyDescent="0.25">
      <c r="A914" s="303" t="str">
        <f>Start!$D$7</f>
        <v>Anyland</v>
      </c>
      <c r="B914" s="48" t="str">
        <f>_xlfn.IFNA(VLOOKUP(A914,list!B:C,2,FALSE),"")</f>
        <v>ANY</v>
      </c>
      <c r="C914" s="48"/>
      <c r="D914" s="127"/>
      <c r="E914" s="48" t="str">
        <f>_xlfn.IFNA(VLOOKUP(Table3[[#This Row],[Product]], ProductListTbl[], 3, 0), "")</f>
        <v/>
      </c>
      <c r="F914" s="303" t="str">
        <f>_xlfn.IFNA(VLOOKUP(D914,ProductListTbl[],5,0),"")</f>
        <v/>
      </c>
      <c r="G914" s="303" t="str">
        <f>_xlfn.IFNA(VLOOKUP(D914,ProductListTbl[],6,0),"")</f>
        <v/>
      </c>
      <c r="H914" s="130" t="str">
        <f>_xlfn.IFNA(VLOOKUP(D914,ProductListTbl[],7,0),"")</f>
        <v/>
      </c>
      <c r="I914" s="130" t="str">
        <f>_xlfn.IFNA(VLOOKUP(D914,ProductListTbl[],8,0),"")</f>
        <v/>
      </c>
      <c r="J914" s="127"/>
      <c r="K914" s="129"/>
      <c r="L914" s="128"/>
      <c r="M914" s="305" t="str">
        <f>IFERROR(Table3[[#This Row],[Quantity (doses)]]/Table3[[#This Row],[Doses per vial or syringe]],"")</f>
        <v/>
      </c>
      <c r="N914" s="127"/>
      <c r="O914" s="127"/>
      <c r="P914" s="381"/>
      <c r="Q914" s="129"/>
      <c r="R914" s="127"/>
      <c r="S914" s="127"/>
      <c r="T914" s="127"/>
      <c r="U914" s="127"/>
      <c r="V914" s="305" t="str">
        <f>_xlfn.IFNA(VLOOKUP(D914,ProductListTbl[],9,0),"")</f>
        <v/>
      </c>
      <c r="W914" s="305" t="str">
        <f>IFERROR(Table3[[#This Row],[Storage space per secondary packaging (cm3)]]*Table3[[#This Row],[Quantity  (vials or syringes)]]/1000,"")</f>
        <v/>
      </c>
      <c r="X914" s="305" t="str">
        <f>IFERROR(Table3[[#This Row],[Storage space per tertiary packaging (cm3)]]*Table3[[#This Row],[Quantity (doses)]]/1000,"")</f>
        <v/>
      </c>
      <c r="Y914" s="293" t="str">
        <f>IF(Table3[[#This Row],[Status]]="Ordered",(DATE(YEAR(P914),MONTH(P914),1)),IF(Table3[[#This Row],[Status]]="Received",(DATE(YEAR(Q914),MONTH(Q914),1)),""))</f>
        <v/>
      </c>
      <c r="Z914" s="304" t="str">
        <f t="shared" si="56"/>
        <v/>
      </c>
      <c r="AA914" s="48" t="str">
        <f t="shared" si="57"/>
        <v/>
      </c>
      <c r="AB914" s="48" t="str">
        <f t="shared" si="58"/>
        <v/>
      </c>
      <c r="AC914" s="292" t="str">
        <f t="shared" si="59"/>
        <v/>
      </c>
      <c r="AD914" s="48" t="str">
        <f>IF(Table3[[#This Row],[Actual Arrival date]]&gt;0,IF(Table3[[#This Row],[Expected arrival date]]&gt;0,Table3[[#This Row],[Actual Arrival date]]-Table3[[#This Row],[Expected arrival date]],""),"")</f>
        <v/>
      </c>
    </row>
    <row r="915" spans="1:30" x14ac:dyDescent="0.25">
      <c r="A915" s="303" t="str">
        <f>Start!$D$7</f>
        <v>Anyland</v>
      </c>
      <c r="B915" s="48" t="str">
        <f>_xlfn.IFNA(VLOOKUP(A915,list!B:C,2,FALSE),"")</f>
        <v>ANY</v>
      </c>
      <c r="C915" s="48"/>
      <c r="D915" s="127"/>
      <c r="E915" s="48" t="str">
        <f>_xlfn.IFNA(VLOOKUP(Table3[[#This Row],[Product]], ProductListTbl[], 3, 0), "")</f>
        <v/>
      </c>
      <c r="F915" s="303" t="str">
        <f>_xlfn.IFNA(VLOOKUP(D915,ProductListTbl[],5,0),"")</f>
        <v/>
      </c>
      <c r="G915" s="303" t="str">
        <f>_xlfn.IFNA(VLOOKUP(D915,ProductListTbl[],6,0),"")</f>
        <v/>
      </c>
      <c r="H915" s="130" t="str">
        <f>_xlfn.IFNA(VLOOKUP(D915,ProductListTbl[],7,0),"")</f>
        <v/>
      </c>
      <c r="I915" s="130" t="str">
        <f>_xlfn.IFNA(VLOOKUP(D915,ProductListTbl[],8,0),"")</f>
        <v/>
      </c>
      <c r="J915" s="127"/>
      <c r="K915" s="129"/>
      <c r="L915" s="128"/>
      <c r="M915" s="305" t="str">
        <f>IFERROR(Table3[[#This Row],[Quantity (doses)]]/Table3[[#This Row],[Doses per vial or syringe]],"")</f>
        <v/>
      </c>
      <c r="N915" s="127"/>
      <c r="O915" s="127"/>
      <c r="P915" s="381"/>
      <c r="Q915" s="129"/>
      <c r="R915" s="127"/>
      <c r="S915" s="127"/>
      <c r="T915" s="127"/>
      <c r="U915" s="127"/>
      <c r="V915" s="305" t="str">
        <f>_xlfn.IFNA(VLOOKUP(D915,ProductListTbl[],9,0),"")</f>
        <v/>
      </c>
      <c r="W915" s="305" t="str">
        <f>IFERROR(Table3[[#This Row],[Storage space per secondary packaging (cm3)]]*Table3[[#This Row],[Quantity  (vials or syringes)]]/1000,"")</f>
        <v/>
      </c>
      <c r="X915" s="305" t="str">
        <f>IFERROR(Table3[[#This Row],[Storage space per tertiary packaging (cm3)]]*Table3[[#This Row],[Quantity (doses)]]/1000,"")</f>
        <v/>
      </c>
      <c r="Y915" s="293" t="str">
        <f>IF(Table3[[#This Row],[Status]]="Ordered",(DATE(YEAR(P915),MONTH(P915),1)),IF(Table3[[#This Row],[Status]]="Received",(DATE(YEAR(Q915),MONTH(Q915),1)),""))</f>
        <v/>
      </c>
      <c r="Z915" s="304" t="str">
        <f t="shared" si="56"/>
        <v/>
      </c>
      <c r="AA915" s="48" t="str">
        <f t="shared" si="57"/>
        <v/>
      </c>
      <c r="AB915" s="48" t="str">
        <f t="shared" si="58"/>
        <v/>
      </c>
      <c r="AC915" s="292" t="str">
        <f t="shared" si="59"/>
        <v/>
      </c>
      <c r="AD915" s="48" t="str">
        <f>IF(Table3[[#This Row],[Actual Arrival date]]&gt;0,IF(Table3[[#This Row],[Expected arrival date]]&gt;0,Table3[[#This Row],[Actual Arrival date]]-Table3[[#This Row],[Expected arrival date]],""),"")</f>
        <v/>
      </c>
    </row>
    <row r="916" spans="1:30" x14ac:dyDescent="0.25">
      <c r="A916" s="303" t="str">
        <f>Start!$D$7</f>
        <v>Anyland</v>
      </c>
      <c r="B916" s="48" t="str">
        <f>_xlfn.IFNA(VLOOKUP(A916,list!B:C,2,FALSE),"")</f>
        <v>ANY</v>
      </c>
      <c r="C916" s="48"/>
      <c r="D916" s="127"/>
      <c r="E916" s="48" t="str">
        <f>_xlfn.IFNA(VLOOKUP(Table3[[#This Row],[Product]], ProductListTbl[], 3, 0), "")</f>
        <v/>
      </c>
      <c r="F916" s="303" t="str">
        <f>_xlfn.IFNA(VLOOKUP(D916,ProductListTbl[],5,0),"")</f>
        <v/>
      </c>
      <c r="G916" s="303" t="str">
        <f>_xlfn.IFNA(VLOOKUP(D916,ProductListTbl[],6,0),"")</f>
        <v/>
      </c>
      <c r="H916" s="130" t="str">
        <f>_xlfn.IFNA(VLOOKUP(D916,ProductListTbl[],7,0),"")</f>
        <v/>
      </c>
      <c r="I916" s="130" t="str">
        <f>_xlfn.IFNA(VLOOKUP(D916,ProductListTbl[],8,0),"")</f>
        <v/>
      </c>
      <c r="J916" s="127"/>
      <c r="K916" s="129"/>
      <c r="L916" s="128"/>
      <c r="M916" s="305" t="str">
        <f>IFERROR(Table3[[#This Row],[Quantity (doses)]]/Table3[[#This Row],[Doses per vial or syringe]],"")</f>
        <v/>
      </c>
      <c r="N916" s="127"/>
      <c r="O916" s="127"/>
      <c r="P916" s="381"/>
      <c r="Q916" s="129"/>
      <c r="R916" s="127"/>
      <c r="S916" s="127"/>
      <c r="T916" s="127"/>
      <c r="U916" s="127"/>
      <c r="V916" s="305" t="str">
        <f>_xlfn.IFNA(VLOOKUP(D916,ProductListTbl[],9,0),"")</f>
        <v/>
      </c>
      <c r="W916" s="305" t="str">
        <f>IFERROR(Table3[[#This Row],[Storage space per secondary packaging (cm3)]]*Table3[[#This Row],[Quantity  (vials or syringes)]]/1000,"")</f>
        <v/>
      </c>
      <c r="X916" s="305" t="str">
        <f>IFERROR(Table3[[#This Row],[Storage space per tertiary packaging (cm3)]]*Table3[[#This Row],[Quantity (doses)]]/1000,"")</f>
        <v/>
      </c>
      <c r="Y916" s="293" t="str">
        <f>IF(Table3[[#This Row],[Status]]="Ordered",(DATE(YEAR(P916),MONTH(P916),1)),IF(Table3[[#This Row],[Status]]="Received",(DATE(YEAR(Q916),MONTH(Q916),1)),""))</f>
        <v/>
      </c>
      <c r="Z916" s="304" t="str">
        <f t="shared" si="56"/>
        <v/>
      </c>
      <c r="AA916" s="48" t="str">
        <f t="shared" si="57"/>
        <v/>
      </c>
      <c r="AB916" s="48" t="str">
        <f t="shared" si="58"/>
        <v/>
      </c>
      <c r="AC916" s="292" t="str">
        <f t="shared" si="59"/>
        <v/>
      </c>
      <c r="AD916" s="48" t="str">
        <f>IF(Table3[[#This Row],[Actual Arrival date]]&gt;0,IF(Table3[[#This Row],[Expected arrival date]]&gt;0,Table3[[#This Row],[Actual Arrival date]]-Table3[[#This Row],[Expected arrival date]],""),"")</f>
        <v/>
      </c>
    </row>
    <row r="917" spans="1:30" x14ac:dyDescent="0.25">
      <c r="A917" s="303" t="str">
        <f>Start!$D$7</f>
        <v>Anyland</v>
      </c>
      <c r="B917" s="48" t="str">
        <f>_xlfn.IFNA(VLOOKUP(A917,list!B:C,2,FALSE),"")</f>
        <v>ANY</v>
      </c>
      <c r="C917" s="48"/>
      <c r="D917" s="127"/>
      <c r="E917" s="48" t="str">
        <f>_xlfn.IFNA(VLOOKUP(Table3[[#This Row],[Product]], ProductListTbl[], 3, 0), "")</f>
        <v/>
      </c>
      <c r="F917" s="303" t="str">
        <f>_xlfn.IFNA(VLOOKUP(D917,ProductListTbl[],5,0),"")</f>
        <v/>
      </c>
      <c r="G917" s="303" t="str">
        <f>_xlfn.IFNA(VLOOKUP(D917,ProductListTbl[],6,0),"")</f>
        <v/>
      </c>
      <c r="H917" s="130" t="str">
        <f>_xlfn.IFNA(VLOOKUP(D917,ProductListTbl[],7,0),"")</f>
        <v/>
      </c>
      <c r="I917" s="130" t="str">
        <f>_xlfn.IFNA(VLOOKUP(D917,ProductListTbl[],8,0),"")</f>
        <v/>
      </c>
      <c r="J917" s="127"/>
      <c r="K917" s="129"/>
      <c r="L917" s="128"/>
      <c r="M917" s="305" t="str">
        <f>IFERROR(Table3[[#This Row],[Quantity (doses)]]/Table3[[#This Row],[Doses per vial or syringe]],"")</f>
        <v/>
      </c>
      <c r="N917" s="127"/>
      <c r="O917" s="127"/>
      <c r="P917" s="381"/>
      <c r="Q917" s="129"/>
      <c r="R917" s="127"/>
      <c r="S917" s="127"/>
      <c r="T917" s="127"/>
      <c r="U917" s="127"/>
      <c r="V917" s="305" t="str">
        <f>_xlfn.IFNA(VLOOKUP(D917,ProductListTbl[],9,0),"")</f>
        <v/>
      </c>
      <c r="W917" s="305" t="str">
        <f>IFERROR(Table3[[#This Row],[Storage space per secondary packaging (cm3)]]*Table3[[#This Row],[Quantity  (vials or syringes)]]/1000,"")</f>
        <v/>
      </c>
      <c r="X917" s="305" t="str">
        <f>IFERROR(Table3[[#This Row],[Storage space per tertiary packaging (cm3)]]*Table3[[#This Row],[Quantity (doses)]]/1000,"")</f>
        <v/>
      </c>
      <c r="Y917" s="293" t="str">
        <f>IF(Table3[[#This Row],[Status]]="Ordered",(DATE(YEAR(P917),MONTH(P917),1)),IF(Table3[[#This Row],[Status]]="Received",(DATE(YEAR(Q917),MONTH(Q917),1)),""))</f>
        <v/>
      </c>
      <c r="Z917" s="304" t="str">
        <f t="shared" si="56"/>
        <v/>
      </c>
      <c r="AA917" s="48" t="str">
        <f t="shared" si="57"/>
        <v/>
      </c>
      <c r="AB917" s="48" t="str">
        <f t="shared" si="58"/>
        <v/>
      </c>
      <c r="AC917" s="292" t="str">
        <f t="shared" si="59"/>
        <v/>
      </c>
      <c r="AD917" s="48" t="str">
        <f>IF(Table3[[#This Row],[Actual Arrival date]]&gt;0,IF(Table3[[#This Row],[Expected arrival date]]&gt;0,Table3[[#This Row],[Actual Arrival date]]-Table3[[#This Row],[Expected arrival date]],""),"")</f>
        <v/>
      </c>
    </row>
    <row r="918" spans="1:30" x14ac:dyDescent="0.25">
      <c r="A918" s="303" t="str">
        <f>Start!$D$7</f>
        <v>Anyland</v>
      </c>
      <c r="B918" s="48" t="str">
        <f>_xlfn.IFNA(VLOOKUP(A918,list!B:C,2,FALSE),"")</f>
        <v>ANY</v>
      </c>
      <c r="C918" s="48"/>
      <c r="D918" s="127"/>
      <c r="E918" s="48" t="str">
        <f>_xlfn.IFNA(VLOOKUP(Table3[[#This Row],[Product]], ProductListTbl[], 3, 0), "")</f>
        <v/>
      </c>
      <c r="F918" s="303" t="str">
        <f>_xlfn.IFNA(VLOOKUP(D918,ProductListTbl[],5,0),"")</f>
        <v/>
      </c>
      <c r="G918" s="303" t="str">
        <f>_xlfn.IFNA(VLOOKUP(D918,ProductListTbl[],6,0),"")</f>
        <v/>
      </c>
      <c r="H918" s="130" t="str">
        <f>_xlfn.IFNA(VLOOKUP(D918,ProductListTbl[],7,0),"")</f>
        <v/>
      </c>
      <c r="I918" s="130" t="str">
        <f>_xlfn.IFNA(VLOOKUP(D918,ProductListTbl[],8,0),"")</f>
        <v/>
      </c>
      <c r="J918" s="127"/>
      <c r="K918" s="129"/>
      <c r="L918" s="128"/>
      <c r="M918" s="305" t="str">
        <f>IFERROR(Table3[[#This Row],[Quantity (doses)]]/Table3[[#This Row],[Doses per vial or syringe]],"")</f>
        <v/>
      </c>
      <c r="N918" s="127"/>
      <c r="O918" s="127"/>
      <c r="P918" s="381"/>
      <c r="Q918" s="129"/>
      <c r="R918" s="127"/>
      <c r="S918" s="127"/>
      <c r="T918" s="127"/>
      <c r="U918" s="127"/>
      <c r="V918" s="305" t="str">
        <f>_xlfn.IFNA(VLOOKUP(D918,ProductListTbl[],9,0),"")</f>
        <v/>
      </c>
      <c r="W918" s="305" t="str">
        <f>IFERROR(Table3[[#This Row],[Storage space per secondary packaging (cm3)]]*Table3[[#This Row],[Quantity  (vials or syringes)]]/1000,"")</f>
        <v/>
      </c>
      <c r="X918" s="305" t="str">
        <f>IFERROR(Table3[[#This Row],[Storage space per tertiary packaging (cm3)]]*Table3[[#This Row],[Quantity (doses)]]/1000,"")</f>
        <v/>
      </c>
      <c r="Y918" s="293" t="str">
        <f>IF(Table3[[#This Row],[Status]]="Ordered",(DATE(YEAR(P918),MONTH(P918),1)),IF(Table3[[#This Row],[Status]]="Received",(DATE(YEAR(Q918),MONTH(Q918),1)),""))</f>
        <v/>
      </c>
      <c r="Z918" s="304" t="str">
        <f t="shared" si="56"/>
        <v/>
      </c>
      <c r="AA918" s="48" t="str">
        <f t="shared" si="57"/>
        <v/>
      </c>
      <c r="AB918" s="48" t="str">
        <f t="shared" si="58"/>
        <v/>
      </c>
      <c r="AC918" s="292" t="str">
        <f t="shared" si="59"/>
        <v/>
      </c>
      <c r="AD918" s="48" t="str">
        <f>IF(Table3[[#This Row],[Actual Arrival date]]&gt;0,IF(Table3[[#This Row],[Expected arrival date]]&gt;0,Table3[[#This Row],[Actual Arrival date]]-Table3[[#This Row],[Expected arrival date]],""),"")</f>
        <v/>
      </c>
    </row>
    <row r="919" spans="1:30" x14ac:dyDescent="0.25">
      <c r="A919" s="303" t="str">
        <f>Start!$D$7</f>
        <v>Anyland</v>
      </c>
      <c r="B919" s="48" t="str">
        <f>_xlfn.IFNA(VLOOKUP(A919,list!B:C,2,FALSE),"")</f>
        <v>ANY</v>
      </c>
      <c r="C919" s="48"/>
      <c r="D919" s="127"/>
      <c r="E919" s="48" t="str">
        <f>_xlfn.IFNA(VLOOKUP(Table3[[#This Row],[Product]], ProductListTbl[], 3, 0), "")</f>
        <v/>
      </c>
      <c r="F919" s="303" t="str">
        <f>_xlfn.IFNA(VLOOKUP(D919,ProductListTbl[],5,0),"")</f>
        <v/>
      </c>
      <c r="G919" s="303" t="str">
        <f>_xlfn.IFNA(VLOOKUP(D919,ProductListTbl[],6,0),"")</f>
        <v/>
      </c>
      <c r="H919" s="130" t="str">
        <f>_xlfn.IFNA(VLOOKUP(D919,ProductListTbl[],7,0),"")</f>
        <v/>
      </c>
      <c r="I919" s="130" t="str">
        <f>_xlfn.IFNA(VLOOKUP(D919,ProductListTbl[],8,0),"")</f>
        <v/>
      </c>
      <c r="J919" s="127"/>
      <c r="K919" s="129"/>
      <c r="L919" s="128"/>
      <c r="M919" s="305" t="str">
        <f>IFERROR(Table3[[#This Row],[Quantity (doses)]]/Table3[[#This Row],[Doses per vial or syringe]],"")</f>
        <v/>
      </c>
      <c r="N919" s="127"/>
      <c r="O919" s="127"/>
      <c r="P919" s="381"/>
      <c r="Q919" s="129"/>
      <c r="R919" s="127"/>
      <c r="S919" s="127"/>
      <c r="T919" s="127"/>
      <c r="U919" s="127"/>
      <c r="V919" s="305" t="str">
        <f>_xlfn.IFNA(VLOOKUP(D919,ProductListTbl[],9,0),"")</f>
        <v/>
      </c>
      <c r="W919" s="305" t="str">
        <f>IFERROR(Table3[[#This Row],[Storage space per secondary packaging (cm3)]]*Table3[[#This Row],[Quantity  (vials or syringes)]]/1000,"")</f>
        <v/>
      </c>
      <c r="X919" s="305" t="str">
        <f>IFERROR(Table3[[#This Row],[Storage space per tertiary packaging (cm3)]]*Table3[[#This Row],[Quantity (doses)]]/1000,"")</f>
        <v/>
      </c>
      <c r="Y919" s="293" t="str">
        <f>IF(Table3[[#This Row],[Status]]="Ordered",(DATE(YEAR(P919),MONTH(P919),1)),IF(Table3[[#This Row],[Status]]="Received",(DATE(YEAR(Q919),MONTH(Q919),1)),""))</f>
        <v/>
      </c>
      <c r="Z919" s="304" t="str">
        <f t="shared" si="56"/>
        <v/>
      </c>
      <c r="AA919" s="48" t="str">
        <f t="shared" si="57"/>
        <v/>
      </c>
      <c r="AB919" s="48" t="str">
        <f t="shared" si="58"/>
        <v/>
      </c>
      <c r="AC919" s="292" t="str">
        <f t="shared" si="59"/>
        <v/>
      </c>
      <c r="AD919" s="48" t="str">
        <f>IF(Table3[[#This Row],[Actual Arrival date]]&gt;0,IF(Table3[[#This Row],[Expected arrival date]]&gt;0,Table3[[#This Row],[Actual Arrival date]]-Table3[[#This Row],[Expected arrival date]],""),"")</f>
        <v/>
      </c>
    </row>
    <row r="920" spans="1:30" x14ac:dyDescent="0.25">
      <c r="A920" s="303" t="str">
        <f>Start!$D$7</f>
        <v>Anyland</v>
      </c>
      <c r="B920" s="48" t="str">
        <f>_xlfn.IFNA(VLOOKUP(A920,list!B:C,2,FALSE),"")</f>
        <v>ANY</v>
      </c>
      <c r="C920" s="48"/>
      <c r="D920" s="127"/>
      <c r="E920" s="48" t="str">
        <f>_xlfn.IFNA(VLOOKUP(Table3[[#This Row],[Product]], ProductListTbl[], 3, 0), "")</f>
        <v/>
      </c>
      <c r="F920" s="303" t="str">
        <f>_xlfn.IFNA(VLOOKUP(D920,ProductListTbl[],5,0),"")</f>
        <v/>
      </c>
      <c r="G920" s="303" t="str">
        <f>_xlfn.IFNA(VLOOKUP(D920,ProductListTbl[],6,0),"")</f>
        <v/>
      </c>
      <c r="H920" s="130" t="str">
        <f>_xlfn.IFNA(VLOOKUP(D920,ProductListTbl[],7,0),"")</f>
        <v/>
      </c>
      <c r="I920" s="130" t="str">
        <f>_xlfn.IFNA(VLOOKUP(D920,ProductListTbl[],8,0),"")</f>
        <v/>
      </c>
      <c r="J920" s="127"/>
      <c r="K920" s="129"/>
      <c r="L920" s="128"/>
      <c r="M920" s="305" t="str">
        <f>IFERROR(Table3[[#This Row],[Quantity (doses)]]/Table3[[#This Row],[Doses per vial or syringe]],"")</f>
        <v/>
      </c>
      <c r="N920" s="127"/>
      <c r="O920" s="127"/>
      <c r="P920" s="381"/>
      <c r="Q920" s="129"/>
      <c r="R920" s="127"/>
      <c r="S920" s="127"/>
      <c r="T920" s="127"/>
      <c r="U920" s="127"/>
      <c r="V920" s="305" t="str">
        <f>_xlfn.IFNA(VLOOKUP(D920,ProductListTbl[],9,0),"")</f>
        <v/>
      </c>
      <c r="W920" s="305" t="str">
        <f>IFERROR(Table3[[#This Row],[Storage space per secondary packaging (cm3)]]*Table3[[#This Row],[Quantity  (vials or syringes)]]/1000,"")</f>
        <v/>
      </c>
      <c r="X920" s="305" t="str">
        <f>IFERROR(Table3[[#This Row],[Storage space per tertiary packaging (cm3)]]*Table3[[#This Row],[Quantity (doses)]]/1000,"")</f>
        <v/>
      </c>
      <c r="Y920" s="293" t="str">
        <f>IF(Table3[[#This Row],[Status]]="Ordered",(DATE(YEAR(P920),MONTH(P920),1)),IF(Table3[[#This Row],[Status]]="Received",(DATE(YEAR(Q920),MONTH(Q920),1)),""))</f>
        <v/>
      </c>
      <c r="Z920" s="304" t="str">
        <f t="shared" si="56"/>
        <v/>
      </c>
      <c r="AA920" s="48" t="str">
        <f t="shared" si="57"/>
        <v/>
      </c>
      <c r="AB920" s="48" t="str">
        <f t="shared" si="58"/>
        <v/>
      </c>
      <c r="AC920" s="292" t="str">
        <f t="shared" si="59"/>
        <v/>
      </c>
      <c r="AD920" s="48" t="str">
        <f>IF(Table3[[#This Row],[Actual Arrival date]]&gt;0,IF(Table3[[#This Row],[Expected arrival date]]&gt;0,Table3[[#This Row],[Actual Arrival date]]-Table3[[#This Row],[Expected arrival date]],""),"")</f>
        <v/>
      </c>
    </row>
    <row r="921" spans="1:30" x14ac:dyDescent="0.25">
      <c r="A921" s="303" t="str">
        <f>Start!$D$7</f>
        <v>Anyland</v>
      </c>
      <c r="B921" s="48" t="str">
        <f>_xlfn.IFNA(VLOOKUP(A921,list!B:C,2,FALSE),"")</f>
        <v>ANY</v>
      </c>
      <c r="C921" s="48"/>
      <c r="D921" s="127"/>
      <c r="E921" s="48" t="str">
        <f>_xlfn.IFNA(VLOOKUP(Table3[[#This Row],[Product]], ProductListTbl[], 3, 0), "")</f>
        <v/>
      </c>
      <c r="F921" s="303" t="str">
        <f>_xlfn.IFNA(VLOOKUP(D921,ProductListTbl[],5,0),"")</f>
        <v/>
      </c>
      <c r="G921" s="303" t="str">
        <f>_xlfn.IFNA(VLOOKUP(D921,ProductListTbl[],6,0),"")</f>
        <v/>
      </c>
      <c r="H921" s="130" t="str">
        <f>_xlfn.IFNA(VLOOKUP(D921,ProductListTbl[],7,0),"")</f>
        <v/>
      </c>
      <c r="I921" s="130" t="str">
        <f>_xlfn.IFNA(VLOOKUP(D921,ProductListTbl[],8,0),"")</f>
        <v/>
      </c>
      <c r="J921" s="127"/>
      <c r="K921" s="129"/>
      <c r="L921" s="128"/>
      <c r="M921" s="305" t="str">
        <f>IFERROR(Table3[[#This Row],[Quantity (doses)]]/Table3[[#This Row],[Doses per vial or syringe]],"")</f>
        <v/>
      </c>
      <c r="N921" s="127"/>
      <c r="O921" s="127"/>
      <c r="P921" s="381"/>
      <c r="Q921" s="129"/>
      <c r="R921" s="127"/>
      <c r="S921" s="127"/>
      <c r="T921" s="127"/>
      <c r="U921" s="127"/>
      <c r="V921" s="305" t="str">
        <f>_xlfn.IFNA(VLOOKUP(D921,ProductListTbl[],9,0),"")</f>
        <v/>
      </c>
      <c r="W921" s="305" t="str">
        <f>IFERROR(Table3[[#This Row],[Storage space per secondary packaging (cm3)]]*Table3[[#This Row],[Quantity  (vials or syringes)]]/1000,"")</f>
        <v/>
      </c>
      <c r="X921" s="305" t="str">
        <f>IFERROR(Table3[[#This Row],[Storage space per tertiary packaging (cm3)]]*Table3[[#This Row],[Quantity (doses)]]/1000,"")</f>
        <v/>
      </c>
      <c r="Y921" s="293" t="str">
        <f>IF(Table3[[#This Row],[Status]]="Ordered",(DATE(YEAR(P921),MONTH(P921),1)),IF(Table3[[#This Row],[Status]]="Received",(DATE(YEAR(Q921),MONTH(Q921),1)),""))</f>
        <v/>
      </c>
      <c r="Z921" s="304" t="str">
        <f t="shared" si="56"/>
        <v/>
      </c>
      <c r="AA921" s="48" t="str">
        <f t="shared" si="57"/>
        <v/>
      </c>
      <c r="AB921" s="48" t="str">
        <f t="shared" si="58"/>
        <v/>
      </c>
      <c r="AC921" s="292" t="str">
        <f t="shared" si="59"/>
        <v/>
      </c>
      <c r="AD921" s="48" t="str">
        <f>IF(Table3[[#This Row],[Actual Arrival date]]&gt;0,IF(Table3[[#This Row],[Expected arrival date]]&gt;0,Table3[[#This Row],[Actual Arrival date]]-Table3[[#This Row],[Expected arrival date]],""),"")</f>
        <v/>
      </c>
    </row>
    <row r="922" spans="1:30" x14ac:dyDescent="0.25">
      <c r="A922" s="303" t="str">
        <f>Start!$D$7</f>
        <v>Anyland</v>
      </c>
      <c r="B922" s="48" t="str">
        <f>_xlfn.IFNA(VLOOKUP(A922,list!B:C,2,FALSE),"")</f>
        <v>ANY</v>
      </c>
      <c r="C922" s="48"/>
      <c r="D922" s="127"/>
      <c r="E922" s="48" t="str">
        <f>_xlfn.IFNA(VLOOKUP(Table3[[#This Row],[Product]], ProductListTbl[], 3, 0), "")</f>
        <v/>
      </c>
      <c r="F922" s="303" t="str">
        <f>_xlfn.IFNA(VLOOKUP(D922,ProductListTbl[],5,0),"")</f>
        <v/>
      </c>
      <c r="G922" s="303" t="str">
        <f>_xlfn.IFNA(VLOOKUP(D922,ProductListTbl[],6,0),"")</f>
        <v/>
      </c>
      <c r="H922" s="130" t="str">
        <f>_xlfn.IFNA(VLOOKUP(D922,ProductListTbl[],7,0),"")</f>
        <v/>
      </c>
      <c r="I922" s="130" t="str">
        <f>_xlfn.IFNA(VLOOKUP(D922,ProductListTbl[],8,0),"")</f>
        <v/>
      </c>
      <c r="J922" s="127"/>
      <c r="K922" s="129"/>
      <c r="L922" s="128"/>
      <c r="M922" s="305" t="str">
        <f>IFERROR(Table3[[#This Row],[Quantity (doses)]]/Table3[[#This Row],[Doses per vial or syringe]],"")</f>
        <v/>
      </c>
      <c r="N922" s="127"/>
      <c r="O922" s="127"/>
      <c r="P922" s="381"/>
      <c r="Q922" s="129"/>
      <c r="R922" s="127"/>
      <c r="S922" s="127"/>
      <c r="T922" s="127"/>
      <c r="U922" s="127"/>
      <c r="V922" s="305" t="str">
        <f>_xlfn.IFNA(VLOOKUP(D922,ProductListTbl[],9,0),"")</f>
        <v/>
      </c>
      <c r="W922" s="305" t="str">
        <f>IFERROR(Table3[[#This Row],[Storage space per secondary packaging (cm3)]]*Table3[[#This Row],[Quantity  (vials or syringes)]]/1000,"")</f>
        <v/>
      </c>
      <c r="X922" s="305" t="str">
        <f>IFERROR(Table3[[#This Row],[Storage space per tertiary packaging (cm3)]]*Table3[[#This Row],[Quantity (doses)]]/1000,"")</f>
        <v/>
      </c>
      <c r="Y922" s="293" t="str">
        <f>IF(Table3[[#This Row],[Status]]="Ordered",(DATE(YEAR(P922),MONTH(P922),1)),IF(Table3[[#This Row],[Status]]="Received",(DATE(YEAR(Q922),MONTH(Q922),1)),""))</f>
        <v/>
      </c>
      <c r="Z922" s="304" t="str">
        <f t="shared" si="56"/>
        <v/>
      </c>
      <c r="AA922" s="48" t="str">
        <f t="shared" si="57"/>
        <v/>
      </c>
      <c r="AB922" s="48" t="str">
        <f t="shared" si="58"/>
        <v/>
      </c>
      <c r="AC922" s="292" t="str">
        <f t="shared" si="59"/>
        <v/>
      </c>
      <c r="AD922" s="48" t="str">
        <f>IF(Table3[[#This Row],[Actual Arrival date]]&gt;0,IF(Table3[[#This Row],[Expected arrival date]]&gt;0,Table3[[#This Row],[Actual Arrival date]]-Table3[[#This Row],[Expected arrival date]],""),"")</f>
        <v/>
      </c>
    </row>
    <row r="923" spans="1:30" x14ac:dyDescent="0.25">
      <c r="A923" s="303" t="str">
        <f>Start!$D$7</f>
        <v>Anyland</v>
      </c>
      <c r="B923" s="48" t="str">
        <f>_xlfn.IFNA(VLOOKUP(A923,list!B:C,2,FALSE),"")</f>
        <v>ANY</v>
      </c>
      <c r="C923" s="48"/>
      <c r="D923" s="127"/>
      <c r="E923" s="48" t="str">
        <f>_xlfn.IFNA(VLOOKUP(Table3[[#This Row],[Product]], ProductListTbl[], 3, 0), "")</f>
        <v/>
      </c>
      <c r="F923" s="303" t="str">
        <f>_xlfn.IFNA(VLOOKUP(D923,ProductListTbl[],5,0),"")</f>
        <v/>
      </c>
      <c r="G923" s="303" t="str">
        <f>_xlfn.IFNA(VLOOKUP(D923,ProductListTbl[],6,0),"")</f>
        <v/>
      </c>
      <c r="H923" s="130" t="str">
        <f>_xlfn.IFNA(VLOOKUP(D923,ProductListTbl[],7,0),"")</f>
        <v/>
      </c>
      <c r="I923" s="130" t="str">
        <f>_xlfn.IFNA(VLOOKUP(D923,ProductListTbl[],8,0),"")</f>
        <v/>
      </c>
      <c r="J923" s="127"/>
      <c r="K923" s="129"/>
      <c r="L923" s="128"/>
      <c r="M923" s="305" t="str">
        <f>IFERROR(Table3[[#This Row],[Quantity (doses)]]/Table3[[#This Row],[Doses per vial or syringe]],"")</f>
        <v/>
      </c>
      <c r="N923" s="127"/>
      <c r="O923" s="127"/>
      <c r="P923" s="381"/>
      <c r="Q923" s="129"/>
      <c r="R923" s="127"/>
      <c r="S923" s="127"/>
      <c r="T923" s="127"/>
      <c r="U923" s="127"/>
      <c r="V923" s="305" t="str">
        <f>_xlfn.IFNA(VLOOKUP(D923,ProductListTbl[],9,0),"")</f>
        <v/>
      </c>
      <c r="W923" s="305" t="str">
        <f>IFERROR(Table3[[#This Row],[Storage space per secondary packaging (cm3)]]*Table3[[#This Row],[Quantity  (vials or syringes)]]/1000,"")</f>
        <v/>
      </c>
      <c r="X923" s="305" t="str">
        <f>IFERROR(Table3[[#This Row],[Storage space per tertiary packaging (cm3)]]*Table3[[#This Row],[Quantity (doses)]]/1000,"")</f>
        <v/>
      </c>
      <c r="Y923" s="293" t="str">
        <f>IF(Table3[[#This Row],[Status]]="Ordered",(DATE(YEAR(P923),MONTH(P923),1)),IF(Table3[[#This Row],[Status]]="Received",(DATE(YEAR(Q923),MONTH(Q923),1)),""))</f>
        <v/>
      </c>
      <c r="Z923" s="304" t="str">
        <f t="shared" si="56"/>
        <v/>
      </c>
      <c r="AA923" s="48" t="str">
        <f t="shared" si="57"/>
        <v/>
      </c>
      <c r="AB923" s="48" t="str">
        <f t="shared" si="58"/>
        <v/>
      </c>
      <c r="AC923" s="292" t="str">
        <f t="shared" si="59"/>
        <v/>
      </c>
      <c r="AD923" s="48" t="str">
        <f>IF(Table3[[#This Row],[Actual Arrival date]]&gt;0,IF(Table3[[#This Row],[Expected arrival date]]&gt;0,Table3[[#This Row],[Actual Arrival date]]-Table3[[#This Row],[Expected arrival date]],""),"")</f>
        <v/>
      </c>
    </row>
    <row r="924" spans="1:30" x14ac:dyDescent="0.25">
      <c r="A924" s="303" t="str">
        <f>Start!$D$7</f>
        <v>Anyland</v>
      </c>
      <c r="B924" s="48" t="str">
        <f>_xlfn.IFNA(VLOOKUP(A924,list!B:C,2,FALSE),"")</f>
        <v>ANY</v>
      </c>
      <c r="C924" s="48"/>
      <c r="D924" s="127"/>
      <c r="E924" s="48" t="str">
        <f>_xlfn.IFNA(VLOOKUP(Table3[[#This Row],[Product]], ProductListTbl[], 3, 0), "")</f>
        <v/>
      </c>
      <c r="F924" s="303" t="str">
        <f>_xlfn.IFNA(VLOOKUP(D924,ProductListTbl[],5,0),"")</f>
        <v/>
      </c>
      <c r="G924" s="303" t="str">
        <f>_xlfn.IFNA(VLOOKUP(D924,ProductListTbl[],6,0),"")</f>
        <v/>
      </c>
      <c r="H924" s="130" t="str">
        <f>_xlfn.IFNA(VLOOKUP(D924,ProductListTbl[],7,0),"")</f>
        <v/>
      </c>
      <c r="I924" s="130" t="str">
        <f>_xlfn.IFNA(VLOOKUP(D924,ProductListTbl[],8,0),"")</f>
        <v/>
      </c>
      <c r="J924" s="127"/>
      <c r="K924" s="129"/>
      <c r="L924" s="128"/>
      <c r="M924" s="305" t="str">
        <f>IFERROR(Table3[[#This Row],[Quantity (doses)]]/Table3[[#This Row],[Doses per vial or syringe]],"")</f>
        <v/>
      </c>
      <c r="N924" s="127"/>
      <c r="O924" s="127"/>
      <c r="P924" s="381"/>
      <c r="Q924" s="129"/>
      <c r="R924" s="127"/>
      <c r="S924" s="127"/>
      <c r="T924" s="127"/>
      <c r="U924" s="127"/>
      <c r="V924" s="305" t="str">
        <f>_xlfn.IFNA(VLOOKUP(D924,ProductListTbl[],9,0),"")</f>
        <v/>
      </c>
      <c r="W924" s="305" t="str">
        <f>IFERROR(Table3[[#This Row],[Storage space per secondary packaging (cm3)]]*Table3[[#This Row],[Quantity  (vials or syringes)]]/1000,"")</f>
        <v/>
      </c>
      <c r="X924" s="305" t="str">
        <f>IFERROR(Table3[[#This Row],[Storage space per tertiary packaging (cm3)]]*Table3[[#This Row],[Quantity (doses)]]/1000,"")</f>
        <v/>
      </c>
      <c r="Y924" s="293" t="str">
        <f>IF(Table3[[#This Row],[Status]]="Ordered",(DATE(YEAR(P924),MONTH(P924),1)),IF(Table3[[#This Row],[Status]]="Received",(DATE(YEAR(Q924),MONTH(Q924),1)),""))</f>
        <v/>
      </c>
      <c r="Z924" s="304" t="str">
        <f t="shared" si="56"/>
        <v/>
      </c>
      <c r="AA924" s="48" t="str">
        <f t="shared" si="57"/>
        <v/>
      </c>
      <c r="AB924" s="48" t="str">
        <f t="shared" si="58"/>
        <v/>
      </c>
      <c r="AC924" s="292" t="str">
        <f t="shared" si="59"/>
        <v/>
      </c>
      <c r="AD924" s="48" t="str">
        <f>IF(Table3[[#This Row],[Actual Arrival date]]&gt;0,IF(Table3[[#This Row],[Expected arrival date]]&gt;0,Table3[[#This Row],[Actual Arrival date]]-Table3[[#This Row],[Expected arrival date]],""),"")</f>
        <v/>
      </c>
    </row>
    <row r="925" spans="1:30" x14ac:dyDescent="0.25">
      <c r="A925" s="303" t="str">
        <f>Start!$D$7</f>
        <v>Anyland</v>
      </c>
      <c r="B925" s="48" t="str">
        <f>_xlfn.IFNA(VLOOKUP(A925,list!B:C,2,FALSE),"")</f>
        <v>ANY</v>
      </c>
      <c r="C925" s="48"/>
      <c r="D925" s="127"/>
      <c r="E925" s="48" t="str">
        <f>_xlfn.IFNA(VLOOKUP(Table3[[#This Row],[Product]], ProductListTbl[], 3, 0), "")</f>
        <v/>
      </c>
      <c r="F925" s="303" t="str">
        <f>_xlfn.IFNA(VLOOKUP(D925,ProductListTbl[],5,0),"")</f>
        <v/>
      </c>
      <c r="G925" s="303" t="str">
        <f>_xlfn.IFNA(VLOOKUP(D925,ProductListTbl[],6,0),"")</f>
        <v/>
      </c>
      <c r="H925" s="130" t="str">
        <f>_xlfn.IFNA(VLOOKUP(D925,ProductListTbl[],7,0),"")</f>
        <v/>
      </c>
      <c r="I925" s="130" t="str">
        <f>_xlfn.IFNA(VLOOKUP(D925,ProductListTbl[],8,0),"")</f>
        <v/>
      </c>
      <c r="J925" s="127"/>
      <c r="K925" s="129"/>
      <c r="L925" s="128"/>
      <c r="M925" s="305" t="str">
        <f>IFERROR(Table3[[#This Row],[Quantity (doses)]]/Table3[[#This Row],[Doses per vial or syringe]],"")</f>
        <v/>
      </c>
      <c r="N925" s="127"/>
      <c r="O925" s="127"/>
      <c r="P925" s="381"/>
      <c r="Q925" s="129"/>
      <c r="R925" s="127"/>
      <c r="S925" s="127"/>
      <c r="T925" s="127"/>
      <c r="U925" s="127"/>
      <c r="V925" s="305" t="str">
        <f>_xlfn.IFNA(VLOOKUP(D925,ProductListTbl[],9,0),"")</f>
        <v/>
      </c>
      <c r="W925" s="305" t="str">
        <f>IFERROR(Table3[[#This Row],[Storage space per secondary packaging (cm3)]]*Table3[[#This Row],[Quantity  (vials or syringes)]]/1000,"")</f>
        <v/>
      </c>
      <c r="X925" s="305" t="str">
        <f>IFERROR(Table3[[#This Row],[Storage space per tertiary packaging (cm3)]]*Table3[[#This Row],[Quantity (doses)]]/1000,"")</f>
        <v/>
      </c>
      <c r="Y925" s="293" t="str">
        <f>IF(Table3[[#This Row],[Status]]="Ordered",(DATE(YEAR(P925),MONTH(P925),1)),IF(Table3[[#This Row],[Status]]="Received",(DATE(YEAR(Q925),MONTH(Q925),1)),""))</f>
        <v/>
      </c>
      <c r="Z925" s="304" t="str">
        <f t="shared" si="56"/>
        <v/>
      </c>
      <c r="AA925" s="48" t="str">
        <f t="shared" si="57"/>
        <v/>
      </c>
      <c r="AB925" s="48" t="str">
        <f t="shared" si="58"/>
        <v/>
      </c>
      <c r="AC925" s="292" t="str">
        <f t="shared" si="59"/>
        <v/>
      </c>
      <c r="AD925" s="48" t="str">
        <f>IF(Table3[[#This Row],[Actual Arrival date]]&gt;0,IF(Table3[[#This Row],[Expected arrival date]]&gt;0,Table3[[#This Row],[Actual Arrival date]]-Table3[[#This Row],[Expected arrival date]],""),"")</f>
        <v/>
      </c>
    </row>
    <row r="926" spans="1:30" x14ac:dyDescent="0.25">
      <c r="A926" s="303" t="str">
        <f>Start!$D$7</f>
        <v>Anyland</v>
      </c>
      <c r="B926" s="48" t="str">
        <f>_xlfn.IFNA(VLOOKUP(A926,list!B:C,2,FALSE),"")</f>
        <v>ANY</v>
      </c>
      <c r="C926" s="48"/>
      <c r="D926" s="127"/>
      <c r="E926" s="48" t="str">
        <f>_xlfn.IFNA(VLOOKUP(Table3[[#This Row],[Product]], ProductListTbl[], 3, 0), "")</f>
        <v/>
      </c>
      <c r="F926" s="303" t="str">
        <f>_xlfn.IFNA(VLOOKUP(D926,ProductListTbl[],5,0),"")</f>
        <v/>
      </c>
      <c r="G926" s="303" t="str">
        <f>_xlfn.IFNA(VLOOKUP(D926,ProductListTbl[],6,0),"")</f>
        <v/>
      </c>
      <c r="H926" s="130" t="str">
        <f>_xlfn.IFNA(VLOOKUP(D926,ProductListTbl[],7,0),"")</f>
        <v/>
      </c>
      <c r="I926" s="130" t="str">
        <f>_xlfn.IFNA(VLOOKUP(D926,ProductListTbl[],8,0),"")</f>
        <v/>
      </c>
      <c r="J926" s="127"/>
      <c r="K926" s="129"/>
      <c r="L926" s="128"/>
      <c r="M926" s="305" t="str">
        <f>IFERROR(Table3[[#This Row],[Quantity (doses)]]/Table3[[#This Row],[Doses per vial or syringe]],"")</f>
        <v/>
      </c>
      <c r="N926" s="127"/>
      <c r="O926" s="127"/>
      <c r="P926" s="381"/>
      <c r="Q926" s="129"/>
      <c r="R926" s="127"/>
      <c r="S926" s="127"/>
      <c r="T926" s="127"/>
      <c r="U926" s="127"/>
      <c r="V926" s="305" t="str">
        <f>_xlfn.IFNA(VLOOKUP(D926,ProductListTbl[],9,0),"")</f>
        <v/>
      </c>
      <c r="W926" s="305" t="str">
        <f>IFERROR(Table3[[#This Row],[Storage space per secondary packaging (cm3)]]*Table3[[#This Row],[Quantity  (vials or syringes)]]/1000,"")</f>
        <v/>
      </c>
      <c r="X926" s="305" t="str">
        <f>IFERROR(Table3[[#This Row],[Storage space per tertiary packaging (cm3)]]*Table3[[#This Row],[Quantity (doses)]]/1000,"")</f>
        <v/>
      </c>
      <c r="Y926" s="293" t="str">
        <f>IF(Table3[[#This Row],[Status]]="Ordered",(DATE(YEAR(P926),MONTH(P926),1)),IF(Table3[[#This Row],[Status]]="Received",(DATE(YEAR(Q926),MONTH(Q926),1)),""))</f>
        <v/>
      </c>
      <c r="Z926" s="304" t="str">
        <f t="shared" si="56"/>
        <v/>
      </c>
      <c r="AA926" s="48" t="str">
        <f t="shared" si="57"/>
        <v/>
      </c>
      <c r="AB926" s="48" t="str">
        <f t="shared" si="58"/>
        <v/>
      </c>
      <c r="AC926" s="292" t="str">
        <f t="shared" si="59"/>
        <v/>
      </c>
      <c r="AD926" s="48" t="str">
        <f>IF(Table3[[#This Row],[Actual Arrival date]]&gt;0,IF(Table3[[#This Row],[Expected arrival date]]&gt;0,Table3[[#This Row],[Actual Arrival date]]-Table3[[#This Row],[Expected arrival date]],""),"")</f>
        <v/>
      </c>
    </row>
    <row r="927" spans="1:30" x14ac:dyDescent="0.25">
      <c r="A927" s="303" t="str">
        <f>Start!$D$7</f>
        <v>Anyland</v>
      </c>
      <c r="B927" s="48" t="str">
        <f>_xlfn.IFNA(VLOOKUP(A927,list!B:C,2,FALSE),"")</f>
        <v>ANY</v>
      </c>
      <c r="C927" s="48"/>
      <c r="D927" s="127"/>
      <c r="E927" s="48" t="str">
        <f>_xlfn.IFNA(VLOOKUP(Table3[[#This Row],[Product]], ProductListTbl[], 3, 0), "")</f>
        <v/>
      </c>
      <c r="F927" s="303" t="str">
        <f>_xlfn.IFNA(VLOOKUP(D927,ProductListTbl[],5,0),"")</f>
        <v/>
      </c>
      <c r="G927" s="303" t="str">
        <f>_xlfn.IFNA(VLOOKUP(D927,ProductListTbl[],6,0),"")</f>
        <v/>
      </c>
      <c r="H927" s="130" t="str">
        <f>_xlfn.IFNA(VLOOKUP(D927,ProductListTbl[],7,0),"")</f>
        <v/>
      </c>
      <c r="I927" s="130" t="str">
        <f>_xlfn.IFNA(VLOOKUP(D927,ProductListTbl[],8,0),"")</f>
        <v/>
      </c>
      <c r="J927" s="127"/>
      <c r="K927" s="129"/>
      <c r="L927" s="128"/>
      <c r="M927" s="305" t="str">
        <f>IFERROR(Table3[[#This Row],[Quantity (doses)]]/Table3[[#This Row],[Doses per vial or syringe]],"")</f>
        <v/>
      </c>
      <c r="N927" s="127"/>
      <c r="O927" s="127"/>
      <c r="P927" s="381"/>
      <c r="Q927" s="129"/>
      <c r="R927" s="127"/>
      <c r="S927" s="127"/>
      <c r="T927" s="127"/>
      <c r="U927" s="127"/>
      <c r="V927" s="305" t="str">
        <f>_xlfn.IFNA(VLOOKUP(D927,ProductListTbl[],9,0),"")</f>
        <v/>
      </c>
      <c r="W927" s="305" t="str">
        <f>IFERROR(Table3[[#This Row],[Storage space per secondary packaging (cm3)]]*Table3[[#This Row],[Quantity  (vials or syringes)]]/1000,"")</f>
        <v/>
      </c>
      <c r="X927" s="305" t="str">
        <f>IFERROR(Table3[[#This Row],[Storage space per tertiary packaging (cm3)]]*Table3[[#This Row],[Quantity (doses)]]/1000,"")</f>
        <v/>
      </c>
      <c r="Y927" s="293" t="str">
        <f>IF(Table3[[#This Row],[Status]]="Ordered",(DATE(YEAR(P927),MONTH(P927),1)),IF(Table3[[#This Row],[Status]]="Received",(DATE(YEAR(Q927),MONTH(Q927),1)),""))</f>
        <v/>
      </c>
      <c r="Z927" s="304" t="str">
        <f t="shared" si="56"/>
        <v/>
      </c>
      <c r="AA927" s="48" t="str">
        <f t="shared" si="57"/>
        <v/>
      </c>
      <c r="AB927" s="48" t="str">
        <f t="shared" si="58"/>
        <v/>
      </c>
      <c r="AC927" s="292" t="str">
        <f t="shared" si="59"/>
        <v/>
      </c>
      <c r="AD927" s="48" t="str">
        <f>IF(Table3[[#This Row],[Actual Arrival date]]&gt;0,IF(Table3[[#This Row],[Expected arrival date]]&gt;0,Table3[[#This Row],[Actual Arrival date]]-Table3[[#This Row],[Expected arrival date]],""),"")</f>
        <v/>
      </c>
    </row>
    <row r="928" spans="1:30" x14ac:dyDescent="0.25">
      <c r="A928" s="303" t="str">
        <f>Start!$D$7</f>
        <v>Anyland</v>
      </c>
      <c r="B928" s="48" t="str">
        <f>_xlfn.IFNA(VLOOKUP(A928,list!B:C,2,FALSE),"")</f>
        <v>ANY</v>
      </c>
      <c r="C928" s="48"/>
      <c r="D928" s="127"/>
      <c r="E928" s="48" t="str">
        <f>_xlfn.IFNA(VLOOKUP(Table3[[#This Row],[Product]], ProductListTbl[], 3, 0), "")</f>
        <v/>
      </c>
      <c r="F928" s="303" t="str">
        <f>_xlfn.IFNA(VLOOKUP(D928,ProductListTbl[],5,0),"")</f>
        <v/>
      </c>
      <c r="G928" s="303" t="str">
        <f>_xlfn.IFNA(VLOOKUP(D928,ProductListTbl[],6,0),"")</f>
        <v/>
      </c>
      <c r="H928" s="130" t="str">
        <f>_xlfn.IFNA(VLOOKUP(D928,ProductListTbl[],7,0),"")</f>
        <v/>
      </c>
      <c r="I928" s="130" t="str">
        <f>_xlfn.IFNA(VLOOKUP(D928,ProductListTbl[],8,0),"")</f>
        <v/>
      </c>
      <c r="J928" s="127"/>
      <c r="K928" s="129"/>
      <c r="L928" s="128"/>
      <c r="M928" s="305" t="str">
        <f>IFERROR(Table3[[#This Row],[Quantity (doses)]]/Table3[[#This Row],[Doses per vial or syringe]],"")</f>
        <v/>
      </c>
      <c r="N928" s="127"/>
      <c r="O928" s="127"/>
      <c r="P928" s="381"/>
      <c r="Q928" s="129"/>
      <c r="R928" s="127"/>
      <c r="S928" s="127"/>
      <c r="T928" s="127"/>
      <c r="U928" s="127"/>
      <c r="V928" s="305" t="str">
        <f>_xlfn.IFNA(VLOOKUP(D928,ProductListTbl[],9,0),"")</f>
        <v/>
      </c>
      <c r="W928" s="305" t="str">
        <f>IFERROR(Table3[[#This Row],[Storage space per secondary packaging (cm3)]]*Table3[[#This Row],[Quantity  (vials or syringes)]]/1000,"")</f>
        <v/>
      </c>
      <c r="X928" s="305" t="str">
        <f>IFERROR(Table3[[#This Row],[Storage space per tertiary packaging (cm3)]]*Table3[[#This Row],[Quantity (doses)]]/1000,"")</f>
        <v/>
      </c>
      <c r="Y928" s="293" t="str">
        <f>IF(Table3[[#This Row],[Status]]="Ordered",(DATE(YEAR(P928),MONTH(P928),1)),IF(Table3[[#This Row],[Status]]="Received",(DATE(YEAR(Q928),MONTH(Q928),1)),""))</f>
        <v/>
      </c>
      <c r="Z928" s="304" t="str">
        <f t="shared" si="56"/>
        <v/>
      </c>
      <c r="AA928" s="48" t="str">
        <f t="shared" si="57"/>
        <v/>
      </c>
      <c r="AB928" s="48" t="str">
        <f t="shared" si="58"/>
        <v/>
      </c>
      <c r="AC928" s="292" t="str">
        <f t="shared" si="59"/>
        <v/>
      </c>
      <c r="AD928" s="48" t="str">
        <f>IF(Table3[[#This Row],[Actual Arrival date]]&gt;0,IF(Table3[[#This Row],[Expected arrival date]]&gt;0,Table3[[#This Row],[Actual Arrival date]]-Table3[[#This Row],[Expected arrival date]],""),"")</f>
        <v/>
      </c>
    </row>
    <row r="929" spans="1:30" x14ac:dyDescent="0.25">
      <c r="A929" s="303" t="str">
        <f>Start!$D$7</f>
        <v>Anyland</v>
      </c>
      <c r="B929" s="48" t="str">
        <f>_xlfn.IFNA(VLOOKUP(A929,list!B:C,2,FALSE),"")</f>
        <v>ANY</v>
      </c>
      <c r="C929" s="48"/>
      <c r="D929" s="127"/>
      <c r="E929" s="48" t="str">
        <f>_xlfn.IFNA(VLOOKUP(Table3[[#This Row],[Product]], ProductListTbl[], 3, 0), "")</f>
        <v/>
      </c>
      <c r="F929" s="303" t="str">
        <f>_xlfn.IFNA(VLOOKUP(D929,ProductListTbl[],5,0),"")</f>
        <v/>
      </c>
      <c r="G929" s="303" t="str">
        <f>_xlfn.IFNA(VLOOKUP(D929,ProductListTbl[],6,0),"")</f>
        <v/>
      </c>
      <c r="H929" s="130" t="str">
        <f>_xlfn.IFNA(VLOOKUP(D929,ProductListTbl[],7,0),"")</f>
        <v/>
      </c>
      <c r="I929" s="130" t="str">
        <f>_xlfn.IFNA(VLOOKUP(D929,ProductListTbl[],8,0),"")</f>
        <v/>
      </c>
      <c r="J929" s="127"/>
      <c r="K929" s="129"/>
      <c r="L929" s="128"/>
      <c r="M929" s="305" t="str">
        <f>IFERROR(Table3[[#This Row],[Quantity (doses)]]/Table3[[#This Row],[Doses per vial or syringe]],"")</f>
        <v/>
      </c>
      <c r="N929" s="127"/>
      <c r="O929" s="127"/>
      <c r="P929" s="381"/>
      <c r="Q929" s="129"/>
      <c r="R929" s="127"/>
      <c r="S929" s="127"/>
      <c r="T929" s="127"/>
      <c r="U929" s="127"/>
      <c r="V929" s="305" t="str">
        <f>_xlfn.IFNA(VLOOKUP(D929,ProductListTbl[],9,0),"")</f>
        <v/>
      </c>
      <c r="W929" s="305" t="str">
        <f>IFERROR(Table3[[#This Row],[Storage space per secondary packaging (cm3)]]*Table3[[#This Row],[Quantity  (vials or syringes)]]/1000,"")</f>
        <v/>
      </c>
      <c r="X929" s="305" t="str">
        <f>IFERROR(Table3[[#This Row],[Storage space per tertiary packaging (cm3)]]*Table3[[#This Row],[Quantity (doses)]]/1000,"")</f>
        <v/>
      </c>
      <c r="Y929" s="293" t="str">
        <f>IF(Table3[[#This Row],[Status]]="Ordered",(DATE(YEAR(P929),MONTH(P929),1)),IF(Table3[[#This Row],[Status]]="Received",(DATE(YEAR(Q929),MONTH(Q929),1)),""))</f>
        <v/>
      </c>
      <c r="Z929" s="304" t="str">
        <f t="shared" si="56"/>
        <v/>
      </c>
      <c r="AA929" s="48" t="str">
        <f t="shared" si="57"/>
        <v/>
      </c>
      <c r="AB929" s="48" t="str">
        <f t="shared" si="58"/>
        <v/>
      </c>
      <c r="AC929" s="292" t="str">
        <f t="shared" si="59"/>
        <v/>
      </c>
      <c r="AD929" s="48" t="str">
        <f>IF(Table3[[#This Row],[Actual Arrival date]]&gt;0,IF(Table3[[#This Row],[Expected arrival date]]&gt;0,Table3[[#This Row],[Actual Arrival date]]-Table3[[#This Row],[Expected arrival date]],""),"")</f>
        <v/>
      </c>
    </row>
    <row r="930" spans="1:30" x14ac:dyDescent="0.25">
      <c r="A930" s="303" t="str">
        <f>Start!$D$7</f>
        <v>Anyland</v>
      </c>
      <c r="B930" s="48" t="str">
        <f>_xlfn.IFNA(VLOOKUP(A930,list!B:C,2,FALSE),"")</f>
        <v>ANY</v>
      </c>
      <c r="C930" s="48"/>
      <c r="D930" s="127"/>
      <c r="E930" s="48" t="str">
        <f>_xlfn.IFNA(VLOOKUP(Table3[[#This Row],[Product]], ProductListTbl[], 3, 0), "")</f>
        <v/>
      </c>
      <c r="F930" s="303" t="str">
        <f>_xlfn.IFNA(VLOOKUP(D930,ProductListTbl[],5,0),"")</f>
        <v/>
      </c>
      <c r="G930" s="303" t="str">
        <f>_xlfn.IFNA(VLOOKUP(D930,ProductListTbl[],6,0),"")</f>
        <v/>
      </c>
      <c r="H930" s="130" t="str">
        <f>_xlfn.IFNA(VLOOKUP(D930,ProductListTbl[],7,0),"")</f>
        <v/>
      </c>
      <c r="I930" s="130" t="str">
        <f>_xlfn.IFNA(VLOOKUP(D930,ProductListTbl[],8,0),"")</f>
        <v/>
      </c>
      <c r="J930" s="127"/>
      <c r="K930" s="129"/>
      <c r="L930" s="128"/>
      <c r="M930" s="305" t="str">
        <f>IFERROR(Table3[[#This Row],[Quantity (doses)]]/Table3[[#This Row],[Doses per vial or syringe]],"")</f>
        <v/>
      </c>
      <c r="N930" s="127"/>
      <c r="O930" s="127"/>
      <c r="P930" s="381"/>
      <c r="Q930" s="129"/>
      <c r="R930" s="127"/>
      <c r="S930" s="127"/>
      <c r="T930" s="127"/>
      <c r="U930" s="127"/>
      <c r="V930" s="305" t="str">
        <f>_xlfn.IFNA(VLOOKUP(D930,ProductListTbl[],9,0),"")</f>
        <v/>
      </c>
      <c r="W930" s="305" t="str">
        <f>IFERROR(Table3[[#This Row],[Storage space per secondary packaging (cm3)]]*Table3[[#This Row],[Quantity  (vials or syringes)]]/1000,"")</f>
        <v/>
      </c>
      <c r="X930" s="305" t="str">
        <f>IFERROR(Table3[[#This Row],[Storage space per tertiary packaging (cm3)]]*Table3[[#This Row],[Quantity (doses)]]/1000,"")</f>
        <v/>
      </c>
      <c r="Y930" s="293" t="str">
        <f>IF(Table3[[#This Row],[Status]]="Ordered",(DATE(YEAR(P930),MONTH(P930),1)),IF(Table3[[#This Row],[Status]]="Received",(DATE(YEAR(Q930),MONTH(Q930),1)),""))</f>
        <v/>
      </c>
      <c r="Z930" s="304" t="str">
        <f t="shared" si="56"/>
        <v/>
      </c>
      <c r="AA930" s="48" t="str">
        <f t="shared" si="57"/>
        <v/>
      </c>
      <c r="AB930" s="48" t="str">
        <f t="shared" si="58"/>
        <v/>
      </c>
      <c r="AC930" s="292" t="str">
        <f t="shared" si="59"/>
        <v/>
      </c>
      <c r="AD930" s="48" t="str">
        <f>IF(Table3[[#This Row],[Actual Arrival date]]&gt;0,IF(Table3[[#This Row],[Expected arrival date]]&gt;0,Table3[[#This Row],[Actual Arrival date]]-Table3[[#This Row],[Expected arrival date]],""),"")</f>
        <v/>
      </c>
    </row>
    <row r="931" spans="1:30" x14ac:dyDescent="0.25">
      <c r="A931" s="303" t="str">
        <f>Start!$D$7</f>
        <v>Anyland</v>
      </c>
      <c r="B931" s="48" t="str">
        <f>_xlfn.IFNA(VLOOKUP(A931,list!B:C,2,FALSE),"")</f>
        <v>ANY</v>
      </c>
      <c r="C931" s="48"/>
      <c r="D931" s="127"/>
      <c r="E931" s="48" t="str">
        <f>_xlfn.IFNA(VLOOKUP(Table3[[#This Row],[Product]], ProductListTbl[], 3, 0), "")</f>
        <v/>
      </c>
      <c r="F931" s="303" t="str">
        <f>_xlfn.IFNA(VLOOKUP(D931,ProductListTbl[],5,0),"")</f>
        <v/>
      </c>
      <c r="G931" s="303" t="str">
        <f>_xlfn.IFNA(VLOOKUP(D931,ProductListTbl[],6,0),"")</f>
        <v/>
      </c>
      <c r="H931" s="130" t="str">
        <f>_xlfn.IFNA(VLOOKUP(D931,ProductListTbl[],7,0),"")</f>
        <v/>
      </c>
      <c r="I931" s="130" t="str">
        <f>_xlfn.IFNA(VLOOKUP(D931,ProductListTbl[],8,0),"")</f>
        <v/>
      </c>
      <c r="J931" s="127"/>
      <c r="K931" s="129"/>
      <c r="L931" s="128"/>
      <c r="M931" s="305" t="str">
        <f>IFERROR(Table3[[#This Row],[Quantity (doses)]]/Table3[[#This Row],[Doses per vial or syringe]],"")</f>
        <v/>
      </c>
      <c r="N931" s="127"/>
      <c r="O931" s="127"/>
      <c r="P931" s="381"/>
      <c r="Q931" s="129"/>
      <c r="R931" s="127"/>
      <c r="S931" s="127"/>
      <c r="T931" s="127"/>
      <c r="U931" s="127"/>
      <c r="V931" s="305" t="str">
        <f>_xlfn.IFNA(VLOOKUP(D931,ProductListTbl[],9,0),"")</f>
        <v/>
      </c>
      <c r="W931" s="305" t="str">
        <f>IFERROR(Table3[[#This Row],[Storage space per secondary packaging (cm3)]]*Table3[[#This Row],[Quantity  (vials or syringes)]]/1000,"")</f>
        <v/>
      </c>
      <c r="X931" s="305" t="str">
        <f>IFERROR(Table3[[#This Row],[Storage space per tertiary packaging (cm3)]]*Table3[[#This Row],[Quantity (doses)]]/1000,"")</f>
        <v/>
      </c>
      <c r="Y931" s="293" t="str">
        <f>IF(Table3[[#This Row],[Status]]="Ordered",(DATE(YEAR(P931),MONTH(P931),1)),IF(Table3[[#This Row],[Status]]="Received",(DATE(YEAR(Q931),MONTH(Q931),1)),""))</f>
        <v/>
      </c>
      <c r="Z931" s="304" t="str">
        <f t="shared" si="56"/>
        <v/>
      </c>
      <c r="AA931" s="48" t="str">
        <f t="shared" si="57"/>
        <v/>
      </c>
      <c r="AB931" s="48" t="str">
        <f t="shared" si="58"/>
        <v/>
      </c>
      <c r="AC931" s="292" t="str">
        <f t="shared" si="59"/>
        <v/>
      </c>
      <c r="AD931" s="48" t="str">
        <f>IF(Table3[[#This Row],[Actual Arrival date]]&gt;0,IF(Table3[[#This Row],[Expected arrival date]]&gt;0,Table3[[#This Row],[Actual Arrival date]]-Table3[[#This Row],[Expected arrival date]],""),"")</f>
        <v/>
      </c>
    </row>
    <row r="932" spans="1:30" x14ac:dyDescent="0.25">
      <c r="A932" s="303" t="str">
        <f>Start!$D$7</f>
        <v>Anyland</v>
      </c>
      <c r="B932" s="48" t="str">
        <f>_xlfn.IFNA(VLOOKUP(A932,list!B:C,2,FALSE),"")</f>
        <v>ANY</v>
      </c>
      <c r="C932" s="48"/>
      <c r="D932" s="127"/>
      <c r="E932" s="48" t="str">
        <f>_xlfn.IFNA(VLOOKUP(Table3[[#This Row],[Product]], ProductListTbl[], 3, 0), "")</f>
        <v/>
      </c>
      <c r="F932" s="303" t="str">
        <f>_xlfn.IFNA(VLOOKUP(D932,ProductListTbl[],5,0),"")</f>
        <v/>
      </c>
      <c r="G932" s="303" t="str">
        <f>_xlfn.IFNA(VLOOKUP(D932,ProductListTbl[],6,0),"")</f>
        <v/>
      </c>
      <c r="H932" s="130" t="str">
        <f>_xlfn.IFNA(VLOOKUP(D932,ProductListTbl[],7,0),"")</f>
        <v/>
      </c>
      <c r="I932" s="130" t="str">
        <f>_xlfn.IFNA(VLOOKUP(D932,ProductListTbl[],8,0),"")</f>
        <v/>
      </c>
      <c r="J932" s="127"/>
      <c r="K932" s="129"/>
      <c r="L932" s="128"/>
      <c r="M932" s="305" t="str">
        <f>IFERROR(Table3[[#This Row],[Quantity (doses)]]/Table3[[#This Row],[Doses per vial or syringe]],"")</f>
        <v/>
      </c>
      <c r="N932" s="127"/>
      <c r="O932" s="127"/>
      <c r="P932" s="381"/>
      <c r="Q932" s="129"/>
      <c r="R932" s="127"/>
      <c r="S932" s="127"/>
      <c r="T932" s="127"/>
      <c r="U932" s="127"/>
      <c r="V932" s="305" t="str">
        <f>_xlfn.IFNA(VLOOKUP(D932,ProductListTbl[],9,0),"")</f>
        <v/>
      </c>
      <c r="W932" s="305" t="str">
        <f>IFERROR(Table3[[#This Row],[Storage space per secondary packaging (cm3)]]*Table3[[#This Row],[Quantity  (vials or syringes)]]/1000,"")</f>
        <v/>
      </c>
      <c r="X932" s="305" t="str">
        <f>IFERROR(Table3[[#This Row],[Storage space per tertiary packaging (cm3)]]*Table3[[#This Row],[Quantity (doses)]]/1000,"")</f>
        <v/>
      </c>
      <c r="Y932" s="293" t="str">
        <f>IF(Table3[[#This Row],[Status]]="Ordered",(DATE(YEAR(P932),MONTH(P932),1)),IF(Table3[[#This Row],[Status]]="Received",(DATE(YEAR(Q932),MONTH(Q932),1)),""))</f>
        <v/>
      </c>
      <c r="Z932" s="304" t="str">
        <f t="shared" si="56"/>
        <v/>
      </c>
      <c r="AA932" s="48" t="str">
        <f t="shared" si="57"/>
        <v/>
      </c>
      <c r="AB932" s="48" t="str">
        <f t="shared" si="58"/>
        <v/>
      </c>
      <c r="AC932" s="292" t="str">
        <f t="shared" si="59"/>
        <v/>
      </c>
      <c r="AD932" s="48" t="str">
        <f>IF(Table3[[#This Row],[Actual Arrival date]]&gt;0,IF(Table3[[#This Row],[Expected arrival date]]&gt;0,Table3[[#This Row],[Actual Arrival date]]-Table3[[#This Row],[Expected arrival date]],""),"")</f>
        <v/>
      </c>
    </row>
    <row r="933" spans="1:30" x14ac:dyDescent="0.25">
      <c r="A933" s="303" t="str">
        <f>Start!$D$7</f>
        <v>Anyland</v>
      </c>
      <c r="B933" s="48" t="str">
        <f>_xlfn.IFNA(VLOOKUP(A933,list!B:C,2,FALSE),"")</f>
        <v>ANY</v>
      </c>
      <c r="C933" s="48"/>
      <c r="D933" s="127"/>
      <c r="E933" s="48" t="str">
        <f>_xlfn.IFNA(VLOOKUP(Table3[[#This Row],[Product]], ProductListTbl[], 3, 0), "")</f>
        <v/>
      </c>
      <c r="F933" s="303" t="str">
        <f>_xlfn.IFNA(VLOOKUP(D933,ProductListTbl[],5,0),"")</f>
        <v/>
      </c>
      <c r="G933" s="303" t="str">
        <f>_xlfn.IFNA(VLOOKUP(D933,ProductListTbl[],6,0),"")</f>
        <v/>
      </c>
      <c r="H933" s="130" t="str">
        <f>_xlfn.IFNA(VLOOKUP(D933,ProductListTbl[],7,0),"")</f>
        <v/>
      </c>
      <c r="I933" s="130" t="str">
        <f>_xlfn.IFNA(VLOOKUP(D933,ProductListTbl[],8,0),"")</f>
        <v/>
      </c>
      <c r="J933" s="127"/>
      <c r="K933" s="129"/>
      <c r="L933" s="128"/>
      <c r="M933" s="305" t="str">
        <f>IFERROR(Table3[[#This Row],[Quantity (doses)]]/Table3[[#This Row],[Doses per vial or syringe]],"")</f>
        <v/>
      </c>
      <c r="N933" s="127"/>
      <c r="O933" s="127"/>
      <c r="P933" s="381"/>
      <c r="Q933" s="129"/>
      <c r="R933" s="127"/>
      <c r="S933" s="127"/>
      <c r="T933" s="127"/>
      <c r="U933" s="127"/>
      <c r="V933" s="305" t="str">
        <f>_xlfn.IFNA(VLOOKUP(D933,ProductListTbl[],9,0),"")</f>
        <v/>
      </c>
      <c r="W933" s="305" t="str">
        <f>IFERROR(Table3[[#This Row],[Storage space per secondary packaging (cm3)]]*Table3[[#This Row],[Quantity  (vials or syringes)]]/1000,"")</f>
        <v/>
      </c>
      <c r="X933" s="305" t="str">
        <f>IFERROR(Table3[[#This Row],[Storage space per tertiary packaging (cm3)]]*Table3[[#This Row],[Quantity (doses)]]/1000,"")</f>
        <v/>
      </c>
      <c r="Y933" s="293" t="str">
        <f>IF(Table3[[#This Row],[Status]]="Ordered",(DATE(YEAR(P933),MONTH(P933),1)),IF(Table3[[#This Row],[Status]]="Received",(DATE(YEAR(Q933),MONTH(Q933),1)),""))</f>
        <v/>
      </c>
      <c r="Z933" s="304" t="str">
        <f t="shared" si="56"/>
        <v/>
      </c>
      <c r="AA933" s="48" t="str">
        <f t="shared" si="57"/>
        <v/>
      </c>
      <c r="AB933" s="48" t="str">
        <f t="shared" si="58"/>
        <v/>
      </c>
      <c r="AC933" s="292" t="str">
        <f t="shared" si="59"/>
        <v/>
      </c>
      <c r="AD933" s="48" t="str">
        <f>IF(Table3[[#This Row],[Actual Arrival date]]&gt;0,IF(Table3[[#This Row],[Expected arrival date]]&gt;0,Table3[[#This Row],[Actual Arrival date]]-Table3[[#This Row],[Expected arrival date]],""),"")</f>
        <v/>
      </c>
    </row>
    <row r="934" spans="1:30" x14ac:dyDescent="0.25">
      <c r="A934" s="303" t="str">
        <f>Start!$D$7</f>
        <v>Anyland</v>
      </c>
      <c r="B934" s="48" t="str">
        <f>_xlfn.IFNA(VLOOKUP(A934,list!B:C,2,FALSE),"")</f>
        <v>ANY</v>
      </c>
      <c r="C934" s="48"/>
      <c r="D934" s="127"/>
      <c r="E934" s="48" t="str">
        <f>_xlfn.IFNA(VLOOKUP(Table3[[#This Row],[Product]], ProductListTbl[], 3, 0), "")</f>
        <v/>
      </c>
      <c r="F934" s="303" t="str">
        <f>_xlfn.IFNA(VLOOKUP(D934,ProductListTbl[],5,0),"")</f>
        <v/>
      </c>
      <c r="G934" s="303" t="str">
        <f>_xlfn.IFNA(VLOOKUP(D934,ProductListTbl[],6,0),"")</f>
        <v/>
      </c>
      <c r="H934" s="130" t="str">
        <f>_xlfn.IFNA(VLOOKUP(D934,ProductListTbl[],7,0),"")</f>
        <v/>
      </c>
      <c r="I934" s="130" t="str">
        <f>_xlfn.IFNA(VLOOKUP(D934,ProductListTbl[],8,0),"")</f>
        <v/>
      </c>
      <c r="J934" s="127"/>
      <c r="K934" s="129"/>
      <c r="L934" s="128"/>
      <c r="M934" s="305" t="str">
        <f>IFERROR(Table3[[#This Row],[Quantity (doses)]]/Table3[[#This Row],[Doses per vial or syringe]],"")</f>
        <v/>
      </c>
      <c r="N934" s="127"/>
      <c r="O934" s="127"/>
      <c r="P934" s="381"/>
      <c r="Q934" s="129"/>
      <c r="R934" s="127"/>
      <c r="S934" s="127"/>
      <c r="T934" s="127"/>
      <c r="U934" s="127"/>
      <c r="V934" s="305" t="str">
        <f>_xlfn.IFNA(VLOOKUP(D934,ProductListTbl[],9,0),"")</f>
        <v/>
      </c>
      <c r="W934" s="305" t="str">
        <f>IFERROR(Table3[[#This Row],[Storage space per secondary packaging (cm3)]]*Table3[[#This Row],[Quantity  (vials or syringes)]]/1000,"")</f>
        <v/>
      </c>
      <c r="X934" s="305" t="str">
        <f>IFERROR(Table3[[#This Row],[Storage space per tertiary packaging (cm3)]]*Table3[[#This Row],[Quantity (doses)]]/1000,"")</f>
        <v/>
      </c>
      <c r="Y934" s="293" t="str">
        <f>IF(Table3[[#This Row],[Status]]="Ordered",(DATE(YEAR(P934),MONTH(P934),1)),IF(Table3[[#This Row],[Status]]="Received",(DATE(YEAR(Q934),MONTH(Q934),1)),""))</f>
        <v/>
      </c>
      <c r="Z934" s="304" t="str">
        <f t="shared" si="56"/>
        <v/>
      </c>
      <c r="AA934" s="48" t="str">
        <f t="shared" si="57"/>
        <v/>
      </c>
      <c r="AB934" s="48" t="str">
        <f t="shared" si="58"/>
        <v/>
      </c>
      <c r="AC934" s="292" t="str">
        <f t="shared" si="59"/>
        <v/>
      </c>
      <c r="AD934" s="48" t="str">
        <f>IF(Table3[[#This Row],[Actual Arrival date]]&gt;0,IF(Table3[[#This Row],[Expected arrival date]]&gt;0,Table3[[#This Row],[Actual Arrival date]]-Table3[[#This Row],[Expected arrival date]],""),"")</f>
        <v/>
      </c>
    </row>
    <row r="935" spans="1:30" x14ac:dyDescent="0.25">
      <c r="A935" s="303" t="str">
        <f>Start!$D$7</f>
        <v>Anyland</v>
      </c>
      <c r="B935" s="48" t="str">
        <f>_xlfn.IFNA(VLOOKUP(A935,list!B:C,2,FALSE),"")</f>
        <v>ANY</v>
      </c>
      <c r="C935" s="48"/>
      <c r="D935" s="127"/>
      <c r="E935" s="48" t="str">
        <f>_xlfn.IFNA(VLOOKUP(Table3[[#This Row],[Product]], ProductListTbl[], 3, 0), "")</f>
        <v/>
      </c>
      <c r="F935" s="303" t="str">
        <f>_xlfn.IFNA(VLOOKUP(D935,ProductListTbl[],5,0),"")</f>
        <v/>
      </c>
      <c r="G935" s="303" t="str">
        <f>_xlfn.IFNA(VLOOKUP(D935,ProductListTbl[],6,0),"")</f>
        <v/>
      </c>
      <c r="H935" s="130" t="str">
        <f>_xlfn.IFNA(VLOOKUP(D935,ProductListTbl[],7,0),"")</f>
        <v/>
      </c>
      <c r="I935" s="130" t="str">
        <f>_xlfn.IFNA(VLOOKUP(D935,ProductListTbl[],8,0),"")</f>
        <v/>
      </c>
      <c r="J935" s="127"/>
      <c r="K935" s="129"/>
      <c r="L935" s="128"/>
      <c r="M935" s="305" t="str">
        <f>IFERROR(Table3[[#This Row],[Quantity (doses)]]/Table3[[#This Row],[Doses per vial or syringe]],"")</f>
        <v/>
      </c>
      <c r="N935" s="127"/>
      <c r="O935" s="127"/>
      <c r="P935" s="381"/>
      <c r="Q935" s="129"/>
      <c r="R935" s="127"/>
      <c r="S935" s="127"/>
      <c r="T935" s="127"/>
      <c r="U935" s="127"/>
      <c r="V935" s="305" t="str">
        <f>_xlfn.IFNA(VLOOKUP(D935,ProductListTbl[],9,0),"")</f>
        <v/>
      </c>
      <c r="W935" s="305" t="str">
        <f>IFERROR(Table3[[#This Row],[Storage space per secondary packaging (cm3)]]*Table3[[#This Row],[Quantity  (vials or syringes)]]/1000,"")</f>
        <v/>
      </c>
      <c r="X935" s="305" t="str">
        <f>IFERROR(Table3[[#This Row],[Storage space per tertiary packaging (cm3)]]*Table3[[#This Row],[Quantity (doses)]]/1000,"")</f>
        <v/>
      </c>
      <c r="Y935" s="293" t="str">
        <f>IF(Table3[[#This Row],[Status]]="Ordered",(DATE(YEAR(P935),MONTH(P935),1)),IF(Table3[[#This Row],[Status]]="Received",(DATE(YEAR(Q935),MONTH(Q935),1)),""))</f>
        <v/>
      </c>
      <c r="Z935" s="304" t="str">
        <f t="shared" si="56"/>
        <v/>
      </c>
      <c r="AA935" s="48" t="str">
        <f t="shared" si="57"/>
        <v/>
      </c>
      <c r="AB935" s="48" t="str">
        <f t="shared" si="58"/>
        <v/>
      </c>
      <c r="AC935" s="292" t="str">
        <f t="shared" si="59"/>
        <v/>
      </c>
      <c r="AD935" s="48" t="str">
        <f>IF(Table3[[#This Row],[Actual Arrival date]]&gt;0,IF(Table3[[#This Row],[Expected arrival date]]&gt;0,Table3[[#This Row],[Actual Arrival date]]-Table3[[#This Row],[Expected arrival date]],""),"")</f>
        <v/>
      </c>
    </row>
    <row r="936" spans="1:30" x14ac:dyDescent="0.25">
      <c r="A936" s="303" t="str">
        <f>Start!$D$7</f>
        <v>Anyland</v>
      </c>
      <c r="B936" s="48" t="str">
        <f>_xlfn.IFNA(VLOOKUP(A936,list!B:C,2,FALSE),"")</f>
        <v>ANY</v>
      </c>
      <c r="C936" s="48"/>
      <c r="D936" s="127"/>
      <c r="E936" s="48" t="str">
        <f>_xlfn.IFNA(VLOOKUP(Table3[[#This Row],[Product]], ProductListTbl[], 3, 0), "")</f>
        <v/>
      </c>
      <c r="F936" s="303" t="str">
        <f>_xlfn.IFNA(VLOOKUP(D936,ProductListTbl[],5,0),"")</f>
        <v/>
      </c>
      <c r="G936" s="303" t="str">
        <f>_xlfn.IFNA(VLOOKUP(D936,ProductListTbl[],6,0),"")</f>
        <v/>
      </c>
      <c r="H936" s="130" t="str">
        <f>_xlfn.IFNA(VLOOKUP(D936,ProductListTbl[],7,0),"")</f>
        <v/>
      </c>
      <c r="I936" s="130" t="str">
        <f>_xlfn.IFNA(VLOOKUP(D936,ProductListTbl[],8,0),"")</f>
        <v/>
      </c>
      <c r="J936" s="127"/>
      <c r="K936" s="129"/>
      <c r="L936" s="128"/>
      <c r="M936" s="305" t="str">
        <f>IFERROR(Table3[[#This Row],[Quantity (doses)]]/Table3[[#This Row],[Doses per vial or syringe]],"")</f>
        <v/>
      </c>
      <c r="N936" s="127"/>
      <c r="O936" s="127"/>
      <c r="P936" s="381"/>
      <c r="Q936" s="129"/>
      <c r="R936" s="127"/>
      <c r="S936" s="127"/>
      <c r="T936" s="127"/>
      <c r="U936" s="127"/>
      <c r="V936" s="305" t="str">
        <f>_xlfn.IFNA(VLOOKUP(D936,ProductListTbl[],9,0),"")</f>
        <v/>
      </c>
      <c r="W936" s="305" t="str">
        <f>IFERROR(Table3[[#This Row],[Storage space per secondary packaging (cm3)]]*Table3[[#This Row],[Quantity  (vials or syringes)]]/1000,"")</f>
        <v/>
      </c>
      <c r="X936" s="305" t="str">
        <f>IFERROR(Table3[[#This Row],[Storage space per tertiary packaging (cm3)]]*Table3[[#This Row],[Quantity (doses)]]/1000,"")</f>
        <v/>
      </c>
      <c r="Y936" s="293" t="str">
        <f>IF(Table3[[#This Row],[Status]]="Ordered",(DATE(YEAR(P936),MONTH(P936),1)),IF(Table3[[#This Row],[Status]]="Received",(DATE(YEAR(Q936),MONTH(Q936),1)),""))</f>
        <v/>
      </c>
      <c r="Z936" s="304" t="str">
        <f t="shared" si="56"/>
        <v/>
      </c>
      <c r="AA936" s="48" t="str">
        <f t="shared" si="57"/>
        <v/>
      </c>
      <c r="AB936" s="48" t="str">
        <f t="shared" si="58"/>
        <v/>
      </c>
      <c r="AC936" s="292" t="str">
        <f t="shared" si="59"/>
        <v/>
      </c>
      <c r="AD936" s="48" t="str">
        <f>IF(Table3[[#This Row],[Actual Arrival date]]&gt;0,IF(Table3[[#This Row],[Expected arrival date]]&gt;0,Table3[[#This Row],[Actual Arrival date]]-Table3[[#This Row],[Expected arrival date]],""),"")</f>
        <v/>
      </c>
    </row>
    <row r="937" spans="1:30" x14ac:dyDescent="0.25">
      <c r="A937" s="303" t="str">
        <f>Start!$D$7</f>
        <v>Anyland</v>
      </c>
      <c r="B937" s="48" t="str">
        <f>_xlfn.IFNA(VLOOKUP(A937,list!B:C,2,FALSE),"")</f>
        <v>ANY</v>
      </c>
      <c r="C937" s="48"/>
      <c r="D937" s="127"/>
      <c r="E937" s="48" t="str">
        <f>_xlfn.IFNA(VLOOKUP(Table3[[#This Row],[Product]], ProductListTbl[], 3, 0), "")</f>
        <v/>
      </c>
      <c r="F937" s="303" t="str">
        <f>_xlfn.IFNA(VLOOKUP(D937,ProductListTbl[],5,0),"")</f>
        <v/>
      </c>
      <c r="G937" s="303" t="str">
        <f>_xlfn.IFNA(VLOOKUP(D937,ProductListTbl[],6,0),"")</f>
        <v/>
      </c>
      <c r="H937" s="130" t="str">
        <f>_xlfn.IFNA(VLOOKUP(D937,ProductListTbl[],7,0),"")</f>
        <v/>
      </c>
      <c r="I937" s="130" t="str">
        <f>_xlfn.IFNA(VLOOKUP(D937,ProductListTbl[],8,0),"")</f>
        <v/>
      </c>
      <c r="J937" s="127"/>
      <c r="K937" s="129"/>
      <c r="L937" s="128"/>
      <c r="M937" s="305" t="str">
        <f>IFERROR(Table3[[#This Row],[Quantity (doses)]]/Table3[[#This Row],[Doses per vial or syringe]],"")</f>
        <v/>
      </c>
      <c r="N937" s="127"/>
      <c r="O937" s="127"/>
      <c r="P937" s="381"/>
      <c r="Q937" s="129"/>
      <c r="R937" s="127"/>
      <c r="S937" s="127"/>
      <c r="T937" s="127"/>
      <c r="U937" s="127"/>
      <c r="V937" s="305" t="str">
        <f>_xlfn.IFNA(VLOOKUP(D937,ProductListTbl[],9,0),"")</f>
        <v/>
      </c>
      <c r="W937" s="305" t="str">
        <f>IFERROR(Table3[[#This Row],[Storage space per secondary packaging (cm3)]]*Table3[[#This Row],[Quantity  (vials or syringes)]]/1000,"")</f>
        <v/>
      </c>
      <c r="X937" s="305" t="str">
        <f>IFERROR(Table3[[#This Row],[Storage space per tertiary packaging (cm3)]]*Table3[[#This Row],[Quantity (doses)]]/1000,"")</f>
        <v/>
      </c>
      <c r="Y937" s="293" t="str">
        <f>IF(Table3[[#This Row],[Status]]="Ordered",(DATE(YEAR(P937),MONTH(P937),1)),IF(Table3[[#This Row],[Status]]="Received",(DATE(YEAR(Q937),MONTH(Q937),1)),""))</f>
        <v/>
      </c>
      <c r="Z937" s="304" t="str">
        <f t="shared" si="56"/>
        <v/>
      </c>
      <c r="AA937" s="48" t="str">
        <f t="shared" si="57"/>
        <v/>
      </c>
      <c r="AB937" s="48" t="str">
        <f t="shared" si="58"/>
        <v/>
      </c>
      <c r="AC937" s="292" t="str">
        <f t="shared" si="59"/>
        <v/>
      </c>
      <c r="AD937" s="48" t="str">
        <f>IF(Table3[[#This Row],[Actual Arrival date]]&gt;0,IF(Table3[[#This Row],[Expected arrival date]]&gt;0,Table3[[#This Row],[Actual Arrival date]]-Table3[[#This Row],[Expected arrival date]],""),"")</f>
        <v/>
      </c>
    </row>
    <row r="938" spans="1:30" x14ac:dyDescent="0.25">
      <c r="A938" s="303" t="str">
        <f>Start!$D$7</f>
        <v>Anyland</v>
      </c>
      <c r="B938" s="48" t="str">
        <f>_xlfn.IFNA(VLOOKUP(A938,list!B:C,2,FALSE),"")</f>
        <v>ANY</v>
      </c>
      <c r="C938" s="48"/>
      <c r="D938" s="127"/>
      <c r="E938" s="48" t="str">
        <f>_xlfn.IFNA(VLOOKUP(Table3[[#This Row],[Product]], ProductListTbl[], 3, 0), "")</f>
        <v/>
      </c>
      <c r="F938" s="303" t="str">
        <f>_xlfn.IFNA(VLOOKUP(D938,ProductListTbl[],5,0),"")</f>
        <v/>
      </c>
      <c r="G938" s="303" t="str">
        <f>_xlfn.IFNA(VLOOKUP(D938,ProductListTbl[],6,0),"")</f>
        <v/>
      </c>
      <c r="H938" s="130" t="str">
        <f>_xlfn.IFNA(VLOOKUP(D938,ProductListTbl[],7,0),"")</f>
        <v/>
      </c>
      <c r="I938" s="130" t="str">
        <f>_xlfn.IFNA(VLOOKUP(D938,ProductListTbl[],8,0),"")</f>
        <v/>
      </c>
      <c r="J938" s="127"/>
      <c r="K938" s="129"/>
      <c r="L938" s="128"/>
      <c r="M938" s="305" t="str">
        <f>IFERROR(Table3[[#This Row],[Quantity (doses)]]/Table3[[#This Row],[Doses per vial or syringe]],"")</f>
        <v/>
      </c>
      <c r="N938" s="127"/>
      <c r="O938" s="127"/>
      <c r="P938" s="381"/>
      <c r="Q938" s="129"/>
      <c r="R938" s="127"/>
      <c r="S938" s="127"/>
      <c r="T938" s="127"/>
      <c r="U938" s="127"/>
      <c r="V938" s="305" t="str">
        <f>_xlfn.IFNA(VLOOKUP(D938,ProductListTbl[],9,0),"")</f>
        <v/>
      </c>
      <c r="W938" s="305" t="str">
        <f>IFERROR(Table3[[#This Row],[Storage space per secondary packaging (cm3)]]*Table3[[#This Row],[Quantity  (vials or syringes)]]/1000,"")</f>
        <v/>
      </c>
      <c r="X938" s="305" t="str">
        <f>IFERROR(Table3[[#This Row],[Storage space per tertiary packaging (cm3)]]*Table3[[#This Row],[Quantity (doses)]]/1000,"")</f>
        <v/>
      </c>
      <c r="Y938" s="293" t="str">
        <f>IF(Table3[[#This Row],[Status]]="Ordered",(DATE(YEAR(P938),MONTH(P938),1)),IF(Table3[[#This Row],[Status]]="Received",(DATE(YEAR(Q938),MONTH(Q938),1)),""))</f>
        <v/>
      </c>
      <c r="Z938" s="304" t="str">
        <f t="shared" si="56"/>
        <v/>
      </c>
      <c r="AA938" s="48" t="str">
        <f t="shared" si="57"/>
        <v/>
      </c>
      <c r="AB938" s="48" t="str">
        <f t="shared" si="58"/>
        <v/>
      </c>
      <c r="AC938" s="292" t="str">
        <f t="shared" si="59"/>
        <v/>
      </c>
      <c r="AD938" s="48" t="str">
        <f>IF(Table3[[#This Row],[Actual Arrival date]]&gt;0,IF(Table3[[#This Row],[Expected arrival date]]&gt;0,Table3[[#This Row],[Actual Arrival date]]-Table3[[#This Row],[Expected arrival date]],""),"")</f>
        <v/>
      </c>
    </row>
    <row r="939" spans="1:30" x14ac:dyDescent="0.25">
      <c r="A939" s="303" t="str">
        <f>Start!$D$7</f>
        <v>Anyland</v>
      </c>
      <c r="B939" s="48" t="str">
        <f>_xlfn.IFNA(VLOOKUP(A939,list!B:C,2,FALSE),"")</f>
        <v>ANY</v>
      </c>
      <c r="C939" s="48"/>
      <c r="D939" s="127"/>
      <c r="E939" s="48" t="str">
        <f>_xlfn.IFNA(VLOOKUP(Table3[[#This Row],[Product]], ProductListTbl[], 3, 0), "")</f>
        <v/>
      </c>
      <c r="F939" s="303" t="str">
        <f>_xlfn.IFNA(VLOOKUP(D939,ProductListTbl[],5,0),"")</f>
        <v/>
      </c>
      <c r="G939" s="303" t="str">
        <f>_xlfn.IFNA(VLOOKUP(D939,ProductListTbl[],6,0),"")</f>
        <v/>
      </c>
      <c r="H939" s="130" t="str">
        <f>_xlfn.IFNA(VLOOKUP(D939,ProductListTbl[],7,0),"")</f>
        <v/>
      </c>
      <c r="I939" s="130" t="str">
        <f>_xlfn.IFNA(VLOOKUP(D939,ProductListTbl[],8,0),"")</f>
        <v/>
      </c>
      <c r="J939" s="127"/>
      <c r="K939" s="129"/>
      <c r="L939" s="128"/>
      <c r="M939" s="305" t="str">
        <f>IFERROR(Table3[[#This Row],[Quantity (doses)]]/Table3[[#This Row],[Doses per vial or syringe]],"")</f>
        <v/>
      </c>
      <c r="N939" s="127"/>
      <c r="O939" s="127"/>
      <c r="P939" s="381"/>
      <c r="Q939" s="129"/>
      <c r="R939" s="127"/>
      <c r="S939" s="127"/>
      <c r="T939" s="127"/>
      <c r="U939" s="127"/>
      <c r="V939" s="305" t="str">
        <f>_xlfn.IFNA(VLOOKUP(D939,ProductListTbl[],9,0),"")</f>
        <v/>
      </c>
      <c r="W939" s="305" t="str">
        <f>IFERROR(Table3[[#This Row],[Storage space per secondary packaging (cm3)]]*Table3[[#This Row],[Quantity  (vials or syringes)]]/1000,"")</f>
        <v/>
      </c>
      <c r="X939" s="305" t="str">
        <f>IFERROR(Table3[[#This Row],[Storage space per tertiary packaging (cm3)]]*Table3[[#This Row],[Quantity (doses)]]/1000,"")</f>
        <v/>
      </c>
      <c r="Y939" s="293" t="str">
        <f>IF(Table3[[#This Row],[Status]]="Ordered",(DATE(YEAR(P939),MONTH(P939),1)),IF(Table3[[#This Row],[Status]]="Received",(DATE(YEAR(Q939),MONTH(Q939),1)),""))</f>
        <v/>
      </c>
      <c r="Z939" s="304" t="str">
        <f t="shared" si="56"/>
        <v/>
      </c>
      <c r="AA939" s="48" t="str">
        <f t="shared" si="57"/>
        <v/>
      </c>
      <c r="AB939" s="48" t="str">
        <f t="shared" si="58"/>
        <v/>
      </c>
      <c r="AC939" s="292" t="str">
        <f t="shared" si="59"/>
        <v/>
      </c>
      <c r="AD939" s="48" t="str">
        <f>IF(Table3[[#This Row],[Actual Arrival date]]&gt;0,IF(Table3[[#This Row],[Expected arrival date]]&gt;0,Table3[[#This Row],[Actual Arrival date]]-Table3[[#This Row],[Expected arrival date]],""),"")</f>
        <v/>
      </c>
    </row>
    <row r="940" spans="1:30" x14ac:dyDescent="0.25">
      <c r="A940" s="303" t="str">
        <f>Start!$D$7</f>
        <v>Anyland</v>
      </c>
      <c r="B940" s="48" t="str">
        <f>_xlfn.IFNA(VLOOKUP(A940,list!B:C,2,FALSE),"")</f>
        <v>ANY</v>
      </c>
      <c r="C940" s="48"/>
      <c r="D940" s="127"/>
      <c r="E940" s="48" t="str">
        <f>_xlfn.IFNA(VLOOKUP(Table3[[#This Row],[Product]], ProductListTbl[], 3, 0), "")</f>
        <v/>
      </c>
      <c r="F940" s="303" t="str">
        <f>_xlfn.IFNA(VLOOKUP(D940,ProductListTbl[],5,0),"")</f>
        <v/>
      </c>
      <c r="G940" s="303" t="str">
        <f>_xlfn.IFNA(VLOOKUP(D940,ProductListTbl[],6,0),"")</f>
        <v/>
      </c>
      <c r="H940" s="130" t="str">
        <f>_xlfn.IFNA(VLOOKUP(D940,ProductListTbl[],7,0),"")</f>
        <v/>
      </c>
      <c r="I940" s="130" t="str">
        <f>_xlfn.IFNA(VLOOKUP(D940,ProductListTbl[],8,0),"")</f>
        <v/>
      </c>
      <c r="J940" s="127"/>
      <c r="K940" s="129"/>
      <c r="L940" s="128"/>
      <c r="M940" s="305" t="str">
        <f>IFERROR(Table3[[#This Row],[Quantity (doses)]]/Table3[[#This Row],[Doses per vial or syringe]],"")</f>
        <v/>
      </c>
      <c r="N940" s="127"/>
      <c r="O940" s="127"/>
      <c r="P940" s="381"/>
      <c r="Q940" s="129"/>
      <c r="R940" s="127"/>
      <c r="S940" s="127"/>
      <c r="T940" s="127"/>
      <c r="U940" s="127"/>
      <c r="V940" s="305" t="str">
        <f>_xlfn.IFNA(VLOOKUP(D940,ProductListTbl[],9,0),"")</f>
        <v/>
      </c>
      <c r="W940" s="305" t="str">
        <f>IFERROR(Table3[[#This Row],[Storage space per secondary packaging (cm3)]]*Table3[[#This Row],[Quantity  (vials or syringes)]]/1000,"")</f>
        <v/>
      </c>
      <c r="X940" s="305" t="str">
        <f>IFERROR(Table3[[#This Row],[Storage space per tertiary packaging (cm3)]]*Table3[[#This Row],[Quantity (doses)]]/1000,"")</f>
        <v/>
      </c>
      <c r="Y940" s="293" t="str">
        <f>IF(Table3[[#This Row],[Status]]="Ordered",(DATE(YEAR(P940),MONTH(P940),1)),IF(Table3[[#This Row],[Status]]="Received",(DATE(YEAR(Q940),MONTH(Q940),1)),""))</f>
        <v/>
      </c>
      <c r="Z940" s="304" t="str">
        <f t="shared" si="56"/>
        <v/>
      </c>
      <c r="AA940" s="48" t="str">
        <f t="shared" si="57"/>
        <v/>
      </c>
      <c r="AB940" s="48" t="str">
        <f t="shared" si="58"/>
        <v/>
      </c>
      <c r="AC940" s="292" t="str">
        <f t="shared" si="59"/>
        <v/>
      </c>
      <c r="AD940" s="48" t="str">
        <f>IF(Table3[[#This Row],[Actual Arrival date]]&gt;0,IF(Table3[[#This Row],[Expected arrival date]]&gt;0,Table3[[#This Row],[Actual Arrival date]]-Table3[[#This Row],[Expected arrival date]],""),"")</f>
        <v/>
      </c>
    </row>
    <row r="941" spans="1:30" x14ac:dyDescent="0.25">
      <c r="A941" s="303" t="str">
        <f>Start!$D$7</f>
        <v>Anyland</v>
      </c>
      <c r="B941" s="48" t="str">
        <f>_xlfn.IFNA(VLOOKUP(A941,list!B:C,2,FALSE),"")</f>
        <v>ANY</v>
      </c>
      <c r="C941" s="48"/>
      <c r="D941" s="127"/>
      <c r="E941" s="48" t="str">
        <f>_xlfn.IFNA(VLOOKUP(Table3[[#This Row],[Product]], ProductListTbl[], 3, 0), "")</f>
        <v/>
      </c>
      <c r="F941" s="303" t="str">
        <f>_xlfn.IFNA(VLOOKUP(D941,ProductListTbl[],5,0),"")</f>
        <v/>
      </c>
      <c r="G941" s="303" t="str">
        <f>_xlfn.IFNA(VLOOKUP(D941,ProductListTbl[],6,0),"")</f>
        <v/>
      </c>
      <c r="H941" s="130" t="str">
        <f>_xlfn.IFNA(VLOOKUP(D941,ProductListTbl[],7,0),"")</f>
        <v/>
      </c>
      <c r="I941" s="130" t="str">
        <f>_xlfn.IFNA(VLOOKUP(D941,ProductListTbl[],8,0),"")</f>
        <v/>
      </c>
      <c r="J941" s="127"/>
      <c r="K941" s="129"/>
      <c r="L941" s="128"/>
      <c r="M941" s="305" t="str">
        <f>IFERROR(Table3[[#This Row],[Quantity (doses)]]/Table3[[#This Row],[Doses per vial or syringe]],"")</f>
        <v/>
      </c>
      <c r="N941" s="127"/>
      <c r="O941" s="127"/>
      <c r="P941" s="381"/>
      <c r="Q941" s="129"/>
      <c r="R941" s="127"/>
      <c r="S941" s="127"/>
      <c r="T941" s="127"/>
      <c r="U941" s="127"/>
      <c r="V941" s="305" t="str">
        <f>_xlfn.IFNA(VLOOKUP(D941,ProductListTbl[],9,0),"")</f>
        <v/>
      </c>
      <c r="W941" s="305" t="str">
        <f>IFERROR(Table3[[#This Row],[Storage space per secondary packaging (cm3)]]*Table3[[#This Row],[Quantity  (vials or syringes)]]/1000,"")</f>
        <v/>
      </c>
      <c r="X941" s="305" t="str">
        <f>IFERROR(Table3[[#This Row],[Storage space per tertiary packaging (cm3)]]*Table3[[#This Row],[Quantity (doses)]]/1000,"")</f>
        <v/>
      </c>
      <c r="Y941" s="293" t="str">
        <f>IF(Table3[[#This Row],[Status]]="Ordered",(DATE(YEAR(P941),MONTH(P941),1)),IF(Table3[[#This Row],[Status]]="Received",(DATE(YEAR(Q941),MONTH(Q941),1)),""))</f>
        <v/>
      </c>
      <c r="Z941" s="304" t="str">
        <f t="shared" si="56"/>
        <v/>
      </c>
      <c r="AA941" s="48" t="str">
        <f t="shared" si="57"/>
        <v/>
      </c>
      <c r="AB941" s="48" t="str">
        <f t="shared" si="58"/>
        <v/>
      </c>
      <c r="AC941" s="292" t="str">
        <f t="shared" si="59"/>
        <v/>
      </c>
      <c r="AD941" s="48" t="str">
        <f>IF(Table3[[#This Row],[Actual Arrival date]]&gt;0,IF(Table3[[#This Row],[Expected arrival date]]&gt;0,Table3[[#This Row],[Actual Arrival date]]-Table3[[#This Row],[Expected arrival date]],""),"")</f>
        <v/>
      </c>
    </row>
    <row r="942" spans="1:30" x14ac:dyDescent="0.25">
      <c r="A942" s="303" t="str">
        <f>Start!$D$7</f>
        <v>Anyland</v>
      </c>
      <c r="B942" s="48" t="str">
        <f>_xlfn.IFNA(VLOOKUP(A942,list!B:C,2,FALSE),"")</f>
        <v>ANY</v>
      </c>
      <c r="C942" s="48"/>
      <c r="D942" s="127"/>
      <c r="E942" s="48" t="str">
        <f>_xlfn.IFNA(VLOOKUP(Table3[[#This Row],[Product]], ProductListTbl[], 3, 0), "")</f>
        <v/>
      </c>
      <c r="F942" s="303" t="str">
        <f>_xlfn.IFNA(VLOOKUP(D942,ProductListTbl[],5,0),"")</f>
        <v/>
      </c>
      <c r="G942" s="303" t="str">
        <f>_xlfn.IFNA(VLOOKUP(D942,ProductListTbl[],6,0),"")</f>
        <v/>
      </c>
      <c r="H942" s="130" t="str">
        <f>_xlfn.IFNA(VLOOKUP(D942,ProductListTbl[],7,0),"")</f>
        <v/>
      </c>
      <c r="I942" s="130" t="str">
        <f>_xlfn.IFNA(VLOOKUP(D942,ProductListTbl[],8,0),"")</f>
        <v/>
      </c>
      <c r="J942" s="127"/>
      <c r="K942" s="129"/>
      <c r="L942" s="128"/>
      <c r="M942" s="305" t="str">
        <f>IFERROR(Table3[[#This Row],[Quantity (doses)]]/Table3[[#This Row],[Doses per vial or syringe]],"")</f>
        <v/>
      </c>
      <c r="N942" s="127"/>
      <c r="O942" s="127"/>
      <c r="P942" s="381"/>
      <c r="Q942" s="129"/>
      <c r="R942" s="127"/>
      <c r="S942" s="127"/>
      <c r="T942" s="127"/>
      <c r="U942" s="127"/>
      <c r="V942" s="305" t="str">
        <f>_xlfn.IFNA(VLOOKUP(D942,ProductListTbl[],9,0),"")</f>
        <v/>
      </c>
      <c r="W942" s="305" t="str">
        <f>IFERROR(Table3[[#This Row],[Storage space per secondary packaging (cm3)]]*Table3[[#This Row],[Quantity  (vials or syringes)]]/1000,"")</f>
        <v/>
      </c>
      <c r="X942" s="305" t="str">
        <f>IFERROR(Table3[[#This Row],[Storage space per tertiary packaging (cm3)]]*Table3[[#This Row],[Quantity (doses)]]/1000,"")</f>
        <v/>
      </c>
      <c r="Y942" s="293" t="str">
        <f>IF(Table3[[#This Row],[Status]]="Ordered",(DATE(YEAR(P942),MONTH(P942),1)),IF(Table3[[#This Row],[Status]]="Received",(DATE(YEAR(Q942),MONTH(Q942),1)),""))</f>
        <v/>
      </c>
      <c r="Z942" s="304" t="str">
        <f t="shared" si="56"/>
        <v/>
      </c>
      <c r="AA942" s="48" t="str">
        <f t="shared" si="57"/>
        <v/>
      </c>
      <c r="AB942" s="48" t="str">
        <f t="shared" si="58"/>
        <v/>
      </c>
      <c r="AC942" s="292" t="str">
        <f t="shared" si="59"/>
        <v/>
      </c>
      <c r="AD942" s="48" t="str">
        <f>IF(Table3[[#This Row],[Actual Arrival date]]&gt;0,IF(Table3[[#This Row],[Expected arrival date]]&gt;0,Table3[[#This Row],[Actual Arrival date]]-Table3[[#This Row],[Expected arrival date]],""),"")</f>
        <v/>
      </c>
    </row>
    <row r="943" spans="1:30" x14ac:dyDescent="0.25">
      <c r="A943" s="303" t="str">
        <f>Start!$D$7</f>
        <v>Anyland</v>
      </c>
      <c r="B943" s="48" t="str">
        <f>_xlfn.IFNA(VLOOKUP(A943,list!B:C,2,FALSE),"")</f>
        <v>ANY</v>
      </c>
      <c r="C943" s="48"/>
      <c r="D943" s="127"/>
      <c r="E943" s="48" t="str">
        <f>_xlfn.IFNA(VLOOKUP(Table3[[#This Row],[Product]], ProductListTbl[], 3, 0), "")</f>
        <v/>
      </c>
      <c r="F943" s="303" t="str">
        <f>_xlfn.IFNA(VLOOKUP(D943,ProductListTbl[],5,0),"")</f>
        <v/>
      </c>
      <c r="G943" s="303" t="str">
        <f>_xlfn.IFNA(VLOOKUP(D943,ProductListTbl[],6,0),"")</f>
        <v/>
      </c>
      <c r="H943" s="130" t="str">
        <f>_xlfn.IFNA(VLOOKUP(D943,ProductListTbl[],7,0),"")</f>
        <v/>
      </c>
      <c r="I943" s="130" t="str">
        <f>_xlfn.IFNA(VLOOKUP(D943,ProductListTbl[],8,0),"")</f>
        <v/>
      </c>
      <c r="J943" s="127"/>
      <c r="K943" s="129"/>
      <c r="L943" s="128"/>
      <c r="M943" s="305" t="str">
        <f>IFERROR(Table3[[#This Row],[Quantity (doses)]]/Table3[[#This Row],[Doses per vial or syringe]],"")</f>
        <v/>
      </c>
      <c r="N943" s="127"/>
      <c r="O943" s="127"/>
      <c r="P943" s="381"/>
      <c r="Q943" s="129"/>
      <c r="R943" s="127"/>
      <c r="S943" s="127"/>
      <c r="T943" s="127"/>
      <c r="U943" s="127"/>
      <c r="V943" s="305" t="str">
        <f>_xlfn.IFNA(VLOOKUP(D943,ProductListTbl[],9,0),"")</f>
        <v/>
      </c>
      <c r="W943" s="305" t="str">
        <f>IFERROR(Table3[[#This Row],[Storage space per secondary packaging (cm3)]]*Table3[[#This Row],[Quantity  (vials or syringes)]]/1000,"")</f>
        <v/>
      </c>
      <c r="X943" s="305" t="str">
        <f>IFERROR(Table3[[#This Row],[Storage space per tertiary packaging (cm3)]]*Table3[[#This Row],[Quantity (doses)]]/1000,"")</f>
        <v/>
      </c>
      <c r="Y943" s="293" t="str">
        <f>IF(Table3[[#This Row],[Status]]="Ordered",(DATE(YEAR(P943),MONTH(P943),1)),IF(Table3[[#This Row],[Status]]="Received",(DATE(YEAR(Q943),MONTH(Q943),1)),""))</f>
        <v/>
      </c>
      <c r="Z943" s="304" t="str">
        <f t="shared" si="56"/>
        <v/>
      </c>
      <c r="AA943" s="48" t="str">
        <f t="shared" si="57"/>
        <v/>
      </c>
      <c r="AB943" s="48" t="str">
        <f t="shared" si="58"/>
        <v/>
      </c>
      <c r="AC943" s="292" t="str">
        <f t="shared" si="59"/>
        <v/>
      </c>
      <c r="AD943" s="48" t="str">
        <f>IF(Table3[[#This Row],[Actual Arrival date]]&gt;0,IF(Table3[[#This Row],[Expected arrival date]]&gt;0,Table3[[#This Row],[Actual Arrival date]]-Table3[[#This Row],[Expected arrival date]],""),"")</f>
        <v/>
      </c>
    </row>
    <row r="944" spans="1:30" x14ac:dyDescent="0.25">
      <c r="A944" s="303" t="str">
        <f>Start!$D$7</f>
        <v>Anyland</v>
      </c>
      <c r="B944" s="48" t="str">
        <f>_xlfn.IFNA(VLOOKUP(A944,list!B:C,2,FALSE),"")</f>
        <v>ANY</v>
      </c>
      <c r="C944" s="48"/>
      <c r="D944" s="127"/>
      <c r="E944" s="48" t="str">
        <f>_xlfn.IFNA(VLOOKUP(Table3[[#This Row],[Product]], ProductListTbl[], 3, 0), "")</f>
        <v/>
      </c>
      <c r="F944" s="303" t="str">
        <f>_xlfn.IFNA(VLOOKUP(D944,ProductListTbl[],5,0),"")</f>
        <v/>
      </c>
      <c r="G944" s="303" t="str">
        <f>_xlfn.IFNA(VLOOKUP(D944,ProductListTbl[],6,0),"")</f>
        <v/>
      </c>
      <c r="H944" s="130" t="str">
        <f>_xlfn.IFNA(VLOOKUP(D944,ProductListTbl[],7,0),"")</f>
        <v/>
      </c>
      <c r="I944" s="130" t="str">
        <f>_xlfn.IFNA(VLOOKUP(D944,ProductListTbl[],8,0),"")</f>
        <v/>
      </c>
      <c r="J944" s="127"/>
      <c r="K944" s="129"/>
      <c r="L944" s="128"/>
      <c r="M944" s="305" t="str">
        <f>IFERROR(Table3[[#This Row],[Quantity (doses)]]/Table3[[#This Row],[Doses per vial or syringe]],"")</f>
        <v/>
      </c>
      <c r="N944" s="127"/>
      <c r="O944" s="127"/>
      <c r="P944" s="381"/>
      <c r="Q944" s="129"/>
      <c r="R944" s="127"/>
      <c r="S944" s="127"/>
      <c r="T944" s="127"/>
      <c r="U944" s="127"/>
      <c r="V944" s="305" t="str">
        <f>_xlfn.IFNA(VLOOKUP(D944,ProductListTbl[],9,0),"")</f>
        <v/>
      </c>
      <c r="W944" s="305" t="str">
        <f>IFERROR(Table3[[#This Row],[Storage space per secondary packaging (cm3)]]*Table3[[#This Row],[Quantity  (vials or syringes)]]/1000,"")</f>
        <v/>
      </c>
      <c r="X944" s="305" t="str">
        <f>IFERROR(Table3[[#This Row],[Storage space per tertiary packaging (cm3)]]*Table3[[#This Row],[Quantity (doses)]]/1000,"")</f>
        <v/>
      </c>
      <c r="Y944" s="293" t="str">
        <f>IF(Table3[[#This Row],[Status]]="Ordered",(DATE(YEAR(P944),MONTH(P944),1)),IF(Table3[[#This Row],[Status]]="Received",(DATE(YEAR(Q944),MONTH(Q944),1)),""))</f>
        <v/>
      </c>
      <c r="Z944" s="304" t="str">
        <f t="shared" si="56"/>
        <v/>
      </c>
      <c r="AA944" s="48" t="str">
        <f t="shared" si="57"/>
        <v/>
      </c>
      <c r="AB944" s="48" t="str">
        <f t="shared" si="58"/>
        <v/>
      </c>
      <c r="AC944" s="292" t="str">
        <f t="shared" si="59"/>
        <v/>
      </c>
      <c r="AD944" s="48" t="str">
        <f>IF(Table3[[#This Row],[Actual Arrival date]]&gt;0,IF(Table3[[#This Row],[Expected arrival date]]&gt;0,Table3[[#This Row],[Actual Arrival date]]-Table3[[#This Row],[Expected arrival date]],""),"")</f>
        <v/>
      </c>
    </row>
    <row r="945" spans="1:30" x14ac:dyDescent="0.25">
      <c r="A945" s="303" t="str">
        <f>Start!$D$7</f>
        <v>Anyland</v>
      </c>
      <c r="B945" s="48" t="str">
        <f>_xlfn.IFNA(VLOOKUP(A945,list!B:C,2,FALSE),"")</f>
        <v>ANY</v>
      </c>
      <c r="C945" s="48"/>
      <c r="D945" s="127"/>
      <c r="E945" s="48" t="str">
        <f>_xlfn.IFNA(VLOOKUP(Table3[[#This Row],[Product]], ProductListTbl[], 3, 0), "")</f>
        <v/>
      </c>
      <c r="F945" s="303" t="str">
        <f>_xlfn.IFNA(VLOOKUP(D945,ProductListTbl[],5,0),"")</f>
        <v/>
      </c>
      <c r="G945" s="303" t="str">
        <f>_xlfn.IFNA(VLOOKUP(D945,ProductListTbl[],6,0),"")</f>
        <v/>
      </c>
      <c r="H945" s="130" t="str">
        <f>_xlfn.IFNA(VLOOKUP(D945,ProductListTbl[],7,0),"")</f>
        <v/>
      </c>
      <c r="I945" s="130" t="str">
        <f>_xlfn.IFNA(VLOOKUP(D945,ProductListTbl[],8,0),"")</f>
        <v/>
      </c>
      <c r="J945" s="127"/>
      <c r="K945" s="129"/>
      <c r="L945" s="128"/>
      <c r="M945" s="305" t="str">
        <f>IFERROR(Table3[[#This Row],[Quantity (doses)]]/Table3[[#This Row],[Doses per vial or syringe]],"")</f>
        <v/>
      </c>
      <c r="N945" s="127"/>
      <c r="O945" s="127"/>
      <c r="P945" s="381"/>
      <c r="Q945" s="129"/>
      <c r="R945" s="127"/>
      <c r="S945" s="127"/>
      <c r="T945" s="127"/>
      <c r="U945" s="127"/>
      <c r="V945" s="305" t="str">
        <f>_xlfn.IFNA(VLOOKUP(D945,ProductListTbl[],9,0),"")</f>
        <v/>
      </c>
      <c r="W945" s="305" t="str">
        <f>IFERROR(Table3[[#This Row],[Storage space per secondary packaging (cm3)]]*Table3[[#This Row],[Quantity  (vials or syringes)]]/1000,"")</f>
        <v/>
      </c>
      <c r="X945" s="305" t="str">
        <f>IFERROR(Table3[[#This Row],[Storage space per tertiary packaging (cm3)]]*Table3[[#This Row],[Quantity (doses)]]/1000,"")</f>
        <v/>
      </c>
      <c r="Y945" s="293" t="str">
        <f>IF(Table3[[#This Row],[Status]]="Ordered",(DATE(YEAR(P945),MONTH(P945),1)),IF(Table3[[#This Row],[Status]]="Received",(DATE(YEAR(Q945),MONTH(Q945),1)),""))</f>
        <v/>
      </c>
      <c r="Z945" s="304" t="str">
        <f t="shared" si="56"/>
        <v/>
      </c>
      <c r="AA945" s="48" t="str">
        <f t="shared" si="57"/>
        <v/>
      </c>
      <c r="AB945" s="48" t="str">
        <f t="shared" si="58"/>
        <v/>
      </c>
      <c r="AC945" s="292" t="str">
        <f t="shared" si="59"/>
        <v/>
      </c>
      <c r="AD945" s="48" t="str">
        <f>IF(Table3[[#This Row],[Actual Arrival date]]&gt;0,IF(Table3[[#This Row],[Expected arrival date]]&gt;0,Table3[[#This Row],[Actual Arrival date]]-Table3[[#This Row],[Expected arrival date]],""),"")</f>
        <v/>
      </c>
    </row>
    <row r="946" spans="1:30" x14ac:dyDescent="0.25">
      <c r="A946" s="303" t="str">
        <f>Start!$D$7</f>
        <v>Anyland</v>
      </c>
      <c r="B946" s="48" t="str">
        <f>_xlfn.IFNA(VLOOKUP(A946,list!B:C,2,FALSE),"")</f>
        <v>ANY</v>
      </c>
      <c r="C946" s="48"/>
      <c r="D946" s="127"/>
      <c r="E946" s="48" t="str">
        <f>_xlfn.IFNA(VLOOKUP(Table3[[#This Row],[Product]], ProductListTbl[], 3, 0), "")</f>
        <v/>
      </c>
      <c r="F946" s="303" t="str">
        <f>_xlfn.IFNA(VLOOKUP(D946,ProductListTbl[],5,0),"")</f>
        <v/>
      </c>
      <c r="G946" s="303" t="str">
        <f>_xlfn.IFNA(VLOOKUP(D946,ProductListTbl[],6,0),"")</f>
        <v/>
      </c>
      <c r="H946" s="130" t="str">
        <f>_xlfn.IFNA(VLOOKUP(D946,ProductListTbl[],7,0),"")</f>
        <v/>
      </c>
      <c r="I946" s="130" t="str">
        <f>_xlfn.IFNA(VLOOKUP(D946,ProductListTbl[],8,0),"")</f>
        <v/>
      </c>
      <c r="J946" s="127"/>
      <c r="K946" s="129"/>
      <c r="L946" s="128"/>
      <c r="M946" s="305" t="str">
        <f>IFERROR(Table3[[#This Row],[Quantity (doses)]]/Table3[[#This Row],[Doses per vial or syringe]],"")</f>
        <v/>
      </c>
      <c r="N946" s="127"/>
      <c r="O946" s="127"/>
      <c r="P946" s="381"/>
      <c r="Q946" s="129"/>
      <c r="R946" s="127"/>
      <c r="S946" s="127"/>
      <c r="T946" s="127"/>
      <c r="U946" s="127"/>
      <c r="V946" s="305" t="str">
        <f>_xlfn.IFNA(VLOOKUP(D946,ProductListTbl[],9,0),"")</f>
        <v/>
      </c>
      <c r="W946" s="305" t="str">
        <f>IFERROR(Table3[[#This Row],[Storage space per secondary packaging (cm3)]]*Table3[[#This Row],[Quantity  (vials or syringes)]]/1000,"")</f>
        <v/>
      </c>
      <c r="X946" s="305" t="str">
        <f>IFERROR(Table3[[#This Row],[Storage space per tertiary packaging (cm3)]]*Table3[[#This Row],[Quantity (doses)]]/1000,"")</f>
        <v/>
      </c>
      <c r="Y946" s="293" t="str">
        <f>IF(Table3[[#This Row],[Status]]="Ordered",(DATE(YEAR(P946),MONTH(P946),1)),IF(Table3[[#This Row],[Status]]="Received",(DATE(YEAR(Q946),MONTH(Q946),1)),""))</f>
        <v/>
      </c>
      <c r="Z946" s="304" t="str">
        <f t="shared" si="56"/>
        <v/>
      </c>
      <c r="AA946" s="48" t="str">
        <f t="shared" si="57"/>
        <v/>
      </c>
      <c r="AB946" s="48" t="str">
        <f t="shared" si="58"/>
        <v/>
      </c>
      <c r="AC946" s="292" t="str">
        <f t="shared" si="59"/>
        <v/>
      </c>
      <c r="AD946" s="48" t="str">
        <f>IF(Table3[[#This Row],[Actual Arrival date]]&gt;0,IF(Table3[[#This Row],[Expected arrival date]]&gt;0,Table3[[#This Row],[Actual Arrival date]]-Table3[[#This Row],[Expected arrival date]],""),"")</f>
        <v/>
      </c>
    </row>
    <row r="947" spans="1:30" x14ac:dyDescent="0.25">
      <c r="A947" s="303" t="str">
        <f>Start!$D$7</f>
        <v>Anyland</v>
      </c>
      <c r="B947" s="48" t="str">
        <f>_xlfn.IFNA(VLOOKUP(A947,list!B:C,2,FALSE),"")</f>
        <v>ANY</v>
      </c>
      <c r="C947" s="48"/>
      <c r="D947" s="127"/>
      <c r="E947" s="48" t="str">
        <f>_xlfn.IFNA(VLOOKUP(Table3[[#This Row],[Product]], ProductListTbl[], 3, 0), "")</f>
        <v/>
      </c>
      <c r="F947" s="303" t="str">
        <f>_xlfn.IFNA(VLOOKUP(D947,ProductListTbl[],5,0),"")</f>
        <v/>
      </c>
      <c r="G947" s="303" t="str">
        <f>_xlfn.IFNA(VLOOKUP(D947,ProductListTbl[],6,0),"")</f>
        <v/>
      </c>
      <c r="H947" s="130" t="str">
        <f>_xlfn.IFNA(VLOOKUP(D947,ProductListTbl[],7,0),"")</f>
        <v/>
      </c>
      <c r="I947" s="130" t="str">
        <f>_xlfn.IFNA(VLOOKUP(D947,ProductListTbl[],8,0),"")</f>
        <v/>
      </c>
      <c r="J947" s="127"/>
      <c r="K947" s="129"/>
      <c r="L947" s="128"/>
      <c r="M947" s="305" t="str">
        <f>IFERROR(Table3[[#This Row],[Quantity (doses)]]/Table3[[#This Row],[Doses per vial or syringe]],"")</f>
        <v/>
      </c>
      <c r="N947" s="127"/>
      <c r="O947" s="127"/>
      <c r="P947" s="381"/>
      <c r="Q947" s="129"/>
      <c r="R947" s="127"/>
      <c r="S947" s="127"/>
      <c r="T947" s="127"/>
      <c r="U947" s="127"/>
      <c r="V947" s="305" t="str">
        <f>_xlfn.IFNA(VLOOKUP(D947,ProductListTbl[],9,0),"")</f>
        <v/>
      </c>
      <c r="W947" s="305" t="str">
        <f>IFERROR(Table3[[#This Row],[Storage space per secondary packaging (cm3)]]*Table3[[#This Row],[Quantity  (vials or syringes)]]/1000,"")</f>
        <v/>
      </c>
      <c r="X947" s="305" t="str">
        <f>IFERROR(Table3[[#This Row],[Storage space per tertiary packaging (cm3)]]*Table3[[#This Row],[Quantity (doses)]]/1000,"")</f>
        <v/>
      </c>
      <c r="Y947" s="293" t="str">
        <f>IF(Table3[[#This Row],[Status]]="Ordered",(DATE(YEAR(P947),MONTH(P947),1)),IF(Table3[[#This Row],[Status]]="Received",(DATE(YEAR(Q947),MONTH(Q947),1)),""))</f>
        <v/>
      </c>
      <c r="Z947" s="304" t="str">
        <f t="shared" si="56"/>
        <v/>
      </c>
      <c r="AA947" s="48" t="str">
        <f t="shared" si="57"/>
        <v/>
      </c>
      <c r="AB947" s="48" t="str">
        <f t="shared" si="58"/>
        <v/>
      </c>
      <c r="AC947" s="292" t="str">
        <f t="shared" si="59"/>
        <v/>
      </c>
      <c r="AD947" s="48" t="str">
        <f>IF(Table3[[#This Row],[Actual Arrival date]]&gt;0,IF(Table3[[#This Row],[Expected arrival date]]&gt;0,Table3[[#This Row],[Actual Arrival date]]-Table3[[#This Row],[Expected arrival date]],""),"")</f>
        <v/>
      </c>
    </row>
    <row r="948" spans="1:30" x14ac:dyDescent="0.25">
      <c r="A948" s="303" t="str">
        <f>Start!$D$7</f>
        <v>Anyland</v>
      </c>
      <c r="B948" s="48" t="str">
        <f>_xlfn.IFNA(VLOOKUP(A948,list!B:C,2,FALSE),"")</f>
        <v>ANY</v>
      </c>
      <c r="C948" s="48"/>
      <c r="D948" s="127"/>
      <c r="E948" s="48" t="str">
        <f>_xlfn.IFNA(VLOOKUP(Table3[[#This Row],[Product]], ProductListTbl[], 3, 0), "")</f>
        <v/>
      </c>
      <c r="F948" s="303" t="str">
        <f>_xlfn.IFNA(VLOOKUP(D948,ProductListTbl[],5,0),"")</f>
        <v/>
      </c>
      <c r="G948" s="303" t="str">
        <f>_xlfn.IFNA(VLOOKUP(D948,ProductListTbl[],6,0),"")</f>
        <v/>
      </c>
      <c r="H948" s="130" t="str">
        <f>_xlfn.IFNA(VLOOKUP(D948,ProductListTbl[],7,0),"")</f>
        <v/>
      </c>
      <c r="I948" s="130" t="str">
        <f>_xlfn.IFNA(VLOOKUP(D948,ProductListTbl[],8,0),"")</f>
        <v/>
      </c>
      <c r="J948" s="127"/>
      <c r="K948" s="129"/>
      <c r="L948" s="128"/>
      <c r="M948" s="305" t="str">
        <f>IFERROR(Table3[[#This Row],[Quantity (doses)]]/Table3[[#This Row],[Doses per vial or syringe]],"")</f>
        <v/>
      </c>
      <c r="N948" s="127"/>
      <c r="O948" s="127"/>
      <c r="P948" s="381"/>
      <c r="Q948" s="129"/>
      <c r="R948" s="127"/>
      <c r="S948" s="127"/>
      <c r="T948" s="127"/>
      <c r="U948" s="127"/>
      <c r="V948" s="305" t="str">
        <f>_xlfn.IFNA(VLOOKUP(D948,ProductListTbl[],9,0),"")</f>
        <v/>
      </c>
      <c r="W948" s="305" t="str">
        <f>IFERROR(Table3[[#This Row],[Storage space per secondary packaging (cm3)]]*Table3[[#This Row],[Quantity  (vials or syringes)]]/1000,"")</f>
        <v/>
      </c>
      <c r="X948" s="305" t="str">
        <f>IFERROR(Table3[[#This Row],[Storage space per tertiary packaging (cm3)]]*Table3[[#This Row],[Quantity (doses)]]/1000,"")</f>
        <v/>
      </c>
      <c r="Y948" s="293" t="str">
        <f>IF(Table3[[#This Row],[Status]]="Ordered",(DATE(YEAR(P948),MONTH(P948),1)),IF(Table3[[#This Row],[Status]]="Received",(DATE(YEAR(Q948),MONTH(Q948),1)),""))</f>
        <v/>
      </c>
      <c r="Z948" s="304" t="str">
        <f t="shared" si="56"/>
        <v/>
      </c>
      <c r="AA948" s="48" t="str">
        <f t="shared" si="57"/>
        <v/>
      </c>
      <c r="AB948" s="48" t="str">
        <f t="shared" si="58"/>
        <v/>
      </c>
      <c r="AC948" s="292" t="str">
        <f t="shared" si="59"/>
        <v/>
      </c>
      <c r="AD948" s="48" t="str">
        <f>IF(Table3[[#This Row],[Actual Arrival date]]&gt;0,IF(Table3[[#This Row],[Expected arrival date]]&gt;0,Table3[[#This Row],[Actual Arrival date]]-Table3[[#This Row],[Expected arrival date]],""),"")</f>
        <v/>
      </c>
    </row>
    <row r="949" spans="1:30" x14ac:dyDescent="0.25">
      <c r="A949" s="303" t="str">
        <f>Start!$D$7</f>
        <v>Anyland</v>
      </c>
      <c r="B949" s="48" t="str">
        <f>_xlfn.IFNA(VLOOKUP(A949,list!B:C,2,FALSE),"")</f>
        <v>ANY</v>
      </c>
      <c r="C949" s="48"/>
      <c r="D949" s="127"/>
      <c r="E949" s="48" t="str">
        <f>_xlfn.IFNA(VLOOKUP(Table3[[#This Row],[Product]], ProductListTbl[], 3, 0), "")</f>
        <v/>
      </c>
      <c r="F949" s="303" t="str">
        <f>_xlfn.IFNA(VLOOKUP(D949,ProductListTbl[],5,0),"")</f>
        <v/>
      </c>
      <c r="G949" s="303" t="str">
        <f>_xlfn.IFNA(VLOOKUP(D949,ProductListTbl[],6,0),"")</f>
        <v/>
      </c>
      <c r="H949" s="130" t="str">
        <f>_xlfn.IFNA(VLOOKUP(D949,ProductListTbl[],7,0),"")</f>
        <v/>
      </c>
      <c r="I949" s="130" t="str">
        <f>_xlfn.IFNA(VLOOKUP(D949,ProductListTbl[],8,0),"")</f>
        <v/>
      </c>
      <c r="J949" s="127"/>
      <c r="K949" s="129"/>
      <c r="L949" s="128"/>
      <c r="M949" s="305" t="str">
        <f>IFERROR(Table3[[#This Row],[Quantity (doses)]]/Table3[[#This Row],[Doses per vial or syringe]],"")</f>
        <v/>
      </c>
      <c r="N949" s="127"/>
      <c r="O949" s="127"/>
      <c r="P949" s="381"/>
      <c r="Q949" s="129"/>
      <c r="R949" s="127"/>
      <c r="S949" s="127"/>
      <c r="T949" s="127"/>
      <c r="U949" s="127"/>
      <c r="V949" s="305" t="str">
        <f>_xlfn.IFNA(VLOOKUP(D949,ProductListTbl[],9,0),"")</f>
        <v/>
      </c>
      <c r="W949" s="305" t="str">
        <f>IFERROR(Table3[[#This Row],[Storage space per secondary packaging (cm3)]]*Table3[[#This Row],[Quantity  (vials or syringes)]]/1000,"")</f>
        <v/>
      </c>
      <c r="X949" s="305" t="str">
        <f>IFERROR(Table3[[#This Row],[Storage space per tertiary packaging (cm3)]]*Table3[[#This Row],[Quantity (doses)]]/1000,"")</f>
        <v/>
      </c>
      <c r="Y949" s="293" t="str">
        <f>IF(Table3[[#This Row],[Status]]="Ordered",(DATE(YEAR(P949),MONTH(P949),1)),IF(Table3[[#This Row],[Status]]="Received",(DATE(YEAR(Q949),MONTH(Q949),1)),""))</f>
        <v/>
      </c>
      <c r="Z949" s="304" t="str">
        <f t="shared" si="56"/>
        <v/>
      </c>
      <c r="AA949" s="48" t="str">
        <f t="shared" si="57"/>
        <v/>
      </c>
      <c r="AB949" s="48" t="str">
        <f t="shared" si="58"/>
        <v/>
      </c>
      <c r="AC949" s="292" t="str">
        <f t="shared" si="59"/>
        <v/>
      </c>
      <c r="AD949" s="48" t="str">
        <f>IF(Table3[[#This Row],[Actual Arrival date]]&gt;0,IF(Table3[[#This Row],[Expected arrival date]]&gt;0,Table3[[#This Row],[Actual Arrival date]]-Table3[[#This Row],[Expected arrival date]],""),"")</f>
        <v/>
      </c>
    </row>
    <row r="950" spans="1:30" x14ac:dyDescent="0.25">
      <c r="A950" s="303" t="str">
        <f>Start!$D$7</f>
        <v>Anyland</v>
      </c>
      <c r="B950" s="48" t="str">
        <f>_xlfn.IFNA(VLOOKUP(A950,list!B:C,2,FALSE),"")</f>
        <v>ANY</v>
      </c>
      <c r="C950" s="48"/>
      <c r="D950" s="127"/>
      <c r="E950" s="48" t="str">
        <f>_xlfn.IFNA(VLOOKUP(Table3[[#This Row],[Product]], ProductListTbl[], 3, 0), "")</f>
        <v/>
      </c>
      <c r="F950" s="303" t="str">
        <f>_xlfn.IFNA(VLOOKUP(D950,ProductListTbl[],5,0),"")</f>
        <v/>
      </c>
      <c r="G950" s="303" t="str">
        <f>_xlfn.IFNA(VLOOKUP(D950,ProductListTbl[],6,0),"")</f>
        <v/>
      </c>
      <c r="H950" s="130" t="str">
        <f>_xlfn.IFNA(VLOOKUP(D950,ProductListTbl[],7,0),"")</f>
        <v/>
      </c>
      <c r="I950" s="130" t="str">
        <f>_xlfn.IFNA(VLOOKUP(D950,ProductListTbl[],8,0),"")</f>
        <v/>
      </c>
      <c r="J950" s="127"/>
      <c r="K950" s="129"/>
      <c r="L950" s="128"/>
      <c r="M950" s="305" t="str">
        <f>IFERROR(Table3[[#This Row],[Quantity (doses)]]/Table3[[#This Row],[Doses per vial or syringe]],"")</f>
        <v/>
      </c>
      <c r="N950" s="127"/>
      <c r="O950" s="127"/>
      <c r="P950" s="381"/>
      <c r="Q950" s="129"/>
      <c r="R950" s="127"/>
      <c r="S950" s="127"/>
      <c r="T950" s="127"/>
      <c r="U950" s="127"/>
      <c r="V950" s="305" t="str">
        <f>_xlfn.IFNA(VLOOKUP(D950,ProductListTbl[],9,0),"")</f>
        <v/>
      </c>
      <c r="W950" s="305" t="str">
        <f>IFERROR(Table3[[#This Row],[Storage space per secondary packaging (cm3)]]*Table3[[#This Row],[Quantity  (vials or syringes)]]/1000,"")</f>
        <v/>
      </c>
      <c r="X950" s="305" t="str">
        <f>IFERROR(Table3[[#This Row],[Storage space per tertiary packaging (cm3)]]*Table3[[#This Row],[Quantity (doses)]]/1000,"")</f>
        <v/>
      </c>
      <c r="Y950" s="293" t="str">
        <f>IF(Table3[[#This Row],[Status]]="Ordered",(DATE(YEAR(P950),MONTH(P950),1)),IF(Table3[[#This Row],[Status]]="Received",(DATE(YEAR(Q950),MONTH(Q950),1)),""))</f>
        <v/>
      </c>
      <c r="Z950" s="304" t="str">
        <f t="shared" si="56"/>
        <v/>
      </c>
      <c r="AA950" s="48" t="str">
        <f t="shared" si="57"/>
        <v/>
      </c>
      <c r="AB950" s="48" t="str">
        <f t="shared" si="58"/>
        <v/>
      </c>
      <c r="AC950" s="292" t="str">
        <f t="shared" si="59"/>
        <v/>
      </c>
      <c r="AD950" s="48" t="str">
        <f>IF(Table3[[#This Row],[Actual Arrival date]]&gt;0,IF(Table3[[#This Row],[Expected arrival date]]&gt;0,Table3[[#This Row],[Actual Arrival date]]-Table3[[#This Row],[Expected arrival date]],""),"")</f>
        <v/>
      </c>
    </row>
    <row r="951" spans="1:30" x14ac:dyDescent="0.25">
      <c r="A951" s="303" t="str">
        <f>Start!$D$7</f>
        <v>Anyland</v>
      </c>
      <c r="B951" s="48" t="str">
        <f>_xlfn.IFNA(VLOOKUP(A951,list!B:C,2,FALSE),"")</f>
        <v>ANY</v>
      </c>
      <c r="C951" s="48"/>
      <c r="D951" s="127"/>
      <c r="E951" s="48" t="str">
        <f>_xlfn.IFNA(VLOOKUP(Table3[[#This Row],[Product]], ProductListTbl[], 3, 0), "")</f>
        <v/>
      </c>
      <c r="F951" s="303" t="str">
        <f>_xlfn.IFNA(VLOOKUP(D951,ProductListTbl[],5,0),"")</f>
        <v/>
      </c>
      <c r="G951" s="303" t="str">
        <f>_xlfn.IFNA(VLOOKUP(D951,ProductListTbl[],6,0),"")</f>
        <v/>
      </c>
      <c r="H951" s="130" t="str">
        <f>_xlfn.IFNA(VLOOKUP(D951,ProductListTbl[],7,0),"")</f>
        <v/>
      </c>
      <c r="I951" s="130" t="str">
        <f>_xlfn.IFNA(VLOOKUP(D951,ProductListTbl[],8,0),"")</f>
        <v/>
      </c>
      <c r="J951" s="127"/>
      <c r="K951" s="129"/>
      <c r="L951" s="128"/>
      <c r="M951" s="305" t="str">
        <f>IFERROR(Table3[[#This Row],[Quantity (doses)]]/Table3[[#This Row],[Doses per vial or syringe]],"")</f>
        <v/>
      </c>
      <c r="N951" s="127"/>
      <c r="O951" s="127"/>
      <c r="P951" s="381"/>
      <c r="Q951" s="129"/>
      <c r="R951" s="127"/>
      <c r="S951" s="127"/>
      <c r="T951" s="127"/>
      <c r="U951" s="127"/>
      <c r="V951" s="305" t="str">
        <f>_xlfn.IFNA(VLOOKUP(D951,ProductListTbl[],9,0),"")</f>
        <v/>
      </c>
      <c r="W951" s="305" t="str">
        <f>IFERROR(Table3[[#This Row],[Storage space per secondary packaging (cm3)]]*Table3[[#This Row],[Quantity  (vials or syringes)]]/1000,"")</f>
        <v/>
      </c>
      <c r="X951" s="305" t="str">
        <f>IFERROR(Table3[[#This Row],[Storage space per tertiary packaging (cm3)]]*Table3[[#This Row],[Quantity (doses)]]/1000,"")</f>
        <v/>
      </c>
      <c r="Y951" s="293" t="str">
        <f>IF(Table3[[#This Row],[Status]]="Ordered",(DATE(YEAR(P951),MONTH(P951),1)),IF(Table3[[#This Row],[Status]]="Received",(DATE(YEAR(Q951),MONTH(Q951),1)),""))</f>
        <v/>
      </c>
      <c r="Z951" s="304" t="str">
        <f t="shared" si="56"/>
        <v/>
      </c>
      <c r="AA951" s="48" t="str">
        <f t="shared" si="57"/>
        <v/>
      </c>
      <c r="AB951" s="48" t="str">
        <f t="shared" si="58"/>
        <v/>
      </c>
      <c r="AC951" s="292" t="str">
        <f t="shared" si="59"/>
        <v/>
      </c>
      <c r="AD951" s="48" t="str">
        <f>IF(Table3[[#This Row],[Actual Arrival date]]&gt;0,IF(Table3[[#This Row],[Expected arrival date]]&gt;0,Table3[[#This Row],[Actual Arrival date]]-Table3[[#This Row],[Expected arrival date]],""),"")</f>
        <v/>
      </c>
    </row>
    <row r="952" spans="1:30" x14ac:dyDescent="0.25">
      <c r="A952" s="303" t="str">
        <f>Start!$D$7</f>
        <v>Anyland</v>
      </c>
      <c r="B952" s="48" t="str">
        <f>_xlfn.IFNA(VLOOKUP(A952,list!B:C,2,FALSE),"")</f>
        <v>ANY</v>
      </c>
      <c r="C952" s="48"/>
      <c r="D952" s="127"/>
      <c r="E952" s="48" t="str">
        <f>_xlfn.IFNA(VLOOKUP(Table3[[#This Row],[Product]], ProductListTbl[], 3, 0), "")</f>
        <v/>
      </c>
      <c r="F952" s="303" t="str">
        <f>_xlfn.IFNA(VLOOKUP(D952,ProductListTbl[],5,0),"")</f>
        <v/>
      </c>
      <c r="G952" s="303" t="str">
        <f>_xlfn.IFNA(VLOOKUP(D952,ProductListTbl[],6,0),"")</f>
        <v/>
      </c>
      <c r="H952" s="130" t="str">
        <f>_xlfn.IFNA(VLOOKUP(D952,ProductListTbl[],7,0),"")</f>
        <v/>
      </c>
      <c r="I952" s="130" t="str">
        <f>_xlfn.IFNA(VLOOKUP(D952,ProductListTbl[],8,0),"")</f>
        <v/>
      </c>
      <c r="J952" s="127"/>
      <c r="K952" s="129"/>
      <c r="L952" s="128"/>
      <c r="M952" s="305" t="str">
        <f>IFERROR(Table3[[#This Row],[Quantity (doses)]]/Table3[[#This Row],[Doses per vial or syringe]],"")</f>
        <v/>
      </c>
      <c r="N952" s="127"/>
      <c r="O952" s="127"/>
      <c r="P952" s="381"/>
      <c r="Q952" s="129"/>
      <c r="R952" s="127"/>
      <c r="S952" s="127"/>
      <c r="T952" s="127"/>
      <c r="U952" s="127"/>
      <c r="V952" s="305" t="str">
        <f>_xlfn.IFNA(VLOOKUP(D952,ProductListTbl[],9,0),"")</f>
        <v/>
      </c>
      <c r="W952" s="305" t="str">
        <f>IFERROR(Table3[[#This Row],[Storage space per secondary packaging (cm3)]]*Table3[[#This Row],[Quantity  (vials or syringes)]]/1000,"")</f>
        <v/>
      </c>
      <c r="X952" s="305" t="str">
        <f>IFERROR(Table3[[#This Row],[Storage space per tertiary packaging (cm3)]]*Table3[[#This Row],[Quantity (doses)]]/1000,"")</f>
        <v/>
      </c>
      <c r="Y952" s="293" t="str">
        <f>IF(Table3[[#This Row],[Status]]="Ordered",(DATE(YEAR(P952),MONTH(P952),1)),IF(Table3[[#This Row],[Status]]="Received",(DATE(YEAR(Q952),MONTH(Q952),1)),""))</f>
        <v/>
      </c>
      <c r="Z952" s="304" t="str">
        <f t="shared" si="56"/>
        <v/>
      </c>
      <c r="AA952" s="48" t="str">
        <f t="shared" si="57"/>
        <v/>
      </c>
      <c r="AB952" s="48" t="str">
        <f t="shared" si="58"/>
        <v/>
      </c>
      <c r="AC952" s="292" t="str">
        <f t="shared" si="59"/>
        <v/>
      </c>
      <c r="AD952" s="48" t="str">
        <f>IF(Table3[[#This Row],[Actual Arrival date]]&gt;0,IF(Table3[[#This Row],[Expected arrival date]]&gt;0,Table3[[#This Row],[Actual Arrival date]]-Table3[[#This Row],[Expected arrival date]],""),"")</f>
        <v/>
      </c>
    </row>
    <row r="953" spans="1:30" x14ac:dyDescent="0.25">
      <c r="A953" s="303" t="str">
        <f>Start!$D$7</f>
        <v>Anyland</v>
      </c>
      <c r="B953" s="48" t="str">
        <f>_xlfn.IFNA(VLOOKUP(A953,list!B:C,2,FALSE),"")</f>
        <v>ANY</v>
      </c>
      <c r="C953" s="48"/>
      <c r="D953" s="127"/>
      <c r="E953" s="48" t="str">
        <f>_xlfn.IFNA(VLOOKUP(Table3[[#This Row],[Product]], ProductListTbl[], 3, 0), "")</f>
        <v/>
      </c>
      <c r="F953" s="303" t="str">
        <f>_xlfn.IFNA(VLOOKUP(D953,ProductListTbl[],5,0),"")</f>
        <v/>
      </c>
      <c r="G953" s="303" t="str">
        <f>_xlfn.IFNA(VLOOKUP(D953,ProductListTbl[],6,0),"")</f>
        <v/>
      </c>
      <c r="H953" s="130" t="str">
        <f>_xlfn.IFNA(VLOOKUP(D953,ProductListTbl[],7,0),"")</f>
        <v/>
      </c>
      <c r="I953" s="130" t="str">
        <f>_xlfn.IFNA(VLOOKUP(D953,ProductListTbl[],8,0),"")</f>
        <v/>
      </c>
      <c r="J953" s="127"/>
      <c r="K953" s="129"/>
      <c r="L953" s="128"/>
      <c r="M953" s="305" t="str">
        <f>IFERROR(Table3[[#This Row],[Quantity (doses)]]/Table3[[#This Row],[Doses per vial or syringe]],"")</f>
        <v/>
      </c>
      <c r="N953" s="127"/>
      <c r="O953" s="127"/>
      <c r="P953" s="381"/>
      <c r="Q953" s="129"/>
      <c r="R953" s="127"/>
      <c r="S953" s="127"/>
      <c r="T953" s="127"/>
      <c r="U953" s="127"/>
      <c r="V953" s="305" t="str">
        <f>_xlfn.IFNA(VLOOKUP(D953,ProductListTbl[],9,0),"")</f>
        <v/>
      </c>
      <c r="W953" s="305" t="str">
        <f>IFERROR(Table3[[#This Row],[Storage space per secondary packaging (cm3)]]*Table3[[#This Row],[Quantity  (vials or syringes)]]/1000,"")</f>
        <v/>
      </c>
      <c r="X953" s="305" t="str">
        <f>IFERROR(Table3[[#This Row],[Storage space per tertiary packaging (cm3)]]*Table3[[#This Row],[Quantity (doses)]]/1000,"")</f>
        <v/>
      </c>
      <c r="Y953" s="293" t="str">
        <f>IF(Table3[[#This Row],[Status]]="Ordered",(DATE(YEAR(P953),MONTH(P953),1)),IF(Table3[[#This Row],[Status]]="Received",(DATE(YEAR(Q953),MONTH(Q953),1)),""))</f>
        <v/>
      </c>
      <c r="Z953" s="304" t="str">
        <f t="shared" si="56"/>
        <v/>
      </c>
      <c r="AA953" s="48" t="str">
        <f t="shared" si="57"/>
        <v/>
      </c>
      <c r="AB953" s="48" t="str">
        <f t="shared" si="58"/>
        <v/>
      </c>
      <c r="AC953" s="292" t="str">
        <f t="shared" si="59"/>
        <v/>
      </c>
      <c r="AD953" s="48" t="str">
        <f>IF(Table3[[#This Row],[Actual Arrival date]]&gt;0,IF(Table3[[#This Row],[Expected arrival date]]&gt;0,Table3[[#This Row],[Actual Arrival date]]-Table3[[#This Row],[Expected arrival date]],""),"")</f>
        <v/>
      </c>
    </row>
    <row r="954" spans="1:30" x14ac:dyDescent="0.25">
      <c r="A954" s="303" t="str">
        <f>Start!$D$7</f>
        <v>Anyland</v>
      </c>
      <c r="B954" s="48" t="str">
        <f>_xlfn.IFNA(VLOOKUP(A954,list!B:C,2,FALSE),"")</f>
        <v>ANY</v>
      </c>
      <c r="C954" s="48"/>
      <c r="D954" s="127"/>
      <c r="E954" s="48" t="str">
        <f>_xlfn.IFNA(VLOOKUP(Table3[[#This Row],[Product]], ProductListTbl[], 3, 0), "")</f>
        <v/>
      </c>
      <c r="F954" s="303" t="str">
        <f>_xlfn.IFNA(VLOOKUP(D954,ProductListTbl[],5,0),"")</f>
        <v/>
      </c>
      <c r="G954" s="303" t="str">
        <f>_xlfn.IFNA(VLOOKUP(D954,ProductListTbl[],6,0),"")</f>
        <v/>
      </c>
      <c r="H954" s="130" t="str">
        <f>_xlfn.IFNA(VLOOKUP(D954,ProductListTbl[],7,0),"")</f>
        <v/>
      </c>
      <c r="I954" s="130" t="str">
        <f>_xlfn.IFNA(VLOOKUP(D954,ProductListTbl[],8,0),"")</f>
        <v/>
      </c>
      <c r="J954" s="127"/>
      <c r="K954" s="129"/>
      <c r="L954" s="128"/>
      <c r="M954" s="305" t="str">
        <f>IFERROR(Table3[[#This Row],[Quantity (doses)]]/Table3[[#This Row],[Doses per vial or syringe]],"")</f>
        <v/>
      </c>
      <c r="N954" s="127"/>
      <c r="O954" s="127"/>
      <c r="P954" s="381"/>
      <c r="Q954" s="129"/>
      <c r="R954" s="127"/>
      <c r="S954" s="127"/>
      <c r="T954" s="127"/>
      <c r="U954" s="127"/>
      <c r="V954" s="305" t="str">
        <f>_xlfn.IFNA(VLOOKUP(D954,ProductListTbl[],9,0),"")</f>
        <v/>
      </c>
      <c r="W954" s="305" t="str">
        <f>IFERROR(Table3[[#This Row],[Storage space per secondary packaging (cm3)]]*Table3[[#This Row],[Quantity  (vials or syringes)]]/1000,"")</f>
        <v/>
      </c>
      <c r="X954" s="305" t="str">
        <f>IFERROR(Table3[[#This Row],[Storage space per tertiary packaging (cm3)]]*Table3[[#This Row],[Quantity (doses)]]/1000,"")</f>
        <v/>
      </c>
      <c r="Y954" s="293" t="str">
        <f>IF(Table3[[#This Row],[Status]]="Ordered",(DATE(YEAR(P954),MONTH(P954),1)),IF(Table3[[#This Row],[Status]]="Received",(DATE(YEAR(Q954),MONTH(Q954),1)),""))</f>
        <v/>
      </c>
      <c r="Z954" s="304" t="str">
        <f t="shared" si="56"/>
        <v/>
      </c>
      <c r="AA954" s="48" t="str">
        <f t="shared" si="57"/>
        <v/>
      </c>
      <c r="AB954" s="48" t="str">
        <f t="shared" si="58"/>
        <v/>
      </c>
      <c r="AC954" s="292" t="str">
        <f t="shared" si="59"/>
        <v/>
      </c>
      <c r="AD954" s="48" t="str">
        <f>IF(Table3[[#This Row],[Actual Arrival date]]&gt;0,IF(Table3[[#This Row],[Expected arrival date]]&gt;0,Table3[[#This Row],[Actual Arrival date]]-Table3[[#This Row],[Expected arrival date]],""),"")</f>
        <v/>
      </c>
    </row>
    <row r="955" spans="1:30" x14ac:dyDescent="0.25">
      <c r="A955" s="303" t="str">
        <f>Start!$D$7</f>
        <v>Anyland</v>
      </c>
      <c r="B955" s="48" t="str">
        <f>_xlfn.IFNA(VLOOKUP(A955,list!B:C,2,FALSE),"")</f>
        <v>ANY</v>
      </c>
      <c r="C955" s="48"/>
      <c r="D955" s="127"/>
      <c r="E955" s="48" t="str">
        <f>_xlfn.IFNA(VLOOKUP(Table3[[#This Row],[Product]], ProductListTbl[], 3, 0), "")</f>
        <v/>
      </c>
      <c r="F955" s="303" t="str">
        <f>_xlfn.IFNA(VLOOKUP(D955,ProductListTbl[],5,0),"")</f>
        <v/>
      </c>
      <c r="G955" s="303" t="str">
        <f>_xlfn.IFNA(VLOOKUP(D955,ProductListTbl[],6,0),"")</f>
        <v/>
      </c>
      <c r="H955" s="130" t="str">
        <f>_xlfn.IFNA(VLOOKUP(D955,ProductListTbl[],7,0),"")</f>
        <v/>
      </c>
      <c r="I955" s="130" t="str">
        <f>_xlfn.IFNA(VLOOKUP(D955,ProductListTbl[],8,0),"")</f>
        <v/>
      </c>
      <c r="J955" s="127"/>
      <c r="K955" s="129"/>
      <c r="L955" s="128"/>
      <c r="M955" s="305" t="str">
        <f>IFERROR(Table3[[#This Row],[Quantity (doses)]]/Table3[[#This Row],[Doses per vial or syringe]],"")</f>
        <v/>
      </c>
      <c r="N955" s="127"/>
      <c r="O955" s="127"/>
      <c r="P955" s="381"/>
      <c r="Q955" s="129"/>
      <c r="R955" s="127"/>
      <c r="S955" s="127"/>
      <c r="T955" s="127"/>
      <c r="U955" s="127"/>
      <c r="V955" s="305" t="str">
        <f>_xlfn.IFNA(VLOOKUP(D955,ProductListTbl[],9,0),"")</f>
        <v/>
      </c>
      <c r="W955" s="305" t="str">
        <f>IFERROR(Table3[[#This Row],[Storage space per secondary packaging (cm3)]]*Table3[[#This Row],[Quantity  (vials or syringes)]]/1000,"")</f>
        <v/>
      </c>
      <c r="X955" s="305" t="str">
        <f>IFERROR(Table3[[#This Row],[Storage space per tertiary packaging (cm3)]]*Table3[[#This Row],[Quantity (doses)]]/1000,"")</f>
        <v/>
      </c>
      <c r="Y955" s="293" t="str">
        <f>IF(Table3[[#This Row],[Status]]="Ordered",(DATE(YEAR(P955),MONTH(P955),1)),IF(Table3[[#This Row],[Status]]="Received",(DATE(YEAR(Q955),MONTH(Q955),1)),""))</f>
        <v/>
      </c>
      <c r="Z955" s="304" t="str">
        <f t="shared" si="56"/>
        <v/>
      </c>
      <c r="AA955" s="48" t="str">
        <f t="shared" si="57"/>
        <v/>
      </c>
      <c r="AB955" s="48" t="str">
        <f t="shared" si="58"/>
        <v/>
      </c>
      <c r="AC955" s="292" t="str">
        <f t="shared" si="59"/>
        <v/>
      </c>
      <c r="AD955" s="48" t="str">
        <f>IF(Table3[[#This Row],[Actual Arrival date]]&gt;0,IF(Table3[[#This Row],[Expected arrival date]]&gt;0,Table3[[#This Row],[Actual Arrival date]]-Table3[[#This Row],[Expected arrival date]],""),"")</f>
        <v/>
      </c>
    </row>
    <row r="956" spans="1:30" x14ac:dyDescent="0.25">
      <c r="A956" s="303" t="str">
        <f>Start!$D$7</f>
        <v>Anyland</v>
      </c>
      <c r="B956" s="48" t="str">
        <f>_xlfn.IFNA(VLOOKUP(A956,list!B:C,2,FALSE),"")</f>
        <v>ANY</v>
      </c>
      <c r="C956" s="48"/>
      <c r="D956" s="127"/>
      <c r="E956" s="48" t="str">
        <f>_xlfn.IFNA(VLOOKUP(Table3[[#This Row],[Product]], ProductListTbl[], 3, 0), "")</f>
        <v/>
      </c>
      <c r="F956" s="303" t="str">
        <f>_xlfn.IFNA(VLOOKUP(D956,ProductListTbl[],5,0),"")</f>
        <v/>
      </c>
      <c r="G956" s="303" t="str">
        <f>_xlfn.IFNA(VLOOKUP(D956,ProductListTbl[],6,0),"")</f>
        <v/>
      </c>
      <c r="H956" s="130" t="str">
        <f>_xlfn.IFNA(VLOOKUP(D956,ProductListTbl[],7,0),"")</f>
        <v/>
      </c>
      <c r="I956" s="130" t="str">
        <f>_xlfn.IFNA(VLOOKUP(D956,ProductListTbl[],8,0),"")</f>
        <v/>
      </c>
      <c r="J956" s="127"/>
      <c r="K956" s="129"/>
      <c r="L956" s="128"/>
      <c r="M956" s="305" t="str">
        <f>IFERROR(Table3[[#This Row],[Quantity (doses)]]/Table3[[#This Row],[Doses per vial or syringe]],"")</f>
        <v/>
      </c>
      <c r="N956" s="127"/>
      <c r="O956" s="127"/>
      <c r="P956" s="381"/>
      <c r="Q956" s="129"/>
      <c r="R956" s="127"/>
      <c r="S956" s="127"/>
      <c r="T956" s="127"/>
      <c r="U956" s="127"/>
      <c r="V956" s="305" t="str">
        <f>_xlfn.IFNA(VLOOKUP(D956,ProductListTbl[],9,0),"")</f>
        <v/>
      </c>
      <c r="W956" s="305" t="str">
        <f>IFERROR(Table3[[#This Row],[Storage space per secondary packaging (cm3)]]*Table3[[#This Row],[Quantity  (vials or syringes)]]/1000,"")</f>
        <v/>
      </c>
      <c r="X956" s="305" t="str">
        <f>IFERROR(Table3[[#This Row],[Storage space per tertiary packaging (cm3)]]*Table3[[#This Row],[Quantity (doses)]]/1000,"")</f>
        <v/>
      </c>
      <c r="Y956" s="293" t="str">
        <f>IF(Table3[[#This Row],[Status]]="Ordered",(DATE(YEAR(P956),MONTH(P956),1)),IF(Table3[[#This Row],[Status]]="Received",(DATE(YEAR(Q956),MONTH(Q956),1)),""))</f>
        <v/>
      </c>
      <c r="Z956" s="304" t="str">
        <f t="shared" si="56"/>
        <v/>
      </c>
      <c r="AA956" s="48" t="str">
        <f t="shared" si="57"/>
        <v/>
      </c>
      <c r="AB956" s="48" t="str">
        <f t="shared" si="58"/>
        <v/>
      </c>
      <c r="AC956" s="292" t="str">
        <f t="shared" si="59"/>
        <v/>
      </c>
      <c r="AD956" s="48" t="str">
        <f>IF(Table3[[#This Row],[Actual Arrival date]]&gt;0,IF(Table3[[#This Row],[Expected arrival date]]&gt;0,Table3[[#This Row],[Actual Arrival date]]-Table3[[#This Row],[Expected arrival date]],""),"")</f>
        <v/>
      </c>
    </row>
    <row r="957" spans="1:30" x14ac:dyDescent="0.25">
      <c r="A957" s="303" t="str">
        <f>Start!$D$7</f>
        <v>Anyland</v>
      </c>
      <c r="B957" s="48" t="str">
        <f>_xlfn.IFNA(VLOOKUP(A957,list!B:C,2,FALSE),"")</f>
        <v>ANY</v>
      </c>
      <c r="C957" s="48"/>
      <c r="D957" s="127"/>
      <c r="E957" s="48" t="str">
        <f>_xlfn.IFNA(VLOOKUP(Table3[[#This Row],[Product]], ProductListTbl[], 3, 0), "")</f>
        <v/>
      </c>
      <c r="F957" s="303" t="str">
        <f>_xlfn.IFNA(VLOOKUP(D957,ProductListTbl[],5,0),"")</f>
        <v/>
      </c>
      <c r="G957" s="303" t="str">
        <f>_xlfn.IFNA(VLOOKUP(D957,ProductListTbl[],6,0),"")</f>
        <v/>
      </c>
      <c r="H957" s="130" t="str">
        <f>_xlfn.IFNA(VLOOKUP(D957,ProductListTbl[],7,0),"")</f>
        <v/>
      </c>
      <c r="I957" s="130" t="str">
        <f>_xlfn.IFNA(VLOOKUP(D957,ProductListTbl[],8,0),"")</f>
        <v/>
      </c>
      <c r="J957" s="127"/>
      <c r="K957" s="129"/>
      <c r="L957" s="128"/>
      <c r="M957" s="305" t="str">
        <f>IFERROR(Table3[[#This Row],[Quantity (doses)]]/Table3[[#This Row],[Doses per vial or syringe]],"")</f>
        <v/>
      </c>
      <c r="N957" s="127"/>
      <c r="O957" s="127"/>
      <c r="P957" s="381"/>
      <c r="Q957" s="129"/>
      <c r="R957" s="127"/>
      <c r="S957" s="127"/>
      <c r="T957" s="127"/>
      <c r="U957" s="127"/>
      <c r="V957" s="305" t="str">
        <f>_xlfn.IFNA(VLOOKUP(D957,ProductListTbl[],9,0),"")</f>
        <v/>
      </c>
      <c r="W957" s="305" t="str">
        <f>IFERROR(Table3[[#This Row],[Storage space per secondary packaging (cm3)]]*Table3[[#This Row],[Quantity  (vials or syringes)]]/1000,"")</f>
        <v/>
      </c>
      <c r="X957" s="305" t="str">
        <f>IFERROR(Table3[[#This Row],[Storage space per tertiary packaging (cm3)]]*Table3[[#This Row],[Quantity (doses)]]/1000,"")</f>
        <v/>
      </c>
      <c r="Y957" s="293" t="str">
        <f>IF(Table3[[#This Row],[Status]]="Ordered",(DATE(YEAR(P957),MONTH(P957),1)),IF(Table3[[#This Row],[Status]]="Received",(DATE(YEAR(Q957),MONTH(Q957),1)),""))</f>
        <v/>
      </c>
      <c r="Z957" s="304" t="str">
        <f t="shared" si="56"/>
        <v/>
      </c>
      <c r="AA957" s="48" t="str">
        <f t="shared" si="57"/>
        <v/>
      </c>
      <c r="AB957" s="48" t="str">
        <f t="shared" si="58"/>
        <v/>
      </c>
      <c r="AC957" s="292" t="str">
        <f t="shared" si="59"/>
        <v/>
      </c>
      <c r="AD957" s="48" t="str">
        <f>IF(Table3[[#This Row],[Actual Arrival date]]&gt;0,IF(Table3[[#This Row],[Expected arrival date]]&gt;0,Table3[[#This Row],[Actual Arrival date]]-Table3[[#This Row],[Expected arrival date]],""),"")</f>
        <v/>
      </c>
    </row>
    <row r="958" spans="1:30" x14ac:dyDescent="0.25">
      <c r="A958" s="303" t="str">
        <f>Start!$D$7</f>
        <v>Anyland</v>
      </c>
      <c r="B958" s="48" t="str">
        <f>_xlfn.IFNA(VLOOKUP(A958,list!B:C,2,FALSE),"")</f>
        <v>ANY</v>
      </c>
      <c r="C958" s="48"/>
      <c r="D958" s="127"/>
      <c r="E958" s="48" t="str">
        <f>_xlfn.IFNA(VLOOKUP(Table3[[#This Row],[Product]], ProductListTbl[], 3, 0), "")</f>
        <v/>
      </c>
      <c r="F958" s="303" t="str">
        <f>_xlfn.IFNA(VLOOKUP(D958,ProductListTbl[],5,0),"")</f>
        <v/>
      </c>
      <c r="G958" s="303" t="str">
        <f>_xlfn.IFNA(VLOOKUP(D958,ProductListTbl[],6,0),"")</f>
        <v/>
      </c>
      <c r="H958" s="130" t="str">
        <f>_xlfn.IFNA(VLOOKUP(D958,ProductListTbl[],7,0),"")</f>
        <v/>
      </c>
      <c r="I958" s="130" t="str">
        <f>_xlfn.IFNA(VLOOKUP(D958,ProductListTbl[],8,0),"")</f>
        <v/>
      </c>
      <c r="J958" s="127"/>
      <c r="K958" s="129"/>
      <c r="L958" s="128"/>
      <c r="M958" s="305" t="str">
        <f>IFERROR(Table3[[#This Row],[Quantity (doses)]]/Table3[[#This Row],[Doses per vial or syringe]],"")</f>
        <v/>
      </c>
      <c r="N958" s="127"/>
      <c r="O958" s="127"/>
      <c r="P958" s="381"/>
      <c r="Q958" s="129"/>
      <c r="R958" s="127"/>
      <c r="S958" s="127"/>
      <c r="T958" s="127"/>
      <c r="U958" s="127"/>
      <c r="V958" s="305" t="str">
        <f>_xlfn.IFNA(VLOOKUP(D958,ProductListTbl[],9,0),"")</f>
        <v/>
      </c>
      <c r="W958" s="305" t="str">
        <f>IFERROR(Table3[[#This Row],[Storage space per secondary packaging (cm3)]]*Table3[[#This Row],[Quantity  (vials or syringes)]]/1000,"")</f>
        <v/>
      </c>
      <c r="X958" s="305" t="str">
        <f>IFERROR(Table3[[#This Row],[Storage space per tertiary packaging (cm3)]]*Table3[[#This Row],[Quantity (doses)]]/1000,"")</f>
        <v/>
      </c>
      <c r="Y958" s="293" t="str">
        <f>IF(Table3[[#This Row],[Status]]="Ordered",(DATE(YEAR(P958),MONTH(P958),1)),IF(Table3[[#This Row],[Status]]="Received",(DATE(YEAR(Q958),MONTH(Q958),1)),""))</f>
        <v/>
      </c>
      <c r="Z958" s="304" t="str">
        <f t="shared" si="56"/>
        <v/>
      </c>
      <c r="AA958" s="48" t="str">
        <f t="shared" si="57"/>
        <v/>
      </c>
      <c r="AB958" s="48" t="str">
        <f t="shared" si="58"/>
        <v/>
      </c>
      <c r="AC958" s="292" t="str">
        <f t="shared" si="59"/>
        <v/>
      </c>
      <c r="AD958" s="48" t="str">
        <f>IF(Table3[[#This Row],[Actual Arrival date]]&gt;0,IF(Table3[[#This Row],[Expected arrival date]]&gt;0,Table3[[#This Row],[Actual Arrival date]]-Table3[[#This Row],[Expected arrival date]],""),"")</f>
        <v/>
      </c>
    </row>
    <row r="959" spans="1:30" x14ac:dyDescent="0.25">
      <c r="A959" s="303" t="str">
        <f>Start!$D$7</f>
        <v>Anyland</v>
      </c>
      <c r="B959" s="48" t="str">
        <f>_xlfn.IFNA(VLOOKUP(A959,list!B:C,2,FALSE),"")</f>
        <v>ANY</v>
      </c>
      <c r="C959" s="48"/>
      <c r="D959" s="127"/>
      <c r="E959" s="48" t="str">
        <f>_xlfn.IFNA(VLOOKUP(Table3[[#This Row],[Product]], ProductListTbl[], 3, 0), "")</f>
        <v/>
      </c>
      <c r="F959" s="303" t="str">
        <f>_xlfn.IFNA(VLOOKUP(D959,ProductListTbl[],5,0),"")</f>
        <v/>
      </c>
      <c r="G959" s="303" t="str">
        <f>_xlfn.IFNA(VLOOKUP(D959,ProductListTbl[],6,0),"")</f>
        <v/>
      </c>
      <c r="H959" s="130" t="str">
        <f>_xlfn.IFNA(VLOOKUP(D959,ProductListTbl[],7,0),"")</f>
        <v/>
      </c>
      <c r="I959" s="130" t="str">
        <f>_xlfn.IFNA(VLOOKUP(D959,ProductListTbl[],8,0),"")</f>
        <v/>
      </c>
      <c r="J959" s="127"/>
      <c r="K959" s="129"/>
      <c r="L959" s="128"/>
      <c r="M959" s="305" t="str">
        <f>IFERROR(Table3[[#This Row],[Quantity (doses)]]/Table3[[#This Row],[Doses per vial or syringe]],"")</f>
        <v/>
      </c>
      <c r="N959" s="127"/>
      <c r="O959" s="127"/>
      <c r="P959" s="381"/>
      <c r="Q959" s="129"/>
      <c r="R959" s="127"/>
      <c r="S959" s="127"/>
      <c r="T959" s="127"/>
      <c r="U959" s="127"/>
      <c r="V959" s="305" t="str">
        <f>_xlfn.IFNA(VLOOKUP(D959,ProductListTbl[],9,0),"")</f>
        <v/>
      </c>
      <c r="W959" s="305" t="str">
        <f>IFERROR(Table3[[#This Row],[Storage space per secondary packaging (cm3)]]*Table3[[#This Row],[Quantity  (vials or syringes)]]/1000,"")</f>
        <v/>
      </c>
      <c r="X959" s="305" t="str">
        <f>IFERROR(Table3[[#This Row],[Storage space per tertiary packaging (cm3)]]*Table3[[#This Row],[Quantity (doses)]]/1000,"")</f>
        <v/>
      </c>
      <c r="Y959" s="293" t="str">
        <f>IF(Table3[[#This Row],[Status]]="Ordered",(DATE(YEAR(P959),MONTH(P959),1)),IF(Table3[[#This Row],[Status]]="Received",(DATE(YEAR(Q959),MONTH(Q959),1)),""))</f>
        <v/>
      </c>
      <c r="Z959" s="304" t="str">
        <f t="shared" si="56"/>
        <v/>
      </c>
      <c r="AA959" s="48" t="str">
        <f t="shared" si="57"/>
        <v/>
      </c>
      <c r="AB959" s="48" t="str">
        <f t="shared" si="58"/>
        <v/>
      </c>
      <c r="AC959" s="292" t="str">
        <f t="shared" si="59"/>
        <v/>
      </c>
      <c r="AD959" s="48" t="str">
        <f>IF(Table3[[#This Row],[Actual Arrival date]]&gt;0,IF(Table3[[#This Row],[Expected arrival date]]&gt;0,Table3[[#This Row],[Actual Arrival date]]-Table3[[#This Row],[Expected arrival date]],""),"")</f>
        <v/>
      </c>
    </row>
    <row r="960" spans="1:30" x14ac:dyDescent="0.25">
      <c r="A960" s="303" t="str">
        <f>Start!$D$7</f>
        <v>Anyland</v>
      </c>
      <c r="B960" s="48" t="str">
        <f>_xlfn.IFNA(VLOOKUP(A960,list!B:C,2,FALSE),"")</f>
        <v>ANY</v>
      </c>
      <c r="C960" s="48"/>
      <c r="D960" s="127"/>
      <c r="E960" s="48" t="str">
        <f>_xlfn.IFNA(VLOOKUP(Table3[[#This Row],[Product]], ProductListTbl[], 3, 0), "")</f>
        <v/>
      </c>
      <c r="F960" s="303" t="str">
        <f>_xlfn.IFNA(VLOOKUP(D960,ProductListTbl[],5,0),"")</f>
        <v/>
      </c>
      <c r="G960" s="303" t="str">
        <f>_xlfn.IFNA(VLOOKUP(D960,ProductListTbl[],6,0),"")</f>
        <v/>
      </c>
      <c r="H960" s="130" t="str">
        <f>_xlfn.IFNA(VLOOKUP(D960,ProductListTbl[],7,0),"")</f>
        <v/>
      </c>
      <c r="I960" s="130" t="str">
        <f>_xlfn.IFNA(VLOOKUP(D960,ProductListTbl[],8,0),"")</f>
        <v/>
      </c>
      <c r="J960" s="127"/>
      <c r="K960" s="129"/>
      <c r="L960" s="128"/>
      <c r="M960" s="305" t="str">
        <f>IFERROR(Table3[[#This Row],[Quantity (doses)]]/Table3[[#This Row],[Doses per vial or syringe]],"")</f>
        <v/>
      </c>
      <c r="N960" s="127"/>
      <c r="O960" s="127"/>
      <c r="P960" s="381"/>
      <c r="Q960" s="129"/>
      <c r="R960" s="127"/>
      <c r="S960" s="127"/>
      <c r="T960" s="127"/>
      <c r="U960" s="127"/>
      <c r="V960" s="305" t="str">
        <f>_xlfn.IFNA(VLOOKUP(D960,ProductListTbl[],9,0),"")</f>
        <v/>
      </c>
      <c r="W960" s="305" t="str">
        <f>IFERROR(Table3[[#This Row],[Storage space per secondary packaging (cm3)]]*Table3[[#This Row],[Quantity  (vials or syringes)]]/1000,"")</f>
        <v/>
      </c>
      <c r="X960" s="305" t="str">
        <f>IFERROR(Table3[[#This Row],[Storage space per tertiary packaging (cm3)]]*Table3[[#This Row],[Quantity (doses)]]/1000,"")</f>
        <v/>
      </c>
      <c r="Y960" s="293" t="str">
        <f>IF(Table3[[#This Row],[Status]]="Ordered",(DATE(YEAR(P960),MONTH(P960),1)),IF(Table3[[#This Row],[Status]]="Received",(DATE(YEAR(Q960),MONTH(Q960),1)),""))</f>
        <v/>
      </c>
      <c r="Z960" s="304" t="str">
        <f t="shared" si="56"/>
        <v/>
      </c>
      <c r="AA960" s="48" t="str">
        <f t="shared" si="57"/>
        <v/>
      </c>
      <c r="AB960" s="48" t="str">
        <f t="shared" si="58"/>
        <v/>
      </c>
      <c r="AC960" s="292" t="str">
        <f t="shared" si="59"/>
        <v/>
      </c>
      <c r="AD960" s="48" t="str">
        <f>IF(Table3[[#This Row],[Actual Arrival date]]&gt;0,IF(Table3[[#This Row],[Expected arrival date]]&gt;0,Table3[[#This Row],[Actual Arrival date]]-Table3[[#This Row],[Expected arrival date]],""),"")</f>
        <v/>
      </c>
    </row>
    <row r="961" spans="1:30" x14ac:dyDescent="0.25">
      <c r="A961" s="303" t="str">
        <f>Start!$D$7</f>
        <v>Anyland</v>
      </c>
      <c r="B961" s="48" t="str">
        <f>_xlfn.IFNA(VLOOKUP(A961,list!B:C,2,FALSE),"")</f>
        <v>ANY</v>
      </c>
      <c r="C961" s="48"/>
      <c r="D961" s="127"/>
      <c r="E961" s="48" t="str">
        <f>_xlfn.IFNA(VLOOKUP(Table3[[#This Row],[Product]], ProductListTbl[], 3, 0), "")</f>
        <v/>
      </c>
      <c r="F961" s="303" t="str">
        <f>_xlfn.IFNA(VLOOKUP(D961,ProductListTbl[],5,0),"")</f>
        <v/>
      </c>
      <c r="G961" s="303" t="str">
        <f>_xlfn.IFNA(VLOOKUP(D961,ProductListTbl[],6,0),"")</f>
        <v/>
      </c>
      <c r="H961" s="130" t="str">
        <f>_xlfn.IFNA(VLOOKUP(D961,ProductListTbl[],7,0),"")</f>
        <v/>
      </c>
      <c r="I961" s="130" t="str">
        <f>_xlfn.IFNA(VLOOKUP(D961,ProductListTbl[],8,0),"")</f>
        <v/>
      </c>
      <c r="J961" s="127"/>
      <c r="K961" s="129"/>
      <c r="L961" s="128"/>
      <c r="M961" s="305" t="str">
        <f>IFERROR(Table3[[#This Row],[Quantity (doses)]]/Table3[[#This Row],[Doses per vial or syringe]],"")</f>
        <v/>
      </c>
      <c r="N961" s="127"/>
      <c r="O961" s="127"/>
      <c r="P961" s="381"/>
      <c r="Q961" s="129"/>
      <c r="R961" s="127"/>
      <c r="S961" s="127"/>
      <c r="T961" s="127"/>
      <c r="U961" s="127"/>
      <c r="V961" s="305" t="str">
        <f>_xlfn.IFNA(VLOOKUP(D961,ProductListTbl[],9,0),"")</f>
        <v/>
      </c>
      <c r="W961" s="305" t="str">
        <f>IFERROR(Table3[[#This Row],[Storage space per secondary packaging (cm3)]]*Table3[[#This Row],[Quantity  (vials or syringes)]]/1000,"")</f>
        <v/>
      </c>
      <c r="X961" s="305" t="str">
        <f>IFERROR(Table3[[#This Row],[Storage space per tertiary packaging (cm3)]]*Table3[[#This Row],[Quantity (doses)]]/1000,"")</f>
        <v/>
      </c>
      <c r="Y961" s="293" t="str">
        <f>IF(Table3[[#This Row],[Status]]="Ordered",(DATE(YEAR(P961),MONTH(P961),1)),IF(Table3[[#This Row],[Status]]="Received",(DATE(YEAR(Q961),MONTH(Q961),1)),""))</f>
        <v/>
      </c>
      <c r="Z961" s="304" t="str">
        <f t="shared" si="56"/>
        <v/>
      </c>
      <c r="AA961" s="48" t="str">
        <f t="shared" si="57"/>
        <v/>
      </c>
      <c r="AB961" s="48" t="str">
        <f t="shared" si="58"/>
        <v/>
      </c>
      <c r="AC961" s="292" t="str">
        <f t="shared" si="59"/>
        <v/>
      </c>
      <c r="AD961" s="48" t="str">
        <f>IF(Table3[[#This Row],[Actual Arrival date]]&gt;0,IF(Table3[[#This Row],[Expected arrival date]]&gt;0,Table3[[#This Row],[Actual Arrival date]]-Table3[[#This Row],[Expected arrival date]],""),"")</f>
        <v/>
      </c>
    </row>
    <row r="962" spans="1:30" x14ac:dyDescent="0.25">
      <c r="A962" s="303" t="str">
        <f>Start!$D$7</f>
        <v>Anyland</v>
      </c>
      <c r="B962" s="48" t="str">
        <f>_xlfn.IFNA(VLOOKUP(A962,list!B:C,2,FALSE),"")</f>
        <v>ANY</v>
      </c>
      <c r="C962" s="48"/>
      <c r="D962" s="127"/>
      <c r="E962" s="48" t="str">
        <f>_xlfn.IFNA(VLOOKUP(Table3[[#This Row],[Product]], ProductListTbl[], 3, 0), "")</f>
        <v/>
      </c>
      <c r="F962" s="303" t="str">
        <f>_xlfn.IFNA(VLOOKUP(D962,ProductListTbl[],5,0),"")</f>
        <v/>
      </c>
      <c r="G962" s="303" t="str">
        <f>_xlfn.IFNA(VLOOKUP(D962,ProductListTbl[],6,0),"")</f>
        <v/>
      </c>
      <c r="H962" s="130" t="str">
        <f>_xlfn.IFNA(VLOOKUP(D962,ProductListTbl[],7,0),"")</f>
        <v/>
      </c>
      <c r="I962" s="130" t="str">
        <f>_xlfn.IFNA(VLOOKUP(D962,ProductListTbl[],8,0),"")</f>
        <v/>
      </c>
      <c r="J962" s="127"/>
      <c r="K962" s="129"/>
      <c r="L962" s="128"/>
      <c r="M962" s="305" t="str">
        <f>IFERROR(Table3[[#This Row],[Quantity (doses)]]/Table3[[#This Row],[Doses per vial or syringe]],"")</f>
        <v/>
      </c>
      <c r="N962" s="127"/>
      <c r="O962" s="127"/>
      <c r="P962" s="381"/>
      <c r="Q962" s="129"/>
      <c r="R962" s="127"/>
      <c r="S962" s="127"/>
      <c r="T962" s="127"/>
      <c r="U962" s="127"/>
      <c r="V962" s="305" t="str">
        <f>_xlfn.IFNA(VLOOKUP(D962,ProductListTbl[],9,0),"")</f>
        <v/>
      </c>
      <c r="W962" s="305" t="str">
        <f>IFERROR(Table3[[#This Row],[Storage space per secondary packaging (cm3)]]*Table3[[#This Row],[Quantity  (vials or syringes)]]/1000,"")</f>
        <v/>
      </c>
      <c r="X962" s="305" t="str">
        <f>IFERROR(Table3[[#This Row],[Storage space per tertiary packaging (cm3)]]*Table3[[#This Row],[Quantity (doses)]]/1000,"")</f>
        <v/>
      </c>
      <c r="Y962" s="293" t="str">
        <f>IF(Table3[[#This Row],[Status]]="Ordered",(DATE(YEAR(P962),MONTH(P962),1)),IF(Table3[[#This Row],[Status]]="Received",(DATE(YEAR(Q962),MONTH(Q962),1)),""))</f>
        <v/>
      </c>
      <c r="Z962" s="304" t="str">
        <f t="shared" si="56"/>
        <v/>
      </c>
      <c r="AA962" s="48" t="str">
        <f t="shared" si="57"/>
        <v/>
      </c>
      <c r="AB962" s="48" t="str">
        <f t="shared" si="58"/>
        <v/>
      </c>
      <c r="AC962" s="292" t="str">
        <f t="shared" si="59"/>
        <v/>
      </c>
      <c r="AD962" s="48" t="str">
        <f>IF(Table3[[#This Row],[Actual Arrival date]]&gt;0,IF(Table3[[#This Row],[Expected arrival date]]&gt;0,Table3[[#This Row],[Actual Arrival date]]-Table3[[#This Row],[Expected arrival date]],""),"")</f>
        <v/>
      </c>
    </row>
    <row r="963" spans="1:30" x14ac:dyDescent="0.25">
      <c r="A963" s="303" t="str">
        <f>Start!$D$7</f>
        <v>Anyland</v>
      </c>
      <c r="B963" s="48" t="str">
        <f>_xlfn.IFNA(VLOOKUP(A963,list!B:C,2,FALSE),"")</f>
        <v>ANY</v>
      </c>
      <c r="C963" s="48"/>
      <c r="D963" s="127"/>
      <c r="E963" s="48" t="str">
        <f>_xlfn.IFNA(VLOOKUP(Table3[[#This Row],[Product]], ProductListTbl[], 3, 0), "")</f>
        <v/>
      </c>
      <c r="F963" s="303" t="str">
        <f>_xlfn.IFNA(VLOOKUP(D963,ProductListTbl[],5,0),"")</f>
        <v/>
      </c>
      <c r="G963" s="303" t="str">
        <f>_xlfn.IFNA(VLOOKUP(D963,ProductListTbl[],6,0),"")</f>
        <v/>
      </c>
      <c r="H963" s="130" t="str">
        <f>_xlfn.IFNA(VLOOKUP(D963,ProductListTbl[],7,0),"")</f>
        <v/>
      </c>
      <c r="I963" s="130" t="str">
        <f>_xlfn.IFNA(VLOOKUP(D963,ProductListTbl[],8,0),"")</f>
        <v/>
      </c>
      <c r="J963" s="127"/>
      <c r="K963" s="129"/>
      <c r="L963" s="128"/>
      <c r="M963" s="305" t="str">
        <f>IFERROR(Table3[[#This Row],[Quantity (doses)]]/Table3[[#This Row],[Doses per vial or syringe]],"")</f>
        <v/>
      </c>
      <c r="N963" s="127"/>
      <c r="O963" s="127"/>
      <c r="P963" s="381"/>
      <c r="Q963" s="129"/>
      <c r="R963" s="127"/>
      <c r="S963" s="127"/>
      <c r="T963" s="127"/>
      <c r="U963" s="127"/>
      <c r="V963" s="305" t="str">
        <f>_xlfn.IFNA(VLOOKUP(D963,ProductListTbl[],9,0),"")</f>
        <v/>
      </c>
      <c r="W963" s="305" t="str">
        <f>IFERROR(Table3[[#This Row],[Storage space per secondary packaging (cm3)]]*Table3[[#This Row],[Quantity  (vials or syringes)]]/1000,"")</f>
        <v/>
      </c>
      <c r="X963" s="305" t="str">
        <f>IFERROR(Table3[[#This Row],[Storage space per tertiary packaging (cm3)]]*Table3[[#This Row],[Quantity (doses)]]/1000,"")</f>
        <v/>
      </c>
      <c r="Y963" s="293" t="str">
        <f>IF(Table3[[#This Row],[Status]]="Ordered",(DATE(YEAR(P963),MONTH(P963),1)),IF(Table3[[#This Row],[Status]]="Received",(DATE(YEAR(Q963),MONTH(Q963),1)),""))</f>
        <v/>
      </c>
      <c r="Z963" s="304" t="str">
        <f t="shared" si="56"/>
        <v/>
      </c>
      <c r="AA963" s="48" t="str">
        <f t="shared" si="57"/>
        <v/>
      </c>
      <c r="AB963" s="48" t="str">
        <f t="shared" si="58"/>
        <v/>
      </c>
      <c r="AC963" s="292" t="str">
        <f t="shared" si="59"/>
        <v/>
      </c>
      <c r="AD963" s="48" t="str">
        <f>IF(Table3[[#This Row],[Actual Arrival date]]&gt;0,IF(Table3[[#This Row],[Expected arrival date]]&gt;0,Table3[[#This Row],[Actual Arrival date]]-Table3[[#This Row],[Expected arrival date]],""),"")</f>
        <v/>
      </c>
    </row>
    <row r="964" spans="1:30" x14ac:dyDescent="0.25">
      <c r="A964" s="303" t="str">
        <f>Start!$D$7</f>
        <v>Anyland</v>
      </c>
      <c r="B964" s="48" t="str">
        <f>_xlfn.IFNA(VLOOKUP(A964,list!B:C,2,FALSE),"")</f>
        <v>ANY</v>
      </c>
      <c r="C964" s="48"/>
      <c r="D964" s="127"/>
      <c r="E964" s="48" t="str">
        <f>_xlfn.IFNA(VLOOKUP(Table3[[#This Row],[Product]], ProductListTbl[], 3, 0), "")</f>
        <v/>
      </c>
      <c r="F964" s="303" t="str">
        <f>_xlfn.IFNA(VLOOKUP(D964,ProductListTbl[],5,0),"")</f>
        <v/>
      </c>
      <c r="G964" s="303" t="str">
        <f>_xlfn.IFNA(VLOOKUP(D964,ProductListTbl[],6,0),"")</f>
        <v/>
      </c>
      <c r="H964" s="130" t="str">
        <f>_xlfn.IFNA(VLOOKUP(D964,ProductListTbl[],7,0),"")</f>
        <v/>
      </c>
      <c r="I964" s="130" t="str">
        <f>_xlfn.IFNA(VLOOKUP(D964,ProductListTbl[],8,0),"")</f>
        <v/>
      </c>
      <c r="J964" s="127"/>
      <c r="K964" s="129"/>
      <c r="L964" s="128"/>
      <c r="M964" s="305" t="str">
        <f>IFERROR(Table3[[#This Row],[Quantity (doses)]]/Table3[[#This Row],[Doses per vial or syringe]],"")</f>
        <v/>
      </c>
      <c r="N964" s="127"/>
      <c r="O964" s="127"/>
      <c r="P964" s="381"/>
      <c r="Q964" s="129"/>
      <c r="R964" s="127"/>
      <c r="S964" s="127"/>
      <c r="T964" s="127"/>
      <c r="U964" s="127"/>
      <c r="V964" s="305" t="str">
        <f>_xlfn.IFNA(VLOOKUP(D964,ProductListTbl[],9,0),"")</f>
        <v/>
      </c>
      <c r="W964" s="305" t="str">
        <f>IFERROR(Table3[[#This Row],[Storage space per secondary packaging (cm3)]]*Table3[[#This Row],[Quantity  (vials or syringes)]]/1000,"")</f>
        <v/>
      </c>
      <c r="X964" s="305" t="str">
        <f>IFERROR(Table3[[#This Row],[Storage space per tertiary packaging (cm3)]]*Table3[[#This Row],[Quantity (doses)]]/1000,"")</f>
        <v/>
      </c>
      <c r="Y964" s="293" t="str">
        <f>IF(Table3[[#This Row],[Status]]="Ordered",(DATE(YEAR(P964),MONTH(P964),1)),IF(Table3[[#This Row],[Status]]="Received",(DATE(YEAR(Q964),MONTH(Q964),1)),""))</f>
        <v/>
      </c>
      <c r="Z964" s="304" t="str">
        <f t="shared" si="56"/>
        <v/>
      </c>
      <c r="AA964" s="48" t="str">
        <f t="shared" si="57"/>
        <v/>
      </c>
      <c r="AB964" s="48" t="str">
        <f t="shared" si="58"/>
        <v/>
      </c>
      <c r="AC964" s="292" t="str">
        <f t="shared" si="59"/>
        <v/>
      </c>
      <c r="AD964" s="48" t="str">
        <f>IF(Table3[[#This Row],[Actual Arrival date]]&gt;0,IF(Table3[[#This Row],[Expected arrival date]]&gt;0,Table3[[#This Row],[Actual Arrival date]]-Table3[[#This Row],[Expected arrival date]],""),"")</f>
        <v/>
      </c>
    </row>
    <row r="965" spans="1:30" x14ac:dyDescent="0.25">
      <c r="A965" s="303" t="str">
        <f>Start!$D$7</f>
        <v>Anyland</v>
      </c>
      <c r="B965" s="48" t="str">
        <f>_xlfn.IFNA(VLOOKUP(A965,list!B:C,2,FALSE),"")</f>
        <v>ANY</v>
      </c>
      <c r="C965" s="48"/>
      <c r="D965" s="127"/>
      <c r="E965" s="48" t="str">
        <f>_xlfn.IFNA(VLOOKUP(Table3[[#This Row],[Product]], ProductListTbl[], 3, 0), "")</f>
        <v/>
      </c>
      <c r="F965" s="303" t="str">
        <f>_xlfn.IFNA(VLOOKUP(D965,ProductListTbl[],5,0),"")</f>
        <v/>
      </c>
      <c r="G965" s="303" t="str">
        <f>_xlfn.IFNA(VLOOKUP(D965,ProductListTbl[],6,0),"")</f>
        <v/>
      </c>
      <c r="H965" s="130" t="str">
        <f>_xlfn.IFNA(VLOOKUP(D965,ProductListTbl[],7,0),"")</f>
        <v/>
      </c>
      <c r="I965" s="130" t="str">
        <f>_xlfn.IFNA(VLOOKUP(D965,ProductListTbl[],8,0),"")</f>
        <v/>
      </c>
      <c r="J965" s="127"/>
      <c r="K965" s="129"/>
      <c r="L965" s="128"/>
      <c r="M965" s="305" t="str">
        <f>IFERROR(Table3[[#This Row],[Quantity (doses)]]/Table3[[#This Row],[Doses per vial or syringe]],"")</f>
        <v/>
      </c>
      <c r="N965" s="127"/>
      <c r="O965" s="127"/>
      <c r="P965" s="381"/>
      <c r="Q965" s="129"/>
      <c r="R965" s="127"/>
      <c r="S965" s="127"/>
      <c r="T965" s="127"/>
      <c r="U965" s="127"/>
      <c r="V965" s="305" t="str">
        <f>_xlfn.IFNA(VLOOKUP(D965,ProductListTbl[],9,0),"")</f>
        <v/>
      </c>
      <c r="W965" s="305" t="str">
        <f>IFERROR(Table3[[#This Row],[Storage space per secondary packaging (cm3)]]*Table3[[#This Row],[Quantity  (vials or syringes)]]/1000,"")</f>
        <v/>
      </c>
      <c r="X965" s="305" t="str">
        <f>IFERROR(Table3[[#This Row],[Storage space per tertiary packaging (cm3)]]*Table3[[#This Row],[Quantity (doses)]]/1000,"")</f>
        <v/>
      </c>
      <c r="Y965" s="293" t="str">
        <f>IF(Table3[[#This Row],[Status]]="Ordered",(DATE(YEAR(P965),MONTH(P965),1)),IF(Table3[[#This Row],[Status]]="Received",(DATE(YEAR(Q965),MONTH(Q965),1)),""))</f>
        <v/>
      </c>
      <c r="Z965" s="304" t="str">
        <f t="shared" ref="Z965:Z1004" si="60">IFERROR(IF(K965&gt;0,((K965-Q965)/(365.25/12)),""),"")</f>
        <v/>
      </c>
      <c r="AA965" s="48" t="str">
        <f t="shared" ref="AA965:AA1004" si="61">IFERROR(IF(K965="","",MONTH(EOMONTH(K965,(DAY(K965)&gt;15)+0))),"")</f>
        <v/>
      </c>
      <c r="AB965" s="48" t="str">
        <f t="shared" ref="AB965:AB1004" si="62">IFERROR(IF(K965="","",IF(AND(MONTH(K965)=12,AA965=1),YEAR(K965)+1,YEAR(K965))),"")</f>
        <v/>
      </c>
      <c r="AC965" s="292" t="str">
        <f t="shared" ref="AC965:AC1004" si="63">IF(OR(AA965="",AB965=""),"",DATE(AB965,AA965,1))</f>
        <v/>
      </c>
      <c r="AD965" s="48" t="str">
        <f>IF(Table3[[#This Row],[Actual Arrival date]]&gt;0,IF(Table3[[#This Row],[Expected arrival date]]&gt;0,Table3[[#This Row],[Actual Arrival date]]-Table3[[#This Row],[Expected arrival date]],""),"")</f>
        <v/>
      </c>
    </row>
    <row r="966" spans="1:30" x14ac:dyDescent="0.25">
      <c r="A966" s="303" t="str">
        <f>Start!$D$7</f>
        <v>Anyland</v>
      </c>
      <c r="B966" s="48" t="str">
        <f>_xlfn.IFNA(VLOOKUP(A966,list!B:C,2,FALSE),"")</f>
        <v>ANY</v>
      </c>
      <c r="C966" s="48"/>
      <c r="D966" s="127"/>
      <c r="E966" s="48" t="str">
        <f>_xlfn.IFNA(VLOOKUP(Table3[[#This Row],[Product]], ProductListTbl[], 3, 0), "")</f>
        <v/>
      </c>
      <c r="F966" s="303" t="str">
        <f>_xlfn.IFNA(VLOOKUP(D966,ProductListTbl[],5,0),"")</f>
        <v/>
      </c>
      <c r="G966" s="303" t="str">
        <f>_xlfn.IFNA(VLOOKUP(D966,ProductListTbl[],6,0),"")</f>
        <v/>
      </c>
      <c r="H966" s="130" t="str">
        <f>_xlfn.IFNA(VLOOKUP(D966,ProductListTbl[],7,0),"")</f>
        <v/>
      </c>
      <c r="I966" s="130" t="str">
        <f>_xlfn.IFNA(VLOOKUP(D966,ProductListTbl[],8,0),"")</f>
        <v/>
      </c>
      <c r="J966" s="127"/>
      <c r="K966" s="129"/>
      <c r="L966" s="128"/>
      <c r="M966" s="305" t="str">
        <f>IFERROR(Table3[[#This Row],[Quantity (doses)]]/Table3[[#This Row],[Doses per vial or syringe]],"")</f>
        <v/>
      </c>
      <c r="N966" s="127"/>
      <c r="O966" s="127"/>
      <c r="P966" s="381"/>
      <c r="Q966" s="129"/>
      <c r="R966" s="127"/>
      <c r="S966" s="127"/>
      <c r="T966" s="127"/>
      <c r="U966" s="127"/>
      <c r="V966" s="305" t="str">
        <f>_xlfn.IFNA(VLOOKUP(D966,ProductListTbl[],9,0),"")</f>
        <v/>
      </c>
      <c r="W966" s="305" t="str">
        <f>IFERROR(Table3[[#This Row],[Storage space per secondary packaging (cm3)]]*Table3[[#This Row],[Quantity  (vials or syringes)]]/1000,"")</f>
        <v/>
      </c>
      <c r="X966" s="305" t="str">
        <f>IFERROR(Table3[[#This Row],[Storage space per tertiary packaging (cm3)]]*Table3[[#This Row],[Quantity (doses)]]/1000,"")</f>
        <v/>
      </c>
      <c r="Y966" s="293" t="str">
        <f>IF(Table3[[#This Row],[Status]]="Ordered",(DATE(YEAR(P966),MONTH(P966),1)),IF(Table3[[#This Row],[Status]]="Received",(DATE(YEAR(Q966),MONTH(Q966),1)),""))</f>
        <v/>
      </c>
      <c r="Z966" s="304" t="str">
        <f t="shared" si="60"/>
        <v/>
      </c>
      <c r="AA966" s="48" t="str">
        <f t="shared" si="61"/>
        <v/>
      </c>
      <c r="AB966" s="48" t="str">
        <f t="shared" si="62"/>
        <v/>
      </c>
      <c r="AC966" s="292" t="str">
        <f t="shared" si="63"/>
        <v/>
      </c>
      <c r="AD966" s="48" t="str">
        <f>IF(Table3[[#This Row],[Actual Arrival date]]&gt;0,IF(Table3[[#This Row],[Expected arrival date]]&gt;0,Table3[[#This Row],[Actual Arrival date]]-Table3[[#This Row],[Expected arrival date]],""),"")</f>
        <v/>
      </c>
    </row>
    <row r="967" spans="1:30" x14ac:dyDescent="0.25">
      <c r="A967" s="303" t="str">
        <f>Start!$D$7</f>
        <v>Anyland</v>
      </c>
      <c r="B967" s="48" t="str">
        <f>_xlfn.IFNA(VLOOKUP(A967,list!B:C,2,FALSE),"")</f>
        <v>ANY</v>
      </c>
      <c r="C967" s="48"/>
      <c r="D967" s="127"/>
      <c r="E967" s="48" t="str">
        <f>_xlfn.IFNA(VLOOKUP(Table3[[#This Row],[Product]], ProductListTbl[], 3, 0), "")</f>
        <v/>
      </c>
      <c r="F967" s="303" t="str">
        <f>_xlfn.IFNA(VLOOKUP(D967,ProductListTbl[],5,0),"")</f>
        <v/>
      </c>
      <c r="G967" s="303" t="str">
        <f>_xlfn.IFNA(VLOOKUP(D967,ProductListTbl[],6,0),"")</f>
        <v/>
      </c>
      <c r="H967" s="130" t="str">
        <f>_xlfn.IFNA(VLOOKUP(D967,ProductListTbl[],7,0),"")</f>
        <v/>
      </c>
      <c r="I967" s="130" t="str">
        <f>_xlfn.IFNA(VLOOKUP(D967,ProductListTbl[],8,0),"")</f>
        <v/>
      </c>
      <c r="J967" s="127"/>
      <c r="K967" s="129"/>
      <c r="L967" s="128"/>
      <c r="M967" s="305" t="str">
        <f>IFERROR(Table3[[#This Row],[Quantity (doses)]]/Table3[[#This Row],[Doses per vial or syringe]],"")</f>
        <v/>
      </c>
      <c r="N967" s="127"/>
      <c r="O967" s="127"/>
      <c r="P967" s="381"/>
      <c r="Q967" s="129"/>
      <c r="R967" s="127"/>
      <c r="S967" s="127"/>
      <c r="T967" s="127"/>
      <c r="U967" s="127"/>
      <c r="V967" s="305" t="str">
        <f>_xlfn.IFNA(VLOOKUP(D967,ProductListTbl[],9,0),"")</f>
        <v/>
      </c>
      <c r="W967" s="305" t="str">
        <f>IFERROR(Table3[[#This Row],[Storage space per secondary packaging (cm3)]]*Table3[[#This Row],[Quantity  (vials or syringes)]]/1000,"")</f>
        <v/>
      </c>
      <c r="X967" s="305" t="str">
        <f>IFERROR(Table3[[#This Row],[Storage space per tertiary packaging (cm3)]]*Table3[[#This Row],[Quantity (doses)]]/1000,"")</f>
        <v/>
      </c>
      <c r="Y967" s="293" t="str">
        <f>IF(Table3[[#This Row],[Status]]="Ordered",(DATE(YEAR(P967),MONTH(P967),1)),IF(Table3[[#This Row],[Status]]="Received",(DATE(YEAR(Q967),MONTH(Q967),1)),""))</f>
        <v/>
      </c>
      <c r="Z967" s="304" t="str">
        <f t="shared" si="60"/>
        <v/>
      </c>
      <c r="AA967" s="48" t="str">
        <f t="shared" si="61"/>
        <v/>
      </c>
      <c r="AB967" s="48" t="str">
        <f t="shared" si="62"/>
        <v/>
      </c>
      <c r="AC967" s="292" t="str">
        <f t="shared" si="63"/>
        <v/>
      </c>
      <c r="AD967" s="48" t="str">
        <f>IF(Table3[[#This Row],[Actual Arrival date]]&gt;0,IF(Table3[[#This Row],[Expected arrival date]]&gt;0,Table3[[#This Row],[Actual Arrival date]]-Table3[[#This Row],[Expected arrival date]],""),"")</f>
        <v/>
      </c>
    </row>
    <row r="968" spans="1:30" x14ac:dyDescent="0.25">
      <c r="A968" s="303" t="str">
        <f>Start!$D$7</f>
        <v>Anyland</v>
      </c>
      <c r="B968" s="48" t="str">
        <f>_xlfn.IFNA(VLOOKUP(A968,list!B:C,2,FALSE),"")</f>
        <v>ANY</v>
      </c>
      <c r="C968" s="48"/>
      <c r="D968" s="127"/>
      <c r="E968" s="48" t="str">
        <f>_xlfn.IFNA(VLOOKUP(Table3[[#This Row],[Product]], ProductListTbl[], 3, 0), "")</f>
        <v/>
      </c>
      <c r="F968" s="303" t="str">
        <f>_xlfn.IFNA(VLOOKUP(D968,ProductListTbl[],5,0),"")</f>
        <v/>
      </c>
      <c r="G968" s="303" t="str">
        <f>_xlfn.IFNA(VLOOKUP(D968,ProductListTbl[],6,0),"")</f>
        <v/>
      </c>
      <c r="H968" s="130" t="str">
        <f>_xlfn.IFNA(VLOOKUP(D968,ProductListTbl[],7,0),"")</f>
        <v/>
      </c>
      <c r="I968" s="130" t="str">
        <f>_xlfn.IFNA(VLOOKUP(D968,ProductListTbl[],8,0),"")</f>
        <v/>
      </c>
      <c r="J968" s="127"/>
      <c r="K968" s="129"/>
      <c r="L968" s="128"/>
      <c r="M968" s="305" t="str">
        <f>IFERROR(Table3[[#This Row],[Quantity (doses)]]/Table3[[#This Row],[Doses per vial or syringe]],"")</f>
        <v/>
      </c>
      <c r="N968" s="127"/>
      <c r="O968" s="127"/>
      <c r="P968" s="381"/>
      <c r="Q968" s="129"/>
      <c r="R968" s="127"/>
      <c r="S968" s="127"/>
      <c r="T968" s="127"/>
      <c r="U968" s="127"/>
      <c r="V968" s="305" t="str">
        <f>_xlfn.IFNA(VLOOKUP(D968,ProductListTbl[],9,0),"")</f>
        <v/>
      </c>
      <c r="W968" s="305" t="str">
        <f>IFERROR(Table3[[#This Row],[Storage space per secondary packaging (cm3)]]*Table3[[#This Row],[Quantity  (vials or syringes)]]/1000,"")</f>
        <v/>
      </c>
      <c r="X968" s="305" t="str">
        <f>IFERROR(Table3[[#This Row],[Storage space per tertiary packaging (cm3)]]*Table3[[#This Row],[Quantity (doses)]]/1000,"")</f>
        <v/>
      </c>
      <c r="Y968" s="293" t="str">
        <f>IF(Table3[[#This Row],[Status]]="Ordered",(DATE(YEAR(P968),MONTH(P968),1)),IF(Table3[[#This Row],[Status]]="Received",(DATE(YEAR(Q968),MONTH(Q968),1)),""))</f>
        <v/>
      </c>
      <c r="Z968" s="304" t="str">
        <f t="shared" si="60"/>
        <v/>
      </c>
      <c r="AA968" s="48" t="str">
        <f t="shared" si="61"/>
        <v/>
      </c>
      <c r="AB968" s="48" t="str">
        <f t="shared" si="62"/>
        <v/>
      </c>
      <c r="AC968" s="292" t="str">
        <f t="shared" si="63"/>
        <v/>
      </c>
      <c r="AD968" s="48" t="str">
        <f>IF(Table3[[#This Row],[Actual Arrival date]]&gt;0,IF(Table3[[#This Row],[Expected arrival date]]&gt;0,Table3[[#This Row],[Actual Arrival date]]-Table3[[#This Row],[Expected arrival date]],""),"")</f>
        <v/>
      </c>
    </row>
    <row r="969" spans="1:30" x14ac:dyDescent="0.25">
      <c r="A969" s="303" t="str">
        <f>Start!$D$7</f>
        <v>Anyland</v>
      </c>
      <c r="B969" s="48" t="str">
        <f>_xlfn.IFNA(VLOOKUP(A969,list!B:C,2,FALSE),"")</f>
        <v>ANY</v>
      </c>
      <c r="C969" s="48"/>
      <c r="D969" s="127"/>
      <c r="E969" s="48" t="str">
        <f>_xlfn.IFNA(VLOOKUP(Table3[[#This Row],[Product]], ProductListTbl[], 3, 0), "")</f>
        <v/>
      </c>
      <c r="F969" s="303" t="str">
        <f>_xlfn.IFNA(VLOOKUP(D969,ProductListTbl[],5,0),"")</f>
        <v/>
      </c>
      <c r="G969" s="303" t="str">
        <f>_xlfn.IFNA(VLOOKUP(D969,ProductListTbl[],6,0),"")</f>
        <v/>
      </c>
      <c r="H969" s="130" t="str">
        <f>_xlfn.IFNA(VLOOKUP(D969,ProductListTbl[],7,0),"")</f>
        <v/>
      </c>
      <c r="I969" s="130" t="str">
        <f>_xlfn.IFNA(VLOOKUP(D969,ProductListTbl[],8,0),"")</f>
        <v/>
      </c>
      <c r="J969" s="127"/>
      <c r="K969" s="129"/>
      <c r="L969" s="128"/>
      <c r="M969" s="305" t="str">
        <f>IFERROR(Table3[[#This Row],[Quantity (doses)]]/Table3[[#This Row],[Doses per vial or syringe]],"")</f>
        <v/>
      </c>
      <c r="N969" s="127"/>
      <c r="O969" s="127"/>
      <c r="P969" s="381"/>
      <c r="Q969" s="129"/>
      <c r="R969" s="127"/>
      <c r="S969" s="127"/>
      <c r="T969" s="127"/>
      <c r="U969" s="127"/>
      <c r="V969" s="305" t="str">
        <f>_xlfn.IFNA(VLOOKUP(D969,ProductListTbl[],9,0),"")</f>
        <v/>
      </c>
      <c r="W969" s="305" t="str">
        <f>IFERROR(Table3[[#This Row],[Storage space per secondary packaging (cm3)]]*Table3[[#This Row],[Quantity  (vials or syringes)]]/1000,"")</f>
        <v/>
      </c>
      <c r="X969" s="305" t="str">
        <f>IFERROR(Table3[[#This Row],[Storage space per tertiary packaging (cm3)]]*Table3[[#This Row],[Quantity (doses)]]/1000,"")</f>
        <v/>
      </c>
      <c r="Y969" s="293" t="str">
        <f>IF(Table3[[#This Row],[Status]]="Ordered",(DATE(YEAR(P969),MONTH(P969),1)),IF(Table3[[#This Row],[Status]]="Received",(DATE(YEAR(Q969),MONTH(Q969),1)),""))</f>
        <v/>
      </c>
      <c r="Z969" s="304" t="str">
        <f t="shared" si="60"/>
        <v/>
      </c>
      <c r="AA969" s="48" t="str">
        <f t="shared" si="61"/>
        <v/>
      </c>
      <c r="AB969" s="48" t="str">
        <f t="shared" si="62"/>
        <v/>
      </c>
      <c r="AC969" s="292" t="str">
        <f t="shared" si="63"/>
        <v/>
      </c>
      <c r="AD969" s="48" t="str">
        <f>IF(Table3[[#This Row],[Actual Arrival date]]&gt;0,IF(Table3[[#This Row],[Expected arrival date]]&gt;0,Table3[[#This Row],[Actual Arrival date]]-Table3[[#This Row],[Expected arrival date]],""),"")</f>
        <v/>
      </c>
    </row>
    <row r="970" spans="1:30" x14ac:dyDescent="0.25">
      <c r="A970" s="303" t="str">
        <f>Start!$D$7</f>
        <v>Anyland</v>
      </c>
      <c r="B970" s="48" t="str">
        <f>_xlfn.IFNA(VLOOKUP(A970,list!B:C,2,FALSE),"")</f>
        <v>ANY</v>
      </c>
      <c r="C970" s="48"/>
      <c r="D970" s="127"/>
      <c r="E970" s="48" t="str">
        <f>_xlfn.IFNA(VLOOKUP(Table3[[#This Row],[Product]], ProductListTbl[], 3, 0), "")</f>
        <v/>
      </c>
      <c r="F970" s="303" t="str">
        <f>_xlfn.IFNA(VLOOKUP(D970,ProductListTbl[],5,0),"")</f>
        <v/>
      </c>
      <c r="G970" s="303" t="str">
        <f>_xlfn.IFNA(VLOOKUP(D970,ProductListTbl[],6,0),"")</f>
        <v/>
      </c>
      <c r="H970" s="130" t="str">
        <f>_xlfn.IFNA(VLOOKUP(D970,ProductListTbl[],7,0),"")</f>
        <v/>
      </c>
      <c r="I970" s="130" t="str">
        <f>_xlfn.IFNA(VLOOKUP(D970,ProductListTbl[],8,0),"")</f>
        <v/>
      </c>
      <c r="J970" s="127"/>
      <c r="K970" s="129"/>
      <c r="L970" s="128"/>
      <c r="M970" s="305" t="str">
        <f>IFERROR(Table3[[#This Row],[Quantity (doses)]]/Table3[[#This Row],[Doses per vial or syringe]],"")</f>
        <v/>
      </c>
      <c r="N970" s="127"/>
      <c r="O970" s="127"/>
      <c r="P970" s="381"/>
      <c r="Q970" s="129"/>
      <c r="R970" s="127"/>
      <c r="S970" s="127"/>
      <c r="T970" s="127"/>
      <c r="U970" s="127"/>
      <c r="V970" s="305" t="str">
        <f>_xlfn.IFNA(VLOOKUP(D970,ProductListTbl[],9,0),"")</f>
        <v/>
      </c>
      <c r="W970" s="305" t="str">
        <f>IFERROR(Table3[[#This Row],[Storage space per secondary packaging (cm3)]]*Table3[[#This Row],[Quantity  (vials or syringes)]]/1000,"")</f>
        <v/>
      </c>
      <c r="X970" s="305" t="str">
        <f>IFERROR(Table3[[#This Row],[Storage space per tertiary packaging (cm3)]]*Table3[[#This Row],[Quantity (doses)]]/1000,"")</f>
        <v/>
      </c>
      <c r="Y970" s="293" t="str">
        <f>IF(Table3[[#This Row],[Status]]="Ordered",(DATE(YEAR(P970),MONTH(P970),1)),IF(Table3[[#This Row],[Status]]="Received",(DATE(YEAR(Q970),MONTH(Q970),1)),""))</f>
        <v/>
      </c>
      <c r="Z970" s="304" t="str">
        <f t="shared" si="60"/>
        <v/>
      </c>
      <c r="AA970" s="48" t="str">
        <f t="shared" si="61"/>
        <v/>
      </c>
      <c r="AB970" s="48" t="str">
        <f t="shared" si="62"/>
        <v/>
      </c>
      <c r="AC970" s="292" t="str">
        <f t="shared" si="63"/>
        <v/>
      </c>
      <c r="AD970" s="48" t="str">
        <f>IF(Table3[[#This Row],[Actual Arrival date]]&gt;0,IF(Table3[[#This Row],[Expected arrival date]]&gt;0,Table3[[#This Row],[Actual Arrival date]]-Table3[[#This Row],[Expected arrival date]],""),"")</f>
        <v/>
      </c>
    </row>
    <row r="971" spans="1:30" x14ac:dyDescent="0.25">
      <c r="A971" s="303" t="str">
        <f>Start!$D$7</f>
        <v>Anyland</v>
      </c>
      <c r="B971" s="48" t="str">
        <f>_xlfn.IFNA(VLOOKUP(A971,list!B:C,2,FALSE),"")</f>
        <v>ANY</v>
      </c>
      <c r="C971" s="48"/>
      <c r="D971" s="127"/>
      <c r="E971" s="48" t="str">
        <f>_xlfn.IFNA(VLOOKUP(Table3[[#This Row],[Product]], ProductListTbl[], 3, 0), "")</f>
        <v/>
      </c>
      <c r="F971" s="303" t="str">
        <f>_xlfn.IFNA(VLOOKUP(D971,ProductListTbl[],5,0),"")</f>
        <v/>
      </c>
      <c r="G971" s="303" t="str">
        <f>_xlfn.IFNA(VLOOKUP(D971,ProductListTbl[],6,0),"")</f>
        <v/>
      </c>
      <c r="H971" s="130" t="str">
        <f>_xlfn.IFNA(VLOOKUP(D971,ProductListTbl[],7,0),"")</f>
        <v/>
      </c>
      <c r="I971" s="130" t="str">
        <f>_xlfn.IFNA(VLOOKUP(D971,ProductListTbl[],8,0),"")</f>
        <v/>
      </c>
      <c r="J971" s="127"/>
      <c r="K971" s="129"/>
      <c r="L971" s="128"/>
      <c r="M971" s="305" t="str">
        <f>IFERROR(Table3[[#This Row],[Quantity (doses)]]/Table3[[#This Row],[Doses per vial or syringe]],"")</f>
        <v/>
      </c>
      <c r="N971" s="127"/>
      <c r="O971" s="127"/>
      <c r="P971" s="381"/>
      <c r="Q971" s="129"/>
      <c r="R971" s="127"/>
      <c r="S971" s="127"/>
      <c r="T971" s="127"/>
      <c r="U971" s="127"/>
      <c r="V971" s="305" t="str">
        <f>_xlfn.IFNA(VLOOKUP(D971,ProductListTbl[],9,0),"")</f>
        <v/>
      </c>
      <c r="W971" s="305" t="str">
        <f>IFERROR(Table3[[#This Row],[Storage space per secondary packaging (cm3)]]*Table3[[#This Row],[Quantity  (vials or syringes)]]/1000,"")</f>
        <v/>
      </c>
      <c r="X971" s="305" t="str">
        <f>IFERROR(Table3[[#This Row],[Storage space per tertiary packaging (cm3)]]*Table3[[#This Row],[Quantity (doses)]]/1000,"")</f>
        <v/>
      </c>
      <c r="Y971" s="293" t="str">
        <f>IF(Table3[[#This Row],[Status]]="Ordered",(DATE(YEAR(P971),MONTH(P971),1)),IF(Table3[[#This Row],[Status]]="Received",(DATE(YEAR(Q971),MONTH(Q971),1)),""))</f>
        <v/>
      </c>
      <c r="Z971" s="304" t="str">
        <f t="shared" si="60"/>
        <v/>
      </c>
      <c r="AA971" s="48" t="str">
        <f t="shared" si="61"/>
        <v/>
      </c>
      <c r="AB971" s="48" t="str">
        <f t="shared" si="62"/>
        <v/>
      </c>
      <c r="AC971" s="292" t="str">
        <f t="shared" si="63"/>
        <v/>
      </c>
      <c r="AD971" s="48" t="str">
        <f>IF(Table3[[#This Row],[Actual Arrival date]]&gt;0,IF(Table3[[#This Row],[Expected arrival date]]&gt;0,Table3[[#This Row],[Actual Arrival date]]-Table3[[#This Row],[Expected arrival date]],""),"")</f>
        <v/>
      </c>
    </row>
    <row r="972" spans="1:30" x14ac:dyDescent="0.25">
      <c r="A972" s="303" t="str">
        <f>Start!$D$7</f>
        <v>Anyland</v>
      </c>
      <c r="B972" s="48" t="str">
        <f>_xlfn.IFNA(VLOOKUP(A972,list!B:C,2,FALSE),"")</f>
        <v>ANY</v>
      </c>
      <c r="C972" s="48"/>
      <c r="D972" s="127"/>
      <c r="E972" s="48" t="str">
        <f>_xlfn.IFNA(VLOOKUP(Table3[[#This Row],[Product]], ProductListTbl[], 3, 0), "")</f>
        <v/>
      </c>
      <c r="F972" s="303" t="str">
        <f>_xlfn.IFNA(VLOOKUP(D972,ProductListTbl[],5,0),"")</f>
        <v/>
      </c>
      <c r="G972" s="303" t="str">
        <f>_xlfn.IFNA(VLOOKUP(D972,ProductListTbl[],6,0),"")</f>
        <v/>
      </c>
      <c r="H972" s="130" t="str">
        <f>_xlfn.IFNA(VLOOKUP(D972,ProductListTbl[],7,0),"")</f>
        <v/>
      </c>
      <c r="I972" s="130" t="str">
        <f>_xlfn.IFNA(VLOOKUP(D972,ProductListTbl[],8,0),"")</f>
        <v/>
      </c>
      <c r="J972" s="127"/>
      <c r="K972" s="129"/>
      <c r="L972" s="128"/>
      <c r="M972" s="305" t="str">
        <f>IFERROR(Table3[[#This Row],[Quantity (doses)]]/Table3[[#This Row],[Doses per vial or syringe]],"")</f>
        <v/>
      </c>
      <c r="N972" s="127"/>
      <c r="O972" s="127"/>
      <c r="P972" s="381"/>
      <c r="Q972" s="129"/>
      <c r="R972" s="127"/>
      <c r="S972" s="127"/>
      <c r="T972" s="127"/>
      <c r="U972" s="127"/>
      <c r="V972" s="305" t="str">
        <f>_xlfn.IFNA(VLOOKUP(D972,ProductListTbl[],9,0),"")</f>
        <v/>
      </c>
      <c r="W972" s="305" t="str">
        <f>IFERROR(Table3[[#This Row],[Storage space per secondary packaging (cm3)]]*Table3[[#This Row],[Quantity  (vials or syringes)]]/1000,"")</f>
        <v/>
      </c>
      <c r="X972" s="305" t="str">
        <f>IFERROR(Table3[[#This Row],[Storage space per tertiary packaging (cm3)]]*Table3[[#This Row],[Quantity (doses)]]/1000,"")</f>
        <v/>
      </c>
      <c r="Y972" s="293" t="str">
        <f>IF(Table3[[#This Row],[Status]]="Ordered",(DATE(YEAR(P972),MONTH(P972),1)),IF(Table3[[#This Row],[Status]]="Received",(DATE(YEAR(Q972),MONTH(Q972),1)),""))</f>
        <v/>
      </c>
      <c r="Z972" s="304" t="str">
        <f t="shared" si="60"/>
        <v/>
      </c>
      <c r="AA972" s="48" t="str">
        <f t="shared" si="61"/>
        <v/>
      </c>
      <c r="AB972" s="48" t="str">
        <f t="shared" si="62"/>
        <v/>
      </c>
      <c r="AC972" s="292" t="str">
        <f t="shared" si="63"/>
        <v/>
      </c>
      <c r="AD972" s="48" t="str">
        <f>IF(Table3[[#This Row],[Actual Arrival date]]&gt;0,IF(Table3[[#This Row],[Expected arrival date]]&gt;0,Table3[[#This Row],[Actual Arrival date]]-Table3[[#This Row],[Expected arrival date]],""),"")</f>
        <v/>
      </c>
    </row>
    <row r="973" spans="1:30" x14ac:dyDescent="0.25">
      <c r="A973" s="303" t="str">
        <f>Start!$D$7</f>
        <v>Anyland</v>
      </c>
      <c r="B973" s="48" t="str">
        <f>_xlfn.IFNA(VLOOKUP(A973,list!B:C,2,FALSE),"")</f>
        <v>ANY</v>
      </c>
      <c r="C973" s="48"/>
      <c r="D973" s="127"/>
      <c r="E973" s="48" t="str">
        <f>_xlfn.IFNA(VLOOKUP(Table3[[#This Row],[Product]], ProductListTbl[], 3, 0), "")</f>
        <v/>
      </c>
      <c r="F973" s="303" t="str">
        <f>_xlfn.IFNA(VLOOKUP(D973,ProductListTbl[],5,0),"")</f>
        <v/>
      </c>
      <c r="G973" s="303" t="str">
        <f>_xlfn.IFNA(VLOOKUP(D973,ProductListTbl[],6,0),"")</f>
        <v/>
      </c>
      <c r="H973" s="130" t="str">
        <f>_xlfn.IFNA(VLOOKUP(D973,ProductListTbl[],7,0),"")</f>
        <v/>
      </c>
      <c r="I973" s="130" t="str">
        <f>_xlfn.IFNA(VLOOKUP(D973,ProductListTbl[],8,0),"")</f>
        <v/>
      </c>
      <c r="J973" s="127"/>
      <c r="K973" s="129"/>
      <c r="L973" s="128"/>
      <c r="M973" s="305" t="str">
        <f>IFERROR(Table3[[#This Row],[Quantity (doses)]]/Table3[[#This Row],[Doses per vial or syringe]],"")</f>
        <v/>
      </c>
      <c r="N973" s="127"/>
      <c r="O973" s="127"/>
      <c r="P973" s="381"/>
      <c r="Q973" s="129"/>
      <c r="R973" s="127"/>
      <c r="S973" s="127"/>
      <c r="T973" s="127"/>
      <c r="U973" s="127"/>
      <c r="V973" s="305" t="str">
        <f>_xlfn.IFNA(VLOOKUP(D973,ProductListTbl[],9,0),"")</f>
        <v/>
      </c>
      <c r="W973" s="305" t="str">
        <f>IFERROR(Table3[[#This Row],[Storage space per secondary packaging (cm3)]]*Table3[[#This Row],[Quantity  (vials or syringes)]]/1000,"")</f>
        <v/>
      </c>
      <c r="X973" s="305" t="str">
        <f>IFERROR(Table3[[#This Row],[Storage space per tertiary packaging (cm3)]]*Table3[[#This Row],[Quantity (doses)]]/1000,"")</f>
        <v/>
      </c>
      <c r="Y973" s="293" t="str">
        <f>IF(Table3[[#This Row],[Status]]="Ordered",(DATE(YEAR(P973),MONTH(P973),1)),IF(Table3[[#This Row],[Status]]="Received",(DATE(YEAR(Q973),MONTH(Q973),1)),""))</f>
        <v/>
      </c>
      <c r="Z973" s="304" t="str">
        <f t="shared" si="60"/>
        <v/>
      </c>
      <c r="AA973" s="48" t="str">
        <f t="shared" si="61"/>
        <v/>
      </c>
      <c r="AB973" s="48" t="str">
        <f t="shared" si="62"/>
        <v/>
      </c>
      <c r="AC973" s="292" t="str">
        <f t="shared" si="63"/>
        <v/>
      </c>
      <c r="AD973" s="48" t="str">
        <f>IF(Table3[[#This Row],[Actual Arrival date]]&gt;0,IF(Table3[[#This Row],[Expected arrival date]]&gt;0,Table3[[#This Row],[Actual Arrival date]]-Table3[[#This Row],[Expected arrival date]],""),"")</f>
        <v/>
      </c>
    </row>
    <row r="974" spans="1:30" x14ac:dyDescent="0.25">
      <c r="A974" s="303" t="str">
        <f>Start!$D$7</f>
        <v>Anyland</v>
      </c>
      <c r="B974" s="48" t="str">
        <f>_xlfn.IFNA(VLOOKUP(A974,list!B:C,2,FALSE),"")</f>
        <v>ANY</v>
      </c>
      <c r="C974" s="48"/>
      <c r="D974" s="127"/>
      <c r="E974" s="48" t="str">
        <f>_xlfn.IFNA(VLOOKUP(Table3[[#This Row],[Product]], ProductListTbl[], 3, 0), "")</f>
        <v/>
      </c>
      <c r="F974" s="303" t="str">
        <f>_xlfn.IFNA(VLOOKUP(D974,ProductListTbl[],5,0),"")</f>
        <v/>
      </c>
      <c r="G974" s="303" t="str">
        <f>_xlfn.IFNA(VLOOKUP(D974,ProductListTbl[],6,0),"")</f>
        <v/>
      </c>
      <c r="H974" s="130" t="str">
        <f>_xlfn.IFNA(VLOOKUP(D974,ProductListTbl[],7,0),"")</f>
        <v/>
      </c>
      <c r="I974" s="130" t="str">
        <f>_xlfn.IFNA(VLOOKUP(D974,ProductListTbl[],8,0),"")</f>
        <v/>
      </c>
      <c r="J974" s="127"/>
      <c r="K974" s="129"/>
      <c r="L974" s="128"/>
      <c r="M974" s="305" t="str">
        <f>IFERROR(Table3[[#This Row],[Quantity (doses)]]/Table3[[#This Row],[Doses per vial or syringe]],"")</f>
        <v/>
      </c>
      <c r="N974" s="127"/>
      <c r="O974" s="127"/>
      <c r="P974" s="381"/>
      <c r="Q974" s="129"/>
      <c r="R974" s="127"/>
      <c r="S974" s="127"/>
      <c r="T974" s="127"/>
      <c r="U974" s="127"/>
      <c r="V974" s="305" t="str">
        <f>_xlfn.IFNA(VLOOKUP(D974,ProductListTbl[],9,0),"")</f>
        <v/>
      </c>
      <c r="W974" s="305" t="str">
        <f>IFERROR(Table3[[#This Row],[Storage space per secondary packaging (cm3)]]*Table3[[#This Row],[Quantity  (vials or syringes)]]/1000,"")</f>
        <v/>
      </c>
      <c r="X974" s="305" t="str">
        <f>IFERROR(Table3[[#This Row],[Storage space per tertiary packaging (cm3)]]*Table3[[#This Row],[Quantity (doses)]]/1000,"")</f>
        <v/>
      </c>
      <c r="Y974" s="293" t="str">
        <f>IF(Table3[[#This Row],[Status]]="Ordered",(DATE(YEAR(P974),MONTH(P974),1)),IF(Table3[[#This Row],[Status]]="Received",(DATE(YEAR(Q974),MONTH(Q974),1)),""))</f>
        <v/>
      </c>
      <c r="Z974" s="304" t="str">
        <f t="shared" si="60"/>
        <v/>
      </c>
      <c r="AA974" s="48" t="str">
        <f t="shared" si="61"/>
        <v/>
      </c>
      <c r="AB974" s="48" t="str">
        <f t="shared" si="62"/>
        <v/>
      </c>
      <c r="AC974" s="292" t="str">
        <f t="shared" si="63"/>
        <v/>
      </c>
      <c r="AD974" s="48" t="str">
        <f>IF(Table3[[#This Row],[Actual Arrival date]]&gt;0,IF(Table3[[#This Row],[Expected arrival date]]&gt;0,Table3[[#This Row],[Actual Arrival date]]-Table3[[#This Row],[Expected arrival date]],""),"")</f>
        <v/>
      </c>
    </row>
    <row r="975" spans="1:30" x14ac:dyDescent="0.25">
      <c r="A975" s="303" t="str">
        <f>Start!$D$7</f>
        <v>Anyland</v>
      </c>
      <c r="B975" s="48" t="str">
        <f>_xlfn.IFNA(VLOOKUP(A975,list!B:C,2,FALSE),"")</f>
        <v>ANY</v>
      </c>
      <c r="C975" s="48"/>
      <c r="D975" s="127"/>
      <c r="E975" s="48" t="str">
        <f>_xlfn.IFNA(VLOOKUP(Table3[[#This Row],[Product]], ProductListTbl[], 3, 0), "")</f>
        <v/>
      </c>
      <c r="F975" s="303" t="str">
        <f>_xlfn.IFNA(VLOOKUP(D975,ProductListTbl[],5,0),"")</f>
        <v/>
      </c>
      <c r="G975" s="303" t="str">
        <f>_xlfn.IFNA(VLOOKUP(D975,ProductListTbl[],6,0),"")</f>
        <v/>
      </c>
      <c r="H975" s="130" t="str">
        <f>_xlfn.IFNA(VLOOKUP(D975,ProductListTbl[],7,0),"")</f>
        <v/>
      </c>
      <c r="I975" s="130" t="str">
        <f>_xlfn.IFNA(VLOOKUP(D975,ProductListTbl[],8,0),"")</f>
        <v/>
      </c>
      <c r="J975" s="127"/>
      <c r="K975" s="129"/>
      <c r="L975" s="128"/>
      <c r="M975" s="305" t="str">
        <f>IFERROR(Table3[[#This Row],[Quantity (doses)]]/Table3[[#This Row],[Doses per vial or syringe]],"")</f>
        <v/>
      </c>
      <c r="N975" s="127"/>
      <c r="O975" s="127"/>
      <c r="P975" s="381"/>
      <c r="Q975" s="129"/>
      <c r="R975" s="127"/>
      <c r="S975" s="127"/>
      <c r="T975" s="127"/>
      <c r="U975" s="127"/>
      <c r="V975" s="305" t="str">
        <f>_xlfn.IFNA(VLOOKUP(D975,ProductListTbl[],9,0),"")</f>
        <v/>
      </c>
      <c r="W975" s="305" t="str">
        <f>IFERROR(Table3[[#This Row],[Storage space per secondary packaging (cm3)]]*Table3[[#This Row],[Quantity  (vials or syringes)]]/1000,"")</f>
        <v/>
      </c>
      <c r="X975" s="305" t="str">
        <f>IFERROR(Table3[[#This Row],[Storage space per tertiary packaging (cm3)]]*Table3[[#This Row],[Quantity (doses)]]/1000,"")</f>
        <v/>
      </c>
      <c r="Y975" s="293" t="str">
        <f>IF(Table3[[#This Row],[Status]]="Ordered",(DATE(YEAR(P975),MONTH(P975),1)),IF(Table3[[#This Row],[Status]]="Received",(DATE(YEAR(Q975),MONTH(Q975),1)),""))</f>
        <v/>
      </c>
      <c r="Z975" s="304" t="str">
        <f t="shared" si="60"/>
        <v/>
      </c>
      <c r="AA975" s="48" t="str">
        <f t="shared" si="61"/>
        <v/>
      </c>
      <c r="AB975" s="48" t="str">
        <f t="shared" si="62"/>
        <v/>
      </c>
      <c r="AC975" s="292" t="str">
        <f t="shared" si="63"/>
        <v/>
      </c>
      <c r="AD975" s="48" t="str">
        <f>IF(Table3[[#This Row],[Actual Arrival date]]&gt;0,IF(Table3[[#This Row],[Expected arrival date]]&gt;0,Table3[[#This Row],[Actual Arrival date]]-Table3[[#This Row],[Expected arrival date]],""),"")</f>
        <v/>
      </c>
    </row>
    <row r="976" spans="1:30" x14ac:dyDescent="0.25">
      <c r="A976" s="303" t="str">
        <f>Start!$D$7</f>
        <v>Anyland</v>
      </c>
      <c r="B976" s="48" t="str">
        <f>_xlfn.IFNA(VLOOKUP(A976,list!B:C,2,FALSE),"")</f>
        <v>ANY</v>
      </c>
      <c r="C976" s="48"/>
      <c r="D976" s="127"/>
      <c r="E976" s="48" t="str">
        <f>_xlfn.IFNA(VLOOKUP(Table3[[#This Row],[Product]], ProductListTbl[], 3, 0), "")</f>
        <v/>
      </c>
      <c r="F976" s="303" t="str">
        <f>_xlfn.IFNA(VLOOKUP(D976,ProductListTbl[],5,0),"")</f>
        <v/>
      </c>
      <c r="G976" s="303" t="str">
        <f>_xlfn.IFNA(VLOOKUP(D976,ProductListTbl[],6,0),"")</f>
        <v/>
      </c>
      <c r="H976" s="130" t="str">
        <f>_xlfn.IFNA(VLOOKUP(D976,ProductListTbl[],7,0),"")</f>
        <v/>
      </c>
      <c r="I976" s="130" t="str">
        <f>_xlfn.IFNA(VLOOKUP(D976,ProductListTbl[],8,0),"")</f>
        <v/>
      </c>
      <c r="J976" s="127"/>
      <c r="K976" s="129"/>
      <c r="L976" s="128"/>
      <c r="M976" s="305" t="str">
        <f>IFERROR(Table3[[#This Row],[Quantity (doses)]]/Table3[[#This Row],[Doses per vial or syringe]],"")</f>
        <v/>
      </c>
      <c r="N976" s="127"/>
      <c r="O976" s="127"/>
      <c r="P976" s="381"/>
      <c r="Q976" s="129"/>
      <c r="R976" s="127"/>
      <c r="S976" s="127"/>
      <c r="T976" s="127"/>
      <c r="U976" s="127"/>
      <c r="V976" s="305" t="str">
        <f>_xlfn.IFNA(VLOOKUP(D976,ProductListTbl[],9,0),"")</f>
        <v/>
      </c>
      <c r="W976" s="305" t="str">
        <f>IFERROR(Table3[[#This Row],[Storage space per secondary packaging (cm3)]]*Table3[[#This Row],[Quantity  (vials or syringes)]]/1000,"")</f>
        <v/>
      </c>
      <c r="X976" s="305" t="str">
        <f>IFERROR(Table3[[#This Row],[Storage space per tertiary packaging (cm3)]]*Table3[[#This Row],[Quantity (doses)]]/1000,"")</f>
        <v/>
      </c>
      <c r="Y976" s="293" t="str">
        <f>IF(Table3[[#This Row],[Status]]="Ordered",(DATE(YEAR(P976),MONTH(P976),1)),IF(Table3[[#This Row],[Status]]="Received",(DATE(YEAR(Q976),MONTH(Q976),1)),""))</f>
        <v/>
      </c>
      <c r="Z976" s="304" t="str">
        <f t="shared" si="60"/>
        <v/>
      </c>
      <c r="AA976" s="48" t="str">
        <f t="shared" si="61"/>
        <v/>
      </c>
      <c r="AB976" s="48" t="str">
        <f t="shared" si="62"/>
        <v/>
      </c>
      <c r="AC976" s="292" t="str">
        <f t="shared" si="63"/>
        <v/>
      </c>
      <c r="AD976" s="48" t="str">
        <f>IF(Table3[[#This Row],[Actual Arrival date]]&gt;0,IF(Table3[[#This Row],[Expected arrival date]]&gt;0,Table3[[#This Row],[Actual Arrival date]]-Table3[[#This Row],[Expected arrival date]],""),"")</f>
        <v/>
      </c>
    </row>
    <row r="977" spans="1:30" x14ac:dyDescent="0.25">
      <c r="A977" s="303" t="str">
        <f>Start!$D$7</f>
        <v>Anyland</v>
      </c>
      <c r="B977" s="48" t="str">
        <f>_xlfn.IFNA(VLOOKUP(A977,list!B:C,2,FALSE),"")</f>
        <v>ANY</v>
      </c>
      <c r="C977" s="48"/>
      <c r="D977" s="127"/>
      <c r="E977" s="48" t="str">
        <f>_xlfn.IFNA(VLOOKUP(Table3[[#This Row],[Product]], ProductListTbl[], 3, 0), "")</f>
        <v/>
      </c>
      <c r="F977" s="303" t="str">
        <f>_xlfn.IFNA(VLOOKUP(D977,ProductListTbl[],5,0),"")</f>
        <v/>
      </c>
      <c r="G977" s="303" t="str">
        <f>_xlfn.IFNA(VLOOKUP(D977,ProductListTbl[],6,0),"")</f>
        <v/>
      </c>
      <c r="H977" s="130" t="str">
        <f>_xlfn.IFNA(VLOOKUP(D977,ProductListTbl[],7,0),"")</f>
        <v/>
      </c>
      <c r="I977" s="130" t="str">
        <f>_xlfn.IFNA(VLOOKUP(D977,ProductListTbl[],8,0),"")</f>
        <v/>
      </c>
      <c r="J977" s="127"/>
      <c r="K977" s="129"/>
      <c r="L977" s="128"/>
      <c r="M977" s="305" t="str">
        <f>IFERROR(Table3[[#This Row],[Quantity (doses)]]/Table3[[#This Row],[Doses per vial or syringe]],"")</f>
        <v/>
      </c>
      <c r="N977" s="127"/>
      <c r="O977" s="127"/>
      <c r="P977" s="381"/>
      <c r="Q977" s="129"/>
      <c r="R977" s="127"/>
      <c r="S977" s="127"/>
      <c r="T977" s="127"/>
      <c r="U977" s="127"/>
      <c r="V977" s="305" t="str">
        <f>_xlfn.IFNA(VLOOKUP(D977,ProductListTbl[],9,0),"")</f>
        <v/>
      </c>
      <c r="W977" s="305" t="str">
        <f>IFERROR(Table3[[#This Row],[Storage space per secondary packaging (cm3)]]*Table3[[#This Row],[Quantity  (vials or syringes)]]/1000,"")</f>
        <v/>
      </c>
      <c r="X977" s="305" t="str">
        <f>IFERROR(Table3[[#This Row],[Storage space per tertiary packaging (cm3)]]*Table3[[#This Row],[Quantity (doses)]]/1000,"")</f>
        <v/>
      </c>
      <c r="Y977" s="293" t="str">
        <f>IF(Table3[[#This Row],[Status]]="Ordered",(DATE(YEAR(P977),MONTH(P977),1)),IF(Table3[[#This Row],[Status]]="Received",(DATE(YEAR(Q977),MONTH(Q977),1)),""))</f>
        <v/>
      </c>
      <c r="Z977" s="304" t="str">
        <f t="shared" si="60"/>
        <v/>
      </c>
      <c r="AA977" s="48" t="str">
        <f t="shared" si="61"/>
        <v/>
      </c>
      <c r="AB977" s="48" t="str">
        <f t="shared" si="62"/>
        <v/>
      </c>
      <c r="AC977" s="292" t="str">
        <f t="shared" si="63"/>
        <v/>
      </c>
      <c r="AD977" s="48" t="str">
        <f>IF(Table3[[#This Row],[Actual Arrival date]]&gt;0,IF(Table3[[#This Row],[Expected arrival date]]&gt;0,Table3[[#This Row],[Actual Arrival date]]-Table3[[#This Row],[Expected arrival date]],""),"")</f>
        <v/>
      </c>
    </row>
    <row r="978" spans="1:30" x14ac:dyDescent="0.25">
      <c r="A978" s="303" t="str">
        <f>Start!$D$7</f>
        <v>Anyland</v>
      </c>
      <c r="B978" s="48" t="str">
        <f>_xlfn.IFNA(VLOOKUP(A978,list!B:C,2,FALSE),"")</f>
        <v>ANY</v>
      </c>
      <c r="C978" s="48"/>
      <c r="D978" s="127"/>
      <c r="E978" s="48" t="str">
        <f>_xlfn.IFNA(VLOOKUP(Table3[[#This Row],[Product]], ProductListTbl[], 3, 0), "")</f>
        <v/>
      </c>
      <c r="F978" s="303" t="str">
        <f>_xlfn.IFNA(VLOOKUP(D978,ProductListTbl[],5,0),"")</f>
        <v/>
      </c>
      <c r="G978" s="303" t="str">
        <f>_xlfn.IFNA(VLOOKUP(D978,ProductListTbl[],6,0),"")</f>
        <v/>
      </c>
      <c r="H978" s="130" t="str">
        <f>_xlfn.IFNA(VLOOKUP(D978,ProductListTbl[],7,0),"")</f>
        <v/>
      </c>
      <c r="I978" s="130" t="str">
        <f>_xlfn.IFNA(VLOOKUP(D978,ProductListTbl[],8,0),"")</f>
        <v/>
      </c>
      <c r="J978" s="127"/>
      <c r="K978" s="129"/>
      <c r="L978" s="128"/>
      <c r="M978" s="305" t="str">
        <f>IFERROR(Table3[[#This Row],[Quantity (doses)]]/Table3[[#This Row],[Doses per vial or syringe]],"")</f>
        <v/>
      </c>
      <c r="N978" s="127"/>
      <c r="O978" s="127"/>
      <c r="P978" s="381"/>
      <c r="Q978" s="129"/>
      <c r="R978" s="127"/>
      <c r="S978" s="127"/>
      <c r="T978" s="127"/>
      <c r="U978" s="127"/>
      <c r="V978" s="305" t="str">
        <f>_xlfn.IFNA(VLOOKUP(D978,ProductListTbl[],9,0),"")</f>
        <v/>
      </c>
      <c r="W978" s="305" t="str">
        <f>IFERROR(Table3[[#This Row],[Storage space per secondary packaging (cm3)]]*Table3[[#This Row],[Quantity  (vials or syringes)]]/1000,"")</f>
        <v/>
      </c>
      <c r="X978" s="305" t="str">
        <f>IFERROR(Table3[[#This Row],[Storage space per tertiary packaging (cm3)]]*Table3[[#This Row],[Quantity (doses)]]/1000,"")</f>
        <v/>
      </c>
      <c r="Y978" s="293" t="str">
        <f>IF(Table3[[#This Row],[Status]]="Ordered",(DATE(YEAR(P978),MONTH(P978),1)),IF(Table3[[#This Row],[Status]]="Received",(DATE(YEAR(Q978),MONTH(Q978),1)),""))</f>
        <v/>
      </c>
      <c r="Z978" s="304" t="str">
        <f t="shared" si="60"/>
        <v/>
      </c>
      <c r="AA978" s="48" t="str">
        <f t="shared" si="61"/>
        <v/>
      </c>
      <c r="AB978" s="48" t="str">
        <f t="shared" si="62"/>
        <v/>
      </c>
      <c r="AC978" s="292" t="str">
        <f t="shared" si="63"/>
        <v/>
      </c>
      <c r="AD978" s="48" t="str">
        <f>IF(Table3[[#This Row],[Actual Arrival date]]&gt;0,IF(Table3[[#This Row],[Expected arrival date]]&gt;0,Table3[[#This Row],[Actual Arrival date]]-Table3[[#This Row],[Expected arrival date]],""),"")</f>
        <v/>
      </c>
    </row>
    <row r="979" spans="1:30" x14ac:dyDescent="0.25">
      <c r="A979" s="303" t="str">
        <f>Start!$D$7</f>
        <v>Anyland</v>
      </c>
      <c r="B979" s="48" t="str">
        <f>_xlfn.IFNA(VLOOKUP(A979,list!B:C,2,FALSE),"")</f>
        <v>ANY</v>
      </c>
      <c r="C979" s="48"/>
      <c r="D979" s="127"/>
      <c r="E979" s="48" t="str">
        <f>_xlfn.IFNA(VLOOKUP(Table3[[#This Row],[Product]], ProductListTbl[], 3, 0), "")</f>
        <v/>
      </c>
      <c r="F979" s="303" t="str">
        <f>_xlfn.IFNA(VLOOKUP(D979,ProductListTbl[],5,0),"")</f>
        <v/>
      </c>
      <c r="G979" s="303" t="str">
        <f>_xlfn.IFNA(VLOOKUP(D979,ProductListTbl[],6,0),"")</f>
        <v/>
      </c>
      <c r="H979" s="130" t="str">
        <f>_xlfn.IFNA(VLOOKUP(D979,ProductListTbl[],7,0),"")</f>
        <v/>
      </c>
      <c r="I979" s="130" t="str">
        <f>_xlfn.IFNA(VLOOKUP(D979,ProductListTbl[],8,0),"")</f>
        <v/>
      </c>
      <c r="J979" s="127"/>
      <c r="K979" s="129"/>
      <c r="L979" s="128"/>
      <c r="M979" s="305" t="str">
        <f>IFERROR(Table3[[#This Row],[Quantity (doses)]]/Table3[[#This Row],[Doses per vial or syringe]],"")</f>
        <v/>
      </c>
      <c r="N979" s="127"/>
      <c r="O979" s="127"/>
      <c r="P979" s="381"/>
      <c r="Q979" s="129"/>
      <c r="R979" s="127"/>
      <c r="S979" s="127"/>
      <c r="T979" s="127"/>
      <c r="U979" s="127"/>
      <c r="V979" s="305" t="str">
        <f>_xlfn.IFNA(VLOOKUP(D979,ProductListTbl[],9,0),"")</f>
        <v/>
      </c>
      <c r="W979" s="305" t="str">
        <f>IFERROR(Table3[[#This Row],[Storage space per secondary packaging (cm3)]]*Table3[[#This Row],[Quantity  (vials or syringes)]]/1000,"")</f>
        <v/>
      </c>
      <c r="X979" s="305" t="str">
        <f>IFERROR(Table3[[#This Row],[Storage space per tertiary packaging (cm3)]]*Table3[[#This Row],[Quantity (doses)]]/1000,"")</f>
        <v/>
      </c>
      <c r="Y979" s="293" t="str">
        <f>IF(Table3[[#This Row],[Status]]="Ordered",(DATE(YEAR(P979),MONTH(P979),1)),IF(Table3[[#This Row],[Status]]="Received",(DATE(YEAR(Q979),MONTH(Q979),1)),""))</f>
        <v/>
      </c>
      <c r="Z979" s="304" t="str">
        <f t="shared" si="60"/>
        <v/>
      </c>
      <c r="AA979" s="48" t="str">
        <f t="shared" si="61"/>
        <v/>
      </c>
      <c r="AB979" s="48" t="str">
        <f t="shared" si="62"/>
        <v/>
      </c>
      <c r="AC979" s="292" t="str">
        <f t="shared" si="63"/>
        <v/>
      </c>
      <c r="AD979" s="48" t="str">
        <f>IF(Table3[[#This Row],[Actual Arrival date]]&gt;0,IF(Table3[[#This Row],[Expected arrival date]]&gt;0,Table3[[#This Row],[Actual Arrival date]]-Table3[[#This Row],[Expected arrival date]],""),"")</f>
        <v/>
      </c>
    </row>
    <row r="980" spans="1:30" x14ac:dyDescent="0.25">
      <c r="A980" s="303" t="str">
        <f>Start!$D$7</f>
        <v>Anyland</v>
      </c>
      <c r="B980" s="48" t="str">
        <f>_xlfn.IFNA(VLOOKUP(A980,list!B:C,2,FALSE),"")</f>
        <v>ANY</v>
      </c>
      <c r="C980" s="48"/>
      <c r="D980" s="127"/>
      <c r="E980" s="48" t="str">
        <f>_xlfn.IFNA(VLOOKUP(Table3[[#This Row],[Product]], ProductListTbl[], 3, 0), "")</f>
        <v/>
      </c>
      <c r="F980" s="303" t="str">
        <f>_xlfn.IFNA(VLOOKUP(D980,ProductListTbl[],5,0),"")</f>
        <v/>
      </c>
      <c r="G980" s="303" t="str">
        <f>_xlfn.IFNA(VLOOKUP(D980,ProductListTbl[],6,0),"")</f>
        <v/>
      </c>
      <c r="H980" s="130" t="str">
        <f>_xlfn.IFNA(VLOOKUP(D980,ProductListTbl[],7,0),"")</f>
        <v/>
      </c>
      <c r="I980" s="130" t="str">
        <f>_xlfn.IFNA(VLOOKUP(D980,ProductListTbl[],8,0),"")</f>
        <v/>
      </c>
      <c r="J980" s="127"/>
      <c r="K980" s="129"/>
      <c r="L980" s="128"/>
      <c r="M980" s="305" t="str">
        <f>IFERROR(Table3[[#This Row],[Quantity (doses)]]/Table3[[#This Row],[Doses per vial or syringe]],"")</f>
        <v/>
      </c>
      <c r="N980" s="127"/>
      <c r="O980" s="127"/>
      <c r="P980" s="381"/>
      <c r="Q980" s="129"/>
      <c r="R980" s="127"/>
      <c r="S980" s="127"/>
      <c r="T980" s="127"/>
      <c r="U980" s="127"/>
      <c r="V980" s="305" t="str">
        <f>_xlfn.IFNA(VLOOKUP(D980,ProductListTbl[],9,0),"")</f>
        <v/>
      </c>
      <c r="W980" s="305" t="str">
        <f>IFERROR(Table3[[#This Row],[Storage space per secondary packaging (cm3)]]*Table3[[#This Row],[Quantity  (vials or syringes)]]/1000,"")</f>
        <v/>
      </c>
      <c r="X980" s="305" t="str">
        <f>IFERROR(Table3[[#This Row],[Storage space per tertiary packaging (cm3)]]*Table3[[#This Row],[Quantity (doses)]]/1000,"")</f>
        <v/>
      </c>
      <c r="Y980" s="293" t="str">
        <f>IF(Table3[[#This Row],[Status]]="Ordered",(DATE(YEAR(P980),MONTH(P980),1)),IF(Table3[[#This Row],[Status]]="Received",(DATE(YEAR(Q980),MONTH(Q980),1)),""))</f>
        <v/>
      </c>
      <c r="Z980" s="304" t="str">
        <f t="shared" si="60"/>
        <v/>
      </c>
      <c r="AA980" s="48" t="str">
        <f t="shared" si="61"/>
        <v/>
      </c>
      <c r="AB980" s="48" t="str">
        <f t="shared" si="62"/>
        <v/>
      </c>
      <c r="AC980" s="292" t="str">
        <f t="shared" si="63"/>
        <v/>
      </c>
      <c r="AD980" s="48" t="str">
        <f>IF(Table3[[#This Row],[Actual Arrival date]]&gt;0,IF(Table3[[#This Row],[Expected arrival date]]&gt;0,Table3[[#This Row],[Actual Arrival date]]-Table3[[#This Row],[Expected arrival date]],""),"")</f>
        <v/>
      </c>
    </row>
    <row r="981" spans="1:30" x14ac:dyDescent="0.25">
      <c r="A981" s="303" t="str">
        <f>Start!$D$7</f>
        <v>Anyland</v>
      </c>
      <c r="B981" s="48" t="str">
        <f>_xlfn.IFNA(VLOOKUP(A981,list!B:C,2,FALSE),"")</f>
        <v>ANY</v>
      </c>
      <c r="C981" s="48"/>
      <c r="D981" s="127"/>
      <c r="E981" s="48" t="str">
        <f>_xlfn.IFNA(VLOOKUP(Table3[[#This Row],[Product]], ProductListTbl[], 3, 0), "")</f>
        <v/>
      </c>
      <c r="F981" s="303" t="str">
        <f>_xlfn.IFNA(VLOOKUP(D981,ProductListTbl[],5,0),"")</f>
        <v/>
      </c>
      <c r="G981" s="303" t="str">
        <f>_xlfn.IFNA(VLOOKUP(D981,ProductListTbl[],6,0),"")</f>
        <v/>
      </c>
      <c r="H981" s="130" t="str">
        <f>_xlfn.IFNA(VLOOKUP(D981,ProductListTbl[],7,0),"")</f>
        <v/>
      </c>
      <c r="I981" s="130" t="str">
        <f>_xlfn.IFNA(VLOOKUP(D981,ProductListTbl[],8,0),"")</f>
        <v/>
      </c>
      <c r="J981" s="127"/>
      <c r="K981" s="129"/>
      <c r="L981" s="128"/>
      <c r="M981" s="305" t="str">
        <f>IFERROR(Table3[[#This Row],[Quantity (doses)]]/Table3[[#This Row],[Doses per vial or syringe]],"")</f>
        <v/>
      </c>
      <c r="N981" s="127"/>
      <c r="O981" s="127"/>
      <c r="P981" s="381"/>
      <c r="Q981" s="129"/>
      <c r="R981" s="127"/>
      <c r="S981" s="127"/>
      <c r="T981" s="127"/>
      <c r="U981" s="127"/>
      <c r="V981" s="305" t="str">
        <f>_xlfn.IFNA(VLOOKUP(D981,ProductListTbl[],9,0),"")</f>
        <v/>
      </c>
      <c r="W981" s="305" t="str">
        <f>IFERROR(Table3[[#This Row],[Storage space per secondary packaging (cm3)]]*Table3[[#This Row],[Quantity  (vials or syringes)]]/1000,"")</f>
        <v/>
      </c>
      <c r="X981" s="305" t="str">
        <f>IFERROR(Table3[[#This Row],[Storage space per tertiary packaging (cm3)]]*Table3[[#This Row],[Quantity (doses)]]/1000,"")</f>
        <v/>
      </c>
      <c r="Y981" s="293" t="str">
        <f>IF(Table3[[#This Row],[Status]]="Ordered",(DATE(YEAR(P981),MONTH(P981),1)),IF(Table3[[#This Row],[Status]]="Received",(DATE(YEAR(Q981),MONTH(Q981),1)),""))</f>
        <v/>
      </c>
      <c r="Z981" s="304" t="str">
        <f t="shared" si="60"/>
        <v/>
      </c>
      <c r="AA981" s="48" t="str">
        <f t="shared" si="61"/>
        <v/>
      </c>
      <c r="AB981" s="48" t="str">
        <f t="shared" si="62"/>
        <v/>
      </c>
      <c r="AC981" s="292" t="str">
        <f t="shared" si="63"/>
        <v/>
      </c>
      <c r="AD981" s="48" t="str">
        <f>IF(Table3[[#This Row],[Actual Arrival date]]&gt;0,IF(Table3[[#This Row],[Expected arrival date]]&gt;0,Table3[[#This Row],[Actual Arrival date]]-Table3[[#This Row],[Expected arrival date]],""),"")</f>
        <v/>
      </c>
    </row>
    <row r="982" spans="1:30" x14ac:dyDescent="0.25">
      <c r="A982" s="303" t="str">
        <f>Start!$D$7</f>
        <v>Anyland</v>
      </c>
      <c r="B982" s="48" t="str">
        <f>_xlfn.IFNA(VLOOKUP(A982,list!B:C,2,FALSE),"")</f>
        <v>ANY</v>
      </c>
      <c r="C982" s="48"/>
      <c r="D982" s="127"/>
      <c r="E982" s="48" t="str">
        <f>_xlfn.IFNA(VLOOKUP(Table3[[#This Row],[Product]], ProductListTbl[], 3, 0), "")</f>
        <v/>
      </c>
      <c r="F982" s="303" t="str">
        <f>_xlfn.IFNA(VLOOKUP(D982,ProductListTbl[],5,0),"")</f>
        <v/>
      </c>
      <c r="G982" s="303" t="str">
        <f>_xlfn.IFNA(VLOOKUP(D982,ProductListTbl[],6,0),"")</f>
        <v/>
      </c>
      <c r="H982" s="130" t="str">
        <f>_xlfn.IFNA(VLOOKUP(D982,ProductListTbl[],7,0),"")</f>
        <v/>
      </c>
      <c r="I982" s="130" t="str">
        <f>_xlfn.IFNA(VLOOKUP(D982,ProductListTbl[],8,0),"")</f>
        <v/>
      </c>
      <c r="J982" s="127"/>
      <c r="K982" s="129"/>
      <c r="L982" s="128"/>
      <c r="M982" s="305" t="str">
        <f>IFERROR(Table3[[#This Row],[Quantity (doses)]]/Table3[[#This Row],[Doses per vial or syringe]],"")</f>
        <v/>
      </c>
      <c r="N982" s="127"/>
      <c r="O982" s="127"/>
      <c r="P982" s="381"/>
      <c r="Q982" s="129"/>
      <c r="R982" s="127"/>
      <c r="S982" s="127"/>
      <c r="T982" s="127"/>
      <c r="U982" s="127"/>
      <c r="V982" s="305" t="str">
        <f>_xlfn.IFNA(VLOOKUP(D982,ProductListTbl[],9,0),"")</f>
        <v/>
      </c>
      <c r="W982" s="305" t="str">
        <f>IFERROR(Table3[[#This Row],[Storage space per secondary packaging (cm3)]]*Table3[[#This Row],[Quantity  (vials or syringes)]]/1000,"")</f>
        <v/>
      </c>
      <c r="X982" s="305" t="str">
        <f>IFERROR(Table3[[#This Row],[Storage space per tertiary packaging (cm3)]]*Table3[[#This Row],[Quantity (doses)]]/1000,"")</f>
        <v/>
      </c>
      <c r="Y982" s="293" t="str">
        <f>IF(Table3[[#This Row],[Status]]="Ordered",(DATE(YEAR(P982),MONTH(P982),1)),IF(Table3[[#This Row],[Status]]="Received",(DATE(YEAR(Q982),MONTH(Q982),1)),""))</f>
        <v/>
      </c>
      <c r="Z982" s="304" t="str">
        <f t="shared" si="60"/>
        <v/>
      </c>
      <c r="AA982" s="48" t="str">
        <f t="shared" si="61"/>
        <v/>
      </c>
      <c r="AB982" s="48" t="str">
        <f t="shared" si="62"/>
        <v/>
      </c>
      <c r="AC982" s="292" t="str">
        <f t="shared" si="63"/>
        <v/>
      </c>
      <c r="AD982" s="48" t="str">
        <f>IF(Table3[[#This Row],[Actual Arrival date]]&gt;0,IF(Table3[[#This Row],[Expected arrival date]]&gt;0,Table3[[#This Row],[Actual Arrival date]]-Table3[[#This Row],[Expected arrival date]],""),"")</f>
        <v/>
      </c>
    </row>
    <row r="983" spans="1:30" x14ac:dyDescent="0.25">
      <c r="A983" s="303" t="str">
        <f>Start!$D$7</f>
        <v>Anyland</v>
      </c>
      <c r="B983" s="48" t="str">
        <f>_xlfn.IFNA(VLOOKUP(A983,list!B:C,2,FALSE),"")</f>
        <v>ANY</v>
      </c>
      <c r="C983" s="48"/>
      <c r="D983" s="127"/>
      <c r="E983" s="48" t="str">
        <f>_xlfn.IFNA(VLOOKUP(Table3[[#This Row],[Product]], ProductListTbl[], 3, 0), "")</f>
        <v/>
      </c>
      <c r="F983" s="303" t="str">
        <f>_xlfn.IFNA(VLOOKUP(D983,ProductListTbl[],5,0),"")</f>
        <v/>
      </c>
      <c r="G983" s="303" t="str">
        <f>_xlfn.IFNA(VLOOKUP(D983,ProductListTbl[],6,0),"")</f>
        <v/>
      </c>
      <c r="H983" s="130" t="str">
        <f>_xlfn.IFNA(VLOOKUP(D983,ProductListTbl[],7,0),"")</f>
        <v/>
      </c>
      <c r="I983" s="130" t="str">
        <f>_xlfn.IFNA(VLOOKUP(D983,ProductListTbl[],8,0),"")</f>
        <v/>
      </c>
      <c r="J983" s="127"/>
      <c r="K983" s="129"/>
      <c r="L983" s="128"/>
      <c r="M983" s="305" t="str">
        <f>IFERROR(Table3[[#This Row],[Quantity (doses)]]/Table3[[#This Row],[Doses per vial or syringe]],"")</f>
        <v/>
      </c>
      <c r="N983" s="127"/>
      <c r="O983" s="127"/>
      <c r="P983" s="381"/>
      <c r="Q983" s="129"/>
      <c r="R983" s="127"/>
      <c r="S983" s="127"/>
      <c r="T983" s="127"/>
      <c r="U983" s="127"/>
      <c r="V983" s="305" t="str">
        <f>_xlfn.IFNA(VLOOKUP(D983,ProductListTbl[],9,0),"")</f>
        <v/>
      </c>
      <c r="W983" s="305" t="str">
        <f>IFERROR(Table3[[#This Row],[Storage space per secondary packaging (cm3)]]*Table3[[#This Row],[Quantity  (vials or syringes)]]/1000,"")</f>
        <v/>
      </c>
      <c r="X983" s="305" t="str">
        <f>IFERROR(Table3[[#This Row],[Storage space per tertiary packaging (cm3)]]*Table3[[#This Row],[Quantity (doses)]]/1000,"")</f>
        <v/>
      </c>
      <c r="Y983" s="293" t="str">
        <f>IF(Table3[[#This Row],[Status]]="Ordered",(DATE(YEAR(P983),MONTH(P983),1)),IF(Table3[[#This Row],[Status]]="Received",(DATE(YEAR(Q983),MONTH(Q983),1)),""))</f>
        <v/>
      </c>
      <c r="Z983" s="304" t="str">
        <f t="shared" si="60"/>
        <v/>
      </c>
      <c r="AA983" s="48" t="str">
        <f t="shared" si="61"/>
        <v/>
      </c>
      <c r="AB983" s="48" t="str">
        <f t="shared" si="62"/>
        <v/>
      </c>
      <c r="AC983" s="292" t="str">
        <f t="shared" si="63"/>
        <v/>
      </c>
      <c r="AD983" s="48" t="str">
        <f>IF(Table3[[#This Row],[Actual Arrival date]]&gt;0,IF(Table3[[#This Row],[Expected arrival date]]&gt;0,Table3[[#This Row],[Actual Arrival date]]-Table3[[#This Row],[Expected arrival date]],""),"")</f>
        <v/>
      </c>
    </row>
    <row r="984" spans="1:30" x14ac:dyDescent="0.25">
      <c r="A984" s="303" t="str">
        <f>Start!$D$7</f>
        <v>Anyland</v>
      </c>
      <c r="B984" s="48" t="str">
        <f>_xlfn.IFNA(VLOOKUP(A984,list!B:C,2,FALSE),"")</f>
        <v>ANY</v>
      </c>
      <c r="C984" s="48"/>
      <c r="D984" s="127"/>
      <c r="E984" s="48" t="str">
        <f>_xlfn.IFNA(VLOOKUP(Table3[[#This Row],[Product]], ProductListTbl[], 3, 0), "")</f>
        <v/>
      </c>
      <c r="F984" s="303" t="str">
        <f>_xlfn.IFNA(VLOOKUP(D984,ProductListTbl[],5,0),"")</f>
        <v/>
      </c>
      <c r="G984" s="303" t="str">
        <f>_xlfn.IFNA(VLOOKUP(D984,ProductListTbl[],6,0),"")</f>
        <v/>
      </c>
      <c r="H984" s="130" t="str">
        <f>_xlfn.IFNA(VLOOKUP(D984,ProductListTbl[],7,0),"")</f>
        <v/>
      </c>
      <c r="I984" s="130" t="str">
        <f>_xlfn.IFNA(VLOOKUP(D984,ProductListTbl[],8,0),"")</f>
        <v/>
      </c>
      <c r="J984" s="127"/>
      <c r="K984" s="129"/>
      <c r="L984" s="128"/>
      <c r="M984" s="305" t="str">
        <f>IFERROR(Table3[[#This Row],[Quantity (doses)]]/Table3[[#This Row],[Doses per vial or syringe]],"")</f>
        <v/>
      </c>
      <c r="N984" s="127"/>
      <c r="O984" s="127"/>
      <c r="P984" s="381"/>
      <c r="Q984" s="129"/>
      <c r="R984" s="127"/>
      <c r="S984" s="127"/>
      <c r="T984" s="127"/>
      <c r="U984" s="127"/>
      <c r="V984" s="305" t="str">
        <f>_xlfn.IFNA(VLOOKUP(D984,ProductListTbl[],9,0),"")</f>
        <v/>
      </c>
      <c r="W984" s="305" t="str">
        <f>IFERROR(Table3[[#This Row],[Storage space per secondary packaging (cm3)]]*Table3[[#This Row],[Quantity  (vials or syringes)]]/1000,"")</f>
        <v/>
      </c>
      <c r="X984" s="305" t="str">
        <f>IFERROR(Table3[[#This Row],[Storage space per tertiary packaging (cm3)]]*Table3[[#This Row],[Quantity (doses)]]/1000,"")</f>
        <v/>
      </c>
      <c r="Y984" s="293" t="str">
        <f>IF(Table3[[#This Row],[Status]]="Ordered",(DATE(YEAR(P984),MONTH(P984),1)),IF(Table3[[#This Row],[Status]]="Received",(DATE(YEAR(Q984),MONTH(Q984),1)),""))</f>
        <v/>
      </c>
      <c r="Z984" s="304" t="str">
        <f t="shared" si="60"/>
        <v/>
      </c>
      <c r="AA984" s="48" t="str">
        <f t="shared" si="61"/>
        <v/>
      </c>
      <c r="AB984" s="48" t="str">
        <f t="shared" si="62"/>
        <v/>
      </c>
      <c r="AC984" s="292" t="str">
        <f t="shared" si="63"/>
        <v/>
      </c>
      <c r="AD984" s="48" t="str">
        <f>IF(Table3[[#This Row],[Actual Arrival date]]&gt;0,IF(Table3[[#This Row],[Expected arrival date]]&gt;0,Table3[[#This Row],[Actual Arrival date]]-Table3[[#This Row],[Expected arrival date]],""),"")</f>
        <v/>
      </c>
    </row>
    <row r="985" spans="1:30" x14ac:dyDescent="0.25">
      <c r="A985" s="303" t="str">
        <f>Start!$D$7</f>
        <v>Anyland</v>
      </c>
      <c r="B985" s="48" t="str">
        <f>_xlfn.IFNA(VLOOKUP(A985,list!B:C,2,FALSE),"")</f>
        <v>ANY</v>
      </c>
      <c r="C985" s="48"/>
      <c r="D985" s="127"/>
      <c r="E985" s="48" t="str">
        <f>_xlfn.IFNA(VLOOKUP(Table3[[#This Row],[Product]], ProductListTbl[], 3, 0), "")</f>
        <v/>
      </c>
      <c r="F985" s="303" t="str">
        <f>_xlfn.IFNA(VLOOKUP(D985,ProductListTbl[],5,0),"")</f>
        <v/>
      </c>
      <c r="G985" s="303" t="str">
        <f>_xlfn.IFNA(VLOOKUP(D985,ProductListTbl[],6,0),"")</f>
        <v/>
      </c>
      <c r="H985" s="130" t="str">
        <f>_xlfn.IFNA(VLOOKUP(D985,ProductListTbl[],7,0),"")</f>
        <v/>
      </c>
      <c r="I985" s="130" t="str">
        <f>_xlfn.IFNA(VLOOKUP(D985,ProductListTbl[],8,0),"")</f>
        <v/>
      </c>
      <c r="J985" s="127"/>
      <c r="K985" s="129"/>
      <c r="L985" s="128"/>
      <c r="M985" s="305" t="str">
        <f>IFERROR(Table3[[#This Row],[Quantity (doses)]]/Table3[[#This Row],[Doses per vial or syringe]],"")</f>
        <v/>
      </c>
      <c r="N985" s="127"/>
      <c r="O985" s="127"/>
      <c r="P985" s="381"/>
      <c r="Q985" s="129"/>
      <c r="R985" s="127"/>
      <c r="S985" s="127"/>
      <c r="T985" s="127"/>
      <c r="U985" s="127"/>
      <c r="V985" s="305" t="str">
        <f>_xlfn.IFNA(VLOOKUP(D985,ProductListTbl[],9,0),"")</f>
        <v/>
      </c>
      <c r="W985" s="305" t="str">
        <f>IFERROR(Table3[[#This Row],[Storage space per secondary packaging (cm3)]]*Table3[[#This Row],[Quantity  (vials or syringes)]]/1000,"")</f>
        <v/>
      </c>
      <c r="X985" s="305" t="str">
        <f>IFERROR(Table3[[#This Row],[Storage space per tertiary packaging (cm3)]]*Table3[[#This Row],[Quantity (doses)]]/1000,"")</f>
        <v/>
      </c>
      <c r="Y985" s="293" t="str">
        <f>IF(Table3[[#This Row],[Status]]="Ordered",(DATE(YEAR(P985),MONTH(P985),1)),IF(Table3[[#This Row],[Status]]="Received",(DATE(YEAR(Q985),MONTH(Q985),1)),""))</f>
        <v/>
      </c>
      <c r="Z985" s="304" t="str">
        <f t="shared" si="60"/>
        <v/>
      </c>
      <c r="AA985" s="48" t="str">
        <f t="shared" si="61"/>
        <v/>
      </c>
      <c r="AB985" s="48" t="str">
        <f t="shared" si="62"/>
        <v/>
      </c>
      <c r="AC985" s="292" t="str">
        <f t="shared" si="63"/>
        <v/>
      </c>
      <c r="AD985" s="48" t="str">
        <f>IF(Table3[[#This Row],[Actual Arrival date]]&gt;0,IF(Table3[[#This Row],[Expected arrival date]]&gt;0,Table3[[#This Row],[Actual Arrival date]]-Table3[[#This Row],[Expected arrival date]],""),"")</f>
        <v/>
      </c>
    </row>
    <row r="986" spans="1:30" x14ac:dyDescent="0.25">
      <c r="A986" s="303" t="str">
        <f>Start!$D$7</f>
        <v>Anyland</v>
      </c>
      <c r="B986" s="48" t="str">
        <f>_xlfn.IFNA(VLOOKUP(A986,list!B:C,2,FALSE),"")</f>
        <v>ANY</v>
      </c>
      <c r="C986" s="48"/>
      <c r="D986" s="127"/>
      <c r="E986" s="48" t="str">
        <f>_xlfn.IFNA(VLOOKUP(Table3[[#This Row],[Product]], ProductListTbl[], 3, 0), "")</f>
        <v/>
      </c>
      <c r="F986" s="303" t="str">
        <f>_xlfn.IFNA(VLOOKUP(D986,ProductListTbl[],5,0),"")</f>
        <v/>
      </c>
      <c r="G986" s="303" t="str">
        <f>_xlfn.IFNA(VLOOKUP(D986,ProductListTbl[],6,0),"")</f>
        <v/>
      </c>
      <c r="H986" s="130" t="str">
        <f>_xlfn.IFNA(VLOOKUP(D986,ProductListTbl[],7,0),"")</f>
        <v/>
      </c>
      <c r="I986" s="130" t="str">
        <f>_xlfn.IFNA(VLOOKUP(D986,ProductListTbl[],8,0),"")</f>
        <v/>
      </c>
      <c r="J986" s="127"/>
      <c r="K986" s="129"/>
      <c r="L986" s="128"/>
      <c r="M986" s="305" t="str">
        <f>IFERROR(Table3[[#This Row],[Quantity (doses)]]/Table3[[#This Row],[Doses per vial or syringe]],"")</f>
        <v/>
      </c>
      <c r="N986" s="127"/>
      <c r="O986" s="127"/>
      <c r="P986" s="381"/>
      <c r="Q986" s="129"/>
      <c r="R986" s="127"/>
      <c r="S986" s="127"/>
      <c r="T986" s="127"/>
      <c r="U986" s="127"/>
      <c r="V986" s="305" t="str">
        <f>_xlfn.IFNA(VLOOKUP(D986,ProductListTbl[],9,0),"")</f>
        <v/>
      </c>
      <c r="W986" s="305" t="str">
        <f>IFERROR(Table3[[#This Row],[Storage space per secondary packaging (cm3)]]*Table3[[#This Row],[Quantity  (vials or syringes)]]/1000,"")</f>
        <v/>
      </c>
      <c r="X986" s="305" t="str">
        <f>IFERROR(Table3[[#This Row],[Storage space per tertiary packaging (cm3)]]*Table3[[#This Row],[Quantity (doses)]]/1000,"")</f>
        <v/>
      </c>
      <c r="Y986" s="293" t="str">
        <f>IF(Table3[[#This Row],[Status]]="Ordered",(DATE(YEAR(P986),MONTH(P986),1)),IF(Table3[[#This Row],[Status]]="Received",(DATE(YEAR(Q986),MONTH(Q986),1)),""))</f>
        <v/>
      </c>
      <c r="Z986" s="304" t="str">
        <f t="shared" si="60"/>
        <v/>
      </c>
      <c r="AA986" s="48" t="str">
        <f t="shared" si="61"/>
        <v/>
      </c>
      <c r="AB986" s="48" t="str">
        <f t="shared" si="62"/>
        <v/>
      </c>
      <c r="AC986" s="292" t="str">
        <f t="shared" si="63"/>
        <v/>
      </c>
      <c r="AD986" s="48" t="str">
        <f>IF(Table3[[#This Row],[Actual Arrival date]]&gt;0,IF(Table3[[#This Row],[Expected arrival date]]&gt;0,Table3[[#This Row],[Actual Arrival date]]-Table3[[#This Row],[Expected arrival date]],""),"")</f>
        <v/>
      </c>
    </row>
    <row r="987" spans="1:30" x14ac:dyDescent="0.25">
      <c r="A987" s="303" t="str">
        <f>Start!$D$7</f>
        <v>Anyland</v>
      </c>
      <c r="B987" s="48" t="str">
        <f>_xlfn.IFNA(VLOOKUP(A987,list!B:C,2,FALSE),"")</f>
        <v>ANY</v>
      </c>
      <c r="C987" s="48"/>
      <c r="D987" s="127"/>
      <c r="E987" s="48" t="str">
        <f>_xlfn.IFNA(VLOOKUP(Table3[[#This Row],[Product]], ProductListTbl[], 3, 0), "")</f>
        <v/>
      </c>
      <c r="F987" s="303" t="str">
        <f>_xlfn.IFNA(VLOOKUP(D987,ProductListTbl[],5,0),"")</f>
        <v/>
      </c>
      <c r="G987" s="303" t="str">
        <f>_xlfn.IFNA(VLOOKUP(D987,ProductListTbl[],6,0),"")</f>
        <v/>
      </c>
      <c r="H987" s="130" t="str">
        <f>_xlfn.IFNA(VLOOKUP(D987,ProductListTbl[],7,0),"")</f>
        <v/>
      </c>
      <c r="I987" s="130" t="str">
        <f>_xlfn.IFNA(VLOOKUP(D987,ProductListTbl[],8,0),"")</f>
        <v/>
      </c>
      <c r="J987" s="127"/>
      <c r="K987" s="129"/>
      <c r="L987" s="128"/>
      <c r="M987" s="305" t="str">
        <f>IFERROR(Table3[[#This Row],[Quantity (doses)]]/Table3[[#This Row],[Doses per vial or syringe]],"")</f>
        <v/>
      </c>
      <c r="N987" s="127"/>
      <c r="O987" s="127"/>
      <c r="P987" s="381"/>
      <c r="Q987" s="129"/>
      <c r="R987" s="127"/>
      <c r="S987" s="127"/>
      <c r="T987" s="127"/>
      <c r="U987" s="127"/>
      <c r="V987" s="305" t="str">
        <f>_xlfn.IFNA(VLOOKUP(D987,ProductListTbl[],9,0),"")</f>
        <v/>
      </c>
      <c r="W987" s="305" t="str">
        <f>IFERROR(Table3[[#This Row],[Storage space per secondary packaging (cm3)]]*Table3[[#This Row],[Quantity  (vials or syringes)]]/1000,"")</f>
        <v/>
      </c>
      <c r="X987" s="305" t="str">
        <f>IFERROR(Table3[[#This Row],[Storage space per tertiary packaging (cm3)]]*Table3[[#This Row],[Quantity (doses)]]/1000,"")</f>
        <v/>
      </c>
      <c r="Y987" s="293" t="str">
        <f>IF(Table3[[#This Row],[Status]]="Ordered",(DATE(YEAR(P987),MONTH(P987),1)),IF(Table3[[#This Row],[Status]]="Received",(DATE(YEAR(Q987),MONTH(Q987),1)),""))</f>
        <v/>
      </c>
      <c r="Z987" s="304" t="str">
        <f t="shared" si="60"/>
        <v/>
      </c>
      <c r="AA987" s="48" t="str">
        <f t="shared" si="61"/>
        <v/>
      </c>
      <c r="AB987" s="48" t="str">
        <f t="shared" si="62"/>
        <v/>
      </c>
      <c r="AC987" s="292" t="str">
        <f t="shared" si="63"/>
        <v/>
      </c>
      <c r="AD987" s="48" t="str">
        <f>IF(Table3[[#This Row],[Actual Arrival date]]&gt;0,IF(Table3[[#This Row],[Expected arrival date]]&gt;0,Table3[[#This Row],[Actual Arrival date]]-Table3[[#This Row],[Expected arrival date]],""),"")</f>
        <v/>
      </c>
    </row>
    <row r="988" spans="1:30" x14ac:dyDescent="0.25">
      <c r="A988" s="303" t="str">
        <f>Start!$D$7</f>
        <v>Anyland</v>
      </c>
      <c r="B988" s="48" t="str">
        <f>_xlfn.IFNA(VLOOKUP(A988,list!B:C,2,FALSE),"")</f>
        <v>ANY</v>
      </c>
      <c r="C988" s="48"/>
      <c r="D988" s="127"/>
      <c r="E988" s="48" t="str">
        <f>_xlfn.IFNA(VLOOKUP(Table3[[#This Row],[Product]], ProductListTbl[], 3, 0), "")</f>
        <v/>
      </c>
      <c r="F988" s="303" t="str">
        <f>_xlfn.IFNA(VLOOKUP(D988,ProductListTbl[],5,0),"")</f>
        <v/>
      </c>
      <c r="G988" s="303" t="str">
        <f>_xlfn.IFNA(VLOOKUP(D988,ProductListTbl[],6,0),"")</f>
        <v/>
      </c>
      <c r="H988" s="130" t="str">
        <f>_xlfn.IFNA(VLOOKUP(D988,ProductListTbl[],7,0),"")</f>
        <v/>
      </c>
      <c r="I988" s="130" t="str">
        <f>_xlfn.IFNA(VLOOKUP(D988,ProductListTbl[],8,0),"")</f>
        <v/>
      </c>
      <c r="J988" s="127"/>
      <c r="K988" s="129"/>
      <c r="L988" s="128"/>
      <c r="M988" s="305" t="str">
        <f>IFERROR(Table3[[#This Row],[Quantity (doses)]]/Table3[[#This Row],[Doses per vial or syringe]],"")</f>
        <v/>
      </c>
      <c r="N988" s="127"/>
      <c r="O988" s="127"/>
      <c r="P988" s="381"/>
      <c r="Q988" s="129"/>
      <c r="R988" s="127"/>
      <c r="S988" s="127"/>
      <c r="T988" s="127"/>
      <c r="U988" s="127"/>
      <c r="V988" s="305" t="str">
        <f>_xlfn.IFNA(VLOOKUP(D988,ProductListTbl[],9,0),"")</f>
        <v/>
      </c>
      <c r="W988" s="305" t="str">
        <f>IFERROR(Table3[[#This Row],[Storage space per secondary packaging (cm3)]]*Table3[[#This Row],[Quantity  (vials or syringes)]]/1000,"")</f>
        <v/>
      </c>
      <c r="X988" s="305" t="str">
        <f>IFERROR(Table3[[#This Row],[Storage space per tertiary packaging (cm3)]]*Table3[[#This Row],[Quantity (doses)]]/1000,"")</f>
        <v/>
      </c>
      <c r="Y988" s="293" t="str">
        <f>IF(Table3[[#This Row],[Status]]="Ordered",(DATE(YEAR(P988),MONTH(P988),1)),IF(Table3[[#This Row],[Status]]="Received",(DATE(YEAR(Q988),MONTH(Q988),1)),""))</f>
        <v/>
      </c>
      <c r="Z988" s="304" t="str">
        <f t="shared" si="60"/>
        <v/>
      </c>
      <c r="AA988" s="48" t="str">
        <f t="shared" si="61"/>
        <v/>
      </c>
      <c r="AB988" s="48" t="str">
        <f t="shared" si="62"/>
        <v/>
      </c>
      <c r="AC988" s="292" t="str">
        <f t="shared" si="63"/>
        <v/>
      </c>
      <c r="AD988" s="48" t="str">
        <f>IF(Table3[[#This Row],[Actual Arrival date]]&gt;0,IF(Table3[[#This Row],[Expected arrival date]]&gt;0,Table3[[#This Row],[Actual Arrival date]]-Table3[[#This Row],[Expected arrival date]],""),"")</f>
        <v/>
      </c>
    </row>
    <row r="989" spans="1:30" x14ac:dyDescent="0.25">
      <c r="A989" s="303" t="str">
        <f>Start!$D$7</f>
        <v>Anyland</v>
      </c>
      <c r="B989" s="48" t="str">
        <f>_xlfn.IFNA(VLOOKUP(A989,list!B:C,2,FALSE),"")</f>
        <v>ANY</v>
      </c>
      <c r="C989" s="48"/>
      <c r="D989" s="127"/>
      <c r="E989" s="48" t="str">
        <f>_xlfn.IFNA(VLOOKUP(Table3[[#This Row],[Product]], ProductListTbl[], 3, 0), "")</f>
        <v/>
      </c>
      <c r="F989" s="303" t="str">
        <f>_xlfn.IFNA(VLOOKUP(D989,ProductListTbl[],5,0),"")</f>
        <v/>
      </c>
      <c r="G989" s="303" t="str">
        <f>_xlfn.IFNA(VLOOKUP(D989,ProductListTbl[],6,0),"")</f>
        <v/>
      </c>
      <c r="H989" s="130" t="str">
        <f>_xlfn.IFNA(VLOOKUP(D989,ProductListTbl[],7,0),"")</f>
        <v/>
      </c>
      <c r="I989" s="130" t="str">
        <f>_xlfn.IFNA(VLOOKUP(D989,ProductListTbl[],8,0),"")</f>
        <v/>
      </c>
      <c r="J989" s="127"/>
      <c r="K989" s="129"/>
      <c r="L989" s="128"/>
      <c r="M989" s="305" t="str">
        <f>IFERROR(Table3[[#This Row],[Quantity (doses)]]/Table3[[#This Row],[Doses per vial or syringe]],"")</f>
        <v/>
      </c>
      <c r="N989" s="127"/>
      <c r="O989" s="127"/>
      <c r="P989" s="381"/>
      <c r="Q989" s="129"/>
      <c r="R989" s="127"/>
      <c r="S989" s="127"/>
      <c r="T989" s="127"/>
      <c r="U989" s="127"/>
      <c r="V989" s="305" t="str">
        <f>_xlfn.IFNA(VLOOKUP(D989,ProductListTbl[],9,0),"")</f>
        <v/>
      </c>
      <c r="W989" s="305" t="str">
        <f>IFERROR(Table3[[#This Row],[Storage space per secondary packaging (cm3)]]*Table3[[#This Row],[Quantity  (vials or syringes)]]/1000,"")</f>
        <v/>
      </c>
      <c r="X989" s="305" t="str">
        <f>IFERROR(Table3[[#This Row],[Storage space per tertiary packaging (cm3)]]*Table3[[#This Row],[Quantity (doses)]]/1000,"")</f>
        <v/>
      </c>
      <c r="Y989" s="293" t="str">
        <f>IF(Table3[[#This Row],[Status]]="Ordered",(DATE(YEAR(P989),MONTH(P989),1)),IF(Table3[[#This Row],[Status]]="Received",(DATE(YEAR(Q989),MONTH(Q989),1)),""))</f>
        <v/>
      </c>
      <c r="Z989" s="304" t="str">
        <f t="shared" si="60"/>
        <v/>
      </c>
      <c r="AA989" s="48" t="str">
        <f t="shared" si="61"/>
        <v/>
      </c>
      <c r="AB989" s="48" t="str">
        <f t="shared" si="62"/>
        <v/>
      </c>
      <c r="AC989" s="292" t="str">
        <f t="shared" si="63"/>
        <v/>
      </c>
      <c r="AD989" s="48" t="str">
        <f>IF(Table3[[#This Row],[Actual Arrival date]]&gt;0,IF(Table3[[#This Row],[Expected arrival date]]&gt;0,Table3[[#This Row],[Actual Arrival date]]-Table3[[#This Row],[Expected arrival date]],""),"")</f>
        <v/>
      </c>
    </row>
    <row r="990" spans="1:30" x14ac:dyDescent="0.25">
      <c r="A990" s="303" t="str">
        <f>Start!$D$7</f>
        <v>Anyland</v>
      </c>
      <c r="B990" s="48" t="str">
        <f>_xlfn.IFNA(VLOOKUP(A990,list!B:C,2,FALSE),"")</f>
        <v>ANY</v>
      </c>
      <c r="C990" s="48"/>
      <c r="D990" s="127"/>
      <c r="E990" s="48" t="str">
        <f>_xlfn.IFNA(VLOOKUP(Table3[[#This Row],[Product]], ProductListTbl[], 3, 0), "")</f>
        <v/>
      </c>
      <c r="F990" s="303" t="str">
        <f>_xlfn.IFNA(VLOOKUP(D990,ProductListTbl[],5,0),"")</f>
        <v/>
      </c>
      <c r="G990" s="303" t="str">
        <f>_xlfn.IFNA(VLOOKUP(D990,ProductListTbl[],6,0),"")</f>
        <v/>
      </c>
      <c r="H990" s="130" t="str">
        <f>_xlfn.IFNA(VLOOKUP(D990,ProductListTbl[],7,0),"")</f>
        <v/>
      </c>
      <c r="I990" s="130" t="str">
        <f>_xlfn.IFNA(VLOOKUP(D990,ProductListTbl[],8,0),"")</f>
        <v/>
      </c>
      <c r="J990" s="127"/>
      <c r="K990" s="129"/>
      <c r="L990" s="128"/>
      <c r="M990" s="305" t="str">
        <f>IFERROR(Table3[[#This Row],[Quantity (doses)]]/Table3[[#This Row],[Doses per vial or syringe]],"")</f>
        <v/>
      </c>
      <c r="N990" s="127"/>
      <c r="O990" s="127"/>
      <c r="P990" s="381"/>
      <c r="Q990" s="129"/>
      <c r="R990" s="127"/>
      <c r="S990" s="127"/>
      <c r="T990" s="127"/>
      <c r="U990" s="127"/>
      <c r="V990" s="305" t="str">
        <f>_xlfn.IFNA(VLOOKUP(D990,ProductListTbl[],9,0),"")</f>
        <v/>
      </c>
      <c r="W990" s="305" t="str">
        <f>IFERROR(Table3[[#This Row],[Storage space per secondary packaging (cm3)]]*Table3[[#This Row],[Quantity  (vials or syringes)]]/1000,"")</f>
        <v/>
      </c>
      <c r="X990" s="305" t="str">
        <f>IFERROR(Table3[[#This Row],[Storage space per tertiary packaging (cm3)]]*Table3[[#This Row],[Quantity (doses)]]/1000,"")</f>
        <v/>
      </c>
      <c r="Y990" s="293" t="str">
        <f>IF(Table3[[#This Row],[Status]]="Ordered",(DATE(YEAR(P990),MONTH(P990),1)),IF(Table3[[#This Row],[Status]]="Received",(DATE(YEAR(Q990),MONTH(Q990),1)),""))</f>
        <v/>
      </c>
      <c r="Z990" s="304" t="str">
        <f t="shared" si="60"/>
        <v/>
      </c>
      <c r="AA990" s="48" t="str">
        <f t="shared" si="61"/>
        <v/>
      </c>
      <c r="AB990" s="48" t="str">
        <f t="shared" si="62"/>
        <v/>
      </c>
      <c r="AC990" s="292" t="str">
        <f t="shared" si="63"/>
        <v/>
      </c>
      <c r="AD990" s="48" t="str">
        <f>IF(Table3[[#This Row],[Actual Arrival date]]&gt;0,IF(Table3[[#This Row],[Expected arrival date]]&gt;0,Table3[[#This Row],[Actual Arrival date]]-Table3[[#This Row],[Expected arrival date]],""),"")</f>
        <v/>
      </c>
    </row>
    <row r="991" spans="1:30" x14ac:dyDescent="0.25">
      <c r="A991" s="303" t="str">
        <f>Start!$D$7</f>
        <v>Anyland</v>
      </c>
      <c r="B991" s="48" t="str">
        <f>_xlfn.IFNA(VLOOKUP(A991,list!B:C,2,FALSE),"")</f>
        <v>ANY</v>
      </c>
      <c r="C991" s="48"/>
      <c r="D991" s="127"/>
      <c r="E991" s="48" t="str">
        <f>_xlfn.IFNA(VLOOKUP(Table3[[#This Row],[Product]], ProductListTbl[], 3, 0), "")</f>
        <v/>
      </c>
      <c r="F991" s="303" t="str">
        <f>_xlfn.IFNA(VLOOKUP(D991,ProductListTbl[],5,0),"")</f>
        <v/>
      </c>
      <c r="G991" s="303" t="str">
        <f>_xlfn.IFNA(VLOOKUP(D991,ProductListTbl[],6,0),"")</f>
        <v/>
      </c>
      <c r="H991" s="130" t="str">
        <f>_xlfn.IFNA(VLOOKUP(D991,ProductListTbl[],7,0),"")</f>
        <v/>
      </c>
      <c r="I991" s="130" t="str">
        <f>_xlfn.IFNA(VLOOKUP(D991,ProductListTbl[],8,0),"")</f>
        <v/>
      </c>
      <c r="J991" s="127"/>
      <c r="K991" s="129"/>
      <c r="L991" s="128"/>
      <c r="M991" s="305" t="str">
        <f>IFERROR(Table3[[#This Row],[Quantity (doses)]]/Table3[[#This Row],[Doses per vial or syringe]],"")</f>
        <v/>
      </c>
      <c r="N991" s="127"/>
      <c r="O991" s="127"/>
      <c r="P991" s="381"/>
      <c r="Q991" s="129"/>
      <c r="R991" s="127"/>
      <c r="S991" s="127"/>
      <c r="T991" s="127"/>
      <c r="U991" s="127"/>
      <c r="V991" s="305" t="str">
        <f>_xlfn.IFNA(VLOOKUP(D991,ProductListTbl[],9,0),"")</f>
        <v/>
      </c>
      <c r="W991" s="305" t="str">
        <f>IFERROR(Table3[[#This Row],[Storage space per secondary packaging (cm3)]]*Table3[[#This Row],[Quantity  (vials or syringes)]]/1000,"")</f>
        <v/>
      </c>
      <c r="X991" s="305" t="str">
        <f>IFERROR(Table3[[#This Row],[Storage space per tertiary packaging (cm3)]]*Table3[[#This Row],[Quantity (doses)]]/1000,"")</f>
        <v/>
      </c>
      <c r="Y991" s="293" t="str">
        <f>IF(Table3[[#This Row],[Status]]="Ordered",(DATE(YEAR(P991),MONTH(P991),1)),IF(Table3[[#This Row],[Status]]="Received",(DATE(YEAR(Q991),MONTH(Q991),1)),""))</f>
        <v/>
      </c>
      <c r="Z991" s="304" t="str">
        <f t="shared" si="60"/>
        <v/>
      </c>
      <c r="AA991" s="48" t="str">
        <f t="shared" si="61"/>
        <v/>
      </c>
      <c r="AB991" s="48" t="str">
        <f t="shared" si="62"/>
        <v/>
      </c>
      <c r="AC991" s="292" t="str">
        <f t="shared" si="63"/>
        <v/>
      </c>
      <c r="AD991" s="48" t="str">
        <f>IF(Table3[[#This Row],[Actual Arrival date]]&gt;0,IF(Table3[[#This Row],[Expected arrival date]]&gt;0,Table3[[#This Row],[Actual Arrival date]]-Table3[[#This Row],[Expected arrival date]],""),"")</f>
        <v/>
      </c>
    </row>
    <row r="992" spans="1:30" x14ac:dyDescent="0.25">
      <c r="A992" s="303" t="str">
        <f>Start!$D$7</f>
        <v>Anyland</v>
      </c>
      <c r="B992" s="48" t="str">
        <f>_xlfn.IFNA(VLOOKUP(A992,list!B:C,2,FALSE),"")</f>
        <v>ANY</v>
      </c>
      <c r="C992" s="48"/>
      <c r="D992" s="127"/>
      <c r="E992" s="48" t="str">
        <f>_xlfn.IFNA(VLOOKUP(Table3[[#This Row],[Product]], ProductListTbl[], 3, 0), "")</f>
        <v/>
      </c>
      <c r="F992" s="303" t="str">
        <f>_xlfn.IFNA(VLOOKUP(D992,ProductListTbl[],5,0),"")</f>
        <v/>
      </c>
      <c r="G992" s="303" t="str">
        <f>_xlfn.IFNA(VLOOKUP(D992,ProductListTbl[],6,0),"")</f>
        <v/>
      </c>
      <c r="H992" s="130" t="str">
        <f>_xlfn.IFNA(VLOOKUP(D992,ProductListTbl[],7,0),"")</f>
        <v/>
      </c>
      <c r="I992" s="130" t="str">
        <f>_xlfn.IFNA(VLOOKUP(D992,ProductListTbl[],8,0),"")</f>
        <v/>
      </c>
      <c r="J992" s="127"/>
      <c r="K992" s="129"/>
      <c r="L992" s="128"/>
      <c r="M992" s="305" t="str">
        <f>IFERROR(Table3[[#This Row],[Quantity (doses)]]/Table3[[#This Row],[Doses per vial or syringe]],"")</f>
        <v/>
      </c>
      <c r="N992" s="127"/>
      <c r="O992" s="127"/>
      <c r="P992" s="381"/>
      <c r="Q992" s="129"/>
      <c r="R992" s="127"/>
      <c r="S992" s="127"/>
      <c r="T992" s="127"/>
      <c r="U992" s="127"/>
      <c r="V992" s="305" t="str">
        <f>_xlfn.IFNA(VLOOKUP(D992,ProductListTbl[],9,0),"")</f>
        <v/>
      </c>
      <c r="W992" s="305" t="str">
        <f>IFERROR(Table3[[#This Row],[Storage space per secondary packaging (cm3)]]*Table3[[#This Row],[Quantity  (vials or syringes)]]/1000,"")</f>
        <v/>
      </c>
      <c r="X992" s="305" t="str">
        <f>IFERROR(Table3[[#This Row],[Storage space per tertiary packaging (cm3)]]*Table3[[#This Row],[Quantity (doses)]]/1000,"")</f>
        <v/>
      </c>
      <c r="Y992" s="293" t="str">
        <f>IF(Table3[[#This Row],[Status]]="Ordered",(DATE(YEAR(P992),MONTH(P992),1)),IF(Table3[[#This Row],[Status]]="Received",(DATE(YEAR(Q992),MONTH(Q992),1)),""))</f>
        <v/>
      </c>
      <c r="Z992" s="304" t="str">
        <f t="shared" si="60"/>
        <v/>
      </c>
      <c r="AA992" s="48" t="str">
        <f t="shared" si="61"/>
        <v/>
      </c>
      <c r="AB992" s="48" t="str">
        <f t="shared" si="62"/>
        <v/>
      </c>
      <c r="AC992" s="292" t="str">
        <f t="shared" si="63"/>
        <v/>
      </c>
      <c r="AD992" s="48" t="str">
        <f>IF(Table3[[#This Row],[Actual Arrival date]]&gt;0,IF(Table3[[#This Row],[Expected arrival date]]&gt;0,Table3[[#This Row],[Actual Arrival date]]-Table3[[#This Row],[Expected arrival date]],""),"")</f>
        <v/>
      </c>
    </row>
    <row r="993" spans="1:30" x14ac:dyDescent="0.25">
      <c r="A993" s="303" t="str">
        <f>Start!$D$7</f>
        <v>Anyland</v>
      </c>
      <c r="B993" s="48" t="str">
        <f>_xlfn.IFNA(VLOOKUP(A993,list!B:C,2,FALSE),"")</f>
        <v>ANY</v>
      </c>
      <c r="C993" s="48"/>
      <c r="D993" s="127"/>
      <c r="E993" s="48" t="str">
        <f>_xlfn.IFNA(VLOOKUP(Table3[[#This Row],[Product]], ProductListTbl[], 3, 0), "")</f>
        <v/>
      </c>
      <c r="F993" s="303" t="str">
        <f>_xlfn.IFNA(VLOOKUP(D993,ProductListTbl[],5,0),"")</f>
        <v/>
      </c>
      <c r="G993" s="303" t="str">
        <f>_xlfn.IFNA(VLOOKUP(D993,ProductListTbl[],6,0),"")</f>
        <v/>
      </c>
      <c r="H993" s="130" t="str">
        <f>_xlfn.IFNA(VLOOKUP(D993,ProductListTbl[],7,0),"")</f>
        <v/>
      </c>
      <c r="I993" s="130" t="str">
        <f>_xlfn.IFNA(VLOOKUP(D993,ProductListTbl[],8,0),"")</f>
        <v/>
      </c>
      <c r="J993" s="127"/>
      <c r="K993" s="129"/>
      <c r="L993" s="128"/>
      <c r="M993" s="305" t="str">
        <f>IFERROR(Table3[[#This Row],[Quantity (doses)]]/Table3[[#This Row],[Doses per vial or syringe]],"")</f>
        <v/>
      </c>
      <c r="N993" s="127"/>
      <c r="O993" s="127"/>
      <c r="P993" s="381"/>
      <c r="Q993" s="129"/>
      <c r="R993" s="127"/>
      <c r="S993" s="127"/>
      <c r="T993" s="127"/>
      <c r="U993" s="127"/>
      <c r="V993" s="305" t="str">
        <f>_xlfn.IFNA(VLOOKUP(D993,ProductListTbl[],9,0),"")</f>
        <v/>
      </c>
      <c r="W993" s="305" t="str">
        <f>IFERROR(Table3[[#This Row],[Storage space per secondary packaging (cm3)]]*Table3[[#This Row],[Quantity  (vials or syringes)]]/1000,"")</f>
        <v/>
      </c>
      <c r="X993" s="305" t="str">
        <f>IFERROR(Table3[[#This Row],[Storage space per tertiary packaging (cm3)]]*Table3[[#This Row],[Quantity (doses)]]/1000,"")</f>
        <v/>
      </c>
      <c r="Y993" s="293" t="str">
        <f>IF(Table3[[#This Row],[Status]]="Ordered",(DATE(YEAR(P993),MONTH(P993),1)),IF(Table3[[#This Row],[Status]]="Received",(DATE(YEAR(Q993),MONTH(Q993),1)),""))</f>
        <v/>
      </c>
      <c r="Z993" s="304" t="str">
        <f t="shared" si="60"/>
        <v/>
      </c>
      <c r="AA993" s="48" t="str">
        <f t="shared" si="61"/>
        <v/>
      </c>
      <c r="AB993" s="48" t="str">
        <f t="shared" si="62"/>
        <v/>
      </c>
      <c r="AC993" s="292" t="str">
        <f t="shared" si="63"/>
        <v/>
      </c>
      <c r="AD993" s="48" t="str">
        <f>IF(Table3[[#This Row],[Actual Arrival date]]&gt;0,IF(Table3[[#This Row],[Expected arrival date]]&gt;0,Table3[[#This Row],[Actual Arrival date]]-Table3[[#This Row],[Expected arrival date]],""),"")</f>
        <v/>
      </c>
    </row>
    <row r="994" spans="1:30" x14ac:dyDescent="0.25">
      <c r="A994" s="303" t="str">
        <f>Start!$D$7</f>
        <v>Anyland</v>
      </c>
      <c r="B994" s="48" t="str">
        <f>_xlfn.IFNA(VLOOKUP(A994,list!B:C,2,FALSE),"")</f>
        <v>ANY</v>
      </c>
      <c r="C994" s="48"/>
      <c r="D994" s="127"/>
      <c r="E994" s="48" t="str">
        <f>_xlfn.IFNA(VLOOKUP(Table3[[#This Row],[Product]], ProductListTbl[], 3, 0), "")</f>
        <v/>
      </c>
      <c r="F994" s="303" t="str">
        <f>_xlfn.IFNA(VLOOKUP(D994,ProductListTbl[],5,0),"")</f>
        <v/>
      </c>
      <c r="G994" s="303" t="str">
        <f>_xlfn.IFNA(VLOOKUP(D994,ProductListTbl[],6,0),"")</f>
        <v/>
      </c>
      <c r="H994" s="130" t="str">
        <f>_xlfn.IFNA(VLOOKUP(D994,ProductListTbl[],7,0),"")</f>
        <v/>
      </c>
      <c r="I994" s="130" t="str">
        <f>_xlfn.IFNA(VLOOKUP(D994,ProductListTbl[],8,0),"")</f>
        <v/>
      </c>
      <c r="J994" s="127"/>
      <c r="K994" s="129"/>
      <c r="L994" s="128"/>
      <c r="M994" s="305" t="str">
        <f>IFERROR(Table3[[#This Row],[Quantity (doses)]]/Table3[[#This Row],[Doses per vial or syringe]],"")</f>
        <v/>
      </c>
      <c r="N994" s="127"/>
      <c r="O994" s="127"/>
      <c r="P994" s="381"/>
      <c r="Q994" s="129"/>
      <c r="R994" s="127"/>
      <c r="S994" s="127"/>
      <c r="T994" s="127"/>
      <c r="U994" s="127"/>
      <c r="V994" s="305" t="str">
        <f>_xlfn.IFNA(VLOOKUP(D994,ProductListTbl[],9,0),"")</f>
        <v/>
      </c>
      <c r="W994" s="305" t="str">
        <f>IFERROR(Table3[[#This Row],[Storage space per secondary packaging (cm3)]]*Table3[[#This Row],[Quantity  (vials or syringes)]]/1000,"")</f>
        <v/>
      </c>
      <c r="X994" s="305" t="str">
        <f>IFERROR(Table3[[#This Row],[Storage space per tertiary packaging (cm3)]]*Table3[[#This Row],[Quantity (doses)]]/1000,"")</f>
        <v/>
      </c>
      <c r="Y994" s="293" t="str">
        <f>IF(Table3[[#This Row],[Status]]="Ordered",(DATE(YEAR(P994),MONTH(P994),1)),IF(Table3[[#This Row],[Status]]="Received",(DATE(YEAR(Q994),MONTH(Q994),1)),""))</f>
        <v/>
      </c>
      <c r="Z994" s="304" t="str">
        <f t="shared" si="60"/>
        <v/>
      </c>
      <c r="AA994" s="48" t="str">
        <f t="shared" si="61"/>
        <v/>
      </c>
      <c r="AB994" s="48" t="str">
        <f t="shared" si="62"/>
        <v/>
      </c>
      <c r="AC994" s="292" t="str">
        <f t="shared" si="63"/>
        <v/>
      </c>
      <c r="AD994" s="48" t="str">
        <f>IF(Table3[[#This Row],[Actual Arrival date]]&gt;0,IF(Table3[[#This Row],[Expected arrival date]]&gt;0,Table3[[#This Row],[Actual Arrival date]]-Table3[[#This Row],[Expected arrival date]],""),"")</f>
        <v/>
      </c>
    </row>
    <row r="995" spans="1:30" x14ac:dyDescent="0.25">
      <c r="A995" s="303" t="str">
        <f>Start!$D$7</f>
        <v>Anyland</v>
      </c>
      <c r="B995" s="48" t="str">
        <f>_xlfn.IFNA(VLOOKUP(A995,list!B:C,2,FALSE),"")</f>
        <v>ANY</v>
      </c>
      <c r="C995" s="48"/>
      <c r="D995" s="127"/>
      <c r="E995" s="48" t="str">
        <f>_xlfn.IFNA(VLOOKUP(Table3[[#This Row],[Product]], ProductListTbl[], 3, 0), "")</f>
        <v/>
      </c>
      <c r="F995" s="303" t="str">
        <f>_xlfn.IFNA(VLOOKUP(D995,ProductListTbl[],5,0),"")</f>
        <v/>
      </c>
      <c r="G995" s="303" t="str">
        <f>_xlfn.IFNA(VLOOKUP(D995,ProductListTbl[],6,0),"")</f>
        <v/>
      </c>
      <c r="H995" s="130" t="str">
        <f>_xlfn.IFNA(VLOOKUP(D995,ProductListTbl[],7,0),"")</f>
        <v/>
      </c>
      <c r="I995" s="130" t="str">
        <f>_xlfn.IFNA(VLOOKUP(D995,ProductListTbl[],8,0),"")</f>
        <v/>
      </c>
      <c r="J995" s="127"/>
      <c r="K995" s="129"/>
      <c r="L995" s="128"/>
      <c r="M995" s="305" t="str">
        <f>IFERROR(Table3[[#This Row],[Quantity (doses)]]/Table3[[#This Row],[Doses per vial or syringe]],"")</f>
        <v/>
      </c>
      <c r="N995" s="127"/>
      <c r="O995" s="127"/>
      <c r="P995" s="381"/>
      <c r="Q995" s="129"/>
      <c r="R995" s="127"/>
      <c r="S995" s="127"/>
      <c r="T995" s="127"/>
      <c r="U995" s="127"/>
      <c r="V995" s="305" t="str">
        <f>_xlfn.IFNA(VLOOKUP(D995,ProductListTbl[],9,0),"")</f>
        <v/>
      </c>
      <c r="W995" s="305" t="str">
        <f>IFERROR(Table3[[#This Row],[Storage space per secondary packaging (cm3)]]*Table3[[#This Row],[Quantity  (vials or syringes)]]/1000,"")</f>
        <v/>
      </c>
      <c r="X995" s="305" t="str">
        <f>IFERROR(Table3[[#This Row],[Storage space per tertiary packaging (cm3)]]*Table3[[#This Row],[Quantity (doses)]]/1000,"")</f>
        <v/>
      </c>
      <c r="Y995" s="293" t="str">
        <f>IF(Table3[[#This Row],[Status]]="Ordered",(DATE(YEAR(P995),MONTH(P995),1)),IF(Table3[[#This Row],[Status]]="Received",(DATE(YEAR(Q995),MONTH(Q995),1)),""))</f>
        <v/>
      </c>
      <c r="Z995" s="304" t="str">
        <f t="shared" si="60"/>
        <v/>
      </c>
      <c r="AA995" s="48" t="str">
        <f t="shared" si="61"/>
        <v/>
      </c>
      <c r="AB995" s="48" t="str">
        <f t="shared" si="62"/>
        <v/>
      </c>
      <c r="AC995" s="292" t="str">
        <f t="shared" si="63"/>
        <v/>
      </c>
      <c r="AD995" s="48" t="str">
        <f>IF(Table3[[#This Row],[Actual Arrival date]]&gt;0,IF(Table3[[#This Row],[Expected arrival date]]&gt;0,Table3[[#This Row],[Actual Arrival date]]-Table3[[#This Row],[Expected arrival date]],""),"")</f>
        <v/>
      </c>
    </row>
    <row r="996" spans="1:30" x14ac:dyDescent="0.25">
      <c r="A996" s="303" t="str">
        <f>Start!$D$7</f>
        <v>Anyland</v>
      </c>
      <c r="B996" s="48" t="str">
        <f>_xlfn.IFNA(VLOOKUP(A996,list!B:C,2,FALSE),"")</f>
        <v>ANY</v>
      </c>
      <c r="C996" s="48"/>
      <c r="D996" s="127"/>
      <c r="E996" s="48" t="str">
        <f>_xlfn.IFNA(VLOOKUP(Table3[[#This Row],[Product]], ProductListTbl[], 3, 0), "")</f>
        <v/>
      </c>
      <c r="F996" s="303" t="str">
        <f>_xlfn.IFNA(VLOOKUP(D996,ProductListTbl[],5,0),"")</f>
        <v/>
      </c>
      <c r="G996" s="303" t="str">
        <f>_xlfn.IFNA(VLOOKUP(D996,ProductListTbl[],6,0),"")</f>
        <v/>
      </c>
      <c r="H996" s="130" t="str">
        <f>_xlfn.IFNA(VLOOKUP(D996,ProductListTbl[],7,0),"")</f>
        <v/>
      </c>
      <c r="I996" s="130" t="str">
        <f>_xlfn.IFNA(VLOOKUP(D996,ProductListTbl[],8,0),"")</f>
        <v/>
      </c>
      <c r="J996" s="127"/>
      <c r="K996" s="129"/>
      <c r="L996" s="128"/>
      <c r="M996" s="305" t="str">
        <f>IFERROR(Table3[[#This Row],[Quantity (doses)]]/Table3[[#This Row],[Doses per vial or syringe]],"")</f>
        <v/>
      </c>
      <c r="N996" s="127"/>
      <c r="O996" s="127"/>
      <c r="P996" s="381"/>
      <c r="Q996" s="129"/>
      <c r="R996" s="127"/>
      <c r="S996" s="127"/>
      <c r="T996" s="127"/>
      <c r="U996" s="127"/>
      <c r="V996" s="305" t="str">
        <f>_xlfn.IFNA(VLOOKUP(D996,ProductListTbl[],9,0),"")</f>
        <v/>
      </c>
      <c r="W996" s="305" t="str">
        <f>IFERROR(Table3[[#This Row],[Storage space per secondary packaging (cm3)]]*Table3[[#This Row],[Quantity  (vials or syringes)]]/1000,"")</f>
        <v/>
      </c>
      <c r="X996" s="305" t="str">
        <f>IFERROR(Table3[[#This Row],[Storage space per tertiary packaging (cm3)]]*Table3[[#This Row],[Quantity (doses)]]/1000,"")</f>
        <v/>
      </c>
      <c r="Y996" s="293" t="str">
        <f>IF(Table3[[#This Row],[Status]]="Ordered",(DATE(YEAR(P996),MONTH(P996),1)),IF(Table3[[#This Row],[Status]]="Received",(DATE(YEAR(Q996),MONTH(Q996),1)),""))</f>
        <v/>
      </c>
      <c r="Z996" s="304" t="str">
        <f t="shared" si="60"/>
        <v/>
      </c>
      <c r="AA996" s="48" t="str">
        <f t="shared" si="61"/>
        <v/>
      </c>
      <c r="AB996" s="48" t="str">
        <f t="shared" si="62"/>
        <v/>
      </c>
      <c r="AC996" s="292" t="str">
        <f t="shared" si="63"/>
        <v/>
      </c>
      <c r="AD996" s="48" t="str">
        <f>IF(Table3[[#This Row],[Actual Arrival date]]&gt;0,IF(Table3[[#This Row],[Expected arrival date]]&gt;0,Table3[[#This Row],[Actual Arrival date]]-Table3[[#This Row],[Expected arrival date]],""),"")</f>
        <v/>
      </c>
    </row>
    <row r="997" spans="1:30" x14ac:dyDescent="0.25">
      <c r="A997" s="303" t="str">
        <f>Start!$D$7</f>
        <v>Anyland</v>
      </c>
      <c r="B997" s="48" t="str">
        <f>_xlfn.IFNA(VLOOKUP(A997,list!B:C,2,FALSE),"")</f>
        <v>ANY</v>
      </c>
      <c r="C997" s="48"/>
      <c r="D997" s="127"/>
      <c r="E997" s="48" t="str">
        <f>_xlfn.IFNA(VLOOKUP(Table3[[#This Row],[Product]], ProductListTbl[], 3, 0), "")</f>
        <v/>
      </c>
      <c r="F997" s="303" t="str">
        <f>_xlfn.IFNA(VLOOKUP(D997,ProductListTbl[],5,0),"")</f>
        <v/>
      </c>
      <c r="G997" s="303" t="str">
        <f>_xlfn.IFNA(VLOOKUP(D997,ProductListTbl[],6,0),"")</f>
        <v/>
      </c>
      <c r="H997" s="130" t="str">
        <f>_xlfn.IFNA(VLOOKUP(D997,ProductListTbl[],7,0),"")</f>
        <v/>
      </c>
      <c r="I997" s="130" t="str">
        <f>_xlfn.IFNA(VLOOKUP(D997,ProductListTbl[],8,0),"")</f>
        <v/>
      </c>
      <c r="J997" s="127"/>
      <c r="K997" s="129"/>
      <c r="L997" s="128"/>
      <c r="M997" s="305" t="str">
        <f>IFERROR(Table3[[#This Row],[Quantity (doses)]]/Table3[[#This Row],[Doses per vial or syringe]],"")</f>
        <v/>
      </c>
      <c r="N997" s="127"/>
      <c r="O997" s="127"/>
      <c r="P997" s="381"/>
      <c r="Q997" s="129"/>
      <c r="R997" s="127"/>
      <c r="S997" s="127"/>
      <c r="T997" s="127"/>
      <c r="U997" s="127"/>
      <c r="V997" s="305" t="str">
        <f>_xlfn.IFNA(VLOOKUP(D997,ProductListTbl[],9,0),"")</f>
        <v/>
      </c>
      <c r="W997" s="305" t="str">
        <f>IFERROR(Table3[[#This Row],[Storage space per secondary packaging (cm3)]]*Table3[[#This Row],[Quantity  (vials or syringes)]]/1000,"")</f>
        <v/>
      </c>
      <c r="X997" s="305" t="str">
        <f>IFERROR(Table3[[#This Row],[Storage space per tertiary packaging (cm3)]]*Table3[[#This Row],[Quantity (doses)]]/1000,"")</f>
        <v/>
      </c>
      <c r="Y997" s="293" t="str">
        <f>IF(Table3[[#This Row],[Status]]="Ordered",(DATE(YEAR(P997),MONTH(P997),1)),IF(Table3[[#This Row],[Status]]="Received",(DATE(YEAR(Q997),MONTH(Q997),1)),""))</f>
        <v/>
      </c>
      <c r="Z997" s="304" t="str">
        <f t="shared" si="60"/>
        <v/>
      </c>
      <c r="AA997" s="48" t="str">
        <f t="shared" si="61"/>
        <v/>
      </c>
      <c r="AB997" s="48" t="str">
        <f t="shared" si="62"/>
        <v/>
      </c>
      <c r="AC997" s="292" t="str">
        <f t="shared" si="63"/>
        <v/>
      </c>
      <c r="AD997" s="48" t="str">
        <f>IF(Table3[[#This Row],[Actual Arrival date]]&gt;0,IF(Table3[[#This Row],[Expected arrival date]]&gt;0,Table3[[#This Row],[Actual Arrival date]]-Table3[[#This Row],[Expected arrival date]],""),"")</f>
        <v/>
      </c>
    </row>
    <row r="998" spans="1:30" x14ac:dyDescent="0.25">
      <c r="A998" s="303" t="str">
        <f>Start!$D$7</f>
        <v>Anyland</v>
      </c>
      <c r="B998" s="48" t="str">
        <f>_xlfn.IFNA(VLOOKUP(A998,list!B:C,2,FALSE),"")</f>
        <v>ANY</v>
      </c>
      <c r="C998" s="48"/>
      <c r="D998" s="127"/>
      <c r="E998" s="48" t="str">
        <f>_xlfn.IFNA(VLOOKUP(Table3[[#This Row],[Product]], ProductListTbl[], 3, 0), "")</f>
        <v/>
      </c>
      <c r="F998" s="303" t="str">
        <f>_xlfn.IFNA(VLOOKUP(D998,ProductListTbl[],5,0),"")</f>
        <v/>
      </c>
      <c r="G998" s="303" t="str">
        <f>_xlfn.IFNA(VLOOKUP(D998,ProductListTbl[],6,0),"")</f>
        <v/>
      </c>
      <c r="H998" s="130" t="str">
        <f>_xlfn.IFNA(VLOOKUP(D998,ProductListTbl[],7,0),"")</f>
        <v/>
      </c>
      <c r="I998" s="130" t="str">
        <f>_xlfn.IFNA(VLOOKUP(D998,ProductListTbl[],8,0),"")</f>
        <v/>
      </c>
      <c r="J998" s="127"/>
      <c r="K998" s="129"/>
      <c r="L998" s="128"/>
      <c r="M998" s="305" t="str">
        <f>IFERROR(Table3[[#This Row],[Quantity (doses)]]/Table3[[#This Row],[Doses per vial or syringe]],"")</f>
        <v/>
      </c>
      <c r="N998" s="127"/>
      <c r="O998" s="127"/>
      <c r="P998" s="381"/>
      <c r="Q998" s="129"/>
      <c r="R998" s="127"/>
      <c r="S998" s="127"/>
      <c r="T998" s="127"/>
      <c r="U998" s="127"/>
      <c r="V998" s="305" t="str">
        <f>_xlfn.IFNA(VLOOKUP(D998,ProductListTbl[],9,0),"")</f>
        <v/>
      </c>
      <c r="W998" s="305" t="str">
        <f>IFERROR(Table3[[#This Row],[Storage space per secondary packaging (cm3)]]*Table3[[#This Row],[Quantity  (vials or syringes)]]/1000,"")</f>
        <v/>
      </c>
      <c r="X998" s="305" t="str">
        <f>IFERROR(Table3[[#This Row],[Storage space per tertiary packaging (cm3)]]*Table3[[#This Row],[Quantity (doses)]]/1000,"")</f>
        <v/>
      </c>
      <c r="Y998" s="293" t="str">
        <f>IF(Table3[[#This Row],[Status]]="Ordered",(DATE(YEAR(P998),MONTH(P998),1)),IF(Table3[[#This Row],[Status]]="Received",(DATE(YEAR(Q998),MONTH(Q998),1)),""))</f>
        <v/>
      </c>
      <c r="Z998" s="304" t="str">
        <f t="shared" si="60"/>
        <v/>
      </c>
      <c r="AA998" s="48" t="str">
        <f t="shared" si="61"/>
        <v/>
      </c>
      <c r="AB998" s="48" t="str">
        <f t="shared" si="62"/>
        <v/>
      </c>
      <c r="AC998" s="292" t="str">
        <f t="shared" si="63"/>
        <v/>
      </c>
      <c r="AD998" s="48" t="str">
        <f>IF(Table3[[#This Row],[Actual Arrival date]]&gt;0,IF(Table3[[#This Row],[Expected arrival date]]&gt;0,Table3[[#This Row],[Actual Arrival date]]-Table3[[#This Row],[Expected arrival date]],""),"")</f>
        <v/>
      </c>
    </row>
    <row r="999" spans="1:30" x14ac:dyDescent="0.25">
      <c r="A999" s="303" t="str">
        <f>Start!$D$7</f>
        <v>Anyland</v>
      </c>
      <c r="B999" s="48" t="str">
        <f>_xlfn.IFNA(VLOOKUP(A999,list!B:C,2,FALSE),"")</f>
        <v>ANY</v>
      </c>
      <c r="C999" s="48"/>
      <c r="D999" s="127"/>
      <c r="E999" s="48" t="str">
        <f>_xlfn.IFNA(VLOOKUP(Table3[[#This Row],[Product]], ProductListTbl[], 3, 0), "")</f>
        <v/>
      </c>
      <c r="F999" s="303" t="str">
        <f>_xlfn.IFNA(VLOOKUP(D999,ProductListTbl[],5,0),"")</f>
        <v/>
      </c>
      <c r="G999" s="303" t="str">
        <f>_xlfn.IFNA(VLOOKUP(D999,ProductListTbl[],6,0),"")</f>
        <v/>
      </c>
      <c r="H999" s="130" t="str">
        <f>_xlfn.IFNA(VLOOKUP(D999,ProductListTbl[],7,0),"")</f>
        <v/>
      </c>
      <c r="I999" s="130" t="str">
        <f>_xlfn.IFNA(VLOOKUP(D999,ProductListTbl[],8,0),"")</f>
        <v/>
      </c>
      <c r="J999" s="127"/>
      <c r="K999" s="129"/>
      <c r="L999" s="128"/>
      <c r="M999" s="305" t="str">
        <f>IFERROR(Table3[[#This Row],[Quantity (doses)]]/Table3[[#This Row],[Doses per vial or syringe]],"")</f>
        <v/>
      </c>
      <c r="N999" s="127"/>
      <c r="O999" s="127"/>
      <c r="P999" s="381"/>
      <c r="Q999" s="129"/>
      <c r="R999" s="127"/>
      <c r="S999" s="127"/>
      <c r="T999" s="127"/>
      <c r="U999" s="127"/>
      <c r="V999" s="305" t="str">
        <f>_xlfn.IFNA(VLOOKUP(D999,ProductListTbl[],9,0),"")</f>
        <v/>
      </c>
      <c r="W999" s="305" t="str">
        <f>IFERROR(Table3[[#This Row],[Storage space per secondary packaging (cm3)]]*Table3[[#This Row],[Quantity  (vials or syringes)]]/1000,"")</f>
        <v/>
      </c>
      <c r="X999" s="305" t="str">
        <f>IFERROR(Table3[[#This Row],[Storage space per tertiary packaging (cm3)]]*Table3[[#This Row],[Quantity (doses)]]/1000,"")</f>
        <v/>
      </c>
      <c r="Y999" s="293" t="str">
        <f>IF(Table3[[#This Row],[Status]]="Ordered",(DATE(YEAR(P999),MONTH(P999),1)),IF(Table3[[#This Row],[Status]]="Received",(DATE(YEAR(Q999),MONTH(Q999),1)),""))</f>
        <v/>
      </c>
      <c r="Z999" s="304" t="str">
        <f t="shared" si="60"/>
        <v/>
      </c>
      <c r="AA999" s="48" t="str">
        <f t="shared" si="61"/>
        <v/>
      </c>
      <c r="AB999" s="48" t="str">
        <f t="shared" si="62"/>
        <v/>
      </c>
      <c r="AC999" s="292" t="str">
        <f t="shared" si="63"/>
        <v/>
      </c>
      <c r="AD999" s="48" t="str">
        <f>IF(Table3[[#This Row],[Actual Arrival date]]&gt;0,IF(Table3[[#This Row],[Expected arrival date]]&gt;0,Table3[[#This Row],[Actual Arrival date]]-Table3[[#This Row],[Expected arrival date]],""),"")</f>
        <v/>
      </c>
    </row>
    <row r="1000" spans="1:30" x14ac:dyDescent="0.25">
      <c r="A1000" s="303" t="str">
        <f>Start!$D$7</f>
        <v>Anyland</v>
      </c>
      <c r="B1000" s="48" t="str">
        <f>_xlfn.IFNA(VLOOKUP(A1000,list!B:C,2,FALSE),"")</f>
        <v>ANY</v>
      </c>
      <c r="C1000" s="48"/>
      <c r="D1000" s="127"/>
      <c r="E1000" s="48" t="str">
        <f>_xlfn.IFNA(VLOOKUP(Table3[[#This Row],[Product]], ProductListTbl[], 3, 0), "")</f>
        <v/>
      </c>
      <c r="F1000" s="303" t="str">
        <f>_xlfn.IFNA(VLOOKUP(D1000,ProductListTbl[],5,0),"")</f>
        <v/>
      </c>
      <c r="G1000" s="303" t="str">
        <f>_xlfn.IFNA(VLOOKUP(D1000,ProductListTbl[],6,0),"")</f>
        <v/>
      </c>
      <c r="H1000" s="130" t="str">
        <f>_xlfn.IFNA(VLOOKUP(D1000,ProductListTbl[],7,0),"")</f>
        <v/>
      </c>
      <c r="I1000" s="130" t="str">
        <f>_xlfn.IFNA(VLOOKUP(D1000,ProductListTbl[],8,0),"")</f>
        <v/>
      </c>
      <c r="J1000" s="127"/>
      <c r="K1000" s="129"/>
      <c r="L1000" s="128"/>
      <c r="M1000" s="305" t="str">
        <f>IFERROR(Table3[[#This Row],[Quantity (doses)]]/Table3[[#This Row],[Doses per vial or syringe]],"")</f>
        <v/>
      </c>
      <c r="N1000" s="127"/>
      <c r="O1000" s="127"/>
      <c r="P1000" s="381"/>
      <c r="Q1000" s="129"/>
      <c r="R1000" s="127"/>
      <c r="S1000" s="127"/>
      <c r="T1000" s="127"/>
      <c r="U1000" s="127"/>
      <c r="V1000" s="305" t="str">
        <f>_xlfn.IFNA(VLOOKUP(D1000,ProductListTbl[],9,0),"")</f>
        <v/>
      </c>
      <c r="W1000" s="305" t="str">
        <f>IFERROR(Table3[[#This Row],[Storage space per secondary packaging (cm3)]]*Table3[[#This Row],[Quantity  (vials or syringes)]]/1000,"")</f>
        <v/>
      </c>
      <c r="X1000" s="305" t="str">
        <f>IFERROR(Table3[[#This Row],[Storage space per tertiary packaging (cm3)]]*Table3[[#This Row],[Quantity (doses)]]/1000,"")</f>
        <v/>
      </c>
      <c r="Y1000" s="293" t="str">
        <f>IF(Table3[[#This Row],[Status]]="Ordered",(DATE(YEAR(P1000),MONTH(P1000),1)),IF(Table3[[#This Row],[Status]]="Received",(DATE(YEAR(Q1000),MONTH(Q1000),1)),""))</f>
        <v/>
      </c>
      <c r="Z1000" s="304" t="str">
        <f t="shared" si="60"/>
        <v/>
      </c>
      <c r="AA1000" s="48" t="str">
        <f t="shared" si="61"/>
        <v/>
      </c>
      <c r="AB1000" s="48" t="str">
        <f t="shared" si="62"/>
        <v/>
      </c>
      <c r="AC1000" s="292" t="str">
        <f t="shared" si="63"/>
        <v/>
      </c>
      <c r="AD1000" s="48" t="str">
        <f>IF(Table3[[#This Row],[Actual Arrival date]]&gt;0,IF(Table3[[#This Row],[Expected arrival date]]&gt;0,Table3[[#This Row],[Actual Arrival date]]-Table3[[#This Row],[Expected arrival date]],""),"")</f>
        <v/>
      </c>
    </row>
    <row r="1001" spans="1:30" x14ac:dyDescent="0.25">
      <c r="A1001" s="303" t="str">
        <f>Start!$D$7</f>
        <v>Anyland</v>
      </c>
      <c r="B1001" s="48" t="str">
        <f>_xlfn.IFNA(VLOOKUP(A1001,list!B:C,2,FALSE),"")</f>
        <v>ANY</v>
      </c>
      <c r="C1001" s="48"/>
      <c r="D1001" s="127"/>
      <c r="E1001" s="48" t="str">
        <f>_xlfn.IFNA(VLOOKUP(Table3[[#This Row],[Product]], ProductListTbl[], 3, 0), "")</f>
        <v/>
      </c>
      <c r="F1001" s="303" t="str">
        <f>_xlfn.IFNA(VLOOKUP(D1001,ProductListTbl[],5,0),"")</f>
        <v/>
      </c>
      <c r="G1001" s="303" t="str">
        <f>_xlfn.IFNA(VLOOKUP(D1001,ProductListTbl[],6,0),"")</f>
        <v/>
      </c>
      <c r="H1001" s="130" t="str">
        <f>_xlfn.IFNA(VLOOKUP(D1001,ProductListTbl[],7,0),"")</f>
        <v/>
      </c>
      <c r="I1001" s="130" t="str">
        <f>_xlfn.IFNA(VLOOKUP(D1001,ProductListTbl[],8,0),"")</f>
        <v/>
      </c>
      <c r="J1001" s="127"/>
      <c r="K1001" s="129"/>
      <c r="L1001" s="128"/>
      <c r="M1001" s="305" t="str">
        <f>IFERROR(Table3[[#This Row],[Quantity (doses)]]/Table3[[#This Row],[Doses per vial or syringe]],"")</f>
        <v/>
      </c>
      <c r="N1001" s="127"/>
      <c r="O1001" s="127"/>
      <c r="P1001" s="381"/>
      <c r="Q1001" s="129"/>
      <c r="R1001" s="127"/>
      <c r="S1001" s="127"/>
      <c r="T1001" s="127"/>
      <c r="U1001" s="127"/>
      <c r="V1001" s="305" t="str">
        <f>_xlfn.IFNA(VLOOKUP(D1001,ProductListTbl[],9,0),"")</f>
        <v/>
      </c>
      <c r="W1001" s="305" t="str">
        <f>IFERROR(Table3[[#This Row],[Storage space per secondary packaging (cm3)]]*Table3[[#This Row],[Quantity  (vials or syringes)]]/1000,"")</f>
        <v/>
      </c>
      <c r="X1001" s="305" t="str">
        <f>IFERROR(Table3[[#This Row],[Storage space per tertiary packaging (cm3)]]*Table3[[#This Row],[Quantity (doses)]]/1000,"")</f>
        <v/>
      </c>
      <c r="Y1001" s="293" t="str">
        <f>IF(Table3[[#This Row],[Status]]="Ordered",(DATE(YEAR(P1001),MONTH(P1001),1)),IF(Table3[[#This Row],[Status]]="Received",(DATE(YEAR(Q1001),MONTH(Q1001),1)),""))</f>
        <v/>
      </c>
      <c r="Z1001" s="304" t="str">
        <f t="shared" si="60"/>
        <v/>
      </c>
      <c r="AA1001" s="48" t="str">
        <f t="shared" si="61"/>
        <v/>
      </c>
      <c r="AB1001" s="48" t="str">
        <f t="shared" si="62"/>
        <v/>
      </c>
      <c r="AC1001" s="292" t="str">
        <f t="shared" si="63"/>
        <v/>
      </c>
      <c r="AD1001" s="48" t="str">
        <f>IF(Table3[[#This Row],[Actual Arrival date]]&gt;0,IF(Table3[[#This Row],[Expected arrival date]]&gt;0,Table3[[#This Row],[Actual Arrival date]]-Table3[[#This Row],[Expected arrival date]],""),"")</f>
        <v/>
      </c>
    </row>
    <row r="1002" spans="1:30" x14ac:dyDescent="0.25">
      <c r="A1002" s="303" t="str">
        <f>Start!$D$7</f>
        <v>Anyland</v>
      </c>
      <c r="B1002" s="48" t="str">
        <f>_xlfn.IFNA(VLOOKUP(A1002,list!B:C,2,FALSE),"")</f>
        <v>ANY</v>
      </c>
      <c r="C1002" s="48"/>
      <c r="D1002" s="127"/>
      <c r="E1002" s="48" t="str">
        <f>_xlfn.IFNA(VLOOKUP(Table3[[#This Row],[Product]], ProductListTbl[], 3, 0), "")</f>
        <v/>
      </c>
      <c r="F1002" s="303" t="str">
        <f>_xlfn.IFNA(VLOOKUP(D1002,ProductListTbl[],5,0),"")</f>
        <v/>
      </c>
      <c r="G1002" s="303" t="str">
        <f>_xlfn.IFNA(VLOOKUP(D1002,ProductListTbl[],6,0),"")</f>
        <v/>
      </c>
      <c r="H1002" s="130" t="str">
        <f>_xlfn.IFNA(VLOOKUP(D1002,ProductListTbl[],7,0),"")</f>
        <v/>
      </c>
      <c r="I1002" s="130" t="str">
        <f>_xlfn.IFNA(VLOOKUP(D1002,ProductListTbl[],8,0),"")</f>
        <v/>
      </c>
      <c r="J1002" s="127"/>
      <c r="K1002" s="129"/>
      <c r="L1002" s="128"/>
      <c r="M1002" s="305" t="str">
        <f>IFERROR(Table3[[#This Row],[Quantity (doses)]]/Table3[[#This Row],[Doses per vial or syringe]],"")</f>
        <v/>
      </c>
      <c r="N1002" s="127"/>
      <c r="O1002" s="127"/>
      <c r="P1002" s="381"/>
      <c r="Q1002" s="129"/>
      <c r="R1002" s="127"/>
      <c r="S1002" s="127"/>
      <c r="T1002" s="127"/>
      <c r="U1002" s="127"/>
      <c r="V1002" s="305" t="str">
        <f>_xlfn.IFNA(VLOOKUP(D1002,ProductListTbl[],9,0),"")</f>
        <v/>
      </c>
      <c r="W1002" s="305" t="str">
        <f>IFERROR(Table3[[#This Row],[Storage space per secondary packaging (cm3)]]*Table3[[#This Row],[Quantity  (vials or syringes)]]/1000,"")</f>
        <v/>
      </c>
      <c r="X1002" s="305" t="str">
        <f>IFERROR(Table3[[#This Row],[Storage space per tertiary packaging (cm3)]]*Table3[[#This Row],[Quantity (doses)]]/1000,"")</f>
        <v/>
      </c>
      <c r="Y1002" s="293" t="str">
        <f>IF(Table3[[#This Row],[Status]]="Ordered",(DATE(YEAR(P1002),MONTH(P1002),1)),IF(Table3[[#This Row],[Status]]="Received",(DATE(YEAR(Q1002),MONTH(Q1002),1)),""))</f>
        <v/>
      </c>
      <c r="Z1002" s="304" t="str">
        <f t="shared" si="60"/>
        <v/>
      </c>
      <c r="AA1002" s="48" t="str">
        <f t="shared" si="61"/>
        <v/>
      </c>
      <c r="AB1002" s="48" t="str">
        <f t="shared" si="62"/>
        <v/>
      </c>
      <c r="AC1002" s="292" t="str">
        <f t="shared" si="63"/>
        <v/>
      </c>
      <c r="AD1002" s="48" t="str">
        <f>IF(Table3[[#This Row],[Actual Arrival date]]&gt;0,IF(Table3[[#This Row],[Expected arrival date]]&gt;0,Table3[[#This Row],[Actual Arrival date]]-Table3[[#This Row],[Expected arrival date]],""),"")</f>
        <v/>
      </c>
    </row>
    <row r="1003" spans="1:30" x14ac:dyDescent="0.25">
      <c r="A1003" s="303" t="str">
        <f>Start!$D$7</f>
        <v>Anyland</v>
      </c>
      <c r="B1003" s="48" t="str">
        <f>_xlfn.IFNA(VLOOKUP(A1003,list!B:C,2,FALSE),"")</f>
        <v>ANY</v>
      </c>
      <c r="C1003" s="48"/>
      <c r="D1003" s="127"/>
      <c r="E1003" s="48" t="str">
        <f>_xlfn.IFNA(VLOOKUP(Table3[[#This Row],[Product]], ProductListTbl[], 3, 0), "")</f>
        <v/>
      </c>
      <c r="F1003" s="303" t="str">
        <f>_xlfn.IFNA(VLOOKUP(D1003,ProductListTbl[],5,0),"")</f>
        <v/>
      </c>
      <c r="G1003" s="303" t="str">
        <f>_xlfn.IFNA(VLOOKUP(D1003,ProductListTbl[],6,0),"")</f>
        <v/>
      </c>
      <c r="H1003" s="130" t="str">
        <f>_xlfn.IFNA(VLOOKUP(D1003,ProductListTbl[],7,0),"")</f>
        <v/>
      </c>
      <c r="I1003" s="130" t="str">
        <f>_xlfn.IFNA(VLOOKUP(D1003,ProductListTbl[],8,0),"")</f>
        <v/>
      </c>
      <c r="J1003" s="127"/>
      <c r="K1003" s="129"/>
      <c r="L1003" s="128"/>
      <c r="M1003" s="305" t="str">
        <f>IFERROR(Table3[[#This Row],[Quantity (doses)]]/Table3[[#This Row],[Doses per vial or syringe]],"")</f>
        <v/>
      </c>
      <c r="N1003" s="127"/>
      <c r="O1003" s="127"/>
      <c r="P1003" s="381"/>
      <c r="Q1003" s="129"/>
      <c r="R1003" s="127"/>
      <c r="S1003" s="127"/>
      <c r="T1003" s="127"/>
      <c r="U1003" s="127"/>
      <c r="V1003" s="305" t="str">
        <f>_xlfn.IFNA(VLOOKUP(D1003,ProductListTbl[],9,0),"")</f>
        <v/>
      </c>
      <c r="W1003" s="305" t="str">
        <f>IFERROR(Table3[[#This Row],[Storage space per secondary packaging (cm3)]]*Table3[[#This Row],[Quantity  (vials or syringes)]]/1000,"")</f>
        <v/>
      </c>
      <c r="X1003" s="305" t="str">
        <f>IFERROR(Table3[[#This Row],[Storage space per tertiary packaging (cm3)]]*Table3[[#This Row],[Quantity (doses)]]/1000,"")</f>
        <v/>
      </c>
      <c r="Y1003" s="293" t="str">
        <f>IF(Table3[[#This Row],[Status]]="Ordered",(DATE(YEAR(P1003),MONTH(P1003),1)),IF(Table3[[#This Row],[Status]]="Received",(DATE(YEAR(Q1003),MONTH(Q1003),1)),""))</f>
        <v/>
      </c>
      <c r="Z1003" s="304" t="str">
        <f t="shared" si="60"/>
        <v/>
      </c>
      <c r="AA1003" s="48" t="str">
        <f t="shared" si="61"/>
        <v/>
      </c>
      <c r="AB1003" s="48" t="str">
        <f t="shared" si="62"/>
        <v/>
      </c>
      <c r="AC1003" s="292" t="str">
        <f t="shared" si="63"/>
        <v/>
      </c>
      <c r="AD1003" s="48" t="str">
        <f>IF(Table3[[#This Row],[Actual Arrival date]]&gt;0,IF(Table3[[#This Row],[Expected arrival date]]&gt;0,Table3[[#This Row],[Actual Arrival date]]-Table3[[#This Row],[Expected arrival date]],""),"")</f>
        <v/>
      </c>
    </row>
    <row r="1004" spans="1:30" x14ac:dyDescent="0.25">
      <c r="A1004" s="303" t="str">
        <f>Start!$D$7</f>
        <v>Anyland</v>
      </c>
      <c r="B1004" s="48" t="str">
        <f>_xlfn.IFNA(VLOOKUP(A1004,list!B:C,2,FALSE),"")</f>
        <v>ANY</v>
      </c>
      <c r="C1004" s="48"/>
      <c r="D1004" s="127"/>
      <c r="E1004" s="48" t="str">
        <f>_xlfn.IFNA(VLOOKUP(Table3[[#This Row],[Product]], ProductListTbl[], 3, 0), "")</f>
        <v/>
      </c>
      <c r="F1004" s="303" t="str">
        <f>_xlfn.IFNA(VLOOKUP(D1004,ProductListTbl[],5,0),"")</f>
        <v/>
      </c>
      <c r="G1004" s="303" t="str">
        <f>_xlfn.IFNA(VLOOKUP(D1004,ProductListTbl[],6,0),"")</f>
        <v/>
      </c>
      <c r="H1004" s="130" t="str">
        <f>_xlfn.IFNA(VLOOKUP(D1004,ProductListTbl[],7,0),"")</f>
        <v/>
      </c>
      <c r="I1004" s="130" t="str">
        <f>_xlfn.IFNA(VLOOKUP(D1004,ProductListTbl[],8,0),"")</f>
        <v/>
      </c>
      <c r="J1004" s="127"/>
      <c r="K1004" s="129"/>
      <c r="L1004" s="128"/>
      <c r="M1004" s="305" t="str">
        <f>IFERROR(Table3[[#This Row],[Quantity (doses)]]/Table3[[#This Row],[Doses per vial or syringe]],"")</f>
        <v/>
      </c>
      <c r="N1004" s="127"/>
      <c r="O1004" s="127"/>
      <c r="P1004" s="381"/>
      <c r="Q1004" s="129"/>
      <c r="R1004" s="127"/>
      <c r="S1004" s="127"/>
      <c r="T1004" s="127"/>
      <c r="U1004" s="127"/>
      <c r="V1004" s="305" t="str">
        <f>_xlfn.IFNA(VLOOKUP(D1004,ProductListTbl[],9,0),"")</f>
        <v/>
      </c>
      <c r="W1004" s="305" t="str">
        <f>IFERROR(Table3[[#This Row],[Storage space per secondary packaging (cm3)]]*Table3[[#This Row],[Quantity  (vials or syringes)]]/1000,"")</f>
        <v/>
      </c>
      <c r="X1004" s="305" t="str">
        <f>IFERROR(Table3[[#This Row],[Storage space per tertiary packaging (cm3)]]*Table3[[#This Row],[Quantity (doses)]]/1000,"")</f>
        <v/>
      </c>
      <c r="Y1004" s="293" t="str">
        <f>IF(Table3[[#This Row],[Status]]="Ordered",(DATE(YEAR(P1004),MONTH(P1004),1)),IF(Table3[[#This Row],[Status]]="Received",(DATE(YEAR(Q1004),MONTH(Q1004),1)),""))</f>
        <v/>
      </c>
      <c r="Z1004" s="304" t="str">
        <f t="shared" si="60"/>
        <v/>
      </c>
      <c r="AA1004" s="48" t="str">
        <f t="shared" si="61"/>
        <v/>
      </c>
      <c r="AB1004" s="48" t="str">
        <f t="shared" si="62"/>
        <v/>
      </c>
      <c r="AC1004" s="292" t="str">
        <f t="shared" si="63"/>
        <v/>
      </c>
      <c r="AD1004" s="48" t="str">
        <f>IF(Table3[[#This Row],[Actual Arrival date]]&gt;0,IF(Table3[[#This Row],[Expected arrival date]]&gt;0,Table3[[#This Row],[Actual Arrival date]]-Table3[[#This Row],[Expected arrival date]],""),"")</f>
        <v/>
      </c>
    </row>
  </sheetData>
  <sheetProtection algorithmName="SHA-512" hashValue="lv8ayX4Y8cx9aM1J8txzV3eVS3aB+akjoSyIEkHAvDNcTeMP0VVMjqiMWPshPt/TUOwCY8ENe+RDAzLWW6vEWA==" saltValue="Hvnf9Fcf/nUHToRRDFISKQ==" spinCount="100000" sheet="1" formatCells="0" formatColumns="0" formatRows="0" selectLockedCells="1" autoFilter="0"/>
  <phoneticPr fontId="13" type="noConversion"/>
  <conditionalFormatting sqref="P5:P1004">
    <cfRule type="expression" dxfId="286" priority="2">
      <formula>$O5="Received"</formula>
    </cfRule>
  </conditionalFormatting>
  <conditionalFormatting sqref="Q5:Q1004">
    <cfRule type="expression" dxfId="285" priority="1">
      <formula>$O5="Ordered"</formula>
    </cfRule>
  </conditionalFormatting>
  <dataValidations count="5">
    <dataValidation type="list" allowBlank="1" showInputMessage="1" showErrorMessage="1" sqref="D5:D1004" xr:uid="{00000000-0002-0000-0300-000001000000}">
      <formula1>ProductList</formula1>
    </dataValidation>
    <dataValidation type="list" allowBlank="1" showInputMessage="1" showErrorMessage="1" sqref="U5:U1004" xr:uid="{00000000-0002-0000-0300-000002000000}">
      <formula1>"Yes, No"</formula1>
    </dataValidation>
    <dataValidation type="list" allowBlank="1" showInputMessage="1" showErrorMessage="1" sqref="R5:R1004" xr:uid="{00000000-0002-0000-0300-000003000000}">
      <formula1>Buyer</formula1>
    </dataValidation>
    <dataValidation type="list" allowBlank="1" showInputMessage="1" showErrorMessage="1" sqref="N5:N1004" xr:uid="{00000000-0002-0000-0300-000004000000}">
      <formula1>Sector</formula1>
    </dataValidation>
    <dataValidation type="list" allowBlank="1" showInputMessage="1" showErrorMessage="1" sqref="O5:O23 O25:O1004" xr:uid="{00000000-0002-0000-0300-000000000000}">
      <formula1>Status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 filterMode="1">
    <pageSetUpPr fitToPage="1"/>
  </sheetPr>
  <dimension ref="A1:AO904"/>
  <sheetViews>
    <sheetView showGridLines="0" tabSelected="1" topLeftCell="C1" zoomScale="110" zoomScaleNormal="110" workbookViewId="0">
      <pane xSplit="2" ySplit="4" topLeftCell="E144" activePane="bottomRight" state="frozen"/>
      <selection pane="topRight" activeCell="E1" sqref="E1"/>
      <selection pane="bottomLeft" activeCell="C5" sqref="C5"/>
      <selection pane="bottomRight" activeCell="K187" sqref="K187"/>
    </sheetView>
  </sheetViews>
  <sheetFormatPr defaultColWidth="9.140625" defaultRowHeight="15" x14ac:dyDescent="0.25"/>
  <cols>
    <col min="1" max="2" width="8.85546875" hidden="1" customWidth="1"/>
    <col min="3" max="3" width="12.140625" bestFit="1" customWidth="1"/>
    <col min="4" max="4" width="10.28515625" bestFit="1" customWidth="1"/>
    <col min="5" max="5" width="7.42578125" bestFit="1" customWidth="1"/>
    <col min="6" max="6" width="12" bestFit="1" customWidth="1"/>
    <col min="7" max="10" width="13.140625" bestFit="1" customWidth="1"/>
    <col min="11" max="11" width="12.5703125" customWidth="1"/>
    <col min="12" max="12" width="9.5703125" bestFit="1" customWidth="1"/>
    <col min="13" max="13" width="12.85546875" bestFit="1" customWidth="1"/>
    <col min="14" max="14" width="12.7109375" bestFit="1" customWidth="1"/>
    <col min="15" max="15" width="11.5703125" bestFit="1" customWidth="1"/>
    <col min="16" max="16" width="12.7109375" bestFit="1" customWidth="1"/>
    <col min="17" max="17" width="11.5703125" bestFit="1" customWidth="1"/>
    <col min="18" max="19" width="13.28515625" bestFit="1" customWidth="1"/>
    <col min="20" max="20" width="8.5703125" hidden="1" customWidth="1"/>
    <col min="21" max="21" width="11" bestFit="1" customWidth="1"/>
    <col min="22" max="22" width="11.28515625" customWidth="1"/>
    <col min="23" max="23" width="8.5703125" bestFit="1" customWidth="1"/>
    <col min="24" max="25" width="12.85546875" bestFit="1" customWidth="1"/>
    <col min="26" max="26" width="11.5703125" customWidth="1"/>
    <col min="27" max="27" width="13.85546875" customWidth="1"/>
    <col min="28" max="28" width="13.5703125" customWidth="1"/>
    <col min="29" max="29" width="11.5703125" bestFit="1" customWidth="1"/>
    <col min="30" max="30" width="13.5703125" hidden="1" customWidth="1"/>
    <col min="31" max="31" width="12.42578125" bestFit="1" customWidth="1"/>
    <col min="32" max="32" width="12.42578125" customWidth="1"/>
    <col min="33" max="34" width="12.85546875" bestFit="1" customWidth="1"/>
    <col min="35" max="35" width="11.5703125" style="237" customWidth="1"/>
    <col min="36" max="36" width="12.42578125" bestFit="1" customWidth="1"/>
    <col min="37" max="37" width="13.5703125" customWidth="1"/>
    <col min="38" max="38" width="10.42578125" bestFit="1" customWidth="1"/>
    <col min="39" max="39" width="12.5703125" hidden="1" customWidth="1"/>
    <col min="40" max="40" width="12.42578125" bestFit="1" customWidth="1"/>
    <col min="41" max="41" width="12.42578125" customWidth="1"/>
  </cols>
  <sheetData>
    <row r="1" spans="1:41" ht="23.25" x14ac:dyDescent="0.25">
      <c r="A1" s="51"/>
      <c r="B1" s="51"/>
      <c r="C1" s="57" t="s">
        <v>87</v>
      </c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145"/>
      <c r="Y1" s="145"/>
      <c r="Z1" s="51"/>
      <c r="AA1" s="51"/>
      <c r="AB1" s="51"/>
      <c r="AC1" s="51"/>
      <c r="AD1" s="51"/>
      <c r="AE1" s="51"/>
      <c r="AF1" s="51"/>
      <c r="AG1" s="145"/>
      <c r="AH1" s="145"/>
      <c r="AI1" s="51"/>
      <c r="AJ1" s="51"/>
      <c r="AK1" s="51"/>
      <c r="AL1" s="51"/>
      <c r="AM1" s="51"/>
      <c r="AN1" s="51"/>
      <c r="AO1" s="51"/>
    </row>
    <row r="2" spans="1:41" s="15" customFormat="1" ht="5.25" customHeight="1" x14ac:dyDescent="0.25">
      <c r="A2" s="51"/>
      <c r="B2" s="51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208"/>
      <c r="T2" s="208"/>
      <c r="U2" s="208"/>
      <c r="V2" s="228"/>
      <c r="W2" s="208"/>
      <c r="X2" s="74"/>
      <c r="Y2" s="48"/>
      <c r="Z2" s="48"/>
      <c r="AA2" s="48"/>
      <c r="AB2" s="48"/>
      <c r="AC2" s="51"/>
      <c r="AD2" s="51"/>
      <c r="AE2" s="48"/>
      <c r="AF2" s="48"/>
      <c r="AG2" s="74"/>
      <c r="AH2" s="48"/>
      <c r="AI2" s="48"/>
      <c r="AJ2" s="48"/>
      <c r="AK2" s="48"/>
      <c r="AL2" s="48"/>
      <c r="AM2" s="51"/>
      <c r="AN2" s="48"/>
      <c r="AO2" s="48"/>
    </row>
    <row r="3" spans="1:41" ht="18" customHeight="1" thickBot="1" x14ac:dyDescent="0.3">
      <c r="A3" s="87"/>
      <c r="B3" s="51"/>
      <c r="C3" s="51"/>
      <c r="D3" s="87"/>
      <c r="E3" s="145"/>
      <c r="F3" s="51"/>
      <c r="G3" s="51"/>
      <c r="H3" s="51"/>
      <c r="I3" s="51"/>
      <c r="J3" s="51"/>
      <c r="K3" s="51"/>
      <c r="L3" s="51"/>
      <c r="M3" s="51"/>
      <c r="N3" s="145"/>
      <c r="O3" s="51"/>
      <c r="P3" s="51"/>
      <c r="Q3" s="51"/>
      <c r="R3" s="51"/>
      <c r="S3" s="51"/>
      <c r="T3" s="202" t="s">
        <v>88</v>
      </c>
      <c r="U3" s="51"/>
      <c r="V3" s="51"/>
      <c r="W3" s="51"/>
      <c r="X3" s="542" t="s">
        <v>89</v>
      </c>
      <c r="Y3" s="542"/>
      <c r="Z3" s="542"/>
      <c r="AA3" s="542"/>
      <c r="AB3" s="542"/>
      <c r="AC3" s="542"/>
      <c r="AD3" s="542"/>
      <c r="AE3" s="542"/>
      <c r="AF3" s="542"/>
      <c r="AG3" s="543" t="s">
        <v>90</v>
      </c>
      <c r="AH3" s="543"/>
      <c r="AI3" s="543"/>
      <c r="AJ3" s="543"/>
      <c r="AK3" s="543"/>
      <c r="AL3" s="543"/>
      <c r="AM3" s="543"/>
      <c r="AN3" s="543"/>
      <c r="AO3" s="543"/>
    </row>
    <row r="4" spans="1:41" s="13" customFormat="1" ht="57.75" thickBot="1" x14ac:dyDescent="0.3">
      <c r="A4" s="88" t="s">
        <v>30</v>
      </c>
      <c r="B4" s="289" t="s">
        <v>91</v>
      </c>
      <c r="C4" s="295" t="s">
        <v>19</v>
      </c>
      <c r="D4" s="295" t="s">
        <v>92</v>
      </c>
      <c r="E4" s="295" t="s">
        <v>93</v>
      </c>
      <c r="F4" s="291" t="s">
        <v>94</v>
      </c>
      <c r="G4" s="290" t="s">
        <v>95</v>
      </c>
      <c r="H4" s="290" t="s">
        <v>96</v>
      </c>
      <c r="I4" s="290" t="s">
        <v>97</v>
      </c>
      <c r="J4" s="291" t="s">
        <v>98</v>
      </c>
      <c r="K4" s="290" t="s">
        <v>99</v>
      </c>
      <c r="L4" s="291" t="s">
        <v>100</v>
      </c>
      <c r="M4" s="291" t="s">
        <v>101</v>
      </c>
      <c r="N4" s="290" t="s">
        <v>102</v>
      </c>
      <c r="O4" s="290" t="s">
        <v>103</v>
      </c>
      <c r="P4" s="290" t="s">
        <v>104</v>
      </c>
      <c r="Q4" s="290" t="s">
        <v>105</v>
      </c>
      <c r="R4" s="291" t="s">
        <v>106</v>
      </c>
      <c r="S4" s="291" t="s">
        <v>107</v>
      </c>
      <c r="T4" s="291" t="s">
        <v>108</v>
      </c>
      <c r="U4" s="291" t="s">
        <v>109</v>
      </c>
      <c r="V4" s="291" t="s">
        <v>110</v>
      </c>
      <c r="W4" s="291" t="s">
        <v>111</v>
      </c>
      <c r="X4" s="291" t="s">
        <v>112</v>
      </c>
      <c r="Y4" s="290" t="s">
        <v>113</v>
      </c>
      <c r="Z4" s="290" t="s">
        <v>114</v>
      </c>
      <c r="AA4" s="291" t="s">
        <v>115</v>
      </c>
      <c r="AB4" s="290" t="s">
        <v>116</v>
      </c>
      <c r="AC4" s="291" t="s">
        <v>117</v>
      </c>
      <c r="AD4" s="291" t="s">
        <v>118</v>
      </c>
      <c r="AE4" s="291" t="s">
        <v>119</v>
      </c>
      <c r="AF4" s="291" t="s">
        <v>120</v>
      </c>
      <c r="AG4" s="291" t="s">
        <v>121</v>
      </c>
      <c r="AH4" s="290" t="s">
        <v>122</v>
      </c>
      <c r="AI4" s="290" t="s">
        <v>123</v>
      </c>
      <c r="AJ4" s="291" t="s">
        <v>124</v>
      </c>
      <c r="AK4" s="290" t="s">
        <v>125</v>
      </c>
      <c r="AL4" s="291" t="s">
        <v>126</v>
      </c>
      <c r="AM4" s="291" t="s">
        <v>127</v>
      </c>
      <c r="AN4" s="291" t="s">
        <v>128</v>
      </c>
      <c r="AO4" s="291" t="s">
        <v>129</v>
      </c>
    </row>
    <row r="5" spans="1:41" ht="15.75" thickTop="1" x14ac:dyDescent="0.25">
      <c r="A5" s="89" t="str">
        <f>Start!D$7</f>
        <v>Anyland</v>
      </c>
      <c r="B5" s="90" t="e">
        <f>VLOOKUP(A5,list!$B$2:$C$250,2,FALSE)</f>
        <v>#N/A</v>
      </c>
      <c r="C5" s="90" t="str">
        <f>IF(Start!$C$17="","",Start!$C$17)</f>
        <v>AstraZeneca</v>
      </c>
      <c r="D5" s="296">
        <v>44197</v>
      </c>
      <c r="E5" s="92" t="str">
        <f>IFERROR(VLOOKUP(C5,Start!C$15:D$31,2,FALSE),"No")</f>
        <v>Yes</v>
      </c>
      <c r="F5" s="307">
        <v>0</v>
      </c>
      <c r="G5" s="91"/>
      <c r="H5" s="91"/>
      <c r="I5" s="91"/>
      <c r="J5" s="92">
        <f t="shared" ref="J5:J68" si="0">SUM(G5:I5)</f>
        <v>0</v>
      </c>
      <c r="K5" s="91"/>
      <c r="L5" s="174" t="str">
        <f t="shared" ref="L5:L68" si="1">IFERROR(K5/J5, "")</f>
        <v/>
      </c>
      <c r="M5" s="92">
        <f t="shared" ref="M5:M68" si="2">SUM(J5,K5)</f>
        <v>0</v>
      </c>
      <c r="N5" s="97"/>
      <c r="O5" s="122"/>
      <c r="P5" s="97"/>
      <c r="Q5" s="122"/>
      <c r="R5" s="92">
        <f>SUMIFS('Shipments data'!L:L,'Shipments data'!F:F,'Supply planning data'!C5,'Shipments data'!A:A,'Supply planning data'!A5,'Shipments data'!Y:Y,'Supply planning data'!D5,'Shipments data'!O:O,"received", 'Shipments data'!N:N, "Public")</f>
        <v>0</v>
      </c>
      <c r="S5" s="92">
        <f>SUMIFS('Shipments data'!L:L,'Shipments data'!F:F,'Supply planning data'!C5,'Shipments data'!A:A,'Supply planning data'!A5,'Shipments data'!Y:Y,'Supply planning data'!D5,'Shipments data'!O:O,"ordered", 'Shipments data'!N:N, "Public")</f>
        <v>0</v>
      </c>
      <c r="T5" s="92">
        <f>IF(SUMIFS('Shipments data'!L:L,'Shipments data'!F:F,'Supply planning data'!C5,'Shipments data'!A:A,'Supply planning data'!A5,'Shipments data'!O:O,"received",'Shipments data'!Q:Q,"&lt;"&amp;'Supply planning data'!D20,'Shipments data'!AC:AC,"&lt;"&amp;'Supply planning data'!D20)-SUMIFS(M:M,D:D,"&lt;="&amp;D5,C:C,C5)+SUMIFS(N:N,D:D,"&lt;="&amp;D5,C:C,C5)+SUMIFS(P:P,D:D,"&lt;="&amp;D5,C:C,C5)&lt;0,0,SUMIFS('Shipments data'!L:L,'Shipments data'!F:F,'Supply planning data'!C5,'Shipments data'!A:A,'Supply planning data'!A5,'Shipments data'!O:O,"received",'Shipments data'!Q:Q,"&lt;"&amp;'Supply planning data'!D20,'Shipments data'!AC:AC,"&lt;"&amp;'Supply planning data'!D20)-SUMIFS(M:M,D:D,"&lt;="&amp;D5,C:C,C5)+SUMIFS(N:N,D:D,"&lt;="&amp;D5,C:C,C5)+SUMIFS(P:P,D:D,"&lt;="&amp;D5,C:C,C5))</f>
        <v>0</v>
      </c>
      <c r="U5" s="126">
        <f t="shared" ref="U5:U19" si="3">T5</f>
        <v>0</v>
      </c>
      <c r="V5" s="92">
        <f t="shared" ref="V5:V36" si="4">IF(F5-M5+N5+P5+R5-U5&lt;0,0,F5-M5+N5+P5+R5-U5)</f>
        <v>0</v>
      </c>
      <c r="W5" s="184"/>
      <c r="X5" s="92">
        <f>$F5</f>
        <v>0</v>
      </c>
      <c r="Y5" s="91"/>
      <c r="Z5" s="93"/>
      <c r="AA5" s="92">
        <f t="shared" ref="AA5:AA68" si="5">IFERROR(Z5*Y5,0)+Y5</f>
        <v>0</v>
      </c>
      <c r="AB5" s="232"/>
      <c r="AC5" s="92">
        <f>IF(SUMIFS('Shipments data'!L:L,'Shipments data'!F:F,'Supply planning data'!C5,'Shipments data'!A:A,'Supply planning data'!A5,'Shipments data'!O:O,"received",'Shipments data'!Q:Q,"&lt;"&amp;'Supply planning data'!D20,'Shipments data'!AC:AC,"&lt;"&amp;'Supply planning data'!D20)-SUMIFS(M:M,D:D,"&lt;="&amp;D5,C:C,C5)-SUMIFS(AA:AA,D:D,"&lt;="&amp;D5,C:C,C5)+SUMIFS(N:N,D:D,"&lt;="&amp;D5,C:C,C5)+SUMIFS(P:P,D:D,"&lt;="&amp;D5,C:C,C5)&lt;0,0,SUMIFS('Shipments data'!L:L,'Shipments data'!F:F,'Supply planning data'!C5,'Shipments data'!A:A,'Supply planning data'!A5,'Shipments data'!O:O,"received",'Shipments data'!Q:Q,"&lt;"&amp;'Supply planning data'!D20,'Shipments data'!AC:AC,"&lt;"&amp;'Supply planning data'!D20)-SUMIFS(M:M,D:D,"&lt;="&amp;D5,C:C,C5)-SUMIFS(AA:AA,D:D,"&lt;="&amp;D5,C:C,C5)+SUMIFS(N:N,D:D,"&lt;="&amp;D5,C:C,C5)+SUMIFS(P:P,D:D,"&lt;="&amp;D5,C:C,C5))</f>
        <v>0</v>
      </c>
      <c r="AD5" s="92">
        <f>AC5</f>
        <v>0</v>
      </c>
      <c r="AE5" s="92">
        <f>IF(X5+$R5+$S5+AB5+$N5+$P5-$M5-AA5-$AD5&lt;0,0,X5+$R5+$S5+AB5+$N5+$P5-$M5-AA5-$AD5)</f>
        <v>0</v>
      </c>
      <c r="AF5" s="205" t="str">
        <f>IF(M5+AA5&lt;=0,"",IFERROR(AE5/(SUM(M5,M35,M20,AA5,AA35,AA20)/3),""))</f>
        <v/>
      </c>
      <c r="AG5" s="92">
        <f t="shared" ref="AG5:AG19" si="6">$F5</f>
        <v>0</v>
      </c>
      <c r="AH5" s="91"/>
      <c r="AI5" s="310"/>
      <c r="AJ5" s="92">
        <f t="shared" ref="AJ5:AJ68" si="7">IFERROR(AI5*AH5,0)+AH5</f>
        <v>0</v>
      </c>
      <c r="AK5" s="232"/>
      <c r="AL5" s="92">
        <f>IF(SUMIFS('Shipments data'!L:L,'Shipments data'!F:F,'Supply planning data'!C5,'Shipments data'!A:A,'Supply planning data'!A5,'Shipments data'!O:O,"received",'Shipments data'!Q:Q,"&lt;"&amp;'Supply planning data'!D20,'Shipments data'!AC:AC,"&lt;"&amp;'Supply planning data'!D20)-SUMIFS(M:M,D:D,"&lt;="&amp;D5,C:C,C5)-SUMIFS(AJ:AJ,D:D,"&lt;="&amp;D5,C:C,C5)+SUMIFS(N:N,D:D,"&lt;="&amp;D5,C:C,C5)+SUMIFS(P:P,D:D,"&lt;="&amp;D5,C:C,C5)&lt;0,0,SUMIFS('Shipments data'!L:L,'Shipments data'!F:F,'Supply planning data'!C5,'Shipments data'!A:A,'Supply planning data'!A5,'Shipments data'!O:O,"received",'Shipments data'!Q:Q,"&lt;"&amp;'Supply planning data'!D20,'Shipments data'!AC:AC,"&lt;"&amp;'Supply planning data'!D20)-SUMIFS(M:M,D:D,"&lt;="&amp;D5,C:C,C5)-SUMIFS(AJ:AJ,D:D,"&lt;="&amp;D5,C:C,C5)+SUMIFS(N:N,D:D,"&lt;="&amp;D5,C:C,C5)+SUMIFS(P:P,D:D,"&lt;="&amp;D5,C:C,C5))</f>
        <v>0</v>
      </c>
      <c r="AM5" s="92">
        <f t="shared" ref="AM5:AM19" si="8">AL5</f>
        <v>0</v>
      </c>
      <c r="AN5" s="92">
        <f>IF(AG5+$R5+$S5+AK5+$N5+$P5-$M5-AJ5-$AM5&lt;0,0,AG5+$R5+$S5+AK5+$N5+$P5-$M5-AJ5-$AM5)</f>
        <v>0</v>
      </c>
      <c r="AO5" s="205" t="str">
        <f>IF(M5+AJ5&lt;=0,"",IFERROR(AN5/(SUM(M5,M35,M20,AJ5,AJ35,AJ20)/3),""))</f>
        <v/>
      </c>
    </row>
    <row r="6" spans="1:41" x14ac:dyDescent="0.25">
      <c r="A6" s="95" t="str">
        <f>Start!D$7</f>
        <v>Anyland</v>
      </c>
      <c r="B6" s="96" t="str">
        <f>VLOOKUP(A6,list!B:C,2,FALSE)</f>
        <v>ANY</v>
      </c>
      <c r="C6" s="90" t="str">
        <f>IF(Start!$C$18="","",Start!$C$18)</f>
        <v>Jansen</v>
      </c>
      <c r="D6" s="297">
        <v>44197</v>
      </c>
      <c r="E6" s="98" t="str">
        <f>IFERROR(VLOOKUP(C6,Start!C$15:D$31,2,FALSE),"No")</f>
        <v>Yes</v>
      </c>
      <c r="F6" s="308">
        <v>0</v>
      </c>
      <c r="G6" s="97"/>
      <c r="H6" s="97"/>
      <c r="I6" s="97"/>
      <c r="J6" s="98">
        <f t="shared" si="0"/>
        <v>0</v>
      </c>
      <c r="K6" s="97"/>
      <c r="L6" s="175" t="str">
        <f>IFERROR(K6/J6, "")</f>
        <v/>
      </c>
      <c r="M6" s="98">
        <f t="shared" si="2"/>
        <v>0</v>
      </c>
      <c r="N6" s="97"/>
      <c r="O6" s="122"/>
      <c r="P6" s="97"/>
      <c r="Q6" s="122"/>
      <c r="R6" s="92">
        <f>SUMIFS('Shipments data'!L:L,'Shipments data'!F:F,'Supply planning data'!C6,'Shipments data'!A:A,'Supply planning data'!A6,'Shipments data'!Y:Y,'Supply planning data'!D6,'Shipments data'!O:O,"received", 'Shipments data'!N:N, "Public")</f>
        <v>0</v>
      </c>
      <c r="S6" s="92">
        <f>SUMIFS('Shipments data'!L:L,'Shipments data'!F:F,'Supply planning data'!C6,'Shipments data'!A:A,'Supply planning data'!A6,'Shipments data'!Y:Y,'Supply planning data'!D6,'Shipments data'!O:O,"ordered", 'Shipments data'!N:N, "Public")</f>
        <v>0</v>
      </c>
      <c r="T6" s="98">
        <f>IF(SUMIFS('Shipments data'!L:L,'Shipments data'!F:F,'Supply planning data'!C6,'Shipments data'!A:A,'Supply planning data'!A6,'Shipments data'!O:O,"received",'Shipments data'!Q:Q,"&lt;"&amp;'Supply planning data'!D21,'Shipments data'!AC:AC,"&lt;"&amp;'Supply planning data'!D21)-SUMIFS(M:M,D:D,"&lt;="&amp;D6,C:C,C6)+SUMIFS(N:N,D:D,"&lt;="&amp;D6,C:C,C6)+SUMIFS(P:P,D:D,"&lt;="&amp;D6,C:C,C6)&lt;0,0,SUMIFS('Shipments data'!L:L,'Shipments data'!F:F,'Supply planning data'!C6,'Shipments data'!A:A,'Supply planning data'!A6,'Shipments data'!O:O,"received",'Shipments data'!Q:Q,"&lt;"&amp;'Supply planning data'!D21,'Shipments data'!AC:AC,"&lt;"&amp;'Supply planning data'!D21)-SUMIFS(M:M,D:D,"&lt;="&amp;D6,C:C,C6)+SUMIFS(N:N,D:D,"&lt;="&amp;D6,C:C,C6)+SUMIFS(P:P,D:D,"&lt;="&amp;D6,C:C,C6))</f>
        <v>0</v>
      </c>
      <c r="U6" s="126">
        <f t="shared" si="3"/>
        <v>0</v>
      </c>
      <c r="V6" s="98">
        <f t="shared" si="4"/>
        <v>0</v>
      </c>
      <c r="W6" s="184"/>
      <c r="X6" s="98">
        <f t="shared" ref="X6:X19" si="9">$F6</f>
        <v>0</v>
      </c>
      <c r="Y6" s="97"/>
      <c r="Z6" s="93"/>
      <c r="AA6" s="98">
        <f t="shared" si="5"/>
        <v>0</v>
      </c>
      <c r="AB6" s="233"/>
      <c r="AC6" s="98">
        <f>IF(SUMIFS('Shipments data'!L:L,'Shipments data'!F:F,'Supply planning data'!C6,'Shipments data'!A:A,'Supply planning data'!A6,'Shipments data'!O:O,"received",'Shipments data'!Q:Q,"&lt;"&amp;'Supply planning data'!D21,'Shipments data'!AC:AC,"&lt;"&amp;'Supply planning data'!D21)-SUMIFS(M:M,D:D,"&lt;="&amp;D6,C:C,C6)-SUMIFS(AA:AA,D:D,"&lt;="&amp;D6,C:C,C6)+SUMIFS(N:N,D:D,"&lt;="&amp;D6,C:C,C6)+SUMIFS(P:P,D:D,"&lt;="&amp;D6,C:C,C6)&lt;0,0,SUMIFS('Shipments data'!L:L,'Shipments data'!F:F,'Supply planning data'!C6,'Shipments data'!A:A,'Supply planning data'!A6,'Shipments data'!O:O,"received",'Shipments data'!Q:Q,"&lt;"&amp;'Supply planning data'!D21,'Shipments data'!AC:AC,"&lt;"&amp;'Supply planning data'!D21)-SUMIFS(M:M,D:D,"&lt;="&amp;D6,C:C,C6)-SUMIFS(AA:AA,D:D,"&lt;="&amp;D6,C:C,C6)+SUMIFS(N:N,D:D,"&lt;="&amp;D6,C:C,C6)+SUMIFS(P:P,D:D,"&lt;="&amp;D6,C:C,C6))</f>
        <v>0</v>
      </c>
      <c r="AD6" s="98">
        <f>AC6</f>
        <v>0</v>
      </c>
      <c r="AE6" s="98">
        <f t="shared" ref="AE6:AE69" si="10">IF(X6+R6+S6+AB6+N6+P6-M6-AA6-U6&lt;0,0,X6+R6+S6+AB6+N6+P6-M6-AA6-U6)</f>
        <v>0</v>
      </c>
      <c r="AF6" s="205" t="str">
        <f>IF(M6+AA6&lt;=0,"",IFERROR(AE6/(SUM(M6,M36,M21,AA6,AA36,AA21)/3),""))</f>
        <v/>
      </c>
      <c r="AG6" s="98">
        <f t="shared" si="6"/>
        <v>0</v>
      </c>
      <c r="AH6" s="97"/>
      <c r="AI6" s="311"/>
      <c r="AJ6" s="98">
        <f t="shared" si="7"/>
        <v>0</v>
      </c>
      <c r="AK6" s="233"/>
      <c r="AL6" s="98">
        <f>IF(SUMIFS('Shipments data'!L:L,'Shipments data'!F:F,'Supply planning data'!C6,'Shipments data'!A:A,'Supply planning data'!A6,'Shipments data'!O:O,"received",'Shipments data'!Q:Q,"&lt;"&amp;'Supply planning data'!D21,'Shipments data'!AC:AC,"&lt;"&amp;'Supply planning data'!D21)-SUMIFS(M:M,D:D,"&lt;="&amp;D6,C:C,C6)-SUMIFS(AJ:AJ,D:D,"&lt;="&amp;D6,C:C,C6)+SUMIFS(N:N,D:D,"&lt;="&amp;D6,C:C,C6)+SUMIFS(P:P,D:D,"&lt;="&amp;D6,C:C,C6)&lt;0,0,SUMIFS('Shipments data'!L:L,'Shipments data'!F:F,'Supply planning data'!C6,'Shipments data'!A:A,'Supply planning data'!A6,'Shipments data'!O:O,"received",'Shipments data'!Q:Q,"&lt;"&amp;'Supply planning data'!D21,'Shipments data'!AC:AC,"&lt;"&amp;'Supply planning data'!D21)-SUMIFS(M:M,D:D,"&lt;="&amp;D6,C:C,C6)-SUMIFS(AJ:AJ,D:D,"&lt;="&amp;D6,C:C,C6)+SUMIFS(N:N,D:D,"&lt;="&amp;D6,C:C,C6)+SUMIFS(P:P,D:D,"&lt;="&amp;D6,C:C,C6))</f>
        <v>0</v>
      </c>
      <c r="AM6" s="98">
        <f t="shared" si="8"/>
        <v>0</v>
      </c>
      <c r="AN6" s="98">
        <f t="shared" ref="AN6:AN69" si="11">IF(AG6+$R6+$S6+AK6+$N6+$P6-$M6-AJ6-$AM6&lt;0,0,AG6+$R6+$S6+AK6+$N6+$P6-$M6-AJ6-$AM6)</f>
        <v>0</v>
      </c>
      <c r="AO6" s="203" t="str">
        <f t="shared" ref="AO6:AO34" si="12">IF(M6+AJ6&lt;=0,"",IFERROR(AN6/(SUM(M6,M36,M21,AJ6,AJ36,AJ21)/3),""))</f>
        <v/>
      </c>
    </row>
    <row r="7" spans="1:41" x14ac:dyDescent="0.25">
      <c r="A7" s="95" t="str">
        <f>Start!D$7</f>
        <v>Anyland</v>
      </c>
      <c r="B7" s="96" t="str">
        <f>VLOOKUP(A7,list!B:C,2,FALSE)</f>
        <v>ANY</v>
      </c>
      <c r="C7" s="90" t="str">
        <f>IF(Start!$C$19="","",Start!$C$19)</f>
        <v>Moderna</v>
      </c>
      <c r="D7" s="296">
        <v>44197</v>
      </c>
      <c r="E7" s="98" t="str">
        <f>IFERROR(VLOOKUP(C7,Start!C$15:D$31,2,FALSE),"No")</f>
        <v>No</v>
      </c>
      <c r="F7" s="308">
        <v>0</v>
      </c>
      <c r="G7" s="97"/>
      <c r="H7" s="91"/>
      <c r="I7" s="91"/>
      <c r="J7" s="92">
        <f t="shared" si="0"/>
        <v>0</v>
      </c>
      <c r="K7" s="91"/>
      <c r="L7" s="174" t="str">
        <f t="shared" si="1"/>
        <v/>
      </c>
      <c r="M7" s="92">
        <f t="shared" si="2"/>
        <v>0</v>
      </c>
      <c r="N7" s="97"/>
      <c r="O7" s="122"/>
      <c r="P7" s="97"/>
      <c r="Q7" s="122"/>
      <c r="R7" s="92">
        <f>SUMIFS('Shipments data'!L:L,'Shipments data'!F:F,'Supply planning data'!C7,'Shipments data'!A:A,'Supply planning data'!A7,'Shipments data'!Y:Y,'Supply planning data'!D7,'Shipments data'!O:O,"received", 'Shipments data'!N:N, "Public")</f>
        <v>0</v>
      </c>
      <c r="S7" s="92">
        <f>SUMIFS('Shipments data'!L:L,'Shipments data'!F:F,'Supply planning data'!C7,'Shipments data'!A:A,'Supply planning data'!A7,'Shipments data'!Y:Y,'Supply planning data'!D7,'Shipments data'!O:O,"ordered", 'Shipments data'!N:N, "Public")</f>
        <v>0</v>
      </c>
      <c r="T7" s="98">
        <f>IF(SUMIFS('Shipments data'!L:L,'Shipments data'!F:F,'Supply planning data'!C7,'Shipments data'!A:A,'Supply planning data'!A7,'Shipments data'!O:O,"received",'Shipments data'!Q:Q,"&lt;"&amp;'Supply planning data'!D22,'Shipments data'!AC:AC,"&lt;"&amp;'Supply planning data'!D22)-SUMIFS(M:M,D:D,"&lt;="&amp;D7,C:C,C7)+SUMIFS(N:N,D:D,"&lt;="&amp;D7,C:C,C7)+SUMIFS(P:P,D:D,"&lt;="&amp;D7,C:C,C7)&lt;0,0,SUMIFS('Shipments data'!L:L,'Shipments data'!F:F,'Supply planning data'!C7,'Shipments data'!A:A,'Supply planning data'!A7,'Shipments data'!O:O,"received",'Shipments data'!Q:Q,"&lt;"&amp;'Supply planning data'!D22,'Shipments data'!AC:AC,"&lt;"&amp;'Supply planning data'!D22)-SUMIFS(M:M,D:D,"&lt;="&amp;D7,C:C,C7)+SUMIFS(N:N,D:D,"&lt;="&amp;D7,C:C,C7)+SUMIFS(P:P,D:D,"&lt;="&amp;D7,C:C,C7))</f>
        <v>0</v>
      </c>
      <c r="U7" s="126">
        <f t="shared" si="3"/>
        <v>0</v>
      </c>
      <c r="V7" s="98">
        <f t="shared" si="4"/>
        <v>0</v>
      </c>
      <c r="W7" s="184"/>
      <c r="X7" s="98">
        <f t="shared" si="9"/>
        <v>0</v>
      </c>
      <c r="Y7" s="97"/>
      <c r="Z7" s="93"/>
      <c r="AA7" s="98">
        <f t="shared" si="5"/>
        <v>0</v>
      </c>
      <c r="AB7" s="233"/>
      <c r="AC7" s="98">
        <f>IF(SUMIFS('Shipments data'!L:L,'Shipments data'!F:F,'Supply planning data'!C7,'Shipments data'!A:A,'Supply planning data'!A7,'Shipments data'!O:O,"received",'Shipments data'!Q:Q,"&lt;"&amp;'Supply planning data'!D22,'Shipments data'!AC:AC,"&lt;"&amp;'Supply planning data'!D22)-SUMIFS(M:M,D:D,"&lt;="&amp;D7,C:C,C7)-SUMIFS(AA:AA,D:D,"&lt;="&amp;D7,C:C,C7)+SUMIFS(N:N,D:D,"&lt;="&amp;D7,C:C,C7)+SUMIFS(P:P,D:D,"&lt;="&amp;D7,C:C,C7)&lt;0,0,SUMIFS('Shipments data'!L:L,'Shipments data'!F:F,'Supply planning data'!C7,'Shipments data'!A:A,'Supply planning data'!A7,'Shipments data'!O:O,"received",'Shipments data'!Q:Q,"&lt;"&amp;'Supply planning data'!D22,'Shipments data'!AC:AC,"&lt;"&amp;'Supply planning data'!D22)-SUMIFS(M:M,D:D,"&lt;="&amp;D7,C:C,C7)-SUMIFS(AA:AA,D:D,"&lt;="&amp;D7,C:C,C7)+SUMIFS(N:N,D:D,"&lt;="&amp;D7,C:C,C7)+SUMIFS(P:P,D:D,"&lt;="&amp;D7,C:C,C7))</f>
        <v>0</v>
      </c>
      <c r="AD7" s="98">
        <f t="shared" ref="AD7:AD19" si="13">AC7</f>
        <v>0</v>
      </c>
      <c r="AE7" s="98">
        <f t="shared" si="10"/>
        <v>0</v>
      </c>
      <c r="AF7" s="205" t="str">
        <f t="shared" ref="AF7:AF18" si="14">IF(M7+AA7&lt;=0,"",IFERROR(AE7/(SUM(M7,M37,M22,AA7,AA37,AA22)/3),""))</f>
        <v/>
      </c>
      <c r="AG7" s="98">
        <f t="shared" si="6"/>
        <v>0</v>
      </c>
      <c r="AH7" s="97"/>
      <c r="AI7" s="311"/>
      <c r="AJ7" s="98">
        <f t="shared" si="7"/>
        <v>0</v>
      </c>
      <c r="AK7" s="233"/>
      <c r="AL7" s="98">
        <f>IF(SUMIFS('Shipments data'!L:L,'Shipments data'!F:F,'Supply planning data'!C7,'Shipments data'!A:A,'Supply planning data'!A7,'Shipments data'!O:O,"received",'Shipments data'!Q:Q,"&lt;"&amp;'Supply planning data'!D22,'Shipments data'!AC:AC,"&lt;"&amp;'Supply planning data'!D22)-SUMIFS(M:M,D:D,"&lt;="&amp;D7,C:C,C7)-SUMIFS(AJ:AJ,D:D,"&lt;="&amp;D7,C:C,C7)+SUMIFS(N:N,D:D,"&lt;="&amp;D7,C:C,C7)+SUMIFS(P:P,D:D,"&lt;="&amp;D7,C:C,C7)&lt;0,0,SUMIFS('Shipments data'!L:L,'Shipments data'!F:F,'Supply planning data'!C7,'Shipments data'!A:A,'Supply planning data'!A7,'Shipments data'!O:O,"received",'Shipments data'!Q:Q,"&lt;"&amp;'Supply planning data'!D22,'Shipments data'!AC:AC,"&lt;"&amp;'Supply planning data'!D22)-SUMIFS(M:M,D:D,"&lt;="&amp;D7,C:C,C7)-SUMIFS(AJ:AJ,D:D,"&lt;="&amp;D7,C:C,C7)+SUMIFS(N:N,D:D,"&lt;="&amp;D7,C:C,C7)+SUMIFS(P:P,D:D,"&lt;="&amp;D7,C:C,C7))</f>
        <v>0</v>
      </c>
      <c r="AM7" s="98">
        <f t="shared" si="8"/>
        <v>0</v>
      </c>
      <c r="AN7" s="98">
        <f t="shared" si="11"/>
        <v>0</v>
      </c>
      <c r="AO7" s="203" t="str">
        <f t="shared" si="12"/>
        <v/>
      </c>
    </row>
    <row r="8" spans="1:41" x14ac:dyDescent="0.25">
      <c r="A8" s="95" t="str">
        <f>Start!D$7</f>
        <v>Anyland</v>
      </c>
      <c r="B8" s="96" t="str">
        <f>VLOOKUP(A8,list!B:C,2,FALSE)</f>
        <v>ANY</v>
      </c>
      <c r="C8" s="90" t="str">
        <f>IF(Start!$C$20="","",Start!$C$20)</f>
        <v>Pfizer</v>
      </c>
      <c r="D8" s="297">
        <v>44197</v>
      </c>
      <c r="E8" s="98" t="str">
        <f>IFERROR(VLOOKUP(C8,Start!C$15:D$31,2,FALSE),"No")</f>
        <v>Yes</v>
      </c>
      <c r="F8" s="308">
        <v>0</v>
      </c>
      <c r="G8" s="97"/>
      <c r="H8" s="97"/>
      <c r="I8" s="97"/>
      <c r="J8" s="98">
        <f t="shared" si="0"/>
        <v>0</v>
      </c>
      <c r="K8" s="97"/>
      <c r="L8" s="175" t="str">
        <f t="shared" si="1"/>
        <v/>
      </c>
      <c r="M8" s="98">
        <f t="shared" si="2"/>
        <v>0</v>
      </c>
      <c r="N8" s="97"/>
      <c r="O8" s="122"/>
      <c r="P8" s="97"/>
      <c r="Q8" s="122"/>
      <c r="R8" s="92">
        <f>SUMIFS('Shipments data'!L:L,'Shipments data'!F:F,'Supply planning data'!C8,'Shipments data'!A:A,'Supply planning data'!A8,'Shipments data'!Y:Y,'Supply planning data'!D8,'Shipments data'!O:O,"received", 'Shipments data'!N:N, "Public")</f>
        <v>0</v>
      </c>
      <c r="S8" s="92">
        <f>SUMIFS('Shipments data'!L:L,'Shipments data'!F:F,'Supply planning data'!C8,'Shipments data'!A:A,'Supply planning data'!A8,'Shipments data'!Y:Y,'Supply planning data'!D8,'Shipments data'!O:O,"ordered", 'Shipments data'!N:N, "Public")</f>
        <v>0</v>
      </c>
      <c r="T8" s="98">
        <f>IF(SUMIFS('Shipments data'!L:L,'Shipments data'!F:F,'Supply planning data'!C8,'Shipments data'!A:A,'Supply planning data'!A8,'Shipments data'!O:O,"received",'Shipments data'!Q:Q,"&lt;"&amp;'Supply planning data'!D23,'Shipments data'!AC:AC,"&lt;"&amp;'Supply planning data'!D23)-SUMIFS(M:M,D:D,"&lt;="&amp;D8,C:C,C8)+SUMIFS(N:N,D:D,"&lt;="&amp;D8,C:C,C8)+SUMIFS(P:P,D:D,"&lt;="&amp;D8,C:C,C8)&lt;0,0,SUMIFS('Shipments data'!L:L,'Shipments data'!F:F,'Supply planning data'!C8,'Shipments data'!A:A,'Supply planning data'!A8,'Shipments data'!O:O,"received",'Shipments data'!Q:Q,"&lt;"&amp;'Supply planning data'!D23,'Shipments data'!AC:AC,"&lt;"&amp;'Supply planning data'!D23)-SUMIFS(M:M,D:D,"&lt;="&amp;D8,C:C,C8)+SUMIFS(N:N,D:D,"&lt;="&amp;D8,C:C,C8)+SUMIFS(P:P,D:D,"&lt;="&amp;D8,C:C,C8))</f>
        <v>0</v>
      </c>
      <c r="U8" s="126">
        <f t="shared" si="3"/>
        <v>0</v>
      </c>
      <c r="V8" s="98">
        <f t="shared" si="4"/>
        <v>0</v>
      </c>
      <c r="W8" s="184"/>
      <c r="X8" s="98">
        <f t="shared" si="9"/>
        <v>0</v>
      </c>
      <c r="Y8" s="97"/>
      <c r="Z8" s="93"/>
      <c r="AA8" s="98">
        <f t="shared" si="5"/>
        <v>0</v>
      </c>
      <c r="AB8" s="233"/>
      <c r="AC8" s="98">
        <f>IF(SUMIFS('Shipments data'!L:L,'Shipments data'!F:F,'Supply planning data'!C8,'Shipments data'!A:A,'Supply planning data'!A8,'Shipments data'!O:O,"received",'Shipments data'!Q:Q,"&lt;"&amp;'Supply planning data'!D23,'Shipments data'!AC:AC,"&lt;"&amp;'Supply planning data'!D23)-SUMIFS(M:M,D:D,"&lt;="&amp;D8,C:C,C8)-SUMIFS(AA:AA,D:D,"&lt;="&amp;D8,C:C,C8)+SUMIFS(N:N,D:D,"&lt;="&amp;D8,C:C,C8)+SUMIFS(P:P,D:D,"&lt;="&amp;D8,C:C,C8)&lt;0,0,SUMIFS('Shipments data'!L:L,'Shipments data'!F:F,'Supply planning data'!C8,'Shipments data'!A:A,'Supply planning data'!A8,'Shipments data'!O:O,"received",'Shipments data'!Q:Q,"&lt;"&amp;'Supply planning data'!D23,'Shipments data'!AC:AC,"&lt;"&amp;'Supply planning data'!D23)-SUMIFS(M:M,D:D,"&lt;="&amp;D8,C:C,C8)-SUMIFS(AA:AA,D:D,"&lt;="&amp;D8,C:C,C8)+SUMIFS(N:N,D:D,"&lt;="&amp;D8,C:C,C8)+SUMIFS(P:P,D:D,"&lt;="&amp;D8,C:C,C8))</f>
        <v>0</v>
      </c>
      <c r="AD8" s="98">
        <f t="shared" si="13"/>
        <v>0</v>
      </c>
      <c r="AE8" s="98">
        <f t="shared" si="10"/>
        <v>0</v>
      </c>
      <c r="AF8" s="205" t="str">
        <f t="shared" si="14"/>
        <v/>
      </c>
      <c r="AG8" s="98">
        <f t="shared" si="6"/>
        <v>0</v>
      </c>
      <c r="AH8" s="97"/>
      <c r="AI8" s="311"/>
      <c r="AJ8" s="98">
        <f t="shared" si="7"/>
        <v>0</v>
      </c>
      <c r="AK8" s="233"/>
      <c r="AL8" s="98">
        <f>IF(SUMIFS('Shipments data'!L:L,'Shipments data'!F:F,'Supply planning data'!C8,'Shipments data'!A:A,'Supply planning data'!A8,'Shipments data'!O:O,"received",'Shipments data'!Q:Q,"&lt;"&amp;'Supply planning data'!D23,'Shipments data'!AC:AC,"&lt;"&amp;'Supply planning data'!D23)-SUMIFS(M:M,D:D,"&lt;="&amp;D8,C:C,C8)-SUMIFS(AJ:AJ,D:D,"&lt;="&amp;D8,C:C,C8)+SUMIFS(N:N,D:D,"&lt;="&amp;D8,C:C,C8)+SUMIFS(P:P,D:D,"&lt;="&amp;D8,C:C,C8)&lt;0,0,SUMIFS('Shipments data'!L:L,'Shipments data'!F:F,'Supply planning data'!C8,'Shipments data'!A:A,'Supply planning data'!A8,'Shipments data'!O:O,"received",'Shipments data'!Q:Q,"&lt;"&amp;'Supply planning data'!D23,'Shipments data'!AC:AC,"&lt;"&amp;'Supply planning data'!D23)-SUMIFS(M:M,D:D,"&lt;="&amp;D8,C:C,C8)-SUMIFS(AJ:AJ,D:D,"&lt;="&amp;D8,C:C,C8)+SUMIFS(N:N,D:D,"&lt;="&amp;D8,C:C,C8)+SUMIFS(P:P,D:D,"&lt;="&amp;D8,C:C,C8))</f>
        <v>0</v>
      </c>
      <c r="AM8" s="98">
        <f t="shared" si="8"/>
        <v>0</v>
      </c>
      <c r="AN8" s="98">
        <f t="shared" si="11"/>
        <v>0</v>
      </c>
      <c r="AO8" s="203" t="str">
        <f t="shared" si="12"/>
        <v/>
      </c>
    </row>
    <row r="9" spans="1:41" x14ac:dyDescent="0.25">
      <c r="A9" s="95" t="str">
        <f>Start!D$7</f>
        <v>Anyland</v>
      </c>
      <c r="B9" s="96" t="str">
        <f>VLOOKUP(A9,list!B:C,2,FALSE)</f>
        <v>ANY</v>
      </c>
      <c r="C9" s="90" t="str">
        <f>IF(Start!$C$21="","",Start!$C$21)</f>
        <v>Sinovac</v>
      </c>
      <c r="D9" s="296">
        <v>44197</v>
      </c>
      <c r="E9" s="98" t="str">
        <f>IFERROR(VLOOKUP(C9,Start!C$15:D$31,2,FALSE),"No")</f>
        <v>No</v>
      </c>
      <c r="F9" s="308">
        <v>0</v>
      </c>
      <c r="G9" s="97"/>
      <c r="H9" s="91"/>
      <c r="I9" s="91"/>
      <c r="J9" s="92">
        <f t="shared" si="0"/>
        <v>0</v>
      </c>
      <c r="K9" s="91"/>
      <c r="L9" s="174" t="str">
        <f t="shared" si="1"/>
        <v/>
      </c>
      <c r="M9" s="92">
        <f t="shared" si="2"/>
        <v>0</v>
      </c>
      <c r="N9" s="97"/>
      <c r="O9" s="122"/>
      <c r="P9" s="97"/>
      <c r="Q9" s="122"/>
      <c r="R9" s="92">
        <f>SUMIFS('Shipments data'!L:L,'Shipments data'!F:F,'Supply planning data'!C9,'Shipments data'!A:A,'Supply planning data'!A9,'Shipments data'!Y:Y,'Supply planning data'!D9,'Shipments data'!O:O,"received", 'Shipments data'!N:N, "Public")</f>
        <v>0</v>
      </c>
      <c r="S9" s="92">
        <f>SUMIFS('Shipments data'!L:L,'Shipments data'!F:F,'Supply planning data'!C9,'Shipments data'!A:A,'Supply planning data'!A9,'Shipments data'!Y:Y,'Supply planning data'!D9,'Shipments data'!O:O,"ordered", 'Shipments data'!N:N, "Public")</f>
        <v>0</v>
      </c>
      <c r="T9" s="98">
        <f>IF(SUMIFS('Shipments data'!L:L,'Shipments data'!F:F,'Supply planning data'!C9,'Shipments data'!A:A,'Supply planning data'!A9,'Shipments data'!O:O,"received",'Shipments data'!Q:Q,"&lt;"&amp;'Supply planning data'!D24,'Shipments data'!AC:AC,"&lt;"&amp;'Supply planning data'!D24)-SUMIFS(M:M,D:D,"&lt;="&amp;D9,C:C,C9)+SUMIFS(N:N,D:D,"&lt;="&amp;D9,C:C,C9)+SUMIFS(P:P,D:D,"&lt;="&amp;D9,C:C,C9)&lt;0,0,SUMIFS('Shipments data'!L:L,'Shipments data'!F:F,'Supply planning data'!C9,'Shipments data'!A:A,'Supply planning data'!A9,'Shipments data'!O:O,"received",'Shipments data'!Q:Q,"&lt;"&amp;'Supply planning data'!D24,'Shipments data'!AC:AC,"&lt;"&amp;'Supply planning data'!D24)-SUMIFS(M:M,D:D,"&lt;="&amp;D9,C:C,C9)+SUMIFS(N:N,D:D,"&lt;="&amp;D9,C:C,C9)+SUMIFS(P:P,D:D,"&lt;="&amp;D9,C:C,C9))</f>
        <v>0</v>
      </c>
      <c r="U9" s="126">
        <f t="shared" si="3"/>
        <v>0</v>
      </c>
      <c r="V9" s="98">
        <f t="shared" si="4"/>
        <v>0</v>
      </c>
      <c r="W9" s="184"/>
      <c r="X9" s="98">
        <f t="shared" si="9"/>
        <v>0</v>
      </c>
      <c r="Y9" s="97"/>
      <c r="Z9" s="93"/>
      <c r="AA9" s="98">
        <f t="shared" si="5"/>
        <v>0</v>
      </c>
      <c r="AB9" s="233"/>
      <c r="AC9" s="98">
        <f>IF(SUMIFS('Shipments data'!L:L,'Shipments data'!F:F,'Supply planning data'!C9,'Shipments data'!A:A,'Supply planning data'!A9,'Shipments data'!O:O,"received",'Shipments data'!Q:Q,"&lt;"&amp;'Supply planning data'!D24,'Shipments data'!AC:AC,"&lt;"&amp;'Supply planning data'!D24)-SUMIFS(M:M,D:D,"&lt;="&amp;D9,C:C,C9)-SUMIFS(AA:AA,D:D,"&lt;="&amp;D9,C:C,C9)+SUMIFS(N:N,D:D,"&lt;="&amp;D9,C:C,C9)+SUMIFS(P:P,D:D,"&lt;="&amp;D9,C:C,C9)&lt;0,0,SUMIFS('Shipments data'!L:L,'Shipments data'!F:F,'Supply planning data'!C9,'Shipments data'!A:A,'Supply planning data'!A9,'Shipments data'!O:O,"received",'Shipments data'!Q:Q,"&lt;"&amp;'Supply planning data'!D24,'Shipments data'!AC:AC,"&lt;"&amp;'Supply planning data'!D24)-SUMIFS(M:M,D:D,"&lt;="&amp;D9,C:C,C9)-SUMIFS(AA:AA,D:D,"&lt;="&amp;D9,C:C,C9)+SUMIFS(N:N,D:D,"&lt;="&amp;D9,C:C,C9)+SUMIFS(P:P,D:D,"&lt;="&amp;D9,C:C,C9))</f>
        <v>0</v>
      </c>
      <c r="AD9" s="98">
        <f t="shared" si="13"/>
        <v>0</v>
      </c>
      <c r="AE9" s="98">
        <f t="shared" si="10"/>
        <v>0</v>
      </c>
      <c r="AF9" s="205" t="str">
        <f t="shared" si="14"/>
        <v/>
      </c>
      <c r="AG9" s="98">
        <f t="shared" si="6"/>
        <v>0</v>
      </c>
      <c r="AH9" s="97"/>
      <c r="AI9" s="311"/>
      <c r="AJ9" s="98">
        <f t="shared" si="7"/>
        <v>0</v>
      </c>
      <c r="AK9" s="233"/>
      <c r="AL9" s="98">
        <f>IF(SUMIFS('Shipments data'!L:L,'Shipments data'!F:F,'Supply planning data'!C9,'Shipments data'!A:A,'Supply planning data'!A9,'Shipments data'!O:O,"received",'Shipments data'!Q:Q,"&lt;"&amp;'Supply planning data'!D24,'Shipments data'!AC:AC,"&lt;"&amp;'Supply planning data'!D24)-SUMIFS(M:M,D:D,"&lt;="&amp;D9,C:C,C9)-SUMIFS(AJ:AJ,D:D,"&lt;="&amp;D9,C:C,C9)+SUMIFS(N:N,D:D,"&lt;="&amp;D9,C:C,C9)+SUMIFS(P:P,D:D,"&lt;="&amp;D9,C:C,C9)&lt;0,0,SUMIFS('Shipments data'!L:L,'Shipments data'!F:F,'Supply planning data'!C9,'Shipments data'!A:A,'Supply planning data'!A9,'Shipments data'!O:O,"received",'Shipments data'!Q:Q,"&lt;"&amp;'Supply planning data'!D24,'Shipments data'!AC:AC,"&lt;"&amp;'Supply planning data'!D24)-SUMIFS(M:M,D:D,"&lt;="&amp;D9,C:C,C9)-SUMIFS(AJ:AJ,D:D,"&lt;="&amp;D9,C:C,C9)+SUMIFS(N:N,D:D,"&lt;="&amp;D9,C:C,C9)+SUMIFS(P:P,D:D,"&lt;="&amp;D9,C:C,C9))</f>
        <v>0</v>
      </c>
      <c r="AM9" s="98">
        <f t="shared" si="8"/>
        <v>0</v>
      </c>
      <c r="AN9" s="98">
        <f t="shared" si="11"/>
        <v>0</v>
      </c>
      <c r="AO9" s="203" t="str">
        <f t="shared" si="12"/>
        <v/>
      </c>
    </row>
    <row r="10" spans="1:41" hidden="1" x14ac:dyDescent="0.25">
      <c r="A10" s="95" t="str">
        <f>Start!D$7</f>
        <v>Anyland</v>
      </c>
      <c r="B10" s="96" t="str">
        <f>VLOOKUP(A10,list!B:C,2,FALSE)</f>
        <v>ANY</v>
      </c>
      <c r="C10" s="90" t="str">
        <f>IF(Start!$C$22="","",Start!$C$22)</f>
        <v/>
      </c>
      <c r="D10" s="297">
        <v>44197</v>
      </c>
      <c r="E10" s="98" t="str">
        <f>IFERROR(VLOOKUP(C10,Start!C$15:D$31,2,FALSE),"No")</f>
        <v>No</v>
      </c>
      <c r="F10" s="308">
        <v>0</v>
      </c>
      <c r="G10" s="97"/>
      <c r="H10" s="97"/>
      <c r="I10" s="97"/>
      <c r="J10" s="98">
        <f t="shared" si="0"/>
        <v>0</v>
      </c>
      <c r="K10" s="97"/>
      <c r="L10" s="175" t="str">
        <f t="shared" si="1"/>
        <v/>
      </c>
      <c r="M10" s="98">
        <f t="shared" si="2"/>
        <v>0</v>
      </c>
      <c r="N10" s="97"/>
      <c r="O10" s="122"/>
      <c r="P10" s="97"/>
      <c r="Q10" s="122"/>
      <c r="R10" s="92">
        <f>SUMIFS('Shipments data'!L:L,'Shipments data'!F:F,'Supply planning data'!C10,'Shipments data'!A:A,'Supply planning data'!A10,'Shipments data'!Y:Y,'Supply planning data'!D10,'Shipments data'!O:O,"received", 'Shipments data'!N:N, "Public")</f>
        <v>0</v>
      </c>
      <c r="S10" s="92">
        <f>SUMIFS('Shipments data'!L:L,'Shipments data'!F:F,'Supply planning data'!C10,'Shipments data'!A:A,'Supply planning data'!A10,'Shipments data'!Y:Y,'Supply planning data'!D10,'Shipments data'!O:O,"ordered", 'Shipments data'!N:N, "Public")</f>
        <v>0</v>
      </c>
      <c r="T10" s="98">
        <f>IF(SUMIFS('Shipments data'!L:L,'Shipments data'!F:F,'Supply planning data'!C10,'Shipments data'!A:A,'Supply planning data'!A10,'Shipments data'!O:O,"received",'Shipments data'!Q:Q,"&lt;"&amp;'Supply planning data'!D25,'Shipments data'!AC:AC,"&lt;"&amp;'Supply planning data'!D25)-SUMIFS(M:M,D:D,"&lt;="&amp;D10,C:C,C10)+SUMIFS(N:N,D:D,"&lt;="&amp;D10,C:C,C10)+SUMIFS(P:P,D:D,"&lt;="&amp;D10,C:C,C10)&lt;0,0,SUMIFS('Shipments data'!L:L,'Shipments data'!F:F,'Supply planning data'!C10,'Shipments data'!A:A,'Supply planning data'!A10,'Shipments data'!O:O,"received",'Shipments data'!Q:Q,"&lt;"&amp;'Supply planning data'!D25,'Shipments data'!AC:AC,"&lt;"&amp;'Supply planning data'!D25)-SUMIFS(M:M,D:D,"&lt;="&amp;D10,C:C,C10)+SUMIFS(N:N,D:D,"&lt;="&amp;D10,C:C,C10)+SUMIFS(P:P,D:D,"&lt;="&amp;D10,C:C,C10))</f>
        <v>0</v>
      </c>
      <c r="U10" s="126">
        <f t="shared" si="3"/>
        <v>0</v>
      </c>
      <c r="V10" s="98">
        <f t="shared" si="4"/>
        <v>0</v>
      </c>
      <c r="W10" s="184"/>
      <c r="X10" s="98">
        <f t="shared" si="9"/>
        <v>0</v>
      </c>
      <c r="Y10" s="97"/>
      <c r="Z10" s="93"/>
      <c r="AA10" s="98">
        <f t="shared" si="5"/>
        <v>0</v>
      </c>
      <c r="AB10" s="233"/>
      <c r="AC10" s="98">
        <f>IF(SUMIFS('Shipments data'!L:L,'Shipments data'!F:F,'Supply planning data'!C10,'Shipments data'!A:A,'Supply planning data'!A10,'Shipments data'!O:O,"received",'Shipments data'!Q:Q,"&lt;"&amp;'Supply planning data'!D25,'Shipments data'!AC:AC,"&lt;"&amp;'Supply planning data'!D25)-SUMIFS(M:M,D:D,"&lt;="&amp;D10,C:C,C10)-SUMIFS(AA:AA,D:D,"&lt;="&amp;D10,C:C,C10)+SUMIFS(N:N,D:D,"&lt;="&amp;D10,C:C,C10)+SUMIFS(P:P,D:D,"&lt;="&amp;D10,C:C,C10)&lt;0,0,SUMIFS('Shipments data'!L:L,'Shipments data'!F:F,'Supply planning data'!C10,'Shipments data'!A:A,'Supply planning data'!A10,'Shipments data'!O:O,"received",'Shipments data'!Q:Q,"&lt;"&amp;'Supply planning data'!D25,'Shipments data'!AC:AC,"&lt;"&amp;'Supply planning data'!D25)-SUMIFS(M:M,D:D,"&lt;="&amp;D10,C:C,C10)-SUMIFS(AA:AA,D:D,"&lt;="&amp;D10,C:C,C10)+SUMIFS(N:N,D:D,"&lt;="&amp;D10,C:C,C10)+SUMIFS(P:P,D:D,"&lt;="&amp;D10,C:C,C10))</f>
        <v>0</v>
      </c>
      <c r="AD10" s="98">
        <f t="shared" si="13"/>
        <v>0</v>
      </c>
      <c r="AE10" s="98">
        <f t="shared" si="10"/>
        <v>0</v>
      </c>
      <c r="AF10" s="205" t="str">
        <f t="shared" si="14"/>
        <v/>
      </c>
      <c r="AG10" s="98">
        <f t="shared" si="6"/>
        <v>0</v>
      </c>
      <c r="AH10" s="97"/>
      <c r="AI10" s="311"/>
      <c r="AJ10" s="98">
        <f t="shared" si="7"/>
        <v>0</v>
      </c>
      <c r="AK10" s="233"/>
      <c r="AL10" s="98">
        <f>IF(SUMIFS('Shipments data'!L:L,'Shipments data'!F:F,'Supply planning data'!C10,'Shipments data'!A:A,'Supply planning data'!A10,'Shipments data'!O:O,"received",'Shipments data'!Q:Q,"&lt;"&amp;'Supply planning data'!D25,'Shipments data'!AC:AC,"&lt;"&amp;'Supply planning data'!D25)-SUMIFS(M:M,D:D,"&lt;="&amp;D10,C:C,C10)-SUMIFS(AJ:AJ,D:D,"&lt;="&amp;D10,C:C,C10)+SUMIFS(N:N,D:D,"&lt;="&amp;D10,C:C,C10)+SUMIFS(P:P,D:D,"&lt;="&amp;D10,C:C,C10)&lt;0,0,SUMIFS('Shipments data'!L:L,'Shipments data'!F:F,'Supply planning data'!C10,'Shipments data'!A:A,'Supply planning data'!A10,'Shipments data'!O:O,"received",'Shipments data'!Q:Q,"&lt;"&amp;'Supply planning data'!D25,'Shipments data'!AC:AC,"&lt;"&amp;'Supply planning data'!D25)-SUMIFS(M:M,D:D,"&lt;="&amp;D10,C:C,C10)-SUMIFS(AJ:AJ,D:D,"&lt;="&amp;D10,C:C,C10)+SUMIFS(N:N,D:D,"&lt;="&amp;D10,C:C,C10)+SUMIFS(P:P,D:D,"&lt;="&amp;D10,C:C,C10))</f>
        <v>0</v>
      </c>
      <c r="AM10" s="98">
        <f t="shared" si="8"/>
        <v>0</v>
      </c>
      <c r="AN10" s="98">
        <f t="shared" si="11"/>
        <v>0</v>
      </c>
      <c r="AO10" s="203" t="str">
        <f t="shared" si="12"/>
        <v/>
      </c>
    </row>
    <row r="11" spans="1:41" hidden="1" x14ac:dyDescent="0.25">
      <c r="A11" s="95" t="str">
        <f>Start!D$7</f>
        <v>Anyland</v>
      </c>
      <c r="B11" s="96" t="str">
        <f>VLOOKUP(A11,list!B:C,2,FALSE)</f>
        <v>ANY</v>
      </c>
      <c r="C11" s="90" t="str">
        <f>IF(Start!$C$23="","",Start!$C$23)</f>
        <v/>
      </c>
      <c r="D11" s="297">
        <v>44197</v>
      </c>
      <c r="E11" s="98" t="str">
        <f>IFERROR(VLOOKUP(C11,Start!C$15:D$31,2,FALSE),"No")</f>
        <v>No</v>
      </c>
      <c r="F11" s="308">
        <v>0</v>
      </c>
      <c r="G11" s="97"/>
      <c r="H11" s="91"/>
      <c r="I11" s="91"/>
      <c r="J11" s="92">
        <f t="shared" si="0"/>
        <v>0</v>
      </c>
      <c r="K11" s="91"/>
      <c r="L11" s="174" t="str">
        <f t="shared" si="1"/>
        <v/>
      </c>
      <c r="M11" s="92">
        <f t="shared" si="2"/>
        <v>0</v>
      </c>
      <c r="N11" s="97"/>
      <c r="O11" s="122"/>
      <c r="P11" s="97"/>
      <c r="Q11" s="122"/>
      <c r="R11" s="92">
        <f>SUMIFS('Shipments data'!L:L,'Shipments data'!F:F,'Supply planning data'!C11,'Shipments data'!A:A,'Supply planning data'!A11,'Shipments data'!Y:Y,'Supply planning data'!D11,'Shipments data'!O:O,"received", 'Shipments data'!N:N, "Public")</f>
        <v>0</v>
      </c>
      <c r="S11" s="92">
        <f>SUMIFS('Shipments data'!L:L,'Shipments data'!F:F,'Supply planning data'!C11,'Shipments data'!A:A,'Supply planning data'!A11,'Shipments data'!Y:Y,'Supply planning data'!D11,'Shipments data'!O:O,"ordered", 'Shipments data'!N:N, "Public")</f>
        <v>0</v>
      </c>
      <c r="T11" s="98">
        <f>IF(SUMIFS('Shipments data'!L:L,'Shipments data'!F:F,'Supply planning data'!C11,'Shipments data'!A:A,'Supply planning data'!A11,'Shipments data'!O:O,"received",'Shipments data'!Q:Q,"&lt;"&amp;'Supply planning data'!D26,'Shipments data'!AC:AC,"&lt;"&amp;'Supply planning data'!D26)-SUMIFS(M:M,D:D,"&lt;="&amp;D11,C:C,C11)+SUMIFS(N:N,D:D,"&lt;="&amp;D11,C:C,C11)+SUMIFS(P:P,D:D,"&lt;="&amp;D11,C:C,C11)&lt;0,0,SUMIFS('Shipments data'!L:L,'Shipments data'!F:F,'Supply planning data'!C11,'Shipments data'!A:A,'Supply planning data'!A11,'Shipments data'!O:O,"received",'Shipments data'!Q:Q,"&lt;"&amp;'Supply planning data'!D26,'Shipments data'!AC:AC,"&lt;"&amp;'Supply planning data'!D26)-SUMIFS(M:M,D:D,"&lt;="&amp;D11,C:C,C11)+SUMIFS(N:N,D:D,"&lt;="&amp;D11,C:C,C11)+SUMIFS(P:P,D:D,"&lt;="&amp;D11,C:C,C11))</f>
        <v>0</v>
      </c>
      <c r="U11" s="126">
        <f t="shared" si="3"/>
        <v>0</v>
      </c>
      <c r="V11" s="98">
        <f t="shared" si="4"/>
        <v>0</v>
      </c>
      <c r="W11" s="184"/>
      <c r="X11" s="98">
        <f t="shared" si="9"/>
        <v>0</v>
      </c>
      <c r="Y11" s="97"/>
      <c r="Z11" s="93"/>
      <c r="AA11" s="98">
        <f t="shared" si="5"/>
        <v>0</v>
      </c>
      <c r="AB11" s="233"/>
      <c r="AC11" s="98">
        <f>IF(SUMIFS('Shipments data'!L:L,'Shipments data'!F:F,'Supply planning data'!C11,'Shipments data'!A:A,'Supply planning data'!A11,'Shipments data'!O:O,"received",'Shipments data'!Q:Q,"&lt;"&amp;'Supply planning data'!D26,'Shipments data'!AC:AC,"&lt;"&amp;'Supply planning data'!D26)-SUMIFS(M:M,D:D,"&lt;="&amp;D11,C:C,C11)-SUMIFS(AA:AA,D:D,"&lt;="&amp;D11,C:C,C11)+SUMIFS(N:N,D:D,"&lt;="&amp;D11,C:C,C11)+SUMIFS(P:P,D:D,"&lt;="&amp;D11,C:C,C11)&lt;0,0,SUMIFS('Shipments data'!L:L,'Shipments data'!F:F,'Supply planning data'!C11,'Shipments data'!A:A,'Supply planning data'!A11,'Shipments data'!O:O,"received",'Shipments data'!Q:Q,"&lt;"&amp;'Supply planning data'!D26,'Shipments data'!AC:AC,"&lt;"&amp;'Supply planning data'!D26)-SUMIFS(M:M,D:D,"&lt;="&amp;D11,C:C,C11)-SUMIFS(AA:AA,D:D,"&lt;="&amp;D11,C:C,C11)+SUMIFS(N:N,D:D,"&lt;="&amp;D11,C:C,C11)+SUMIFS(P:P,D:D,"&lt;="&amp;D11,C:C,C11))</f>
        <v>0</v>
      </c>
      <c r="AD11" s="98">
        <f t="shared" si="13"/>
        <v>0</v>
      </c>
      <c r="AE11" s="98">
        <f t="shared" si="10"/>
        <v>0</v>
      </c>
      <c r="AF11" s="205" t="str">
        <f t="shared" si="14"/>
        <v/>
      </c>
      <c r="AG11" s="98">
        <f t="shared" si="6"/>
        <v>0</v>
      </c>
      <c r="AH11" s="97"/>
      <c r="AI11" s="311"/>
      <c r="AJ11" s="98">
        <f t="shared" si="7"/>
        <v>0</v>
      </c>
      <c r="AK11" s="233"/>
      <c r="AL11" s="98">
        <f>IF(SUMIFS('Shipments data'!L:L,'Shipments data'!F:F,'Supply planning data'!C11,'Shipments data'!A:A,'Supply planning data'!A11,'Shipments data'!O:O,"received",'Shipments data'!Q:Q,"&lt;"&amp;'Supply planning data'!D26,'Shipments data'!AC:AC,"&lt;"&amp;'Supply planning data'!D26)-SUMIFS(M:M,D:D,"&lt;="&amp;D11,C:C,C11)-SUMIFS(AJ:AJ,D:D,"&lt;="&amp;D11,C:C,C11)+SUMIFS(N:N,D:D,"&lt;="&amp;D11,C:C,C11)+SUMIFS(P:P,D:D,"&lt;="&amp;D11,C:C,C11)&lt;0,0,SUMIFS('Shipments data'!L:L,'Shipments data'!F:F,'Supply planning data'!C11,'Shipments data'!A:A,'Supply planning data'!A11,'Shipments data'!O:O,"received",'Shipments data'!Q:Q,"&lt;"&amp;'Supply planning data'!D26,'Shipments data'!AC:AC,"&lt;"&amp;'Supply planning data'!D26)-SUMIFS(M:M,D:D,"&lt;="&amp;D11,C:C,C11)-SUMIFS(AJ:AJ,D:D,"&lt;="&amp;D11,C:C,C11)+SUMIFS(N:N,D:D,"&lt;="&amp;D11,C:C,C11)+SUMIFS(P:P,D:D,"&lt;="&amp;D11,C:C,C11))</f>
        <v>0</v>
      </c>
      <c r="AM11" s="98">
        <f t="shared" si="8"/>
        <v>0</v>
      </c>
      <c r="AN11" s="98">
        <f t="shared" si="11"/>
        <v>0</v>
      </c>
      <c r="AO11" s="203" t="str">
        <f t="shared" si="12"/>
        <v/>
      </c>
    </row>
    <row r="12" spans="1:41" hidden="1" x14ac:dyDescent="0.25">
      <c r="A12" s="95" t="str">
        <f>Start!D$7</f>
        <v>Anyland</v>
      </c>
      <c r="B12" s="96" t="str">
        <f>VLOOKUP(A12,list!B:C,2,FALSE)</f>
        <v>ANY</v>
      </c>
      <c r="C12" s="90" t="str">
        <f>IF(Start!$C$24="","",Start!$C$24)</f>
        <v/>
      </c>
      <c r="D12" s="296">
        <v>44197</v>
      </c>
      <c r="E12" s="98" t="str">
        <f>IFERROR(VLOOKUP(C12,Start!C$15:D$31,2,FALSE),"No")</f>
        <v>No</v>
      </c>
      <c r="F12" s="308">
        <v>0</v>
      </c>
      <c r="G12" s="97"/>
      <c r="H12" s="97"/>
      <c r="I12" s="97"/>
      <c r="J12" s="98">
        <f t="shared" si="0"/>
        <v>0</v>
      </c>
      <c r="K12" s="97"/>
      <c r="L12" s="175" t="str">
        <f t="shared" si="1"/>
        <v/>
      </c>
      <c r="M12" s="98">
        <f t="shared" si="2"/>
        <v>0</v>
      </c>
      <c r="N12" s="97"/>
      <c r="O12" s="122"/>
      <c r="P12" s="97"/>
      <c r="Q12" s="122"/>
      <c r="R12" s="92">
        <f>SUMIFS('Shipments data'!L:L,'Shipments data'!F:F,'Supply planning data'!C12,'Shipments data'!A:A,'Supply planning data'!A12,'Shipments data'!Y:Y,'Supply planning data'!D12,'Shipments data'!O:O,"received", 'Shipments data'!N:N, "Public")</f>
        <v>0</v>
      </c>
      <c r="S12" s="92">
        <f>SUMIFS('Shipments data'!L:L,'Shipments data'!F:F,'Supply planning data'!C12,'Shipments data'!A:A,'Supply planning data'!A12,'Shipments data'!Y:Y,'Supply planning data'!D12,'Shipments data'!O:O,"ordered", 'Shipments data'!N:N, "Public")</f>
        <v>0</v>
      </c>
      <c r="T12" s="98">
        <f>IF(SUMIFS('Shipments data'!L:L,'Shipments data'!F:F,'Supply planning data'!C12,'Shipments data'!A:A,'Supply planning data'!A12,'Shipments data'!O:O,"received",'Shipments data'!Q:Q,"&lt;"&amp;'Supply planning data'!D27,'Shipments data'!AC:AC,"&lt;"&amp;'Supply planning data'!D27)-SUMIFS(M:M,D:D,"&lt;="&amp;D12,C:C,C12)+SUMIFS(N:N,D:D,"&lt;="&amp;D12,C:C,C12)+SUMIFS(P:P,D:D,"&lt;="&amp;D12,C:C,C12)&lt;0,0,SUMIFS('Shipments data'!L:L,'Shipments data'!F:F,'Supply planning data'!C12,'Shipments data'!A:A,'Supply planning data'!A12,'Shipments data'!O:O,"received",'Shipments data'!Q:Q,"&lt;"&amp;'Supply planning data'!D27,'Shipments data'!AC:AC,"&lt;"&amp;'Supply planning data'!D27)-SUMIFS(M:M,D:D,"&lt;="&amp;D12,C:C,C12)+SUMIFS(N:N,D:D,"&lt;="&amp;D12,C:C,C12)+SUMIFS(P:P,D:D,"&lt;="&amp;D12,C:C,C12))</f>
        <v>0</v>
      </c>
      <c r="U12" s="126">
        <f t="shared" si="3"/>
        <v>0</v>
      </c>
      <c r="V12" s="98">
        <f t="shared" si="4"/>
        <v>0</v>
      </c>
      <c r="W12" s="184"/>
      <c r="X12" s="98">
        <f t="shared" si="9"/>
        <v>0</v>
      </c>
      <c r="Y12" s="97"/>
      <c r="Z12" s="93"/>
      <c r="AA12" s="98">
        <f t="shared" si="5"/>
        <v>0</v>
      </c>
      <c r="AB12" s="233"/>
      <c r="AC12" s="98">
        <f>IF(SUMIFS('Shipments data'!L:L,'Shipments data'!F:F,'Supply planning data'!C12,'Shipments data'!A:A,'Supply planning data'!A12,'Shipments data'!O:O,"received",'Shipments data'!Q:Q,"&lt;"&amp;'Supply planning data'!D27,'Shipments data'!AC:AC,"&lt;"&amp;'Supply planning data'!D27)-SUMIFS(M:M,D:D,"&lt;="&amp;D12,C:C,C12)-SUMIFS(AA:AA,D:D,"&lt;="&amp;D12,C:C,C12)+SUMIFS(N:N,D:D,"&lt;="&amp;D12,C:C,C12)+SUMIFS(P:P,D:D,"&lt;="&amp;D12,C:C,C12)&lt;0,0,SUMIFS('Shipments data'!L:L,'Shipments data'!F:F,'Supply planning data'!C12,'Shipments data'!A:A,'Supply planning data'!A12,'Shipments data'!O:O,"received",'Shipments data'!Q:Q,"&lt;"&amp;'Supply planning data'!D27,'Shipments data'!AC:AC,"&lt;"&amp;'Supply planning data'!D27)-SUMIFS(M:M,D:D,"&lt;="&amp;D12,C:C,C12)-SUMIFS(AA:AA,D:D,"&lt;="&amp;D12,C:C,C12)+SUMIFS(N:N,D:D,"&lt;="&amp;D12,C:C,C12)+SUMIFS(P:P,D:D,"&lt;="&amp;D12,C:C,C12))</f>
        <v>0</v>
      </c>
      <c r="AD12" s="98">
        <f t="shared" si="13"/>
        <v>0</v>
      </c>
      <c r="AE12" s="98">
        <f t="shared" si="10"/>
        <v>0</v>
      </c>
      <c r="AF12" s="205" t="str">
        <f t="shared" si="14"/>
        <v/>
      </c>
      <c r="AG12" s="98">
        <f t="shared" si="6"/>
        <v>0</v>
      </c>
      <c r="AH12" s="97"/>
      <c r="AI12" s="311"/>
      <c r="AJ12" s="98">
        <f t="shared" si="7"/>
        <v>0</v>
      </c>
      <c r="AK12" s="233"/>
      <c r="AL12" s="98">
        <f>IF(SUMIFS('Shipments data'!L:L,'Shipments data'!F:F,'Supply planning data'!C12,'Shipments data'!A:A,'Supply planning data'!A12,'Shipments data'!O:O,"received",'Shipments data'!Q:Q,"&lt;"&amp;'Supply planning data'!D27,'Shipments data'!AC:AC,"&lt;"&amp;'Supply planning data'!D27)-SUMIFS(M:M,D:D,"&lt;="&amp;D12,C:C,C12)-SUMIFS(AJ:AJ,D:D,"&lt;="&amp;D12,C:C,C12)+SUMIFS(N:N,D:D,"&lt;="&amp;D12,C:C,C12)+SUMIFS(P:P,D:D,"&lt;="&amp;D12,C:C,C12)&lt;0,0,SUMIFS('Shipments data'!L:L,'Shipments data'!F:F,'Supply planning data'!C12,'Shipments data'!A:A,'Supply planning data'!A12,'Shipments data'!O:O,"received",'Shipments data'!Q:Q,"&lt;"&amp;'Supply planning data'!D27,'Shipments data'!AC:AC,"&lt;"&amp;'Supply planning data'!D27)-SUMIFS(M:M,D:D,"&lt;="&amp;D12,C:C,C12)-SUMIFS(AJ:AJ,D:D,"&lt;="&amp;D12,C:C,C12)+SUMIFS(N:N,D:D,"&lt;="&amp;D12,C:C,C12)+SUMIFS(P:P,D:D,"&lt;="&amp;D12,C:C,C12))</f>
        <v>0</v>
      </c>
      <c r="AM12" s="98">
        <f t="shared" si="8"/>
        <v>0</v>
      </c>
      <c r="AN12" s="98">
        <f t="shared" si="11"/>
        <v>0</v>
      </c>
      <c r="AO12" s="203" t="str">
        <f t="shared" si="12"/>
        <v/>
      </c>
    </row>
    <row r="13" spans="1:41" hidden="1" x14ac:dyDescent="0.25">
      <c r="A13" s="95" t="str">
        <f>Start!D$7</f>
        <v>Anyland</v>
      </c>
      <c r="B13" s="96" t="str">
        <f>VLOOKUP(A13,list!B:C,2,FALSE)</f>
        <v>ANY</v>
      </c>
      <c r="C13" s="90" t="str">
        <f>IF(Start!$C$25="","",Start!$C$25)</f>
        <v/>
      </c>
      <c r="D13" s="297">
        <v>44197</v>
      </c>
      <c r="E13" s="98" t="str">
        <f>IFERROR(VLOOKUP(C13,Start!C$15:D$31,2,FALSE),"No")</f>
        <v>No</v>
      </c>
      <c r="F13" s="308"/>
      <c r="G13" s="97"/>
      <c r="H13" s="91"/>
      <c r="I13" s="91"/>
      <c r="J13" s="92">
        <f t="shared" si="0"/>
        <v>0</v>
      </c>
      <c r="K13" s="91"/>
      <c r="L13" s="174" t="str">
        <f t="shared" si="1"/>
        <v/>
      </c>
      <c r="M13" s="92">
        <f t="shared" si="2"/>
        <v>0</v>
      </c>
      <c r="N13" s="97"/>
      <c r="O13" s="122"/>
      <c r="P13" s="97"/>
      <c r="Q13" s="122"/>
      <c r="R13" s="92">
        <f>SUMIFS('Shipments data'!L:L,'Shipments data'!F:F,'Supply planning data'!C13,'Shipments data'!A:A,'Supply planning data'!A13,'Shipments data'!Y:Y,'Supply planning data'!D13,'Shipments data'!O:O,"received", 'Shipments data'!N:N, "Public")</f>
        <v>0</v>
      </c>
      <c r="S13" s="92">
        <f>SUMIFS('Shipments data'!L:L,'Shipments data'!F:F,'Supply planning data'!C13,'Shipments data'!A:A,'Supply planning data'!A13,'Shipments data'!Y:Y,'Supply planning data'!D13,'Shipments data'!O:O,"ordered", 'Shipments data'!N:N, "Public")</f>
        <v>0</v>
      </c>
      <c r="T13" s="98">
        <f>IF(SUMIFS('Shipments data'!L:L,'Shipments data'!F:F,'Supply planning data'!C13,'Shipments data'!A:A,'Supply planning data'!A13,'Shipments data'!O:O,"received",'Shipments data'!Q:Q,"&lt;"&amp;'Supply planning data'!D28,'Shipments data'!AC:AC,"&lt;"&amp;'Supply planning data'!D28)-SUMIFS(M:M,D:D,"&lt;="&amp;D13,C:C,C13)+SUMIFS(N:N,D:D,"&lt;="&amp;D13,C:C,C13)+SUMIFS(P:P,D:D,"&lt;="&amp;D13,C:C,C13)&lt;0,0,SUMIFS('Shipments data'!L:L,'Shipments data'!F:F,'Supply planning data'!C13,'Shipments data'!A:A,'Supply planning data'!A13,'Shipments data'!O:O,"received",'Shipments data'!Q:Q,"&lt;"&amp;'Supply planning data'!D28,'Shipments data'!AC:AC,"&lt;"&amp;'Supply planning data'!D28)-SUMIFS(M:M,D:D,"&lt;="&amp;D13,C:C,C13)+SUMIFS(N:N,D:D,"&lt;="&amp;D13,C:C,C13)+SUMIFS(P:P,D:D,"&lt;="&amp;D13,C:C,C13))</f>
        <v>0</v>
      </c>
      <c r="U13" s="126">
        <f t="shared" si="3"/>
        <v>0</v>
      </c>
      <c r="V13" s="98">
        <f t="shared" si="4"/>
        <v>0</v>
      </c>
      <c r="W13" s="184"/>
      <c r="X13" s="98">
        <f t="shared" si="9"/>
        <v>0</v>
      </c>
      <c r="Y13" s="97"/>
      <c r="Z13" s="93"/>
      <c r="AA13" s="98">
        <f t="shared" si="5"/>
        <v>0</v>
      </c>
      <c r="AB13" s="233"/>
      <c r="AC13" s="98">
        <f>IF(SUMIFS('Shipments data'!L:L,'Shipments data'!F:F,'Supply planning data'!C13,'Shipments data'!A:A,'Supply planning data'!A13,'Shipments data'!O:O,"received",'Shipments data'!Q:Q,"&lt;"&amp;'Supply planning data'!D28,'Shipments data'!AC:AC,"&lt;"&amp;'Supply planning data'!D28)-SUMIFS(M:M,D:D,"&lt;="&amp;D13,C:C,C13)-SUMIFS(AA:AA,D:D,"&lt;="&amp;D13,C:C,C13)+SUMIFS(N:N,D:D,"&lt;="&amp;D13,C:C,C13)+SUMIFS(P:P,D:D,"&lt;="&amp;D13,C:C,C13)&lt;0,0,SUMIFS('Shipments data'!L:L,'Shipments data'!F:F,'Supply planning data'!C13,'Shipments data'!A:A,'Supply planning data'!A13,'Shipments data'!O:O,"received",'Shipments data'!Q:Q,"&lt;"&amp;'Supply planning data'!D28,'Shipments data'!AC:AC,"&lt;"&amp;'Supply planning data'!D28)-SUMIFS(M:M,D:D,"&lt;="&amp;D13,C:C,C13)-SUMIFS(AA:AA,D:D,"&lt;="&amp;D13,C:C,C13)+SUMIFS(N:N,D:D,"&lt;="&amp;D13,C:C,C13)+SUMIFS(P:P,D:D,"&lt;="&amp;D13,C:C,C13))</f>
        <v>0</v>
      </c>
      <c r="AD13" s="98">
        <f t="shared" si="13"/>
        <v>0</v>
      </c>
      <c r="AE13" s="98">
        <f t="shared" si="10"/>
        <v>0</v>
      </c>
      <c r="AF13" s="205" t="str">
        <f t="shared" si="14"/>
        <v/>
      </c>
      <c r="AG13" s="98">
        <f t="shared" si="6"/>
        <v>0</v>
      </c>
      <c r="AH13" s="97"/>
      <c r="AI13" s="311"/>
      <c r="AJ13" s="98">
        <f t="shared" si="7"/>
        <v>0</v>
      </c>
      <c r="AK13" s="233"/>
      <c r="AL13" s="98">
        <f>IF(SUMIFS('Shipments data'!L:L,'Shipments data'!F:F,'Supply planning data'!C13,'Shipments data'!A:A,'Supply planning data'!A13,'Shipments data'!O:O,"received",'Shipments data'!Q:Q,"&lt;"&amp;'Supply planning data'!D28,'Shipments data'!AC:AC,"&lt;"&amp;'Supply planning data'!D28)-SUMIFS(M:M,D:D,"&lt;="&amp;D13,C:C,C13)-SUMIFS(AJ:AJ,D:D,"&lt;="&amp;D13,C:C,C13)+SUMIFS(N:N,D:D,"&lt;="&amp;D13,C:C,C13)+SUMIFS(P:P,D:D,"&lt;="&amp;D13,C:C,C13)&lt;0,0,SUMIFS('Shipments data'!L:L,'Shipments data'!F:F,'Supply planning data'!C13,'Shipments data'!A:A,'Supply planning data'!A13,'Shipments data'!O:O,"received",'Shipments data'!Q:Q,"&lt;"&amp;'Supply planning data'!D28,'Shipments data'!AC:AC,"&lt;"&amp;'Supply planning data'!D28)-SUMIFS(M:M,D:D,"&lt;="&amp;D13,C:C,C13)-SUMIFS(AJ:AJ,D:D,"&lt;="&amp;D13,C:C,C13)+SUMIFS(N:N,D:D,"&lt;="&amp;D13,C:C,C13)+SUMIFS(P:P,D:D,"&lt;="&amp;D13,C:C,C13))</f>
        <v>0</v>
      </c>
      <c r="AM13" s="98">
        <f t="shared" si="8"/>
        <v>0</v>
      </c>
      <c r="AN13" s="98">
        <f t="shared" si="11"/>
        <v>0</v>
      </c>
      <c r="AO13" s="203" t="str">
        <f t="shared" si="12"/>
        <v/>
      </c>
    </row>
    <row r="14" spans="1:41" hidden="1" x14ac:dyDescent="0.25">
      <c r="A14" s="95" t="str">
        <f>Start!D$7</f>
        <v>Anyland</v>
      </c>
      <c r="B14" s="96" t="str">
        <f>VLOOKUP(A14,list!B:C,2,FALSE)</f>
        <v>ANY</v>
      </c>
      <c r="C14" s="90" t="str">
        <f>IF(Start!$C$26="","",Start!$C$26)</f>
        <v/>
      </c>
      <c r="D14" s="296">
        <v>44197</v>
      </c>
      <c r="E14" s="98" t="str">
        <f>IFERROR(VLOOKUP(C14,Start!C$15:D$31,2,FALSE),"No")</f>
        <v>No</v>
      </c>
      <c r="F14" s="308"/>
      <c r="G14" s="97"/>
      <c r="H14" s="97"/>
      <c r="I14" s="97"/>
      <c r="J14" s="98">
        <f t="shared" si="0"/>
        <v>0</v>
      </c>
      <c r="K14" s="97"/>
      <c r="L14" s="175" t="str">
        <f t="shared" si="1"/>
        <v/>
      </c>
      <c r="M14" s="98">
        <f t="shared" si="2"/>
        <v>0</v>
      </c>
      <c r="N14" s="97"/>
      <c r="O14" s="122"/>
      <c r="P14" s="97"/>
      <c r="Q14" s="122"/>
      <c r="R14" s="92">
        <f>SUMIFS('Shipments data'!L:L,'Shipments data'!F:F,'Supply planning data'!C14,'Shipments data'!A:A,'Supply planning data'!A14,'Shipments data'!Y:Y,'Supply planning data'!D14,'Shipments data'!O:O,"received", 'Shipments data'!N:N, "Public")</f>
        <v>0</v>
      </c>
      <c r="S14" s="92">
        <f>SUMIFS('Shipments data'!L:L,'Shipments data'!F:F,'Supply planning data'!C14,'Shipments data'!A:A,'Supply planning data'!A14,'Shipments data'!Y:Y,'Supply planning data'!D14,'Shipments data'!O:O,"ordered", 'Shipments data'!N:N, "Public")</f>
        <v>0</v>
      </c>
      <c r="T14" s="98">
        <f>IF(SUMIFS('Shipments data'!L:L,'Shipments data'!F:F,'Supply planning data'!C14,'Shipments data'!A:A,'Supply planning data'!A14,'Shipments data'!O:O,"received",'Shipments data'!Q:Q,"&lt;"&amp;'Supply planning data'!D29,'Shipments data'!AC:AC,"&lt;"&amp;'Supply planning data'!D29)-SUMIFS(M:M,D:D,"&lt;="&amp;D14,C:C,C14)+SUMIFS(N:N,D:D,"&lt;="&amp;D14,C:C,C14)+SUMIFS(P:P,D:D,"&lt;="&amp;D14,C:C,C14)&lt;0,0,SUMIFS('Shipments data'!L:L,'Shipments data'!F:F,'Supply planning data'!C14,'Shipments data'!A:A,'Supply planning data'!A14,'Shipments data'!O:O,"received",'Shipments data'!Q:Q,"&lt;"&amp;'Supply planning data'!D29,'Shipments data'!AC:AC,"&lt;"&amp;'Supply planning data'!D29)-SUMIFS(M:M,D:D,"&lt;="&amp;D14,C:C,C14)+SUMIFS(N:N,D:D,"&lt;="&amp;D14,C:C,C14)+SUMIFS(P:P,D:D,"&lt;="&amp;D14,C:C,C14))</f>
        <v>0</v>
      </c>
      <c r="U14" s="126">
        <f t="shared" si="3"/>
        <v>0</v>
      </c>
      <c r="V14" s="98">
        <f t="shared" si="4"/>
        <v>0</v>
      </c>
      <c r="W14" s="184"/>
      <c r="X14" s="98">
        <f t="shared" si="9"/>
        <v>0</v>
      </c>
      <c r="Y14" s="97"/>
      <c r="Z14" s="93"/>
      <c r="AA14" s="98">
        <f t="shared" si="5"/>
        <v>0</v>
      </c>
      <c r="AB14" s="233"/>
      <c r="AC14" s="98">
        <f>IF(SUMIFS('Shipments data'!L:L,'Shipments data'!F:F,'Supply planning data'!C14,'Shipments data'!A:A,'Supply planning data'!A14,'Shipments data'!O:O,"received",'Shipments data'!Q:Q,"&lt;"&amp;'Supply planning data'!D29,'Shipments data'!AC:AC,"&lt;"&amp;'Supply planning data'!D29)-SUMIFS(M:M,D:D,"&lt;="&amp;D14,C:C,C14)-SUMIFS(AA:AA,D:D,"&lt;="&amp;D14,C:C,C14)+SUMIFS(N:N,D:D,"&lt;="&amp;D14,C:C,C14)+SUMIFS(P:P,D:D,"&lt;="&amp;D14,C:C,C14)&lt;0,0,SUMIFS('Shipments data'!L:L,'Shipments data'!F:F,'Supply planning data'!C14,'Shipments data'!A:A,'Supply planning data'!A14,'Shipments data'!O:O,"received",'Shipments data'!Q:Q,"&lt;"&amp;'Supply planning data'!D29,'Shipments data'!AC:AC,"&lt;"&amp;'Supply planning data'!D29)-SUMIFS(M:M,D:D,"&lt;="&amp;D14,C:C,C14)-SUMIFS(AA:AA,D:D,"&lt;="&amp;D14,C:C,C14)+SUMIFS(N:N,D:D,"&lt;="&amp;D14,C:C,C14)+SUMIFS(P:P,D:D,"&lt;="&amp;D14,C:C,C14))</f>
        <v>0</v>
      </c>
      <c r="AD14" s="98">
        <f t="shared" si="13"/>
        <v>0</v>
      </c>
      <c r="AE14" s="98">
        <f t="shared" si="10"/>
        <v>0</v>
      </c>
      <c r="AF14" s="205" t="str">
        <f t="shared" si="14"/>
        <v/>
      </c>
      <c r="AG14" s="98">
        <f t="shared" si="6"/>
        <v>0</v>
      </c>
      <c r="AH14" s="97"/>
      <c r="AI14" s="311"/>
      <c r="AJ14" s="98">
        <f t="shared" si="7"/>
        <v>0</v>
      </c>
      <c r="AK14" s="233"/>
      <c r="AL14" s="98">
        <f>IF(SUMIFS('Shipments data'!L:L,'Shipments data'!F:F,'Supply planning data'!C14,'Shipments data'!A:A,'Supply planning data'!A14,'Shipments data'!O:O,"received",'Shipments data'!Q:Q,"&lt;"&amp;'Supply planning data'!D29,'Shipments data'!AC:AC,"&lt;"&amp;'Supply planning data'!D29)-SUMIFS(M:M,D:D,"&lt;="&amp;D14,C:C,C14)-SUMIFS(AJ:AJ,D:D,"&lt;="&amp;D14,C:C,C14)+SUMIFS(N:N,D:D,"&lt;="&amp;D14,C:C,C14)+SUMIFS(P:P,D:D,"&lt;="&amp;D14,C:C,C14)&lt;0,0,SUMIFS('Shipments data'!L:L,'Shipments data'!F:F,'Supply planning data'!C14,'Shipments data'!A:A,'Supply planning data'!A14,'Shipments data'!O:O,"received",'Shipments data'!Q:Q,"&lt;"&amp;'Supply planning data'!D29,'Shipments data'!AC:AC,"&lt;"&amp;'Supply planning data'!D29)-SUMIFS(M:M,D:D,"&lt;="&amp;D14,C:C,C14)-SUMIFS(AJ:AJ,D:D,"&lt;="&amp;D14,C:C,C14)+SUMIFS(N:N,D:D,"&lt;="&amp;D14,C:C,C14)+SUMIFS(P:P,D:D,"&lt;="&amp;D14,C:C,C14))</f>
        <v>0</v>
      </c>
      <c r="AM14" s="98">
        <f t="shared" si="8"/>
        <v>0</v>
      </c>
      <c r="AN14" s="98">
        <f t="shared" si="11"/>
        <v>0</v>
      </c>
      <c r="AO14" s="203" t="str">
        <f t="shared" si="12"/>
        <v/>
      </c>
    </row>
    <row r="15" spans="1:41" hidden="1" x14ac:dyDescent="0.25">
      <c r="A15" s="95" t="str">
        <f>Start!D$7</f>
        <v>Anyland</v>
      </c>
      <c r="B15" s="96" t="str">
        <f>VLOOKUP(A15,list!B:C,2,FALSE)</f>
        <v>ANY</v>
      </c>
      <c r="C15" s="90" t="str">
        <f>IF(Start!$C$27="","",Start!$C$27)</f>
        <v/>
      </c>
      <c r="D15" s="297">
        <v>44197</v>
      </c>
      <c r="E15" s="98" t="str">
        <f>IFERROR(VLOOKUP(C15,Start!C$15:D$31,2,FALSE),"No")</f>
        <v>No</v>
      </c>
      <c r="F15" s="308"/>
      <c r="G15" s="97"/>
      <c r="H15" s="91"/>
      <c r="I15" s="91"/>
      <c r="J15" s="92">
        <f t="shared" si="0"/>
        <v>0</v>
      </c>
      <c r="K15" s="91"/>
      <c r="L15" s="174" t="str">
        <f t="shared" si="1"/>
        <v/>
      </c>
      <c r="M15" s="92">
        <f t="shared" si="2"/>
        <v>0</v>
      </c>
      <c r="N15" s="97"/>
      <c r="O15" s="122"/>
      <c r="P15" s="97"/>
      <c r="Q15" s="122"/>
      <c r="R15" s="92">
        <f>SUMIFS('Shipments data'!L:L,'Shipments data'!F:F,'Supply planning data'!C15,'Shipments data'!A:A,'Supply planning data'!A15,'Shipments data'!Y:Y,'Supply planning data'!D15,'Shipments data'!O:O,"received", 'Shipments data'!N:N, "Public")</f>
        <v>0</v>
      </c>
      <c r="S15" s="92">
        <f>SUMIFS('Shipments data'!L:L,'Shipments data'!F:F,'Supply planning data'!C15,'Shipments data'!A:A,'Supply planning data'!A15,'Shipments data'!Y:Y,'Supply planning data'!D15,'Shipments data'!O:O,"ordered", 'Shipments data'!N:N, "Public")</f>
        <v>0</v>
      </c>
      <c r="T15" s="98">
        <f>IF(SUMIFS('Shipments data'!L:L,'Shipments data'!F:F,'Supply planning data'!C15,'Shipments data'!A:A,'Supply planning data'!A15,'Shipments data'!O:O,"received",'Shipments data'!Q:Q,"&lt;"&amp;'Supply planning data'!D30,'Shipments data'!AC:AC,"&lt;"&amp;'Supply planning data'!D30)-SUMIFS(M:M,D:D,"&lt;="&amp;D15,C:C,C15)+SUMIFS(N:N,D:D,"&lt;="&amp;D15,C:C,C15)+SUMIFS(P:P,D:D,"&lt;="&amp;D15,C:C,C15)&lt;0,0,SUMIFS('Shipments data'!L:L,'Shipments data'!F:F,'Supply planning data'!C15,'Shipments data'!A:A,'Supply planning data'!A15,'Shipments data'!O:O,"received",'Shipments data'!Q:Q,"&lt;"&amp;'Supply planning data'!D30,'Shipments data'!AC:AC,"&lt;"&amp;'Supply planning data'!D30)-SUMIFS(M:M,D:D,"&lt;="&amp;D15,C:C,C15)+SUMIFS(N:N,D:D,"&lt;="&amp;D15,C:C,C15)+SUMIFS(P:P,D:D,"&lt;="&amp;D15,C:C,C15))</f>
        <v>0</v>
      </c>
      <c r="U15" s="126">
        <f t="shared" si="3"/>
        <v>0</v>
      </c>
      <c r="V15" s="98">
        <f t="shared" si="4"/>
        <v>0</v>
      </c>
      <c r="W15" s="184"/>
      <c r="X15" s="98">
        <f t="shared" si="9"/>
        <v>0</v>
      </c>
      <c r="Y15" s="97"/>
      <c r="Z15" s="93"/>
      <c r="AA15" s="98">
        <f t="shared" si="5"/>
        <v>0</v>
      </c>
      <c r="AB15" s="233"/>
      <c r="AC15" s="98">
        <f>IF(SUMIFS('Shipments data'!L:L,'Shipments data'!F:F,'Supply planning data'!C15,'Shipments data'!A:A,'Supply planning data'!A15,'Shipments data'!O:O,"received",'Shipments data'!Q:Q,"&lt;"&amp;'Supply planning data'!D30,'Shipments data'!AC:AC,"&lt;"&amp;'Supply planning data'!D30)-SUMIFS(M:M,D:D,"&lt;="&amp;D15,C:C,C15)-SUMIFS(AA:AA,D:D,"&lt;="&amp;D15,C:C,C15)+SUMIFS(N:N,D:D,"&lt;="&amp;D15,C:C,C15)+SUMIFS(P:P,D:D,"&lt;="&amp;D15,C:C,C15)&lt;0,0,SUMIFS('Shipments data'!L:L,'Shipments data'!F:F,'Supply planning data'!C15,'Shipments data'!A:A,'Supply planning data'!A15,'Shipments data'!O:O,"received",'Shipments data'!Q:Q,"&lt;"&amp;'Supply planning data'!D30,'Shipments data'!AC:AC,"&lt;"&amp;'Supply planning data'!D30)-SUMIFS(M:M,D:D,"&lt;="&amp;D15,C:C,C15)-SUMIFS(AA:AA,D:D,"&lt;="&amp;D15,C:C,C15)+SUMIFS(N:N,D:D,"&lt;="&amp;D15,C:C,C15)+SUMIFS(P:P,D:D,"&lt;="&amp;D15,C:C,C15))</f>
        <v>0</v>
      </c>
      <c r="AD15" s="98">
        <f t="shared" si="13"/>
        <v>0</v>
      </c>
      <c r="AE15" s="98">
        <f t="shared" si="10"/>
        <v>0</v>
      </c>
      <c r="AF15" s="205" t="str">
        <f t="shared" si="14"/>
        <v/>
      </c>
      <c r="AG15" s="98">
        <f t="shared" si="6"/>
        <v>0</v>
      </c>
      <c r="AH15" s="97"/>
      <c r="AI15" s="311"/>
      <c r="AJ15" s="98">
        <f t="shared" si="7"/>
        <v>0</v>
      </c>
      <c r="AK15" s="233"/>
      <c r="AL15" s="98">
        <f>IF(SUMIFS('Shipments data'!L:L,'Shipments data'!F:F,'Supply planning data'!C15,'Shipments data'!A:A,'Supply planning data'!A15,'Shipments data'!O:O,"received",'Shipments data'!Q:Q,"&lt;"&amp;'Supply planning data'!D30,'Shipments data'!AC:AC,"&lt;"&amp;'Supply planning data'!D30)-SUMIFS(M:M,D:D,"&lt;="&amp;D15,C:C,C15)-SUMIFS(AJ:AJ,D:D,"&lt;="&amp;D15,C:C,C15)+SUMIFS(N:N,D:D,"&lt;="&amp;D15,C:C,C15)+SUMIFS(P:P,D:D,"&lt;="&amp;D15,C:C,C15)&lt;0,0,SUMIFS('Shipments data'!L:L,'Shipments data'!F:F,'Supply planning data'!C15,'Shipments data'!A:A,'Supply planning data'!A15,'Shipments data'!O:O,"received",'Shipments data'!Q:Q,"&lt;"&amp;'Supply planning data'!D30,'Shipments data'!AC:AC,"&lt;"&amp;'Supply planning data'!D30)-SUMIFS(M:M,D:D,"&lt;="&amp;D15,C:C,C15)-SUMIFS(AJ:AJ,D:D,"&lt;="&amp;D15,C:C,C15)+SUMIFS(N:N,D:D,"&lt;="&amp;D15,C:C,C15)+SUMIFS(P:P,D:D,"&lt;="&amp;D15,C:C,C15))</f>
        <v>0</v>
      </c>
      <c r="AM15" s="98">
        <f t="shared" si="8"/>
        <v>0</v>
      </c>
      <c r="AN15" s="98">
        <f t="shared" si="11"/>
        <v>0</v>
      </c>
      <c r="AO15" s="203" t="str">
        <f t="shared" si="12"/>
        <v/>
      </c>
    </row>
    <row r="16" spans="1:41" hidden="1" x14ac:dyDescent="0.25">
      <c r="A16" s="95" t="str">
        <f>Start!D$7</f>
        <v>Anyland</v>
      </c>
      <c r="B16" s="96" t="str">
        <f>VLOOKUP(A16,list!B:C,2,FALSE)</f>
        <v>ANY</v>
      </c>
      <c r="C16" s="90" t="str">
        <f>IF(Start!$C$28="","",Start!$C$28)</f>
        <v/>
      </c>
      <c r="D16" s="296">
        <v>44197</v>
      </c>
      <c r="E16" s="98" t="str">
        <f>IFERROR(VLOOKUP(C16,Start!C$15:D$31,2,FALSE),"No")</f>
        <v>No</v>
      </c>
      <c r="F16" s="308"/>
      <c r="G16" s="97"/>
      <c r="H16" s="97"/>
      <c r="I16" s="97"/>
      <c r="J16" s="98">
        <f t="shared" si="0"/>
        <v>0</v>
      </c>
      <c r="K16" s="97"/>
      <c r="L16" s="175" t="str">
        <f t="shared" si="1"/>
        <v/>
      </c>
      <c r="M16" s="98">
        <f t="shared" si="2"/>
        <v>0</v>
      </c>
      <c r="N16" s="97"/>
      <c r="O16" s="122"/>
      <c r="P16" s="97"/>
      <c r="Q16" s="122"/>
      <c r="R16" s="92">
        <f>SUMIFS('Shipments data'!L:L,'Shipments data'!F:F,'Supply planning data'!C16,'Shipments data'!A:A,'Supply planning data'!A16,'Shipments data'!Y:Y,'Supply planning data'!D16,'Shipments data'!O:O,"received", 'Shipments data'!N:N, "Public")</f>
        <v>0</v>
      </c>
      <c r="S16" s="92">
        <f>SUMIFS('Shipments data'!L:L,'Shipments data'!F:F,'Supply planning data'!C16,'Shipments data'!A:A,'Supply planning data'!A16,'Shipments data'!Y:Y,'Supply planning data'!D16,'Shipments data'!O:O,"ordered", 'Shipments data'!N:N, "Public")</f>
        <v>0</v>
      </c>
      <c r="T16" s="98">
        <f>IF(SUMIFS('Shipments data'!L:L,'Shipments data'!F:F,'Supply planning data'!C16,'Shipments data'!A:A,'Supply planning data'!A16,'Shipments data'!O:O,"received",'Shipments data'!Q:Q,"&lt;"&amp;'Supply planning data'!D31,'Shipments data'!AC:AC,"&lt;"&amp;'Supply planning data'!D31)-SUMIFS(M:M,D:D,"&lt;="&amp;D16,C:C,C16)+SUMIFS(N:N,D:D,"&lt;="&amp;D16,C:C,C16)+SUMIFS(P:P,D:D,"&lt;="&amp;D16,C:C,C16)&lt;0,0,SUMIFS('Shipments data'!L:L,'Shipments data'!F:F,'Supply planning data'!C16,'Shipments data'!A:A,'Supply planning data'!A16,'Shipments data'!O:O,"received",'Shipments data'!Q:Q,"&lt;"&amp;'Supply planning data'!D31,'Shipments data'!AC:AC,"&lt;"&amp;'Supply planning data'!D31)-SUMIFS(M:M,D:D,"&lt;="&amp;D16,C:C,C16)+SUMIFS(N:N,D:D,"&lt;="&amp;D16,C:C,C16)+SUMIFS(P:P,D:D,"&lt;="&amp;D16,C:C,C16))</f>
        <v>0</v>
      </c>
      <c r="U16" s="126">
        <f t="shared" si="3"/>
        <v>0</v>
      </c>
      <c r="V16" s="98">
        <f t="shared" si="4"/>
        <v>0</v>
      </c>
      <c r="W16" s="184"/>
      <c r="X16" s="98">
        <f t="shared" si="9"/>
        <v>0</v>
      </c>
      <c r="Y16" s="97"/>
      <c r="Z16" s="93"/>
      <c r="AA16" s="98">
        <f t="shared" si="5"/>
        <v>0</v>
      </c>
      <c r="AB16" s="233"/>
      <c r="AC16" s="98">
        <f>IF(SUMIFS('Shipments data'!L:L,'Shipments data'!F:F,'Supply planning data'!C16,'Shipments data'!A:A,'Supply planning data'!A16,'Shipments data'!O:O,"received",'Shipments data'!Q:Q,"&lt;"&amp;'Supply planning data'!D31,'Shipments data'!AC:AC,"&lt;"&amp;'Supply planning data'!D31)-SUMIFS(M:M,D:D,"&lt;="&amp;D16,C:C,C16)-SUMIFS(AA:AA,D:D,"&lt;="&amp;D16,C:C,C16)+SUMIFS(N:N,D:D,"&lt;="&amp;D16,C:C,C16)+SUMIFS(P:P,D:D,"&lt;="&amp;D16,C:C,C16)&lt;0,0,SUMIFS('Shipments data'!L:L,'Shipments data'!F:F,'Supply planning data'!C16,'Shipments data'!A:A,'Supply planning data'!A16,'Shipments data'!O:O,"received",'Shipments data'!Q:Q,"&lt;"&amp;'Supply planning data'!D31,'Shipments data'!AC:AC,"&lt;"&amp;'Supply planning data'!D31)-SUMIFS(M:M,D:D,"&lt;="&amp;D16,C:C,C16)-SUMIFS(AA:AA,D:D,"&lt;="&amp;D16,C:C,C16)+SUMIFS(N:N,D:D,"&lt;="&amp;D16,C:C,C16)+SUMIFS(P:P,D:D,"&lt;="&amp;D16,C:C,C16))</f>
        <v>0</v>
      </c>
      <c r="AD16" s="98">
        <f t="shared" si="13"/>
        <v>0</v>
      </c>
      <c r="AE16" s="98">
        <f t="shared" si="10"/>
        <v>0</v>
      </c>
      <c r="AF16" s="205" t="str">
        <f t="shared" si="14"/>
        <v/>
      </c>
      <c r="AG16" s="98">
        <f t="shared" si="6"/>
        <v>0</v>
      </c>
      <c r="AH16" s="97"/>
      <c r="AI16" s="311"/>
      <c r="AJ16" s="98">
        <f t="shared" si="7"/>
        <v>0</v>
      </c>
      <c r="AK16" s="233"/>
      <c r="AL16" s="98">
        <f>IF(SUMIFS('Shipments data'!L:L,'Shipments data'!F:F,'Supply planning data'!C16,'Shipments data'!A:A,'Supply planning data'!A16,'Shipments data'!O:O,"received",'Shipments data'!Q:Q,"&lt;"&amp;'Supply planning data'!D31,'Shipments data'!AC:AC,"&lt;"&amp;'Supply planning data'!D31)-SUMIFS(M:M,D:D,"&lt;="&amp;D16,C:C,C16)-SUMIFS(AJ:AJ,D:D,"&lt;="&amp;D16,C:C,C16)+SUMIFS(N:N,D:D,"&lt;="&amp;D16,C:C,C16)+SUMIFS(P:P,D:D,"&lt;="&amp;D16,C:C,C16)&lt;0,0,SUMIFS('Shipments data'!L:L,'Shipments data'!F:F,'Supply planning data'!C16,'Shipments data'!A:A,'Supply planning data'!A16,'Shipments data'!O:O,"received",'Shipments data'!Q:Q,"&lt;"&amp;'Supply planning data'!D31,'Shipments data'!AC:AC,"&lt;"&amp;'Supply planning data'!D31)-SUMIFS(M:M,D:D,"&lt;="&amp;D16,C:C,C16)-SUMIFS(AJ:AJ,D:D,"&lt;="&amp;D16,C:C,C16)+SUMIFS(N:N,D:D,"&lt;="&amp;D16,C:C,C16)+SUMIFS(P:P,D:D,"&lt;="&amp;D16,C:C,C16))</f>
        <v>0</v>
      </c>
      <c r="AM16" s="98">
        <f t="shared" si="8"/>
        <v>0</v>
      </c>
      <c r="AN16" s="98">
        <f t="shared" si="11"/>
        <v>0</v>
      </c>
      <c r="AO16" s="203" t="str">
        <f t="shared" si="12"/>
        <v/>
      </c>
    </row>
    <row r="17" spans="1:41" hidden="1" x14ac:dyDescent="0.25">
      <c r="A17" s="95" t="str">
        <f>Start!D$7</f>
        <v>Anyland</v>
      </c>
      <c r="B17" s="96" t="str">
        <f>VLOOKUP(A17,list!B:C,2,FALSE)</f>
        <v>ANY</v>
      </c>
      <c r="C17" s="90" t="str">
        <f>IF(Start!$C$29="","",Start!$C$29)</f>
        <v/>
      </c>
      <c r="D17" s="297">
        <v>44197</v>
      </c>
      <c r="E17" s="98" t="str">
        <f>IFERROR(VLOOKUP(C17,Start!C$15:D$31,2,FALSE),"No")</f>
        <v>No</v>
      </c>
      <c r="F17" s="308"/>
      <c r="G17" s="97"/>
      <c r="H17" s="91"/>
      <c r="I17" s="91"/>
      <c r="J17" s="92">
        <f t="shared" si="0"/>
        <v>0</v>
      </c>
      <c r="K17" s="91"/>
      <c r="L17" s="174" t="str">
        <f t="shared" si="1"/>
        <v/>
      </c>
      <c r="M17" s="92">
        <f t="shared" si="2"/>
        <v>0</v>
      </c>
      <c r="N17" s="97"/>
      <c r="O17" s="122"/>
      <c r="P17" s="97"/>
      <c r="Q17" s="122"/>
      <c r="R17" s="92">
        <f>SUMIFS('Shipments data'!L:L,'Shipments data'!F:F,'Supply planning data'!C17,'Shipments data'!A:A,'Supply planning data'!A17,'Shipments data'!Y:Y,'Supply planning data'!D17,'Shipments data'!O:O,"received", 'Shipments data'!N:N, "Public")</f>
        <v>0</v>
      </c>
      <c r="S17" s="92">
        <f>SUMIFS('Shipments data'!L:L,'Shipments data'!F:F,'Supply planning data'!C17,'Shipments data'!A:A,'Supply planning data'!A17,'Shipments data'!Y:Y,'Supply planning data'!D17,'Shipments data'!O:O,"ordered", 'Shipments data'!N:N, "Public")</f>
        <v>0</v>
      </c>
      <c r="T17" s="98">
        <f>IF(SUMIFS('Shipments data'!L:L,'Shipments data'!F:F,'Supply planning data'!C17,'Shipments data'!A:A,'Supply planning data'!A17,'Shipments data'!O:O,"received",'Shipments data'!Q:Q,"&lt;"&amp;'Supply planning data'!D32,'Shipments data'!AC:AC,"&lt;"&amp;'Supply planning data'!D32)-SUMIFS(M:M,D:D,"&lt;="&amp;D17,C:C,C17)+SUMIFS(N:N,D:D,"&lt;="&amp;D17,C:C,C17)+SUMIFS(P:P,D:D,"&lt;="&amp;D17,C:C,C17)&lt;0,0,SUMIFS('Shipments data'!L:L,'Shipments data'!F:F,'Supply planning data'!C17,'Shipments data'!A:A,'Supply planning data'!A17,'Shipments data'!O:O,"received",'Shipments data'!Q:Q,"&lt;"&amp;'Supply planning data'!D32,'Shipments data'!AC:AC,"&lt;"&amp;'Supply planning data'!D32)-SUMIFS(M:M,D:D,"&lt;="&amp;D17,C:C,C17)+SUMIFS(N:N,D:D,"&lt;="&amp;D17,C:C,C17)+SUMIFS(P:P,D:D,"&lt;="&amp;D17,C:C,C17))</f>
        <v>0</v>
      </c>
      <c r="U17" s="126">
        <f t="shared" si="3"/>
        <v>0</v>
      </c>
      <c r="V17" s="98">
        <f t="shared" si="4"/>
        <v>0</v>
      </c>
      <c r="W17" s="184"/>
      <c r="X17" s="98">
        <f t="shared" si="9"/>
        <v>0</v>
      </c>
      <c r="Y17" s="97"/>
      <c r="Z17" s="93"/>
      <c r="AA17" s="98">
        <f t="shared" si="5"/>
        <v>0</v>
      </c>
      <c r="AB17" s="233"/>
      <c r="AC17" s="98">
        <f>IF(SUMIFS('Shipments data'!L:L,'Shipments data'!F:F,'Supply planning data'!C17,'Shipments data'!A:A,'Supply planning data'!A17,'Shipments data'!O:O,"received",'Shipments data'!Q:Q,"&lt;"&amp;'Supply planning data'!D32,'Shipments data'!AC:AC,"&lt;"&amp;'Supply planning data'!D32)-SUMIFS(M:M,D:D,"&lt;="&amp;D17,C:C,C17)-SUMIFS(AA:AA,D:D,"&lt;="&amp;D17,C:C,C17)+SUMIFS(N:N,D:D,"&lt;="&amp;D17,C:C,C17)+SUMIFS(P:P,D:D,"&lt;="&amp;D17,C:C,C17)&lt;0,0,SUMIFS('Shipments data'!L:L,'Shipments data'!F:F,'Supply planning data'!C17,'Shipments data'!A:A,'Supply planning data'!A17,'Shipments data'!O:O,"received",'Shipments data'!Q:Q,"&lt;"&amp;'Supply planning data'!D32,'Shipments data'!AC:AC,"&lt;"&amp;'Supply planning data'!D32)-SUMIFS(M:M,D:D,"&lt;="&amp;D17,C:C,C17)-SUMIFS(AA:AA,D:D,"&lt;="&amp;D17,C:C,C17)+SUMIFS(N:N,D:D,"&lt;="&amp;D17,C:C,C17)+SUMIFS(P:P,D:D,"&lt;="&amp;D17,C:C,C17))</f>
        <v>0</v>
      </c>
      <c r="AD17" s="98">
        <f t="shared" si="13"/>
        <v>0</v>
      </c>
      <c r="AE17" s="98">
        <f t="shared" si="10"/>
        <v>0</v>
      </c>
      <c r="AF17" s="205" t="str">
        <f t="shared" si="14"/>
        <v/>
      </c>
      <c r="AG17" s="98">
        <f t="shared" si="6"/>
        <v>0</v>
      </c>
      <c r="AH17" s="97"/>
      <c r="AI17" s="311"/>
      <c r="AJ17" s="98">
        <f t="shared" si="7"/>
        <v>0</v>
      </c>
      <c r="AK17" s="233"/>
      <c r="AL17" s="98">
        <f>IF(SUMIFS('Shipments data'!L:L,'Shipments data'!F:F,'Supply planning data'!C17,'Shipments data'!A:A,'Supply planning data'!A17,'Shipments data'!O:O,"received",'Shipments data'!Q:Q,"&lt;"&amp;'Supply planning data'!D32,'Shipments data'!AC:AC,"&lt;"&amp;'Supply planning data'!D32)-SUMIFS(M:M,D:D,"&lt;="&amp;D17,C:C,C17)-SUMIFS(AJ:AJ,D:D,"&lt;="&amp;D17,C:C,C17)+SUMIFS(N:N,D:D,"&lt;="&amp;D17,C:C,C17)+SUMIFS(P:P,D:D,"&lt;="&amp;D17,C:C,C17)&lt;0,0,SUMIFS('Shipments data'!L:L,'Shipments data'!F:F,'Supply planning data'!C17,'Shipments data'!A:A,'Supply planning data'!A17,'Shipments data'!O:O,"received",'Shipments data'!Q:Q,"&lt;"&amp;'Supply planning data'!D32,'Shipments data'!AC:AC,"&lt;"&amp;'Supply planning data'!D32)-SUMIFS(M:M,D:D,"&lt;="&amp;D17,C:C,C17)-SUMIFS(AJ:AJ,D:D,"&lt;="&amp;D17,C:C,C17)+SUMIFS(N:N,D:D,"&lt;="&amp;D17,C:C,C17)+SUMIFS(P:P,D:D,"&lt;="&amp;D17,C:C,C17))</f>
        <v>0</v>
      </c>
      <c r="AM17" s="98">
        <f t="shared" si="8"/>
        <v>0</v>
      </c>
      <c r="AN17" s="98">
        <f t="shared" si="11"/>
        <v>0</v>
      </c>
      <c r="AO17" s="203" t="str">
        <f t="shared" si="12"/>
        <v/>
      </c>
    </row>
    <row r="18" spans="1:41" hidden="1" x14ac:dyDescent="0.25">
      <c r="A18" s="95" t="str">
        <f>Start!D$7</f>
        <v>Anyland</v>
      </c>
      <c r="B18" s="96" t="str">
        <f>VLOOKUP(A18,list!B:C,2,FALSE)</f>
        <v>ANY</v>
      </c>
      <c r="C18" s="90" t="str">
        <f>IF(Start!$C$30="","",Start!$C$30)</f>
        <v/>
      </c>
      <c r="D18" s="296">
        <v>44197</v>
      </c>
      <c r="E18" s="98" t="str">
        <f>IFERROR(VLOOKUP(C18,Start!C$15:D$31,2,FALSE),"No")</f>
        <v>No</v>
      </c>
      <c r="F18" s="308"/>
      <c r="G18" s="97"/>
      <c r="H18" s="97"/>
      <c r="I18" s="97"/>
      <c r="J18" s="98">
        <f t="shared" si="0"/>
        <v>0</v>
      </c>
      <c r="K18" s="97"/>
      <c r="L18" s="175" t="str">
        <f t="shared" si="1"/>
        <v/>
      </c>
      <c r="M18" s="98">
        <f t="shared" si="2"/>
        <v>0</v>
      </c>
      <c r="N18" s="97"/>
      <c r="O18" s="122"/>
      <c r="P18" s="97"/>
      <c r="Q18" s="122"/>
      <c r="R18" s="92">
        <f>SUMIFS('Shipments data'!L:L,'Shipments data'!F:F,'Supply planning data'!C18,'Shipments data'!A:A,'Supply planning data'!A18,'Shipments data'!Y:Y,'Supply planning data'!D18,'Shipments data'!O:O,"received", 'Shipments data'!N:N, "Public")</f>
        <v>0</v>
      </c>
      <c r="S18" s="92">
        <f>SUMIFS('Shipments data'!L:L,'Shipments data'!F:F,'Supply planning data'!C18,'Shipments data'!A:A,'Supply planning data'!A18,'Shipments data'!Y:Y,'Supply planning data'!D18,'Shipments data'!O:O,"ordered", 'Shipments data'!N:N, "Public")</f>
        <v>0</v>
      </c>
      <c r="T18" s="98">
        <f>IF(SUMIFS('Shipments data'!L:L,'Shipments data'!F:F,'Supply planning data'!C18,'Shipments data'!A:A,'Supply planning data'!A18,'Shipments data'!O:O,"received",'Shipments data'!Q:Q,"&lt;"&amp;'Supply planning data'!D33,'Shipments data'!AC:AC,"&lt;"&amp;'Supply planning data'!D33)-SUMIFS(M:M,D:D,"&lt;="&amp;D18,C:C,C18)+SUMIFS(N:N,D:D,"&lt;="&amp;D18,C:C,C18)+SUMIFS(P:P,D:D,"&lt;="&amp;D18,C:C,C18)&lt;0,0,SUMIFS('Shipments data'!L:L,'Shipments data'!F:F,'Supply planning data'!C18,'Shipments data'!A:A,'Supply planning data'!A18,'Shipments data'!O:O,"received",'Shipments data'!Q:Q,"&lt;"&amp;'Supply planning data'!D33,'Shipments data'!AC:AC,"&lt;"&amp;'Supply planning data'!D33)-SUMIFS(M:M,D:D,"&lt;="&amp;D18,C:C,C18)+SUMIFS(N:N,D:D,"&lt;="&amp;D18,C:C,C18)+SUMIFS(P:P,D:D,"&lt;="&amp;D18,C:C,C18))</f>
        <v>0</v>
      </c>
      <c r="U18" s="126">
        <f t="shared" si="3"/>
        <v>0</v>
      </c>
      <c r="V18" s="98">
        <f t="shared" si="4"/>
        <v>0</v>
      </c>
      <c r="W18" s="184"/>
      <c r="X18" s="98">
        <f t="shared" si="9"/>
        <v>0</v>
      </c>
      <c r="Y18" s="97"/>
      <c r="Z18" s="93"/>
      <c r="AA18" s="98">
        <f t="shared" si="5"/>
        <v>0</v>
      </c>
      <c r="AB18" s="233"/>
      <c r="AC18" s="98">
        <f>IF(SUMIFS('Shipments data'!L:L,'Shipments data'!F:F,'Supply planning data'!C18,'Shipments data'!A:A,'Supply planning data'!A18,'Shipments data'!O:O,"received",'Shipments data'!Q:Q,"&lt;"&amp;'Supply planning data'!D33,'Shipments data'!AC:AC,"&lt;"&amp;'Supply planning data'!D33)-SUMIFS(M:M,D:D,"&lt;="&amp;D18,C:C,C18)-SUMIFS(AA:AA,D:D,"&lt;="&amp;D18,C:C,C18)+SUMIFS(N:N,D:D,"&lt;="&amp;D18,C:C,C18)+SUMIFS(P:P,D:D,"&lt;="&amp;D18,C:C,C18)&lt;0,0,SUMIFS('Shipments data'!L:L,'Shipments data'!F:F,'Supply planning data'!C18,'Shipments data'!A:A,'Supply planning data'!A18,'Shipments data'!O:O,"received",'Shipments data'!Q:Q,"&lt;"&amp;'Supply planning data'!D33,'Shipments data'!AC:AC,"&lt;"&amp;'Supply planning data'!D33)-SUMIFS(M:M,D:D,"&lt;="&amp;D18,C:C,C18)-SUMIFS(AA:AA,D:D,"&lt;="&amp;D18,C:C,C18)+SUMIFS(N:N,D:D,"&lt;="&amp;D18,C:C,C18)+SUMIFS(P:P,D:D,"&lt;="&amp;D18,C:C,C18))</f>
        <v>0</v>
      </c>
      <c r="AD18" s="98">
        <f t="shared" si="13"/>
        <v>0</v>
      </c>
      <c r="AE18" s="98">
        <f t="shared" si="10"/>
        <v>0</v>
      </c>
      <c r="AF18" s="205" t="str">
        <f t="shared" si="14"/>
        <v/>
      </c>
      <c r="AG18" s="98">
        <f t="shared" si="6"/>
        <v>0</v>
      </c>
      <c r="AH18" s="97"/>
      <c r="AI18" s="311"/>
      <c r="AJ18" s="98">
        <f t="shared" si="7"/>
        <v>0</v>
      </c>
      <c r="AK18" s="233"/>
      <c r="AL18" s="98">
        <f>IF(SUMIFS('Shipments data'!L:L,'Shipments data'!F:F,'Supply planning data'!C18,'Shipments data'!A:A,'Supply planning data'!A18,'Shipments data'!O:O,"received",'Shipments data'!Q:Q,"&lt;"&amp;'Supply planning data'!D33,'Shipments data'!AC:AC,"&lt;"&amp;'Supply planning data'!D33)-SUMIFS(M:M,D:D,"&lt;="&amp;D18,C:C,C18)-SUMIFS(AJ:AJ,D:D,"&lt;="&amp;D18,C:C,C18)+SUMIFS(N:N,D:D,"&lt;="&amp;D18,C:C,C18)+SUMIFS(P:P,D:D,"&lt;="&amp;D18,C:C,C18)&lt;0,0,SUMIFS('Shipments data'!L:L,'Shipments data'!F:F,'Supply planning data'!C18,'Shipments data'!A:A,'Supply planning data'!A18,'Shipments data'!O:O,"received",'Shipments data'!Q:Q,"&lt;"&amp;'Supply planning data'!D33,'Shipments data'!AC:AC,"&lt;"&amp;'Supply planning data'!D33)-SUMIFS(M:M,D:D,"&lt;="&amp;D18,C:C,C18)-SUMIFS(AJ:AJ,D:D,"&lt;="&amp;D18,C:C,C18)+SUMIFS(N:N,D:D,"&lt;="&amp;D18,C:C,C18)+SUMIFS(P:P,D:D,"&lt;="&amp;D18,C:C,C18))</f>
        <v>0</v>
      </c>
      <c r="AM18" s="98">
        <f t="shared" si="8"/>
        <v>0</v>
      </c>
      <c r="AN18" s="98">
        <f t="shared" si="11"/>
        <v>0</v>
      </c>
      <c r="AO18" s="203" t="str">
        <f t="shared" si="12"/>
        <v/>
      </c>
    </row>
    <row r="19" spans="1:41" hidden="1" x14ac:dyDescent="0.25">
      <c r="A19" s="95" t="str">
        <f>Start!D$7</f>
        <v>Anyland</v>
      </c>
      <c r="B19" s="100" t="str">
        <f>VLOOKUP(A19,list!B:C,2,FALSE)</f>
        <v>ANY</v>
      </c>
      <c r="C19" s="90" t="str">
        <f>IF(Start!$C$31="","",Start!$C$31)</f>
        <v/>
      </c>
      <c r="D19" s="297">
        <v>44197</v>
      </c>
      <c r="E19" s="102" t="str">
        <f>IFERROR(VLOOKUP(C19,Start!C$15:D$31,2,FALSE),"No")</f>
        <v>No</v>
      </c>
      <c r="F19" s="309"/>
      <c r="G19" s="101"/>
      <c r="H19" s="101"/>
      <c r="I19" s="101"/>
      <c r="J19" s="102">
        <f t="shared" si="0"/>
        <v>0</v>
      </c>
      <c r="K19" s="101"/>
      <c r="L19" s="176" t="str">
        <f t="shared" si="1"/>
        <v/>
      </c>
      <c r="M19" s="102">
        <f t="shared" si="2"/>
        <v>0</v>
      </c>
      <c r="N19" s="97"/>
      <c r="O19" s="122"/>
      <c r="P19" s="97"/>
      <c r="Q19" s="122"/>
      <c r="R19" s="92">
        <f>SUMIFS('Shipments data'!L:L,'Shipments data'!F:F,'Supply planning data'!C19,'Shipments data'!A:A,'Supply planning data'!A19,'Shipments data'!Y:Y,'Supply planning data'!D19,'Shipments data'!O:O,"received", 'Shipments data'!N:N, "Public")</f>
        <v>0</v>
      </c>
      <c r="S19" s="92">
        <f>SUMIFS('Shipments data'!L:L,'Shipments data'!F:F,'Supply planning data'!C19,'Shipments data'!A:A,'Supply planning data'!A19,'Shipments data'!Y:Y,'Supply planning data'!D19,'Shipments data'!O:O,"ordered", 'Shipments data'!N:N, "Public")</f>
        <v>0</v>
      </c>
      <c r="T19" s="98">
        <f>IF(SUMIFS('Shipments data'!L:L,'Shipments data'!F:F,'Supply planning data'!C19,'Shipments data'!A:A,'Supply planning data'!A19,'Shipments data'!O:O,"received",'Shipments data'!Q:Q,"&lt;"&amp;'Supply planning data'!D34,'Shipments data'!AC:AC,"&lt;"&amp;'Supply planning data'!D34)-SUMIFS(M:M,D:D,"&lt;="&amp;D19,C:C,C19)+SUMIFS(N:N,D:D,"&lt;="&amp;D19,C:C,C19)+SUMIFS(P:P,D:D,"&lt;="&amp;D19,C:C,C19)&lt;0,0,SUMIFS('Shipments data'!L:L,'Shipments data'!F:F,'Supply planning data'!C19,'Shipments data'!A:A,'Supply planning data'!A19,'Shipments data'!O:O,"received",'Shipments data'!Q:Q,"&lt;"&amp;'Supply planning data'!D34,'Shipments data'!AC:AC,"&lt;"&amp;'Supply planning data'!D34)-SUMIFS(M:M,D:D,"&lt;="&amp;D19,C:C,C19)+SUMIFS(N:N,D:D,"&lt;="&amp;D19,C:C,C19)+SUMIFS(P:P,D:D,"&lt;="&amp;D19,C:C,C19))</f>
        <v>0</v>
      </c>
      <c r="U19" s="126">
        <f t="shared" si="3"/>
        <v>0</v>
      </c>
      <c r="V19" s="98">
        <f t="shared" si="4"/>
        <v>0</v>
      </c>
      <c r="W19" s="184"/>
      <c r="X19" s="98">
        <f t="shared" si="9"/>
        <v>0</v>
      </c>
      <c r="Y19" s="97"/>
      <c r="Z19" s="93"/>
      <c r="AA19" s="98">
        <f t="shared" si="5"/>
        <v>0</v>
      </c>
      <c r="AB19" s="233"/>
      <c r="AC19" s="98">
        <f>IF(SUMIFS('Shipments data'!L:L,'Shipments data'!F:F,'Supply planning data'!C19,'Shipments data'!A:A,'Supply planning data'!A19,'Shipments data'!O:O,"received",'Shipments data'!Q:Q,"&lt;"&amp;'Supply planning data'!D34,'Shipments data'!AC:AC,"&lt;"&amp;'Supply planning data'!D34)-SUMIFS(M:M,D:D,"&lt;="&amp;D19,C:C,C19)-SUMIFS(AA:AA,D:D,"&lt;="&amp;D19,C:C,C19)+SUMIFS(N:N,D:D,"&lt;="&amp;D19,C:C,C19)+SUMIFS(P:P,D:D,"&lt;="&amp;D19,C:C,C19)&lt;0,0,SUMIFS('Shipments data'!L:L,'Shipments data'!F:F,'Supply planning data'!C19,'Shipments data'!A:A,'Supply planning data'!A19,'Shipments data'!O:O,"received",'Shipments data'!Q:Q,"&lt;"&amp;'Supply planning data'!D34,'Shipments data'!AC:AC,"&lt;"&amp;'Supply planning data'!D34)-SUMIFS(M:M,D:D,"&lt;="&amp;D19,C:C,C19)-SUMIFS(AA:AA,D:D,"&lt;="&amp;D19,C:C,C19)+SUMIFS(N:N,D:D,"&lt;="&amp;D19,C:C,C19)+SUMIFS(P:P,D:D,"&lt;="&amp;D19,C:C,C19))</f>
        <v>0</v>
      </c>
      <c r="AD19" s="98">
        <f t="shared" si="13"/>
        <v>0</v>
      </c>
      <c r="AE19" s="98">
        <f t="shared" si="10"/>
        <v>0</v>
      </c>
      <c r="AF19" s="205" t="str">
        <f>IF(M19+AA19&lt;=0,"",IFERROR(AE19/(SUM(M19,M49,M34,AA19,AA49,AA34)/3),""))</f>
        <v/>
      </c>
      <c r="AG19" s="98">
        <f t="shared" si="6"/>
        <v>0</v>
      </c>
      <c r="AH19" s="97"/>
      <c r="AI19" s="311"/>
      <c r="AJ19" s="98">
        <f t="shared" si="7"/>
        <v>0</v>
      </c>
      <c r="AK19" s="233"/>
      <c r="AL19" s="98">
        <f>IF(SUMIFS('Shipments data'!L:L,'Shipments data'!F:F,'Supply planning data'!C19,'Shipments data'!A:A,'Supply planning data'!A19,'Shipments data'!O:O,"received",'Shipments data'!Q:Q,"&lt;"&amp;'Supply planning data'!D34,'Shipments data'!AC:AC,"&lt;"&amp;'Supply planning data'!D34)-SUMIFS(M:M,D:D,"&lt;="&amp;D19,C:C,C19)-SUMIFS(AJ:AJ,D:D,"&lt;="&amp;D19,C:C,C19)+SUMIFS(N:N,D:D,"&lt;="&amp;D19,C:C,C19)+SUMIFS(P:P,D:D,"&lt;="&amp;D19,C:C,C19)&lt;0,0,SUMIFS('Shipments data'!L:L,'Shipments data'!F:F,'Supply planning data'!C19,'Shipments data'!A:A,'Supply planning data'!A19,'Shipments data'!O:O,"received",'Shipments data'!Q:Q,"&lt;"&amp;'Supply planning data'!D34,'Shipments data'!AC:AC,"&lt;"&amp;'Supply planning data'!D34)-SUMIFS(M:M,D:D,"&lt;="&amp;D19,C:C,C19)-SUMIFS(AJ:AJ,D:D,"&lt;="&amp;D19,C:C,C19)+SUMIFS(N:N,D:D,"&lt;="&amp;D19,C:C,C19)+SUMIFS(P:P,D:D,"&lt;="&amp;D19,C:C,C19))</f>
        <v>0</v>
      </c>
      <c r="AM19" s="98">
        <f t="shared" si="8"/>
        <v>0</v>
      </c>
      <c r="AN19" s="98">
        <f t="shared" si="11"/>
        <v>0</v>
      </c>
      <c r="AO19" s="203" t="str">
        <f t="shared" si="12"/>
        <v/>
      </c>
    </row>
    <row r="20" spans="1:41" x14ac:dyDescent="0.25">
      <c r="A20" s="103" t="str">
        <f>Start!D$7</f>
        <v>Anyland</v>
      </c>
      <c r="B20" s="104" t="str">
        <f>VLOOKUP(A20,list!B:C,2,FALSE)</f>
        <v>ANY</v>
      </c>
      <c r="C20" s="104" t="str">
        <f>IF(Start!$C$17="","",Start!$C$17)</f>
        <v>AstraZeneca</v>
      </c>
      <c r="D20" s="298">
        <f t="shared" ref="D20:D83" si="15">DATE(YEAR(D5),MONTH(D5)+1,1)</f>
        <v>44228</v>
      </c>
      <c r="E20" s="105" t="str">
        <f>IFERROR(VLOOKUP(C20,Start!C$15:D$31,2,FALSE),"No")</f>
        <v>Yes</v>
      </c>
      <c r="F20" s="105">
        <f t="shared" ref="F20:F83" si="16">V5</f>
        <v>0</v>
      </c>
      <c r="G20" s="106"/>
      <c r="H20" s="106"/>
      <c r="I20" s="106"/>
      <c r="J20" s="105">
        <f t="shared" si="0"/>
        <v>0</v>
      </c>
      <c r="K20" s="106"/>
      <c r="L20" s="177" t="str">
        <f t="shared" si="1"/>
        <v/>
      </c>
      <c r="M20" s="105">
        <f t="shared" si="2"/>
        <v>0</v>
      </c>
      <c r="N20" s="106"/>
      <c r="O20" s="123"/>
      <c r="P20" s="106"/>
      <c r="Q20" s="123"/>
      <c r="R20" s="105">
        <f>SUMIFS('Shipments data'!L:L,'Shipments data'!F:F,'Supply planning data'!C20,'Shipments data'!A:A,'Supply planning data'!A20,'Shipments data'!Y:Y,'Supply planning data'!D20,'Shipments data'!O:O,"received", 'Shipments data'!N:N, "Public")</f>
        <v>0</v>
      </c>
      <c r="S20" s="105">
        <f>SUMIFS('Shipments data'!L:L,'Shipments data'!F:F,'Supply planning data'!C20,'Shipments data'!A:A,'Supply planning data'!A20,'Shipments data'!Y:Y,'Supply planning data'!D20,'Shipments data'!O:O,"ordered", 'Shipments data'!N:N, "Public")</f>
        <v>0</v>
      </c>
      <c r="T20" s="105">
        <f>IF(SUMIFS('Shipments data'!L:L,'Shipments data'!F:F,'Supply planning data'!C20,'Shipments data'!A:A,'Supply planning data'!A20,'Shipments data'!O:O,"received",'Shipments data'!Q:Q,"&lt;"&amp;'Supply planning data'!D35,'Shipments data'!AC:AC,"&lt;"&amp;'Supply planning data'!D35)-SUMIFS(M:M,D:D,"&lt;="&amp;D20,C:C,C20)+SUMIFS(N:N,D:D,"&lt;="&amp;D20,C:C,C20)+SUMIFS(P:P,D:D,"&lt;="&amp;D20,C:C,C20)&lt;0,0,SUMIFS('Shipments data'!L:L,'Shipments data'!F:F,'Supply planning data'!C20,'Shipments data'!A:A,'Supply planning data'!A20,'Shipments data'!O:O,"received",'Shipments data'!Q:Q,"&lt;"&amp;'Supply planning data'!D35,'Shipments data'!AC:AC,"&lt;"&amp;'Supply planning data'!D35)-SUMIFS(M:M,D:D,"&lt;="&amp;D20,C:C,C20)+SUMIFS(N:N,D:D,"&lt;="&amp;D20,C:C,C20)+SUMIFS(P:P,D:D,"&lt;="&amp;D20,C:C,C20))</f>
        <v>0</v>
      </c>
      <c r="U20" s="108">
        <f t="shared" ref="U20:U83" si="17">IF(T20-T5&lt;0,0,T20-T5)</f>
        <v>0</v>
      </c>
      <c r="V20" s="105">
        <f t="shared" si="4"/>
        <v>0</v>
      </c>
      <c r="W20" s="185"/>
      <c r="X20" s="105">
        <f>AE5</f>
        <v>0</v>
      </c>
      <c r="Y20" s="106"/>
      <c r="Z20" s="107"/>
      <c r="AA20" s="105">
        <f t="shared" si="5"/>
        <v>0</v>
      </c>
      <c r="AB20" s="234"/>
      <c r="AC20" s="105">
        <f>IF(SUMIFS('Shipments data'!L:L,'Shipments data'!F:F,'Supply planning data'!C20,'Shipments data'!A:A,'Supply planning data'!A20,'Shipments data'!O:O,"received",'Shipments data'!Q:Q,"&lt;"&amp;'Supply planning data'!D35,'Shipments data'!AC:AC,"&lt;"&amp;'Supply planning data'!D35)-SUMIFS(M:M,D:D,"&lt;="&amp;D20,C:C,C20)-SUMIFS(AA:AA,D:D,"&lt;="&amp;D20,C:C,C20)+SUMIFS(N:N,D:D,"&lt;="&amp;D20,C:C,C20)+SUMIFS(P:P,D:D,"&lt;="&amp;D20,C:C,C20)&lt;0,0,SUMIFS('Shipments data'!L:L,'Shipments data'!F:F,'Supply planning data'!C20,'Shipments data'!A:A,'Supply planning data'!A20,'Shipments data'!O:O,"received",'Shipments data'!Q:Q,"&lt;"&amp;'Supply planning data'!D35,'Shipments data'!AC:AC,"&lt;"&amp;'Supply planning data'!D35)-SUMIFS(M:M,D:D,"&lt;="&amp;D20,C:C,C20)-SUMIFS(AA:AA,D:D,"&lt;="&amp;D20,C:C,C20)+SUMIFS(N:N,D:D,"&lt;="&amp;D20,C:C,C20)+SUMIFS(P:P,D:D,"&lt;="&amp;D20,C:C,C20))</f>
        <v>0</v>
      </c>
      <c r="AD20" s="105">
        <f>IF(AC20-AC5&lt;0,0,AC20-AC5)</f>
        <v>0</v>
      </c>
      <c r="AE20" s="105">
        <f t="shared" si="10"/>
        <v>0</v>
      </c>
      <c r="AF20" s="206" t="str">
        <f>IF(M20+AA20&lt;=0,"",IFERROR(AE20/(SUM(M20,M50,M35,AA20,AA50,AA35)/3),""))</f>
        <v/>
      </c>
      <c r="AG20" s="105">
        <f t="shared" ref="AG20:AG83" si="18">AN5</f>
        <v>0</v>
      </c>
      <c r="AH20" s="106"/>
      <c r="AI20" s="312"/>
      <c r="AJ20" s="105">
        <f t="shared" si="7"/>
        <v>0</v>
      </c>
      <c r="AK20" s="234"/>
      <c r="AL20" s="105">
        <f>IF(SUMIFS('Shipments data'!L:L,'Shipments data'!F:F,'Supply planning data'!C20,'Shipments data'!A:A,'Supply planning data'!A20,'Shipments data'!O:O,"received",'Shipments data'!Q:Q,"&lt;"&amp;'Supply planning data'!D35,'Shipments data'!AC:AC,"&lt;"&amp;'Supply planning data'!D35)-SUMIFS(M:M,D:D,"&lt;="&amp;D20,C:C,C20)-SUMIFS(AJ:AJ,D:D,"&lt;="&amp;D20,C:C,C20)+SUMIFS(N:N,D:D,"&lt;="&amp;D20,C:C,C20)+SUMIFS(P:P,D:D,"&lt;="&amp;D20,C:C,C20)&lt;0,0,SUMIFS('Shipments data'!L:L,'Shipments data'!F:F,'Supply planning data'!C20,'Shipments data'!A:A,'Supply planning data'!A20,'Shipments data'!O:O,"received",'Shipments data'!Q:Q,"&lt;"&amp;'Supply planning data'!D35,'Shipments data'!AC:AC,"&lt;"&amp;'Supply planning data'!D35)-SUMIFS(M:M,D:D,"&lt;="&amp;D20,C:C,C20)-SUMIFS(AJ:AJ,D:D,"&lt;="&amp;D20,C:C,C20)+SUMIFS(N:N,D:D,"&lt;="&amp;D20,C:C,C20)+SUMIFS(P:P,D:D,"&lt;="&amp;D20,C:C,C20))</f>
        <v>0</v>
      </c>
      <c r="AM20" s="105">
        <f t="shared" ref="AM20:AM83" si="19">IF(AL20-AL5&lt;0,0,AL20-AL5)</f>
        <v>0</v>
      </c>
      <c r="AN20" s="105">
        <f t="shared" si="11"/>
        <v>0</v>
      </c>
      <c r="AO20" s="206" t="str">
        <f>IF(M20+AJ20&lt;=0,"",IFERROR(AN20/(SUM(M20,M50,M35,AJ20,AJ50,AJ35)/3),""))</f>
        <v/>
      </c>
    </row>
    <row r="21" spans="1:41" x14ac:dyDescent="0.25">
      <c r="A21" s="103" t="str">
        <f>Start!D$7</f>
        <v>Anyland</v>
      </c>
      <c r="B21" s="109" t="str">
        <f>VLOOKUP(A21,list!B:C,2,FALSE)</f>
        <v>ANY</v>
      </c>
      <c r="C21" s="109" t="str">
        <f>IF(Start!$C$18="","",Start!$C$18)</f>
        <v>Jansen</v>
      </c>
      <c r="D21" s="298">
        <f t="shared" si="15"/>
        <v>44228</v>
      </c>
      <c r="E21" s="105" t="str">
        <f>IFERROR(VLOOKUP(C21,Start!C$15:D$31,2,FALSE),"No")</f>
        <v>Yes</v>
      </c>
      <c r="F21" s="105">
        <f t="shared" si="16"/>
        <v>0</v>
      </c>
      <c r="G21" s="106"/>
      <c r="H21" s="106"/>
      <c r="I21" s="106"/>
      <c r="J21" s="105">
        <f t="shared" si="0"/>
        <v>0</v>
      </c>
      <c r="K21" s="106"/>
      <c r="L21" s="177" t="str">
        <f t="shared" si="1"/>
        <v/>
      </c>
      <c r="M21" s="105">
        <f t="shared" si="2"/>
        <v>0</v>
      </c>
      <c r="N21" s="110"/>
      <c r="O21" s="124"/>
      <c r="P21" s="110"/>
      <c r="Q21" s="124"/>
      <c r="R21" s="111">
        <f>SUMIFS('Shipments data'!L:L,'Shipments data'!F:F,'Supply planning data'!C21,'Shipments data'!A:A,'Supply planning data'!A21,'Shipments data'!Y:Y,'Supply planning data'!D21,'Shipments data'!O:O,"received", 'Shipments data'!N:N, "Public")</f>
        <v>0</v>
      </c>
      <c r="S21" s="111">
        <f>SUMIFS('Shipments data'!L:L,'Shipments data'!F:F,'Supply planning data'!C21,'Shipments data'!A:A,'Supply planning data'!A21,'Shipments data'!Y:Y,'Supply planning data'!D21,'Shipments data'!O:O,"ordered", 'Shipments data'!N:N, "Public")</f>
        <v>0</v>
      </c>
      <c r="T21" s="111">
        <f>IF(SUMIFS('Shipments data'!L:L,'Shipments data'!F:F,'Supply planning data'!C21,'Shipments data'!A:A,'Supply planning data'!A21,'Shipments data'!O:O,"received",'Shipments data'!Q:Q,"&lt;"&amp;'Supply planning data'!D36,'Shipments data'!AC:AC,"&lt;"&amp;'Supply planning data'!D36)-SUMIFS(M:M,D:D,"&lt;="&amp;D21,C:C,C21)+SUMIFS(N:N,D:D,"&lt;="&amp;D21,C:C,C21)+SUMIFS(P:P,D:D,"&lt;="&amp;D21,C:C,C21)&lt;0,0,SUMIFS('Shipments data'!L:L,'Shipments data'!F:F,'Supply planning data'!C21,'Shipments data'!A:A,'Supply planning data'!A21,'Shipments data'!O:O,"received",'Shipments data'!Q:Q,"&lt;"&amp;'Supply planning data'!D36,'Shipments data'!AC:AC,"&lt;"&amp;'Supply planning data'!D36)-SUMIFS(M:M,D:D,"&lt;="&amp;D21,C:C,C21)+SUMIFS(N:N,D:D,"&lt;="&amp;D21,C:C,C21)+SUMIFS(P:P,D:D,"&lt;="&amp;D21,C:C,C21))</f>
        <v>0</v>
      </c>
      <c r="U21" s="112">
        <f t="shared" si="17"/>
        <v>0</v>
      </c>
      <c r="V21" s="111">
        <f t="shared" si="4"/>
        <v>0</v>
      </c>
      <c r="W21" s="186"/>
      <c r="X21" s="111">
        <f t="shared" ref="X21:X83" si="20">AE6</f>
        <v>0</v>
      </c>
      <c r="Y21" s="110"/>
      <c r="Z21" s="107"/>
      <c r="AA21" s="111">
        <f t="shared" si="5"/>
        <v>0</v>
      </c>
      <c r="AB21" s="235"/>
      <c r="AC21" s="111">
        <f>IF(SUMIFS('Shipments data'!L:L,'Shipments data'!F:F,'Supply planning data'!C21,'Shipments data'!A:A,'Supply planning data'!A21,'Shipments data'!O:O,"received",'Shipments data'!Q:Q,"&lt;"&amp;'Supply planning data'!D36,'Shipments data'!AC:AC,"&lt;"&amp;'Supply planning data'!D36)-SUMIFS(M:M,D:D,"&lt;="&amp;D21,C:C,C21)-SUMIFS(AA:AA,D:D,"&lt;="&amp;D21,C:C,C21)+SUMIFS(N:N,D:D,"&lt;="&amp;D21,C:C,C21)+SUMIFS(P:P,D:D,"&lt;="&amp;D21,C:C,C21)&lt;0,0,SUMIFS('Shipments data'!L:L,'Shipments data'!F:F,'Supply planning data'!C21,'Shipments data'!A:A,'Supply planning data'!A21,'Shipments data'!O:O,"received",'Shipments data'!Q:Q,"&lt;"&amp;'Supply planning data'!D36,'Shipments data'!AC:AC,"&lt;"&amp;'Supply planning data'!D36)-SUMIFS(M:M,D:D,"&lt;="&amp;D21,C:C,C21)-SUMIFS(AA:AA,D:D,"&lt;="&amp;D21,C:C,C21)+SUMIFS(N:N,D:D,"&lt;="&amp;D21,C:C,C21)+SUMIFS(P:P,D:D,"&lt;="&amp;D21,C:C,C21))</f>
        <v>0</v>
      </c>
      <c r="AD21" s="111">
        <f t="shared" ref="AD21:AD83" si="21">IF(AC21-AC6&lt;0,0,AC21-AC6)</f>
        <v>0</v>
      </c>
      <c r="AE21" s="111">
        <f t="shared" si="10"/>
        <v>0</v>
      </c>
      <c r="AF21" s="204" t="str">
        <f>IF(M21+AA21&lt;=0,"",IFERROR(AE21/(SUM(M21,M51,M36,AA21,AA51,AA36)/3),""))</f>
        <v/>
      </c>
      <c r="AG21" s="111">
        <f t="shared" si="18"/>
        <v>0</v>
      </c>
      <c r="AH21" s="110"/>
      <c r="AI21" s="313"/>
      <c r="AJ21" s="111">
        <f t="shared" si="7"/>
        <v>0</v>
      </c>
      <c r="AK21" s="235"/>
      <c r="AL21" s="111">
        <f>IF(SUMIFS('Shipments data'!L:L,'Shipments data'!F:F,'Supply planning data'!C21,'Shipments data'!A:A,'Supply planning data'!A21,'Shipments data'!O:O,"received",'Shipments data'!Q:Q,"&lt;"&amp;'Supply planning data'!D36,'Shipments data'!AC:AC,"&lt;"&amp;'Supply planning data'!D36)-SUMIFS(M:M,D:D,"&lt;="&amp;D21,C:C,C21)-SUMIFS(AJ:AJ,D:D,"&lt;="&amp;D21,C:C,C21)+SUMIFS(N:N,D:D,"&lt;="&amp;D21,C:C,C21)+SUMIFS(P:P,D:D,"&lt;="&amp;D21,C:C,C21)&lt;0,0,SUMIFS('Shipments data'!L:L,'Shipments data'!F:F,'Supply planning data'!C21,'Shipments data'!A:A,'Supply planning data'!A21,'Shipments data'!O:O,"received",'Shipments data'!Q:Q,"&lt;"&amp;'Supply planning data'!D36,'Shipments data'!AC:AC,"&lt;"&amp;'Supply planning data'!D36)-SUMIFS(M:M,D:D,"&lt;="&amp;D21,C:C,C21)-SUMIFS(AJ:AJ,D:D,"&lt;="&amp;D21,C:C,C21)+SUMIFS(N:N,D:D,"&lt;="&amp;D21,C:C,C21)+SUMIFS(P:P,D:D,"&lt;="&amp;D21,C:C,C21))</f>
        <v>0</v>
      </c>
      <c r="AM21" s="111">
        <f t="shared" si="19"/>
        <v>0</v>
      </c>
      <c r="AN21" s="111">
        <f t="shared" si="11"/>
        <v>0</v>
      </c>
      <c r="AO21" s="204" t="str">
        <f t="shared" si="12"/>
        <v/>
      </c>
    </row>
    <row r="22" spans="1:41" x14ac:dyDescent="0.25">
      <c r="A22" s="103" t="str">
        <f>Start!D$7</f>
        <v>Anyland</v>
      </c>
      <c r="B22" s="109" t="str">
        <f>VLOOKUP(A22,list!B:C,2,FALSE)</f>
        <v>ANY</v>
      </c>
      <c r="C22" s="104" t="str">
        <f>IF(Start!$C$19="","",Start!$C$19)</f>
        <v>Moderna</v>
      </c>
      <c r="D22" s="298">
        <f t="shared" si="15"/>
        <v>44228</v>
      </c>
      <c r="E22" s="105" t="str">
        <f>IFERROR(VLOOKUP(C22,Start!C$15:D$31,2,FALSE),"No")</f>
        <v>No</v>
      </c>
      <c r="F22" s="105">
        <f t="shared" si="16"/>
        <v>0</v>
      </c>
      <c r="G22" s="106"/>
      <c r="H22" s="106"/>
      <c r="I22" s="106"/>
      <c r="J22" s="105">
        <f t="shared" si="0"/>
        <v>0</v>
      </c>
      <c r="K22" s="106"/>
      <c r="L22" s="177" t="str">
        <f t="shared" si="1"/>
        <v/>
      </c>
      <c r="M22" s="105">
        <f t="shared" si="2"/>
        <v>0</v>
      </c>
      <c r="N22" s="110"/>
      <c r="O22" s="124"/>
      <c r="P22" s="110"/>
      <c r="Q22" s="124"/>
      <c r="R22" s="111">
        <f>SUMIFS('Shipments data'!L:L,'Shipments data'!F:F,'Supply planning data'!C22,'Shipments data'!A:A,'Supply planning data'!A22,'Shipments data'!Y:Y,'Supply planning data'!D22,'Shipments data'!O:O,"received", 'Shipments data'!N:N, "Public")</f>
        <v>0</v>
      </c>
      <c r="S22" s="111">
        <f>SUMIFS('Shipments data'!L:L,'Shipments data'!F:F,'Supply planning data'!C22,'Shipments data'!A:A,'Supply planning data'!A22,'Shipments data'!Y:Y,'Supply planning data'!D22,'Shipments data'!O:O,"ordered", 'Shipments data'!N:N, "Public")</f>
        <v>0</v>
      </c>
      <c r="T22" s="111">
        <f>IF(SUMIFS('Shipments data'!L:L,'Shipments data'!F:F,'Supply planning data'!C22,'Shipments data'!A:A,'Supply planning data'!A22,'Shipments data'!O:O,"received",'Shipments data'!Q:Q,"&lt;"&amp;'Supply planning data'!D37,'Shipments data'!AC:AC,"&lt;"&amp;'Supply planning data'!D37)-SUMIFS(M:M,D:D,"&lt;="&amp;D22,C:C,C22)+SUMIFS(N:N,D:D,"&lt;="&amp;D22,C:C,C22)+SUMIFS(P:P,D:D,"&lt;="&amp;D22,C:C,C22)&lt;0,0,SUMIFS('Shipments data'!L:L,'Shipments data'!F:F,'Supply planning data'!C22,'Shipments data'!A:A,'Supply planning data'!A22,'Shipments data'!O:O,"received",'Shipments data'!Q:Q,"&lt;"&amp;'Supply planning data'!D37,'Shipments data'!AC:AC,"&lt;"&amp;'Supply planning data'!D37)-SUMIFS(M:M,D:D,"&lt;="&amp;D22,C:C,C22)+SUMIFS(N:N,D:D,"&lt;="&amp;D22,C:C,C22)+SUMIFS(P:P,D:D,"&lt;="&amp;D22,C:C,C22))</f>
        <v>0</v>
      </c>
      <c r="U22" s="112">
        <f t="shared" si="17"/>
        <v>0</v>
      </c>
      <c r="V22" s="111">
        <f t="shared" si="4"/>
        <v>0</v>
      </c>
      <c r="W22" s="186"/>
      <c r="X22" s="111">
        <f t="shared" si="20"/>
        <v>0</v>
      </c>
      <c r="Y22" s="110"/>
      <c r="Z22" s="107"/>
      <c r="AA22" s="111">
        <f t="shared" si="5"/>
        <v>0</v>
      </c>
      <c r="AB22" s="235"/>
      <c r="AC22" s="111">
        <f>IF(SUMIFS('Shipments data'!L:L,'Shipments data'!F:F,'Supply planning data'!C22,'Shipments data'!A:A,'Supply planning data'!A22,'Shipments data'!O:O,"received",'Shipments data'!Q:Q,"&lt;"&amp;'Supply planning data'!D37,'Shipments data'!AC:AC,"&lt;"&amp;'Supply planning data'!D37)-SUMIFS(M:M,D:D,"&lt;="&amp;D22,C:C,C22)-SUMIFS(AA:AA,D:D,"&lt;="&amp;D22,C:C,C22)+SUMIFS(N:N,D:D,"&lt;="&amp;D22,C:C,C22)+SUMIFS(P:P,D:D,"&lt;="&amp;D22,C:C,C22)&lt;0,0,SUMIFS('Shipments data'!L:L,'Shipments data'!F:F,'Supply planning data'!C22,'Shipments data'!A:A,'Supply planning data'!A22,'Shipments data'!O:O,"received",'Shipments data'!Q:Q,"&lt;"&amp;'Supply planning data'!D37,'Shipments data'!AC:AC,"&lt;"&amp;'Supply planning data'!D37)-SUMIFS(M:M,D:D,"&lt;="&amp;D22,C:C,C22)-SUMIFS(AA:AA,D:D,"&lt;="&amp;D22,C:C,C22)+SUMIFS(N:N,D:D,"&lt;="&amp;D22,C:C,C22)+SUMIFS(P:P,D:D,"&lt;="&amp;D22,C:C,C22))</f>
        <v>0</v>
      </c>
      <c r="AD22" s="111">
        <f t="shared" si="21"/>
        <v>0</v>
      </c>
      <c r="AE22" s="111">
        <f t="shared" si="10"/>
        <v>0</v>
      </c>
      <c r="AF22" s="204" t="str">
        <f t="shared" ref="AF22:AF33" si="22">IF(M22+AA22&lt;=0,"",IFERROR(AE22/(SUM(M22,M52,M37,AA22,AA52,AA37)/3),""))</f>
        <v/>
      </c>
      <c r="AG22" s="111">
        <f t="shared" si="18"/>
        <v>0</v>
      </c>
      <c r="AH22" s="110"/>
      <c r="AI22" s="313"/>
      <c r="AJ22" s="111">
        <f t="shared" si="7"/>
        <v>0</v>
      </c>
      <c r="AK22" s="235"/>
      <c r="AL22" s="111">
        <f>IF(SUMIFS('Shipments data'!L:L,'Shipments data'!F:F,'Supply planning data'!C22,'Shipments data'!A:A,'Supply planning data'!A22,'Shipments data'!O:O,"received",'Shipments data'!Q:Q,"&lt;"&amp;'Supply planning data'!D37,'Shipments data'!AC:AC,"&lt;"&amp;'Supply planning data'!D37)-SUMIFS(M:M,D:D,"&lt;="&amp;D22,C:C,C22)-SUMIFS(AJ:AJ,D:D,"&lt;="&amp;D22,C:C,C22)+SUMIFS(N:N,D:D,"&lt;="&amp;D22,C:C,C22)+SUMIFS(P:P,D:D,"&lt;="&amp;D22,C:C,C22)&lt;0,0,SUMIFS('Shipments data'!L:L,'Shipments data'!F:F,'Supply planning data'!C22,'Shipments data'!A:A,'Supply planning data'!A22,'Shipments data'!O:O,"received",'Shipments data'!Q:Q,"&lt;"&amp;'Supply planning data'!D37,'Shipments data'!AC:AC,"&lt;"&amp;'Supply planning data'!D37)-SUMIFS(M:M,D:D,"&lt;="&amp;D22,C:C,C22)-SUMIFS(AJ:AJ,D:D,"&lt;="&amp;D22,C:C,C22)+SUMIFS(N:N,D:D,"&lt;="&amp;D22,C:C,C22)+SUMIFS(P:P,D:D,"&lt;="&amp;D22,C:C,C22))</f>
        <v>0</v>
      </c>
      <c r="AM22" s="111">
        <f t="shared" si="19"/>
        <v>0</v>
      </c>
      <c r="AN22" s="111">
        <f t="shared" si="11"/>
        <v>0</v>
      </c>
      <c r="AO22" s="204" t="str">
        <f t="shared" si="12"/>
        <v/>
      </c>
    </row>
    <row r="23" spans="1:41" x14ac:dyDescent="0.25">
      <c r="A23" s="103" t="str">
        <f>Start!D$7</f>
        <v>Anyland</v>
      </c>
      <c r="B23" s="109" t="str">
        <f>VLOOKUP(A23,list!B:C,2,FALSE)</f>
        <v>ANY</v>
      </c>
      <c r="C23" s="109" t="str">
        <f>IF(Start!$C$20="","",Start!$C$20)</f>
        <v>Pfizer</v>
      </c>
      <c r="D23" s="298">
        <f t="shared" si="15"/>
        <v>44228</v>
      </c>
      <c r="E23" s="105" t="str">
        <f>IFERROR(VLOOKUP(C23,Start!C$15:D$31,2,FALSE),"No")</f>
        <v>Yes</v>
      </c>
      <c r="F23" s="105">
        <f t="shared" si="16"/>
        <v>0</v>
      </c>
      <c r="G23" s="106"/>
      <c r="H23" s="106"/>
      <c r="I23" s="106"/>
      <c r="J23" s="105">
        <f t="shared" si="0"/>
        <v>0</v>
      </c>
      <c r="K23" s="106"/>
      <c r="L23" s="177" t="str">
        <f t="shared" si="1"/>
        <v/>
      </c>
      <c r="M23" s="105">
        <f t="shared" si="2"/>
        <v>0</v>
      </c>
      <c r="N23" s="110"/>
      <c r="O23" s="124"/>
      <c r="P23" s="110"/>
      <c r="Q23" s="124"/>
      <c r="R23" s="111">
        <f>SUMIFS('Shipments data'!L:L,'Shipments data'!F:F,'Supply planning data'!C23,'Shipments data'!A:A,'Supply planning data'!A23,'Shipments data'!Y:Y,'Supply planning data'!D23,'Shipments data'!O:O,"received", 'Shipments data'!N:N, "Public")</f>
        <v>0</v>
      </c>
      <c r="S23" s="111">
        <f>SUMIFS('Shipments data'!L:L,'Shipments data'!F:F,'Supply planning data'!C23,'Shipments data'!A:A,'Supply planning data'!A23,'Shipments data'!Y:Y,'Supply planning data'!D23,'Shipments data'!O:O,"ordered", 'Shipments data'!N:N, "Public")</f>
        <v>0</v>
      </c>
      <c r="T23" s="111">
        <f>IF(SUMIFS('Shipments data'!L:L,'Shipments data'!F:F,'Supply planning data'!C23,'Shipments data'!A:A,'Supply planning data'!A23,'Shipments data'!O:O,"received",'Shipments data'!Q:Q,"&lt;"&amp;'Supply planning data'!D38,'Shipments data'!AC:AC,"&lt;"&amp;'Supply planning data'!D38)-SUMIFS(M:M,D:D,"&lt;="&amp;D23,C:C,C23)+SUMIFS(N:N,D:D,"&lt;="&amp;D23,C:C,C23)+SUMIFS(P:P,D:D,"&lt;="&amp;D23,C:C,C23)&lt;0,0,SUMIFS('Shipments data'!L:L,'Shipments data'!F:F,'Supply planning data'!C23,'Shipments data'!A:A,'Supply planning data'!A23,'Shipments data'!O:O,"received",'Shipments data'!Q:Q,"&lt;"&amp;'Supply planning data'!D38,'Shipments data'!AC:AC,"&lt;"&amp;'Supply planning data'!D38)-SUMIFS(M:M,D:D,"&lt;="&amp;D23,C:C,C23)+SUMIFS(N:N,D:D,"&lt;="&amp;D23,C:C,C23)+SUMIFS(P:P,D:D,"&lt;="&amp;D23,C:C,C23))</f>
        <v>0</v>
      </c>
      <c r="U23" s="112">
        <f t="shared" si="17"/>
        <v>0</v>
      </c>
      <c r="V23" s="111">
        <f t="shared" si="4"/>
        <v>0</v>
      </c>
      <c r="W23" s="186"/>
      <c r="X23" s="111">
        <f t="shared" si="20"/>
        <v>0</v>
      </c>
      <c r="Y23" s="110"/>
      <c r="Z23" s="107"/>
      <c r="AA23" s="111">
        <f t="shared" si="5"/>
        <v>0</v>
      </c>
      <c r="AB23" s="235"/>
      <c r="AC23" s="111">
        <f>IF(SUMIFS('Shipments data'!L:L,'Shipments data'!F:F,'Supply planning data'!C23,'Shipments data'!A:A,'Supply planning data'!A23,'Shipments data'!O:O,"received",'Shipments data'!Q:Q,"&lt;"&amp;'Supply planning data'!D38,'Shipments data'!AC:AC,"&lt;"&amp;'Supply planning data'!D38)-SUMIFS(M:M,D:D,"&lt;="&amp;D23,C:C,C23)-SUMIFS(AA:AA,D:D,"&lt;="&amp;D23,C:C,C23)+SUMIFS(N:N,D:D,"&lt;="&amp;D23,C:C,C23)+SUMIFS(P:P,D:D,"&lt;="&amp;D23,C:C,C23)&lt;0,0,SUMIFS('Shipments data'!L:L,'Shipments data'!F:F,'Supply planning data'!C23,'Shipments data'!A:A,'Supply planning data'!A23,'Shipments data'!O:O,"received",'Shipments data'!Q:Q,"&lt;"&amp;'Supply planning data'!D38,'Shipments data'!AC:AC,"&lt;"&amp;'Supply planning data'!D38)-SUMIFS(M:M,D:D,"&lt;="&amp;D23,C:C,C23)-SUMIFS(AA:AA,D:D,"&lt;="&amp;D23,C:C,C23)+SUMIFS(N:N,D:D,"&lt;="&amp;D23,C:C,C23)+SUMIFS(P:P,D:D,"&lt;="&amp;D23,C:C,C23))</f>
        <v>0</v>
      </c>
      <c r="AD23" s="111">
        <f t="shared" si="21"/>
        <v>0</v>
      </c>
      <c r="AE23" s="111">
        <f t="shared" si="10"/>
        <v>0</v>
      </c>
      <c r="AF23" s="204" t="str">
        <f t="shared" si="22"/>
        <v/>
      </c>
      <c r="AG23" s="111">
        <f t="shared" si="18"/>
        <v>0</v>
      </c>
      <c r="AH23" s="110"/>
      <c r="AI23" s="313"/>
      <c r="AJ23" s="111">
        <f t="shared" si="7"/>
        <v>0</v>
      </c>
      <c r="AK23" s="235"/>
      <c r="AL23" s="111">
        <f>IF(SUMIFS('Shipments data'!L:L,'Shipments data'!F:F,'Supply planning data'!C23,'Shipments data'!A:A,'Supply planning data'!A23,'Shipments data'!O:O,"received",'Shipments data'!Q:Q,"&lt;"&amp;'Supply planning data'!D38,'Shipments data'!AC:AC,"&lt;"&amp;'Supply planning data'!D38)-SUMIFS(M:M,D:D,"&lt;="&amp;D23,C:C,C23)-SUMIFS(AJ:AJ,D:D,"&lt;="&amp;D23,C:C,C23)+SUMIFS(N:N,D:D,"&lt;="&amp;D23,C:C,C23)+SUMIFS(P:P,D:D,"&lt;="&amp;D23,C:C,C23)&lt;0,0,SUMIFS('Shipments data'!L:L,'Shipments data'!F:F,'Supply planning data'!C23,'Shipments data'!A:A,'Supply planning data'!A23,'Shipments data'!O:O,"received",'Shipments data'!Q:Q,"&lt;"&amp;'Supply planning data'!D38,'Shipments data'!AC:AC,"&lt;"&amp;'Supply planning data'!D38)-SUMIFS(M:M,D:D,"&lt;="&amp;D23,C:C,C23)-SUMIFS(AJ:AJ,D:D,"&lt;="&amp;D23,C:C,C23)+SUMIFS(N:N,D:D,"&lt;="&amp;D23,C:C,C23)+SUMIFS(P:P,D:D,"&lt;="&amp;D23,C:C,C23))</f>
        <v>0</v>
      </c>
      <c r="AM23" s="111">
        <f t="shared" si="19"/>
        <v>0</v>
      </c>
      <c r="AN23" s="111">
        <f t="shared" si="11"/>
        <v>0</v>
      </c>
      <c r="AO23" s="204" t="str">
        <f t="shared" si="12"/>
        <v/>
      </c>
    </row>
    <row r="24" spans="1:41" x14ac:dyDescent="0.25">
      <c r="A24" s="103" t="str">
        <f>Start!D$7</f>
        <v>Anyland</v>
      </c>
      <c r="B24" s="109" t="str">
        <f>VLOOKUP(A24,list!B:C,2,FALSE)</f>
        <v>ANY</v>
      </c>
      <c r="C24" s="104" t="str">
        <f>IF(Start!$C$21="","",Start!$C$21)</f>
        <v>Sinovac</v>
      </c>
      <c r="D24" s="298">
        <f t="shared" si="15"/>
        <v>44228</v>
      </c>
      <c r="E24" s="105" t="str">
        <f>IFERROR(VLOOKUP(C24,Start!C$15:D$31,2,FALSE),"No")</f>
        <v>No</v>
      </c>
      <c r="F24" s="105">
        <f t="shared" si="16"/>
        <v>0</v>
      </c>
      <c r="G24" s="106"/>
      <c r="H24" s="106"/>
      <c r="I24" s="106"/>
      <c r="J24" s="105">
        <f t="shared" si="0"/>
        <v>0</v>
      </c>
      <c r="K24" s="106"/>
      <c r="L24" s="177" t="str">
        <f t="shared" si="1"/>
        <v/>
      </c>
      <c r="M24" s="105">
        <f t="shared" si="2"/>
        <v>0</v>
      </c>
      <c r="N24" s="110"/>
      <c r="O24" s="124"/>
      <c r="P24" s="110"/>
      <c r="Q24" s="124"/>
      <c r="R24" s="111">
        <f>SUMIFS('Shipments data'!L:L,'Shipments data'!F:F,'Supply planning data'!C24,'Shipments data'!A:A,'Supply planning data'!A24,'Shipments data'!Y:Y,'Supply planning data'!D24,'Shipments data'!O:O,"received", 'Shipments data'!N:N, "Public")</f>
        <v>0</v>
      </c>
      <c r="S24" s="111">
        <f>SUMIFS('Shipments data'!L:L,'Shipments data'!F:F,'Supply planning data'!C24,'Shipments data'!A:A,'Supply planning data'!A24,'Shipments data'!Y:Y,'Supply planning data'!D24,'Shipments data'!O:O,"ordered", 'Shipments data'!N:N, "Public")</f>
        <v>0</v>
      </c>
      <c r="T24" s="111">
        <f>IF(SUMIFS('Shipments data'!L:L,'Shipments data'!F:F,'Supply planning data'!C24,'Shipments data'!A:A,'Supply planning data'!A24,'Shipments data'!O:O,"received",'Shipments data'!Q:Q,"&lt;"&amp;'Supply planning data'!D39,'Shipments data'!AC:AC,"&lt;"&amp;'Supply planning data'!D39)-SUMIFS(M:M,D:D,"&lt;="&amp;D24,C:C,C24)+SUMIFS(N:N,D:D,"&lt;="&amp;D24,C:C,C24)+SUMIFS(P:P,D:D,"&lt;="&amp;D24,C:C,C24)&lt;0,0,SUMIFS('Shipments data'!L:L,'Shipments data'!F:F,'Supply planning data'!C24,'Shipments data'!A:A,'Supply planning data'!A24,'Shipments data'!O:O,"received",'Shipments data'!Q:Q,"&lt;"&amp;'Supply planning data'!D39,'Shipments data'!AC:AC,"&lt;"&amp;'Supply planning data'!D39)-SUMIFS(M:M,D:D,"&lt;="&amp;D24,C:C,C24)+SUMIFS(N:N,D:D,"&lt;="&amp;D24,C:C,C24)+SUMIFS(P:P,D:D,"&lt;="&amp;D24,C:C,C24))</f>
        <v>0</v>
      </c>
      <c r="U24" s="112">
        <f t="shared" si="17"/>
        <v>0</v>
      </c>
      <c r="V24" s="111">
        <f t="shared" si="4"/>
        <v>0</v>
      </c>
      <c r="W24" s="186"/>
      <c r="X24" s="111">
        <f t="shared" si="20"/>
        <v>0</v>
      </c>
      <c r="Y24" s="110"/>
      <c r="Z24" s="107"/>
      <c r="AA24" s="111">
        <f t="shared" si="5"/>
        <v>0</v>
      </c>
      <c r="AB24" s="235"/>
      <c r="AC24" s="111">
        <f>IF(SUMIFS('Shipments data'!L:L,'Shipments data'!F:F,'Supply planning data'!C24,'Shipments data'!A:A,'Supply planning data'!A24,'Shipments data'!O:O,"received",'Shipments data'!Q:Q,"&lt;"&amp;'Supply planning data'!D39,'Shipments data'!AC:AC,"&lt;"&amp;'Supply planning data'!D39)-SUMIFS(M:M,D:D,"&lt;="&amp;D24,C:C,C24)-SUMIFS(AA:AA,D:D,"&lt;="&amp;D24,C:C,C24)+SUMIFS(N:N,D:D,"&lt;="&amp;D24,C:C,C24)+SUMIFS(P:P,D:D,"&lt;="&amp;D24,C:C,C24)&lt;0,0,SUMIFS('Shipments data'!L:L,'Shipments data'!F:F,'Supply planning data'!C24,'Shipments data'!A:A,'Supply planning data'!A24,'Shipments data'!O:O,"received",'Shipments data'!Q:Q,"&lt;"&amp;'Supply planning data'!D39,'Shipments data'!AC:AC,"&lt;"&amp;'Supply planning data'!D39)-SUMIFS(M:M,D:D,"&lt;="&amp;D24,C:C,C24)-SUMIFS(AA:AA,D:D,"&lt;="&amp;D24,C:C,C24)+SUMIFS(N:N,D:D,"&lt;="&amp;D24,C:C,C24)+SUMIFS(P:P,D:D,"&lt;="&amp;D24,C:C,C24))</f>
        <v>0</v>
      </c>
      <c r="AD24" s="111">
        <f t="shared" si="21"/>
        <v>0</v>
      </c>
      <c r="AE24" s="111">
        <f t="shared" si="10"/>
        <v>0</v>
      </c>
      <c r="AF24" s="204" t="str">
        <f t="shared" si="22"/>
        <v/>
      </c>
      <c r="AG24" s="111">
        <f t="shared" si="18"/>
        <v>0</v>
      </c>
      <c r="AH24" s="110"/>
      <c r="AI24" s="313"/>
      <c r="AJ24" s="111">
        <f t="shared" si="7"/>
        <v>0</v>
      </c>
      <c r="AK24" s="235"/>
      <c r="AL24" s="111">
        <f>IF(SUMIFS('Shipments data'!L:L,'Shipments data'!F:F,'Supply planning data'!C24,'Shipments data'!A:A,'Supply planning data'!A24,'Shipments data'!O:O,"received",'Shipments data'!Q:Q,"&lt;"&amp;'Supply planning data'!D39,'Shipments data'!AC:AC,"&lt;"&amp;'Supply planning data'!D39)-SUMIFS(M:M,D:D,"&lt;="&amp;D24,C:C,C24)-SUMIFS(AJ:AJ,D:D,"&lt;="&amp;D24,C:C,C24)+SUMIFS(N:N,D:D,"&lt;="&amp;D24,C:C,C24)+SUMIFS(P:P,D:D,"&lt;="&amp;D24,C:C,C24)&lt;0,0,SUMIFS('Shipments data'!L:L,'Shipments data'!F:F,'Supply planning data'!C24,'Shipments data'!A:A,'Supply planning data'!A24,'Shipments data'!O:O,"received",'Shipments data'!Q:Q,"&lt;"&amp;'Supply planning data'!D39,'Shipments data'!AC:AC,"&lt;"&amp;'Supply planning data'!D39)-SUMIFS(M:M,D:D,"&lt;="&amp;D24,C:C,C24)-SUMIFS(AJ:AJ,D:D,"&lt;="&amp;D24,C:C,C24)+SUMIFS(N:N,D:D,"&lt;="&amp;D24,C:C,C24)+SUMIFS(P:P,D:D,"&lt;="&amp;D24,C:C,C24))</f>
        <v>0</v>
      </c>
      <c r="AM24" s="111">
        <f t="shared" si="19"/>
        <v>0</v>
      </c>
      <c r="AN24" s="111">
        <f t="shared" si="11"/>
        <v>0</v>
      </c>
      <c r="AO24" s="204" t="str">
        <f t="shared" si="12"/>
        <v/>
      </c>
    </row>
    <row r="25" spans="1:41" hidden="1" x14ac:dyDescent="0.25">
      <c r="A25" s="103" t="str">
        <f>Start!D$7</f>
        <v>Anyland</v>
      </c>
      <c r="B25" s="109" t="str">
        <f>VLOOKUP(A25,list!B:C,2,FALSE)</f>
        <v>ANY</v>
      </c>
      <c r="C25" s="109" t="str">
        <f>IF(Start!$C$22="","",Start!$C$22)</f>
        <v/>
      </c>
      <c r="D25" s="298">
        <f t="shared" si="15"/>
        <v>44228</v>
      </c>
      <c r="E25" s="105" t="str">
        <f>IFERROR(VLOOKUP(C25,Start!C$15:D$31,2,FALSE),"No")</f>
        <v>No</v>
      </c>
      <c r="F25" s="105">
        <f t="shared" si="16"/>
        <v>0</v>
      </c>
      <c r="G25" s="106"/>
      <c r="H25" s="106"/>
      <c r="I25" s="106"/>
      <c r="J25" s="105">
        <f t="shared" si="0"/>
        <v>0</v>
      </c>
      <c r="K25" s="106"/>
      <c r="L25" s="177" t="str">
        <f t="shared" si="1"/>
        <v/>
      </c>
      <c r="M25" s="105">
        <f t="shared" si="2"/>
        <v>0</v>
      </c>
      <c r="N25" s="110"/>
      <c r="O25" s="124"/>
      <c r="P25" s="110"/>
      <c r="Q25" s="124"/>
      <c r="R25" s="111">
        <f>SUMIFS('Shipments data'!L:L,'Shipments data'!F:F,'Supply planning data'!C25,'Shipments data'!A:A,'Supply planning data'!A25,'Shipments data'!Y:Y,'Supply planning data'!D25,'Shipments data'!O:O,"received", 'Shipments data'!N:N, "Public")</f>
        <v>0</v>
      </c>
      <c r="S25" s="111">
        <f>SUMIFS('Shipments data'!L:L,'Shipments data'!F:F,'Supply planning data'!C25,'Shipments data'!A:A,'Supply planning data'!A25,'Shipments data'!Y:Y,'Supply planning data'!D25,'Shipments data'!O:O,"ordered", 'Shipments data'!N:N, "Public")</f>
        <v>0</v>
      </c>
      <c r="T25" s="111">
        <f>IF(SUMIFS('Shipments data'!L:L,'Shipments data'!F:F,'Supply planning data'!C25,'Shipments data'!A:A,'Supply planning data'!A25,'Shipments data'!O:O,"received",'Shipments data'!Q:Q,"&lt;"&amp;'Supply planning data'!D40,'Shipments data'!AC:AC,"&lt;"&amp;'Supply planning data'!D40)-SUMIFS(M:M,D:D,"&lt;="&amp;D25,C:C,C25)+SUMIFS(N:N,D:D,"&lt;="&amp;D25,C:C,C25)+SUMIFS(P:P,D:D,"&lt;="&amp;D25,C:C,C25)&lt;0,0,SUMIFS('Shipments data'!L:L,'Shipments data'!F:F,'Supply planning data'!C25,'Shipments data'!A:A,'Supply planning data'!A25,'Shipments data'!O:O,"received",'Shipments data'!Q:Q,"&lt;"&amp;'Supply planning data'!D40,'Shipments data'!AC:AC,"&lt;"&amp;'Supply planning data'!D40)-SUMIFS(M:M,D:D,"&lt;="&amp;D25,C:C,C25)+SUMIFS(N:N,D:D,"&lt;="&amp;D25,C:C,C25)+SUMIFS(P:P,D:D,"&lt;="&amp;D25,C:C,C25))</f>
        <v>0</v>
      </c>
      <c r="U25" s="112">
        <f t="shared" si="17"/>
        <v>0</v>
      </c>
      <c r="V25" s="111">
        <f t="shared" si="4"/>
        <v>0</v>
      </c>
      <c r="W25" s="186"/>
      <c r="X25" s="111">
        <f t="shared" si="20"/>
        <v>0</v>
      </c>
      <c r="Y25" s="110"/>
      <c r="Z25" s="107"/>
      <c r="AA25" s="111">
        <f t="shared" si="5"/>
        <v>0</v>
      </c>
      <c r="AB25" s="235"/>
      <c r="AC25" s="111">
        <f>IF(SUMIFS('Shipments data'!L:L,'Shipments data'!F:F,'Supply planning data'!C25,'Shipments data'!A:A,'Supply planning data'!A25,'Shipments data'!O:O,"received",'Shipments data'!Q:Q,"&lt;"&amp;'Supply planning data'!D40,'Shipments data'!AC:AC,"&lt;"&amp;'Supply planning data'!D40)-SUMIFS(M:M,D:D,"&lt;="&amp;D25,C:C,C25)-SUMIFS(AA:AA,D:D,"&lt;="&amp;D25,C:C,C25)+SUMIFS(N:N,D:D,"&lt;="&amp;D25,C:C,C25)+SUMIFS(P:P,D:D,"&lt;="&amp;D25,C:C,C25)&lt;0,0,SUMIFS('Shipments data'!L:L,'Shipments data'!F:F,'Supply planning data'!C25,'Shipments data'!A:A,'Supply planning data'!A25,'Shipments data'!O:O,"received",'Shipments data'!Q:Q,"&lt;"&amp;'Supply planning data'!D40,'Shipments data'!AC:AC,"&lt;"&amp;'Supply planning data'!D40)-SUMIFS(M:M,D:D,"&lt;="&amp;D25,C:C,C25)-SUMIFS(AA:AA,D:D,"&lt;="&amp;D25,C:C,C25)+SUMIFS(N:N,D:D,"&lt;="&amp;D25,C:C,C25)+SUMIFS(P:P,D:D,"&lt;="&amp;D25,C:C,C25))</f>
        <v>0</v>
      </c>
      <c r="AD25" s="111">
        <f t="shared" si="21"/>
        <v>0</v>
      </c>
      <c r="AE25" s="111">
        <f t="shared" si="10"/>
        <v>0</v>
      </c>
      <c r="AF25" s="204" t="str">
        <f t="shared" si="22"/>
        <v/>
      </c>
      <c r="AG25" s="111">
        <f t="shared" si="18"/>
        <v>0</v>
      </c>
      <c r="AH25" s="110"/>
      <c r="AI25" s="313"/>
      <c r="AJ25" s="111">
        <f t="shared" si="7"/>
        <v>0</v>
      </c>
      <c r="AK25" s="235"/>
      <c r="AL25" s="111">
        <f>IF(SUMIFS('Shipments data'!L:L,'Shipments data'!F:F,'Supply planning data'!C25,'Shipments data'!A:A,'Supply planning data'!A25,'Shipments data'!O:O,"received",'Shipments data'!Q:Q,"&lt;"&amp;'Supply planning data'!D40,'Shipments data'!AC:AC,"&lt;"&amp;'Supply planning data'!D40)-SUMIFS(M:M,D:D,"&lt;="&amp;D25,C:C,C25)-SUMIFS(AJ:AJ,D:D,"&lt;="&amp;D25,C:C,C25)+SUMIFS(N:N,D:D,"&lt;="&amp;D25,C:C,C25)+SUMIFS(P:P,D:D,"&lt;="&amp;D25,C:C,C25)&lt;0,0,SUMIFS('Shipments data'!L:L,'Shipments data'!F:F,'Supply planning data'!C25,'Shipments data'!A:A,'Supply planning data'!A25,'Shipments data'!O:O,"received",'Shipments data'!Q:Q,"&lt;"&amp;'Supply planning data'!D40,'Shipments data'!AC:AC,"&lt;"&amp;'Supply planning data'!D40)-SUMIFS(M:M,D:D,"&lt;="&amp;D25,C:C,C25)-SUMIFS(AJ:AJ,D:D,"&lt;="&amp;D25,C:C,C25)+SUMIFS(N:N,D:D,"&lt;="&amp;D25,C:C,C25)+SUMIFS(P:P,D:D,"&lt;="&amp;D25,C:C,C25))</f>
        <v>0</v>
      </c>
      <c r="AM25" s="111">
        <f t="shared" si="19"/>
        <v>0</v>
      </c>
      <c r="AN25" s="111">
        <f t="shared" si="11"/>
        <v>0</v>
      </c>
      <c r="AO25" s="204" t="str">
        <f t="shared" si="12"/>
        <v/>
      </c>
    </row>
    <row r="26" spans="1:41" hidden="1" x14ac:dyDescent="0.25">
      <c r="A26" s="103" t="str">
        <f>Start!D$7</f>
        <v>Anyland</v>
      </c>
      <c r="B26" s="109" t="str">
        <f>VLOOKUP(A26,list!B:C,2,FALSE)</f>
        <v>ANY</v>
      </c>
      <c r="C26" s="104" t="str">
        <f>IF(Start!$C$23="","",Start!$C$23)</f>
        <v/>
      </c>
      <c r="D26" s="298">
        <f t="shared" si="15"/>
        <v>44228</v>
      </c>
      <c r="E26" s="105" t="str">
        <f>IFERROR(VLOOKUP(C26,Start!C$15:D$31,2,FALSE),"No")</f>
        <v>No</v>
      </c>
      <c r="F26" s="105">
        <f t="shared" si="16"/>
        <v>0</v>
      </c>
      <c r="G26" s="106"/>
      <c r="H26" s="106"/>
      <c r="I26" s="106"/>
      <c r="J26" s="105">
        <f t="shared" si="0"/>
        <v>0</v>
      </c>
      <c r="K26" s="106"/>
      <c r="L26" s="177" t="str">
        <f t="shared" si="1"/>
        <v/>
      </c>
      <c r="M26" s="105">
        <f t="shared" si="2"/>
        <v>0</v>
      </c>
      <c r="N26" s="110"/>
      <c r="O26" s="124"/>
      <c r="P26" s="110"/>
      <c r="Q26" s="124"/>
      <c r="R26" s="111">
        <f>SUMIFS('Shipments data'!L:L,'Shipments data'!F:F,'Supply planning data'!C26,'Shipments data'!A:A,'Supply planning data'!A26,'Shipments data'!Y:Y,'Supply planning data'!D26,'Shipments data'!O:O,"received", 'Shipments data'!N:N, "Public")</f>
        <v>0</v>
      </c>
      <c r="S26" s="111">
        <f>SUMIFS('Shipments data'!L:L,'Shipments data'!F:F,'Supply planning data'!C26,'Shipments data'!A:A,'Supply planning data'!A26,'Shipments data'!Y:Y,'Supply planning data'!D26,'Shipments data'!O:O,"ordered", 'Shipments data'!N:N, "Public")</f>
        <v>0</v>
      </c>
      <c r="T26" s="111">
        <f>IF(SUMIFS('Shipments data'!L:L,'Shipments data'!F:F,'Supply planning data'!C26,'Shipments data'!A:A,'Supply planning data'!A26,'Shipments data'!O:O,"received",'Shipments data'!Q:Q,"&lt;"&amp;'Supply planning data'!D41,'Shipments data'!AC:AC,"&lt;"&amp;'Supply planning data'!D41)-SUMIFS(M:M,D:D,"&lt;="&amp;D26,C:C,C26)+SUMIFS(N:N,D:D,"&lt;="&amp;D26,C:C,C26)+SUMIFS(P:P,D:D,"&lt;="&amp;D26,C:C,C26)&lt;0,0,SUMIFS('Shipments data'!L:L,'Shipments data'!F:F,'Supply planning data'!C26,'Shipments data'!A:A,'Supply planning data'!A26,'Shipments data'!O:O,"received",'Shipments data'!Q:Q,"&lt;"&amp;'Supply planning data'!D41,'Shipments data'!AC:AC,"&lt;"&amp;'Supply planning data'!D41)-SUMIFS(M:M,D:D,"&lt;="&amp;D26,C:C,C26)+SUMIFS(N:N,D:D,"&lt;="&amp;D26,C:C,C26)+SUMIFS(P:P,D:D,"&lt;="&amp;D26,C:C,C26))</f>
        <v>0</v>
      </c>
      <c r="U26" s="112">
        <f t="shared" si="17"/>
        <v>0</v>
      </c>
      <c r="V26" s="111">
        <f t="shared" si="4"/>
        <v>0</v>
      </c>
      <c r="W26" s="186"/>
      <c r="X26" s="111">
        <f t="shared" si="20"/>
        <v>0</v>
      </c>
      <c r="Y26" s="110"/>
      <c r="Z26" s="107"/>
      <c r="AA26" s="111">
        <f t="shared" si="5"/>
        <v>0</v>
      </c>
      <c r="AB26" s="235"/>
      <c r="AC26" s="111">
        <f>IF(SUMIFS('Shipments data'!L:L,'Shipments data'!F:F,'Supply planning data'!C26,'Shipments data'!A:A,'Supply planning data'!A26,'Shipments data'!O:O,"received",'Shipments data'!Q:Q,"&lt;"&amp;'Supply planning data'!D41,'Shipments data'!AC:AC,"&lt;"&amp;'Supply planning data'!D41)-SUMIFS(M:M,D:D,"&lt;="&amp;D26,C:C,C26)-SUMIFS(AA:AA,D:D,"&lt;="&amp;D26,C:C,C26)+SUMIFS(N:N,D:D,"&lt;="&amp;D26,C:C,C26)+SUMIFS(P:P,D:D,"&lt;="&amp;D26,C:C,C26)&lt;0,0,SUMIFS('Shipments data'!L:L,'Shipments data'!F:F,'Supply planning data'!C26,'Shipments data'!A:A,'Supply planning data'!A26,'Shipments data'!O:O,"received",'Shipments data'!Q:Q,"&lt;"&amp;'Supply planning data'!D41,'Shipments data'!AC:AC,"&lt;"&amp;'Supply planning data'!D41)-SUMIFS(M:M,D:D,"&lt;="&amp;D26,C:C,C26)-SUMIFS(AA:AA,D:D,"&lt;="&amp;D26,C:C,C26)+SUMIFS(N:N,D:D,"&lt;="&amp;D26,C:C,C26)+SUMIFS(P:P,D:D,"&lt;="&amp;D26,C:C,C26))</f>
        <v>0</v>
      </c>
      <c r="AD26" s="111">
        <f t="shared" si="21"/>
        <v>0</v>
      </c>
      <c r="AE26" s="111">
        <f t="shared" si="10"/>
        <v>0</v>
      </c>
      <c r="AF26" s="204" t="str">
        <f t="shared" si="22"/>
        <v/>
      </c>
      <c r="AG26" s="111">
        <f t="shared" si="18"/>
        <v>0</v>
      </c>
      <c r="AH26" s="110"/>
      <c r="AI26" s="313"/>
      <c r="AJ26" s="111">
        <f t="shared" si="7"/>
        <v>0</v>
      </c>
      <c r="AK26" s="235"/>
      <c r="AL26" s="111">
        <f>IF(SUMIFS('Shipments data'!L:L,'Shipments data'!F:F,'Supply planning data'!C26,'Shipments data'!A:A,'Supply planning data'!A26,'Shipments data'!O:O,"received",'Shipments data'!Q:Q,"&lt;"&amp;'Supply planning data'!D41,'Shipments data'!AC:AC,"&lt;"&amp;'Supply planning data'!D41)-SUMIFS(M:M,D:D,"&lt;="&amp;D26,C:C,C26)-SUMIFS(AJ:AJ,D:D,"&lt;="&amp;D26,C:C,C26)+SUMIFS(N:N,D:D,"&lt;="&amp;D26,C:C,C26)+SUMIFS(P:P,D:D,"&lt;="&amp;D26,C:C,C26)&lt;0,0,SUMIFS('Shipments data'!L:L,'Shipments data'!F:F,'Supply planning data'!C26,'Shipments data'!A:A,'Supply planning data'!A26,'Shipments data'!O:O,"received",'Shipments data'!Q:Q,"&lt;"&amp;'Supply planning data'!D41,'Shipments data'!AC:AC,"&lt;"&amp;'Supply planning data'!D41)-SUMIFS(M:M,D:D,"&lt;="&amp;D26,C:C,C26)-SUMIFS(AJ:AJ,D:D,"&lt;="&amp;D26,C:C,C26)+SUMIFS(N:N,D:D,"&lt;="&amp;D26,C:C,C26)+SUMIFS(P:P,D:D,"&lt;="&amp;D26,C:C,C26))</f>
        <v>0</v>
      </c>
      <c r="AM26" s="111">
        <f t="shared" si="19"/>
        <v>0</v>
      </c>
      <c r="AN26" s="111">
        <f t="shared" si="11"/>
        <v>0</v>
      </c>
      <c r="AO26" s="204" t="str">
        <f t="shared" si="12"/>
        <v/>
      </c>
    </row>
    <row r="27" spans="1:41" hidden="1" x14ac:dyDescent="0.25">
      <c r="A27" s="103" t="str">
        <f>Start!D$7</f>
        <v>Anyland</v>
      </c>
      <c r="B27" s="109" t="str">
        <f>VLOOKUP(A27,list!B:C,2,FALSE)</f>
        <v>ANY</v>
      </c>
      <c r="C27" s="109" t="str">
        <f>IF(Start!$C$24="","",Start!$C$24)</f>
        <v/>
      </c>
      <c r="D27" s="298">
        <f t="shared" si="15"/>
        <v>44228</v>
      </c>
      <c r="E27" s="105" t="str">
        <f>IFERROR(VLOOKUP(C27,Start!C$15:D$31,2,FALSE),"No")</f>
        <v>No</v>
      </c>
      <c r="F27" s="105">
        <f t="shared" si="16"/>
        <v>0</v>
      </c>
      <c r="G27" s="106"/>
      <c r="H27" s="106"/>
      <c r="I27" s="106"/>
      <c r="J27" s="105">
        <f t="shared" si="0"/>
        <v>0</v>
      </c>
      <c r="K27" s="106"/>
      <c r="L27" s="177" t="str">
        <f t="shared" si="1"/>
        <v/>
      </c>
      <c r="M27" s="105">
        <f t="shared" si="2"/>
        <v>0</v>
      </c>
      <c r="N27" s="110"/>
      <c r="O27" s="124"/>
      <c r="P27" s="110"/>
      <c r="Q27" s="124"/>
      <c r="R27" s="111">
        <f>SUMIFS('Shipments data'!L:L,'Shipments data'!F:F,'Supply planning data'!C27,'Shipments data'!A:A,'Supply planning data'!A27,'Shipments data'!Y:Y,'Supply planning data'!D27,'Shipments data'!O:O,"received", 'Shipments data'!N:N, "Public")</f>
        <v>0</v>
      </c>
      <c r="S27" s="111">
        <f>SUMIFS('Shipments data'!L:L,'Shipments data'!F:F,'Supply planning data'!C27,'Shipments data'!A:A,'Supply planning data'!A27,'Shipments data'!Y:Y,'Supply planning data'!D27,'Shipments data'!O:O,"ordered", 'Shipments data'!N:N, "Public")</f>
        <v>0</v>
      </c>
      <c r="T27" s="111">
        <f>IF(SUMIFS('Shipments data'!L:L,'Shipments data'!F:F,'Supply planning data'!C27,'Shipments data'!A:A,'Supply planning data'!A27,'Shipments data'!O:O,"received",'Shipments data'!Q:Q,"&lt;"&amp;'Supply planning data'!D42,'Shipments data'!AC:AC,"&lt;"&amp;'Supply planning data'!D42)-SUMIFS(M:M,D:D,"&lt;="&amp;D27,C:C,C27)+SUMIFS(N:N,D:D,"&lt;="&amp;D27,C:C,C27)+SUMIFS(P:P,D:D,"&lt;="&amp;D27,C:C,C27)&lt;0,0,SUMIFS('Shipments data'!L:L,'Shipments data'!F:F,'Supply planning data'!C27,'Shipments data'!A:A,'Supply planning data'!A27,'Shipments data'!O:O,"received",'Shipments data'!Q:Q,"&lt;"&amp;'Supply planning data'!D42,'Shipments data'!AC:AC,"&lt;"&amp;'Supply planning data'!D42)-SUMIFS(M:M,D:D,"&lt;="&amp;D27,C:C,C27)+SUMIFS(N:N,D:D,"&lt;="&amp;D27,C:C,C27)+SUMIFS(P:P,D:D,"&lt;="&amp;D27,C:C,C27))</f>
        <v>0</v>
      </c>
      <c r="U27" s="112">
        <f t="shared" si="17"/>
        <v>0</v>
      </c>
      <c r="V27" s="111">
        <f t="shared" si="4"/>
        <v>0</v>
      </c>
      <c r="W27" s="186"/>
      <c r="X27" s="111">
        <f t="shared" si="20"/>
        <v>0</v>
      </c>
      <c r="Y27" s="110"/>
      <c r="Z27" s="107"/>
      <c r="AA27" s="111">
        <f t="shared" si="5"/>
        <v>0</v>
      </c>
      <c r="AB27" s="235"/>
      <c r="AC27" s="111">
        <f>IF(SUMIFS('Shipments data'!L:L,'Shipments data'!F:F,'Supply planning data'!C27,'Shipments data'!A:A,'Supply planning data'!A27,'Shipments data'!O:O,"received",'Shipments data'!Q:Q,"&lt;"&amp;'Supply planning data'!D42,'Shipments data'!AC:AC,"&lt;"&amp;'Supply planning data'!D42)-SUMIFS(M:M,D:D,"&lt;="&amp;D27,C:C,C27)-SUMIFS(AA:AA,D:D,"&lt;="&amp;D27,C:C,C27)+SUMIFS(N:N,D:D,"&lt;="&amp;D27,C:C,C27)+SUMIFS(P:P,D:D,"&lt;="&amp;D27,C:C,C27)&lt;0,0,SUMIFS('Shipments data'!L:L,'Shipments data'!F:F,'Supply planning data'!C27,'Shipments data'!A:A,'Supply planning data'!A27,'Shipments data'!O:O,"received",'Shipments data'!Q:Q,"&lt;"&amp;'Supply planning data'!D42,'Shipments data'!AC:AC,"&lt;"&amp;'Supply planning data'!D42)-SUMIFS(M:M,D:D,"&lt;="&amp;D27,C:C,C27)-SUMIFS(AA:AA,D:D,"&lt;="&amp;D27,C:C,C27)+SUMIFS(N:N,D:D,"&lt;="&amp;D27,C:C,C27)+SUMIFS(P:P,D:D,"&lt;="&amp;D27,C:C,C27))</f>
        <v>0</v>
      </c>
      <c r="AD27" s="111">
        <f t="shared" si="21"/>
        <v>0</v>
      </c>
      <c r="AE27" s="111">
        <f t="shared" si="10"/>
        <v>0</v>
      </c>
      <c r="AF27" s="204" t="str">
        <f t="shared" si="22"/>
        <v/>
      </c>
      <c r="AG27" s="111">
        <f t="shared" si="18"/>
        <v>0</v>
      </c>
      <c r="AH27" s="110"/>
      <c r="AI27" s="313"/>
      <c r="AJ27" s="111">
        <f t="shared" si="7"/>
        <v>0</v>
      </c>
      <c r="AK27" s="235"/>
      <c r="AL27" s="111">
        <f>IF(SUMIFS('Shipments data'!L:L,'Shipments data'!F:F,'Supply planning data'!C27,'Shipments data'!A:A,'Supply planning data'!A27,'Shipments data'!O:O,"received",'Shipments data'!Q:Q,"&lt;"&amp;'Supply planning data'!D42,'Shipments data'!AC:AC,"&lt;"&amp;'Supply planning data'!D42)-SUMIFS(M:M,D:D,"&lt;="&amp;D27,C:C,C27)-SUMIFS(AJ:AJ,D:D,"&lt;="&amp;D27,C:C,C27)+SUMIFS(N:N,D:D,"&lt;="&amp;D27,C:C,C27)+SUMIFS(P:P,D:D,"&lt;="&amp;D27,C:C,C27)&lt;0,0,SUMIFS('Shipments data'!L:L,'Shipments data'!F:F,'Supply planning data'!C27,'Shipments data'!A:A,'Supply planning data'!A27,'Shipments data'!O:O,"received",'Shipments data'!Q:Q,"&lt;"&amp;'Supply planning data'!D42,'Shipments data'!AC:AC,"&lt;"&amp;'Supply planning data'!D42)-SUMIFS(M:M,D:D,"&lt;="&amp;D27,C:C,C27)-SUMIFS(AJ:AJ,D:D,"&lt;="&amp;D27,C:C,C27)+SUMIFS(N:N,D:D,"&lt;="&amp;D27,C:C,C27)+SUMIFS(P:P,D:D,"&lt;="&amp;D27,C:C,C27))</f>
        <v>0</v>
      </c>
      <c r="AM27" s="111">
        <f t="shared" si="19"/>
        <v>0</v>
      </c>
      <c r="AN27" s="111">
        <f t="shared" si="11"/>
        <v>0</v>
      </c>
      <c r="AO27" s="204" t="str">
        <f t="shared" si="12"/>
        <v/>
      </c>
    </row>
    <row r="28" spans="1:41" hidden="1" x14ac:dyDescent="0.25">
      <c r="A28" s="103" t="str">
        <f>Start!D$7</f>
        <v>Anyland</v>
      </c>
      <c r="B28" s="109" t="str">
        <f>VLOOKUP(A28,list!B:C,2,FALSE)</f>
        <v>ANY</v>
      </c>
      <c r="C28" s="104" t="str">
        <f>IF(Start!$C$25="","",Start!$C$25)</f>
        <v/>
      </c>
      <c r="D28" s="298">
        <f t="shared" si="15"/>
        <v>44228</v>
      </c>
      <c r="E28" s="105" t="str">
        <f>IFERROR(VLOOKUP(C28,Start!C$15:D$31,2,FALSE),"No")</f>
        <v>No</v>
      </c>
      <c r="F28" s="105">
        <f t="shared" si="16"/>
        <v>0</v>
      </c>
      <c r="G28" s="106"/>
      <c r="H28" s="106"/>
      <c r="I28" s="106"/>
      <c r="J28" s="105">
        <f t="shared" si="0"/>
        <v>0</v>
      </c>
      <c r="K28" s="106"/>
      <c r="L28" s="177" t="str">
        <f t="shared" si="1"/>
        <v/>
      </c>
      <c r="M28" s="105">
        <f t="shared" si="2"/>
        <v>0</v>
      </c>
      <c r="N28" s="110"/>
      <c r="O28" s="124"/>
      <c r="P28" s="110"/>
      <c r="Q28" s="124"/>
      <c r="R28" s="111">
        <f>SUMIFS('Shipments data'!L:L,'Shipments data'!F:F,'Supply planning data'!C28,'Shipments data'!A:A,'Supply planning data'!A28,'Shipments data'!Y:Y,'Supply planning data'!D28,'Shipments data'!O:O,"received", 'Shipments data'!N:N, "Public")</f>
        <v>0</v>
      </c>
      <c r="S28" s="111">
        <f>SUMIFS('Shipments data'!L:L,'Shipments data'!F:F,'Supply planning data'!C28,'Shipments data'!A:A,'Supply planning data'!A28,'Shipments data'!Y:Y,'Supply planning data'!D28,'Shipments data'!O:O,"ordered", 'Shipments data'!N:N, "Public")</f>
        <v>0</v>
      </c>
      <c r="T28" s="111">
        <f>IF(SUMIFS('Shipments data'!L:L,'Shipments data'!F:F,'Supply planning data'!C28,'Shipments data'!A:A,'Supply planning data'!A28,'Shipments data'!O:O,"received",'Shipments data'!Q:Q,"&lt;"&amp;'Supply planning data'!D43,'Shipments data'!AC:AC,"&lt;"&amp;'Supply planning data'!D43)-SUMIFS(M:M,D:D,"&lt;="&amp;D28,C:C,C28)+SUMIFS(N:N,D:D,"&lt;="&amp;D28,C:C,C28)+SUMIFS(P:P,D:D,"&lt;="&amp;D28,C:C,C28)&lt;0,0,SUMIFS('Shipments data'!L:L,'Shipments data'!F:F,'Supply planning data'!C28,'Shipments data'!A:A,'Supply planning data'!A28,'Shipments data'!O:O,"received",'Shipments data'!Q:Q,"&lt;"&amp;'Supply planning data'!D43,'Shipments data'!AC:AC,"&lt;"&amp;'Supply planning data'!D43)-SUMIFS(M:M,D:D,"&lt;="&amp;D28,C:C,C28)+SUMIFS(N:N,D:D,"&lt;="&amp;D28,C:C,C28)+SUMIFS(P:P,D:D,"&lt;="&amp;D28,C:C,C28))</f>
        <v>0</v>
      </c>
      <c r="U28" s="112">
        <f t="shared" si="17"/>
        <v>0</v>
      </c>
      <c r="V28" s="111">
        <f t="shared" si="4"/>
        <v>0</v>
      </c>
      <c r="W28" s="186"/>
      <c r="X28" s="111">
        <f t="shared" si="20"/>
        <v>0</v>
      </c>
      <c r="Y28" s="110"/>
      <c r="Z28" s="107"/>
      <c r="AA28" s="111">
        <f t="shared" si="5"/>
        <v>0</v>
      </c>
      <c r="AB28" s="235"/>
      <c r="AC28" s="111">
        <f>IF(SUMIFS('Shipments data'!L:L,'Shipments data'!F:F,'Supply planning data'!C28,'Shipments data'!A:A,'Supply planning data'!A28,'Shipments data'!O:O,"received",'Shipments data'!Q:Q,"&lt;"&amp;'Supply planning data'!D43,'Shipments data'!AC:AC,"&lt;"&amp;'Supply planning data'!D43)-SUMIFS(M:M,D:D,"&lt;="&amp;D28,C:C,C28)-SUMIFS(AA:AA,D:D,"&lt;="&amp;D28,C:C,C28)+SUMIFS(N:N,D:D,"&lt;="&amp;D28,C:C,C28)+SUMIFS(P:P,D:D,"&lt;="&amp;D28,C:C,C28)&lt;0,0,SUMIFS('Shipments data'!L:L,'Shipments data'!F:F,'Supply planning data'!C28,'Shipments data'!A:A,'Supply planning data'!A28,'Shipments data'!O:O,"received",'Shipments data'!Q:Q,"&lt;"&amp;'Supply planning data'!D43,'Shipments data'!AC:AC,"&lt;"&amp;'Supply planning data'!D43)-SUMIFS(M:M,D:D,"&lt;="&amp;D28,C:C,C28)-SUMIFS(AA:AA,D:D,"&lt;="&amp;D28,C:C,C28)+SUMIFS(N:N,D:D,"&lt;="&amp;D28,C:C,C28)+SUMIFS(P:P,D:D,"&lt;="&amp;D28,C:C,C28))</f>
        <v>0</v>
      </c>
      <c r="AD28" s="111">
        <f t="shared" si="21"/>
        <v>0</v>
      </c>
      <c r="AE28" s="111">
        <f t="shared" si="10"/>
        <v>0</v>
      </c>
      <c r="AF28" s="204" t="str">
        <f t="shared" si="22"/>
        <v/>
      </c>
      <c r="AG28" s="111">
        <f t="shared" si="18"/>
        <v>0</v>
      </c>
      <c r="AH28" s="110"/>
      <c r="AI28" s="313"/>
      <c r="AJ28" s="111">
        <f t="shared" si="7"/>
        <v>0</v>
      </c>
      <c r="AK28" s="235"/>
      <c r="AL28" s="111">
        <f>IF(SUMIFS('Shipments data'!L:L,'Shipments data'!F:F,'Supply planning data'!C28,'Shipments data'!A:A,'Supply planning data'!A28,'Shipments data'!O:O,"received",'Shipments data'!Q:Q,"&lt;"&amp;'Supply planning data'!D43,'Shipments data'!AC:AC,"&lt;"&amp;'Supply planning data'!D43)-SUMIFS(M:M,D:D,"&lt;="&amp;D28,C:C,C28)-SUMIFS(AJ:AJ,D:D,"&lt;="&amp;D28,C:C,C28)+SUMIFS(N:N,D:D,"&lt;="&amp;D28,C:C,C28)+SUMIFS(P:P,D:D,"&lt;="&amp;D28,C:C,C28)&lt;0,0,SUMIFS('Shipments data'!L:L,'Shipments data'!F:F,'Supply planning data'!C28,'Shipments data'!A:A,'Supply planning data'!A28,'Shipments data'!O:O,"received",'Shipments data'!Q:Q,"&lt;"&amp;'Supply planning data'!D43,'Shipments data'!AC:AC,"&lt;"&amp;'Supply planning data'!D43)-SUMIFS(M:M,D:D,"&lt;="&amp;D28,C:C,C28)-SUMIFS(AJ:AJ,D:D,"&lt;="&amp;D28,C:C,C28)+SUMIFS(N:N,D:D,"&lt;="&amp;D28,C:C,C28)+SUMIFS(P:P,D:D,"&lt;="&amp;D28,C:C,C28))</f>
        <v>0</v>
      </c>
      <c r="AM28" s="111">
        <f t="shared" si="19"/>
        <v>0</v>
      </c>
      <c r="AN28" s="111">
        <f t="shared" si="11"/>
        <v>0</v>
      </c>
      <c r="AO28" s="204" t="str">
        <f t="shared" si="12"/>
        <v/>
      </c>
    </row>
    <row r="29" spans="1:41" hidden="1" x14ac:dyDescent="0.25">
      <c r="A29" s="103" t="str">
        <f>Start!D$7</f>
        <v>Anyland</v>
      </c>
      <c r="B29" s="109" t="str">
        <f>VLOOKUP(A29,list!B:C,2,FALSE)</f>
        <v>ANY</v>
      </c>
      <c r="C29" s="109" t="str">
        <f>IF(Start!$C$26="","",Start!$C$26)</f>
        <v/>
      </c>
      <c r="D29" s="298">
        <f t="shared" si="15"/>
        <v>44228</v>
      </c>
      <c r="E29" s="105" t="str">
        <f>IFERROR(VLOOKUP(C29,Start!C$15:D$31,2,FALSE),"No")</f>
        <v>No</v>
      </c>
      <c r="F29" s="105">
        <f t="shared" si="16"/>
        <v>0</v>
      </c>
      <c r="G29" s="106"/>
      <c r="H29" s="106"/>
      <c r="I29" s="106"/>
      <c r="J29" s="105">
        <f t="shared" si="0"/>
        <v>0</v>
      </c>
      <c r="K29" s="106"/>
      <c r="L29" s="177" t="str">
        <f t="shared" si="1"/>
        <v/>
      </c>
      <c r="M29" s="105">
        <f t="shared" si="2"/>
        <v>0</v>
      </c>
      <c r="N29" s="110"/>
      <c r="O29" s="124"/>
      <c r="P29" s="110"/>
      <c r="Q29" s="124"/>
      <c r="R29" s="111">
        <f>SUMIFS('Shipments data'!L:L,'Shipments data'!F:F,'Supply planning data'!C29,'Shipments data'!A:A,'Supply planning data'!A29,'Shipments data'!Y:Y,'Supply planning data'!D29,'Shipments data'!O:O,"received", 'Shipments data'!N:N, "Public")</f>
        <v>0</v>
      </c>
      <c r="S29" s="111">
        <f>SUMIFS('Shipments data'!L:L,'Shipments data'!F:F,'Supply planning data'!C29,'Shipments data'!A:A,'Supply planning data'!A29,'Shipments data'!Y:Y,'Supply planning data'!D29,'Shipments data'!O:O,"ordered", 'Shipments data'!N:N, "Public")</f>
        <v>0</v>
      </c>
      <c r="T29" s="111">
        <f>IF(SUMIFS('Shipments data'!L:L,'Shipments data'!F:F,'Supply planning data'!C29,'Shipments data'!A:A,'Supply planning data'!A29,'Shipments data'!O:O,"received",'Shipments data'!Q:Q,"&lt;"&amp;'Supply planning data'!D44,'Shipments data'!AC:AC,"&lt;"&amp;'Supply planning data'!D44)-SUMIFS(M:M,D:D,"&lt;="&amp;D29,C:C,C29)+SUMIFS(N:N,D:D,"&lt;="&amp;D29,C:C,C29)+SUMIFS(P:P,D:D,"&lt;="&amp;D29,C:C,C29)&lt;0,0,SUMIFS('Shipments data'!L:L,'Shipments data'!F:F,'Supply planning data'!C29,'Shipments data'!A:A,'Supply planning data'!A29,'Shipments data'!O:O,"received",'Shipments data'!Q:Q,"&lt;"&amp;'Supply planning data'!D44,'Shipments data'!AC:AC,"&lt;"&amp;'Supply planning data'!D44)-SUMIFS(M:M,D:D,"&lt;="&amp;D29,C:C,C29)+SUMIFS(N:N,D:D,"&lt;="&amp;D29,C:C,C29)+SUMIFS(P:P,D:D,"&lt;="&amp;D29,C:C,C29))</f>
        <v>0</v>
      </c>
      <c r="U29" s="112">
        <f t="shared" si="17"/>
        <v>0</v>
      </c>
      <c r="V29" s="111">
        <f t="shared" si="4"/>
        <v>0</v>
      </c>
      <c r="W29" s="186"/>
      <c r="X29" s="111">
        <f t="shared" si="20"/>
        <v>0</v>
      </c>
      <c r="Y29" s="110"/>
      <c r="Z29" s="107"/>
      <c r="AA29" s="111">
        <f t="shared" si="5"/>
        <v>0</v>
      </c>
      <c r="AB29" s="235"/>
      <c r="AC29" s="111">
        <f>IF(SUMIFS('Shipments data'!L:L,'Shipments data'!F:F,'Supply planning data'!C29,'Shipments data'!A:A,'Supply planning data'!A29,'Shipments data'!O:O,"received",'Shipments data'!Q:Q,"&lt;"&amp;'Supply planning data'!D44,'Shipments data'!AC:AC,"&lt;"&amp;'Supply planning data'!D44)-SUMIFS(M:M,D:D,"&lt;="&amp;D29,C:C,C29)-SUMIFS(AA:AA,D:D,"&lt;="&amp;D29,C:C,C29)+SUMIFS(N:N,D:D,"&lt;="&amp;D29,C:C,C29)+SUMIFS(P:P,D:D,"&lt;="&amp;D29,C:C,C29)&lt;0,0,SUMIFS('Shipments data'!L:L,'Shipments data'!F:F,'Supply planning data'!C29,'Shipments data'!A:A,'Supply planning data'!A29,'Shipments data'!O:O,"received",'Shipments data'!Q:Q,"&lt;"&amp;'Supply planning data'!D44,'Shipments data'!AC:AC,"&lt;"&amp;'Supply planning data'!D44)-SUMIFS(M:M,D:D,"&lt;="&amp;D29,C:C,C29)-SUMIFS(AA:AA,D:D,"&lt;="&amp;D29,C:C,C29)+SUMIFS(N:N,D:D,"&lt;="&amp;D29,C:C,C29)+SUMIFS(P:P,D:D,"&lt;="&amp;D29,C:C,C29))</f>
        <v>0</v>
      </c>
      <c r="AD29" s="111">
        <f t="shared" si="21"/>
        <v>0</v>
      </c>
      <c r="AE29" s="111">
        <f t="shared" si="10"/>
        <v>0</v>
      </c>
      <c r="AF29" s="204" t="str">
        <f t="shared" si="22"/>
        <v/>
      </c>
      <c r="AG29" s="111">
        <f t="shared" si="18"/>
        <v>0</v>
      </c>
      <c r="AH29" s="110"/>
      <c r="AI29" s="313"/>
      <c r="AJ29" s="111">
        <f t="shared" si="7"/>
        <v>0</v>
      </c>
      <c r="AK29" s="235"/>
      <c r="AL29" s="111">
        <f>IF(SUMIFS('Shipments data'!L:L,'Shipments data'!F:F,'Supply planning data'!C29,'Shipments data'!A:A,'Supply planning data'!A29,'Shipments data'!O:O,"received",'Shipments data'!Q:Q,"&lt;"&amp;'Supply planning data'!D44,'Shipments data'!AC:AC,"&lt;"&amp;'Supply planning data'!D44)-SUMIFS(M:M,D:D,"&lt;="&amp;D29,C:C,C29)-SUMIFS(AJ:AJ,D:D,"&lt;="&amp;D29,C:C,C29)+SUMIFS(N:N,D:D,"&lt;="&amp;D29,C:C,C29)+SUMIFS(P:P,D:D,"&lt;="&amp;D29,C:C,C29)&lt;0,0,SUMIFS('Shipments data'!L:L,'Shipments data'!F:F,'Supply planning data'!C29,'Shipments data'!A:A,'Supply planning data'!A29,'Shipments data'!O:O,"received",'Shipments data'!Q:Q,"&lt;"&amp;'Supply planning data'!D44,'Shipments data'!AC:AC,"&lt;"&amp;'Supply planning data'!D44)-SUMIFS(M:M,D:D,"&lt;="&amp;D29,C:C,C29)-SUMIFS(AJ:AJ,D:D,"&lt;="&amp;D29,C:C,C29)+SUMIFS(N:N,D:D,"&lt;="&amp;D29,C:C,C29)+SUMIFS(P:P,D:D,"&lt;="&amp;D29,C:C,C29))</f>
        <v>0</v>
      </c>
      <c r="AM29" s="111">
        <f t="shared" si="19"/>
        <v>0</v>
      </c>
      <c r="AN29" s="111">
        <f t="shared" si="11"/>
        <v>0</v>
      </c>
      <c r="AO29" s="204" t="str">
        <f t="shared" si="12"/>
        <v/>
      </c>
    </row>
    <row r="30" spans="1:41" hidden="1" x14ac:dyDescent="0.25">
      <c r="A30" s="103" t="str">
        <f>Start!D$7</f>
        <v>Anyland</v>
      </c>
      <c r="B30" s="109" t="str">
        <f>VLOOKUP(A30,list!B:C,2,FALSE)</f>
        <v>ANY</v>
      </c>
      <c r="C30" s="104" t="str">
        <f>IF(Start!$C$27="","",Start!$C$27)</f>
        <v/>
      </c>
      <c r="D30" s="298">
        <f t="shared" si="15"/>
        <v>44228</v>
      </c>
      <c r="E30" s="105" t="str">
        <f>IFERROR(VLOOKUP(C30,Start!C$15:D$31,2,FALSE),"No")</f>
        <v>No</v>
      </c>
      <c r="F30" s="105">
        <f t="shared" si="16"/>
        <v>0</v>
      </c>
      <c r="G30" s="106"/>
      <c r="H30" s="106"/>
      <c r="I30" s="106"/>
      <c r="J30" s="105">
        <f t="shared" si="0"/>
        <v>0</v>
      </c>
      <c r="K30" s="106"/>
      <c r="L30" s="177" t="str">
        <f t="shared" si="1"/>
        <v/>
      </c>
      <c r="M30" s="105">
        <f t="shared" si="2"/>
        <v>0</v>
      </c>
      <c r="N30" s="110"/>
      <c r="O30" s="124"/>
      <c r="P30" s="110"/>
      <c r="Q30" s="124"/>
      <c r="R30" s="111">
        <f>SUMIFS('Shipments data'!L:L,'Shipments data'!F:F,'Supply planning data'!C30,'Shipments data'!A:A,'Supply planning data'!A30,'Shipments data'!Y:Y,'Supply planning data'!D30,'Shipments data'!O:O,"received", 'Shipments data'!N:N, "Public")</f>
        <v>0</v>
      </c>
      <c r="S30" s="111">
        <f>SUMIFS('Shipments data'!L:L,'Shipments data'!F:F,'Supply planning data'!C30,'Shipments data'!A:A,'Supply planning data'!A30,'Shipments data'!Y:Y,'Supply planning data'!D30,'Shipments data'!O:O,"ordered", 'Shipments data'!N:N, "Public")</f>
        <v>0</v>
      </c>
      <c r="T30" s="111">
        <f>IF(SUMIFS('Shipments data'!L:L,'Shipments data'!F:F,'Supply planning data'!C30,'Shipments data'!A:A,'Supply planning data'!A30,'Shipments data'!O:O,"received",'Shipments data'!Q:Q,"&lt;"&amp;'Supply planning data'!D45,'Shipments data'!AC:AC,"&lt;"&amp;'Supply planning data'!D45)-SUMIFS(M:M,D:D,"&lt;="&amp;D30,C:C,C30)+SUMIFS(N:N,D:D,"&lt;="&amp;D30,C:C,C30)+SUMIFS(P:P,D:D,"&lt;="&amp;D30,C:C,C30)&lt;0,0,SUMIFS('Shipments data'!L:L,'Shipments data'!F:F,'Supply planning data'!C30,'Shipments data'!A:A,'Supply planning data'!A30,'Shipments data'!O:O,"received",'Shipments data'!Q:Q,"&lt;"&amp;'Supply planning data'!D45,'Shipments data'!AC:AC,"&lt;"&amp;'Supply planning data'!D45)-SUMIFS(M:M,D:D,"&lt;="&amp;D30,C:C,C30)+SUMIFS(N:N,D:D,"&lt;="&amp;D30,C:C,C30)+SUMIFS(P:P,D:D,"&lt;="&amp;D30,C:C,C30))</f>
        <v>0</v>
      </c>
      <c r="U30" s="112">
        <f t="shared" si="17"/>
        <v>0</v>
      </c>
      <c r="V30" s="111">
        <f t="shared" si="4"/>
        <v>0</v>
      </c>
      <c r="W30" s="186"/>
      <c r="X30" s="111">
        <f t="shared" si="20"/>
        <v>0</v>
      </c>
      <c r="Y30" s="110"/>
      <c r="Z30" s="107"/>
      <c r="AA30" s="111">
        <f t="shared" si="5"/>
        <v>0</v>
      </c>
      <c r="AB30" s="235"/>
      <c r="AC30" s="111">
        <f>IF(SUMIFS('Shipments data'!L:L,'Shipments data'!F:F,'Supply planning data'!C30,'Shipments data'!A:A,'Supply planning data'!A30,'Shipments data'!O:O,"received",'Shipments data'!Q:Q,"&lt;"&amp;'Supply planning data'!D45,'Shipments data'!AC:AC,"&lt;"&amp;'Supply planning data'!D45)-SUMIFS(M:M,D:D,"&lt;="&amp;D30,C:C,C30)-SUMIFS(AA:AA,D:D,"&lt;="&amp;D30,C:C,C30)+SUMIFS(N:N,D:D,"&lt;="&amp;D30,C:C,C30)+SUMIFS(P:P,D:D,"&lt;="&amp;D30,C:C,C30)&lt;0,0,SUMIFS('Shipments data'!L:L,'Shipments data'!F:F,'Supply planning data'!C30,'Shipments data'!A:A,'Supply planning data'!A30,'Shipments data'!O:O,"received",'Shipments data'!Q:Q,"&lt;"&amp;'Supply planning data'!D45,'Shipments data'!AC:AC,"&lt;"&amp;'Supply planning data'!D45)-SUMIFS(M:M,D:D,"&lt;="&amp;D30,C:C,C30)-SUMIFS(AA:AA,D:D,"&lt;="&amp;D30,C:C,C30)+SUMIFS(N:N,D:D,"&lt;="&amp;D30,C:C,C30)+SUMIFS(P:P,D:D,"&lt;="&amp;D30,C:C,C30))</f>
        <v>0</v>
      </c>
      <c r="AD30" s="111">
        <f t="shared" si="21"/>
        <v>0</v>
      </c>
      <c r="AE30" s="111">
        <f t="shared" si="10"/>
        <v>0</v>
      </c>
      <c r="AF30" s="204" t="str">
        <f t="shared" si="22"/>
        <v/>
      </c>
      <c r="AG30" s="111">
        <f t="shared" si="18"/>
        <v>0</v>
      </c>
      <c r="AH30" s="110"/>
      <c r="AI30" s="313"/>
      <c r="AJ30" s="111">
        <f t="shared" si="7"/>
        <v>0</v>
      </c>
      <c r="AK30" s="235"/>
      <c r="AL30" s="111">
        <f>IF(SUMIFS('Shipments data'!L:L,'Shipments data'!F:F,'Supply planning data'!C30,'Shipments data'!A:A,'Supply planning data'!A30,'Shipments data'!O:O,"received",'Shipments data'!Q:Q,"&lt;"&amp;'Supply planning data'!D45,'Shipments data'!AC:AC,"&lt;"&amp;'Supply planning data'!D45)-SUMIFS(M:M,D:D,"&lt;="&amp;D30,C:C,C30)-SUMIFS(AJ:AJ,D:D,"&lt;="&amp;D30,C:C,C30)+SUMIFS(N:N,D:D,"&lt;="&amp;D30,C:C,C30)+SUMIFS(P:P,D:D,"&lt;="&amp;D30,C:C,C30)&lt;0,0,SUMIFS('Shipments data'!L:L,'Shipments data'!F:F,'Supply planning data'!C30,'Shipments data'!A:A,'Supply planning data'!A30,'Shipments data'!O:O,"received",'Shipments data'!Q:Q,"&lt;"&amp;'Supply planning data'!D45,'Shipments data'!AC:AC,"&lt;"&amp;'Supply planning data'!D45)-SUMIFS(M:M,D:D,"&lt;="&amp;D30,C:C,C30)-SUMIFS(AJ:AJ,D:D,"&lt;="&amp;D30,C:C,C30)+SUMIFS(N:N,D:D,"&lt;="&amp;D30,C:C,C30)+SUMIFS(P:P,D:D,"&lt;="&amp;D30,C:C,C30))</f>
        <v>0</v>
      </c>
      <c r="AM30" s="111">
        <f t="shared" si="19"/>
        <v>0</v>
      </c>
      <c r="AN30" s="111">
        <f t="shared" si="11"/>
        <v>0</v>
      </c>
      <c r="AO30" s="204" t="str">
        <f t="shared" si="12"/>
        <v/>
      </c>
    </row>
    <row r="31" spans="1:41" hidden="1" x14ac:dyDescent="0.25">
      <c r="A31" s="103" t="str">
        <f>Start!D$7</f>
        <v>Anyland</v>
      </c>
      <c r="B31" s="109" t="str">
        <f>VLOOKUP(A31,list!B:C,2,FALSE)</f>
        <v>ANY</v>
      </c>
      <c r="C31" s="109" t="str">
        <f>IF(Start!$C$28="","",Start!$C$28)</f>
        <v/>
      </c>
      <c r="D31" s="298">
        <f t="shared" si="15"/>
        <v>44228</v>
      </c>
      <c r="E31" s="105" t="str">
        <f>IFERROR(VLOOKUP(C31,Start!C$15:D$31,2,FALSE),"No")</f>
        <v>No</v>
      </c>
      <c r="F31" s="105">
        <f t="shared" si="16"/>
        <v>0</v>
      </c>
      <c r="G31" s="106"/>
      <c r="H31" s="106"/>
      <c r="I31" s="106"/>
      <c r="J31" s="105">
        <f t="shared" si="0"/>
        <v>0</v>
      </c>
      <c r="K31" s="106"/>
      <c r="L31" s="177" t="str">
        <f t="shared" si="1"/>
        <v/>
      </c>
      <c r="M31" s="105">
        <f t="shared" si="2"/>
        <v>0</v>
      </c>
      <c r="N31" s="110"/>
      <c r="O31" s="124"/>
      <c r="P31" s="110"/>
      <c r="Q31" s="124"/>
      <c r="R31" s="111">
        <f>SUMIFS('Shipments data'!L:L,'Shipments data'!F:F,'Supply planning data'!C31,'Shipments data'!A:A,'Supply planning data'!A31,'Shipments data'!Y:Y,'Supply planning data'!D31,'Shipments data'!O:O,"received", 'Shipments data'!N:N, "Public")</f>
        <v>0</v>
      </c>
      <c r="S31" s="111">
        <f>SUMIFS('Shipments data'!L:L,'Shipments data'!F:F,'Supply planning data'!C31,'Shipments data'!A:A,'Supply planning data'!A31,'Shipments data'!Y:Y,'Supply planning data'!D31,'Shipments data'!O:O,"ordered", 'Shipments data'!N:N, "Public")</f>
        <v>0</v>
      </c>
      <c r="T31" s="111">
        <f>IF(SUMIFS('Shipments data'!L:L,'Shipments data'!F:F,'Supply planning data'!C31,'Shipments data'!A:A,'Supply planning data'!A31,'Shipments data'!O:O,"received",'Shipments data'!Q:Q,"&lt;"&amp;'Supply planning data'!D46,'Shipments data'!AC:AC,"&lt;"&amp;'Supply planning data'!D46)-SUMIFS(M:M,D:D,"&lt;="&amp;D31,C:C,C31)+SUMIFS(N:N,D:D,"&lt;="&amp;D31,C:C,C31)+SUMIFS(P:P,D:D,"&lt;="&amp;D31,C:C,C31)&lt;0,0,SUMIFS('Shipments data'!L:L,'Shipments data'!F:F,'Supply planning data'!C31,'Shipments data'!A:A,'Supply planning data'!A31,'Shipments data'!O:O,"received",'Shipments data'!Q:Q,"&lt;"&amp;'Supply planning data'!D46,'Shipments data'!AC:AC,"&lt;"&amp;'Supply planning data'!D46)-SUMIFS(M:M,D:D,"&lt;="&amp;D31,C:C,C31)+SUMIFS(N:N,D:D,"&lt;="&amp;D31,C:C,C31)+SUMIFS(P:P,D:D,"&lt;="&amp;D31,C:C,C31))</f>
        <v>0</v>
      </c>
      <c r="U31" s="112">
        <f t="shared" si="17"/>
        <v>0</v>
      </c>
      <c r="V31" s="111">
        <f t="shared" si="4"/>
        <v>0</v>
      </c>
      <c r="W31" s="186"/>
      <c r="X31" s="111">
        <f t="shared" si="20"/>
        <v>0</v>
      </c>
      <c r="Y31" s="110"/>
      <c r="Z31" s="107"/>
      <c r="AA31" s="111">
        <f t="shared" si="5"/>
        <v>0</v>
      </c>
      <c r="AB31" s="235"/>
      <c r="AC31" s="111">
        <f>IF(SUMIFS('Shipments data'!L:L,'Shipments data'!F:F,'Supply planning data'!C31,'Shipments data'!A:A,'Supply planning data'!A31,'Shipments data'!O:O,"received",'Shipments data'!Q:Q,"&lt;"&amp;'Supply planning data'!D46,'Shipments data'!AC:AC,"&lt;"&amp;'Supply planning data'!D46)-SUMIFS(M:M,D:D,"&lt;="&amp;D31,C:C,C31)-SUMIFS(AA:AA,D:D,"&lt;="&amp;D31,C:C,C31)+SUMIFS(N:N,D:D,"&lt;="&amp;D31,C:C,C31)+SUMIFS(P:P,D:D,"&lt;="&amp;D31,C:C,C31)&lt;0,0,SUMIFS('Shipments data'!L:L,'Shipments data'!F:F,'Supply planning data'!C31,'Shipments data'!A:A,'Supply planning data'!A31,'Shipments data'!O:O,"received",'Shipments data'!Q:Q,"&lt;"&amp;'Supply planning data'!D46,'Shipments data'!AC:AC,"&lt;"&amp;'Supply planning data'!D46)-SUMIFS(M:M,D:D,"&lt;="&amp;D31,C:C,C31)-SUMIFS(AA:AA,D:D,"&lt;="&amp;D31,C:C,C31)+SUMIFS(N:N,D:D,"&lt;="&amp;D31,C:C,C31)+SUMIFS(P:P,D:D,"&lt;="&amp;D31,C:C,C31))</f>
        <v>0</v>
      </c>
      <c r="AD31" s="111">
        <f t="shared" si="21"/>
        <v>0</v>
      </c>
      <c r="AE31" s="111">
        <f t="shared" si="10"/>
        <v>0</v>
      </c>
      <c r="AF31" s="204" t="str">
        <f t="shared" si="22"/>
        <v/>
      </c>
      <c r="AG31" s="111">
        <f t="shared" si="18"/>
        <v>0</v>
      </c>
      <c r="AH31" s="110"/>
      <c r="AI31" s="313"/>
      <c r="AJ31" s="111">
        <f t="shared" si="7"/>
        <v>0</v>
      </c>
      <c r="AK31" s="235"/>
      <c r="AL31" s="111">
        <f>IF(SUMIFS('Shipments data'!L:L,'Shipments data'!F:F,'Supply planning data'!C31,'Shipments data'!A:A,'Supply planning data'!A31,'Shipments data'!O:O,"received",'Shipments data'!Q:Q,"&lt;"&amp;'Supply planning data'!D46,'Shipments data'!AC:AC,"&lt;"&amp;'Supply planning data'!D46)-SUMIFS(M:M,D:D,"&lt;="&amp;D31,C:C,C31)-SUMIFS(AJ:AJ,D:D,"&lt;="&amp;D31,C:C,C31)+SUMIFS(N:N,D:D,"&lt;="&amp;D31,C:C,C31)+SUMIFS(P:P,D:D,"&lt;="&amp;D31,C:C,C31)&lt;0,0,SUMIFS('Shipments data'!L:L,'Shipments data'!F:F,'Supply planning data'!C31,'Shipments data'!A:A,'Supply planning data'!A31,'Shipments data'!O:O,"received",'Shipments data'!Q:Q,"&lt;"&amp;'Supply planning data'!D46,'Shipments data'!AC:AC,"&lt;"&amp;'Supply planning data'!D46)-SUMIFS(M:M,D:D,"&lt;="&amp;D31,C:C,C31)-SUMIFS(AJ:AJ,D:D,"&lt;="&amp;D31,C:C,C31)+SUMIFS(N:N,D:D,"&lt;="&amp;D31,C:C,C31)+SUMIFS(P:P,D:D,"&lt;="&amp;D31,C:C,C31))</f>
        <v>0</v>
      </c>
      <c r="AM31" s="111">
        <f t="shared" si="19"/>
        <v>0</v>
      </c>
      <c r="AN31" s="111">
        <f t="shared" si="11"/>
        <v>0</v>
      </c>
      <c r="AO31" s="204" t="str">
        <f t="shared" si="12"/>
        <v/>
      </c>
    </row>
    <row r="32" spans="1:41" hidden="1" x14ac:dyDescent="0.25">
      <c r="A32" s="103" t="str">
        <f>Start!D$7</f>
        <v>Anyland</v>
      </c>
      <c r="B32" s="109" t="str">
        <f>VLOOKUP(A32,list!B:C,2,FALSE)</f>
        <v>ANY</v>
      </c>
      <c r="C32" s="104" t="str">
        <f>IF(Start!$C$29="","",Start!$C$29)</f>
        <v/>
      </c>
      <c r="D32" s="298">
        <f t="shared" si="15"/>
        <v>44228</v>
      </c>
      <c r="E32" s="105" t="str">
        <f>IFERROR(VLOOKUP(C32,Start!C$15:D$31,2,FALSE),"No")</f>
        <v>No</v>
      </c>
      <c r="F32" s="105">
        <f t="shared" si="16"/>
        <v>0</v>
      </c>
      <c r="G32" s="106"/>
      <c r="H32" s="106"/>
      <c r="I32" s="106"/>
      <c r="J32" s="105">
        <f t="shared" si="0"/>
        <v>0</v>
      </c>
      <c r="K32" s="106"/>
      <c r="L32" s="177" t="str">
        <f t="shared" si="1"/>
        <v/>
      </c>
      <c r="M32" s="105">
        <f t="shared" si="2"/>
        <v>0</v>
      </c>
      <c r="N32" s="110"/>
      <c r="O32" s="124"/>
      <c r="P32" s="110"/>
      <c r="Q32" s="124"/>
      <c r="R32" s="111">
        <f>SUMIFS('Shipments data'!L:L,'Shipments data'!F:F,'Supply planning data'!C32,'Shipments data'!A:A,'Supply planning data'!A32,'Shipments data'!Y:Y,'Supply planning data'!D32,'Shipments data'!O:O,"received", 'Shipments data'!N:N, "Public")</f>
        <v>0</v>
      </c>
      <c r="S32" s="111">
        <f>SUMIFS('Shipments data'!L:L,'Shipments data'!F:F,'Supply planning data'!C32,'Shipments data'!A:A,'Supply planning data'!A32,'Shipments data'!Y:Y,'Supply planning data'!D32,'Shipments data'!O:O,"ordered", 'Shipments data'!N:N, "Public")</f>
        <v>0</v>
      </c>
      <c r="T32" s="111">
        <f>IF(SUMIFS('Shipments data'!L:L,'Shipments data'!F:F,'Supply planning data'!C32,'Shipments data'!A:A,'Supply planning data'!A32,'Shipments data'!O:O,"received",'Shipments data'!Q:Q,"&lt;"&amp;'Supply planning data'!D47,'Shipments data'!AC:AC,"&lt;"&amp;'Supply planning data'!D47)-SUMIFS(M:M,D:D,"&lt;="&amp;D32,C:C,C32)+SUMIFS(N:N,D:D,"&lt;="&amp;D32,C:C,C32)+SUMIFS(P:P,D:D,"&lt;="&amp;D32,C:C,C32)&lt;0,0,SUMIFS('Shipments data'!L:L,'Shipments data'!F:F,'Supply planning data'!C32,'Shipments data'!A:A,'Supply planning data'!A32,'Shipments data'!O:O,"received",'Shipments data'!Q:Q,"&lt;"&amp;'Supply planning data'!D47,'Shipments data'!AC:AC,"&lt;"&amp;'Supply planning data'!D47)-SUMIFS(M:M,D:D,"&lt;="&amp;D32,C:C,C32)+SUMIFS(N:N,D:D,"&lt;="&amp;D32,C:C,C32)+SUMIFS(P:P,D:D,"&lt;="&amp;D32,C:C,C32))</f>
        <v>0</v>
      </c>
      <c r="U32" s="112">
        <f t="shared" si="17"/>
        <v>0</v>
      </c>
      <c r="V32" s="111">
        <f t="shared" si="4"/>
        <v>0</v>
      </c>
      <c r="W32" s="186"/>
      <c r="X32" s="111">
        <f t="shared" si="20"/>
        <v>0</v>
      </c>
      <c r="Y32" s="110"/>
      <c r="Z32" s="107"/>
      <c r="AA32" s="111">
        <f t="shared" si="5"/>
        <v>0</v>
      </c>
      <c r="AB32" s="235"/>
      <c r="AC32" s="111">
        <f>IF(SUMIFS('Shipments data'!L:L,'Shipments data'!F:F,'Supply planning data'!C32,'Shipments data'!A:A,'Supply planning data'!A32,'Shipments data'!O:O,"received",'Shipments data'!Q:Q,"&lt;"&amp;'Supply planning data'!D47,'Shipments data'!AC:AC,"&lt;"&amp;'Supply planning data'!D47)-SUMIFS(M:M,D:D,"&lt;="&amp;D32,C:C,C32)-SUMIFS(AA:AA,D:D,"&lt;="&amp;D32,C:C,C32)+SUMIFS(N:N,D:D,"&lt;="&amp;D32,C:C,C32)+SUMIFS(P:P,D:D,"&lt;="&amp;D32,C:C,C32)&lt;0,0,SUMIFS('Shipments data'!L:L,'Shipments data'!F:F,'Supply planning data'!C32,'Shipments data'!A:A,'Supply planning data'!A32,'Shipments data'!O:O,"received",'Shipments data'!Q:Q,"&lt;"&amp;'Supply planning data'!D47,'Shipments data'!AC:AC,"&lt;"&amp;'Supply planning data'!D47)-SUMIFS(M:M,D:D,"&lt;="&amp;D32,C:C,C32)-SUMIFS(AA:AA,D:D,"&lt;="&amp;D32,C:C,C32)+SUMIFS(N:N,D:D,"&lt;="&amp;D32,C:C,C32)+SUMIFS(P:P,D:D,"&lt;="&amp;D32,C:C,C32))</f>
        <v>0</v>
      </c>
      <c r="AD32" s="111">
        <f t="shared" si="21"/>
        <v>0</v>
      </c>
      <c r="AE32" s="111">
        <f t="shared" si="10"/>
        <v>0</v>
      </c>
      <c r="AF32" s="204" t="str">
        <f t="shared" si="22"/>
        <v/>
      </c>
      <c r="AG32" s="111">
        <f t="shared" si="18"/>
        <v>0</v>
      </c>
      <c r="AH32" s="110"/>
      <c r="AI32" s="313"/>
      <c r="AJ32" s="111">
        <f t="shared" si="7"/>
        <v>0</v>
      </c>
      <c r="AK32" s="235"/>
      <c r="AL32" s="111">
        <f>IF(SUMIFS('Shipments data'!L:L,'Shipments data'!F:F,'Supply planning data'!C32,'Shipments data'!A:A,'Supply planning data'!A32,'Shipments data'!O:O,"received",'Shipments data'!Q:Q,"&lt;"&amp;'Supply planning data'!D47,'Shipments data'!AC:AC,"&lt;"&amp;'Supply planning data'!D47)-SUMIFS(M:M,D:D,"&lt;="&amp;D32,C:C,C32)-SUMIFS(AJ:AJ,D:D,"&lt;="&amp;D32,C:C,C32)+SUMIFS(N:N,D:D,"&lt;="&amp;D32,C:C,C32)+SUMIFS(P:P,D:D,"&lt;="&amp;D32,C:C,C32)&lt;0,0,SUMIFS('Shipments data'!L:L,'Shipments data'!F:F,'Supply planning data'!C32,'Shipments data'!A:A,'Supply planning data'!A32,'Shipments data'!O:O,"received",'Shipments data'!Q:Q,"&lt;"&amp;'Supply planning data'!D47,'Shipments data'!AC:AC,"&lt;"&amp;'Supply planning data'!D47)-SUMIFS(M:M,D:D,"&lt;="&amp;D32,C:C,C32)-SUMIFS(AJ:AJ,D:D,"&lt;="&amp;D32,C:C,C32)+SUMIFS(N:N,D:D,"&lt;="&amp;D32,C:C,C32)+SUMIFS(P:P,D:D,"&lt;="&amp;D32,C:C,C32))</f>
        <v>0</v>
      </c>
      <c r="AM32" s="111">
        <f t="shared" si="19"/>
        <v>0</v>
      </c>
      <c r="AN32" s="111">
        <f t="shared" si="11"/>
        <v>0</v>
      </c>
      <c r="AO32" s="204" t="str">
        <f t="shared" si="12"/>
        <v/>
      </c>
    </row>
    <row r="33" spans="1:41" hidden="1" x14ac:dyDescent="0.25">
      <c r="A33" s="103" t="str">
        <f>Start!D$7</f>
        <v>Anyland</v>
      </c>
      <c r="B33" s="109" t="str">
        <f>VLOOKUP(A33,list!B:C,2,FALSE)</f>
        <v>ANY</v>
      </c>
      <c r="C33" s="109" t="str">
        <f>IF(Start!$C$30="","",Start!$C$30)</f>
        <v/>
      </c>
      <c r="D33" s="298">
        <f t="shared" si="15"/>
        <v>44228</v>
      </c>
      <c r="E33" s="105" t="str">
        <f>IFERROR(VLOOKUP(C33,Start!C$15:D$31,2,FALSE),"No")</f>
        <v>No</v>
      </c>
      <c r="F33" s="105">
        <f t="shared" si="16"/>
        <v>0</v>
      </c>
      <c r="G33" s="106"/>
      <c r="H33" s="106"/>
      <c r="I33" s="106"/>
      <c r="J33" s="105">
        <f t="shared" si="0"/>
        <v>0</v>
      </c>
      <c r="K33" s="106"/>
      <c r="L33" s="177" t="str">
        <f t="shared" si="1"/>
        <v/>
      </c>
      <c r="M33" s="105">
        <f t="shared" si="2"/>
        <v>0</v>
      </c>
      <c r="N33" s="110"/>
      <c r="O33" s="124"/>
      <c r="P33" s="110"/>
      <c r="Q33" s="124"/>
      <c r="R33" s="111">
        <f>SUMIFS('Shipments data'!L:L,'Shipments data'!F:F,'Supply planning data'!C33,'Shipments data'!A:A,'Supply planning data'!A33,'Shipments data'!Y:Y,'Supply planning data'!D33,'Shipments data'!O:O,"received", 'Shipments data'!N:N, "Public")</f>
        <v>0</v>
      </c>
      <c r="S33" s="111">
        <f>SUMIFS('Shipments data'!L:L,'Shipments data'!F:F,'Supply planning data'!C33,'Shipments data'!A:A,'Supply planning data'!A33,'Shipments data'!Y:Y,'Supply planning data'!D33,'Shipments data'!O:O,"ordered", 'Shipments data'!N:N, "Public")</f>
        <v>0</v>
      </c>
      <c r="T33" s="111">
        <f>IF(SUMIFS('Shipments data'!L:L,'Shipments data'!F:F,'Supply planning data'!C33,'Shipments data'!A:A,'Supply planning data'!A33,'Shipments data'!O:O,"received",'Shipments data'!Q:Q,"&lt;"&amp;'Supply planning data'!D48,'Shipments data'!AC:AC,"&lt;"&amp;'Supply planning data'!D48)-SUMIFS(M:M,D:D,"&lt;="&amp;D33,C:C,C33)+SUMIFS(N:N,D:D,"&lt;="&amp;D33,C:C,C33)+SUMIFS(P:P,D:D,"&lt;="&amp;D33,C:C,C33)&lt;0,0,SUMIFS('Shipments data'!L:L,'Shipments data'!F:F,'Supply planning data'!C33,'Shipments data'!A:A,'Supply planning data'!A33,'Shipments data'!O:O,"received",'Shipments data'!Q:Q,"&lt;"&amp;'Supply planning data'!D48,'Shipments data'!AC:AC,"&lt;"&amp;'Supply planning data'!D48)-SUMIFS(M:M,D:D,"&lt;="&amp;D33,C:C,C33)+SUMIFS(N:N,D:D,"&lt;="&amp;D33,C:C,C33)+SUMIFS(P:P,D:D,"&lt;="&amp;D33,C:C,C33))</f>
        <v>0</v>
      </c>
      <c r="U33" s="112">
        <f t="shared" si="17"/>
        <v>0</v>
      </c>
      <c r="V33" s="111">
        <f t="shared" si="4"/>
        <v>0</v>
      </c>
      <c r="W33" s="186"/>
      <c r="X33" s="111">
        <f t="shared" si="20"/>
        <v>0</v>
      </c>
      <c r="Y33" s="110"/>
      <c r="Z33" s="107"/>
      <c r="AA33" s="111">
        <f t="shared" si="5"/>
        <v>0</v>
      </c>
      <c r="AB33" s="235"/>
      <c r="AC33" s="111">
        <f>IF(SUMIFS('Shipments data'!L:L,'Shipments data'!F:F,'Supply planning data'!C33,'Shipments data'!A:A,'Supply planning data'!A33,'Shipments data'!O:O,"received",'Shipments data'!Q:Q,"&lt;"&amp;'Supply planning data'!D48,'Shipments data'!AC:AC,"&lt;"&amp;'Supply planning data'!D48)-SUMIFS(M:M,D:D,"&lt;="&amp;D33,C:C,C33)-SUMIFS(AA:AA,D:D,"&lt;="&amp;D33,C:C,C33)+SUMIFS(N:N,D:D,"&lt;="&amp;D33,C:C,C33)+SUMIFS(P:P,D:D,"&lt;="&amp;D33,C:C,C33)&lt;0,0,SUMIFS('Shipments data'!L:L,'Shipments data'!F:F,'Supply planning data'!C33,'Shipments data'!A:A,'Supply planning data'!A33,'Shipments data'!O:O,"received",'Shipments data'!Q:Q,"&lt;"&amp;'Supply planning data'!D48,'Shipments data'!AC:AC,"&lt;"&amp;'Supply planning data'!D48)-SUMIFS(M:M,D:D,"&lt;="&amp;D33,C:C,C33)-SUMIFS(AA:AA,D:D,"&lt;="&amp;D33,C:C,C33)+SUMIFS(N:N,D:D,"&lt;="&amp;D33,C:C,C33)+SUMIFS(P:P,D:D,"&lt;="&amp;D33,C:C,C33))</f>
        <v>0</v>
      </c>
      <c r="AD33" s="111">
        <f t="shared" si="21"/>
        <v>0</v>
      </c>
      <c r="AE33" s="111">
        <f t="shared" si="10"/>
        <v>0</v>
      </c>
      <c r="AF33" s="204" t="str">
        <f t="shared" si="22"/>
        <v/>
      </c>
      <c r="AG33" s="111">
        <f t="shared" si="18"/>
        <v>0</v>
      </c>
      <c r="AH33" s="110"/>
      <c r="AI33" s="313"/>
      <c r="AJ33" s="111">
        <f t="shared" si="7"/>
        <v>0</v>
      </c>
      <c r="AK33" s="235"/>
      <c r="AL33" s="111">
        <f>IF(SUMIFS('Shipments data'!L:L,'Shipments data'!F:F,'Supply planning data'!C33,'Shipments data'!A:A,'Supply planning data'!A33,'Shipments data'!O:O,"received",'Shipments data'!Q:Q,"&lt;"&amp;'Supply planning data'!D48,'Shipments data'!AC:AC,"&lt;"&amp;'Supply planning data'!D48)-SUMIFS(M:M,D:D,"&lt;="&amp;D33,C:C,C33)-SUMIFS(AJ:AJ,D:D,"&lt;="&amp;D33,C:C,C33)+SUMIFS(N:N,D:D,"&lt;="&amp;D33,C:C,C33)+SUMIFS(P:P,D:D,"&lt;="&amp;D33,C:C,C33)&lt;0,0,SUMIFS('Shipments data'!L:L,'Shipments data'!F:F,'Supply planning data'!C33,'Shipments data'!A:A,'Supply planning data'!A33,'Shipments data'!O:O,"received",'Shipments data'!Q:Q,"&lt;"&amp;'Supply planning data'!D48,'Shipments data'!AC:AC,"&lt;"&amp;'Supply planning data'!D48)-SUMIFS(M:M,D:D,"&lt;="&amp;D33,C:C,C33)-SUMIFS(AJ:AJ,D:D,"&lt;="&amp;D33,C:C,C33)+SUMIFS(N:N,D:D,"&lt;="&amp;D33,C:C,C33)+SUMIFS(P:P,D:D,"&lt;="&amp;D33,C:C,C33))</f>
        <v>0</v>
      </c>
      <c r="AM33" s="111">
        <f t="shared" si="19"/>
        <v>0</v>
      </c>
      <c r="AN33" s="111">
        <f t="shared" si="11"/>
        <v>0</v>
      </c>
      <c r="AO33" s="204" t="str">
        <f t="shared" si="12"/>
        <v/>
      </c>
    </row>
    <row r="34" spans="1:41" hidden="1" x14ac:dyDescent="0.25">
      <c r="A34" s="113" t="str">
        <f>Start!D$7</f>
        <v>Anyland</v>
      </c>
      <c r="B34" s="114" t="str">
        <f>VLOOKUP(A34,list!B:C,2,FALSE)</f>
        <v>ANY</v>
      </c>
      <c r="C34" s="104" t="str">
        <f>IF(Start!$C$31="","",Start!$C$31)</f>
        <v/>
      </c>
      <c r="D34" s="298">
        <f t="shared" si="15"/>
        <v>44228</v>
      </c>
      <c r="E34" s="105" t="str">
        <f>IFERROR(VLOOKUP(C34,Start!C$15:D$31,2,FALSE),"No")</f>
        <v>No</v>
      </c>
      <c r="F34" s="105">
        <f t="shared" si="16"/>
        <v>0</v>
      </c>
      <c r="G34" s="106"/>
      <c r="H34" s="106"/>
      <c r="I34" s="106"/>
      <c r="J34" s="105">
        <f t="shared" si="0"/>
        <v>0</v>
      </c>
      <c r="K34" s="106"/>
      <c r="L34" s="177" t="str">
        <f t="shared" si="1"/>
        <v/>
      </c>
      <c r="M34" s="105">
        <f t="shared" si="2"/>
        <v>0</v>
      </c>
      <c r="N34" s="110"/>
      <c r="O34" s="124"/>
      <c r="P34" s="110"/>
      <c r="Q34" s="124"/>
      <c r="R34" s="111">
        <f>SUMIFS('Shipments data'!L:L,'Shipments data'!F:F,'Supply planning data'!C34,'Shipments data'!A:A,'Supply planning data'!A34,'Shipments data'!Y:Y,'Supply planning data'!D34,'Shipments data'!O:O,"received", 'Shipments data'!N:N, "Public")</f>
        <v>0</v>
      </c>
      <c r="S34" s="111">
        <f>SUMIFS('Shipments data'!L:L,'Shipments data'!F:F,'Supply planning data'!C34,'Shipments data'!A:A,'Supply planning data'!A34,'Shipments data'!Y:Y,'Supply planning data'!D34,'Shipments data'!O:O,"ordered", 'Shipments data'!N:N, "Public")</f>
        <v>0</v>
      </c>
      <c r="T34" s="111">
        <f>IF(SUMIFS('Shipments data'!L:L,'Shipments data'!F:F,'Supply planning data'!C34,'Shipments data'!A:A,'Supply planning data'!A34,'Shipments data'!O:O,"received",'Shipments data'!Q:Q,"&lt;"&amp;'Supply planning data'!D49,'Shipments data'!AC:AC,"&lt;"&amp;'Supply planning data'!D49)-SUMIFS(M:M,D:D,"&lt;="&amp;D34,C:C,C34)+SUMIFS(N:N,D:D,"&lt;="&amp;D34,C:C,C34)+SUMIFS(P:P,D:D,"&lt;="&amp;D34,C:C,C34)&lt;0,0,SUMIFS('Shipments data'!L:L,'Shipments data'!F:F,'Supply planning data'!C34,'Shipments data'!A:A,'Supply planning data'!A34,'Shipments data'!O:O,"received",'Shipments data'!Q:Q,"&lt;"&amp;'Supply planning data'!D49,'Shipments data'!AC:AC,"&lt;"&amp;'Supply planning data'!D49)-SUMIFS(M:M,D:D,"&lt;="&amp;D34,C:C,C34)+SUMIFS(N:N,D:D,"&lt;="&amp;D34,C:C,C34)+SUMIFS(P:P,D:D,"&lt;="&amp;D34,C:C,C34))</f>
        <v>0</v>
      </c>
      <c r="U34" s="112">
        <f t="shared" si="17"/>
        <v>0</v>
      </c>
      <c r="V34" s="111">
        <f t="shared" si="4"/>
        <v>0</v>
      </c>
      <c r="W34" s="186"/>
      <c r="X34" s="111">
        <f t="shared" si="20"/>
        <v>0</v>
      </c>
      <c r="Y34" s="110"/>
      <c r="Z34" s="107"/>
      <c r="AA34" s="111">
        <f t="shared" si="5"/>
        <v>0</v>
      </c>
      <c r="AB34" s="235"/>
      <c r="AC34" s="111">
        <f>IF(SUMIFS('Shipments data'!L:L,'Shipments data'!F:F,'Supply planning data'!C34,'Shipments data'!A:A,'Supply planning data'!A34,'Shipments data'!O:O,"received",'Shipments data'!Q:Q,"&lt;"&amp;'Supply planning data'!D49,'Shipments data'!AC:AC,"&lt;"&amp;'Supply planning data'!D49)-SUMIFS(M:M,D:D,"&lt;="&amp;D34,C:C,C34)-SUMIFS(AA:AA,D:D,"&lt;="&amp;D34,C:C,C34)+SUMIFS(N:N,D:D,"&lt;="&amp;D34,C:C,C34)+SUMIFS(P:P,D:D,"&lt;="&amp;D34,C:C,C34)&lt;0,0,SUMIFS('Shipments data'!L:L,'Shipments data'!F:F,'Supply planning data'!C34,'Shipments data'!A:A,'Supply planning data'!A34,'Shipments data'!O:O,"received",'Shipments data'!Q:Q,"&lt;"&amp;'Supply planning data'!D49,'Shipments data'!AC:AC,"&lt;"&amp;'Supply planning data'!D49)-SUMIFS(M:M,D:D,"&lt;="&amp;D34,C:C,C34)-SUMIFS(AA:AA,D:D,"&lt;="&amp;D34,C:C,C34)+SUMIFS(N:N,D:D,"&lt;="&amp;D34,C:C,C34)+SUMIFS(P:P,D:D,"&lt;="&amp;D34,C:C,C34))</f>
        <v>0</v>
      </c>
      <c r="AD34" s="111">
        <f t="shared" si="21"/>
        <v>0</v>
      </c>
      <c r="AE34" s="111">
        <f t="shared" si="10"/>
        <v>0</v>
      </c>
      <c r="AF34" s="204" t="str">
        <f>IF(M34+AA34&lt;=0,"",IFERROR(AE34/(SUM(M34,M64,M49,AA34,AA64,AA49)/3),""))</f>
        <v/>
      </c>
      <c r="AG34" s="111">
        <f t="shared" si="18"/>
        <v>0</v>
      </c>
      <c r="AH34" s="110"/>
      <c r="AI34" s="313"/>
      <c r="AJ34" s="111">
        <f t="shared" si="7"/>
        <v>0</v>
      </c>
      <c r="AK34" s="235"/>
      <c r="AL34" s="111">
        <f>IF(SUMIFS('Shipments data'!L:L,'Shipments data'!F:F,'Supply planning data'!C34,'Shipments data'!A:A,'Supply planning data'!A34,'Shipments data'!O:O,"received",'Shipments data'!Q:Q,"&lt;"&amp;'Supply planning data'!D49,'Shipments data'!AC:AC,"&lt;"&amp;'Supply planning data'!D49)-SUMIFS(M:M,D:D,"&lt;="&amp;D34,C:C,C34)-SUMIFS(AJ:AJ,D:D,"&lt;="&amp;D34,C:C,C34)+SUMIFS(N:N,D:D,"&lt;="&amp;D34,C:C,C34)+SUMIFS(P:P,D:D,"&lt;="&amp;D34,C:C,C34)&lt;0,0,SUMIFS('Shipments data'!L:L,'Shipments data'!F:F,'Supply planning data'!C34,'Shipments data'!A:A,'Supply planning data'!A34,'Shipments data'!O:O,"received",'Shipments data'!Q:Q,"&lt;"&amp;'Supply planning data'!D49,'Shipments data'!AC:AC,"&lt;"&amp;'Supply planning data'!D49)-SUMIFS(M:M,D:D,"&lt;="&amp;D34,C:C,C34)-SUMIFS(AJ:AJ,D:D,"&lt;="&amp;D34,C:C,C34)+SUMIFS(N:N,D:D,"&lt;="&amp;D34,C:C,C34)+SUMIFS(P:P,D:D,"&lt;="&amp;D34,C:C,C34))</f>
        <v>0</v>
      </c>
      <c r="AM34" s="111">
        <f t="shared" si="19"/>
        <v>0</v>
      </c>
      <c r="AN34" s="111">
        <f t="shared" si="11"/>
        <v>0</v>
      </c>
      <c r="AO34" s="204" t="str">
        <f t="shared" si="12"/>
        <v/>
      </c>
    </row>
    <row r="35" spans="1:41" x14ac:dyDescent="0.25">
      <c r="A35" s="89" t="str">
        <f>Start!D$7</f>
        <v>Anyland</v>
      </c>
      <c r="B35" s="90" t="str">
        <f>VLOOKUP(A35,list!B:C,2,FALSE)</f>
        <v>ANY</v>
      </c>
      <c r="C35" s="90" t="str">
        <f>IF(Start!$C$17="","",Start!$C$17)</f>
        <v>AstraZeneca</v>
      </c>
      <c r="D35" s="296">
        <f t="shared" si="15"/>
        <v>44256</v>
      </c>
      <c r="E35" s="92" t="str">
        <f>IFERROR(VLOOKUP(C35,Start!C$15:D$31,2,FALSE),"No")</f>
        <v>Yes</v>
      </c>
      <c r="F35" s="92">
        <f t="shared" si="16"/>
        <v>0</v>
      </c>
      <c r="G35" s="91"/>
      <c r="H35" s="91"/>
      <c r="I35" s="91"/>
      <c r="J35" s="92">
        <f t="shared" si="0"/>
        <v>0</v>
      </c>
      <c r="K35" s="91"/>
      <c r="L35" s="174" t="str">
        <f t="shared" si="1"/>
        <v/>
      </c>
      <c r="M35" s="92">
        <f t="shared" si="2"/>
        <v>0</v>
      </c>
      <c r="N35" s="91"/>
      <c r="O35" s="121"/>
      <c r="P35" s="91"/>
      <c r="Q35" s="121"/>
      <c r="R35" s="92">
        <f>SUMIFS('Shipments data'!L:L,'Shipments data'!F:F,'Supply planning data'!C35,'Shipments data'!A:A,'Supply planning data'!A35,'Shipments data'!Y:Y,'Supply planning data'!D35,'Shipments data'!O:O,"received", 'Shipments data'!N:N, "Public")</f>
        <v>35000</v>
      </c>
      <c r="S35" s="92">
        <f>SUMIFS('Shipments data'!L:L,'Shipments data'!F:F,'Supply planning data'!C35,'Shipments data'!A:A,'Supply planning data'!A35,'Shipments data'!Y:Y,'Supply planning data'!D35,'Shipments data'!O:O,"ordered", 'Shipments data'!N:N, "Public")</f>
        <v>0</v>
      </c>
      <c r="T35" s="92">
        <f>IF(SUMIFS('Shipments data'!L:L,'Shipments data'!F:F,'Supply planning data'!C35,'Shipments data'!A:A,'Supply planning data'!A35,'Shipments data'!O:O,"received",'Shipments data'!Q:Q,"&lt;"&amp;'Supply planning data'!D50,'Shipments data'!AC:AC,"&lt;"&amp;'Supply planning data'!D50)-SUMIFS(M:M,D:D,"&lt;="&amp;D35,C:C,C35)+SUMIFS(N:N,D:D,"&lt;="&amp;D35,C:C,C35)+SUMIFS(P:P,D:D,"&lt;="&amp;D35,C:C,C35)&lt;0,0,SUMIFS('Shipments data'!L:L,'Shipments data'!F:F,'Supply planning data'!C35,'Shipments data'!A:A,'Supply planning data'!A35,'Shipments data'!O:O,"received",'Shipments data'!Q:Q,"&lt;"&amp;'Supply planning data'!D50,'Shipments data'!AC:AC,"&lt;"&amp;'Supply planning data'!D50)-SUMIFS(M:M,D:D,"&lt;="&amp;D35,C:C,C35)+SUMIFS(N:N,D:D,"&lt;="&amp;D35,C:C,C35)+SUMIFS(P:P,D:D,"&lt;="&amp;D35,C:C,C35))</f>
        <v>0</v>
      </c>
      <c r="U35" s="94">
        <f t="shared" si="17"/>
        <v>0</v>
      </c>
      <c r="V35" s="92">
        <f t="shared" si="4"/>
        <v>35000</v>
      </c>
      <c r="W35" s="205" t="str">
        <f>IF(M35&lt;=0,"",IFERROR(V35/(SUM(M35,M20,M5)/3),""))</f>
        <v/>
      </c>
      <c r="X35" s="92">
        <f t="shared" si="20"/>
        <v>0</v>
      </c>
      <c r="Y35" s="91"/>
      <c r="Z35" s="93"/>
      <c r="AA35" s="92">
        <f t="shared" si="5"/>
        <v>0</v>
      </c>
      <c r="AB35" s="232"/>
      <c r="AC35" s="92">
        <f>IF(SUMIFS('Shipments data'!L:L,'Shipments data'!F:F,'Supply planning data'!C35,'Shipments data'!A:A,'Supply planning data'!A35,'Shipments data'!O:O,"received",'Shipments data'!Q:Q,"&lt;"&amp;'Supply planning data'!D50,'Shipments data'!AC:AC,"&lt;"&amp;'Supply planning data'!D50)-SUMIFS(M:M,D:D,"&lt;="&amp;D35,C:C,C35)-SUMIFS(AA:AA,D:D,"&lt;="&amp;D35,C:C,C35)+SUMIFS(N:N,D:D,"&lt;="&amp;D35,C:C,C35)+SUMIFS(P:P,D:D,"&lt;="&amp;D35,C:C,C35)&lt;0,0,SUMIFS('Shipments data'!L:L,'Shipments data'!F:F,'Supply planning data'!C35,'Shipments data'!A:A,'Supply planning data'!A35,'Shipments data'!O:O,"received",'Shipments data'!Q:Q,"&lt;"&amp;'Supply planning data'!D50,'Shipments data'!AC:AC,"&lt;"&amp;'Supply planning data'!D50)-SUMIFS(M:M,D:D,"&lt;="&amp;D35,C:C,C35)-SUMIFS(AA:AA,D:D,"&lt;="&amp;D35,C:C,C35)+SUMIFS(N:N,D:D,"&lt;="&amp;D35,C:C,C35)+SUMIFS(P:P,D:D,"&lt;="&amp;D35,C:C,C35))</f>
        <v>0</v>
      </c>
      <c r="AD35" s="92">
        <f t="shared" si="21"/>
        <v>0</v>
      </c>
      <c r="AE35" s="92">
        <f t="shared" si="10"/>
        <v>35000</v>
      </c>
      <c r="AF35" s="205" t="str">
        <f>IF(M35+AA35&lt;=0,"",IFERROR(AE35/(SUM(M35,M65,M50,AA35,AA65,AA50)/3),""))</f>
        <v/>
      </c>
      <c r="AG35" s="92">
        <f t="shared" si="18"/>
        <v>0</v>
      </c>
      <c r="AH35" s="91"/>
      <c r="AI35" s="310"/>
      <c r="AJ35" s="92">
        <f t="shared" si="7"/>
        <v>0</v>
      </c>
      <c r="AK35" s="232"/>
      <c r="AL35" s="92">
        <f>IF(SUMIFS('Shipments data'!L:L,'Shipments data'!F:F,'Supply planning data'!C35,'Shipments data'!A:A,'Supply planning data'!A35,'Shipments data'!O:O,"received",'Shipments data'!Q:Q,"&lt;"&amp;'Supply planning data'!D50,'Shipments data'!AC:AC,"&lt;"&amp;'Supply planning data'!D50)-SUMIFS(M:M,D:D,"&lt;="&amp;D35,C:C,C35)-SUMIFS(AJ:AJ,D:D,"&lt;="&amp;D35,C:C,C35)+SUMIFS(N:N,D:D,"&lt;="&amp;D35,C:C,C35)+SUMIFS(P:P,D:D,"&lt;="&amp;D35,C:C,C35)&lt;0,0,SUMIFS('Shipments data'!L:L,'Shipments data'!F:F,'Supply planning data'!C35,'Shipments data'!A:A,'Supply planning data'!A35,'Shipments data'!O:O,"received",'Shipments data'!Q:Q,"&lt;"&amp;'Supply planning data'!D50,'Shipments data'!AC:AC,"&lt;"&amp;'Supply planning data'!D50)-SUMIFS(M:M,D:D,"&lt;="&amp;D35,C:C,C35)-SUMIFS(AJ:AJ,D:D,"&lt;="&amp;D35,C:C,C35)+SUMIFS(N:N,D:D,"&lt;="&amp;D35,C:C,C35)+SUMIFS(P:P,D:D,"&lt;="&amp;D35,C:C,C35))</f>
        <v>0</v>
      </c>
      <c r="AM35" s="92">
        <f t="shared" si="19"/>
        <v>0</v>
      </c>
      <c r="AN35" s="92">
        <f t="shared" si="11"/>
        <v>35000</v>
      </c>
      <c r="AO35" s="205" t="str">
        <f>IF(M35+AJ35&lt;=0,"",IFERROR(AN35/(SUM(M35,M65,M50,AJ35,AJ65,AJ50)/3),""))</f>
        <v/>
      </c>
    </row>
    <row r="36" spans="1:41" x14ac:dyDescent="0.25">
      <c r="A36" s="95" t="str">
        <f>Start!D$7</f>
        <v>Anyland</v>
      </c>
      <c r="B36" s="96" t="str">
        <f>VLOOKUP(A36,list!B:C,2,FALSE)</f>
        <v>ANY</v>
      </c>
      <c r="C36" s="90" t="str">
        <f>IF(Start!$C$18="","",Start!$C$18)</f>
        <v>Jansen</v>
      </c>
      <c r="D36" s="296">
        <f t="shared" si="15"/>
        <v>44256</v>
      </c>
      <c r="E36" s="92" t="str">
        <f>IFERROR(VLOOKUP(C36,Start!C$15:D$31,2,FALSE),"No")</f>
        <v>Yes</v>
      </c>
      <c r="F36" s="92">
        <f t="shared" si="16"/>
        <v>0</v>
      </c>
      <c r="G36" s="91"/>
      <c r="H36" s="97"/>
      <c r="I36" s="97"/>
      <c r="J36" s="98">
        <f t="shared" si="0"/>
        <v>0</v>
      </c>
      <c r="K36" s="97"/>
      <c r="L36" s="175" t="str">
        <f t="shared" si="1"/>
        <v/>
      </c>
      <c r="M36" s="98">
        <f t="shared" si="2"/>
        <v>0</v>
      </c>
      <c r="N36" s="97"/>
      <c r="O36" s="122"/>
      <c r="P36" s="97"/>
      <c r="Q36" s="122"/>
      <c r="R36" s="98">
        <f>SUMIFS('Shipments data'!L:L,'Shipments data'!F:F,'Supply planning data'!C36,'Shipments data'!A:A,'Supply planning data'!A36,'Shipments data'!Y:Y,'Supply planning data'!D36,'Shipments data'!O:O,"received", 'Shipments data'!N:N, "Public")</f>
        <v>0</v>
      </c>
      <c r="S36" s="98">
        <f>SUMIFS('Shipments data'!L:L,'Shipments data'!F:F,'Supply planning data'!C36,'Shipments data'!A:A,'Supply planning data'!A36,'Shipments data'!Y:Y,'Supply planning data'!D36,'Shipments data'!O:O,"ordered", 'Shipments data'!N:N, "Public")</f>
        <v>0</v>
      </c>
      <c r="T36" s="98">
        <f>IF(SUMIFS('Shipments data'!L:L,'Shipments data'!F:F,'Supply planning data'!C36,'Shipments data'!A:A,'Supply planning data'!A36,'Shipments data'!O:O,"received",'Shipments data'!Q:Q,"&lt;"&amp;'Supply planning data'!D51,'Shipments data'!AC:AC,"&lt;"&amp;'Supply planning data'!D51)-SUMIFS(M:M,D:D,"&lt;="&amp;D36,C:C,C36)+SUMIFS(N:N,D:D,"&lt;="&amp;D36,C:C,C36)+SUMIFS(P:P,D:D,"&lt;="&amp;D36,C:C,C36)&lt;0,0,SUMIFS('Shipments data'!L:L,'Shipments data'!F:F,'Supply planning data'!C36,'Shipments data'!A:A,'Supply planning data'!A36,'Shipments data'!O:O,"received",'Shipments data'!Q:Q,"&lt;"&amp;'Supply planning data'!D51,'Shipments data'!AC:AC,"&lt;"&amp;'Supply planning data'!D51)-SUMIFS(M:M,D:D,"&lt;="&amp;D36,C:C,C36)+SUMIFS(N:N,D:D,"&lt;="&amp;D36,C:C,C36)+SUMIFS(P:P,D:D,"&lt;="&amp;D36,C:C,C36))</f>
        <v>0</v>
      </c>
      <c r="U36" s="99">
        <f t="shared" si="17"/>
        <v>0</v>
      </c>
      <c r="V36" s="98">
        <f t="shared" si="4"/>
        <v>0</v>
      </c>
      <c r="W36" s="203" t="str">
        <f t="shared" ref="W36:W99" si="23">IF(M36&lt;=0,"",IFERROR(V36/(SUM(M36,M21,M6)/3),""))</f>
        <v/>
      </c>
      <c r="X36" s="98">
        <f t="shared" si="20"/>
        <v>0</v>
      </c>
      <c r="Y36" s="97"/>
      <c r="Z36" s="93"/>
      <c r="AA36" s="98">
        <f t="shared" si="5"/>
        <v>0</v>
      </c>
      <c r="AB36" s="233"/>
      <c r="AC36" s="98">
        <f>IF(SUMIFS('Shipments data'!L:L,'Shipments data'!F:F,'Supply planning data'!C36,'Shipments data'!A:A,'Supply planning data'!A36,'Shipments data'!O:O,"received",'Shipments data'!Q:Q,"&lt;"&amp;'Supply planning data'!D51,'Shipments data'!AC:AC,"&lt;"&amp;'Supply planning data'!D51)-SUMIFS(M:M,D:D,"&lt;="&amp;D36,C:C,C36)-SUMIFS(AA:AA,D:D,"&lt;="&amp;D36,C:C,C36)+SUMIFS(N:N,D:D,"&lt;="&amp;D36,C:C,C36)+SUMIFS(P:P,D:D,"&lt;="&amp;D36,C:C,C36)&lt;0,0,SUMIFS('Shipments data'!L:L,'Shipments data'!F:F,'Supply planning data'!C36,'Shipments data'!A:A,'Supply planning data'!A36,'Shipments data'!O:O,"received",'Shipments data'!Q:Q,"&lt;"&amp;'Supply planning data'!D51,'Shipments data'!AC:AC,"&lt;"&amp;'Supply planning data'!D51)-SUMIFS(M:M,D:D,"&lt;="&amp;D36,C:C,C36)-SUMIFS(AA:AA,D:D,"&lt;="&amp;D36,C:C,C36)+SUMIFS(N:N,D:D,"&lt;="&amp;D36,C:C,C36)+SUMIFS(P:P,D:D,"&lt;="&amp;D36,C:C,C36))</f>
        <v>0</v>
      </c>
      <c r="AD36" s="98">
        <f t="shared" si="21"/>
        <v>0</v>
      </c>
      <c r="AE36" s="98">
        <f t="shared" si="10"/>
        <v>0</v>
      </c>
      <c r="AF36" s="205" t="str">
        <f>IF(M36+AA36&lt;=0,"",IFERROR(AE36/(SUM(M36,M66,M51,AA36,AA66,AA51)/3),""))</f>
        <v/>
      </c>
      <c r="AG36" s="98">
        <f t="shared" si="18"/>
        <v>0</v>
      </c>
      <c r="AH36" s="97"/>
      <c r="AI36" s="311"/>
      <c r="AJ36" s="98">
        <f t="shared" si="7"/>
        <v>0</v>
      </c>
      <c r="AK36" s="233"/>
      <c r="AL36" s="98">
        <f>IF(SUMIFS('Shipments data'!L:L,'Shipments data'!F:F,'Supply planning data'!C36,'Shipments data'!A:A,'Supply planning data'!A36,'Shipments data'!O:O,"received",'Shipments data'!Q:Q,"&lt;"&amp;'Supply planning data'!D51,'Shipments data'!AC:AC,"&lt;"&amp;'Supply planning data'!D51)-SUMIFS(M:M,D:D,"&lt;="&amp;D36,C:C,C36)-SUMIFS(AJ:AJ,D:D,"&lt;="&amp;D36,C:C,C36)+SUMIFS(N:N,D:D,"&lt;="&amp;D36,C:C,C36)+SUMIFS(P:P,D:D,"&lt;="&amp;D36,C:C,C36)&lt;0,0,SUMIFS('Shipments data'!L:L,'Shipments data'!F:F,'Supply planning data'!C36,'Shipments data'!A:A,'Supply planning data'!A36,'Shipments data'!O:O,"received",'Shipments data'!Q:Q,"&lt;"&amp;'Supply planning data'!D51,'Shipments data'!AC:AC,"&lt;"&amp;'Supply planning data'!D51)-SUMIFS(M:M,D:D,"&lt;="&amp;D36,C:C,C36)-SUMIFS(AJ:AJ,D:D,"&lt;="&amp;D36,C:C,C36)+SUMIFS(N:N,D:D,"&lt;="&amp;D36,C:C,C36)+SUMIFS(P:P,D:D,"&lt;="&amp;D36,C:C,C36))</f>
        <v>0</v>
      </c>
      <c r="AM36" s="98">
        <f t="shared" si="19"/>
        <v>0</v>
      </c>
      <c r="AN36" s="98">
        <f t="shared" si="11"/>
        <v>0</v>
      </c>
      <c r="AO36" s="203" t="str">
        <f t="shared" ref="AO36:AO99" si="24">IF(M36+AJ36&lt;=0,"",IFERROR(AN36/(SUM(M36,M66,M51,AJ36,AJ66,AJ51)/3),""))</f>
        <v/>
      </c>
    </row>
    <row r="37" spans="1:41" x14ac:dyDescent="0.25">
      <c r="A37" s="95" t="str">
        <f>Start!D$7</f>
        <v>Anyland</v>
      </c>
      <c r="B37" s="96" t="str">
        <f>VLOOKUP(A37,list!B:C,2,FALSE)</f>
        <v>ANY</v>
      </c>
      <c r="C37" s="90" t="str">
        <f>IF(Start!$C$19="","",Start!$C$19)</f>
        <v>Moderna</v>
      </c>
      <c r="D37" s="296">
        <f t="shared" si="15"/>
        <v>44256</v>
      </c>
      <c r="E37" s="92" t="str">
        <f>IFERROR(VLOOKUP(C37,Start!C$15:D$31,2,FALSE),"No")</f>
        <v>No</v>
      </c>
      <c r="F37" s="92">
        <f t="shared" si="16"/>
        <v>0</v>
      </c>
      <c r="G37" s="91"/>
      <c r="H37" s="97"/>
      <c r="I37" s="97"/>
      <c r="J37" s="98">
        <f t="shared" si="0"/>
        <v>0</v>
      </c>
      <c r="K37" s="97"/>
      <c r="L37" s="175" t="str">
        <f t="shared" si="1"/>
        <v/>
      </c>
      <c r="M37" s="98">
        <f t="shared" si="2"/>
        <v>0</v>
      </c>
      <c r="N37" s="97"/>
      <c r="O37" s="122"/>
      <c r="P37" s="97"/>
      <c r="Q37" s="122"/>
      <c r="R37" s="98">
        <f>SUMIFS('Shipments data'!L:L,'Shipments data'!F:F,'Supply planning data'!C37,'Shipments data'!A:A,'Supply planning data'!A37,'Shipments data'!Y:Y,'Supply planning data'!D37,'Shipments data'!O:O,"received", 'Shipments data'!N:N, "Public")</f>
        <v>0</v>
      </c>
      <c r="S37" s="98">
        <f>SUMIFS('Shipments data'!L:L,'Shipments data'!F:F,'Supply planning data'!C37,'Shipments data'!A:A,'Supply planning data'!A37,'Shipments data'!Y:Y,'Supply planning data'!D37,'Shipments data'!O:O,"ordered", 'Shipments data'!N:N, "Public")</f>
        <v>0</v>
      </c>
      <c r="T37" s="98">
        <f>IF(SUMIFS('Shipments data'!L:L,'Shipments data'!F:F,'Supply planning data'!C37,'Shipments data'!A:A,'Supply planning data'!A37,'Shipments data'!O:O,"received",'Shipments data'!Q:Q,"&lt;"&amp;'Supply planning data'!D52,'Shipments data'!AC:AC,"&lt;"&amp;'Supply planning data'!D52)-SUMIFS(M:M,D:D,"&lt;="&amp;D37,C:C,C37)+SUMIFS(N:N,D:D,"&lt;="&amp;D37,C:C,C37)+SUMIFS(P:P,D:D,"&lt;="&amp;D37,C:C,C37)&lt;0,0,SUMIFS('Shipments data'!L:L,'Shipments data'!F:F,'Supply planning data'!C37,'Shipments data'!A:A,'Supply planning data'!A37,'Shipments data'!O:O,"received",'Shipments data'!Q:Q,"&lt;"&amp;'Supply planning data'!D52,'Shipments data'!AC:AC,"&lt;"&amp;'Supply planning data'!D52)-SUMIFS(M:M,D:D,"&lt;="&amp;D37,C:C,C37)+SUMIFS(N:N,D:D,"&lt;="&amp;D37,C:C,C37)+SUMIFS(P:P,D:D,"&lt;="&amp;D37,C:C,C37))</f>
        <v>0</v>
      </c>
      <c r="U37" s="99">
        <f t="shared" si="17"/>
        <v>0</v>
      </c>
      <c r="V37" s="98">
        <f t="shared" ref="V37:V68" si="25">IF(F37-M37+N37+P37+R37-U37&lt;0,0,F37-M37+N37+P37+R37-U37)</f>
        <v>0</v>
      </c>
      <c r="W37" s="203" t="str">
        <f t="shared" si="23"/>
        <v/>
      </c>
      <c r="X37" s="98">
        <f t="shared" si="20"/>
        <v>0</v>
      </c>
      <c r="Y37" s="97"/>
      <c r="Z37" s="93"/>
      <c r="AA37" s="98">
        <f t="shared" si="5"/>
        <v>0</v>
      </c>
      <c r="AB37" s="233"/>
      <c r="AC37" s="98">
        <f>IF(SUMIFS('Shipments data'!L:L,'Shipments data'!F:F,'Supply planning data'!C37,'Shipments data'!A:A,'Supply planning data'!A37,'Shipments data'!O:O,"received",'Shipments data'!Q:Q,"&lt;"&amp;'Supply planning data'!D52,'Shipments data'!AC:AC,"&lt;"&amp;'Supply planning data'!D52)-SUMIFS(M:M,D:D,"&lt;="&amp;D37,C:C,C37)-SUMIFS(AA:AA,D:D,"&lt;="&amp;D37,C:C,C37)+SUMIFS(N:N,D:D,"&lt;="&amp;D37,C:C,C37)+SUMIFS(P:P,D:D,"&lt;="&amp;D37,C:C,C37)&lt;0,0,SUMIFS('Shipments data'!L:L,'Shipments data'!F:F,'Supply planning data'!C37,'Shipments data'!A:A,'Supply planning data'!A37,'Shipments data'!O:O,"received",'Shipments data'!Q:Q,"&lt;"&amp;'Supply planning data'!D52,'Shipments data'!AC:AC,"&lt;"&amp;'Supply planning data'!D52)-SUMIFS(M:M,D:D,"&lt;="&amp;D37,C:C,C37)-SUMIFS(AA:AA,D:D,"&lt;="&amp;D37,C:C,C37)+SUMIFS(N:N,D:D,"&lt;="&amp;D37,C:C,C37)+SUMIFS(P:P,D:D,"&lt;="&amp;D37,C:C,C37))</f>
        <v>0</v>
      </c>
      <c r="AD37" s="98">
        <f t="shared" si="21"/>
        <v>0</v>
      </c>
      <c r="AE37" s="98">
        <f t="shared" si="10"/>
        <v>0</v>
      </c>
      <c r="AF37" s="205" t="str">
        <f t="shared" ref="AF37:AF48" si="26">IF(M37+AA37&lt;=0,"",IFERROR(AE37/(SUM(M37,M67,M52,AA37,AA67,AA52)/3),""))</f>
        <v/>
      </c>
      <c r="AG37" s="98">
        <f t="shared" si="18"/>
        <v>0</v>
      </c>
      <c r="AH37" s="97"/>
      <c r="AI37" s="311"/>
      <c r="AJ37" s="98">
        <f t="shared" si="7"/>
        <v>0</v>
      </c>
      <c r="AK37" s="233"/>
      <c r="AL37" s="98">
        <f>IF(SUMIFS('Shipments data'!L:L,'Shipments data'!F:F,'Supply planning data'!C37,'Shipments data'!A:A,'Supply planning data'!A37,'Shipments data'!O:O,"received",'Shipments data'!Q:Q,"&lt;"&amp;'Supply planning data'!D52,'Shipments data'!AC:AC,"&lt;"&amp;'Supply planning data'!D52)-SUMIFS(M:M,D:D,"&lt;="&amp;D37,C:C,C37)-SUMIFS(AJ:AJ,D:D,"&lt;="&amp;D37,C:C,C37)+SUMIFS(N:N,D:D,"&lt;="&amp;D37,C:C,C37)+SUMIFS(P:P,D:D,"&lt;="&amp;D37,C:C,C37)&lt;0,0,SUMIFS('Shipments data'!L:L,'Shipments data'!F:F,'Supply planning data'!C37,'Shipments data'!A:A,'Supply planning data'!A37,'Shipments data'!O:O,"received",'Shipments data'!Q:Q,"&lt;"&amp;'Supply planning data'!D52,'Shipments data'!AC:AC,"&lt;"&amp;'Supply planning data'!D52)-SUMIFS(M:M,D:D,"&lt;="&amp;D37,C:C,C37)-SUMIFS(AJ:AJ,D:D,"&lt;="&amp;D37,C:C,C37)+SUMIFS(N:N,D:D,"&lt;="&amp;D37,C:C,C37)+SUMIFS(P:P,D:D,"&lt;="&amp;D37,C:C,C37))</f>
        <v>0</v>
      </c>
      <c r="AM37" s="98">
        <f t="shared" si="19"/>
        <v>0</v>
      </c>
      <c r="AN37" s="98">
        <f t="shared" si="11"/>
        <v>0</v>
      </c>
      <c r="AO37" s="203" t="str">
        <f t="shared" si="24"/>
        <v/>
      </c>
    </row>
    <row r="38" spans="1:41" ht="15.75" customHeight="1" x14ac:dyDescent="0.25">
      <c r="A38" s="95" t="str">
        <f>Start!D$7</f>
        <v>Anyland</v>
      </c>
      <c r="B38" s="96" t="str">
        <f>VLOOKUP(A38,list!B:C,2,FALSE)</f>
        <v>ANY</v>
      </c>
      <c r="C38" s="90" t="str">
        <f>IF(Start!$C$20="","",Start!$C$20)</f>
        <v>Pfizer</v>
      </c>
      <c r="D38" s="296">
        <f t="shared" si="15"/>
        <v>44256</v>
      </c>
      <c r="E38" s="92" t="str">
        <f>IFERROR(VLOOKUP(C38,Start!C$15:D$31,2,FALSE),"No")</f>
        <v>Yes</v>
      </c>
      <c r="F38" s="92">
        <f t="shared" si="16"/>
        <v>0</v>
      </c>
      <c r="G38" s="91"/>
      <c r="H38" s="97"/>
      <c r="I38" s="97"/>
      <c r="J38" s="98">
        <f t="shared" si="0"/>
        <v>0</v>
      </c>
      <c r="K38" s="97"/>
      <c r="L38" s="175" t="str">
        <f t="shared" si="1"/>
        <v/>
      </c>
      <c r="M38" s="98">
        <f t="shared" si="2"/>
        <v>0</v>
      </c>
      <c r="N38" s="97"/>
      <c r="O38" s="122"/>
      <c r="P38" s="97"/>
      <c r="Q38" s="122"/>
      <c r="R38" s="98">
        <f>SUMIFS('Shipments data'!L:L,'Shipments data'!F:F,'Supply planning data'!C38,'Shipments data'!A:A,'Supply planning data'!A38,'Shipments data'!Y:Y,'Supply planning data'!D38,'Shipments data'!O:O,"received", 'Shipments data'!N:N, "Public")</f>
        <v>0</v>
      </c>
      <c r="S38" s="98">
        <f>SUMIFS('Shipments data'!L:L,'Shipments data'!F:F,'Supply planning data'!C38,'Shipments data'!A:A,'Supply planning data'!A38,'Shipments data'!Y:Y,'Supply planning data'!D38,'Shipments data'!O:O,"ordered", 'Shipments data'!N:N, "Public")</f>
        <v>0</v>
      </c>
      <c r="T38" s="98">
        <f>IF(SUMIFS('Shipments data'!L:L,'Shipments data'!F:F,'Supply planning data'!C38,'Shipments data'!A:A,'Supply planning data'!A38,'Shipments data'!O:O,"received",'Shipments data'!Q:Q,"&lt;"&amp;'Supply planning data'!D53,'Shipments data'!AC:AC,"&lt;"&amp;'Supply planning data'!D53)-SUMIFS(M:M,D:D,"&lt;="&amp;D38,C:C,C38)+SUMIFS(N:N,D:D,"&lt;="&amp;D38,C:C,C38)+SUMIFS(P:P,D:D,"&lt;="&amp;D38,C:C,C38)&lt;0,0,SUMIFS('Shipments data'!L:L,'Shipments data'!F:F,'Supply planning data'!C38,'Shipments data'!A:A,'Supply planning data'!A38,'Shipments data'!O:O,"received",'Shipments data'!Q:Q,"&lt;"&amp;'Supply planning data'!D53,'Shipments data'!AC:AC,"&lt;"&amp;'Supply planning data'!D53)-SUMIFS(M:M,D:D,"&lt;="&amp;D38,C:C,C38)+SUMIFS(N:N,D:D,"&lt;="&amp;D38,C:C,C38)+SUMIFS(P:P,D:D,"&lt;="&amp;D38,C:C,C38))</f>
        <v>0</v>
      </c>
      <c r="U38" s="99">
        <f t="shared" si="17"/>
        <v>0</v>
      </c>
      <c r="V38" s="98">
        <f t="shared" si="25"/>
        <v>0</v>
      </c>
      <c r="W38" s="203" t="str">
        <f t="shared" si="23"/>
        <v/>
      </c>
      <c r="X38" s="98">
        <f t="shared" si="20"/>
        <v>0</v>
      </c>
      <c r="Y38" s="97"/>
      <c r="Z38" s="93"/>
      <c r="AA38" s="98">
        <f t="shared" si="5"/>
        <v>0</v>
      </c>
      <c r="AB38" s="233"/>
      <c r="AC38" s="98">
        <f>IF(SUMIFS('Shipments data'!L:L,'Shipments data'!F:F,'Supply planning data'!C38,'Shipments data'!A:A,'Supply planning data'!A38,'Shipments data'!O:O,"received",'Shipments data'!Q:Q,"&lt;"&amp;'Supply planning data'!D53,'Shipments data'!AC:AC,"&lt;"&amp;'Supply planning data'!D53)-SUMIFS(M:M,D:D,"&lt;="&amp;D38,C:C,C38)-SUMIFS(AA:AA,D:D,"&lt;="&amp;D38,C:C,C38)+SUMIFS(N:N,D:D,"&lt;="&amp;D38,C:C,C38)+SUMIFS(P:P,D:D,"&lt;="&amp;D38,C:C,C38)&lt;0,0,SUMIFS('Shipments data'!L:L,'Shipments data'!F:F,'Supply planning data'!C38,'Shipments data'!A:A,'Supply planning data'!A38,'Shipments data'!O:O,"received",'Shipments data'!Q:Q,"&lt;"&amp;'Supply planning data'!D53,'Shipments data'!AC:AC,"&lt;"&amp;'Supply planning data'!D53)-SUMIFS(M:M,D:D,"&lt;="&amp;D38,C:C,C38)-SUMIFS(AA:AA,D:D,"&lt;="&amp;D38,C:C,C38)+SUMIFS(N:N,D:D,"&lt;="&amp;D38,C:C,C38)+SUMIFS(P:P,D:D,"&lt;="&amp;D38,C:C,C38))</f>
        <v>0</v>
      </c>
      <c r="AD38" s="98">
        <f t="shared" si="21"/>
        <v>0</v>
      </c>
      <c r="AE38" s="98">
        <f t="shared" si="10"/>
        <v>0</v>
      </c>
      <c r="AF38" s="205" t="str">
        <f t="shared" si="26"/>
        <v/>
      </c>
      <c r="AG38" s="98">
        <f t="shared" si="18"/>
        <v>0</v>
      </c>
      <c r="AH38" s="97"/>
      <c r="AI38" s="311"/>
      <c r="AJ38" s="98">
        <f t="shared" si="7"/>
        <v>0</v>
      </c>
      <c r="AK38" s="233"/>
      <c r="AL38" s="98">
        <f>IF(SUMIFS('Shipments data'!L:L,'Shipments data'!F:F,'Supply planning data'!C38,'Shipments data'!A:A,'Supply planning data'!A38,'Shipments data'!O:O,"received",'Shipments data'!Q:Q,"&lt;"&amp;'Supply planning data'!D53,'Shipments data'!AC:AC,"&lt;"&amp;'Supply planning data'!D53)-SUMIFS(M:M,D:D,"&lt;="&amp;D38,C:C,C38)-SUMIFS(AJ:AJ,D:D,"&lt;="&amp;D38,C:C,C38)+SUMIFS(N:N,D:D,"&lt;="&amp;D38,C:C,C38)+SUMIFS(P:P,D:D,"&lt;="&amp;D38,C:C,C38)&lt;0,0,SUMIFS('Shipments data'!L:L,'Shipments data'!F:F,'Supply planning data'!C38,'Shipments data'!A:A,'Supply planning data'!A38,'Shipments data'!O:O,"received",'Shipments data'!Q:Q,"&lt;"&amp;'Supply planning data'!D53,'Shipments data'!AC:AC,"&lt;"&amp;'Supply planning data'!D53)-SUMIFS(M:M,D:D,"&lt;="&amp;D38,C:C,C38)-SUMIFS(AJ:AJ,D:D,"&lt;="&amp;D38,C:C,C38)+SUMIFS(N:N,D:D,"&lt;="&amp;D38,C:C,C38)+SUMIFS(P:P,D:D,"&lt;="&amp;D38,C:C,C38))</f>
        <v>0</v>
      </c>
      <c r="AM38" s="98">
        <f t="shared" si="19"/>
        <v>0</v>
      </c>
      <c r="AN38" s="98">
        <f t="shared" si="11"/>
        <v>0</v>
      </c>
      <c r="AO38" s="203" t="str">
        <f t="shared" si="24"/>
        <v/>
      </c>
    </row>
    <row r="39" spans="1:41" ht="15.75" customHeight="1" x14ac:dyDescent="0.25">
      <c r="A39" s="95" t="str">
        <f>Start!D$7</f>
        <v>Anyland</v>
      </c>
      <c r="B39" s="96" t="str">
        <f>VLOOKUP(A39,list!B:C,2,FALSE)</f>
        <v>ANY</v>
      </c>
      <c r="C39" s="90" t="str">
        <f>IF(Start!$C$21="","",Start!$C$21)</f>
        <v>Sinovac</v>
      </c>
      <c r="D39" s="296">
        <f t="shared" si="15"/>
        <v>44256</v>
      </c>
      <c r="E39" s="92" t="str">
        <f>IFERROR(VLOOKUP(C39,Start!C$15:D$31,2,FALSE),"No")</f>
        <v>No</v>
      </c>
      <c r="F39" s="92">
        <f t="shared" si="16"/>
        <v>0</v>
      </c>
      <c r="G39" s="91"/>
      <c r="H39" s="97"/>
      <c r="I39" s="97"/>
      <c r="J39" s="98">
        <f t="shared" si="0"/>
        <v>0</v>
      </c>
      <c r="K39" s="97"/>
      <c r="L39" s="175" t="str">
        <f t="shared" si="1"/>
        <v/>
      </c>
      <c r="M39" s="98">
        <f t="shared" si="2"/>
        <v>0</v>
      </c>
      <c r="N39" s="97"/>
      <c r="O39" s="122"/>
      <c r="P39" s="97"/>
      <c r="Q39" s="122"/>
      <c r="R39" s="98">
        <f>SUMIFS('Shipments data'!L:L,'Shipments data'!F:F,'Supply planning data'!C39,'Shipments data'!A:A,'Supply planning data'!A39,'Shipments data'!Y:Y,'Supply planning data'!D39,'Shipments data'!O:O,"received", 'Shipments data'!N:N, "Public")</f>
        <v>0</v>
      </c>
      <c r="S39" s="98">
        <f>SUMIFS('Shipments data'!L:L,'Shipments data'!F:F,'Supply planning data'!C39,'Shipments data'!A:A,'Supply planning data'!A39,'Shipments data'!Y:Y,'Supply planning data'!D39,'Shipments data'!O:O,"ordered", 'Shipments data'!N:N, "Public")</f>
        <v>0</v>
      </c>
      <c r="T39" s="98">
        <f>IF(SUMIFS('Shipments data'!L:L,'Shipments data'!F:F,'Supply planning data'!C39,'Shipments data'!A:A,'Supply planning data'!A39,'Shipments data'!O:O,"received",'Shipments data'!Q:Q,"&lt;"&amp;'Supply planning data'!D54,'Shipments data'!AC:AC,"&lt;"&amp;'Supply planning data'!D54)-SUMIFS(M:M,D:D,"&lt;="&amp;D39,C:C,C39)+SUMIFS(N:N,D:D,"&lt;="&amp;D39,C:C,C39)+SUMIFS(P:P,D:D,"&lt;="&amp;D39,C:C,C39)&lt;0,0,SUMIFS('Shipments data'!L:L,'Shipments data'!F:F,'Supply planning data'!C39,'Shipments data'!A:A,'Supply planning data'!A39,'Shipments data'!O:O,"received",'Shipments data'!Q:Q,"&lt;"&amp;'Supply planning data'!D54,'Shipments data'!AC:AC,"&lt;"&amp;'Supply planning data'!D54)-SUMIFS(M:M,D:D,"&lt;="&amp;D39,C:C,C39)+SUMIFS(N:N,D:D,"&lt;="&amp;D39,C:C,C39)+SUMIFS(P:P,D:D,"&lt;="&amp;D39,C:C,C39))</f>
        <v>0</v>
      </c>
      <c r="U39" s="99">
        <f t="shared" si="17"/>
        <v>0</v>
      </c>
      <c r="V39" s="98">
        <f t="shared" si="25"/>
        <v>0</v>
      </c>
      <c r="W39" s="203" t="str">
        <f t="shared" si="23"/>
        <v/>
      </c>
      <c r="X39" s="98">
        <f t="shared" si="20"/>
        <v>0</v>
      </c>
      <c r="Y39" s="97"/>
      <c r="Z39" s="93"/>
      <c r="AA39" s="98">
        <f t="shared" si="5"/>
        <v>0</v>
      </c>
      <c r="AB39" s="233"/>
      <c r="AC39" s="98">
        <f>IF(SUMIFS('Shipments data'!L:L,'Shipments data'!F:F,'Supply planning data'!C39,'Shipments data'!A:A,'Supply planning data'!A39,'Shipments data'!O:O,"received",'Shipments data'!Q:Q,"&lt;"&amp;'Supply planning data'!D54,'Shipments data'!AC:AC,"&lt;"&amp;'Supply planning data'!D54)-SUMIFS(M:M,D:D,"&lt;="&amp;D39,C:C,C39)-SUMIFS(AA:AA,D:D,"&lt;="&amp;D39,C:C,C39)+SUMIFS(N:N,D:D,"&lt;="&amp;D39,C:C,C39)+SUMIFS(P:P,D:D,"&lt;="&amp;D39,C:C,C39)&lt;0,0,SUMIFS('Shipments data'!L:L,'Shipments data'!F:F,'Supply planning data'!C39,'Shipments data'!A:A,'Supply planning data'!A39,'Shipments data'!O:O,"received",'Shipments data'!Q:Q,"&lt;"&amp;'Supply planning data'!D54,'Shipments data'!AC:AC,"&lt;"&amp;'Supply planning data'!D54)-SUMIFS(M:M,D:D,"&lt;="&amp;D39,C:C,C39)-SUMIFS(AA:AA,D:D,"&lt;="&amp;D39,C:C,C39)+SUMIFS(N:N,D:D,"&lt;="&amp;D39,C:C,C39)+SUMIFS(P:P,D:D,"&lt;="&amp;D39,C:C,C39))</f>
        <v>0</v>
      </c>
      <c r="AD39" s="98">
        <f t="shared" si="21"/>
        <v>0</v>
      </c>
      <c r="AE39" s="98">
        <f t="shared" si="10"/>
        <v>0</v>
      </c>
      <c r="AF39" s="205" t="str">
        <f t="shared" si="26"/>
        <v/>
      </c>
      <c r="AG39" s="98">
        <f t="shared" si="18"/>
        <v>0</v>
      </c>
      <c r="AH39" s="97"/>
      <c r="AI39" s="311"/>
      <c r="AJ39" s="98">
        <f t="shared" si="7"/>
        <v>0</v>
      </c>
      <c r="AK39" s="233"/>
      <c r="AL39" s="98">
        <f>IF(SUMIFS('Shipments data'!L:L,'Shipments data'!F:F,'Supply planning data'!C39,'Shipments data'!A:A,'Supply planning data'!A39,'Shipments data'!O:O,"received",'Shipments data'!Q:Q,"&lt;"&amp;'Supply planning data'!D54,'Shipments data'!AC:AC,"&lt;"&amp;'Supply planning data'!D54)-SUMIFS(M:M,D:D,"&lt;="&amp;D39,C:C,C39)-SUMIFS(AJ:AJ,D:D,"&lt;="&amp;D39,C:C,C39)+SUMIFS(N:N,D:D,"&lt;="&amp;D39,C:C,C39)+SUMIFS(P:P,D:D,"&lt;="&amp;D39,C:C,C39)&lt;0,0,SUMIFS('Shipments data'!L:L,'Shipments data'!F:F,'Supply planning data'!C39,'Shipments data'!A:A,'Supply planning data'!A39,'Shipments data'!O:O,"received",'Shipments data'!Q:Q,"&lt;"&amp;'Supply planning data'!D54,'Shipments data'!AC:AC,"&lt;"&amp;'Supply planning data'!D54)-SUMIFS(M:M,D:D,"&lt;="&amp;D39,C:C,C39)-SUMIFS(AJ:AJ,D:D,"&lt;="&amp;D39,C:C,C39)+SUMIFS(N:N,D:D,"&lt;="&amp;D39,C:C,C39)+SUMIFS(P:P,D:D,"&lt;="&amp;D39,C:C,C39))</f>
        <v>0</v>
      </c>
      <c r="AM39" s="98">
        <f t="shared" si="19"/>
        <v>0</v>
      </c>
      <c r="AN39" s="98">
        <f t="shared" si="11"/>
        <v>0</v>
      </c>
      <c r="AO39" s="203" t="str">
        <f t="shared" si="24"/>
        <v/>
      </c>
    </row>
    <row r="40" spans="1:41" ht="15.75" hidden="1" customHeight="1" x14ac:dyDescent="0.25">
      <c r="A40" s="95" t="str">
        <f>Start!D$7</f>
        <v>Anyland</v>
      </c>
      <c r="B40" s="96" t="str">
        <f>VLOOKUP(A40,list!B:C,2,FALSE)</f>
        <v>ANY</v>
      </c>
      <c r="C40" s="90" t="str">
        <f>IF(Start!$C$22="","",Start!$C$22)</f>
        <v/>
      </c>
      <c r="D40" s="296">
        <f t="shared" si="15"/>
        <v>44256</v>
      </c>
      <c r="E40" s="92" t="str">
        <f>IFERROR(VLOOKUP(C40,Start!C$15:D$31,2,FALSE),"No")</f>
        <v>No</v>
      </c>
      <c r="F40" s="92">
        <f t="shared" si="16"/>
        <v>0</v>
      </c>
      <c r="G40" s="91"/>
      <c r="H40" s="97"/>
      <c r="I40" s="97"/>
      <c r="J40" s="98">
        <f t="shared" si="0"/>
        <v>0</v>
      </c>
      <c r="K40" s="97"/>
      <c r="L40" s="175" t="str">
        <f t="shared" si="1"/>
        <v/>
      </c>
      <c r="M40" s="98">
        <f t="shared" si="2"/>
        <v>0</v>
      </c>
      <c r="N40" s="97"/>
      <c r="O40" s="122"/>
      <c r="P40" s="97"/>
      <c r="Q40" s="122"/>
      <c r="R40" s="98">
        <f>SUMIFS('Shipments data'!L:L,'Shipments data'!F:F,'Supply planning data'!C40,'Shipments data'!A:A,'Supply planning data'!A40,'Shipments data'!Y:Y,'Supply planning data'!D40,'Shipments data'!O:O,"received", 'Shipments data'!N:N, "Public")</f>
        <v>0</v>
      </c>
      <c r="S40" s="98">
        <f>SUMIFS('Shipments data'!L:L,'Shipments data'!F:F,'Supply planning data'!C40,'Shipments data'!A:A,'Supply planning data'!A40,'Shipments data'!Y:Y,'Supply planning data'!D40,'Shipments data'!O:O,"ordered", 'Shipments data'!N:N, "Public")</f>
        <v>0</v>
      </c>
      <c r="T40" s="98">
        <f>IF(SUMIFS('Shipments data'!L:L,'Shipments data'!F:F,'Supply planning data'!C40,'Shipments data'!A:A,'Supply planning data'!A40,'Shipments data'!O:O,"received",'Shipments data'!Q:Q,"&lt;"&amp;'Supply planning data'!D55,'Shipments data'!AC:AC,"&lt;"&amp;'Supply planning data'!D55)-SUMIFS(M:M,D:D,"&lt;="&amp;D40,C:C,C40)+SUMIFS(N:N,D:D,"&lt;="&amp;D40,C:C,C40)+SUMIFS(P:P,D:D,"&lt;="&amp;D40,C:C,C40)&lt;0,0,SUMIFS('Shipments data'!L:L,'Shipments data'!F:F,'Supply planning data'!C40,'Shipments data'!A:A,'Supply planning data'!A40,'Shipments data'!O:O,"received",'Shipments data'!Q:Q,"&lt;"&amp;'Supply planning data'!D55,'Shipments data'!AC:AC,"&lt;"&amp;'Supply planning data'!D55)-SUMIFS(M:M,D:D,"&lt;="&amp;D40,C:C,C40)+SUMIFS(N:N,D:D,"&lt;="&amp;D40,C:C,C40)+SUMIFS(P:P,D:D,"&lt;="&amp;D40,C:C,C40))</f>
        <v>0</v>
      </c>
      <c r="U40" s="99">
        <f t="shared" si="17"/>
        <v>0</v>
      </c>
      <c r="V40" s="98">
        <f t="shared" si="25"/>
        <v>0</v>
      </c>
      <c r="W40" s="203" t="str">
        <f t="shared" si="23"/>
        <v/>
      </c>
      <c r="X40" s="98">
        <f t="shared" si="20"/>
        <v>0</v>
      </c>
      <c r="Y40" s="97"/>
      <c r="Z40" s="93"/>
      <c r="AA40" s="98">
        <f t="shared" si="5"/>
        <v>0</v>
      </c>
      <c r="AB40" s="233"/>
      <c r="AC40" s="98">
        <f>IF(SUMIFS('Shipments data'!L:L,'Shipments data'!F:F,'Supply planning data'!C40,'Shipments data'!A:A,'Supply planning data'!A40,'Shipments data'!O:O,"received",'Shipments data'!Q:Q,"&lt;"&amp;'Supply planning data'!D55,'Shipments data'!AC:AC,"&lt;"&amp;'Supply planning data'!D55)-SUMIFS(M:M,D:D,"&lt;="&amp;D40,C:C,C40)-SUMIFS(AA:AA,D:D,"&lt;="&amp;D40,C:C,C40)+SUMIFS(N:N,D:D,"&lt;="&amp;D40,C:C,C40)+SUMIFS(P:P,D:D,"&lt;="&amp;D40,C:C,C40)&lt;0,0,SUMIFS('Shipments data'!L:L,'Shipments data'!F:F,'Supply planning data'!C40,'Shipments data'!A:A,'Supply planning data'!A40,'Shipments data'!O:O,"received",'Shipments data'!Q:Q,"&lt;"&amp;'Supply planning data'!D55,'Shipments data'!AC:AC,"&lt;"&amp;'Supply planning data'!D55)-SUMIFS(M:M,D:D,"&lt;="&amp;D40,C:C,C40)-SUMIFS(AA:AA,D:D,"&lt;="&amp;D40,C:C,C40)+SUMIFS(N:N,D:D,"&lt;="&amp;D40,C:C,C40)+SUMIFS(P:P,D:D,"&lt;="&amp;D40,C:C,C40))</f>
        <v>0</v>
      </c>
      <c r="AD40" s="98">
        <f t="shared" si="21"/>
        <v>0</v>
      </c>
      <c r="AE40" s="98">
        <f t="shared" si="10"/>
        <v>0</v>
      </c>
      <c r="AF40" s="205" t="str">
        <f t="shared" si="26"/>
        <v/>
      </c>
      <c r="AG40" s="98">
        <f t="shared" si="18"/>
        <v>0</v>
      </c>
      <c r="AH40" s="97"/>
      <c r="AI40" s="311"/>
      <c r="AJ40" s="98">
        <f t="shared" si="7"/>
        <v>0</v>
      </c>
      <c r="AK40" s="233"/>
      <c r="AL40" s="98">
        <f>IF(SUMIFS('Shipments data'!L:L,'Shipments data'!F:F,'Supply planning data'!C40,'Shipments data'!A:A,'Supply planning data'!A40,'Shipments data'!O:O,"received",'Shipments data'!Q:Q,"&lt;"&amp;'Supply planning data'!D55,'Shipments data'!AC:AC,"&lt;"&amp;'Supply planning data'!D55)-SUMIFS(M:M,D:D,"&lt;="&amp;D40,C:C,C40)-SUMIFS(AJ:AJ,D:D,"&lt;="&amp;D40,C:C,C40)+SUMIFS(N:N,D:D,"&lt;="&amp;D40,C:C,C40)+SUMIFS(P:P,D:D,"&lt;="&amp;D40,C:C,C40)&lt;0,0,SUMIFS('Shipments data'!L:L,'Shipments data'!F:F,'Supply planning data'!C40,'Shipments data'!A:A,'Supply planning data'!A40,'Shipments data'!O:O,"received",'Shipments data'!Q:Q,"&lt;"&amp;'Supply planning data'!D55,'Shipments data'!AC:AC,"&lt;"&amp;'Supply planning data'!D55)-SUMIFS(M:M,D:D,"&lt;="&amp;D40,C:C,C40)-SUMIFS(AJ:AJ,D:D,"&lt;="&amp;D40,C:C,C40)+SUMIFS(N:N,D:D,"&lt;="&amp;D40,C:C,C40)+SUMIFS(P:P,D:D,"&lt;="&amp;D40,C:C,C40))</f>
        <v>0</v>
      </c>
      <c r="AM40" s="98">
        <f t="shared" si="19"/>
        <v>0</v>
      </c>
      <c r="AN40" s="98">
        <f t="shared" si="11"/>
        <v>0</v>
      </c>
      <c r="AO40" s="203" t="str">
        <f t="shared" si="24"/>
        <v/>
      </c>
    </row>
    <row r="41" spans="1:41" ht="15.75" hidden="1" customHeight="1" x14ac:dyDescent="0.25">
      <c r="A41" s="95" t="str">
        <f>Start!D$7</f>
        <v>Anyland</v>
      </c>
      <c r="B41" s="96" t="str">
        <f>VLOOKUP(A41,list!B:C,2,FALSE)</f>
        <v>ANY</v>
      </c>
      <c r="C41" s="90" t="str">
        <f>IF(Start!$C$23="","",Start!$C$23)</f>
        <v/>
      </c>
      <c r="D41" s="296">
        <f t="shared" si="15"/>
        <v>44256</v>
      </c>
      <c r="E41" s="92" t="str">
        <f>IFERROR(VLOOKUP(C41,Start!C$15:D$31,2,FALSE),"No")</f>
        <v>No</v>
      </c>
      <c r="F41" s="92">
        <f t="shared" si="16"/>
        <v>0</v>
      </c>
      <c r="G41" s="91"/>
      <c r="H41" s="97"/>
      <c r="I41" s="97"/>
      <c r="J41" s="98">
        <f t="shared" si="0"/>
        <v>0</v>
      </c>
      <c r="K41" s="97"/>
      <c r="L41" s="175" t="str">
        <f t="shared" si="1"/>
        <v/>
      </c>
      <c r="M41" s="98">
        <f t="shared" si="2"/>
        <v>0</v>
      </c>
      <c r="N41" s="97"/>
      <c r="O41" s="122"/>
      <c r="P41" s="97"/>
      <c r="Q41" s="122"/>
      <c r="R41" s="98">
        <f>SUMIFS('Shipments data'!L:L,'Shipments data'!F:F,'Supply planning data'!C41,'Shipments data'!A:A,'Supply planning data'!A41,'Shipments data'!Y:Y,'Supply planning data'!D41,'Shipments data'!O:O,"received", 'Shipments data'!N:N, "Public")</f>
        <v>0</v>
      </c>
      <c r="S41" s="98">
        <f>SUMIFS('Shipments data'!L:L,'Shipments data'!F:F,'Supply planning data'!C41,'Shipments data'!A:A,'Supply planning data'!A41,'Shipments data'!Y:Y,'Supply planning data'!D41,'Shipments data'!O:O,"ordered", 'Shipments data'!N:N, "Public")</f>
        <v>0</v>
      </c>
      <c r="T41" s="98">
        <f>IF(SUMIFS('Shipments data'!L:L,'Shipments data'!F:F,'Supply planning data'!C41,'Shipments data'!A:A,'Supply planning data'!A41,'Shipments data'!O:O,"received",'Shipments data'!Q:Q,"&lt;"&amp;'Supply planning data'!D56,'Shipments data'!AC:AC,"&lt;"&amp;'Supply planning data'!D56)-SUMIFS(M:M,D:D,"&lt;="&amp;D41,C:C,C41)+SUMIFS(N:N,D:D,"&lt;="&amp;D41,C:C,C41)+SUMIFS(P:P,D:D,"&lt;="&amp;D41,C:C,C41)&lt;0,0,SUMIFS('Shipments data'!L:L,'Shipments data'!F:F,'Supply planning data'!C41,'Shipments data'!A:A,'Supply planning data'!A41,'Shipments data'!O:O,"received",'Shipments data'!Q:Q,"&lt;"&amp;'Supply planning data'!D56,'Shipments data'!AC:AC,"&lt;"&amp;'Supply planning data'!D56)-SUMIFS(M:M,D:D,"&lt;="&amp;D41,C:C,C41)+SUMIFS(N:N,D:D,"&lt;="&amp;D41,C:C,C41)+SUMIFS(P:P,D:D,"&lt;="&amp;D41,C:C,C41))</f>
        <v>0</v>
      </c>
      <c r="U41" s="99">
        <f t="shared" si="17"/>
        <v>0</v>
      </c>
      <c r="V41" s="98">
        <f t="shared" si="25"/>
        <v>0</v>
      </c>
      <c r="W41" s="203" t="str">
        <f t="shared" si="23"/>
        <v/>
      </c>
      <c r="X41" s="98">
        <f t="shared" si="20"/>
        <v>0</v>
      </c>
      <c r="Y41" s="97"/>
      <c r="Z41" s="93"/>
      <c r="AA41" s="98">
        <f t="shared" si="5"/>
        <v>0</v>
      </c>
      <c r="AB41" s="233"/>
      <c r="AC41" s="98">
        <f>IF(SUMIFS('Shipments data'!L:L,'Shipments data'!F:F,'Supply planning data'!C41,'Shipments data'!A:A,'Supply planning data'!A41,'Shipments data'!O:O,"received",'Shipments data'!Q:Q,"&lt;"&amp;'Supply planning data'!D56,'Shipments data'!AC:AC,"&lt;"&amp;'Supply planning data'!D56)-SUMIFS(M:M,D:D,"&lt;="&amp;D41,C:C,C41)-SUMIFS(AA:AA,D:D,"&lt;="&amp;D41,C:C,C41)+SUMIFS(N:N,D:D,"&lt;="&amp;D41,C:C,C41)+SUMIFS(P:P,D:D,"&lt;="&amp;D41,C:C,C41)&lt;0,0,SUMIFS('Shipments data'!L:L,'Shipments data'!F:F,'Supply planning data'!C41,'Shipments data'!A:A,'Supply planning data'!A41,'Shipments data'!O:O,"received",'Shipments data'!Q:Q,"&lt;"&amp;'Supply planning data'!D56,'Shipments data'!AC:AC,"&lt;"&amp;'Supply planning data'!D56)-SUMIFS(M:M,D:D,"&lt;="&amp;D41,C:C,C41)-SUMIFS(AA:AA,D:D,"&lt;="&amp;D41,C:C,C41)+SUMIFS(N:N,D:D,"&lt;="&amp;D41,C:C,C41)+SUMIFS(P:P,D:D,"&lt;="&amp;D41,C:C,C41))</f>
        <v>0</v>
      </c>
      <c r="AD41" s="98">
        <f t="shared" si="21"/>
        <v>0</v>
      </c>
      <c r="AE41" s="98">
        <f t="shared" si="10"/>
        <v>0</v>
      </c>
      <c r="AF41" s="205" t="str">
        <f t="shared" si="26"/>
        <v/>
      </c>
      <c r="AG41" s="98">
        <f t="shared" si="18"/>
        <v>0</v>
      </c>
      <c r="AH41" s="97"/>
      <c r="AI41" s="311"/>
      <c r="AJ41" s="98">
        <f t="shared" si="7"/>
        <v>0</v>
      </c>
      <c r="AK41" s="233"/>
      <c r="AL41" s="98">
        <f>IF(SUMIFS('Shipments data'!L:L,'Shipments data'!F:F,'Supply planning data'!C41,'Shipments data'!A:A,'Supply planning data'!A41,'Shipments data'!O:O,"received",'Shipments data'!Q:Q,"&lt;"&amp;'Supply planning data'!D56,'Shipments data'!AC:AC,"&lt;"&amp;'Supply planning data'!D56)-SUMIFS(M:M,D:D,"&lt;="&amp;D41,C:C,C41)-SUMIFS(AJ:AJ,D:D,"&lt;="&amp;D41,C:C,C41)+SUMIFS(N:N,D:D,"&lt;="&amp;D41,C:C,C41)+SUMIFS(P:P,D:D,"&lt;="&amp;D41,C:C,C41)&lt;0,0,SUMIFS('Shipments data'!L:L,'Shipments data'!F:F,'Supply planning data'!C41,'Shipments data'!A:A,'Supply planning data'!A41,'Shipments data'!O:O,"received",'Shipments data'!Q:Q,"&lt;"&amp;'Supply planning data'!D56,'Shipments data'!AC:AC,"&lt;"&amp;'Supply planning data'!D56)-SUMIFS(M:M,D:D,"&lt;="&amp;D41,C:C,C41)-SUMIFS(AJ:AJ,D:D,"&lt;="&amp;D41,C:C,C41)+SUMIFS(N:N,D:D,"&lt;="&amp;D41,C:C,C41)+SUMIFS(P:P,D:D,"&lt;="&amp;D41,C:C,C41))</f>
        <v>0</v>
      </c>
      <c r="AM41" s="98">
        <f t="shared" si="19"/>
        <v>0</v>
      </c>
      <c r="AN41" s="98">
        <f t="shared" si="11"/>
        <v>0</v>
      </c>
      <c r="AO41" s="203" t="str">
        <f t="shared" si="24"/>
        <v/>
      </c>
    </row>
    <row r="42" spans="1:41" ht="15.75" hidden="1" customHeight="1" x14ac:dyDescent="0.25">
      <c r="A42" s="95" t="str">
        <f>Start!D$7</f>
        <v>Anyland</v>
      </c>
      <c r="B42" s="96" t="str">
        <f>VLOOKUP(A42,list!B:C,2,FALSE)</f>
        <v>ANY</v>
      </c>
      <c r="C42" s="90" t="str">
        <f>IF(Start!$C$24="","",Start!$C$24)</f>
        <v/>
      </c>
      <c r="D42" s="296">
        <f t="shared" si="15"/>
        <v>44256</v>
      </c>
      <c r="E42" s="92" t="str">
        <f>IFERROR(VLOOKUP(C42,Start!C$15:D$31,2,FALSE),"No")</f>
        <v>No</v>
      </c>
      <c r="F42" s="92">
        <f t="shared" si="16"/>
        <v>0</v>
      </c>
      <c r="G42" s="91"/>
      <c r="H42" s="97"/>
      <c r="I42" s="97"/>
      <c r="J42" s="98">
        <f t="shared" si="0"/>
        <v>0</v>
      </c>
      <c r="K42" s="97"/>
      <c r="L42" s="175" t="str">
        <f t="shared" si="1"/>
        <v/>
      </c>
      <c r="M42" s="98">
        <f t="shared" si="2"/>
        <v>0</v>
      </c>
      <c r="N42" s="97"/>
      <c r="O42" s="122"/>
      <c r="P42" s="97"/>
      <c r="Q42" s="122"/>
      <c r="R42" s="98">
        <f>SUMIFS('Shipments data'!L:L,'Shipments data'!F:F,'Supply planning data'!C42,'Shipments data'!A:A,'Supply planning data'!A42,'Shipments data'!Y:Y,'Supply planning data'!D42,'Shipments data'!O:O,"received", 'Shipments data'!N:N, "Public")</f>
        <v>0</v>
      </c>
      <c r="S42" s="98">
        <f>SUMIFS('Shipments data'!L:L,'Shipments data'!F:F,'Supply planning data'!C42,'Shipments data'!A:A,'Supply planning data'!A42,'Shipments data'!Y:Y,'Supply planning data'!D42,'Shipments data'!O:O,"ordered", 'Shipments data'!N:N, "Public")</f>
        <v>0</v>
      </c>
      <c r="T42" s="98">
        <f>IF(SUMIFS('Shipments data'!L:L,'Shipments data'!F:F,'Supply planning data'!C42,'Shipments data'!A:A,'Supply planning data'!A42,'Shipments data'!O:O,"received",'Shipments data'!Q:Q,"&lt;"&amp;'Supply planning data'!D57,'Shipments data'!AC:AC,"&lt;"&amp;'Supply planning data'!D57)-SUMIFS(M:M,D:D,"&lt;="&amp;D42,C:C,C42)+SUMIFS(N:N,D:D,"&lt;="&amp;D42,C:C,C42)+SUMIFS(P:P,D:D,"&lt;="&amp;D42,C:C,C42)&lt;0,0,SUMIFS('Shipments data'!L:L,'Shipments data'!F:F,'Supply planning data'!C42,'Shipments data'!A:A,'Supply planning data'!A42,'Shipments data'!O:O,"received",'Shipments data'!Q:Q,"&lt;"&amp;'Supply planning data'!D57,'Shipments data'!AC:AC,"&lt;"&amp;'Supply planning data'!D57)-SUMIFS(M:M,D:D,"&lt;="&amp;D42,C:C,C42)+SUMIFS(N:N,D:D,"&lt;="&amp;D42,C:C,C42)+SUMIFS(P:P,D:D,"&lt;="&amp;D42,C:C,C42))</f>
        <v>0</v>
      </c>
      <c r="U42" s="99">
        <f t="shared" si="17"/>
        <v>0</v>
      </c>
      <c r="V42" s="98">
        <f t="shared" si="25"/>
        <v>0</v>
      </c>
      <c r="W42" s="203" t="str">
        <f t="shared" si="23"/>
        <v/>
      </c>
      <c r="X42" s="98">
        <f t="shared" si="20"/>
        <v>0</v>
      </c>
      <c r="Y42" s="97"/>
      <c r="Z42" s="93"/>
      <c r="AA42" s="98">
        <f t="shared" si="5"/>
        <v>0</v>
      </c>
      <c r="AB42" s="233"/>
      <c r="AC42" s="98">
        <f>IF(SUMIFS('Shipments data'!L:L,'Shipments data'!F:F,'Supply planning data'!C42,'Shipments data'!A:A,'Supply planning data'!A42,'Shipments data'!O:O,"received",'Shipments data'!Q:Q,"&lt;"&amp;'Supply planning data'!D57,'Shipments data'!AC:AC,"&lt;"&amp;'Supply planning data'!D57)-SUMIFS(M:M,D:D,"&lt;="&amp;D42,C:C,C42)-SUMIFS(AA:AA,D:D,"&lt;="&amp;D42,C:C,C42)+SUMIFS(N:N,D:D,"&lt;="&amp;D42,C:C,C42)+SUMIFS(P:P,D:D,"&lt;="&amp;D42,C:C,C42)&lt;0,0,SUMIFS('Shipments data'!L:L,'Shipments data'!F:F,'Supply planning data'!C42,'Shipments data'!A:A,'Supply planning data'!A42,'Shipments data'!O:O,"received",'Shipments data'!Q:Q,"&lt;"&amp;'Supply planning data'!D57,'Shipments data'!AC:AC,"&lt;"&amp;'Supply planning data'!D57)-SUMIFS(M:M,D:D,"&lt;="&amp;D42,C:C,C42)-SUMIFS(AA:AA,D:D,"&lt;="&amp;D42,C:C,C42)+SUMIFS(N:N,D:D,"&lt;="&amp;D42,C:C,C42)+SUMIFS(P:P,D:D,"&lt;="&amp;D42,C:C,C42))</f>
        <v>0</v>
      </c>
      <c r="AD42" s="98">
        <f t="shared" si="21"/>
        <v>0</v>
      </c>
      <c r="AE42" s="98">
        <f t="shared" si="10"/>
        <v>0</v>
      </c>
      <c r="AF42" s="205" t="str">
        <f t="shared" si="26"/>
        <v/>
      </c>
      <c r="AG42" s="98">
        <f t="shared" si="18"/>
        <v>0</v>
      </c>
      <c r="AH42" s="97"/>
      <c r="AI42" s="311"/>
      <c r="AJ42" s="98">
        <f t="shared" si="7"/>
        <v>0</v>
      </c>
      <c r="AK42" s="233"/>
      <c r="AL42" s="98">
        <f>IF(SUMIFS('Shipments data'!L:L,'Shipments data'!F:F,'Supply planning data'!C42,'Shipments data'!A:A,'Supply planning data'!A42,'Shipments data'!O:O,"received",'Shipments data'!Q:Q,"&lt;"&amp;'Supply planning data'!D57,'Shipments data'!AC:AC,"&lt;"&amp;'Supply planning data'!D57)-SUMIFS(M:M,D:D,"&lt;="&amp;D42,C:C,C42)-SUMIFS(AJ:AJ,D:D,"&lt;="&amp;D42,C:C,C42)+SUMIFS(N:N,D:D,"&lt;="&amp;D42,C:C,C42)+SUMIFS(P:P,D:D,"&lt;="&amp;D42,C:C,C42)&lt;0,0,SUMIFS('Shipments data'!L:L,'Shipments data'!F:F,'Supply planning data'!C42,'Shipments data'!A:A,'Supply planning data'!A42,'Shipments data'!O:O,"received",'Shipments data'!Q:Q,"&lt;"&amp;'Supply planning data'!D57,'Shipments data'!AC:AC,"&lt;"&amp;'Supply planning data'!D57)-SUMIFS(M:M,D:D,"&lt;="&amp;D42,C:C,C42)-SUMIFS(AJ:AJ,D:D,"&lt;="&amp;D42,C:C,C42)+SUMIFS(N:N,D:D,"&lt;="&amp;D42,C:C,C42)+SUMIFS(P:P,D:D,"&lt;="&amp;D42,C:C,C42))</f>
        <v>0</v>
      </c>
      <c r="AM42" s="98">
        <f t="shared" si="19"/>
        <v>0</v>
      </c>
      <c r="AN42" s="98">
        <f t="shared" si="11"/>
        <v>0</v>
      </c>
      <c r="AO42" s="203" t="str">
        <f t="shared" si="24"/>
        <v/>
      </c>
    </row>
    <row r="43" spans="1:41" ht="15.75" hidden="1" customHeight="1" x14ac:dyDescent="0.25">
      <c r="A43" s="95" t="str">
        <f>Start!D$7</f>
        <v>Anyland</v>
      </c>
      <c r="B43" s="96" t="str">
        <f>VLOOKUP(A43,list!B:C,2,FALSE)</f>
        <v>ANY</v>
      </c>
      <c r="C43" s="90" t="str">
        <f>IF(Start!$C$25="","",Start!$C$25)</f>
        <v/>
      </c>
      <c r="D43" s="296">
        <f t="shared" si="15"/>
        <v>44256</v>
      </c>
      <c r="E43" s="92" t="str">
        <f>IFERROR(VLOOKUP(C43,Start!C$15:D$31,2,FALSE),"No")</f>
        <v>No</v>
      </c>
      <c r="F43" s="92">
        <f t="shared" si="16"/>
        <v>0</v>
      </c>
      <c r="G43" s="91"/>
      <c r="H43" s="97"/>
      <c r="I43" s="97"/>
      <c r="J43" s="98">
        <f t="shared" si="0"/>
        <v>0</v>
      </c>
      <c r="K43" s="97"/>
      <c r="L43" s="175" t="str">
        <f t="shared" si="1"/>
        <v/>
      </c>
      <c r="M43" s="98">
        <f t="shared" si="2"/>
        <v>0</v>
      </c>
      <c r="N43" s="97"/>
      <c r="O43" s="122"/>
      <c r="P43" s="97"/>
      <c r="Q43" s="122"/>
      <c r="R43" s="98">
        <f>SUMIFS('Shipments data'!L:L,'Shipments data'!F:F,'Supply planning data'!C43,'Shipments data'!A:A,'Supply planning data'!A43,'Shipments data'!Y:Y,'Supply planning data'!D43,'Shipments data'!O:O,"received", 'Shipments data'!N:N, "Public")</f>
        <v>0</v>
      </c>
      <c r="S43" s="98">
        <f>SUMIFS('Shipments data'!L:L,'Shipments data'!F:F,'Supply planning data'!C43,'Shipments data'!A:A,'Supply planning data'!A43,'Shipments data'!Y:Y,'Supply planning data'!D43,'Shipments data'!O:O,"ordered", 'Shipments data'!N:N, "Public")</f>
        <v>0</v>
      </c>
      <c r="T43" s="98">
        <f>IF(SUMIFS('Shipments data'!L:L,'Shipments data'!F:F,'Supply planning data'!C43,'Shipments data'!A:A,'Supply planning data'!A43,'Shipments data'!O:O,"received",'Shipments data'!Q:Q,"&lt;"&amp;'Supply planning data'!D58,'Shipments data'!AC:AC,"&lt;"&amp;'Supply planning data'!D58)-SUMIFS(M:M,D:D,"&lt;="&amp;D43,C:C,C43)+SUMIFS(N:N,D:D,"&lt;="&amp;D43,C:C,C43)+SUMIFS(P:P,D:D,"&lt;="&amp;D43,C:C,C43)&lt;0,0,SUMIFS('Shipments data'!L:L,'Shipments data'!F:F,'Supply planning data'!C43,'Shipments data'!A:A,'Supply planning data'!A43,'Shipments data'!O:O,"received",'Shipments data'!Q:Q,"&lt;"&amp;'Supply planning data'!D58,'Shipments data'!AC:AC,"&lt;"&amp;'Supply planning data'!D58)-SUMIFS(M:M,D:D,"&lt;="&amp;D43,C:C,C43)+SUMIFS(N:N,D:D,"&lt;="&amp;D43,C:C,C43)+SUMIFS(P:P,D:D,"&lt;="&amp;D43,C:C,C43))</f>
        <v>0</v>
      </c>
      <c r="U43" s="99">
        <f t="shared" si="17"/>
        <v>0</v>
      </c>
      <c r="V43" s="98">
        <f t="shared" si="25"/>
        <v>0</v>
      </c>
      <c r="W43" s="203" t="str">
        <f t="shared" si="23"/>
        <v/>
      </c>
      <c r="X43" s="98">
        <f t="shared" si="20"/>
        <v>0</v>
      </c>
      <c r="Y43" s="97"/>
      <c r="Z43" s="93"/>
      <c r="AA43" s="98">
        <f t="shared" si="5"/>
        <v>0</v>
      </c>
      <c r="AB43" s="233"/>
      <c r="AC43" s="98">
        <f>IF(SUMIFS('Shipments data'!L:L,'Shipments data'!F:F,'Supply planning data'!C43,'Shipments data'!A:A,'Supply planning data'!A43,'Shipments data'!O:O,"received",'Shipments data'!Q:Q,"&lt;"&amp;'Supply planning data'!D58,'Shipments data'!AC:AC,"&lt;"&amp;'Supply planning data'!D58)-SUMIFS(M:M,D:D,"&lt;="&amp;D43,C:C,C43)-SUMIFS(AA:AA,D:D,"&lt;="&amp;D43,C:C,C43)+SUMIFS(N:N,D:D,"&lt;="&amp;D43,C:C,C43)+SUMIFS(P:P,D:D,"&lt;="&amp;D43,C:C,C43)&lt;0,0,SUMIFS('Shipments data'!L:L,'Shipments data'!F:F,'Supply planning data'!C43,'Shipments data'!A:A,'Supply planning data'!A43,'Shipments data'!O:O,"received",'Shipments data'!Q:Q,"&lt;"&amp;'Supply planning data'!D58,'Shipments data'!AC:AC,"&lt;"&amp;'Supply planning data'!D58)-SUMIFS(M:M,D:D,"&lt;="&amp;D43,C:C,C43)-SUMIFS(AA:AA,D:D,"&lt;="&amp;D43,C:C,C43)+SUMIFS(N:N,D:D,"&lt;="&amp;D43,C:C,C43)+SUMIFS(P:P,D:D,"&lt;="&amp;D43,C:C,C43))</f>
        <v>0</v>
      </c>
      <c r="AD43" s="98">
        <f t="shared" si="21"/>
        <v>0</v>
      </c>
      <c r="AE43" s="98">
        <f t="shared" si="10"/>
        <v>0</v>
      </c>
      <c r="AF43" s="205" t="str">
        <f t="shared" si="26"/>
        <v/>
      </c>
      <c r="AG43" s="98">
        <f t="shared" si="18"/>
        <v>0</v>
      </c>
      <c r="AH43" s="97"/>
      <c r="AI43" s="311"/>
      <c r="AJ43" s="98">
        <f t="shared" si="7"/>
        <v>0</v>
      </c>
      <c r="AK43" s="233"/>
      <c r="AL43" s="98">
        <f>IF(SUMIFS('Shipments data'!L:L,'Shipments data'!F:F,'Supply planning data'!C43,'Shipments data'!A:A,'Supply planning data'!A43,'Shipments data'!O:O,"received",'Shipments data'!Q:Q,"&lt;"&amp;'Supply planning data'!D58,'Shipments data'!AC:AC,"&lt;"&amp;'Supply planning data'!D58)-SUMIFS(M:M,D:D,"&lt;="&amp;D43,C:C,C43)-SUMIFS(AJ:AJ,D:D,"&lt;="&amp;D43,C:C,C43)+SUMIFS(N:N,D:D,"&lt;="&amp;D43,C:C,C43)+SUMIFS(P:P,D:D,"&lt;="&amp;D43,C:C,C43)&lt;0,0,SUMIFS('Shipments data'!L:L,'Shipments data'!F:F,'Supply planning data'!C43,'Shipments data'!A:A,'Supply planning data'!A43,'Shipments data'!O:O,"received",'Shipments data'!Q:Q,"&lt;"&amp;'Supply planning data'!D58,'Shipments data'!AC:AC,"&lt;"&amp;'Supply planning data'!D58)-SUMIFS(M:M,D:D,"&lt;="&amp;D43,C:C,C43)-SUMIFS(AJ:AJ,D:D,"&lt;="&amp;D43,C:C,C43)+SUMIFS(N:N,D:D,"&lt;="&amp;D43,C:C,C43)+SUMIFS(P:P,D:D,"&lt;="&amp;D43,C:C,C43))</f>
        <v>0</v>
      </c>
      <c r="AM43" s="98">
        <f t="shared" si="19"/>
        <v>0</v>
      </c>
      <c r="AN43" s="98">
        <f t="shared" si="11"/>
        <v>0</v>
      </c>
      <c r="AO43" s="203" t="str">
        <f t="shared" si="24"/>
        <v/>
      </c>
    </row>
    <row r="44" spans="1:41" ht="15.75" hidden="1" customHeight="1" x14ac:dyDescent="0.25">
      <c r="A44" s="95" t="str">
        <f>Start!D$7</f>
        <v>Anyland</v>
      </c>
      <c r="B44" s="96" t="str">
        <f>VLOOKUP(A44,list!B:C,2,FALSE)</f>
        <v>ANY</v>
      </c>
      <c r="C44" s="90" t="str">
        <f>IF(Start!$C$26="","",Start!$C$26)</f>
        <v/>
      </c>
      <c r="D44" s="296">
        <f t="shared" si="15"/>
        <v>44256</v>
      </c>
      <c r="E44" s="92" t="str">
        <f>IFERROR(VLOOKUP(C44,Start!C$15:D$31,2,FALSE),"No")</f>
        <v>No</v>
      </c>
      <c r="F44" s="92">
        <f t="shared" si="16"/>
        <v>0</v>
      </c>
      <c r="G44" s="91"/>
      <c r="H44" s="97"/>
      <c r="I44" s="97"/>
      <c r="J44" s="98">
        <f t="shared" si="0"/>
        <v>0</v>
      </c>
      <c r="K44" s="97"/>
      <c r="L44" s="175" t="str">
        <f t="shared" si="1"/>
        <v/>
      </c>
      <c r="M44" s="98">
        <f t="shared" si="2"/>
        <v>0</v>
      </c>
      <c r="N44" s="97"/>
      <c r="O44" s="122"/>
      <c r="P44" s="97"/>
      <c r="Q44" s="122"/>
      <c r="R44" s="98">
        <f>SUMIFS('Shipments data'!L:L,'Shipments data'!F:F,'Supply planning data'!C44,'Shipments data'!A:A,'Supply planning data'!A44,'Shipments data'!Y:Y,'Supply planning data'!D44,'Shipments data'!O:O,"received", 'Shipments data'!N:N, "Public")</f>
        <v>0</v>
      </c>
      <c r="S44" s="98">
        <f>SUMIFS('Shipments data'!L:L,'Shipments data'!F:F,'Supply planning data'!C44,'Shipments data'!A:A,'Supply planning data'!A44,'Shipments data'!Y:Y,'Supply planning data'!D44,'Shipments data'!O:O,"ordered", 'Shipments data'!N:N, "Public")</f>
        <v>0</v>
      </c>
      <c r="T44" s="98">
        <f>IF(SUMIFS('Shipments data'!L:L,'Shipments data'!F:F,'Supply planning data'!C44,'Shipments data'!A:A,'Supply planning data'!A44,'Shipments data'!O:O,"received",'Shipments data'!Q:Q,"&lt;"&amp;'Supply planning data'!D59,'Shipments data'!AC:AC,"&lt;"&amp;'Supply planning data'!D59)-SUMIFS(M:M,D:D,"&lt;="&amp;D44,C:C,C44)+SUMIFS(N:N,D:D,"&lt;="&amp;D44,C:C,C44)+SUMIFS(P:P,D:D,"&lt;="&amp;D44,C:C,C44)&lt;0,0,SUMIFS('Shipments data'!L:L,'Shipments data'!F:F,'Supply planning data'!C44,'Shipments data'!A:A,'Supply planning data'!A44,'Shipments data'!O:O,"received",'Shipments data'!Q:Q,"&lt;"&amp;'Supply planning data'!D59,'Shipments data'!AC:AC,"&lt;"&amp;'Supply planning data'!D59)-SUMIFS(M:M,D:D,"&lt;="&amp;D44,C:C,C44)+SUMIFS(N:N,D:D,"&lt;="&amp;D44,C:C,C44)+SUMIFS(P:P,D:D,"&lt;="&amp;D44,C:C,C44))</f>
        <v>0</v>
      </c>
      <c r="U44" s="99">
        <f t="shared" si="17"/>
        <v>0</v>
      </c>
      <c r="V44" s="98">
        <f t="shared" si="25"/>
        <v>0</v>
      </c>
      <c r="W44" s="203" t="str">
        <f t="shared" si="23"/>
        <v/>
      </c>
      <c r="X44" s="98">
        <f t="shared" si="20"/>
        <v>0</v>
      </c>
      <c r="Y44" s="97"/>
      <c r="Z44" s="93"/>
      <c r="AA44" s="98">
        <f t="shared" si="5"/>
        <v>0</v>
      </c>
      <c r="AB44" s="233"/>
      <c r="AC44" s="98">
        <f>IF(SUMIFS('Shipments data'!L:L,'Shipments data'!F:F,'Supply planning data'!C44,'Shipments data'!A:A,'Supply planning data'!A44,'Shipments data'!O:O,"received",'Shipments data'!Q:Q,"&lt;"&amp;'Supply planning data'!D59,'Shipments data'!AC:AC,"&lt;"&amp;'Supply planning data'!D59)-SUMIFS(M:M,D:D,"&lt;="&amp;D44,C:C,C44)-SUMIFS(AA:AA,D:D,"&lt;="&amp;D44,C:C,C44)+SUMIFS(N:N,D:D,"&lt;="&amp;D44,C:C,C44)+SUMIFS(P:P,D:D,"&lt;="&amp;D44,C:C,C44)&lt;0,0,SUMIFS('Shipments data'!L:L,'Shipments data'!F:F,'Supply planning data'!C44,'Shipments data'!A:A,'Supply planning data'!A44,'Shipments data'!O:O,"received",'Shipments data'!Q:Q,"&lt;"&amp;'Supply planning data'!D59,'Shipments data'!AC:AC,"&lt;"&amp;'Supply planning data'!D59)-SUMIFS(M:M,D:D,"&lt;="&amp;D44,C:C,C44)-SUMIFS(AA:AA,D:D,"&lt;="&amp;D44,C:C,C44)+SUMIFS(N:N,D:D,"&lt;="&amp;D44,C:C,C44)+SUMIFS(P:P,D:D,"&lt;="&amp;D44,C:C,C44))</f>
        <v>0</v>
      </c>
      <c r="AD44" s="98">
        <f t="shared" si="21"/>
        <v>0</v>
      </c>
      <c r="AE44" s="98">
        <f t="shared" si="10"/>
        <v>0</v>
      </c>
      <c r="AF44" s="205" t="str">
        <f t="shared" si="26"/>
        <v/>
      </c>
      <c r="AG44" s="98">
        <f t="shared" si="18"/>
        <v>0</v>
      </c>
      <c r="AH44" s="97"/>
      <c r="AI44" s="311"/>
      <c r="AJ44" s="98">
        <f t="shared" si="7"/>
        <v>0</v>
      </c>
      <c r="AK44" s="233"/>
      <c r="AL44" s="98">
        <f>IF(SUMIFS('Shipments data'!L:L,'Shipments data'!F:F,'Supply planning data'!C44,'Shipments data'!A:A,'Supply planning data'!A44,'Shipments data'!O:O,"received",'Shipments data'!Q:Q,"&lt;"&amp;'Supply planning data'!D59,'Shipments data'!AC:AC,"&lt;"&amp;'Supply planning data'!D59)-SUMIFS(M:M,D:D,"&lt;="&amp;D44,C:C,C44)-SUMIFS(AJ:AJ,D:D,"&lt;="&amp;D44,C:C,C44)+SUMIFS(N:N,D:D,"&lt;="&amp;D44,C:C,C44)+SUMIFS(P:P,D:D,"&lt;="&amp;D44,C:C,C44)&lt;0,0,SUMIFS('Shipments data'!L:L,'Shipments data'!F:F,'Supply planning data'!C44,'Shipments data'!A:A,'Supply planning data'!A44,'Shipments data'!O:O,"received",'Shipments data'!Q:Q,"&lt;"&amp;'Supply planning data'!D59,'Shipments data'!AC:AC,"&lt;"&amp;'Supply planning data'!D59)-SUMIFS(M:M,D:D,"&lt;="&amp;D44,C:C,C44)-SUMIFS(AJ:AJ,D:D,"&lt;="&amp;D44,C:C,C44)+SUMIFS(N:N,D:D,"&lt;="&amp;D44,C:C,C44)+SUMIFS(P:P,D:D,"&lt;="&amp;D44,C:C,C44))</f>
        <v>0</v>
      </c>
      <c r="AM44" s="98">
        <f t="shared" si="19"/>
        <v>0</v>
      </c>
      <c r="AN44" s="98">
        <f t="shared" si="11"/>
        <v>0</v>
      </c>
      <c r="AO44" s="203" t="str">
        <f t="shared" si="24"/>
        <v/>
      </c>
    </row>
    <row r="45" spans="1:41" ht="15.75" hidden="1" customHeight="1" x14ac:dyDescent="0.25">
      <c r="A45" s="95" t="str">
        <f>Start!D$7</f>
        <v>Anyland</v>
      </c>
      <c r="B45" s="96" t="str">
        <f>VLOOKUP(A45,list!B:C,2,FALSE)</f>
        <v>ANY</v>
      </c>
      <c r="C45" s="90" t="str">
        <f>IF(Start!$C$27="","",Start!$C$27)</f>
        <v/>
      </c>
      <c r="D45" s="296">
        <f t="shared" si="15"/>
        <v>44256</v>
      </c>
      <c r="E45" s="92" t="str">
        <f>IFERROR(VLOOKUP(C45,Start!C$15:D$31,2,FALSE),"No")</f>
        <v>No</v>
      </c>
      <c r="F45" s="92">
        <f t="shared" si="16"/>
        <v>0</v>
      </c>
      <c r="G45" s="91"/>
      <c r="H45" s="97"/>
      <c r="I45" s="97"/>
      <c r="J45" s="98">
        <f t="shared" si="0"/>
        <v>0</v>
      </c>
      <c r="K45" s="97"/>
      <c r="L45" s="175" t="str">
        <f t="shared" si="1"/>
        <v/>
      </c>
      <c r="M45" s="98">
        <f t="shared" si="2"/>
        <v>0</v>
      </c>
      <c r="N45" s="97"/>
      <c r="O45" s="122"/>
      <c r="P45" s="97"/>
      <c r="Q45" s="122"/>
      <c r="R45" s="98">
        <f>SUMIFS('Shipments data'!L:L,'Shipments data'!F:F,'Supply planning data'!C45,'Shipments data'!A:A,'Supply planning data'!A45,'Shipments data'!Y:Y,'Supply planning data'!D45,'Shipments data'!O:O,"received", 'Shipments data'!N:N, "Public")</f>
        <v>0</v>
      </c>
      <c r="S45" s="98">
        <f>SUMIFS('Shipments data'!L:L,'Shipments data'!F:F,'Supply planning data'!C45,'Shipments data'!A:A,'Supply planning data'!A45,'Shipments data'!Y:Y,'Supply planning data'!D45,'Shipments data'!O:O,"ordered", 'Shipments data'!N:N, "Public")</f>
        <v>0</v>
      </c>
      <c r="T45" s="98">
        <f>IF(SUMIFS('Shipments data'!L:L,'Shipments data'!F:F,'Supply planning data'!C45,'Shipments data'!A:A,'Supply planning data'!A45,'Shipments data'!O:O,"received",'Shipments data'!Q:Q,"&lt;"&amp;'Supply planning data'!D60,'Shipments data'!AC:AC,"&lt;"&amp;'Supply planning data'!D60)-SUMIFS(M:M,D:D,"&lt;="&amp;D45,C:C,C45)+SUMIFS(N:N,D:D,"&lt;="&amp;D45,C:C,C45)+SUMIFS(P:P,D:D,"&lt;="&amp;D45,C:C,C45)&lt;0,0,SUMIFS('Shipments data'!L:L,'Shipments data'!F:F,'Supply planning data'!C45,'Shipments data'!A:A,'Supply planning data'!A45,'Shipments data'!O:O,"received",'Shipments data'!Q:Q,"&lt;"&amp;'Supply planning data'!D60,'Shipments data'!AC:AC,"&lt;"&amp;'Supply planning data'!D60)-SUMIFS(M:M,D:D,"&lt;="&amp;D45,C:C,C45)+SUMIFS(N:N,D:D,"&lt;="&amp;D45,C:C,C45)+SUMIFS(P:P,D:D,"&lt;="&amp;D45,C:C,C45))</f>
        <v>0</v>
      </c>
      <c r="U45" s="99">
        <f t="shared" si="17"/>
        <v>0</v>
      </c>
      <c r="V45" s="98">
        <f t="shared" si="25"/>
        <v>0</v>
      </c>
      <c r="W45" s="203" t="str">
        <f t="shared" si="23"/>
        <v/>
      </c>
      <c r="X45" s="98">
        <f t="shared" si="20"/>
        <v>0</v>
      </c>
      <c r="Y45" s="97"/>
      <c r="Z45" s="93"/>
      <c r="AA45" s="98">
        <f t="shared" si="5"/>
        <v>0</v>
      </c>
      <c r="AB45" s="233"/>
      <c r="AC45" s="98">
        <f>IF(SUMIFS('Shipments data'!L:L,'Shipments data'!F:F,'Supply planning data'!C45,'Shipments data'!A:A,'Supply planning data'!A45,'Shipments data'!O:O,"received",'Shipments data'!Q:Q,"&lt;"&amp;'Supply planning data'!D60,'Shipments data'!AC:AC,"&lt;"&amp;'Supply planning data'!D60)-SUMIFS(M:M,D:D,"&lt;="&amp;D45,C:C,C45)-SUMIFS(AA:AA,D:D,"&lt;="&amp;D45,C:C,C45)+SUMIFS(N:N,D:D,"&lt;="&amp;D45,C:C,C45)+SUMIFS(P:P,D:D,"&lt;="&amp;D45,C:C,C45)&lt;0,0,SUMIFS('Shipments data'!L:L,'Shipments data'!F:F,'Supply planning data'!C45,'Shipments data'!A:A,'Supply planning data'!A45,'Shipments data'!O:O,"received",'Shipments data'!Q:Q,"&lt;"&amp;'Supply planning data'!D60,'Shipments data'!AC:AC,"&lt;"&amp;'Supply planning data'!D60)-SUMIFS(M:M,D:D,"&lt;="&amp;D45,C:C,C45)-SUMIFS(AA:AA,D:D,"&lt;="&amp;D45,C:C,C45)+SUMIFS(N:N,D:D,"&lt;="&amp;D45,C:C,C45)+SUMIFS(P:P,D:D,"&lt;="&amp;D45,C:C,C45))</f>
        <v>0</v>
      </c>
      <c r="AD45" s="98">
        <f t="shared" si="21"/>
        <v>0</v>
      </c>
      <c r="AE45" s="98">
        <f t="shared" si="10"/>
        <v>0</v>
      </c>
      <c r="AF45" s="205" t="str">
        <f t="shared" si="26"/>
        <v/>
      </c>
      <c r="AG45" s="98">
        <f t="shared" si="18"/>
        <v>0</v>
      </c>
      <c r="AH45" s="97"/>
      <c r="AI45" s="311"/>
      <c r="AJ45" s="98">
        <f t="shared" si="7"/>
        <v>0</v>
      </c>
      <c r="AK45" s="233"/>
      <c r="AL45" s="98">
        <f>IF(SUMIFS('Shipments data'!L:L,'Shipments data'!F:F,'Supply planning data'!C45,'Shipments data'!A:A,'Supply planning data'!A45,'Shipments data'!O:O,"received",'Shipments data'!Q:Q,"&lt;"&amp;'Supply planning data'!D60,'Shipments data'!AC:AC,"&lt;"&amp;'Supply planning data'!D60)-SUMIFS(M:M,D:D,"&lt;="&amp;D45,C:C,C45)-SUMIFS(AJ:AJ,D:D,"&lt;="&amp;D45,C:C,C45)+SUMIFS(N:N,D:D,"&lt;="&amp;D45,C:C,C45)+SUMIFS(P:P,D:D,"&lt;="&amp;D45,C:C,C45)&lt;0,0,SUMIFS('Shipments data'!L:L,'Shipments data'!F:F,'Supply planning data'!C45,'Shipments data'!A:A,'Supply planning data'!A45,'Shipments data'!O:O,"received",'Shipments data'!Q:Q,"&lt;"&amp;'Supply planning data'!D60,'Shipments data'!AC:AC,"&lt;"&amp;'Supply planning data'!D60)-SUMIFS(M:M,D:D,"&lt;="&amp;D45,C:C,C45)-SUMIFS(AJ:AJ,D:D,"&lt;="&amp;D45,C:C,C45)+SUMIFS(N:N,D:D,"&lt;="&amp;D45,C:C,C45)+SUMIFS(P:P,D:D,"&lt;="&amp;D45,C:C,C45))</f>
        <v>0</v>
      </c>
      <c r="AM45" s="98">
        <f t="shared" si="19"/>
        <v>0</v>
      </c>
      <c r="AN45" s="98">
        <f t="shared" si="11"/>
        <v>0</v>
      </c>
      <c r="AO45" s="203" t="str">
        <f t="shared" si="24"/>
        <v/>
      </c>
    </row>
    <row r="46" spans="1:41" hidden="1" x14ac:dyDescent="0.25">
      <c r="A46" s="95" t="str">
        <f>Start!D$7</f>
        <v>Anyland</v>
      </c>
      <c r="B46" s="96" t="str">
        <f>VLOOKUP(A46,list!B:C,2,FALSE)</f>
        <v>ANY</v>
      </c>
      <c r="C46" s="90" t="str">
        <f>IF(Start!$C$28="","",Start!$C$28)</f>
        <v/>
      </c>
      <c r="D46" s="296">
        <f t="shared" si="15"/>
        <v>44256</v>
      </c>
      <c r="E46" s="92" t="str">
        <f>IFERROR(VLOOKUP(C46,Start!C$15:D$31,2,FALSE),"No")</f>
        <v>No</v>
      </c>
      <c r="F46" s="92">
        <f t="shared" si="16"/>
        <v>0</v>
      </c>
      <c r="G46" s="91"/>
      <c r="H46" s="97"/>
      <c r="I46" s="97"/>
      <c r="J46" s="98">
        <f t="shared" si="0"/>
        <v>0</v>
      </c>
      <c r="K46" s="97"/>
      <c r="L46" s="175" t="str">
        <f t="shared" si="1"/>
        <v/>
      </c>
      <c r="M46" s="98">
        <f t="shared" si="2"/>
        <v>0</v>
      </c>
      <c r="N46" s="97"/>
      <c r="O46" s="122"/>
      <c r="P46" s="97"/>
      <c r="Q46" s="122"/>
      <c r="R46" s="98">
        <f>SUMIFS('Shipments data'!L:L,'Shipments data'!F:F,'Supply planning data'!C46,'Shipments data'!A:A,'Supply planning data'!A46,'Shipments data'!Y:Y,'Supply planning data'!D46,'Shipments data'!O:O,"received", 'Shipments data'!N:N, "Public")</f>
        <v>0</v>
      </c>
      <c r="S46" s="98">
        <f>SUMIFS('Shipments data'!L:L,'Shipments data'!F:F,'Supply planning data'!C46,'Shipments data'!A:A,'Supply planning data'!A46,'Shipments data'!Y:Y,'Supply planning data'!D46,'Shipments data'!O:O,"ordered", 'Shipments data'!N:N, "Public")</f>
        <v>0</v>
      </c>
      <c r="T46" s="98">
        <f>IF(SUMIFS('Shipments data'!L:L,'Shipments data'!F:F,'Supply planning data'!C46,'Shipments data'!A:A,'Supply planning data'!A46,'Shipments data'!O:O,"received",'Shipments data'!Q:Q,"&lt;"&amp;'Supply planning data'!D61,'Shipments data'!AC:AC,"&lt;"&amp;'Supply planning data'!D61)-SUMIFS(M:M,D:D,"&lt;="&amp;D46,C:C,C46)+SUMIFS(N:N,D:D,"&lt;="&amp;D46,C:C,C46)+SUMIFS(P:P,D:D,"&lt;="&amp;D46,C:C,C46)&lt;0,0,SUMIFS('Shipments data'!L:L,'Shipments data'!F:F,'Supply planning data'!C46,'Shipments data'!A:A,'Supply planning data'!A46,'Shipments data'!O:O,"received",'Shipments data'!Q:Q,"&lt;"&amp;'Supply planning data'!D61,'Shipments data'!AC:AC,"&lt;"&amp;'Supply planning data'!D61)-SUMIFS(M:M,D:D,"&lt;="&amp;D46,C:C,C46)+SUMIFS(N:N,D:D,"&lt;="&amp;D46,C:C,C46)+SUMIFS(P:P,D:D,"&lt;="&amp;D46,C:C,C46))</f>
        <v>0</v>
      </c>
      <c r="U46" s="99">
        <f t="shared" si="17"/>
        <v>0</v>
      </c>
      <c r="V46" s="98">
        <f t="shared" si="25"/>
        <v>0</v>
      </c>
      <c r="W46" s="203" t="str">
        <f t="shared" si="23"/>
        <v/>
      </c>
      <c r="X46" s="98">
        <f t="shared" si="20"/>
        <v>0</v>
      </c>
      <c r="Y46" s="97"/>
      <c r="Z46" s="93"/>
      <c r="AA46" s="98">
        <f t="shared" si="5"/>
        <v>0</v>
      </c>
      <c r="AB46" s="233"/>
      <c r="AC46" s="98">
        <f>IF(SUMIFS('Shipments data'!L:L,'Shipments data'!F:F,'Supply planning data'!C46,'Shipments data'!A:A,'Supply planning data'!A46,'Shipments data'!O:O,"received",'Shipments data'!Q:Q,"&lt;"&amp;'Supply planning data'!D61,'Shipments data'!AC:AC,"&lt;"&amp;'Supply planning data'!D61)-SUMIFS(M:M,D:D,"&lt;="&amp;D46,C:C,C46)-SUMIFS(AA:AA,D:D,"&lt;="&amp;D46,C:C,C46)+SUMIFS(N:N,D:D,"&lt;="&amp;D46,C:C,C46)+SUMIFS(P:P,D:D,"&lt;="&amp;D46,C:C,C46)&lt;0,0,SUMIFS('Shipments data'!L:L,'Shipments data'!F:F,'Supply planning data'!C46,'Shipments data'!A:A,'Supply planning data'!A46,'Shipments data'!O:O,"received",'Shipments data'!Q:Q,"&lt;"&amp;'Supply planning data'!D61,'Shipments data'!AC:AC,"&lt;"&amp;'Supply planning data'!D61)-SUMIFS(M:M,D:D,"&lt;="&amp;D46,C:C,C46)-SUMIFS(AA:AA,D:D,"&lt;="&amp;D46,C:C,C46)+SUMIFS(N:N,D:D,"&lt;="&amp;D46,C:C,C46)+SUMIFS(P:P,D:D,"&lt;="&amp;D46,C:C,C46))</f>
        <v>0</v>
      </c>
      <c r="AD46" s="98">
        <f t="shared" si="21"/>
        <v>0</v>
      </c>
      <c r="AE46" s="98">
        <f t="shared" si="10"/>
        <v>0</v>
      </c>
      <c r="AF46" s="205" t="str">
        <f t="shared" si="26"/>
        <v/>
      </c>
      <c r="AG46" s="98">
        <f t="shared" si="18"/>
        <v>0</v>
      </c>
      <c r="AH46" s="97"/>
      <c r="AI46" s="311"/>
      <c r="AJ46" s="98">
        <f t="shared" si="7"/>
        <v>0</v>
      </c>
      <c r="AK46" s="233"/>
      <c r="AL46" s="98">
        <f>IF(SUMIFS('Shipments data'!L:L,'Shipments data'!F:F,'Supply planning data'!C46,'Shipments data'!A:A,'Supply planning data'!A46,'Shipments data'!O:O,"received",'Shipments data'!Q:Q,"&lt;"&amp;'Supply planning data'!D61,'Shipments data'!AC:AC,"&lt;"&amp;'Supply planning data'!D61)-SUMIFS(M:M,D:D,"&lt;="&amp;D46,C:C,C46)-SUMIFS(AJ:AJ,D:D,"&lt;="&amp;D46,C:C,C46)+SUMIFS(N:N,D:D,"&lt;="&amp;D46,C:C,C46)+SUMIFS(P:P,D:D,"&lt;="&amp;D46,C:C,C46)&lt;0,0,SUMIFS('Shipments data'!L:L,'Shipments data'!F:F,'Supply planning data'!C46,'Shipments data'!A:A,'Supply planning data'!A46,'Shipments data'!O:O,"received",'Shipments data'!Q:Q,"&lt;"&amp;'Supply planning data'!D61,'Shipments data'!AC:AC,"&lt;"&amp;'Supply planning data'!D61)-SUMIFS(M:M,D:D,"&lt;="&amp;D46,C:C,C46)-SUMIFS(AJ:AJ,D:D,"&lt;="&amp;D46,C:C,C46)+SUMIFS(N:N,D:D,"&lt;="&amp;D46,C:C,C46)+SUMIFS(P:P,D:D,"&lt;="&amp;D46,C:C,C46))</f>
        <v>0</v>
      </c>
      <c r="AM46" s="98">
        <f t="shared" si="19"/>
        <v>0</v>
      </c>
      <c r="AN46" s="98">
        <f t="shared" si="11"/>
        <v>0</v>
      </c>
      <c r="AO46" s="203" t="str">
        <f t="shared" si="24"/>
        <v/>
      </c>
    </row>
    <row r="47" spans="1:41" hidden="1" x14ac:dyDescent="0.25">
      <c r="A47" s="95" t="str">
        <f>Start!D$7</f>
        <v>Anyland</v>
      </c>
      <c r="B47" s="96" t="str">
        <f>VLOOKUP(A47,list!B:C,2,FALSE)</f>
        <v>ANY</v>
      </c>
      <c r="C47" s="90" t="str">
        <f>IF(Start!$C$29="","",Start!$C$29)</f>
        <v/>
      </c>
      <c r="D47" s="296">
        <f t="shared" si="15"/>
        <v>44256</v>
      </c>
      <c r="E47" s="92" t="str">
        <f>IFERROR(VLOOKUP(C47,Start!C$15:D$31,2,FALSE),"No")</f>
        <v>No</v>
      </c>
      <c r="F47" s="92">
        <f t="shared" si="16"/>
        <v>0</v>
      </c>
      <c r="G47" s="91"/>
      <c r="H47" s="97"/>
      <c r="I47" s="97"/>
      <c r="J47" s="98">
        <f t="shared" si="0"/>
        <v>0</v>
      </c>
      <c r="K47" s="97"/>
      <c r="L47" s="175" t="str">
        <f t="shared" si="1"/>
        <v/>
      </c>
      <c r="M47" s="98">
        <f t="shared" si="2"/>
        <v>0</v>
      </c>
      <c r="N47" s="97"/>
      <c r="O47" s="122"/>
      <c r="P47" s="97"/>
      <c r="Q47" s="122"/>
      <c r="R47" s="98">
        <f>SUMIFS('Shipments data'!L:L,'Shipments data'!F:F,'Supply planning data'!C47,'Shipments data'!A:A,'Supply planning data'!A47,'Shipments data'!Y:Y,'Supply planning data'!D47,'Shipments data'!O:O,"received", 'Shipments data'!N:N, "Public")</f>
        <v>0</v>
      </c>
      <c r="S47" s="98">
        <f>SUMIFS('Shipments data'!L:L,'Shipments data'!F:F,'Supply planning data'!C47,'Shipments data'!A:A,'Supply planning data'!A47,'Shipments data'!Y:Y,'Supply planning data'!D47,'Shipments data'!O:O,"ordered", 'Shipments data'!N:N, "Public")</f>
        <v>0</v>
      </c>
      <c r="T47" s="98">
        <f>IF(SUMIFS('Shipments data'!L:L,'Shipments data'!F:F,'Supply planning data'!C47,'Shipments data'!A:A,'Supply planning data'!A47,'Shipments data'!O:O,"received",'Shipments data'!Q:Q,"&lt;"&amp;'Supply planning data'!D62,'Shipments data'!AC:AC,"&lt;"&amp;'Supply planning data'!D62)-SUMIFS(M:M,D:D,"&lt;="&amp;D47,C:C,C47)+SUMIFS(N:N,D:D,"&lt;="&amp;D47,C:C,C47)+SUMIFS(P:P,D:D,"&lt;="&amp;D47,C:C,C47)&lt;0,0,SUMIFS('Shipments data'!L:L,'Shipments data'!F:F,'Supply planning data'!C47,'Shipments data'!A:A,'Supply planning data'!A47,'Shipments data'!O:O,"received",'Shipments data'!Q:Q,"&lt;"&amp;'Supply planning data'!D62,'Shipments data'!AC:AC,"&lt;"&amp;'Supply planning data'!D62)-SUMIFS(M:M,D:D,"&lt;="&amp;D47,C:C,C47)+SUMIFS(N:N,D:D,"&lt;="&amp;D47,C:C,C47)+SUMIFS(P:P,D:D,"&lt;="&amp;D47,C:C,C47))</f>
        <v>0</v>
      </c>
      <c r="U47" s="99">
        <f t="shared" si="17"/>
        <v>0</v>
      </c>
      <c r="V47" s="98">
        <f t="shared" si="25"/>
        <v>0</v>
      </c>
      <c r="W47" s="203" t="str">
        <f t="shared" si="23"/>
        <v/>
      </c>
      <c r="X47" s="98">
        <f t="shared" si="20"/>
        <v>0</v>
      </c>
      <c r="Y47" s="97"/>
      <c r="Z47" s="93"/>
      <c r="AA47" s="98">
        <f t="shared" si="5"/>
        <v>0</v>
      </c>
      <c r="AB47" s="233"/>
      <c r="AC47" s="98">
        <f>IF(SUMIFS('Shipments data'!L:L,'Shipments data'!F:F,'Supply planning data'!C47,'Shipments data'!A:A,'Supply planning data'!A47,'Shipments data'!O:O,"received",'Shipments data'!Q:Q,"&lt;"&amp;'Supply planning data'!D62,'Shipments data'!AC:AC,"&lt;"&amp;'Supply planning data'!D62)-SUMIFS(M:M,D:D,"&lt;="&amp;D47,C:C,C47)-SUMIFS(AA:AA,D:D,"&lt;="&amp;D47,C:C,C47)+SUMIFS(N:N,D:D,"&lt;="&amp;D47,C:C,C47)+SUMIFS(P:P,D:D,"&lt;="&amp;D47,C:C,C47)&lt;0,0,SUMIFS('Shipments data'!L:L,'Shipments data'!F:F,'Supply planning data'!C47,'Shipments data'!A:A,'Supply planning data'!A47,'Shipments data'!O:O,"received",'Shipments data'!Q:Q,"&lt;"&amp;'Supply planning data'!D62,'Shipments data'!AC:AC,"&lt;"&amp;'Supply planning data'!D62)-SUMIFS(M:M,D:D,"&lt;="&amp;D47,C:C,C47)-SUMIFS(AA:AA,D:D,"&lt;="&amp;D47,C:C,C47)+SUMIFS(N:N,D:D,"&lt;="&amp;D47,C:C,C47)+SUMIFS(P:P,D:D,"&lt;="&amp;D47,C:C,C47))</f>
        <v>0</v>
      </c>
      <c r="AD47" s="98">
        <f t="shared" si="21"/>
        <v>0</v>
      </c>
      <c r="AE47" s="98">
        <f t="shared" si="10"/>
        <v>0</v>
      </c>
      <c r="AF47" s="205" t="str">
        <f t="shared" si="26"/>
        <v/>
      </c>
      <c r="AG47" s="98">
        <f t="shared" si="18"/>
        <v>0</v>
      </c>
      <c r="AH47" s="97"/>
      <c r="AI47" s="311"/>
      <c r="AJ47" s="98">
        <f t="shared" si="7"/>
        <v>0</v>
      </c>
      <c r="AK47" s="233"/>
      <c r="AL47" s="98">
        <f>IF(SUMIFS('Shipments data'!L:L,'Shipments data'!F:F,'Supply planning data'!C47,'Shipments data'!A:A,'Supply planning data'!A47,'Shipments data'!O:O,"received",'Shipments data'!Q:Q,"&lt;"&amp;'Supply planning data'!D62,'Shipments data'!AC:AC,"&lt;"&amp;'Supply planning data'!D62)-SUMIFS(M:M,D:D,"&lt;="&amp;D47,C:C,C47)-SUMIFS(AJ:AJ,D:D,"&lt;="&amp;D47,C:C,C47)+SUMIFS(N:N,D:D,"&lt;="&amp;D47,C:C,C47)+SUMIFS(P:P,D:D,"&lt;="&amp;D47,C:C,C47)&lt;0,0,SUMIFS('Shipments data'!L:L,'Shipments data'!F:F,'Supply planning data'!C47,'Shipments data'!A:A,'Supply planning data'!A47,'Shipments data'!O:O,"received",'Shipments data'!Q:Q,"&lt;"&amp;'Supply planning data'!D62,'Shipments data'!AC:AC,"&lt;"&amp;'Supply planning data'!D62)-SUMIFS(M:M,D:D,"&lt;="&amp;D47,C:C,C47)-SUMIFS(AJ:AJ,D:D,"&lt;="&amp;D47,C:C,C47)+SUMIFS(N:N,D:D,"&lt;="&amp;D47,C:C,C47)+SUMIFS(P:P,D:D,"&lt;="&amp;D47,C:C,C47))</f>
        <v>0</v>
      </c>
      <c r="AM47" s="98">
        <f t="shared" si="19"/>
        <v>0</v>
      </c>
      <c r="AN47" s="98">
        <f t="shared" si="11"/>
        <v>0</v>
      </c>
      <c r="AO47" s="203" t="str">
        <f t="shared" si="24"/>
        <v/>
      </c>
    </row>
    <row r="48" spans="1:41" hidden="1" x14ac:dyDescent="0.25">
      <c r="A48" s="95" t="str">
        <f>Start!D$7</f>
        <v>Anyland</v>
      </c>
      <c r="B48" s="96" t="str">
        <f>VLOOKUP(A48,list!B:C,2,FALSE)</f>
        <v>ANY</v>
      </c>
      <c r="C48" s="90" t="str">
        <f>IF(Start!$C$30="","",Start!$C$30)</f>
        <v/>
      </c>
      <c r="D48" s="296">
        <f t="shared" si="15"/>
        <v>44256</v>
      </c>
      <c r="E48" s="92" t="str">
        <f>IFERROR(VLOOKUP(C48,Start!C$15:D$31,2,FALSE),"No")</f>
        <v>No</v>
      </c>
      <c r="F48" s="92">
        <f t="shared" si="16"/>
        <v>0</v>
      </c>
      <c r="G48" s="91"/>
      <c r="H48" s="97"/>
      <c r="I48" s="97"/>
      <c r="J48" s="98">
        <f t="shared" si="0"/>
        <v>0</v>
      </c>
      <c r="K48" s="97"/>
      <c r="L48" s="175" t="str">
        <f t="shared" si="1"/>
        <v/>
      </c>
      <c r="M48" s="98">
        <f t="shared" si="2"/>
        <v>0</v>
      </c>
      <c r="N48" s="97"/>
      <c r="O48" s="122"/>
      <c r="P48" s="97"/>
      <c r="Q48" s="122"/>
      <c r="R48" s="98">
        <f>SUMIFS('Shipments data'!L:L,'Shipments data'!F:F,'Supply planning data'!C48,'Shipments data'!A:A,'Supply planning data'!A48,'Shipments data'!Y:Y,'Supply planning data'!D48,'Shipments data'!O:O,"received", 'Shipments data'!N:N, "Public")</f>
        <v>0</v>
      </c>
      <c r="S48" s="98">
        <f>SUMIFS('Shipments data'!L:L,'Shipments data'!F:F,'Supply planning data'!C48,'Shipments data'!A:A,'Supply planning data'!A48,'Shipments data'!Y:Y,'Supply planning data'!D48,'Shipments data'!O:O,"ordered", 'Shipments data'!N:N, "Public")</f>
        <v>0</v>
      </c>
      <c r="T48" s="98">
        <f>IF(SUMIFS('Shipments data'!L:L,'Shipments data'!F:F,'Supply planning data'!C48,'Shipments data'!A:A,'Supply planning data'!A48,'Shipments data'!O:O,"received",'Shipments data'!Q:Q,"&lt;"&amp;'Supply planning data'!D63,'Shipments data'!AC:AC,"&lt;"&amp;'Supply planning data'!D63)-SUMIFS(M:M,D:D,"&lt;="&amp;D48,C:C,C48)+SUMIFS(N:N,D:D,"&lt;="&amp;D48,C:C,C48)+SUMIFS(P:P,D:D,"&lt;="&amp;D48,C:C,C48)&lt;0,0,SUMIFS('Shipments data'!L:L,'Shipments data'!F:F,'Supply planning data'!C48,'Shipments data'!A:A,'Supply planning data'!A48,'Shipments data'!O:O,"received",'Shipments data'!Q:Q,"&lt;"&amp;'Supply planning data'!D63,'Shipments data'!AC:AC,"&lt;"&amp;'Supply planning data'!D63)-SUMIFS(M:M,D:D,"&lt;="&amp;D48,C:C,C48)+SUMIFS(N:N,D:D,"&lt;="&amp;D48,C:C,C48)+SUMIFS(P:P,D:D,"&lt;="&amp;D48,C:C,C48))</f>
        <v>0</v>
      </c>
      <c r="U48" s="99">
        <f t="shared" si="17"/>
        <v>0</v>
      </c>
      <c r="V48" s="98">
        <f t="shared" si="25"/>
        <v>0</v>
      </c>
      <c r="W48" s="203" t="str">
        <f t="shared" si="23"/>
        <v/>
      </c>
      <c r="X48" s="98">
        <f t="shared" si="20"/>
        <v>0</v>
      </c>
      <c r="Y48" s="97"/>
      <c r="Z48" s="93"/>
      <c r="AA48" s="98">
        <f t="shared" si="5"/>
        <v>0</v>
      </c>
      <c r="AB48" s="233"/>
      <c r="AC48" s="98">
        <f>IF(SUMIFS('Shipments data'!L:L,'Shipments data'!F:F,'Supply planning data'!C48,'Shipments data'!A:A,'Supply planning data'!A48,'Shipments data'!O:O,"received",'Shipments data'!Q:Q,"&lt;"&amp;'Supply planning data'!D63,'Shipments data'!AC:AC,"&lt;"&amp;'Supply planning data'!D63)-SUMIFS(M:M,D:D,"&lt;="&amp;D48,C:C,C48)-SUMIFS(AA:AA,D:D,"&lt;="&amp;D48,C:C,C48)+SUMIFS(N:N,D:D,"&lt;="&amp;D48,C:C,C48)+SUMIFS(P:P,D:D,"&lt;="&amp;D48,C:C,C48)&lt;0,0,SUMIFS('Shipments data'!L:L,'Shipments data'!F:F,'Supply planning data'!C48,'Shipments data'!A:A,'Supply planning data'!A48,'Shipments data'!O:O,"received",'Shipments data'!Q:Q,"&lt;"&amp;'Supply planning data'!D63,'Shipments data'!AC:AC,"&lt;"&amp;'Supply planning data'!D63)-SUMIFS(M:M,D:D,"&lt;="&amp;D48,C:C,C48)-SUMIFS(AA:AA,D:D,"&lt;="&amp;D48,C:C,C48)+SUMIFS(N:N,D:D,"&lt;="&amp;D48,C:C,C48)+SUMIFS(P:P,D:D,"&lt;="&amp;D48,C:C,C48))</f>
        <v>0</v>
      </c>
      <c r="AD48" s="98">
        <f t="shared" si="21"/>
        <v>0</v>
      </c>
      <c r="AE48" s="98">
        <f t="shared" si="10"/>
        <v>0</v>
      </c>
      <c r="AF48" s="205" t="str">
        <f t="shared" si="26"/>
        <v/>
      </c>
      <c r="AG48" s="98">
        <f t="shared" si="18"/>
        <v>0</v>
      </c>
      <c r="AH48" s="97"/>
      <c r="AI48" s="311"/>
      <c r="AJ48" s="98">
        <f t="shared" si="7"/>
        <v>0</v>
      </c>
      <c r="AK48" s="233"/>
      <c r="AL48" s="98">
        <f>IF(SUMIFS('Shipments data'!L:L,'Shipments data'!F:F,'Supply planning data'!C48,'Shipments data'!A:A,'Supply planning data'!A48,'Shipments data'!O:O,"received",'Shipments data'!Q:Q,"&lt;"&amp;'Supply planning data'!D63,'Shipments data'!AC:AC,"&lt;"&amp;'Supply planning data'!D63)-SUMIFS(M:M,D:D,"&lt;="&amp;D48,C:C,C48)-SUMIFS(AJ:AJ,D:D,"&lt;="&amp;D48,C:C,C48)+SUMIFS(N:N,D:D,"&lt;="&amp;D48,C:C,C48)+SUMIFS(P:P,D:D,"&lt;="&amp;D48,C:C,C48)&lt;0,0,SUMIFS('Shipments data'!L:L,'Shipments data'!F:F,'Supply planning data'!C48,'Shipments data'!A:A,'Supply planning data'!A48,'Shipments data'!O:O,"received",'Shipments data'!Q:Q,"&lt;"&amp;'Supply planning data'!D63,'Shipments data'!AC:AC,"&lt;"&amp;'Supply planning data'!D63)-SUMIFS(M:M,D:D,"&lt;="&amp;D48,C:C,C48)-SUMIFS(AJ:AJ,D:D,"&lt;="&amp;D48,C:C,C48)+SUMIFS(N:N,D:D,"&lt;="&amp;D48,C:C,C48)+SUMIFS(P:P,D:D,"&lt;="&amp;D48,C:C,C48))</f>
        <v>0</v>
      </c>
      <c r="AM48" s="98">
        <f t="shared" si="19"/>
        <v>0</v>
      </c>
      <c r="AN48" s="98">
        <f t="shared" si="11"/>
        <v>0</v>
      </c>
      <c r="AO48" s="203" t="str">
        <f t="shared" si="24"/>
        <v/>
      </c>
    </row>
    <row r="49" spans="1:41" hidden="1" x14ac:dyDescent="0.25">
      <c r="A49" s="95" t="str">
        <f>Start!D$7</f>
        <v>Anyland</v>
      </c>
      <c r="B49" s="100" t="str">
        <f>VLOOKUP(A49,list!B:C,2,FALSE)</f>
        <v>ANY</v>
      </c>
      <c r="C49" s="90" t="str">
        <f>IF(Start!$C$31="","",Start!$C$31)</f>
        <v/>
      </c>
      <c r="D49" s="296">
        <f t="shared" si="15"/>
        <v>44256</v>
      </c>
      <c r="E49" s="92" t="str">
        <f>IFERROR(VLOOKUP(C49,Start!C$15:D$31,2,FALSE),"No")</f>
        <v>No</v>
      </c>
      <c r="F49" s="92">
        <f t="shared" si="16"/>
        <v>0</v>
      </c>
      <c r="G49" s="91"/>
      <c r="H49" s="97"/>
      <c r="I49" s="97"/>
      <c r="J49" s="98">
        <f t="shared" si="0"/>
        <v>0</v>
      </c>
      <c r="K49" s="97"/>
      <c r="L49" s="175" t="str">
        <f t="shared" si="1"/>
        <v/>
      </c>
      <c r="M49" s="98">
        <f t="shared" si="2"/>
        <v>0</v>
      </c>
      <c r="N49" s="97"/>
      <c r="O49" s="122"/>
      <c r="P49" s="97"/>
      <c r="Q49" s="122"/>
      <c r="R49" s="98">
        <f>SUMIFS('Shipments data'!L:L,'Shipments data'!F:F,'Supply planning data'!C49,'Shipments data'!A:A,'Supply planning data'!A49,'Shipments data'!Y:Y,'Supply planning data'!D49,'Shipments data'!O:O,"received", 'Shipments data'!N:N, "Public")</f>
        <v>0</v>
      </c>
      <c r="S49" s="98">
        <f>SUMIFS('Shipments data'!L:L,'Shipments data'!F:F,'Supply planning data'!C49,'Shipments data'!A:A,'Supply planning data'!A49,'Shipments data'!Y:Y,'Supply planning data'!D49,'Shipments data'!O:O,"ordered", 'Shipments data'!N:N, "Public")</f>
        <v>0</v>
      </c>
      <c r="T49" s="98">
        <f>IF(SUMIFS('Shipments data'!L:L,'Shipments data'!F:F,'Supply planning data'!C49,'Shipments data'!A:A,'Supply planning data'!A49,'Shipments data'!O:O,"received",'Shipments data'!Q:Q,"&lt;"&amp;'Supply planning data'!D64,'Shipments data'!AC:AC,"&lt;"&amp;'Supply planning data'!D64)-SUMIFS(M:M,D:D,"&lt;="&amp;D49,C:C,C49)+SUMIFS(N:N,D:D,"&lt;="&amp;D49,C:C,C49)+SUMIFS(P:P,D:D,"&lt;="&amp;D49,C:C,C49)&lt;0,0,SUMIFS('Shipments data'!L:L,'Shipments data'!F:F,'Supply planning data'!C49,'Shipments data'!A:A,'Supply planning data'!A49,'Shipments data'!O:O,"received",'Shipments data'!Q:Q,"&lt;"&amp;'Supply planning data'!D64,'Shipments data'!AC:AC,"&lt;"&amp;'Supply planning data'!D64)-SUMIFS(M:M,D:D,"&lt;="&amp;D49,C:C,C49)+SUMIFS(N:N,D:D,"&lt;="&amp;D49,C:C,C49)+SUMIFS(P:P,D:D,"&lt;="&amp;D49,C:C,C49))</f>
        <v>0</v>
      </c>
      <c r="U49" s="99">
        <f t="shared" si="17"/>
        <v>0</v>
      </c>
      <c r="V49" s="98">
        <f t="shared" si="25"/>
        <v>0</v>
      </c>
      <c r="W49" s="203" t="str">
        <f t="shared" si="23"/>
        <v/>
      </c>
      <c r="X49" s="98">
        <f t="shared" si="20"/>
        <v>0</v>
      </c>
      <c r="Y49" s="97"/>
      <c r="Z49" s="93"/>
      <c r="AA49" s="98">
        <f t="shared" si="5"/>
        <v>0</v>
      </c>
      <c r="AB49" s="233"/>
      <c r="AC49" s="98">
        <f>IF(SUMIFS('Shipments data'!L:L,'Shipments data'!F:F,'Supply planning data'!C49,'Shipments data'!A:A,'Supply planning data'!A49,'Shipments data'!O:O,"received",'Shipments data'!Q:Q,"&lt;"&amp;'Supply planning data'!D64,'Shipments data'!AC:AC,"&lt;"&amp;'Supply planning data'!D64)-SUMIFS(M:M,D:D,"&lt;="&amp;D49,C:C,C49)-SUMIFS(AA:AA,D:D,"&lt;="&amp;D49,C:C,C49)+SUMIFS(N:N,D:D,"&lt;="&amp;D49,C:C,C49)+SUMIFS(P:P,D:D,"&lt;="&amp;D49,C:C,C49)&lt;0,0,SUMIFS('Shipments data'!L:L,'Shipments data'!F:F,'Supply planning data'!C49,'Shipments data'!A:A,'Supply planning data'!A49,'Shipments data'!O:O,"received",'Shipments data'!Q:Q,"&lt;"&amp;'Supply planning data'!D64,'Shipments data'!AC:AC,"&lt;"&amp;'Supply planning data'!D64)-SUMIFS(M:M,D:D,"&lt;="&amp;D49,C:C,C49)-SUMIFS(AA:AA,D:D,"&lt;="&amp;D49,C:C,C49)+SUMIFS(N:N,D:D,"&lt;="&amp;D49,C:C,C49)+SUMIFS(P:P,D:D,"&lt;="&amp;D49,C:C,C49))</f>
        <v>0</v>
      </c>
      <c r="AD49" s="98">
        <f t="shared" si="21"/>
        <v>0</v>
      </c>
      <c r="AE49" s="98">
        <f t="shared" si="10"/>
        <v>0</v>
      </c>
      <c r="AF49" s="205" t="str">
        <f>IF(M49+AA49&lt;=0,"",IFERROR(AE49/(SUM(M49,M79,M64,AA49,AA79,AA64)/3),""))</f>
        <v/>
      </c>
      <c r="AG49" s="98">
        <f t="shared" si="18"/>
        <v>0</v>
      </c>
      <c r="AH49" s="97"/>
      <c r="AI49" s="311"/>
      <c r="AJ49" s="98">
        <f t="shared" si="7"/>
        <v>0</v>
      </c>
      <c r="AK49" s="233"/>
      <c r="AL49" s="98">
        <f>IF(SUMIFS('Shipments data'!L:L,'Shipments data'!F:F,'Supply planning data'!C49,'Shipments data'!A:A,'Supply planning data'!A49,'Shipments data'!O:O,"received",'Shipments data'!Q:Q,"&lt;"&amp;'Supply planning data'!D64,'Shipments data'!AC:AC,"&lt;"&amp;'Supply planning data'!D64)-SUMIFS(M:M,D:D,"&lt;="&amp;D49,C:C,C49)-SUMIFS(AJ:AJ,D:D,"&lt;="&amp;D49,C:C,C49)+SUMIFS(N:N,D:D,"&lt;="&amp;D49,C:C,C49)+SUMIFS(P:P,D:D,"&lt;="&amp;D49,C:C,C49)&lt;0,0,SUMIFS('Shipments data'!L:L,'Shipments data'!F:F,'Supply planning data'!C49,'Shipments data'!A:A,'Supply planning data'!A49,'Shipments data'!O:O,"received",'Shipments data'!Q:Q,"&lt;"&amp;'Supply planning data'!D64,'Shipments data'!AC:AC,"&lt;"&amp;'Supply planning data'!D64)-SUMIFS(M:M,D:D,"&lt;="&amp;D49,C:C,C49)-SUMIFS(AJ:AJ,D:D,"&lt;="&amp;D49,C:C,C49)+SUMIFS(N:N,D:D,"&lt;="&amp;D49,C:C,C49)+SUMIFS(P:P,D:D,"&lt;="&amp;D49,C:C,C49))</f>
        <v>0</v>
      </c>
      <c r="AM49" s="98">
        <f t="shared" si="19"/>
        <v>0</v>
      </c>
      <c r="AN49" s="98">
        <f t="shared" si="11"/>
        <v>0</v>
      </c>
      <c r="AO49" s="203" t="str">
        <f t="shared" si="24"/>
        <v/>
      </c>
    </row>
    <row r="50" spans="1:41" x14ac:dyDescent="0.25">
      <c r="A50" s="103" t="str">
        <f>Start!D$7</f>
        <v>Anyland</v>
      </c>
      <c r="B50" s="104" t="str">
        <f>VLOOKUP(A50,list!B:C,2,FALSE)</f>
        <v>ANY</v>
      </c>
      <c r="C50" s="104" t="str">
        <f>IF(Start!$C$17="","",Start!$C$17)</f>
        <v>AstraZeneca</v>
      </c>
      <c r="D50" s="298">
        <f t="shared" si="15"/>
        <v>44287</v>
      </c>
      <c r="E50" s="105" t="str">
        <f>IFERROR(VLOOKUP(C50,Start!C$15:D$31,2,FALSE),"No")</f>
        <v>Yes</v>
      </c>
      <c r="F50" s="105">
        <f t="shared" si="16"/>
        <v>35000</v>
      </c>
      <c r="G50" s="106"/>
      <c r="H50" s="106"/>
      <c r="I50" s="106"/>
      <c r="J50" s="105">
        <f t="shared" si="0"/>
        <v>0</v>
      </c>
      <c r="K50" s="106"/>
      <c r="L50" s="177" t="str">
        <f t="shared" si="1"/>
        <v/>
      </c>
      <c r="M50" s="105">
        <f t="shared" si="2"/>
        <v>0</v>
      </c>
      <c r="N50" s="106"/>
      <c r="O50" s="123"/>
      <c r="P50" s="106"/>
      <c r="Q50" s="123"/>
      <c r="R50" s="105">
        <f>SUMIFS('Shipments data'!L:L,'Shipments data'!F:F,'Supply planning data'!C50,'Shipments data'!A:A,'Supply planning data'!A50,'Shipments data'!Y:Y,'Supply planning data'!D50,'Shipments data'!O:O,"received", 'Shipments data'!N:N, "Public")</f>
        <v>355300</v>
      </c>
      <c r="S50" s="105">
        <f>SUMIFS('Shipments data'!L:L,'Shipments data'!F:F,'Supply planning data'!C50,'Shipments data'!A:A,'Supply planning data'!A50,'Shipments data'!Y:Y,'Supply planning data'!D50,'Shipments data'!O:O,"ordered", 'Shipments data'!N:N, "Public")</f>
        <v>0</v>
      </c>
      <c r="T50" s="105">
        <f>IF(SUMIFS('Shipments data'!L:L,'Shipments data'!F:F,'Supply planning data'!C50,'Shipments data'!A:A,'Supply planning data'!A50,'Shipments data'!O:O,"received",'Shipments data'!Q:Q,"&lt;"&amp;'Supply planning data'!D65,'Shipments data'!AC:AC,"&lt;"&amp;'Supply planning data'!D65)-SUMIFS(M:M,D:D,"&lt;="&amp;D50,C:C,C50)+SUMIFS(N:N,D:D,"&lt;="&amp;D50,C:C,C50)+SUMIFS(P:P,D:D,"&lt;="&amp;D50,C:C,C50)&lt;0,0,SUMIFS('Shipments data'!L:L,'Shipments data'!F:F,'Supply planning data'!C50,'Shipments data'!A:A,'Supply planning data'!A50,'Shipments data'!O:O,"received",'Shipments data'!Q:Q,"&lt;"&amp;'Supply planning data'!D65,'Shipments data'!AC:AC,"&lt;"&amp;'Supply planning data'!D65)-SUMIFS(M:M,D:D,"&lt;="&amp;D50,C:C,C50)+SUMIFS(N:N,D:D,"&lt;="&amp;D50,C:C,C50)+SUMIFS(P:P,D:D,"&lt;="&amp;D50,C:C,C50))</f>
        <v>0</v>
      </c>
      <c r="U50" s="108">
        <f t="shared" si="17"/>
        <v>0</v>
      </c>
      <c r="V50" s="105">
        <f t="shared" si="25"/>
        <v>390300</v>
      </c>
      <c r="W50" s="206" t="str">
        <f t="shared" si="23"/>
        <v/>
      </c>
      <c r="X50" s="105">
        <f t="shared" si="20"/>
        <v>35000</v>
      </c>
      <c r="Y50" s="106"/>
      <c r="Z50" s="107"/>
      <c r="AA50" s="105">
        <f t="shared" si="5"/>
        <v>0</v>
      </c>
      <c r="AB50" s="234"/>
      <c r="AC50" s="105">
        <f>IF(SUMIFS('Shipments data'!L:L,'Shipments data'!F:F,'Supply planning data'!C50,'Shipments data'!A:A,'Supply planning data'!A50,'Shipments data'!O:O,"received",'Shipments data'!Q:Q,"&lt;"&amp;'Supply planning data'!D65,'Shipments data'!AC:AC,"&lt;"&amp;'Supply planning data'!D65)-SUMIFS(M:M,D:D,"&lt;="&amp;D50,C:C,C50)-SUMIFS(AA:AA,D:D,"&lt;="&amp;D50,C:C,C50)+SUMIFS(N:N,D:D,"&lt;="&amp;D50,C:C,C50)+SUMIFS(P:P,D:D,"&lt;="&amp;D50,C:C,C50)&lt;0,0,SUMIFS('Shipments data'!L:L,'Shipments data'!F:F,'Supply planning data'!C50,'Shipments data'!A:A,'Supply planning data'!A50,'Shipments data'!O:O,"received",'Shipments data'!Q:Q,"&lt;"&amp;'Supply planning data'!D65,'Shipments data'!AC:AC,"&lt;"&amp;'Supply planning data'!D65)-SUMIFS(M:M,D:D,"&lt;="&amp;D50,C:C,C50)-SUMIFS(AA:AA,D:D,"&lt;="&amp;D50,C:C,C50)+SUMIFS(N:N,D:D,"&lt;="&amp;D50,C:C,C50)+SUMIFS(P:P,D:D,"&lt;="&amp;D50,C:C,C50))</f>
        <v>0</v>
      </c>
      <c r="AD50" s="105">
        <f t="shared" si="21"/>
        <v>0</v>
      </c>
      <c r="AE50" s="105">
        <f t="shared" si="10"/>
        <v>390300</v>
      </c>
      <c r="AF50" s="206" t="str">
        <f>IF(M50+AA50&lt;=0,"",IFERROR(AE50/(SUM(M50,M80,M65,AA50,AA80,AA65)/3),""))</f>
        <v/>
      </c>
      <c r="AG50" s="105">
        <f t="shared" si="18"/>
        <v>35000</v>
      </c>
      <c r="AH50" s="106"/>
      <c r="AI50" s="312"/>
      <c r="AJ50" s="105">
        <f t="shared" si="7"/>
        <v>0</v>
      </c>
      <c r="AK50" s="234"/>
      <c r="AL50" s="105">
        <f>IF(SUMIFS('Shipments data'!L:L,'Shipments data'!F:F,'Supply planning data'!C50,'Shipments data'!A:A,'Supply planning data'!A50,'Shipments data'!O:O,"received",'Shipments data'!Q:Q,"&lt;"&amp;'Supply planning data'!D65,'Shipments data'!AC:AC,"&lt;"&amp;'Supply planning data'!D65)-SUMIFS(M:M,D:D,"&lt;="&amp;D50,C:C,C50)-SUMIFS(AJ:AJ,D:D,"&lt;="&amp;D50,C:C,C50)+SUMIFS(N:N,D:D,"&lt;="&amp;D50,C:C,C50)+SUMIFS(P:P,D:D,"&lt;="&amp;D50,C:C,C50)&lt;0,0,SUMIFS('Shipments data'!L:L,'Shipments data'!F:F,'Supply planning data'!C50,'Shipments data'!A:A,'Supply planning data'!A50,'Shipments data'!O:O,"received",'Shipments data'!Q:Q,"&lt;"&amp;'Supply planning data'!D65,'Shipments data'!AC:AC,"&lt;"&amp;'Supply planning data'!D65)-SUMIFS(M:M,D:D,"&lt;="&amp;D50,C:C,C50)-SUMIFS(AJ:AJ,D:D,"&lt;="&amp;D50,C:C,C50)+SUMIFS(N:N,D:D,"&lt;="&amp;D50,C:C,C50)+SUMIFS(P:P,D:D,"&lt;="&amp;D50,C:C,C50))</f>
        <v>0</v>
      </c>
      <c r="AM50" s="105">
        <f t="shared" si="19"/>
        <v>0</v>
      </c>
      <c r="AN50" s="105">
        <f t="shared" si="11"/>
        <v>390300</v>
      </c>
      <c r="AO50" s="206" t="str">
        <f>IF(M50+AJ50&lt;=0,"",IFERROR(AN50/(SUM(M50,M80,M65,AJ50,AJ80,AJ65)/3),""))</f>
        <v/>
      </c>
    </row>
    <row r="51" spans="1:41" x14ac:dyDescent="0.25">
      <c r="A51" s="103" t="str">
        <f>Start!D$7</f>
        <v>Anyland</v>
      </c>
      <c r="B51" s="109" t="str">
        <f>VLOOKUP(A51,list!B:C,2,FALSE)</f>
        <v>ANY</v>
      </c>
      <c r="C51" s="109" t="str">
        <f>IF(Start!$C$18="","",Start!$C$18)</f>
        <v>Jansen</v>
      </c>
      <c r="D51" s="298">
        <f t="shared" si="15"/>
        <v>44287</v>
      </c>
      <c r="E51" s="105" t="str">
        <f>IFERROR(VLOOKUP(C51,Start!C$15:D$31,2,FALSE),"No")</f>
        <v>Yes</v>
      </c>
      <c r="F51" s="105">
        <f t="shared" si="16"/>
        <v>0</v>
      </c>
      <c r="G51" s="106"/>
      <c r="H51" s="106"/>
      <c r="I51" s="106"/>
      <c r="J51" s="105">
        <f t="shared" si="0"/>
        <v>0</v>
      </c>
      <c r="K51" s="106"/>
      <c r="L51" s="177" t="str">
        <f t="shared" si="1"/>
        <v/>
      </c>
      <c r="M51" s="105">
        <f t="shared" si="2"/>
        <v>0</v>
      </c>
      <c r="N51" s="110"/>
      <c r="O51" s="124"/>
      <c r="P51" s="110"/>
      <c r="Q51" s="124"/>
      <c r="R51" s="111">
        <f>SUMIFS('Shipments data'!L:L,'Shipments data'!F:F,'Supply planning data'!C51,'Shipments data'!A:A,'Supply planning data'!A51,'Shipments data'!Y:Y,'Supply planning data'!D51,'Shipments data'!O:O,"received", 'Shipments data'!N:N, "Public")</f>
        <v>0</v>
      </c>
      <c r="S51" s="111">
        <f>SUMIFS('Shipments data'!L:L,'Shipments data'!F:F,'Supply planning data'!C51,'Shipments data'!A:A,'Supply planning data'!A51,'Shipments data'!Y:Y,'Supply planning data'!D51,'Shipments data'!O:O,"ordered", 'Shipments data'!N:N, "Public")</f>
        <v>0</v>
      </c>
      <c r="T51" s="111">
        <f>IF(SUMIFS('Shipments data'!L:L,'Shipments data'!F:F,'Supply planning data'!C51,'Shipments data'!A:A,'Supply planning data'!A51,'Shipments data'!O:O,"received",'Shipments data'!Q:Q,"&lt;"&amp;'Supply planning data'!D66,'Shipments data'!AC:AC,"&lt;"&amp;'Supply planning data'!D66)-SUMIFS(M:M,D:D,"&lt;="&amp;D51,C:C,C51)+SUMIFS(N:N,D:D,"&lt;="&amp;D51,C:C,C51)+SUMIFS(P:P,D:D,"&lt;="&amp;D51,C:C,C51)&lt;0,0,SUMIFS('Shipments data'!L:L,'Shipments data'!F:F,'Supply planning data'!C51,'Shipments data'!A:A,'Supply planning data'!A51,'Shipments data'!O:O,"received",'Shipments data'!Q:Q,"&lt;"&amp;'Supply planning data'!D66,'Shipments data'!AC:AC,"&lt;"&amp;'Supply planning data'!D66)-SUMIFS(M:M,D:D,"&lt;="&amp;D51,C:C,C51)+SUMIFS(N:N,D:D,"&lt;="&amp;D51,C:C,C51)+SUMIFS(P:P,D:D,"&lt;="&amp;D51,C:C,C51))</f>
        <v>0</v>
      </c>
      <c r="U51" s="112">
        <f t="shared" si="17"/>
        <v>0</v>
      </c>
      <c r="V51" s="111">
        <f t="shared" si="25"/>
        <v>0</v>
      </c>
      <c r="W51" s="204" t="str">
        <f t="shared" si="23"/>
        <v/>
      </c>
      <c r="X51" s="111">
        <f t="shared" si="20"/>
        <v>0</v>
      </c>
      <c r="Y51" s="110"/>
      <c r="Z51" s="107"/>
      <c r="AA51" s="111">
        <f t="shared" si="5"/>
        <v>0</v>
      </c>
      <c r="AB51" s="235"/>
      <c r="AC51" s="111">
        <f>IF(SUMIFS('Shipments data'!L:L,'Shipments data'!F:F,'Supply planning data'!C51,'Shipments data'!A:A,'Supply planning data'!A51,'Shipments data'!O:O,"received",'Shipments data'!Q:Q,"&lt;"&amp;'Supply planning data'!D66,'Shipments data'!AC:AC,"&lt;"&amp;'Supply planning data'!D66)-SUMIFS(M:M,D:D,"&lt;="&amp;D51,C:C,C51)-SUMIFS(AA:AA,D:D,"&lt;="&amp;D51,C:C,C51)+SUMIFS(N:N,D:D,"&lt;="&amp;D51,C:C,C51)+SUMIFS(P:P,D:D,"&lt;="&amp;D51,C:C,C51)&lt;0,0,SUMIFS('Shipments data'!L:L,'Shipments data'!F:F,'Supply planning data'!C51,'Shipments data'!A:A,'Supply planning data'!A51,'Shipments data'!O:O,"received",'Shipments data'!Q:Q,"&lt;"&amp;'Supply planning data'!D66,'Shipments data'!AC:AC,"&lt;"&amp;'Supply planning data'!D66)-SUMIFS(M:M,D:D,"&lt;="&amp;D51,C:C,C51)-SUMIFS(AA:AA,D:D,"&lt;="&amp;D51,C:C,C51)+SUMIFS(N:N,D:D,"&lt;="&amp;D51,C:C,C51)+SUMIFS(P:P,D:D,"&lt;="&amp;D51,C:C,C51))</f>
        <v>0</v>
      </c>
      <c r="AD51" s="111">
        <f t="shared" si="21"/>
        <v>0</v>
      </c>
      <c r="AE51" s="111">
        <f t="shared" si="10"/>
        <v>0</v>
      </c>
      <c r="AF51" s="204" t="str">
        <f>IF(M51+AA51&lt;=0,"",IFERROR(AE51/(SUM(M51,M81,M66,AA51,AA81,AA66)/3),""))</f>
        <v/>
      </c>
      <c r="AG51" s="111">
        <f t="shared" si="18"/>
        <v>0</v>
      </c>
      <c r="AH51" s="110"/>
      <c r="AI51" s="313"/>
      <c r="AJ51" s="111">
        <f t="shared" si="7"/>
        <v>0</v>
      </c>
      <c r="AK51" s="235"/>
      <c r="AL51" s="111">
        <f>IF(SUMIFS('Shipments data'!L:L,'Shipments data'!F:F,'Supply planning data'!C51,'Shipments data'!A:A,'Supply planning data'!A51,'Shipments data'!O:O,"received",'Shipments data'!Q:Q,"&lt;"&amp;'Supply planning data'!D66,'Shipments data'!AC:AC,"&lt;"&amp;'Supply planning data'!D66)-SUMIFS(M:M,D:D,"&lt;="&amp;D51,C:C,C51)-SUMIFS(AJ:AJ,D:D,"&lt;="&amp;D51,C:C,C51)+SUMIFS(N:N,D:D,"&lt;="&amp;D51,C:C,C51)+SUMIFS(P:P,D:D,"&lt;="&amp;D51,C:C,C51)&lt;0,0,SUMIFS('Shipments data'!L:L,'Shipments data'!F:F,'Supply planning data'!C51,'Shipments data'!A:A,'Supply planning data'!A51,'Shipments data'!O:O,"received",'Shipments data'!Q:Q,"&lt;"&amp;'Supply planning data'!D66,'Shipments data'!AC:AC,"&lt;"&amp;'Supply planning data'!D66)-SUMIFS(M:M,D:D,"&lt;="&amp;D51,C:C,C51)-SUMIFS(AJ:AJ,D:D,"&lt;="&amp;D51,C:C,C51)+SUMIFS(N:N,D:D,"&lt;="&amp;D51,C:C,C51)+SUMIFS(P:P,D:D,"&lt;="&amp;D51,C:C,C51))</f>
        <v>0</v>
      </c>
      <c r="AM51" s="111">
        <f t="shared" si="19"/>
        <v>0</v>
      </c>
      <c r="AN51" s="111">
        <f t="shared" si="11"/>
        <v>0</v>
      </c>
      <c r="AO51" s="204" t="str">
        <f t="shared" si="24"/>
        <v/>
      </c>
    </row>
    <row r="52" spans="1:41" x14ac:dyDescent="0.25">
      <c r="A52" s="103" t="str">
        <f>Start!D$7</f>
        <v>Anyland</v>
      </c>
      <c r="B52" s="109" t="str">
        <f>VLOOKUP(A52,list!B:C,2,FALSE)</f>
        <v>ANY</v>
      </c>
      <c r="C52" s="104" t="str">
        <f>IF(Start!$C$19="","",Start!$C$19)</f>
        <v>Moderna</v>
      </c>
      <c r="D52" s="298">
        <f t="shared" si="15"/>
        <v>44287</v>
      </c>
      <c r="E52" s="105" t="str">
        <f>IFERROR(VLOOKUP(C52,Start!C$15:D$31,2,FALSE),"No")</f>
        <v>No</v>
      </c>
      <c r="F52" s="105">
        <f t="shared" si="16"/>
        <v>0</v>
      </c>
      <c r="G52" s="106"/>
      <c r="H52" s="106"/>
      <c r="I52" s="106"/>
      <c r="J52" s="105">
        <f t="shared" si="0"/>
        <v>0</v>
      </c>
      <c r="K52" s="106"/>
      <c r="L52" s="177" t="str">
        <f t="shared" si="1"/>
        <v/>
      </c>
      <c r="M52" s="105">
        <f t="shared" si="2"/>
        <v>0</v>
      </c>
      <c r="N52" s="110"/>
      <c r="O52" s="124"/>
      <c r="P52" s="110"/>
      <c r="Q52" s="124"/>
      <c r="R52" s="111">
        <f>SUMIFS('Shipments data'!L:L,'Shipments data'!F:F,'Supply planning data'!C52,'Shipments data'!A:A,'Supply planning data'!A52,'Shipments data'!Y:Y,'Supply planning data'!D52,'Shipments data'!O:O,"received", 'Shipments data'!N:N, "Public")</f>
        <v>0</v>
      </c>
      <c r="S52" s="111">
        <f>SUMIFS('Shipments data'!L:L,'Shipments data'!F:F,'Supply planning data'!C52,'Shipments data'!A:A,'Supply planning data'!A52,'Shipments data'!Y:Y,'Supply planning data'!D52,'Shipments data'!O:O,"ordered", 'Shipments data'!N:N, "Public")</f>
        <v>0</v>
      </c>
      <c r="T52" s="111">
        <f>IF(SUMIFS('Shipments data'!L:L,'Shipments data'!F:F,'Supply planning data'!C52,'Shipments data'!A:A,'Supply planning data'!A52,'Shipments data'!O:O,"received",'Shipments data'!Q:Q,"&lt;"&amp;'Supply planning data'!D67,'Shipments data'!AC:AC,"&lt;"&amp;'Supply planning data'!D67)-SUMIFS(M:M,D:D,"&lt;="&amp;D52,C:C,C52)+SUMIFS(N:N,D:D,"&lt;="&amp;D52,C:C,C52)+SUMIFS(P:P,D:D,"&lt;="&amp;D52,C:C,C52)&lt;0,0,SUMIFS('Shipments data'!L:L,'Shipments data'!F:F,'Supply planning data'!C52,'Shipments data'!A:A,'Supply planning data'!A52,'Shipments data'!O:O,"received",'Shipments data'!Q:Q,"&lt;"&amp;'Supply planning data'!D67,'Shipments data'!AC:AC,"&lt;"&amp;'Supply planning data'!D67)-SUMIFS(M:M,D:D,"&lt;="&amp;D52,C:C,C52)+SUMIFS(N:N,D:D,"&lt;="&amp;D52,C:C,C52)+SUMIFS(P:P,D:D,"&lt;="&amp;D52,C:C,C52))</f>
        <v>0</v>
      </c>
      <c r="U52" s="112">
        <f t="shared" si="17"/>
        <v>0</v>
      </c>
      <c r="V52" s="111">
        <f t="shared" si="25"/>
        <v>0</v>
      </c>
      <c r="W52" s="204" t="str">
        <f t="shared" si="23"/>
        <v/>
      </c>
      <c r="X52" s="111">
        <f t="shared" si="20"/>
        <v>0</v>
      </c>
      <c r="Y52" s="110"/>
      <c r="Z52" s="107"/>
      <c r="AA52" s="111">
        <f t="shared" si="5"/>
        <v>0</v>
      </c>
      <c r="AB52" s="235"/>
      <c r="AC52" s="111">
        <f>IF(SUMIFS('Shipments data'!L:L,'Shipments data'!F:F,'Supply planning data'!C52,'Shipments data'!A:A,'Supply planning data'!A52,'Shipments data'!O:O,"received",'Shipments data'!Q:Q,"&lt;"&amp;'Supply planning data'!D67,'Shipments data'!AC:AC,"&lt;"&amp;'Supply planning data'!D67)-SUMIFS(M:M,D:D,"&lt;="&amp;D52,C:C,C52)-SUMIFS(AA:AA,D:D,"&lt;="&amp;D52,C:C,C52)+SUMIFS(N:N,D:D,"&lt;="&amp;D52,C:C,C52)+SUMIFS(P:P,D:D,"&lt;="&amp;D52,C:C,C52)&lt;0,0,SUMIFS('Shipments data'!L:L,'Shipments data'!F:F,'Supply planning data'!C52,'Shipments data'!A:A,'Supply planning data'!A52,'Shipments data'!O:O,"received",'Shipments data'!Q:Q,"&lt;"&amp;'Supply planning data'!D67,'Shipments data'!AC:AC,"&lt;"&amp;'Supply planning data'!D67)-SUMIFS(M:M,D:D,"&lt;="&amp;D52,C:C,C52)-SUMIFS(AA:AA,D:D,"&lt;="&amp;D52,C:C,C52)+SUMIFS(N:N,D:D,"&lt;="&amp;D52,C:C,C52)+SUMIFS(P:P,D:D,"&lt;="&amp;D52,C:C,C52))</f>
        <v>0</v>
      </c>
      <c r="AD52" s="111">
        <f t="shared" si="21"/>
        <v>0</v>
      </c>
      <c r="AE52" s="111">
        <f t="shared" si="10"/>
        <v>0</v>
      </c>
      <c r="AF52" s="204" t="str">
        <f t="shared" ref="AF52:AF63" si="27">IF(M52+AA52&lt;=0,"",IFERROR(AE52/(SUM(M52,M82,M67,AA52,AA82,AA67)/3),""))</f>
        <v/>
      </c>
      <c r="AG52" s="111">
        <f t="shared" si="18"/>
        <v>0</v>
      </c>
      <c r="AH52" s="110"/>
      <c r="AI52" s="313"/>
      <c r="AJ52" s="111">
        <f t="shared" si="7"/>
        <v>0</v>
      </c>
      <c r="AK52" s="235"/>
      <c r="AL52" s="111">
        <f>IF(SUMIFS('Shipments data'!L:L,'Shipments data'!F:F,'Supply planning data'!C52,'Shipments data'!A:A,'Supply planning data'!A52,'Shipments data'!O:O,"received",'Shipments data'!Q:Q,"&lt;"&amp;'Supply planning data'!D67,'Shipments data'!AC:AC,"&lt;"&amp;'Supply planning data'!D67)-SUMIFS(M:M,D:D,"&lt;="&amp;D52,C:C,C52)-SUMIFS(AJ:AJ,D:D,"&lt;="&amp;D52,C:C,C52)+SUMIFS(N:N,D:D,"&lt;="&amp;D52,C:C,C52)+SUMIFS(P:P,D:D,"&lt;="&amp;D52,C:C,C52)&lt;0,0,SUMIFS('Shipments data'!L:L,'Shipments data'!F:F,'Supply planning data'!C52,'Shipments data'!A:A,'Supply planning data'!A52,'Shipments data'!O:O,"received",'Shipments data'!Q:Q,"&lt;"&amp;'Supply planning data'!D67,'Shipments data'!AC:AC,"&lt;"&amp;'Supply planning data'!D67)-SUMIFS(M:M,D:D,"&lt;="&amp;D52,C:C,C52)-SUMIFS(AJ:AJ,D:D,"&lt;="&amp;D52,C:C,C52)+SUMIFS(N:N,D:D,"&lt;="&amp;D52,C:C,C52)+SUMIFS(P:P,D:D,"&lt;="&amp;D52,C:C,C52))</f>
        <v>0</v>
      </c>
      <c r="AM52" s="111">
        <f t="shared" si="19"/>
        <v>0</v>
      </c>
      <c r="AN52" s="111">
        <f t="shared" si="11"/>
        <v>0</v>
      </c>
      <c r="AO52" s="204" t="str">
        <f t="shared" si="24"/>
        <v/>
      </c>
    </row>
    <row r="53" spans="1:41" x14ac:dyDescent="0.25">
      <c r="A53" s="103" t="str">
        <f>Start!D$7</f>
        <v>Anyland</v>
      </c>
      <c r="B53" s="109" t="str">
        <f>VLOOKUP(A53,list!B:C,2,FALSE)</f>
        <v>ANY</v>
      </c>
      <c r="C53" s="109" t="str">
        <f>IF(Start!$C$20="","",Start!$C$20)</f>
        <v>Pfizer</v>
      </c>
      <c r="D53" s="298">
        <f t="shared" si="15"/>
        <v>44287</v>
      </c>
      <c r="E53" s="105" t="str">
        <f>IFERROR(VLOOKUP(C53,Start!C$15:D$31,2,FALSE),"No")</f>
        <v>Yes</v>
      </c>
      <c r="F53" s="105">
        <f t="shared" si="16"/>
        <v>0</v>
      </c>
      <c r="G53" s="106"/>
      <c r="H53" s="106"/>
      <c r="I53" s="106"/>
      <c r="J53" s="105">
        <f t="shared" si="0"/>
        <v>0</v>
      </c>
      <c r="K53" s="106"/>
      <c r="L53" s="177" t="str">
        <f t="shared" si="1"/>
        <v/>
      </c>
      <c r="M53" s="105">
        <f t="shared" si="2"/>
        <v>0</v>
      </c>
      <c r="N53" s="110"/>
      <c r="O53" s="124"/>
      <c r="P53" s="110"/>
      <c r="Q53" s="124"/>
      <c r="R53" s="111">
        <f>SUMIFS('Shipments data'!L:L,'Shipments data'!F:F,'Supply planning data'!C53,'Shipments data'!A:A,'Supply planning data'!A53,'Shipments data'!Y:Y,'Supply planning data'!D53,'Shipments data'!O:O,"received", 'Shipments data'!N:N, "Public")</f>
        <v>0</v>
      </c>
      <c r="S53" s="111">
        <f>SUMIFS('Shipments data'!L:L,'Shipments data'!F:F,'Supply planning data'!C53,'Shipments data'!A:A,'Supply planning data'!A53,'Shipments data'!Y:Y,'Supply planning data'!D53,'Shipments data'!O:O,"ordered", 'Shipments data'!N:N, "Public")</f>
        <v>0</v>
      </c>
      <c r="T53" s="111">
        <f>IF(SUMIFS('Shipments data'!L:L,'Shipments data'!F:F,'Supply planning data'!C53,'Shipments data'!A:A,'Supply planning data'!A53,'Shipments data'!O:O,"received",'Shipments data'!Q:Q,"&lt;"&amp;'Supply planning data'!D68,'Shipments data'!AC:AC,"&lt;"&amp;'Supply planning data'!D68)-SUMIFS(M:M,D:D,"&lt;="&amp;D53,C:C,C53)+SUMIFS(N:N,D:D,"&lt;="&amp;D53,C:C,C53)+SUMIFS(P:P,D:D,"&lt;="&amp;D53,C:C,C53)&lt;0,0,SUMIFS('Shipments data'!L:L,'Shipments data'!F:F,'Supply planning data'!C53,'Shipments data'!A:A,'Supply planning data'!A53,'Shipments data'!O:O,"received",'Shipments data'!Q:Q,"&lt;"&amp;'Supply planning data'!D68,'Shipments data'!AC:AC,"&lt;"&amp;'Supply planning data'!D68)-SUMIFS(M:M,D:D,"&lt;="&amp;D53,C:C,C53)+SUMIFS(N:N,D:D,"&lt;="&amp;D53,C:C,C53)+SUMIFS(P:P,D:D,"&lt;="&amp;D53,C:C,C53))</f>
        <v>0</v>
      </c>
      <c r="U53" s="112">
        <f t="shared" si="17"/>
        <v>0</v>
      </c>
      <c r="V53" s="111">
        <f t="shared" si="25"/>
        <v>0</v>
      </c>
      <c r="W53" s="204" t="str">
        <f t="shared" si="23"/>
        <v/>
      </c>
      <c r="X53" s="111">
        <f t="shared" si="20"/>
        <v>0</v>
      </c>
      <c r="Y53" s="110"/>
      <c r="Z53" s="107"/>
      <c r="AA53" s="111">
        <f t="shared" si="5"/>
        <v>0</v>
      </c>
      <c r="AB53" s="235"/>
      <c r="AC53" s="111">
        <f>IF(SUMIFS('Shipments data'!L:L,'Shipments data'!F:F,'Supply planning data'!C53,'Shipments data'!A:A,'Supply planning data'!A53,'Shipments data'!O:O,"received",'Shipments data'!Q:Q,"&lt;"&amp;'Supply planning data'!D68,'Shipments data'!AC:AC,"&lt;"&amp;'Supply planning data'!D68)-SUMIFS(M:M,D:D,"&lt;="&amp;D53,C:C,C53)-SUMIFS(AA:AA,D:D,"&lt;="&amp;D53,C:C,C53)+SUMIFS(N:N,D:D,"&lt;="&amp;D53,C:C,C53)+SUMIFS(P:P,D:D,"&lt;="&amp;D53,C:C,C53)&lt;0,0,SUMIFS('Shipments data'!L:L,'Shipments data'!F:F,'Supply planning data'!C53,'Shipments data'!A:A,'Supply planning data'!A53,'Shipments data'!O:O,"received",'Shipments data'!Q:Q,"&lt;"&amp;'Supply planning data'!D68,'Shipments data'!AC:AC,"&lt;"&amp;'Supply planning data'!D68)-SUMIFS(M:M,D:D,"&lt;="&amp;D53,C:C,C53)-SUMIFS(AA:AA,D:D,"&lt;="&amp;D53,C:C,C53)+SUMIFS(N:N,D:D,"&lt;="&amp;D53,C:C,C53)+SUMIFS(P:P,D:D,"&lt;="&amp;D53,C:C,C53))</f>
        <v>0</v>
      </c>
      <c r="AD53" s="111">
        <f t="shared" si="21"/>
        <v>0</v>
      </c>
      <c r="AE53" s="111">
        <f t="shared" si="10"/>
        <v>0</v>
      </c>
      <c r="AF53" s="204" t="str">
        <f t="shared" si="27"/>
        <v/>
      </c>
      <c r="AG53" s="111">
        <f t="shared" si="18"/>
        <v>0</v>
      </c>
      <c r="AH53" s="110"/>
      <c r="AI53" s="313"/>
      <c r="AJ53" s="111">
        <f t="shared" si="7"/>
        <v>0</v>
      </c>
      <c r="AK53" s="235"/>
      <c r="AL53" s="111">
        <f>IF(SUMIFS('Shipments data'!L:L,'Shipments data'!F:F,'Supply planning data'!C53,'Shipments data'!A:A,'Supply planning data'!A53,'Shipments data'!O:O,"received",'Shipments data'!Q:Q,"&lt;"&amp;'Supply planning data'!D68,'Shipments data'!AC:AC,"&lt;"&amp;'Supply planning data'!D68)-SUMIFS(M:M,D:D,"&lt;="&amp;D53,C:C,C53)-SUMIFS(AJ:AJ,D:D,"&lt;="&amp;D53,C:C,C53)+SUMIFS(N:N,D:D,"&lt;="&amp;D53,C:C,C53)+SUMIFS(P:P,D:D,"&lt;="&amp;D53,C:C,C53)&lt;0,0,SUMIFS('Shipments data'!L:L,'Shipments data'!F:F,'Supply planning data'!C53,'Shipments data'!A:A,'Supply planning data'!A53,'Shipments data'!O:O,"received",'Shipments data'!Q:Q,"&lt;"&amp;'Supply planning data'!D68,'Shipments data'!AC:AC,"&lt;"&amp;'Supply planning data'!D68)-SUMIFS(M:M,D:D,"&lt;="&amp;D53,C:C,C53)-SUMIFS(AJ:AJ,D:D,"&lt;="&amp;D53,C:C,C53)+SUMIFS(N:N,D:D,"&lt;="&amp;D53,C:C,C53)+SUMIFS(P:P,D:D,"&lt;="&amp;D53,C:C,C53))</f>
        <v>0</v>
      </c>
      <c r="AM53" s="111">
        <f t="shared" si="19"/>
        <v>0</v>
      </c>
      <c r="AN53" s="111">
        <f t="shared" si="11"/>
        <v>0</v>
      </c>
      <c r="AO53" s="204" t="str">
        <f t="shared" si="24"/>
        <v/>
      </c>
    </row>
    <row r="54" spans="1:41" x14ac:dyDescent="0.25">
      <c r="A54" s="103" t="str">
        <f>Start!D$7</f>
        <v>Anyland</v>
      </c>
      <c r="B54" s="109" t="str">
        <f>VLOOKUP(A54,list!B:C,2,FALSE)</f>
        <v>ANY</v>
      </c>
      <c r="C54" s="104" t="str">
        <f>IF(Start!$C$21="","",Start!$C$21)</f>
        <v>Sinovac</v>
      </c>
      <c r="D54" s="298">
        <f t="shared" si="15"/>
        <v>44287</v>
      </c>
      <c r="E54" s="105" t="str">
        <f>IFERROR(VLOOKUP(C54,Start!C$15:D$31,2,FALSE),"No")</f>
        <v>No</v>
      </c>
      <c r="F54" s="105">
        <f t="shared" si="16"/>
        <v>0</v>
      </c>
      <c r="G54" s="106"/>
      <c r="H54" s="106"/>
      <c r="I54" s="106"/>
      <c r="J54" s="105">
        <f t="shared" si="0"/>
        <v>0</v>
      </c>
      <c r="K54" s="106"/>
      <c r="L54" s="177" t="str">
        <f t="shared" si="1"/>
        <v/>
      </c>
      <c r="M54" s="105">
        <f t="shared" si="2"/>
        <v>0</v>
      </c>
      <c r="N54" s="110"/>
      <c r="O54" s="124"/>
      <c r="P54" s="110"/>
      <c r="Q54" s="124"/>
      <c r="R54" s="111">
        <f>SUMIFS('Shipments data'!L:L,'Shipments data'!F:F,'Supply planning data'!C54,'Shipments data'!A:A,'Supply planning data'!A54,'Shipments data'!Y:Y,'Supply planning data'!D54,'Shipments data'!O:O,"received", 'Shipments data'!N:N, "Public")</f>
        <v>0</v>
      </c>
      <c r="S54" s="111">
        <f>SUMIFS('Shipments data'!L:L,'Shipments data'!F:F,'Supply planning data'!C54,'Shipments data'!A:A,'Supply planning data'!A54,'Shipments data'!Y:Y,'Supply planning data'!D54,'Shipments data'!O:O,"ordered", 'Shipments data'!N:N, "Public")</f>
        <v>0</v>
      </c>
      <c r="T54" s="111">
        <f>IF(SUMIFS('Shipments data'!L:L,'Shipments data'!F:F,'Supply planning data'!C54,'Shipments data'!A:A,'Supply planning data'!A54,'Shipments data'!O:O,"received",'Shipments data'!Q:Q,"&lt;"&amp;'Supply planning data'!D69,'Shipments data'!AC:AC,"&lt;"&amp;'Supply planning data'!D69)-SUMIFS(M:M,D:D,"&lt;="&amp;D54,C:C,C54)+SUMIFS(N:N,D:D,"&lt;="&amp;D54,C:C,C54)+SUMIFS(P:P,D:D,"&lt;="&amp;D54,C:C,C54)&lt;0,0,SUMIFS('Shipments data'!L:L,'Shipments data'!F:F,'Supply planning data'!C54,'Shipments data'!A:A,'Supply planning data'!A54,'Shipments data'!O:O,"received",'Shipments data'!Q:Q,"&lt;"&amp;'Supply planning data'!D69,'Shipments data'!AC:AC,"&lt;"&amp;'Supply planning data'!D69)-SUMIFS(M:M,D:D,"&lt;="&amp;D54,C:C,C54)+SUMIFS(N:N,D:D,"&lt;="&amp;D54,C:C,C54)+SUMIFS(P:P,D:D,"&lt;="&amp;D54,C:C,C54))</f>
        <v>0</v>
      </c>
      <c r="U54" s="112">
        <f t="shared" si="17"/>
        <v>0</v>
      </c>
      <c r="V54" s="111">
        <f t="shared" si="25"/>
        <v>0</v>
      </c>
      <c r="W54" s="204" t="str">
        <f t="shared" si="23"/>
        <v/>
      </c>
      <c r="X54" s="111">
        <f t="shared" si="20"/>
        <v>0</v>
      </c>
      <c r="Y54" s="110"/>
      <c r="Z54" s="107"/>
      <c r="AA54" s="111">
        <f t="shared" si="5"/>
        <v>0</v>
      </c>
      <c r="AB54" s="235"/>
      <c r="AC54" s="111">
        <f>IF(SUMIFS('Shipments data'!L:L,'Shipments data'!F:F,'Supply planning data'!C54,'Shipments data'!A:A,'Supply planning data'!A54,'Shipments data'!O:O,"received",'Shipments data'!Q:Q,"&lt;"&amp;'Supply planning data'!D69,'Shipments data'!AC:AC,"&lt;"&amp;'Supply planning data'!D69)-SUMIFS(M:M,D:D,"&lt;="&amp;D54,C:C,C54)-SUMIFS(AA:AA,D:D,"&lt;="&amp;D54,C:C,C54)+SUMIFS(N:N,D:D,"&lt;="&amp;D54,C:C,C54)+SUMIFS(P:P,D:D,"&lt;="&amp;D54,C:C,C54)&lt;0,0,SUMIFS('Shipments data'!L:L,'Shipments data'!F:F,'Supply planning data'!C54,'Shipments data'!A:A,'Supply planning data'!A54,'Shipments data'!O:O,"received",'Shipments data'!Q:Q,"&lt;"&amp;'Supply planning data'!D69,'Shipments data'!AC:AC,"&lt;"&amp;'Supply planning data'!D69)-SUMIFS(M:M,D:D,"&lt;="&amp;D54,C:C,C54)-SUMIFS(AA:AA,D:D,"&lt;="&amp;D54,C:C,C54)+SUMIFS(N:N,D:D,"&lt;="&amp;D54,C:C,C54)+SUMIFS(P:P,D:D,"&lt;="&amp;D54,C:C,C54))</f>
        <v>0</v>
      </c>
      <c r="AD54" s="111">
        <f t="shared" si="21"/>
        <v>0</v>
      </c>
      <c r="AE54" s="111">
        <f t="shared" si="10"/>
        <v>0</v>
      </c>
      <c r="AF54" s="204" t="str">
        <f t="shared" si="27"/>
        <v/>
      </c>
      <c r="AG54" s="111">
        <f t="shared" si="18"/>
        <v>0</v>
      </c>
      <c r="AH54" s="110"/>
      <c r="AI54" s="313"/>
      <c r="AJ54" s="111">
        <f t="shared" si="7"/>
        <v>0</v>
      </c>
      <c r="AK54" s="235"/>
      <c r="AL54" s="111">
        <f>IF(SUMIFS('Shipments data'!L:L,'Shipments data'!F:F,'Supply planning data'!C54,'Shipments data'!A:A,'Supply planning data'!A54,'Shipments data'!O:O,"received",'Shipments data'!Q:Q,"&lt;"&amp;'Supply planning data'!D69,'Shipments data'!AC:AC,"&lt;"&amp;'Supply planning data'!D69)-SUMIFS(M:M,D:D,"&lt;="&amp;D54,C:C,C54)-SUMIFS(AJ:AJ,D:D,"&lt;="&amp;D54,C:C,C54)+SUMIFS(N:N,D:D,"&lt;="&amp;D54,C:C,C54)+SUMIFS(P:P,D:D,"&lt;="&amp;D54,C:C,C54)&lt;0,0,SUMIFS('Shipments data'!L:L,'Shipments data'!F:F,'Supply planning data'!C54,'Shipments data'!A:A,'Supply planning data'!A54,'Shipments data'!O:O,"received",'Shipments data'!Q:Q,"&lt;"&amp;'Supply planning data'!D69,'Shipments data'!AC:AC,"&lt;"&amp;'Supply planning data'!D69)-SUMIFS(M:M,D:D,"&lt;="&amp;D54,C:C,C54)-SUMIFS(AJ:AJ,D:D,"&lt;="&amp;D54,C:C,C54)+SUMIFS(N:N,D:D,"&lt;="&amp;D54,C:C,C54)+SUMIFS(P:P,D:D,"&lt;="&amp;D54,C:C,C54))</f>
        <v>0</v>
      </c>
      <c r="AM54" s="111">
        <f t="shared" si="19"/>
        <v>0</v>
      </c>
      <c r="AN54" s="111">
        <f t="shared" si="11"/>
        <v>0</v>
      </c>
      <c r="AO54" s="204" t="str">
        <f t="shared" si="24"/>
        <v/>
      </c>
    </row>
    <row r="55" spans="1:41" hidden="1" x14ac:dyDescent="0.25">
      <c r="A55" s="103" t="str">
        <f>Start!D$7</f>
        <v>Anyland</v>
      </c>
      <c r="B55" s="109" t="str">
        <f>VLOOKUP(A55,list!B:C,2,FALSE)</f>
        <v>ANY</v>
      </c>
      <c r="C55" s="109" t="str">
        <f>IF(Start!$C$22="","",Start!$C$22)</f>
        <v/>
      </c>
      <c r="D55" s="298">
        <f t="shared" si="15"/>
        <v>44287</v>
      </c>
      <c r="E55" s="105" t="str">
        <f>IFERROR(VLOOKUP(C55,Start!C$15:D$31,2,FALSE),"No")</f>
        <v>No</v>
      </c>
      <c r="F55" s="105">
        <f t="shared" si="16"/>
        <v>0</v>
      </c>
      <c r="G55" s="106"/>
      <c r="H55" s="106"/>
      <c r="I55" s="106"/>
      <c r="J55" s="105">
        <f t="shared" si="0"/>
        <v>0</v>
      </c>
      <c r="K55" s="106"/>
      <c r="L55" s="177" t="str">
        <f t="shared" si="1"/>
        <v/>
      </c>
      <c r="M55" s="105">
        <f t="shared" si="2"/>
        <v>0</v>
      </c>
      <c r="N55" s="110"/>
      <c r="O55" s="124"/>
      <c r="P55" s="110"/>
      <c r="Q55" s="124"/>
      <c r="R55" s="111">
        <f>SUMIFS('Shipments data'!L:L,'Shipments data'!F:F,'Supply planning data'!C55,'Shipments data'!A:A,'Supply planning data'!A55,'Shipments data'!Y:Y,'Supply planning data'!D55,'Shipments data'!O:O,"received", 'Shipments data'!N:N, "Public")</f>
        <v>0</v>
      </c>
      <c r="S55" s="111">
        <f>SUMIFS('Shipments data'!L:L,'Shipments data'!F:F,'Supply planning data'!C55,'Shipments data'!A:A,'Supply planning data'!A55,'Shipments data'!Y:Y,'Supply planning data'!D55,'Shipments data'!O:O,"ordered", 'Shipments data'!N:N, "Public")</f>
        <v>0</v>
      </c>
      <c r="T55" s="111">
        <f>IF(SUMIFS('Shipments data'!L:L,'Shipments data'!F:F,'Supply planning data'!C55,'Shipments data'!A:A,'Supply planning data'!A55,'Shipments data'!O:O,"received",'Shipments data'!Q:Q,"&lt;"&amp;'Supply planning data'!D70,'Shipments data'!AC:AC,"&lt;"&amp;'Supply planning data'!D70)-SUMIFS(M:M,D:D,"&lt;="&amp;D55,C:C,C55)+SUMIFS(N:N,D:D,"&lt;="&amp;D55,C:C,C55)+SUMIFS(P:P,D:D,"&lt;="&amp;D55,C:C,C55)&lt;0,0,SUMIFS('Shipments data'!L:L,'Shipments data'!F:F,'Supply planning data'!C55,'Shipments data'!A:A,'Supply planning data'!A55,'Shipments data'!O:O,"received",'Shipments data'!Q:Q,"&lt;"&amp;'Supply planning data'!D70,'Shipments data'!AC:AC,"&lt;"&amp;'Supply planning data'!D70)-SUMIFS(M:M,D:D,"&lt;="&amp;D55,C:C,C55)+SUMIFS(N:N,D:D,"&lt;="&amp;D55,C:C,C55)+SUMIFS(P:P,D:D,"&lt;="&amp;D55,C:C,C55))</f>
        <v>0</v>
      </c>
      <c r="U55" s="112">
        <f t="shared" si="17"/>
        <v>0</v>
      </c>
      <c r="V55" s="111">
        <f t="shared" si="25"/>
        <v>0</v>
      </c>
      <c r="W55" s="204" t="str">
        <f t="shared" si="23"/>
        <v/>
      </c>
      <c r="X55" s="111">
        <f t="shared" si="20"/>
        <v>0</v>
      </c>
      <c r="Y55" s="110"/>
      <c r="Z55" s="107"/>
      <c r="AA55" s="111">
        <f t="shared" si="5"/>
        <v>0</v>
      </c>
      <c r="AB55" s="235"/>
      <c r="AC55" s="111">
        <f>IF(SUMIFS('Shipments data'!L:L,'Shipments data'!F:F,'Supply planning data'!C55,'Shipments data'!A:A,'Supply planning data'!A55,'Shipments data'!O:O,"received",'Shipments data'!Q:Q,"&lt;"&amp;'Supply planning data'!D70,'Shipments data'!AC:AC,"&lt;"&amp;'Supply planning data'!D70)-SUMIFS(M:M,D:D,"&lt;="&amp;D55,C:C,C55)-SUMIFS(AA:AA,D:D,"&lt;="&amp;D55,C:C,C55)+SUMIFS(N:N,D:D,"&lt;="&amp;D55,C:C,C55)+SUMIFS(P:P,D:D,"&lt;="&amp;D55,C:C,C55)&lt;0,0,SUMIFS('Shipments data'!L:L,'Shipments data'!F:F,'Supply planning data'!C55,'Shipments data'!A:A,'Supply planning data'!A55,'Shipments data'!O:O,"received",'Shipments data'!Q:Q,"&lt;"&amp;'Supply planning data'!D70,'Shipments data'!AC:AC,"&lt;"&amp;'Supply planning data'!D70)-SUMIFS(M:M,D:D,"&lt;="&amp;D55,C:C,C55)-SUMIFS(AA:AA,D:D,"&lt;="&amp;D55,C:C,C55)+SUMIFS(N:N,D:D,"&lt;="&amp;D55,C:C,C55)+SUMIFS(P:P,D:D,"&lt;="&amp;D55,C:C,C55))</f>
        <v>0</v>
      </c>
      <c r="AD55" s="111">
        <f t="shared" si="21"/>
        <v>0</v>
      </c>
      <c r="AE55" s="111">
        <f t="shared" si="10"/>
        <v>0</v>
      </c>
      <c r="AF55" s="204" t="str">
        <f t="shared" si="27"/>
        <v/>
      </c>
      <c r="AG55" s="111">
        <f t="shared" si="18"/>
        <v>0</v>
      </c>
      <c r="AH55" s="110"/>
      <c r="AI55" s="313"/>
      <c r="AJ55" s="111">
        <f t="shared" si="7"/>
        <v>0</v>
      </c>
      <c r="AK55" s="235"/>
      <c r="AL55" s="111">
        <f>IF(SUMIFS('Shipments data'!L:L,'Shipments data'!F:F,'Supply planning data'!C55,'Shipments data'!A:A,'Supply planning data'!A55,'Shipments data'!O:O,"received",'Shipments data'!Q:Q,"&lt;"&amp;'Supply planning data'!D70,'Shipments data'!AC:AC,"&lt;"&amp;'Supply planning data'!D70)-SUMIFS(M:M,D:D,"&lt;="&amp;D55,C:C,C55)-SUMIFS(AJ:AJ,D:D,"&lt;="&amp;D55,C:C,C55)+SUMIFS(N:N,D:D,"&lt;="&amp;D55,C:C,C55)+SUMIFS(P:P,D:D,"&lt;="&amp;D55,C:C,C55)&lt;0,0,SUMIFS('Shipments data'!L:L,'Shipments data'!F:F,'Supply planning data'!C55,'Shipments data'!A:A,'Supply planning data'!A55,'Shipments data'!O:O,"received",'Shipments data'!Q:Q,"&lt;"&amp;'Supply planning data'!D70,'Shipments data'!AC:AC,"&lt;"&amp;'Supply planning data'!D70)-SUMIFS(M:M,D:D,"&lt;="&amp;D55,C:C,C55)-SUMIFS(AJ:AJ,D:D,"&lt;="&amp;D55,C:C,C55)+SUMIFS(N:N,D:D,"&lt;="&amp;D55,C:C,C55)+SUMIFS(P:P,D:D,"&lt;="&amp;D55,C:C,C55))</f>
        <v>0</v>
      </c>
      <c r="AM55" s="111">
        <f t="shared" si="19"/>
        <v>0</v>
      </c>
      <c r="AN55" s="111">
        <f t="shared" si="11"/>
        <v>0</v>
      </c>
      <c r="AO55" s="204" t="str">
        <f t="shared" si="24"/>
        <v/>
      </c>
    </row>
    <row r="56" spans="1:41" hidden="1" x14ac:dyDescent="0.25">
      <c r="A56" s="103" t="str">
        <f>Start!D$7</f>
        <v>Anyland</v>
      </c>
      <c r="B56" s="109" t="str">
        <f>VLOOKUP(A56,list!B:C,2,FALSE)</f>
        <v>ANY</v>
      </c>
      <c r="C56" s="104" t="str">
        <f>IF(Start!$C$23="","",Start!$C$23)</f>
        <v/>
      </c>
      <c r="D56" s="298">
        <f t="shared" si="15"/>
        <v>44287</v>
      </c>
      <c r="E56" s="105" t="str">
        <f>IFERROR(VLOOKUP(C56,Start!C$15:D$31,2,FALSE),"No")</f>
        <v>No</v>
      </c>
      <c r="F56" s="105">
        <f t="shared" si="16"/>
        <v>0</v>
      </c>
      <c r="G56" s="106"/>
      <c r="H56" s="106"/>
      <c r="I56" s="106"/>
      <c r="J56" s="105">
        <f t="shared" si="0"/>
        <v>0</v>
      </c>
      <c r="K56" s="106"/>
      <c r="L56" s="177" t="str">
        <f t="shared" si="1"/>
        <v/>
      </c>
      <c r="M56" s="105">
        <f t="shared" si="2"/>
        <v>0</v>
      </c>
      <c r="N56" s="110"/>
      <c r="O56" s="124"/>
      <c r="P56" s="110"/>
      <c r="Q56" s="124"/>
      <c r="R56" s="111">
        <f>SUMIFS('Shipments data'!L:L,'Shipments data'!F:F,'Supply planning data'!C56,'Shipments data'!A:A,'Supply planning data'!A56,'Shipments data'!Y:Y,'Supply planning data'!D56,'Shipments data'!O:O,"received", 'Shipments data'!N:N, "Public")</f>
        <v>0</v>
      </c>
      <c r="S56" s="111">
        <f>SUMIFS('Shipments data'!L:L,'Shipments data'!F:F,'Supply planning data'!C56,'Shipments data'!A:A,'Supply planning data'!A56,'Shipments data'!Y:Y,'Supply planning data'!D56,'Shipments data'!O:O,"ordered", 'Shipments data'!N:N, "Public")</f>
        <v>0</v>
      </c>
      <c r="T56" s="111">
        <f>IF(SUMIFS('Shipments data'!L:L,'Shipments data'!F:F,'Supply planning data'!C56,'Shipments data'!A:A,'Supply planning data'!A56,'Shipments data'!O:O,"received",'Shipments data'!Q:Q,"&lt;"&amp;'Supply planning data'!D71,'Shipments data'!AC:AC,"&lt;"&amp;'Supply planning data'!D71)-SUMIFS(M:M,D:D,"&lt;="&amp;D56,C:C,C56)+SUMIFS(N:N,D:D,"&lt;="&amp;D56,C:C,C56)+SUMIFS(P:P,D:D,"&lt;="&amp;D56,C:C,C56)&lt;0,0,SUMIFS('Shipments data'!L:L,'Shipments data'!F:F,'Supply planning data'!C56,'Shipments data'!A:A,'Supply planning data'!A56,'Shipments data'!O:O,"received",'Shipments data'!Q:Q,"&lt;"&amp;'Supply planning data'!D71,'Shipments data'!AC:AC,"&lt;"&amp;'Supply planning data'!D71)-SUMIFS(M:M,D:D,"&lt;="&amp;D56,C:C,C56)+SUMIFS(N:N,D:D,"&lt;="&amp;D56,C:C,C56)+SUMIFS(P:P,D:D,"&lt;="&amp;D56,C:C,C56))</f>
        <v>0</v>
      </c>
      <c r="U56" s="112">
        <f t="shared" si="17"/>
        <v>0</v>
      </c>
      <c r="V56" s="111">
        <f t="shared" si="25"/>
        <v>0</v>
      </c>
      <c r="W56" s="204" t="str">
        <f t="shared" si="23"/>
        <v/>
      </c>
      <c r="X56" s="111">
        <f t="shared" si="20"/>
        <v>0</v>
      </c>
      <c r="Y56" s="110"/>
      <c r="Z56" s="107"/>
      <c r="AA56" s="111">
        <f t="shared" si="5"/>
        <v>0</v>
      </c>
      <c r="AB56" s="235"/>
      <c r="AC56" s="111">
        <f>IF(SUMIFS('Shipments data'!L:L,'Shipments data'!F:F,'Supply planning data'!C56,'Shipments data'!A:A,'Supply planning data'!A56,'Shipments data'!O:O,"received",'Shipments data'!Q:Q,"&lt;"&amp;'Supply planning data'!D71,'Shipments data'!AC:AC,"&lt;"&amp;'Supply planning data'!D71)-SUMIFS(M:M,D:D,"&lt;="&amp;D56,C:C,C56)-SUMIFS(AA:AA,D:D,"&lt;="&amp;D56,C:C,C56)+SUMIFS(N:N,D:D,"&lt;="&amp;D56,C:C,C56)+SUMIFS(P:P,D:D,"&lt;="&amp;D56,C:C,C56)&lt;0,0,SUMIFS('Shipments data'!L:L,'Shipments data'!F:F,'Supply planning data'!C56,'Shipments data'!A:A,'Supply planning data'!A56,'Shipments data'!O:O,"received",'Shipments data'!Q:Q,"&lt;"&amp;'Supply planning data'!D71,'Shipments data'!AC:AC,"&lt;"&amp;'Supply planning data'!D71)-SUMIFS(M:M,D:D,"&lt;="&amp;D56,C:C,C56)-SUMIFS(AA:AA,D:D,"&lt;="&amp;D56,C:C,C56)+SUMIFS(N:N,D:D,"&lt;="&amp;D56,C:C,C56)+SUMIFS(P:P,D:D,"&lt;="&amp;D56,C:C,C56))</f>
        <v>0</v>
      </c>
      <c r="AD56" s="111">
        <f t="shared" si="21"/>
        <v>0</v>
      </c>
      <c r="AE56" s="111">
        <f t="shared" si="10"/>
        <v>0</v>
      </c>
      <c r="AF56" s="204" t="str">
        <f t="shared" si="27"/>
        <v/>
      </c>
      <c r="AG56" s="111">
        <f t="shared" si="18"/>
        <v>0</v>
      </c>
      <c r="AH56" s="110"/>
      <c r="AI56" s="313"/>
      <c r="AJ56" s="111">
        <f t="shared" si="7"/>
        <v>0</v>
      </c>
      <c r="AK56" s="235"/>
      <c r="AL56" s="111">
        <f>IF(SUMIFS('Shipments data'!L:L,'Shipments data'!F:F,'Supply planning data'!C56,'Shipments data'!A:A,'Supply planning data'!A56,'Shipments data'!O:O,"received",'Shipments data'!Q:Q,"&lt;"&amp;'Supply planning data'!D71,'Shipments data'!AC:AC,"&lt;"&amp;'Supply planning data'!D71)-SUMIFS(M:M,D:D,"&lt;="&amp;D56,C:C,C56)-SUMIFS(AJ:AJ,D:D,"&lt;="&amp;D56,C:C,C56)+SUMIFS(N:N,D:D,"&lt;="&amp;D56,C:C,C56)+SUMIFS(P:P,D:D,"&lt;="&amp;D56,C:C,C56)&lt;0,0,SUMIFS('Shipments data'!L:L,'Shipments data'!F:F,'Supply planning data'!C56,'Shipments data'!A:A,'Supply planning data'!A56,'Shipments data'!O:O,"received",'Shipments data'!Q:Q,"&lt;"&amp;'Supply planning data'!D71,'Shipments data'!AC:AC,"&lt;"&amp;'Supply planning data'!D71)-SUMIFS(M:M,D:D,"&lt;="&amp;D56,C:C,C56)-SUMIFS(AJ:AJ,D:D,"&lt;="&amp;D56,C:C,C56)+SUMIFS(N:N,D:D,"&lt;="&amp;D56,C:C,C56)+SUMIFS(P:P,D:D,"&lt;="&amp;D56,C:C,C56))</f>
        <v>0</v>
      </c>
      <c r="AM56" s="111">
        <f t="shared" si="19"/>
        <v>0</v>
      </c>
      <c r="AN56" s="111">
        <f t="shared" si="11"/>
        <v>0</v>
      </c>
      <c r="AO56" s="204" t="str">
        <f t="shared" si="24"/>
        <v/>
      </c>
    </row>
    <row r="57" spans="1:41" hidden="1" x14ac:dyDescent="0.25">
      <c r="A57" s="103" t="str">
        <f>Start!D$7</f>
        <v>Anyland</v>
      </c>
      <c r="B57" s="109" t="str">
        <f>VLOOKUP(A57,list!B:C,2,FALSE)</f>
        <v>ANY</v>
      </c>
      <c r="C57" s="109" t="str">
        <f>IF(Start!$C$24="","",Start!$C$24)</f>
        <v/>
      </c>
      <c r="D57" s="298">
        <f t="shared" si="15"/>
        <v>44287</v>
      </c>
      <c r="E57" s="105" t="str">
        <f>IFERROR(VLOOKUP(C57,Start!C$15:D$31,2,FALSE),"No")</f>
        <v>No</v>
      </c>
      <c r="F57" s="105">
        <f t="shared" si="16"/>
        <v>0</v>
      </c>
      <c r="G57" s="106"/>
      <c r="H57" s="106"/>
      <c r="I57" s="106"/>
      <c r="J57" s="105">
        <f t="shared" si="0"/>
        <v>0</v>
      </c>
      <c r="K57" s="106"/>
      <c r="L57" s="177" t="str">
        <f t="shared" si="1"/>
        <v/>
      </c>
      <c r="M57" s="105">
        <f t="shared" si="2"/>
        <v>0</v>
      </c>
      <c r="N57" s="110"/>
      <c r="O57" s="124"/>
      <c r="P57" s="110"/>
      <c r="Q57" s="124"/>
      <c r="R57" s="111">
        <f>SUMIFS('Shipments data'!L:L,'Shipments data'!F:F,'Supply planning data'!C57,'Shipments data'!A:A,'Supply planning data'!A57,'Shipments data'!Y:Y,'Supply planning data'!D57,'Shipments data'!O:O,"received", 'Shipments data'!N:N, "Public")</f>
        <v>0</v>
      </c>
      <c r="S57" s="111">
        <f>SUMIFS('Shipments data'!L:L,'Shipments data'!F:F,'Supply planning data'!C57,'Shipments data'!A:A,'Supply planning data'!A57,'Shipments data'!Y:Y,'Supply planning data'!D57,'Shipments data'!O:O,"ordered", 'Shipments data'!N:N, "Public")</f>
        <v>0</v>
      </c>
      <c r="T57" s="111">
        <f>IF(SUMIFS('Shipments data'!L:L,'Shipments data'!F:F,'Supply planning data'!C57,'Shipments data'!A:A,'Supply planning data'!A57,'Shipments data'!O:O,"received",'Shipments data'!Q:Q,"&lt;"&amp;'Supply planning data'!D72,'Shipments data'!AC:AC,"&lt;"&amp;'Supply planning data'!D72)-SUMIFS(M:M,D:D,"&lt;="&amp;D57,C:C,C57)+SUMIFS(N:N,D:D,"&lt;="&amp;D57,C:C,C57)+SUMIFS(P:P,D:D,"&lt;="&amp;D57,C:C,C57)&lt;0,0,SUMIFS('Shipments data'!L:L,'Shipments data'!F:F,'Supply planning data'!C57,'Shipments data'!A:A,'Supply planning data'!A57,'Shipments data'!O:O,"received",'Shipments data'!Q:Q,"&lt;"&amp;'Supply planning data'!D72,'Shipments data'!AC:AC,"&lt;"&amp;'Supply planning data'!D72)-SUMIFS(M:M,D:D,"&lt;="&amp;D57,C:C,C57)+SUMIFS(N:N,D:D,"&lt;="&amp;D57,C:C,C57)+SUMIFS(P:P,D:D,"&lt;="&amp;D57,C:C,C57))</f>
        <v>0</v>
      </c>
      <c r="U57" s="112">
        <f t="shared" si="17"/>
        <v>0</v>
      </c>
      <c r="V57" s="111">
        <f t="shared" si="25"/>
        <v>0</v>
      </c>
      <c r="W57" s="204" t="str">
        <f t="shared" si="23"/>
        <v/>
      </c>
      <c r="X57" s="111">
        <f t="shared" si="20"/>
        <v>0</v>
      </c>
      <c r="Y57" s="110"/>
      <c r="Z57" s="107"/>
      <c r="AA57" s="111">
        <f t="shared" si="5"/>
        <v>0</v>
      </c>
      <c r="AB57" s="235"/>
      <c r="AC57" s="111">
        <f>IF(SUMIFS('Shipments data'!L:L,'Shipments data'!F:F,'Supply planning data'!C57,'Shipments data'!A:A,'Supply planning data'!A57,'Shipments data'!O:O,"received",'Shipments data'!Q:Q,"&lt;"&amp;'Supply planning data'!D72,'Shipments data'!AC:AC,"&lt;"&amp;'Supply planning data'!D72)-SUMIFS(M:M,D:D,"&lt;="&amp;D57,C:C,C57)-SUMIFS(AA:AA,D:D,"&lt;="&amp;D57,C:C,C57)+SUMIFS(N:N,D:D,"&lt;="&amp;D57,C:C,C57)+SUMIFS(P:P,D:D,"&lt;="&amp;D57,C:C,C57)&lt;0,0,SUMIFS('Shipments data'!L:L,'Shipments data'!F:F,'Supply planning data'!C57,'Shipments data'!A:A,'Supply planning data'!A57,'Shipments data'!O:O,"received",'Shipments data'!Q:Q,"&lt;"&amp;'Supply planning data'!D72,'Shipments data'!AC:AC,"&lt;"&amp;'Supply planning data'!D72)-SUMIFS(M:M,D:D,"&lt;="&amp;D57,C:C,C57)-SUMIFS(AA:AA,D:D,"&lt;="&amp;D57,C:C,C57)+SUMIFS(N:N,D:D,"&lt;="&amp;D57,C:C,C57)+SUMIFS(P:P,D:D,"&lt;="&amp;D57,C:C,C57))</f>
        <v>0</v>
      </c>
      <c r="AD57" s="111">
        <f t="shared" si="21"/>
        <v>0</v>
      </c>
      <c r="AE57" s="111">
        <f t="shared" si="10"/>
        <v>0</v>
      </c>
      <c r="AF57" s="204" t="str">
        <f t="shared" si="27"/>
        <v/>
      </c>
      <c r="AG57" s="111">
        <f t="shared" si="18"/>
        <v>0</v>
      </c>
      <c r="AH57" s="110"/>
      <c r="AI57" s="313"/>
      <c r="AJ57" s="111">
        <f t="shared" si="7"/>
        <v>0</v>
      </c>
      <c r="AK57" s="235"/>
      <c r="AL57" s="111">
        <f>IF(SUMIFS('Shipments data'!L:L,'Shipments data'!F:F,'Supply planning data'!C57,'Shipments data'!A:A,'Supply planning data'!A57,'Shipments data'!O:O,"received",'Shipments data'!Q:Q,"&lt;"&amp;'Supply planning data'!D72,'Shipments data'!AC:AC,"&lt;"&amp;'Supply planning data'!D72)-SUMIFS(M:M,D:D,"&lt;="&amp;D57,C:C,C57)-SUMIFS(AJ:AJ,D:D,"&lt;="&amp;D57,C:C,C57)+SUMIFS(N:N,D:D,"&lt;="&amp;D57,C:C,C57)+SUMIFS(P:P,D:D,"&lt;="&amp;D57,C:C,C57)&lt;0,0,SUMIFS('Shipments data'!L:L,'Shipments data'!F:F,'Supply planning data'!C57,'Shipments data'!A:A,'Supply planning data'!A57,'Shipments data'!O:O,"received",'Shipments data'!Q:Q,"&lt;"&amp;'Supply planning data'!D72,'Shipments data'!AC:AC,"&lt;"&amp;'Supply planning data'!D72)-SUMIFS(M:M,D:D,"&lt;="&amp;D57,C:C,C57)-SUMIFS(AJ:AJ,D:D,"&lt;="&amp;D57,C:C,C57)+SUMIFS(N:N,D:D,"&lt;="&amp;D57,C:C,C57)+SUMIFS(P:P,D:D,"&lt;="&amp;D57,C:C,C57))</f>
        <v>0</v>
      </c>
      <c r="AM57" s="111">
        <f t="shared" si="19"/>
        <v>0</v>
      </c>
      <c r="AN57" s="111">
        <f t="shared" si="11"/>
        <v>0</v>
      </c>
      <c r="AO57" s="204" t="str">
        <f t="shared" si="24"/>
        <v/>
      </c>
    </row>
    <row r="58" spans="1:41" hidden="1" x14ac:dyDescent="0.25">
      <c r="A58" s="103" t="str">
        <f>Start!D$7</f>
        <v>Anyland</v>
      </c>
      <c r="B58" s="109" t="str">
        <f>VLOOKUP(A58,list!B:C,2,FALSE)</f>
        <v>ANY</v>
      </c>
      <c r="C58" s="104" t="str">
        <f>IF(Start!$C$25="","",Start!$C$25)</f>
        <v/>
      </c>
      <c r="D58" s="298">
        <f t="shared" si="15"/>
        <v>44287</v>
      </c>
      <c r="E58" s="105" t="str">
        <f>IFERROR(VLOOKUP(C58,Start!C$15:D$31,2,FALSE),"No")</f>
        <v>No</v>
      </c>
      <c r="F58" s="105">
        <f t="shared" si="16"/>
        <v>0</v>
      </c>
      <c r="G58" s="106"/>
      <c r="H58" s="106"/>
      <c r="I58" s="106"/>
      <c r="J58" s="105">
        <f t="shared" si="0"/>
        <v>0</v>
      </c>
      <c r="K58" s="106"/>
      <c r="L58" s="177" t="str">
        <f t="shared" si="1"/>
        <v/>
      </c>
      <c r="M58" s="105">
        <f t="shared" si="2"/>
        <v>0</v>
      </c>
      <c r="N58" s="110"/>
      <c r="O58" s="124"/>
      <c r="P58" s="110"/>
      <c r="Q58" s="124"/>
      <c r="R58" s="111">
        <f>SUMIFS('Shipments data'!L:L,'Shipments data'!F:F,'Supply planning data'!C58,'Shipments data'!A:A,'Supply planning data'!A58,'Shipments data'!Y:Y,'Supply planning data'!D58,'Shipments data'!O:O,"received", 'Shipments data'!N:N, "Public")</f>
        <v>0</v>
      </c>
      <c r="S58" s="111">
        <f>SUMIFS('Shipments data'!L:L,'Shipments data'!F:F,'Supply planning data'!C58,'Shipments data'!A:A,'Supply planning data'!A58,'Shipments data'!Y:Y,'Supply planning data'!D58,'Shipments data'!O:O,"ordered", 'Shipments data'!N:N, "Public")</f>
        <v>0</v>
      </c>
      <c r="T58" s="111">
        <f>IF(SUMIFS('Shipments data'!L:L,'Shipments data'!F:F,'Supply planning data'!C58,'Shipments data'!A:A,'Supply planning data'!A58,'Shipments data'!O:O,"received",'Shipments data'!Q:Q,"&lt;"&amp;'Supply planning data'!D73,'Shipments data'!AC:AC,"&lt;"&amp;'Supply planning data'!D73)-SUMIFS(M:M,D:D,"&lt;="&amp;D58,C:C,C58)+SUMIFS(N:N,D:D,"&lt;="&amp;D58,C:C,C58)+SUMIFS(P:P,D:D,"&lt;="&amp;D58,C:C,C58)&lt;0,0,SUMIFS('Shipments data'!L:L,'Shipments data'!F:F,'Supply planning data'!C58,'Shipments data'!A:A,'Supply planning data'!A58,'Shipments data'!O:O,"received",'Shipments data'!Q:Q,"&lt;"&amp;'Supply planning data'!D73,'Shipments data'!AC:AC,"&lt;"&amp;'Supply planning data'!D73)-SUMIFS(M:M,D:D,"&lt;="&amp;D58,C:C,C58)+SUMIFS(N:N,D:D,"&lt;="&amp;D58,C:C,C58)+SUMIFS(P:P,D:D,"&lt;="&amp;D58,C:C,C58))</f>
        <v>0</v>
      </c>
      <c r="U58" s="112">
        <f t="shared" si="17"/>
        <v>0</v>
      </c>
      <c r="V58" s="111">
        <f t="shared" si="25"/>
        <v>0</v>
      </c>
      <c r="W58" s="204" t="str">
        <f t="shared" si="23"/>
        <v/>
      </c>
      <c r="X58" s="111">
        <f t="shared" si="20"/>
        <v>0</v>
      </c>
      <c r="Y58" s="110"/>
      <c r="Z58" s="107"/>
      <c r="AA58" s="111">
        <f t="shared" si="5"/>
        <v>0</v>
      </c>
      <c r="AB58" s="235"/>
      <c r="AC58" s="111">
        <f>IF(SUMIFS('Shipments data'!L:L,'Shipments data'!F:F,'Supply planning data'!C58,'Shipments data'!A:A,'Supply planning data'!A58,'Shipments data'!O:O,"received",'Shipments data'!Q:Q,"&lt;"&amp;'Supply planning data'!D73,'Shipments data'!AC:AC,"&lt;"&amp;'Supply planning data'!D73)-SUMIFS(M:M,D:D,"&lt;="&amp;D58,C:C,C58)-SUMIFS(AA:AA,D:D,"&lt;="&amp;D58,C:C,C58)+SUMIFS(N:N,D:D,"&lt;="&amp;D58,C:C,C58)+SUMIFS(P:P,D:D,"&lt;="&amp;D58,C:C,C58)&lt;0,0,SUMIFS('Shipments data'!L:L,'Shipments data'!F:F,'Supply planning data'!C58,'Shipments data'!A:A,'Supply planning data'!A58,'Shipments data'!O:O,"received",'Shipments data'!Q:Q,"&lt;"&amp;'Supply planning data'!D73,'Shipments data'!AC:AC,"&lt;"&amp;'Supply planning data'!D73)-SUMIFS(M:M,D:D,"&lt;="&amp;D58,C:C,C58)-SUMIFS(AA:AA,D:D,"&lt;="&amp;D58,C:C,C58)+SUMIFS(N:N,D:D,"&lt;="&amp;D58,C:C,C58)+SUMIFS(P:P,D:D,"&lt;="&amp;D58,C:C,C58))</f>
        <v>0</v>
      </c>
      <c r="AD58" s="111">
        <f t="shared" si="21"/>
        <v>0</v>
      </c>
      <c r="AE58" s="111">
        <f t="shared" si="10"/>
        <v>0</v>
      </c>
      <c r="AF58" s="204" t="str">
        <f t="shared" si="27"/>
        <v/>
      </c>
      <c r="AG58" s="111">
        <f t="shared" si="18"/>
        <v>0</v>
      </c>
      <c r="AH58" s="110"/>
      <c r="AI58" s="313"/>
      <c r="AJ58" s="111">
        <f t="shared" si="7"/>
        <v>0</v>
      </c>
      <c r="AK58" s="235"/>
      <c r="AL58" s="111">
        <f>IF(SUMIFS('Shipments data'!L:L,'Shipments data'!F:F,'Supply planning data'!C58,'Shipments data'!A:A,'Supply planning data'!A58,'Shipments data'!O:O,"received",'Shipments data'!Q:Q,"&lt;"&amp;'Supply planning data'!D73,'Shipments data'!AC:AC,"&lt;"&amp;'Supply planning data'!D73)-SUMIFS(M:M,D:D,"&lt;="&amp;D58,C:C,C58)-SUMIFS(AJ:AJ,D:D,"&lt;="&amp;D58,C:C,C58)+SUMIFS(N:N,D:D,"&lt;="&amp;D58,C:C,C58)+SUMIFS(P:P,D:D,"&lt;="&amp;D58,C:C,C58)&lt;0,0,SUMIFS('Shipments data'!L:L,'Shipments data'!F:F,'Supply planning data'!C58,'Shipments data'!A:A,'Supply planning data'!A58,'Shipments data'!O:O,"received",'Shipments data'!Q:Q,"&lt;"&amp;'Supply planning data'!D73,'Shipments data'!AC:AC,"&lt;"&amp;'Supply planning data'!D73)-SUMIFS(M:M,D:D,"&lt;="&amp;D58,C:C,C58)-SUMIFS(AJ:AJ,D:D,"&lt;="&amp;D58,C:C,C58)+SUMIFS(N:N,D:D,"&lt;="&amp;D58,C:C,C58)+SUMIFS(P:P,D:D,"&lt;="&amp;D58,C:C,C58))</f>
        <v>0</v>
      </c>
      <c r="AM58" s="111">
        <f t="shared" si="19"/>
        <v>0</v>
      </c>
      <c r="AN58" s="111">
        <f t="shared" si="11"/>
        <v>0</v>
      </c>
      <c r="AO58" s="204" t="str">
        <f t="shared" si="24"/>
        <v/>
      </c>
    </row>
    <row r="59" spans="1:41" hidden="1" x14ac:dyDescent="0.25">
      <c r="A59" s="103" t="str">
        <f>Start!D$7</f>
        <v>Anyland</v>
      </c>
      <c r="B59" s="109" t="str">
        <f>VLOOKUP(A59,list!B:C,2,FALSE)</f>
        <v>ANY</v>
      </c>
      <c r="C59" s="109" t="str">
        <f>IF(Start!$C$26="","",Start!$C$26)</f>
        <v/>
      </c>
      <c r="D59" s="298">
        <f t="shared" si="15"/>
        <v>44287</v>
      </c>
      <c r="E59" s="105" t="str">
        <f>IFERROR(VLOOKUP(C59,Start!C$15:D$31,2,FALSE),"No")</f>
        <v>No</v>
      </c>
      <c r="F59" s="105">
        <f t="shared" si="16"/>
        <v>0</v>
      </c>
      <c r="G59" s="106"/>
      <c r="H59" s="106"/>
      <c r="I59" s="106"/>
      <c r="J59" s="105">
        <f t="shared" si="0"/>
        <v>0</v>
      </c>
      <c r="K59" s="106"/>
      <c r="L59" s="177" t="str">
        <f t="shared" si="1"/>
        <v/>
      </c>
      <c r="M59" s="105">
        <f t="shared" si="2"/>
        <v>0</v>
      </c>
      <c r="N59" s="110"/>
      <c r="O59" s="124"/>
      <c r="P59" s="110"/>
      <c r="Q59" s="124"/>
      <c r="R59" s="111">
        <f>SUMIFS('Shipments data'!L:L,'Shipments data'!F:F,'Supply planning data'!C59,'Shipments data'!A:A,'Supply planning data'!A59,'Shipments data'!Y:Y,'Supply planning data'!D59,'Shipments data'!O:O,"received", 'Shipments data'!N:N, "Public")</f>
        <v>0</v>
      </c>
      <c r="S59" s="111">
        <f>SUMIFS('Shipments data'!L:L,'Shipments data'!F:F,'Supply planning data'!C59,'Shipments data'!A:A,'Supply planning data'!A59,'Shipments data'!Y:Y,'Supply planning data'!D59,'Shipments data'!O:O,"ordered", 'Shipments data'!N:N, "Public")</f>
        <v>0</v>
      </c>
      <c r="T59" s="111">
        <f>IF(SUMIFS('Shipments data'!L:L,'Shipments data'!F:F,'Supply planning data'!C59,'Shipments data'!A:A,'Supply planning data'!A59,'Shipments data'!O:O,"received",'Shipments data'!Q:Q,"&lt;"&amp;'Supply planning data'!D74,'Shipments data'!AC:AC,"&lt;"&amp;'Supply planning data'!D74)-SUMIFS(M:M,D:D,"&lt;="&amp;D59,C:C,C59)+SUMIFS(N:N,D:D,"&lt;="&amp;D59,C:C,C59)+SUMIFS(P:P,D:D,"&lt;="&amp;D59,C:C,C59)&lt;0,0,SUMIFS('Shipments data'!L:L,'Shipments data'!F:F,'Supply planning data'!C59,'Shipments data'!A:A,'Supply planning data'!A59,'Shipments data'!O:O,"received",'Shipments data'!Q:Q,"&lt;"&amp;'Supply planning data'!D74,'Shipments data'!AC:AC,"&lt;"&amp;'Supply planning data'!D74)-SUMIFS(M:M,D:D,"&lt;="&amp;D59,C:C,C59)+SUMIFS(N:N,D:D,"&lt;="&amp;D59,C:C,C59)+SUMIFS(P:P,D:D,"&lt;="&amp;D59,C:C,C59))</f>
        <v>0</v>
      </c>
      <c r="U59" s="112">
        <f t="shared" si="17"/>
        <v>0</v>
      </c>
      <c r="V59" s="111">
        <f t="shared" si="25"/>
        <v>0</v>
      </c>
      <c r="W59" s="204" t="str">
        <f t="shared" si="23"/>
        <v/>
      </c>
      <c r="X59" s="111">
        <f t="shared" si="20"/>
        <v>0</v>
      </c>
      <c r="Y59" s="110"/>
      <c r="Z59" s="107"/>
      <c r="AA59" s="111">
        <f t="shared" si="5"/>
        <v>0</v>
      </c>
      <c r="AB59" s="235"/>
      <c r="AC59" s="111">
        <f>IF(SUMIFS('Shipments data'!L:L,'Shipments data'!F:F,'Supply planning data'!C59,'Shipments data'!A:A,'Supply planning data'!A59,'Shipments data'!O:O,"received",'Shipments data'!Q:Q,"&lt;"&amp;'Supply planning data'!D74,'Shipments data'!AC:AC,"&lt;"&amp;'Supply planning data'!D74)-SUMIFS(M:M,D:D,"&lt;="&amp;D59,C:C,C59)-SUMIFS(AA:AA,D:D,"&lt;="&amp;D59,C:C,C59)+SUMIFS(N:N,D:D,"&lt;="&amp;D59,C:C,C59)+SUMIFS(P:P,D:D,"&lt;="&amp;D59,C:C,C59)&lt;0,0,SUMIFS('Shipments data'!L:L,'Shipments data'!F:F,'Supply planning data'!C59,'Shipments data'!A:A,'Supply planning data'!A59,'Shipments data'!O:O,"received",'Shipments data'!Q:Q,"&lt;"&amp;'Supply planning data'!D74,'Shipments data'!AC:AC,"&lt;"&amp;'Supply planning data'!D74)-SUMIFS(M:M,D:D,"&lt;="&amp;D59,C:C,C59)-SUMIFS(AA:AA,D:D,"&lt;="&amp;D59,C:C,C59)+SUMIFS(N:N,D:D,"&lt;="&amp;D59,C:C,C59)+SUMIFS(P:P,D:D,"&lt;="&amp;D59,C:C,C59))</f>
        <v>0</v>
      </c>
      <c r="AD59" s="111">
        <f t="shared" si="21"/>
        <v>0</v>
      </c>
      <c r="AE59" s="111">
        <f t="shared" si="10"/>
        <v>0</v>
      </c>
      <c r="AF59" s="204" t="str">
        <f t="shared" si="27"/>
        <v/>
      </c>
      <c r="AG59" s="111">
        <f t="shared" si="18"/>
        <v>0</v>
      </c>
      <c r="AH59" s="110"/>
      <c r="AI59" s="313"/>
      <c r="AJ59" s="111">
        <f t="shared" si="7"/>
        <v>0</v>
      </c>
      <c r="AK59" s="235"/>
      <c r="AL59" s="111">
        <f>IF(SUMIFS('Shipments data'!L:L,'Shipments data'!F:F,'Supply planning data'!C59,'Shipments data'!A:A,'Supply planning data'!A59,'Shipments data'!O:O,"received",'Shipments data'!Q:Q,"&lt;"&amp;'Supply planning data'!D74,'Shipments data'!AC:AC,"&lt;"&amp;'Supply planning data'!D74)-SUMIFS(M:M,D:D,"&lt;="&amp;D59,C:C,C59)-SUMIFS(AJ:AJ,D:D,"&lt;="&amp;D59,C:C,C59)+SUMIFS(N:N,D:D,"&lt;="&amp;D59,C:C,C59)+SUMIFS(P:P,D:D,"&lt;="&amp;D59,C:C,C59)&lt;0,0,SUMIFS('Shipments data'!L:L,'Shipments data'!F:F,'Supply planning data'!C59,'Shipments data'!A:A,'Supply planning data'!A59,'Shipments data'!O:O,"received",'Shipments data'!Q:Q,"&lt;"&amp;'Supply planning data'!D74,'Shipments data'!AC:AC,"&lt;"&amp;'Supply planning data'!D74)-SUMIFS(M:M,D:D,"&lt;="&amp;D59,C:C,C59)-SUMIFS(AJ:AJ,D:D,"&lt;="&amp;D59,C:C,C59)+SUMIFS(N:N,D:D,"&lt;="&amp;D59,C:C,C59)+SUMIFS(P:P,D:D,"&lt;="&amp;D59,C:C,C59))</f>
        <v>0</v>
      </c>
      <c r="AM59" s="111">
        <f t="shared" si="19"/>
        <v>0</v>
      </c>
      <c r="AN59" s="111">
        <f t="shared" si="11"/>
        <v>0</v>
      </c>
      <c r="AO59" s="204" t="str">
        <f t="shared" si="24"/>
        <v/>
      </c>
    </row>
    <row r="60" spans="1:41" hidden="1" x14ac:dyDescent="0.25">
      <c r="A60" s="103" t="str">
        <f>Start!D$7</f>
        <v>Anyland</v>
      </c>
      <c r="B60" s="109" t="str">
        <f>VLOOKUP(A60,list!B:C,2,FALSE)</f>
        <v>ANY</v>
      </c>
      <c r="C60" s="104" t="str">
        <f>IF(Start!$C$27="","",Start!$C$27)</f>
        <v/>
      </c>
      <c r="D60" s="298">
        <f t="shared" si="15"/>
        <v>44287</v>
      </c>
      <c r="E60" s="105" t="str">
        <f>IFERROR(VLOOKUP(C60,Start!C$15:D$31,2,FALSE),"No")</f>
        <v>No</v>
      </c>
      <c r="F60" s="105">
        <f t="shared" si="16"/>
        <v>0</v>
      </c>
      <c r="G60" s="106"/>
      <c r="H60" s="106"/>
      <c r="I60" s="106"/>
      <c r="J60" s="105">
        <f t="shared" si="0"/>
        <v>0</v>
      </c>
      <c r="K60" s="106"/>
      <c r="L60" s="177" t="str">
        <f t="shared" si="1"/>
        <v/>
      </c>
      <c r="M60" s="105">
        <f t="shared" si="2"/>
        <v>0</v>
      </c>
      <c r="N60" s="110"/>
      <c r="O60" s="124"/>
      <c r="P60" s="110"/>
      <c r="Q60" s="124"/>
      <c r="R60" s="111">
        <f>SUMIFS('Shipments data'!L:L,'Shipments data'!F:F,'Supply planning data'!C60,'Shipments data'!A:A,'Supply planning data'!A60,'Shipments data'!Y:Y,'Supply planning data'!D60,'Shipments data'!O:O,"received", 'Shipments data'!N:N, "Public")</f>
        <v>0</v>
      </c>
      <c r="S60" s="111">
        <f>SUMIFS('Shipments data'!L:L,'Shipments data'!F:F,'Supply planning data'!C60,'Shipments data'!A:A,'Supply planning data'!A60,'Shipments data'!Y:Y,'Supply planning data'!D60,'Shipments data'!O:O,"ordered", 'Shipments data'!N:N, "Public")</f>
        <v>0</v>
      </c>
      <c r="T60" s="111">
        <f>IF(SUMIFS('Shipments data'!L:L,'Shipments data'!F:F,'Supply planning data'!C60,'Shipments data'!A:A,'Supply planning data'!A60,'Shipments data'!O:O,"received",'Shipments data'!Q:Q,"&lt;"&amp;'Supply planning data'!D75,'Shipments data'!AC:AC,"&lt;"&amp;'Supply planning data'!D75)-SUMIFS(M:M,D:D,"&lt;="&amp;D60,C:C,C60)+SUMIFS(N:N,D:D,"&lt;="&amp;D60,C:C,C60)+SUMIFS(P:P,D:D,"&lt;="&amp;D60,C:C,C60)&lt;0,0,SUMIFS('Shipments data'!L:L,'Shipments data'!F:F,'Supply planning data'!C60,'Shipments data'!A:A,'Supply planning data'!A60,'Shipments data'!O:O,"received",'Shipments data'!Q:Q,"&lt;"&amp;'Supply planning data'!D75,'Shipments data'!AC:AC,"&lt;"&amp;'Supply planning data'!D75)-SUMIFS(M:M,D:D,"&lt;="&amp;D60,C:C,C60)+SUMIFS(N:N,D:D,"&lt;="&amp;D60,C:C,C60)+SUMIFS(P:P,D:D,"&lt;="&amp;D60,C:C,C60))</f>
        <v>0</v>
      </c>
      <c r="U60" s="112">
        <f t="shared" si="17"/>
        <v>0</v>
      </c>
      <c r="V60" s="111">
        <f t="shared" si="25"/>
        <v>0</v>
      </c>
      <c r="W60" s="204" t="str">
        <f t="shared" si="23"/>
        <v/>
      </c>
      <c r="X60" s="111">
        <f t="shared" si="20"/>
        <v>0</v>
      </c>
      <c r="Y60" s="110"/>
      <c r="Z60" s="107"/>
      <c r="AA60" s="111">
        <f t="shared" si="5"/>
        <v>0</v>
      </c>
      <c r="AB60" s="235"/>
      <c r="AC60" s="111">
        <f>IF(SUMIFS('Shipments data'!L:L,'Shipments data'!F:F,'Supply planning data'!C60,'Shipments data'!A:A,'Supply planning data'!A60,'Shipments data'!O:O,"received",'Shipments data'!Q:Q,"&lt;"&amp;'Supply planning data'!D75,'Shipments data'!AC:AC,"&lt;"&amp;'Supply planning data'!D75)-SUMIFS(M:M,D:D,"&lt;="&amp;D60,C:C,C60)-SUMIFS(AA:AA,D:D,"&lt;="&amp;D60,C:C,C60)+SUMIFS(N:N,D:D,"&lt;="&amp;D60,C:C,C60)+SUMIFS(P:P,D:D,"&lt;="&amp;D60,C:C,C60)&lt;0,0,SUMIFS('Shipments data'!L:L,'Shipments data'!F:F,'Supply planning data'!C60,'Shipments data'!A:A,'Supply planning data'!A60,'Shipments data'!O:O,"received",'Shipments data'!Q:Q,"&lt;"&amp;'Supply planning data'!D75,'Shipments data'!AC:AC,"&lt;"&amp;'Supply planning data'!D75)-SUMIFS(M:M,D:D,"&lt;="&amp;D60,C:C,C60)-SUMIFS(AA:AA,D:D,"&lt;="&amp;D60,C:C,C60)+SUMIFS(N:N,D:D,"&lt;="&amp;D60,C:C,C60)+SUMIFS(P:P,D:D,"&lt;="&amp;D60,C:C,C60))</f>
        <v>0</v>
      </c>
      <c r="AD60" s="111">
        <f t="shared" si="21"/>
        <v>0</v>
      </c>
      <c r="AE60" s="111">
        <f t="shared" si="10"/>
        <v>0</v>
      </c>
      <c r="AF60" s="204" t="str">
        <f t="shared" si="27"/>
        <v/>
      </c>
      <c r="AG60" s="111">
        <f t="shared" si="18"/>
        <v>0</v>
      </c>
      <c r="AH60" s="110"/>
      <c r="AI60" s="313"/>
      <c r="AJ60" s="111">
        <f t="shared" si="7"/>
        <v>0</v>
      </c>
      <c r="AK60" s="235"/>
      <c r="AL60" s="111">
        <f>IF(SUMIFS('Shipments data'!L:L,'Shipments data'!F:F,'Supply planning data'!C60,'Shipments data'!A:A,'Supply planning data'!A60,'Shipments data'!O:O,"received",'Shipments data'!Q:Q,"&lt;"&amp;'Supply planning data'!D75,'Shipments data'!AC:AC,"&lt;"&amp;'Supply planning data'!D75)-SUMIFS(M:M,D:D,"&lt;="&amp;D60,C:C,C60)-SUMIFS(AJ:AJ,D:D,"&lt;="&amp;D60,C:C,C60)+SUMIFS(N:N,D:D,"&lt;="&amp;D60,C:C,C60)+SUMIFS(P:P,D:D,"&lt;="&amp;D60,C:C,C60)&lt;0,0,SUMIFS('Shipments data'!L:L,'Shipments data'!F:F,'Supply planning data'!C60,'Shipments data'!A:A,'Supply planning data'!A60,'Shipments data'!O:O,"received",'Shipments data'!Q:Q,"&lt;"&amp;'Supply planning data'!D75,'Shipments data'!AC:AC,"&lt;"&amp;'Supply planning data'!D75)-SUMIFS(M:M,D:D,"&lt;="&amp;D60,C:C,C60)-SUMIFS(AJ:AJ,D:D,"&lt;="&amp;D60,C:C,C60)+SUMIFS(N:N,D:D,"&lt;="&amp;D60,C:C,C60)+SUMIFS(P:P,D:D,"&lt;="&amp;D60,C:C,C60))</f>
        <v>0</v>
      </c>
      <c r="AM60" s="111">
        <f t="shared" si="19"/>
        <v>0</v>
      </c>
      <c r="AN60" s="111">
        <f t="shared" si="11"/>
        <v>0</v>
      </c>
      <c r="AO60" s="204" t="str">
        <f t="shared" si="24"/>
        <v/>
      </c>
    </row>
    <row r="61" spans="1:41" hidden="1" x14ac:dyDescent="0.25">
      <c r="A61" s="103" t="str">
        <f>Start!D$7</f>
        <v>Anyland</v>
      </c>
      <c r="B61" s="109" t="str">
        <f>VLOOKUP(A61,list!B:C,2,FALSE)</f>
        <v>ANY</v>
      </c>
      <c r="C61" s="109" t="str">
        <f>IF(Start!$C$28="","",Start!$C$28)</f>
        <v/>
      </c>
      <c r="D61" s="298">
        <f t="shared" si="15"/>
        <v>44287</v>
      </c>
      <c r="E61" s="105" t="str">
        <f>IFERROR(VLOOKUP(C61,Start!C$15:D$31,2,FALSE),"No")</f>
        <v>No</v>
      </c>
      <c r="F61" s="105">
        <f t="shared" si="16"/>
        <v>0</v>
      </c>
      <c r="G61" s="106"/>
      <c r="H61" s="106"/>
      <c r="I61" s="106"/>
      <c r="J61" s="105">
        <f t="shared" si="0"/>
        <v>0</v>
      </c>
      <c r="K61" s="106"/>
      <c r="L61" s="177" t="str">
        <f t="shared" si="1"/>
        <v/>
      </c>
      <c r="M61" s="105">
        <f t="shared" si="2"/>
        <v>0</v>
      </c>
      <c r="N61" s="110"/>
      <c r="O61" s="124"/>
      <c r="P61" s="110"/>
      <c r="Q61" s="124"/>
      <c r="R61" s="111">
        <f>SUMIFS('Shipments data'!L:L,'Shipments data'!F:F,'Supply planning data'!C61,'Shipments data'!A:A,'Supply planning data'!A61,'Shipments data'!Y:Y,'Supply planning data'!D61,'Shipments data'!O:O,"received", 'Shipments data'!N:N, "Public")</f>
        <v>0</v>
      </c>
      <c r="S61" s="111">
        <f>SUMIFS('Shipments data'!L:L,'Shipments data'!F:F,'Supply planning data'!C61,'Shipments data'!A:A,'Supply planning data'!A61,'Shipments data'!Y:Y,'Supply planning data'!D61,'Shipments data'!O:O,"ordered", 'Shipments data'!N:N, "Public")</f>
        <v>0</v>
      </c>
      <c r="T61" s="111">
        <f>IF(SUMIFS('Shipments data'!L:L,'Shipments data'!F:F,'Supply planning data'!C61,'Shipments data'!A:A,'Supply planning data'!A61,'Shipments data'!O:O,"received",'Shipments data'!Q:Q,"&lt;"&amp;'Supply planning data'!D76,'Shipments data'!AC:AC,"&lt;"&amp;'Supply planning data'!D76)-SUMIFS(M:M,D:D,"&lt;="&amp;D61,C:C,C61)+SUMIFS(N:N,D:D,"&lt;="&amp;D61,C:C,C61)+SUMIFS(P:P,D:D,"&lt;="&amp;D61,C:C,C61)&lt;0,0,SUMIFS('Shipments data'!L:L,'Shipments data'!F:F,'Supply planning data'!C61,'Shipments data'!A:A,'Supply planning data'!A61,'Shipments data'!O:O,"received",'Shipments data'!Q:Q,"&lt;"&amp;'Supply planning data'!D76,'Shipments data'!AC:AC,"&lt;"&amp;'Supply planning data'!D76)-SUMIFS(M:M,D:D,"&lt;="&amp;D61,C:C,C61)+SUMIFS(N:N,D:D,"&lt;="&amp;D61,C:C,C61)+SUMIFS(P:P,D:D,"&lt;="&amp;D61,C:C,C61))</f>
        <v>0</v>
      </c>
      <c r="U61" s="112">
        <f t="shared" si="17"/>
        <v>0</v>
      </c>
      <c r="V61" s="111">
        <f t="shared" si="25"/>
        <v>0</v>
      </c>
      <c r="W61" s="204" t="str">
        <f t="shared" si="23"/>
        <v/>
      </c>
      <c r="X61" s="111">
        <f t="shared" si="20"/>
        <v>0</v>
      </c>
      <c r="Y61" s="110"/>
      <c r="Z61" s="107"/>
      <c r="AA61" s="111">
        <f t="shared" si="5"/>
        <v>0</v>
      </c>
      <c r="AB61" s="235"/>
      <c r="AC61" s="111">
        <f>IF(SUMIFS('Shipments data'!L:L,'Shipments data'!F:F,'Supply planning data'!C61,'Shipments data'!A:A,'Supply planning data'!A61,'Shipments data'!O:O,"received",'Shipments data'!Q:Q,"&lt;"&amp;'Supply planning data'!D76,'Shipments data'!AC:AC,"&lt;"&amp;'Supply planning data'!D76)-SUMIFS(M:M,D:D,"&lt;="&amp;D61,C:C,C61)-SUMIFS(AA:AA,D:D,"&lt;="&amp;D61,C:C,C61)+SUMIFS(N:N,D:D,"&lt;="&amp;D61,C:C,C61)+SUMIFS(P:P,D:D,"&lt;="&amp;D61,C:C,C61)&lt;0,0,SUMIFS('Shipments data'!L:L,'Shipments data'!F:F,'Supply planning data'!C61,'Shipments data'!A:A,'Supply planning data'!A61,'Shipments data'!O:O,"received",'Shipments data'!Q:Q,"&lt;"&amp;'Supply planning data'!D76,'Shipments data'!AC:AC,"&lt;"&amp;'Supply planning data'!D76)-SUMIFS(M:M,D:D,"&lt;="&amp;D61,C:C,C61)-SUMIFS(AA:AA,D:D,"&lt;="&amp;D61,C:C,C61)+SUMIFS(N:N,D:D,"&lt;="&amp;D61,C:C,C61)+SUMIFS(P:P,D:D,"&lt;="&amp;D61,C:C,C61))</f>
        <v>0</v>
      </c>
      <c r="AD61" s="111">
        <f t="shared" si="21"/>
        <v>0</v>
      </c>
      <c r="AE61" s="111">
        <f t="shared" si="10"/>
        <v>0</v>
      </c>
      <c r="AF61" s="204" t="str">
        <f t="shared" si="27"/>
        <v/>
      </c>
      <c r="AG61" s="111">
        <f t="shared" si="18"/>
        <v>0</v>
      </c>
      <c r="AH61" s="110"/>
      <c r="AI61" s="313"/>
      <c r="AJ61" s="111">
        <f t="shared" si="7"/>
        <v>0</v>
      </c>
      <c r="AK61" s="235"/>
      <c r="AL61" s="111">
        <f>IF(SUMIFS('Shipments data'!L:L,'Shipments data'!F:F,'Supply planning data'!C61,'Shipments data'!A:A,'Supply planning data'!A61,'Shipments data'!O:O,"received",'Shipments data'!Q:Q,"&lt;"&amp;'Supply planning data'!D76,'Shipments data'!AC:AC,"&lt;"&amp;'Supply planning data'!D76)-SUMIFS(M:M,D:D,"&lt;="&amp;D61,C:C,C61)-SUMIFS(AJ:AJ,D:D,"&lt;="&amp;D61,C:C,C61)+SUMIFS(N:N,D:D,"&lt;="&amp;D61,C:C,C61)+SUMIFS(P:P,D:D,"&lt;="&amp;D61,C:C,C61)&lt;0,0,SUMIFS('Shipments data'!L:L,'Shipments data'!F:F,'Supply planning data'!C61,'Shipments data'!A:A,'Supply planning data'!A61,'Shipments data'!O:O,"received",'Shipments data'!Q:Q,"&lt;"&amp;'Supply planning data'!D76,'Shipments data'!AC:AC,"&lt;"&amp;'Supply planning data'!D76)-SUMIFS(M:M,D:D,"&lt;="&amp;D61,C:C,C61)-SUMIFS(AJ:AJ,D:D,"&lt;="&amp;D61,C:C,C61)+SUMIFS(N:N,D:D,"&lt;="&amp;D61,C:C,C61)+SUMIFS(P:P,D:D,"&lt;="&amp;D61,C:C,C61))</f>
        <v>0</v>
      </c>
      <c r="AM61" s="111">
        <f t="shared" si="19"/>
        <v>0</v>
      </c>
      <c r="AN61" s="111">
        <f t="shared" si="11"/>
        <v>0</v>
      </c>
      <c r="AO61" s="204" t="str">
        <f t="shared" si="24"/>
        <v/>
      </c>
    </row>
    <row r="62" spans="1:41" hidden="1" x14ac:dyDescent="0.25">
      <c r="A62" s="103" t="str">
        <f>Start!D$7</f>
        <v>Anyland</v>
      </c>
      <c r="B62" s="109" t="str">
        <f>VLOOKUP(A62,list!B:C,2,FALSE)</f>
        <v>ANY</v>
      </c>
      <c r="C62" s="104" t="str">
        <f>IF(Start!$C$29="","",Start!$C$29)</f>
        <v/>
      </c>
      <c r="D62" s="298">
        <f t="shared" si="15"/>
        <v>44287</v>
      </c>
      <c r="E62" s="105" t="str">
        <f>IFERROR(VLOOKUP(C62,Start!C$15:D$31,2,FALSE),"No")</f>
        <v>No</v>
      </c>
      <c r="F62" s="105">
        <f t="shared" si="16"/>
        <v>0</v>
      </c>
      <c r="G62" s="106"/>
      <c r="H62" s="106"/>
      <c r="I62" s="106"/>
      <c r="J62" s="105">
        <f t="shared" si="0"/>
        <v>0</v>
      </c>
      <c r="K62" s="106"/>
      <c r="L62" s="177" t="str">
        <f t="shared" si="1"/>
        <v/>
      </c>
      <c r="M62" s="105">
        <f t="shared" si="2"/>
        <v>0</v>
      </c>
      <c r="N62" s="110"/>
      <c r="O62" s="124"/>
      <c r="P62" s="110"/>
      <c r="Q62" s="124"/>
      <c r="R62" s="111">
        <f>SUMIFS('Shipments data'!L:L,'Shipments data'!F:F,'Supply planning data'!C62,'Shipments data'!A:A,'Supply planning data'!A62,'Shipments data'!Y:Y,'Supply planning data'!D62,'Shipments data'!O:O,"received", 'Shipments data'!N:N, "Public")</f>
        <v>0</v>
      </c>
      <c r="S62" s="111">
        <f>SUMIFS('Shipments data'!L:L,'Shipments data'!F:F,'Supply planning data'!C62,'Shipments data'!A:A,'Supply planning data'!A62,'Shipments data'!Y:Y,'Supply planning data'!D62,'Shipments data'!O:O,"ordered", 'Shipments data'!N:N, "Public")</f>
        <v>0</v>
      </c>
      <c r="T62" s="111">
        <f>IF(SUMIFS('Shipments data'!L:L,'Shipments data'!F:F,'Supply planning data'!C62,'Shipments data'!A:A,'Supply planning data'!A62,'Shipments data'!O:O,"received",'Shipments data'!Q:Q,"&lt;"&amp;'Supply planning data'!D77,'Shipments data'!AC:AC,"&lt;"&amp;'Supply planning data'!D77)-SUMIFS(M:M,D:D,"&lt;="&amp;D62,C:C,C62)+SUMIFS(N:N,D:D,"&lt;="&amp;D62,C:C,C62)+SUMIFS(P:P,D:D,"&lt;="&amp;D62,C:C,C62)&lt;0,0,SUMIFS('Shipments data'!L:L,'Shipments data'!F:F,'Supply planning data'!C62,'Shipments data'!A:A,'Supply planning data'!A62,'Shipments data'!O:O,"received",'Shipments data'!Q:Q,"&lt;"&amp;'Supply planning data'!D77,'Shipments data'!AC:AC,"&lt;"&amp;'Supply planning data'!D77)-SUMIFS(M:M,D:D,"&lt;="&amp;D62,C:C,C62)+SUMIFS(N:N,D:D,"&lt;="&amp;D62,C:C,C62)+SUMIFS(P:P,D:D,"&lt;="&amp;D62,C:C,C62))</f>
        <v>0</v>
      </c>
      <c r="U62" s="112">
        <f t="shared" si="17"/>
        <v>0</v>
      </c>
      <c r="V62" s="111">
        <f t="shared" si="25"/>
        <v>0</v>
      </c>
      <c r="W62" s="204" t="str">
        <f t="shared" si="23"/>
        <v/>
      </c>
      <c r="X62" s="111">
        <f t="shared" si="20"/>
        <v>0</v>
      </c>
      <c r="Y62" s="110"/>
      <c r="Z62" s="107"/>
      <c r="AA62" s="111">
        <f t="shared" si="5"/>
        <v>0</v>
      </c>
      <c r="AB62" s="235"/>
      <c r="AC62" s="111">
        <f>IF(SUMIFS('Shipments data'!L:L,'Shipments data'!F:F,'Supply planning data'!C62,'Shipments data'!A:A,'Supply planning data'!A62,'Shipments data'!O:O,"received",'Shipments data'!Q:Q,"&lt;"&amp;'Supply planning data'!D77,'Shipments data'!AC:AC,"&lt;"&amp;'Supply planning data'!D77)-SUMIFS(M:M,D:D,"&lt;="&amp;D62,C:C,C62)-SUMIFS(AA:AA,D:D,"&lt;="&amp;D62,C:C,C62)+SUMIFS(N:N,D:D,"&lt;="&amp;D62,C:C,C62)+SUMIFS(P:P,D:D,"&lt;="&amp;D62,C:C,C62)&lt;0,0,SUMIFS('Shipments data'!L:L,'Shipments data'!F:F,'Supply planning data'!C62,'Shipments data'!A:A,'Supply planning data'!A62,'Shipments data'!O:O,"received",'Shipments data'!Q:Q,"&lt;"&amp;'Supply planning data'!D77,'Shipments data'!AC:AC,"&lt;"&amp;'Supply planning data'!D77)-SUMIFS(M:M,D:D,"&lt;="&amp;D62,C:C,C62)-SUMIFS(AA:AA,D:D,"&lt;="&amp;D62,C:C,C62)+SUMIFS(N:N,D:D,"&lt;="&amp;D62,C:C,C62)+SUMIFS(P:P,D:D,"&lt;="&amp;D62,C:C,C62))</f>
        <v>0</v>
      </c>
      <c r="AD62" s="111">
        <f t="shared" si="21"/>
        <v>0</v>
      </c>
      <c r="AE62" s="111">
        <f t="shared" si="10"/>
        <v>0</v>
      </c>
      <c r="AF62" s="204" t="str">
        <f t="shared" si="27"/>
        <v/>
      </c>
      <c r="AG62" s="111">
        <f t="shared" si="18"/>
        <v>0</v>
      </c>
      <c r="AH62" s="110"/>
      <c r="AI62" s="313"/>
      <c r="AJ62" s="111">
        <f t="shared" si="7"/>
        <v>0</v>
      </c>
      <c r="AK62" s="235"/>
      <c r="AL62" s="111">
        <f>IF(SUMIFS('Shipments data'!L:L,'Shipments data'!F:F,'Supply planning data'!C62,'Shipments data'!A:A,'Supply planning data'!A62,'Shipments data'!O:O,"received",'Shipments data'!Q:Q,"&lt;"&amp;'Supply planning data'!D77,'Shipments data'!AC:AC,"&lt;"&amp;'Supply planning data'!D77)-SUMIFS(M:M,D:D,"&lt;="&amp;D62,C:C,C62)-SUMIFS(AJ:AJ,D:D,"&lt;="&amp;D62,C:C,C62)+SUMIFS(N:N,D:D,"&lt;="&amp;D62,C:C,C62)+SUMIFS(P:P,D:D,"&lt;="&amp;D62,C:C,C62)&lt;0,0,SUMIFS('Shipments data'!L:L,'Shipments data'!F:F,'Supply planning data'!C62,'Shipments data'!A:A,'Supply planning data'!A62,'Shipments data'!O:O,"received",'Shipments data'!Q:Q,"&lt;"&amp;'Supply planning data'!D77,'Shipments data'!AC:AC,"&lt;"&amp;'Supply planning data'!D77)-SUMIFS(M:M,D:D,"&lt;="&amp;D62,C:C,C62)-SUMIFS(AJ:AJ,D:D,"&lt;="&amp;D62,C:C,C62)+SUMIFS(N:N,D:D,"&lt;="&amp;D62,C:C,C62)+SUMIFS(P:P,D:D,"&lt;="&amp;D62,C:C,C62))</f>
        <v>0</v>
      </c>
      <c r="AM62" s="111">
        <f t="shared" si="19"/>
        <v>0</v>
      </c>
      <c r="AN62" s="111">
        <f t="shared" si="11"/>
        <v>0</v>
      </c>
      <c r="AO62" s="204" t="str">
        <f t="shared" si="24"/>
        <v/>
      </c>
    </row>
    <row r="63" spans="1:41" hidden="1" x14ac:dyDescent="0.25">
      <c r="A63" s="103" t="str">
        <f>Start!D$7</f>
        <v>Anyland</v>
      </c>
      <c r="B63" s="109" t="str">
        <f>VLOOKUP(A63,list!B:C,2,FALSE)</f>
        <v>ANY</v>
      </c>
      <c r="C63" s="109" t="str">
        <f>IF(Start!$C$30="","",Start!$C$30)</f>
        <v/>
      </c>
      <c r="D63" s="298">
        <f t="shared" si="15"/>
        <v>44287</v>
      </c>
      <c r="E63" s="105" t="str">
        <f>IFERROR(VLOOKUP(C63,Start!C$15:D$31,2,FALSE),"No")</f>
        <v>No</v>
      </c>
      <c r="F63" s="105">
        <f t="shared" si="16"/>
        <v>0</v>
      </c>
      <c r="G63" s="106"/>
      <c r="H63" s="106"/>
      <c r="I63" s="106"/>
      <c r="J63" s="105">
        <f t="shared" si="0"/>
        <v>0</v>
      </c>
      <c r="K63" s="106"/>
      <c r="L63" s="177" t="str">
        <f t="shared" si="1"/>
        <v/>
      </c>
      <c r="M63" s="105">
        <f t="shared" si="2"/>
        <v>0</v>
      </c>
      <c r="N63" s="110"/>
      <c r="O63" s="124"/>
      <c r="P63" s="110"/>
      <c r="Q63" s="124"/>
      <c r="R63" s="111">
        <f>SUMIFS('Shipments data'!L:L,'Shipments data'!F:F,'Supply planning data'!C63,'Shipments data'!A:A,'Supply planning data'!A63,'Shipments data'!Y:Y,'Supply planning data'!D63,'Shipments data'!O:O,"received", 'Shipments data'!N:N, "Public")</f>
        <v>0</v>
      </c>
      <c r="S63" s="111">
        <f>SUMIFS('Shipments data'!L:L,'Shipments data'!F:F,'Supply planning data'!C63,'Shipments data'!A:A,'Supply planning data'!A63,'Shipments data'!Y:Y,'Supply planning data'!D63,'Shipments data'!O:O,"ordered", 'Shipments data'!N:N, "Public")</f>
        <v>0</v>
      </c>
      <c r="T63" s="111">
        <f>IF(SUMIFS('Shipments data'!L:L,'Shipments data'!F:F,'Supply planning data'!C63,'Shipments data'!A:A,'Supply planning data'!A63,'Shipments data'!O:O,"received",'Shipments data'!Q:Q,"&lt;"&amp;'Supply planning data'!D78,'Shipments data'!AC:AC,"&lt;"&amp;'Supply planning data'!D78)-SUMIFS(M:M,D:D,"&lt;="&amp;D63,C:C,C63)+SUMIFS(N:N,D:D,"&lt;="&amp;D63,C:C,C63)+SUMIFS(P:P,D:D,"&lt;="&amp;D63,C:C,C63)&lt;0,0,SUMIFS('Shipments data'!L:L,'Shipments data'!F:F,'Supply planning data'!C63,'Shipments data'!A:A,'Supply planning data'!A63,'Shipments data'!O:O,"received",'Shipments data'!Q:Q,"&lt;"&amp;'Supply planning data'!D78,'Shipments data'!AC:AC,"&lt;"&amp;'Supply planning data'!D78)-SUMIFS(M:M,D:D,"&lt;="&amp;D63,C:C,C63)+SUMIFS(N:N,D:D,"&lt;="&amp;D63,C:C,C63)+SUMIFS(P:P,D:D,"&lt;="&amp;D63,C:C,C63))</f>
        <v>0</v>
      </c>
      <c r="U63" s="112">
        <f t="shared" si="17"/>
        <v>0</v>
      </c>
      <c r="V63" s="111">
        <f t="shared" si="25"/>
        <v>0</v>
      </c>
      <c r="W63" s="204" t="str">
        <f t="shared" si="23"/>
        <v/>
      </c>
      <c r="X63" s="111">
        <f t="shared" si="20"/>
        <v>0</v>
      </c>
      <c r="Y63" s="110"/>
      <c r="Z63" s="107"/>
      <c r="AA63" s="111">
        <f t="shared" si="5"/>
        <v>0</v>
      </c>
      <c r="AB63" s="235"/>
      <c r="AC63" s="111">
        <f>IF(SUMIFS('Shipments data'!L:L,'Shipments data'!F:F,'Supply planning data'!C63,'Shipments data'!A:A,'Supply planning data'!A63,'Shipments data'!O:O,"received",'Shipments data'!Q:Q,"&lt;"&amp;'Supply planning data'!D78,'Shipments data'!AC:AC,"&lt;"&amp;'Supply planning data'!D78)-SUMIFS(M:M,D:D,"&lt;="&amp;D63,C:C,C63)-SUMIFS(AA:AA,D:D,"&lt;="&amp;D63,C:C,C63)+SUMIFS(N:N,D:D,"&lt;="&amp;D63,C:C,C63)+SUMIFS(P:P,D:D,"&lt;="&amp;D63,C:C,C63)&lt;0,0,SUMIFS('Shipments data'!L:L,'Shipments data'!F:F,'Supply planning data'!C63,'Shipments data'!A:A,'Supply planning data'!A63,'Shipments data'!O:O,"received",'Shipments data'!Q:Q,"&lt;"&amp;'Supply planning data'!D78,'Shipments data'!AC:AC,"&lt;"&amp;'Supply planning data'!D78)-SUMIFS(M:M,D:D,"&lt;="&amp;D63,C:C,C63)-SUMIFS(AA:AA,D:D,"&lt;="&amp;D63,C:C,C63)+SUMIFS(N:N,D:D,"&lt;="&amp;D63,C:C,C63)+SUMIFS(P:P,D:D,"&lt;="&amp;D63,C:C,C63))</f>
        <v>0</v>
      </c>
      <c r="AD63" s="111">
        <f t="shared" si="21"/>
        <v>0</v>
      </c>
      <c r="AE63" s="111">
        <f t="shared" si="10"/>
        <v>0</v>
      </c>
      <c r="AF63" s="204" t="str">
        <f t="shared" si="27"/>
        <v/>
      </c>
      <c r="AG63" s="111">
        <f t="shared" si="18"/>
        <v>0</v>
      </c>
      <c r="AH63" s="110"/>
      <c r="AI63" s="313"/>
      <c r="AJ63" s="111">
        <f t="shared" si="7"/>
        <v>0</v>
      </c>
      <c r="AK63" s="235"/>
      <c r="AL63" s="111">
        <f>IF(SUMIFS('Shipments data'!L:L,'Shipments data'!F:F,'Supply planning data'!C63,'Shipments data'!A:A,'Supply planning data'!A63,'Shipments data'!O:O,"received",'Shipments data'!Q:Q,"&lt;"&amp;'Supply planning data'!D78,'Shipments data'!AC:AC,"&lt;"&amp;'Supply planning data'!D78)-SUMIFS(M:M,D:D,"&lt;="&amp;D63,C:C,C63)-SUMIFS(AJ:AJ,D:D,"&lt;="&amp;D63,C:C,C63)+SUMIFS(N:N,D:D,"&lt;="&amp;D63,C:C,C63)+SUMIFS(P:P,D:D,"&lt;="&amp;D63,C:C,C63)&lt;0,0,SUMIFS('Shipments data'!L:L,'Shipments data'!F:F,'Supply planning data'!C63,'Shipments data'!A:A,'Supply planning data'!A63,'Shipments data'!O:O,"received",'Shipments data'!Q:Q,"&lt;"&amp;'Supply planning data'!D78,'Shipments data'!AC:AC,"&lt;"&amp;'Supply planning data'!D78)-SUMIFS(M:M,D:D,"&lt;="&amp;D63,C:C,C63)-SUMIFS(AJ:AJ,D:D,"&lt;="&amp;D63,C:C,C63)+SUMIFS(N:N,D:D,"&lt;="&amp;D63,C:C,C63)+SUMIFS(P:P,D:D,"&lt;="&amp;D63,C:C,C63))</f>
        <v>0</v>
      </c>
      <c r="AM63" s="111">
        <f t="shared" si="19"/>
        <v>0</v>
      </c>
      <c r="AN63" s="111">
        <f t="shared" si="11"/>
        <v>0</v>
      </c>
      <c r="AO63" s="204" t="str">
        <f t="shared" si="24"/>
        <v/>
      </c>
    </row>
    <row r="64" spans="1:41" hidden="1" x14ac:dyDescent="0.25">
      <c r="A64" s="113" t="str">
        <f>Start!D$7</f>
        <v>Anyland</v>
      </c>
      <c r="B64" s="114" t="str">
        <f>VLOOKUP(A64,list!B:C,2,FALSE)</f>
        <v>ANY</v>
      </c>
      <c r="C64" s="104" t="str">
        <f>IF(Start!$C$31="","",Start!$C$31)</f>
        <v/>
      </c>
      <c r="D64" s="298">
        <f t="shared" si="15"/>
        <v>44287</v>
      </c>
      <c r="E64" s="105" t="str">
        <f>IFERROR(VLOOKUP(C64,Start!C$15:D$31,2,FALSE),"No")</f>
        <v>No</v>
      </c>
      <c r="F64" s="105">
        <f t="shared" si="16"/>
        <v>0</v>
      </c>
      <c r="G64" s="106"/>
      <c r="H64" s="106"/>
      <c r="I64" s="106"/>
      <c r="J64" s="105">
        <f t="shared" si="0"/>
        <v>0</v>
      </c>
      <c r="K64" s="106"/>
      <c r="L64" s="177" t="str">
        <f t="shared" si="1"/>
        <v/>
      </c>
      <c r="M64" s="105">
        <f t="shared" si="2"/>
        <v>0</v>
      </c>
      <c r="N64" s="110"/>
      <c r="O64" s="124"/>
      <c r="P64" s="110"/>
      <c r="Q64" s="124"/>
      <c r="R64" s="111">
        <f>SUMIFS('Shipments data'!L:L,'Shipments data'!F:F,'Supply planning data'!C64,'Shipments data'!A:A,'Supply planning data'!A64,'Shipments data'!Y:Y,'Supply planning data'!D64,'Shipments data'!O:O,"received", 'Shipments data'!N:N, "Public")</f>
        <v>0</v>
      </c>
      <c r="S64" s="111">
        <f>SUMIFS('Shipments data'!L:L,'Shipments data'!F:F,'Supply planning data'!C64,'Shipments data'!A:A,'Supply planning data'!A64,'Shipments data'!Y:Y,'Supply planning data'!D64,'Shipments data'!O:O,"ordered", 'Shipments data'!N:N, "Public")</f>
        <v>0</v>
      </c>
      <c r="T64" s="111">
        <f>IF(SUMIFS('Shipments data'!L:L,'Shipments data'!F:F,'Supply planning data'!C64,'Shipments data'!A:A,'Supply planning data'!A64,'Shipments data'!O:O,"received",'Shipments data'!Q:Q,"&lt;"&amp;'Supply planning data'!D79,'Shipments data'!AC:AC,"&lt;"&amp;'Supply planning data'!D79)-SUMIFS(M:M,D:D,"&lt;="&amp;D64,C:C,C64)+SUMIFS(N:N,D:D,"&lt;="&amp;D64,C:C,C64)+SUMIFS(P:P,D:D,"&lt;="&amp;D64,C:C,C64)&lt;0,0,SUMIFS('Shipments data'!L:L,'Shipments data'!F:F,'Supply planning data'!C64,'Shipments data'!A:A,'Supply planning data'!A64,'Shipments data'!O:O,"received",'Shipments data'!Q:Q,"&lt;"&amp;'Supply planning data'!D79,'Shipments data'!AC:AC,"&lt;"&amp;'Supply planning data'!D79)-SUMIFS(M:M,D:D,"&lt;="&amp;D64,C:C,C64)+SUMIFS(N:N,D:D,"&lt;="&amp;D64,C:C,C64)+SUMIFS(P:P,D:D,"&lt;="&amp;D64,C:C,C64))</f>
        <v>0</v>
      </c>
      <c r="U64" s="112">
        <f t="shared" si="17"/>
        <v>0</v>
      </c>
      <c r="V64" s="111">
        <f t="shared" si="25"/>
        <v>0</v>
      </c>
      <c r="W64" s="204" t="str">
        <f t="shared" si="23"/>
        <v/>
      </c>
      <c r="X64" s="111">
        <f t="shared" si="20"/>
        <v>0</v>
      </c>
      <c r="Y64" s="110"/>
      <c r="Z64" s="107"/>
      <c r="AA64" s="111">
        <f t="shared" si="5"/>
        <v>0</v>
      </c>
      <c r="AB64" s="235"/>
      <c r="AC64" s="111">
        <f>IF(SUMIFS('Shipments data'!L:L,'Shipments data'!F:F,'Supply planning data'!C64,'Shipments data'!A:A,'Supply planning data'!A64,'Shipments data'!O:O,"received",'Shipments data'!Q:Q,"&lt;"&amp;'Supply planning data'!D79,'Shipments data'!AC:AC,"&lt;"&amp;'Supply planning data'!D79)-SUMIFS(M:M,D:D,"&lt;="&amp;D64,C:C,C64)-SUMIFS(AA:AA,D:D,"&lt;="&amp;D64,C:C,C64)+SUMIFS(N:N,D:D,"&lt;="&amp;D64,C:C,C64)+SUMIFS(P:P,D:D,"&lt;="&amp;D64,C:C,C64)&lt;0,0,SUMIFS('Shipments data'!L:L,'Shipments data'!F:F,'Supply planning data'!C64,'Shipments data'!A:A,'Supply planning data'!A64,'Shipments data'!O:O,"received",'Shipments data'!Q:Q,"&lt;"&amp;'Supply planning data'!D79,'Shipments data'!AC:AC,"&lt;"&amp;'Supply planning data'!D79)-SUMIFS(M:M,D:D,"&lt;="&amp;D64,C:C,C64)-SUMIFS(AA:AA,D:D,"&lt;="&amp;D64,C:C,C64)+SUMIFS(N:N,D:D,"&lt;="&amp;D64,C:C,C64)+SUMIFS(P:P,D:D,"&lt;="&amp;D64,C:C,C64))</f>
        <v>0</v>
      </c>
      <c r="AD64" s="111">
        <f t="shared" si="21"/>
        <v>0</v>
      </c>
      <c r="AE64" s="111">
        <f t="shared" si="10"/>
        <v>0</v>
      </c>
      <c r="AF64" s="204" t="str">
        <f>IF(M64+AA64&lt;=0,"",IFERROR(AE64/(SUM(M64,M94,M79,AA64,AA94,AA79)/3),""))</f>
        <v/>
      </c>
      <c r="AG64" s="111">
        <f t="shared" si="18"/>
        <v>0</v>
      </c>
      <c r="AH64" s="110"/>
      <c r="AI64" s="313"/>
      <c r="AJ64" s="111">
        <f t="shared" si="7"/>
        <v>0</v>
      </c>
      <c r="AK64" s="235"/>
      <c r="AL64" s="111">
        <f>IF(SUMIFS('Shipments data'!L:L,'Shipments data'!F:F,'Supply planning data'!C64,'Shipments data'!A:A,'Supply planning data'!A64,'Shipments data'!O:O,"received",'Shipments data'!Q:Q,"&lt;"&amp;'Supply planning data'!D79,'Shipments data'!AC:AC,"&lt;"&amp;'Supply planning data'!D79)-SUMIFS(M:M,D:D,"&lt;="&amp;D64,C:C,C64)-SUMIFS(AJ:AJ,D:D,"&lt;="&amp;D64,C:C,C64)+SUMIFS(N:N,D:D,"&lt;="&amp;D64,C:C,C64)+SUMIFS(P:P,D:D,"&lt;="&amp;D64,C:C,C64)&lt;0,0,SUMIFS('Shipments data'!L:L,'Shipments data'!F:F,'Supply planning data'!C64,'Shipments data'!A:A,'Supply planning data'!A64,'Shipments data'!O:O,"received",'Shipments data'!Q:Q,"&lt;"&amp;'Supply planning data'!D79,'Shipments data'!AC:AC,"&lt;"&amp;'Supply planning data'!D79)-SUMIFS(M:M,D:D,"&lt;="&amp;D64,C:C,C64)-SUMIFS(AJ:AJ,D:D,"&lt;="&amp;D64,C:C,C64)+SUMIFS(N:N,D:D,"&lt;="&amp;D64,C:C,C64)+SUMIFS(P:P,D:D,"&lt;="&amp;D64,C:C,C64))</f>
        <v>0</v>
      </c>
      <c r="AM64" s="111">
        <f t="shared" si="19"/>
        <v>0</v>
      </c>
      <c r="AN64" s="111">
        <f t="shared" si="11"/>
        <v>0</v>
      </c>
      <c r="AO64" s="204" t="str">
        <f>IF(M64+AJ64&lt;=0,"",IFERROR(AN64/(SUM(M64,M94,M79,AJ64,AJ94,AJ79)/3),""))</f>
        <v/>
      </c>
    </row>
    <row r="65" spans="1:41" x14ac:dyDescent="0.25">
      <c r="A65" s="89" t="str">
        <f>Start!D$7</f>
        <v>Anyland</v>
      </c>
      <c r="B65" s="90" t="str">
        <f>VLOOKUP(A65,list!B:C,2,FALSE)</f>
        <v>ANY</v>
      </c>
      <c r="C65" s="90" t="str">
        <f>IF(Start!$C$17="","",Start!$C$17)</f>
        <v>AstraZeneca</v>
      </c>
      <c r="D65" s="296">
        <f t="shared" si="15"/>
        <v>44317</v>
      </c>
      <c r="E65" s="92" t="str">
        <f>IFERROR(VLOOKUP(C65,Start!C$15:D$31,2,FALSE),"No")</f>
        <v>Yes</v>
      </c>
      <c r="F65" s="92">
        <f t="shared" si="16"/>
        <v>390300</v>
      </c>
      <c r="G65" s="91">
        <v>42440</v>
      </c>
      <c r="H65" s="91">
        <v>5</v>
      </c>
      <c r="I65" s="91"/>
      <c r="J65" s="92">
        <f t="shared" si="0"/>
        <v>42445</v>
      </c>
      <c r="K65" s="91"/>
      <c r="L65" s="174">
        <f t="shared" si="1"/>
        <v>0</v>
      </c>
      <c r="M65" s="92">
        <f t="shared" si="2"/>
        <v>42445</v>
      </c>
      <c r="N65" s="91"/>
      <c r="O65" s="121"/>
      <c r="P65" s="91"/>
      <c r="Q65" s="121"/>
      <c r="R65" s="92">
        <f>SUMIFS('Shipments data'!L:L,'Shipments data'!F:F,'Supply planning data'!C65,'Shipments data'!A:A,'Supply planning data'!A65,'Shipments data'!Y:Y,'Supply planning data'!D65,'Shipments data'!O:O,"received", 'Shipments data'!N:N, "Public")</f>
        <v>0</v>
      </c>
      <c r="S65" s="92">
        <f>SUMIFS('Shipments data'!L:L,'Shipments data'!F:F,'Supply planning data'!C65,'Shipments data'!A:A,'Supply planning data'!A65,'Shipments data'!Y:Y,'Supply planning data'!D65,'Shipments data'!O:O,"ordered", 'Shipments data'!N:N, "Public")</f>
        <v>0</v>
      </c>
      <c r="T65" s="92">
        <f>IF(SUMIFS('Shipments data'!L:L,'Shipments data'!F:F,'Supply planning data'!C65,'Shipments data'!A:A,'Supply planning data'!A65,'Shipments data'!O:O,"received",'Shipments data'!Q:Q,"&lt;"&amp;'Supply planning data'!D80,'Shipments data'!AC:AC,"&lt;"&amp;'Supply planning data'!D80)-SUMIFS(M:M,D:D,"&lt;="&amp;D65,C:C,C65)+SUMIFS(N:N,D:D,"&lt;="&amp;D65,C:C,C65)+SUMIFS(P:P,D:D,"&lt;="&amp;D65,C:C,C65)&lt;0,0,SUMIFS('Shipments data'!L:L,'Shipments data'!F:F,'Supply planning data'!C65,'Shipments data'!A:A,'Supply planning data'!A65,'Shipments data'!O:O,"received",'Shipments data'!Q:Q,"&lt;"&amp;'Supply planning data'!D80,'Shipments data'!AC:AC,"&lt;"&amp;'Supply planning data'!D80)-SUMIFS(M:M,D:D,"&lt;="&amp;D65,C:C,C65)+SUMIFS(N:N,D:D,"&lt;="&amp;D65,C:C,C65)+SUMIFS(P:P,D:D,"&lt;="&amp;D65,C:C,C65))</f>
        <v>0</v>
      </c>
      <c r="U65" s="94">
        <f t="shared" si="17"/>
        <v>0</v>
      </c>
      <c r="V65" s="92">
        <f t="shared" si="25"/>
        <v>347855</v>
      </c>
      <c r="W65" s="205">
        <f t="shared" si="23"/>
        <v>24.586288137589822</v>
      </c>
      <c r="X65" s="92">
        <f t="shared" si="20"/>
        <v>390300</v>
      </c>
      <c r="Y65" s="91"/>
      <c r="Z65" s="93"/>
      <c r="AA65" s="92">
        <f t="shared" si="5"/>
        <v>0</v>
      </c>
      <c r="AB65" s="232"/>
      <c r="AC65" s="92">
        <f>IF(SUMIFS('Shipments data'!L:L,'Shipments data'!F:F,'Supply planning data'!C65,'Shipments data'!A:A,'Supply planning data'!A65,'Shipments data'!O:O,"received",'Shipments data'!Q:Q,"&lt;"&amp;'Supply planning data'!D80,'Shipments data'!AC:AC,"&lt;"&amp;'Supply planning data'!D80)-SUMIFS(M:M,D:D,"&lt;="&amp;D65,C:C,C65)-SUMIFS(AA:AA,D:D,"&lt;="&amp;D65,C:C,C65)+SUMIFS(N:N,D:D,"&lt;="&amp;D65,C:C,C65)+SUMIFS(P:P,D:D,"&lt;="&amp;D65,C:C,C65)&lt;0,0,SUMIFS('Shipments data'!L:L,'Shipments data'!F:F,'Supply planning data'!C65,'Shipments data'!A:A,'Supply planning data'!A65,'Shipments data'!O:O,"received",'Shipments data'!Q:Q,"&lt;"&amp;'Supply planning data'!D80,'Shipments data'!AC:AC,"&lt;"&amp;'Supply planning data'!D80)-SUMIFS(M:M,D:D,"&lt;="&amp;D65,C:C,C65)-SUMIFS(AA:AA,D:D,"&lt;="&amp;D65,C:C,C65)+SUMIFS(N:N,D:D,"&lt;="&amp;D65,C:C,C65)+SUMIFS(P:P,D:D,"&lt;="&amp;D65,C:C,C65))</f>
        <v>0</v>
      </c>
      <c r="AD65" s="92">
        <f t="shared" si="21"/>
        <v>0</v>
      </c>
      <c r="AE65" s="92">
        <f t="shared" si="10"/>
        <v>347855</v>
      </c>
      <c r="AF65" s="205">
        <f>IF(M65+AA65&lt;=0,"",IFERROR(AE65/(SUM(M65,M95,M80,AA65,AA95,AA80)/3),""))</f>
        <v>5.2929853925745585</v>
      </c>
      <c r="AG65" s="92">
        <f t="shared" si="18"/>
        <v>390300</v>
      </c>
      <c r="AH65" s="91"/>
      <c r="AI65" s="310"/>
      <c r="AJ65" s="92">
        <f t="shared" si="7"/>
        <v>0</v>
      </c>
      <c r="AK65" s="232"/>
      <c r="AL65" s="92">
        <f>IF(SUMIFS('Shipments data'!L:L,'Shipments data'!F:F,'Supply planning data'!C65,'Shipments data'!A:A,'Supply planning data'!A65,'Shipments data'!O:O,"received",'Shipments data'!Q:Q,"&lt;"&amp;'Supply planning data'!D80,'Shipments data'!AC:AC,"&lt;"&amp;'Supply planning data'!D80)-SUMIFS(M:M,D:D,"&lt;="&amp;D65,C:C,C65)-SUMIFS(AJ:AJ,D:D,"&lt;="&amp;D65,C:C,C65)+SUMIFS(N:N,D:D,"&lt;="&amp;D65,C:C,C65)+SUMIFS(P:P,D:D,"&lt;="&amp;D65,C:C,C65)&lt;0,0,SUMIFS('Shipments data'!L:L,'Shipments data'!F:F,'Supply planning data'!C65,'Shipments data'!A:A,'Supply planning data'!A65,'Shipments data'!O:O,"received",'Shipments data'!Q:Q,"&lt;"&amp;'Supply planning data'!D80,'Shipments data'!AC:AC,"&lt;"&amp;'Supply planning data'!D80)-SUMIFS(M:M,D:D,"&lt;="&amp;D65,C:C,C65)-SUMIFS(AJ:AJ,D:D,"&lt;="&amp;D65,C:C,C65)+SUMIFS(N:N,D:D,"&lt;="&amp;D65,C:C,C65)+SUMIFS(P:P,D:D,"&lt;="&amp;D65,C:C,C65))</f>
        <v>0</v>
      </c>
      <c r="AM65" s="92">
        <f t="shared" si="19"/>
        <v>0</v>
      </c>
      <c r="AN65" s="92">
        <f t="shared" si="11"/>
        <v>347855</v>
      </c>
      <c r="AO65" s="205">
        <f t="shared" ref="AO65" si="28">IF(M65+AJ65&lt;=0,"",IFERROR(AN65/(SUM(M65,M95,M80,AJ65,AJ95,AJ80)/3),""))</f>
        <v>5.2929853925745585</v>
      </c>
    </row>
    <row r="66" spans="1:41" x14ac:dyDescent="0.25">
      <c r="A66" s="95" t="str">
        <f>Start!D$7</f>
        <v>Anyland</v>
      </c>
      <c r="B66" s="96" t="str">
        <f>VLOOKUP(A66,list!B:C,2,FALSE)</f>
        <v>ANY</v>
      </c>
      <c r="C66" s="90" t="str">
        <f>IF(Start!$C$18="","",Start!$C$18)</f>
        <v>Jansen</v>
      </c>
      <c r="D66" s="296">
        <f t="shared" si="15"/>
        <v>44317</v>
      </c>
      <c r="E66" s="92" t="str">
        <f>IFERROR(VLOOKUP(C66,Start!C$15:D$31,2,FALSE),"No")</f>
        <v>Yes</v>
      </c>
      <c r="F66" s="92">
        <f t="shared" si="16"/>
        <v>0</v>
      </c>
      <c r="G66" s="91"/>
      <c r="H66" s="97"/>
      <c r="I66" s="97"/>
      <c r="J66" s="98">
        <f t="shared" si="0"/>
        <v>0</v>
      </c>
      <c r="K66" s="97"/>
      <c r="L66" s="175" t="str">
        <f t="shared" si="1"/>
        <v/>
      </c>
      <c r="M66" s="98">
        <f t="shared" si="2"/>
        <v>0</v>
      </c>
      <c r="N66" s="97"/>
      <c r="O66" s="122"/>
      <c r="P66" s="97"/>
      <c r="Q66" s="122"/>
      <c r="R66" s="98">
        <f>SUMIFS('Shipments data'!L:L,'Shipments data'!F:F,'Supply planning data'!C66,'Shipments data'!A:A,'Supply planning data'!A66,'Shipments data'!Y:Y,'Supply planning data'!D66,'Shipments data'!O:O,"received", 'Shipments data'!N:N, "Public")</f>
        <v>0</v>
      </c>
      <c r="S66" s="98">
        <f>SUMIFS('Shipments data'!L:L,'Shipments data'!F:F,'Supply planning data'!C66,'Shipments data'!A:A,'Supply planning data'!A66,'Shipments data'!Y:Y,'Supply planning data'!D66,'Shipments data'!O:O,"ordered", 'Shipments data'!N:N, "Public")</f>
        <v>0</v>
      </c>
      <c r="T66" s="98">
        <f>IF(SUMIFS('Shipments data'!L:L,'Shipments data'!F:F,'Supply planning data'!C66,'Shipments data'!A:A,'Supply planning data'!A66,'Shipments data'!O:O,"received",'Shipments data'!Q:Q,"&lt;"&amp;'Supply planning data'!D81,'Shipments data'!AC:AC,"&lt;"&amp;'Supply planning data'!D81)-SUMIFS(M:M,D:D,"&lt;="&amp;D66,C:C,C66)+SUMIFS(N:N,D:D,"&lt;="&amp;D66,C:C,C66)+SUMIFS(P:P,D:D,"&lt;="&amp;D66,C:C,C66)&lt;0,0,SUMIFS('Shipments data'!L:L,'Shipments data'!F:F,'Supply planning data'!C66,'Shipments data'!A:A,'Supply planning data'!A66,'Shipments data'!O:O,"received",'Shipments data'!Q:Q,"&lt;"&amp;'Supply planning data'!D81,'Shipments data'!AC:AC,"&lt;"&amp;'Supply planning data'!D81)-SUMIFS(M:M,D:D,"&lt;="&amp;D66,C:C,C66)+SUMIFS(N:N,D:D,"&lt;="&amp;D66,C:C,C66)+SUMIFS(P:P,D:D,"&lt;="&amp;D66,C:C,C66))</f>
        <v>0</v>
      </c>
      <c r="U66" s="99">
        <f t="shared" si="17"/>
        <v>0</v>
      </c>
      <c r="V66" s="98">
        <f t="shared" si="25"/>
        <v>0</v>
      </c>
      <c r="W66" s="203" t="str">
        <f t="shared" si="23"/>
        <v/>
      </c>
      <c r="X66" s="98">
        <f t="shared" si="20"/>
        <v>0</v>
      </c>
      <c r="Y66" s="97"/>
      <c r="Z66" s="93"/>
      <c r="AA66" s="98">
        <f t="shared" si="5"/>
        <v>0</v>
      </c>
      <c r="AB66" s="233"/>
      <c r="AC66" s="98">
        <f>IF(SUMIFS('Shipments data'!L:L,'Shipments data'!F:F,'Supply planning data'!C66,'Shipments data'!A:A,'Supply planning data'!A66,'Shipments data'!O:O,"received",'Shipments data'!Q:Q,"&lt;"&amp;'Supply planning data'!D81,'Shipments data'!AC:AC,"&lt;"&amp;'Supply planning data'!D81)-SUMIFS(M:M,D:D,"&lt;="&amp;D66,C:C,C66)-SUMIFS(AA:AA,D:D,"&lt;="&amp;D66,C:C,C66)+SUMIFS(N:N,D:D,"&lt;="&amp;D66,C:C,C66)+SUMIFS(P:P,D:D,"&lt;="&amp;D66,C:C,C66)&lt;0,0,SUMIFS('Shipments data'!L:L,'Shipments data'!F:F,'Supply planning data'!C66,'Shipments data'!A:A,'Supply planning data'!A66,'Shipments data'!O:O,"received",'Shipments data'!Q:Q,"&lt;"&amp;'Supply planning data'!D81,'Shipments data'!AC:AC,"&lt;"&amp;'Supply planning data'!D81)-SUMIFS(M:M,D:D,"&lt;="&amp;D66,C:C,C66)-SUMIFS(AA:AA,D:D,"&lt;="&amp;D66,C:C,C66)+SUMIFS(N:N,D:D,"&lt;="&amp;D66,C:C,C66)+SUMIFS(P:P,D:D,"&lt;="&amp;D66,C:C,C66))</f>
        <v>0</v>
      </c>
      <c r="AD66" s="98">
        <f t="shared" si="21"/>
        <v>0</v>
      </c>
      <c r="AE66" s="98">
        <f t="shared" si="10"/>
        <v>0</v>
      </c>
      <c r="AF66" s="205" t="str">
        <f>IF(M66+AA66&lt;=0,"",IFERROR(AE66/(SUM(M66,M96,M81,AA66,AA96,AA81)/3),""))</f>
        <v/>
      </c>
      <c r="AG66" s="98">
        <f t="shared" si="18"/>
        <v>0</v>
      </c>
      <c r="AH66" s="97"/>
      <c r="AI66" s="311"/>
      <c r="AJ66" s="98">
        <f t="shared" si="7"/>
        <v>0</v>
      </c>
      <c r="AK66" s="233"/>
      <c r="AL66" s="98">
        <f>IF(SUMIFS('Shipments data'!L:L,'Shipments data'!F:F,'Supply planning data'!C66,'Shipments data'!A:A,'Supply planning data'!A66,'Shipments data'!O:O,"received",'Shipments data'!Q:Q,"&lt;"&amp;'Supply planning data'!D81,'Shipments data'!AC:AC,"&lt;"&amp;'Supply planning data'!D81)-SUMIFS(M:M,D:D,"&lt;="&amp;D66,C:C,C66)-SUMIFS(AJ:AJ,D:D,"&lt;="&amp;D66,C:C,C66)+SUMIFS(N:N,D:D,"&lt;="&amp;D66,C:C,C66)+SUMIFS(P:P,D:D,"&lt;="&amp;D66,C:C,C66)&lt;0,0,SUMIFS('Shipments data'!L:L,'Shipments data'!F:F,'Supply planning data'!C66,'Shipments data'!A:A,'Supply planning data'!A66,'Shipments data'!O:O,"received",'Shipments data'!Q:Q,"&lt;"&amp;'Supply planning data'!D81,'Shipments data'!AC:AC,"&lt;"&amp;'Supply planning data'!D81)-SUMIFS(M:M,D:D,"&lt;="&amp;D66,C:C,C66)-SUMIFS(AJ:AJ,D:D,"&lt;="&amp;D66,C:C,C66)+SUMIFS(N:N,D:D,"&lt;="&amp;D66,C:C,C66)+SUMIFS(P:P,D:D,"&lt;="&amp;D66,C:C,C66))</f>
        <v>0</v>
      </c>
      <c r="AM66" s="98">
        <f t="shared" si="19"/>
        <v>0</v>
      </c>
      <c r="AN66" s="98">
        <f t="shared" si="11"/>
        <v>0</v>
      </c>
      <c r="AO66" s="203" t="str">
        <f t="shared" si="24"/>
        <v/>
      </c>
    </row>
    <row r="67" spans="1:41" x14ac:dyDescent="0.25">
      <c r="A67" s="95" t="str">
        <f>Start!D$7</f>
        <v>Anyland</v>
      </c>
      <c r="B67" s="96" t="str">
        <f>VLOOKUP(A67,list!B:C,2,FALSE)</f>
        <v>ANY</v>
      </c>
      <c r="C67" s="90" t="str">
        <f>IF(Start!$C$19="","",Start!$C$19)</f>
        <v>Moderna</v>
      </c>
      <c r="D67" s="296">
        <f t="shared" si="15"/>
        <v>44317</v>
      </c>
      <c r="E67" s="92" t="str">
        <f>IFERROR(VLOOKUP(C67,Start!C$15:D$31,2,FALSE),"No")</f>
        <v>No</v>
      </c>
      <c r="F67" s="92">
        <f t="shared" si="16"/>
        <v>0</v>
      </c>
      <c r="G67" s="91"/>
      <c r="H67" s="97"/>
      <c r="I67" s="97"/>
      <c r="J67" s="98">
        <f t="shared" si="0"/>
        <v>0</v>
      </c>
      <c r="K67" s="97"/>
      <c r="L67" s="175" t="str">
        <f t="shared" si="1"/>
        <v/>
      </c>
      <c r="M67" s="98">
        <f t="shared" si="2"/>
        <v>0</v>
      </c>
      <c r="N67" s="97"/>
      <c r="O67" s="122"/>
      <c r="P67" s="97"/>
      <c r="Q67" s="122"/>
      <c r="R67" s="98">
        <f>SUMIFS('Shipments data'!L:L,'Shipments data'!F:F,'Supply planning data'!C67,'Shipments data'!A:A,'Supply planning data'!A67,'Shipments data'!Y:Y,'Supply planning data'!D67,'Shipments data'!O:O,"received", 'Shipments data'!N:N, "Public")</f>
        <v>0</v>
      </c>
      <c r="S67" s="98">
        <f>SUMIFS('Shipments data'!L:L,'Shipments data'!F:F,'Supply planning data'!C67,'Shipments data'!A:A,'Supply planning data'!A67,'Shipments data'!Y:Y,'Supply planning data'!D67,'Shipments data'!O:O,"ordered", 'Shipments data'!N:N, "Public")</f>
        <v>0</v>
      </c>
      <c r="T67" s="98">
        <f>IF(SUMIFS('Shipments data'!L:L,'Shipments data'!F:F,'Supply planning data'!C67,'Shipments data'!A:A,'Supply planning data'!A67,'Shipments data'!O:O,"received",'Shipments data'!Q:Q,"&lt;"&amp;'Supply planning data'!D82,'Shipments data'!AC:AC,"&lt;"&amp;'Supply planning data'!D82)-SUMIFS(M:M,D:D,"&lt;="&amp;D67,C:C,C67)+SUMIFS(N:N,D:D,"&lt;="&amp;D67,C:C,C67)+SUMIFS(P:P,D:D,"&lt;="&amp;D67,C:C,C67)&lt;0,0,SUMIFS('Shipments data'!L:L,'Shipments data'!F:F,'Supply planning data'!C67,'Shipments data'!A:A,'Supply planning data'!A67,'Shipments data'!O:O,"received",'Shipments data'!Q:Q,"&lt;"&amp;'Supply planning data'!D82,'Shipments data'!AC:AC,"&lt;"&amp;'Supply planning data'!D82)-SUMIFS(M:M,D:D,"&lt;="&amp;D67,C:C,C67)+SUMIFS(N:N,D:D,"&lt;="&amp;D67,C:C,C67)+SUMIFS(P:P,D:D,"&lt;="&amp;D67,C:C,C67))</f>
        <v>0</v>
      </c>
      <c r="U67" s="99">
        <f t="shared" si="17"/>
        <v>0</v>
      </c>
      <c r="V67" s="98">
        <f t="shared" si="25"/>
        <v>0</v>
      </c>
      <c r="W67" s="203" t="str">
        <f t="shared" si="23"/>
        <v/>
      </c>
      <c r="X67" s="98">
        <f t="shared" si="20"/>
        <v>0</v>
      </c>
      <c r="Y67" s="97"/>
      <c r="Z67" s="93"/>
      <c r="AA67" s="98">
        <f t="shared" si="5"/>
        <v>0</v>
      </c>
      <c r="AB67" s="233"/>
      <c r="AC67" s="98">
        <f>IF(SUMIFS('Shipments data'!L:L,'Shipments data'!F:F,'Supply planning data'!C67,'Shipments data'!A:A,'Supply planning data'!A67,'Shipments data'!O:O,"received",'Shipments data'!Q:Q,"&lt;"&amp;'Supply planning data'!D82,'Shipments data'!AC:AC,"&lt;"&amp;'Supply planning data'!D82)-SUMIFS(M:M,D:D,"&lt;="&amp;D67,C:C,C67)-SUMIFS(AA:AA,D:D,"&lt;="&amp;D67,C:C,C67)+SUMIFS(N:N,D:D,"&lt;="&amp;D67,C:C,C67)+SUMIFS(P:P,D:D,"&lt;="&amp;D67,C:C,C67)&lt;0,0,SUMIFS('Shipments data'!L:L,'Shipments data'!F:F,'Supply planning data'!C67,'Shipments data'!A:A,'Supply planning data'!A67,'Shipments data'!O:O,"received",'Shipments data'!Q:Q,"&lt;"&amp;'Supply planning data'!D82,'Shipments data'!AC:AC,"&lt;"&amp;'Supply planning data'!D82)-SUMIFS(M:M,D:D,"&lt;="&amp;D67,C:C,C67)-SUMIFS(AA:AA,D:D,"&lt;="&amp;D67,C:C,C67)+SUMIFS(N:N,D:D,"&lt;="&amp;D67,C:C,C67)+SUMIFS(P:P,D:D,"&lt;="&amp;D67,C:C,C67))</f>
        <v>0</v>
      </c>
      <c r="AD67" s="98">
        <f t="shared" si="21"/>
        <v>0</v>
      </c>
      <c r="AE67" s="98">
        <f t="shared" si="10"/>
        <v>0</v>
      </c>
      <c r="AF67" s="205" t="str">
        <f t="shared" ref="AF67:AF78" si="29">IF(M67+AA67&lt;=0,"",IFERROR(AE67/(SUM(M67,M97,M82,AA67,AA97,AA82)/3),""))</f>
        <v/>
      </c>
      <c r="AG67" s="98">
        <f t="shared" si="18"/>
        <v>0</v>
      </c>
      <c r="AH67" s="97"/>
      <c r="AI67" s="311"/>
      <c r="AJ67" s="98">
        <f t="shared" si="7"/>
        <v>0</v>
      </c>
      <c r="AK67" s="233"/>
      <c r="AL67" s="98">
        <f>IF(SUMIFS('Shipments data'!L:L,'Shipments data'!F:F,'Supply planning data'!C67,'Shipments data'!A:A,'Supply planning data'!A67,'Shipments data'!O:O,"received",'Shipments data'!Q:Q,"&lt;"&amp;'Supply planning data'!D82,'Shipments data'!AC:AC,"&lt;"&amp;'Supply planning data'!D82)-SUMIFS(M:M,D:D,"&lt;="&amp;D67,C:C,C67)-SUMIFS(AJ:AJ,D:D,"&lt;="&amp;D67,C:C,C67)+SUMIFS(N:N,D:D,"&lt;="&amp;D67,C:C,C67)+SUMIFS(P:P,D:D,"&lt;="&amp;D67,C:C,C67)&lt;0,0,SUMIFS('Shipments data'!L:L,'Shipments data'!F:F,'Supply planning data'!C67,'Shipments data'!A:A,'Supply planning data'!A67,'Shipments data'!O:O,"received",'Shipments data'!Q:Q,"&lt;"&amp;'Supply planning data'!D82,'Shipments data'!AC:AC,"&lt;"&amp;'Supply planning data'!D82)-SUMIFS(M:M,D:D,"&lt;="&amp;D67,C:C,C67)-SUMIFS(AJ:AJ,D:D,"&lt;="&amp;D67,C:C,C67)+SUMIFS(N:N,D:D,"&lt;="&amp;D67,C:C,C67)+SUMIFS(P:P,D:D,"&lt;="&amp;D67,C:C,C67))</f>
        <v>0</v>
      </c>
      <c r="AM67" s="98">
        <f t="shared" si="19"/>
        <v>0</v>
      </c>
      <c r="AN67" s="98">
        <f t="shared" si="11"/>
        <v>0</v>
      </c>
      <c r="AO67" s="203" t="str">
        <f t="shared" si="24"/>
        <v/>
      </c>
    </row>
    <row r="68" spans="1:41" x14ac:dyDescent="0.25">
      <c r="A68" s="95" t="str">
        <f>Start!D$7</f>
        <v>Anyland</v>
      </c>
      <c r="B68" s="96" t="str">
        <f>VLOOKUP(A68,list!B:C,2,FALSE)</f>
        <v>ANY</v>
      </c>
      <c r="C68" s="90" t="str">
        <f>IF(Start!$C$20="","",Start!$C$20)</f>
        <v>Pfizer</v>
      </c>
      <c r="D68" s="296">
        <f t="shared" si="15"/>
        <v>44317</v>
      </c>
      <c r="E68" s="92" t="str">
        <f>IFERROR(VLOOKUP(C68,Start!C$15:D$31,2,FALSE),"No")</f>
        <v>Yes</v>
      </c>
      <c r="F68" s="92">
        <f t="shared" si="16"/>
        <v>0</v>
      </c>
      <c r="G68" s="91"/>
      <c r="H68" s="97"/>
      <c r="I68" s="97"/>
      <c r="J68" s="98">
        <f t="shared" si="0"/>
        <v>0</v>
      </c>
      <c r="K68" s="97"/>
      <c r="L68" s="175" t="str">
        <f t="shared" si="1"/>
        <v/>
      </c>
      <c r="M68" s="98">
        <f t="shared" si="2"/>
        <v>0</v>
      </c>
      <c r="N68" s="97"/>
      <c r="O68" s="122"/>
      <c r="P68" s="97"/>
      <c r="Q68" s="122"/>
      <c r="R68" s="98">
        <f>SUMIFS('Shipments data'!L:L,'Shipments data'!F:F,'Supply planning data'!C68,'Shipments data'!A:A,'Supply planning data'!A68,'Shipments data'!Y:Y,'Supply planning data'!D68,'Shipments data'!O:O,"received", 'Shipments data'!N:N, "Public")</f>
        <v>0</v>
      </c>
      <c r="S68" s="98">
        <f>SUMIFS('Shipments data'!L:L,'Shipments data'!F:F,'Supply planning data'!C68,'Shipments data'!A:A,'Supply planning data'!A68,'Shipments data'!Y:Y,'Supply planning data'!D68,'Shipments data'!O:O,"ordered", 'Shipments data'!N:N, "Public")</f>
        <v>0</v>
      </c>
      <c r="T68" s="98">
        <f>IF(SUMIFS('Shipments data'!L:L,'Shipments data'!F:F,'Supply planning data'!C68,'Shipments data'!A:A,'Supply planning data'!A68,'Shipments data'!O:O,"received",'Shipments data'!Q:Q,"&lt;"&amp;'Supply planning data'!D83,'Shipments data'!AC:AC,"&lt;"&amp;'Supply planning data'!D83)-SUMIFS(M:M,D:D,"&lt;="&amp;D68,C:C,C68)+SUMIFS(N:N,D:D,"&lt;="&amp;D68,C:C,C68)+SUMIFS(P:P,D:D,"&lt;="&amp;D68,C:C,C68)&lt;0,0,SUMIFS('Shipments data'!L:L,'Shipments data'!F:F,'Supply planning data'!C68,'Shipments data'!A:A,'Supply planning data'!A68,'Shipments data'!O:O,"received",'Shipments data'!Q:Q,"&lt;"&amp;'Supply planning data'!D83,'Shipments data'!AC:AC,"&lt;"&amp;'Supply planning data'!D83)-SUMIFS(M:M,D:D,"&lt;="&amp;D68,C:C,C68)+SUMIFS(N:N,D:D,"&lt;="&amp;D68,C:C,C68)+SUMIFS(P:P,D:D,"&lt;="&amp;D68,C:C,C68))</f>
        <v>0</v>
      </c>
      <c r="U68" s="99">
        <f t="shared" si="17"/>
        <v>0</v>
      </c>
      <c r="V68" s="98">
        <f t="shared" si="25"/>
        <v>0</v>
      </c>
      <c r="W68" s="203" t="str">
        <f t="shared" si="23"/>
        <v/>
      </c>
      <c r="X68" s="98">
        <f t="shared" si="20"/>
        <v>0</v>
      </c>
      <c r="Y68" s="97"/>
      <c r="Z68" s="93"/>
      <c r="AA68" s="98">
        <f t="shared" si="5"/>
        <v>0</v>
      </c>
      <c r="AB68" s="233"/>
      <c r="AC68" s="98">
        <f>IF(SUMIFS('Shipments data'!L:L,'Shipments data'!F:F,'Supply planning data'!C68,'Shipments data'!A:A,'Supply planning data'!A68,'Shipments data'!O:O,"received",'Shipments data'!Q:Q,"&lt;"&amp;'Supply planning data'!D83,'Shipments data'!AC:AC,"&lt;"&amp;'Supply planning data'!D83)-SUMIFS(M:M,D:D,"&lt;="&amp;D68,C:C,C68)-SUMIFS(AA:AA,D:D,"&lt;="&amp;D68,C:C,C68)+SUMIFS(N:N,D:D,"&lt;="&amp;D68,C:C,C68)+SUMIFS(P:P,D:D,"&lt;="&amp;D68,C:C,C68)&lt;0,0,SUMIFS('Shipments data'!L:L,'Shipments data'!F:F,'Supply planning data'!C68,'Shipments data'!A:A,'Supply planning data'!A68,'Shipments data'!O:O,"received",'Shipments data'!Q:Q,"&lt;"&amp;'Supply planning data'!D83,'Shipments data'!AC:AC,"&lt;"&amp;'Supply planning data'!D83)-SUMIFS(M:M,D:D,"&lt;="&amp;D68,C:C,C68)-SUMIFS(AA:AA,D:D,"&lt;="&amp;D68,C:C,C68)+SUMIFS(N:N,D:D,"&lt;="&amp;D68,C:C,C68)+SUMIFS(P:P,D:D,"&lt;="&amp;D68,C:C,C68))</f>
        <v>0</v>
      </c>
      <c r="AD68" s="98">
        <f t="shared" si="21"/>
        <v>0</v>
      </c>
      <c r="AE68" s="98">
        <f t="shared" si="10"/>
        <v>0</v>
      </c>
      <c r="AF68" s="205" t="str">
        <f t="shared" si="29"/>
        <v/>
      </c>
      <c r="AG68" s="98">
        <f t="shared" si="18"/>
        <v>0</v>
      </c>
      <c r="AH68" s="97"/>
      <c r="AI68" s="311"/>
      <c r="AJ68" s="98">
        <f t="shared" si="7"/>
        <v>0</v>
      </c>
      <c r="AK68" s="233"/>
      <c r="AL68" s="98">
        <f>IF(SUMIFS('Shipments data'!L:L,'Shipments data'!F:F,'Supply planning data'!C68,'Shipments data'!A:A,'Supply planning data'!A68,'Shipments data'!O:O,"received",'Shipments data'!Q:Q,"&lt;"&amp;'Supply planning data'!D83,'Shipments data'!AC:AC,"&lt;"&amp;'Supply planning data'!D83)-SUMIFS(M:M,D:D,"&lt;="&amp;D68,C:C,C68)-SUMIFS(AJ:AJ,D:D,"&lt;="&amp;D68,C:C,C68)+SUMIFS(N:N,D:D,"&lt;="&amp;D68,C:C,C68)+SUMIFS(P:P,D:D,"&lt;="&amp;D68,C:C,C68)&lt;0,0,SUMIFS('Shipments data'!L:L,'Shipments data'!F:F,'Supply planning data'!C68,'Shipments data'!A:A,'Supply planning data'!A68,'Shipments data'!O:O,"received",'Shipments data'!Q:Q,"&lt;"&amp;'Supply planning data'!D83,'Shipments data'!AC:AC,"&lt;"&amp;'Supply planning data'!D83)-SUMIFS(M:M,D:D,"&lt;="&amp;D68,C:C,C68)-SUMIFS(AJ:AJ,D:D,"&lt;="&amp;D68,C:C,C68)+SUMIFS(N:N,D:D,"&lt;="&amp;D68,C:C,C68)+SUMIFS(P:P,D:D,"&lt;="&amp;D68,C:C,C68))</f>
        <v>0</v>
      </c>
      <c r="AM68" s="98">
        <f t="shared" si="19"/>
        <v>0</v>
      </c>
      <c r="AN68" s="98">
        <f t="shared" si="11"/>
        <v>0</v>
      </c>
      <c r="AO68" s="203" t="str">
        <f t="shared" si="24"/>
        <v/>
      </c>
    </row>
    <row r="69" spans="1:41" x14ac:dyDescent="0.25">
      <c r="A69" s="95" t="str">
        <f>Start!D$7</f>
        <v>Anyland</v>
      </c>
      <c r="B69" s="96" t="str">
        <f>VLOOKUP(A69,list!B:C,2,FALSE)</f>
        <v>ANY</v>
      </c>
      <c r="C69" s="90" t="str">
        <f>IF(Start!$C$21="","",Start!$C$21)</f>
        <v>Sinovac</v>
      </c>
      <c r="D69" s="296">
        <f t="shared" si="15"/>
        <v>44317</v>
      </c>
      <c r="E69" s="92" t="str">
        <f>IFERROR(VLOOKUP(C69,Start!C$15:D$31,2,FALSE),"No")</f>
        <v>No</v>
      </c>
      <c r="F69" s="92">
        <f t="shared" si="16"/>
        <v>0</v>
      </c>
      <c r="G69" s="91"/>
      <c r="H69" s="97"/>
      <c r="I69" s="97"/>
      <c r="J69" s="98">
        <f t="shared" ref="J69:J132" si="30">SUM(G69:I69)</f>
        <v>0</v>
      </c>
      <c r="K69" s="97"/>
      <c r="L69" s="175" t="str">
        <f t="shared" ref="L69:L132" si="31">IFERROR(K69/J69, "")</f>
        <v/>
      </c>
      <c r="M69" s="98">
        <f t="shared" ref="M69:M132" si="32">SUM(J69,K69)</f>
        <v>0</v>
      </c>
      <c r="N69" s="97"/>
      <c r="O69" s="122"/>
      <c r="P69" s="97"/>
      <c r="Q69" s="122"/>
      <c r="R69" s="98">
        <f>SUMIFS('Shipments data'!L:L,'Shipments data'!F:F,'Supply planning data'!C69,'Shipments data'!A:A,'Supply planning data'!A69,'Shipments data'!Y:Y,'Supply planning data'!D69,'Shipments data'!O:O,"received", 'Shipments data'!N:N, "Public")</f>
        <v>0</v>
      </c>
      <c r="S69" s="98">
        <f>SUMIFS('Shipments data'!L:L,'Shipments data'!F:F,'Supply planning data'!C69,'Shipments data'!A:A,'Supply planning data'!A69,'Shipments data'!Y:Y,'Supply planning data'!D69,'Shipments data'!O:O,"ordered", 'Shipments data'!N:N, "Public")</f>
        <v>0</v>
      </c>
      <c r="T69" s="98">
        <f>IF(SUMIFS('Shipments data'!L:L,'Shipments data'!F:F,'Supply planning data'!C69,'Shipments data'!A:A,'Supply planning data'!A69,'Shipments data'!O:O,"received",'Shipments data'!Q:Q,"&lt;"&amp;'Supply planning data'!D84,'Shipments data'!AC:AC,"&lt;"&amp;'Supply planning data'!D84)-SUMIFS(M:M,D:D,"&lt;="&amp;D69,C:C,C69)+SUMIFS(N:N,D:D,"&lt;="&amp;D69,C:C,C69)+SUMIFS(P:P,D:D,"&lt;="&amp;D69,C:C,C69)&lt;0,0,SUMIFS('Shipments data'!L:L,'Shipments data'!F:F,'Supply planning data'!C69,'Shipments data'!A:A,'Supply planning data'!A69,'Shipments data'!O:O,"received",'Shipments data'!Q:Q,"&lt;"&amp;'Supply planning data'!D84,'Shipments data'!AC:AC,"&lt;"&amp;'Supply planning data'!D84)-SUMIFS(M:M,D:D,"&lt;="&amp;D69,C:C,C69)+SUMIFS(N:N,D:D,"&lt;="&amp;D69,C:C,C69)+SUMIFS(P:P,D:D,"&lt;="&amp;D69,C:C,C69))</f>
        <v>0</v>
      </c>
      <c r="U69" s="99">
        <f t="shared" si="17"/>
        <v>0</v>
      </c>
      <c r="V69" s="98">
        <f t="shared" ref="V69:V100" si="33">IF(F69-M69+N69+P69+R69-U69&lt;0,0,F69-M69+N69+P69+R69-U69)</f>
        <v>0</v>
      </c>
      <c r="W69" s="203" t="str">
        <f t="shared" si="23"/>
        <v/>
      </c>
      <c r="X69" s="98">
        <f t="shared" si="20"/>
        <v>0</v>
      </c>
      <c r="Y69" s="97"/>
      <c r="Z69" s="93"/>
      <c r="AA69" s="98">
        <f t="shared" ref="AA69:AA132" si="34">IFERROR(Z69*Y69,0)+Y69</f>
        <v>0</v>
      </c>
      <c r="AB69" s="233"/>
      <c r="AC69" s="98">
        <f>IF(SUMIFS('Shipments data'!L:L,'Shipments data'!F:F,'Supply planning data'!C69,'Shipments data'!A:A,'Supply planning data'!A69,'Shipments data'!O:O,"received",'Shipments data'!Q:Q,"&lt;"&amp;'Supply planning data'!D84,'Shipments data'!AC:AC,"&lt;"&amp;'Supply planning data'!D84)-SUMIFS(M:M,D:D,"&lt;="&amp;D69,C:C,C69)-SUMIFS(AA:AA,D:D,"&lt;="&amp;D69,C:C,C69)+SUMIFS(N:N,D:D,"&lt;="&amp;D69,C:C,C69)+SUMIFS(P:P,D:D,"&lt;="&amp;D69,C:C,C69)&lt;0,0,SUMIFS('Shipments data'!L:L,'Shipments data'!F:F,'Supply planning data'!C69,'Shipments data'!A:A,'Supply planning data'!A69,'Shipments data'!O:O,"received",'Shipments data'!Q:Q,"&lt;"&amp;'Supply planning data'!D84,'Shipments data'!AC:AC,"&lt;"&amp;'Supply planning data'!D84)-SUMIFS(M:M,D:D,"&lt;="&amp;D69,C:C,C69)-SUMIFS(AA:AA,D:D,"&lt;="&amp;D69,C:C,C69)+SUMIFS(N:N,D:D,"&lt;="&amp;D69,C:C,C69)+SUMIFS(P:P,D:D,"&lt;="&amp;D69,C:C,C69))</f>
        <v>0</v>
      </c>
      <c r="AD69" s="98">
        <f t="shared" si="21"/>
        <v>0</v>
      </c>
      <c r="AE69" s="98">
        <f t="shared" si="10"/>
        <v>0</v>
      </c>
      <c r="AF69" s="205" t="str">
        <f t="shared" si="29"/>
        <v/>
      </c>
      <c r="AG69" s="98">
        <f t="shared" si="18"/>
        <v>0</v>
      </c>
      <c r="AH69" s="97"/>
      <c r="AI69" s="311"/>
      <c r="AJ69" s="98">
        <f t="shared" ref="AJ69:AJ132" si="35">IFERROR(AI69*AH69,0)+AH69</f>
        <v>0</v>
      </c>
      <c r="AK69" s="233"/>
      <c r="AL69" s="98">
        <f>IF(SUMIFS('Shipments data'!L:L,'Shipments data'!F:F,'Supply planning data'!C69,'Shipments data'!A:A,'Supply planning data'!A69,'Shipments data'!O:O,"received",'Shipments data'!Q:Q,"&lt;"&amp;'Supply planning data'!D84,'Shipments data'!AC:AC,"&lt;"&amp;'Supply planning data'!D84)-SUMIFS(M:M,D:D,"&lt;="&amp;D69,C:C,C69)-SUMIFS(AJ:AJ,D:D,"&lt;="&amp;D69,C:C,C69)+SUMIFS(N:N,D:D,"&lt;="&amp;D69,C:C,C69)+SUMIFS(P:P,D:D,"&lt;="&amp;D69,C:C,C69)&lt;0,0,SUMIFS('Shipments data'!L:L,'Shipments data'!F:F,'Supply planning data'!C69,'Shipments data'!A:A,'Supply planning data'!A69,'Shipments data'!O:O,"received",'Shipments data'!Q:Q,"&lt;"&amp;'Supply planning data'!D84,'Shipments data'!AC:AC,"&lt;"&amp;'Supply planning data'!D84)-SUMIFS(M:M,D:D,"&lt;="&amp;D69,C:C,C69)-SUMIFS(AJ:AJ,D:D,"&lt;="&amp;D69,C:C,C69)+SUMIFS(N:N,D:D,"&lt;="&amp;D69,C:C,C69)+SUMIFS(P:P,D:D,"&lt;="&amp;D69,C:C,C69))</f>
        <v>0</v>
      </c>
      <c r="AM69" s="98">
        <f t="shared" si="19"/>
        <v>0</v>
      </c>
      <c r="AN69" s="98">
        <f t="shared" si="11"/>
        <v>0</v>
      </c>
      <c r="AO69" s="203" t="str">
        <f t="shared" si="24"/>
        <v/>
      </c>
    </row>
    <row r="70" spans="1:41" hidden="1" x14ac:dyDescent="0.25">
      <c r="A70" s="95" t="str">
        <f>Start!D$7</f>
        <v>Anyland</v>
      </c>
      <c r="B70" s="96" t="str">
        <f>VLOOKUP(A70,list!B:C,2,FALSE)</f>
        <v>ANY</v>
      </c>
      <c r="C70" s="90" t="str">
        <f>IF(Start!$C$22="","",Start!$C$22)</f>
        <v/>
      </c>
      <c r="D70" s="296">
        <f t="shared" si="15"/>
        <v>44317</v>
      </c>
      <c r="E70" s="92" t="str">
        <f>IFERROR(VLOOKUP(C70,Start!C$15:D$31,2,FALSE),"No")</f>
        <v>No</v>
      </c>
      <c r="F70" s="92">
        <f t="shared" si="16"/>
        <v>0</v>
      </c>
      <c r="G70" s="91"/>
      <c r="H70" s="97"/>
      <c r="I70" s="97"/>
      <c r="J70" s="98">
        <f t="shared" si="30"/>
        <v>0</v>
      </c>
      <c r="K70" s="97"/>
      <c r="L70" s="175" t="str">
        <f t="shared" si="31"/>
        <v/>
      </c>
      <c r="M70" s="98">
        <f t="shared" si="32"/>
        <v>0</v>
      </c>
      <c r="N70" s="97"/>
      <c r="O70" s="122"/>
      <c r="P70" s="97"/>
      <c r="Q70" s="122"/>
      <c r="R70" s="98">
        <f>SUMIFS('Shipments data'!L:L,'Shipments data'!F:F,'Supply planning data'!C70,'Shipments data'!A:A,'Supply planning data'!A70,'Shipments data'!Y:Y,'Supply planning data'!D70,'Shipments data'!O:O,"received", 'Shipments data'!N:N, "Public")</f>
        <v>0</v>
      </c>
      <c r="S70" s="98">
        <f>SUMIFS('Shipments data'!L:L,'Shipments data'!F:F,'Supply planning data'!C70,'Shipments data'!A:A,'Supply planning data'!A70,'Shipments data'!Y:Y,'Supply planning data'!D70,'Shipments data'!O:O,"ordered", 'Shipments data'!N:N, "Public")</f>
        <v>0</v>
      </c>
      <c r="T70" s="98">
        <f>IF(SUMIFS('Shipments data'!L:L,'Shipments data'!F:F,'Supply planning data'!C70,'Shipments data'!A:A,'Supply planning data'!A70,'Shipments data'!O:O,"received",'Shipments data'!Q:Q,"&lt;"&amp;'Supply planning data'!D85,'Shipments data'!AC:AC,"&lt;"&amp;'Supply planning data'!D85)-SUMIFS(M:M,D:D,"&lt;="&amp;D70,C:C,C70)+SUMIFS(N:N,D:D,"&lt;="&amp;D70,C:C,C70)+SUMIFS(P:P,D:D,"&lt;="&amp;D70,C:C,C70)&lt;0,0,SUMIFS('Shipments data'!L:L,'Shipments data'!F:F,'Supply planning data'!C70,'Shipments data'!A:A,'Supply planning data'!A70,'Shipments data'!O:O,"received",'Shipments data'!Q:Q,"&lt;"&amp;'Supply planning data'!D85,'Shipments data'!AC:AC,"&lt;"&amp;'Supply planning data'!D85)-SUMIFS(M:M,D:D,"&lt;="&amp;D70,C:C,C70)+SUMIFS(N:N,D:D,"&lt;="&amp;D70,C:C,C70)+SUMIFS(P:P,D:D,"&lt;="&amp;D70,C:C,C70))</f>
        <v>0</v>
      </c>
      <c r="U70" s="99">
        <f t="shared" si="17"/>
        <v>0</v>
      </c>
      <c r="V70" s="98">
        <f t="shared" si="33"/>
        <v>0</v>
      </c>
      <c r="W70" s="203" t="str">
        <f t="shared" si="23"/>
        <v/>
      </c>
      <c r="X70" s="98">
        <f t="shared" si="20"/>
        <v>0</v>
      </c>
      <c r="Y70" s="97"/>
      <c r="Z70" s="93"/>
      <c r="AA70" s="98">
        <f t="shared" si="34"/>
        <v>0</v>
      </c>
      <c r="AB70" s="233"/>
      <c r="AC70" s="98">
        <f>IF(SUMIFS('Shipments data'!L:L,'Shipments data'!F:F,'Supply planning data'!C70,'Shipments data'!A:A,'Supply planning data'!A70,'Shipments data'!O:O,"received",'Shipments data'!Q:Q,"&lt;"&amp;'Supply planning data'!D85,'Shipments data'!AC:AC,"&lt;"&amp;'Supply planning data'!D85)-SUMIFS(M:M,D:D,"&lt;="&amp;D70,C:C,C70)-SUMIFS(AA:AA,D:D,"&lt;="&amp;D70,C:C,C70)+SUMIFS(N:N,D:D,"&lt;="&amp;D70,C:C,C70)+SUMIFS(P:P,D:D,"&lt;="&amp;D70,C:C,C70)&lt;0,0,SUMIFS('Shipments data'!L:L,'Shipments data'!F:F,'Supply planning data'!C70,'Shipments data'!A:A,'Supply planning data'!A70,'Shipments data'!O:O,"received",'Shipments data'!Q:Q,"&lt;"&amp;'Supply planning data'!D85,'Shipments data'!AC:AC,"&lt;"&amp;'Supply planning data'!D85)-SUMIFS(M:M,D:D,"&lt;="&amp;D70,C:C,C70)-SUMIFS(AA:AA,D:D,"&lt;="&amp;D70,C:C,C70)+SUMIFS(N:N,D:D,"&lt;="&amp;D70,C:C,C70)+SUMIFS(P:P,D:D,"&lt;="&amp;D70,C:C,C70))</f>
        <v>0</v>
      </c>
      <c r="AD70" s="98">
        <f t="shared" si="21"/>
        <v>0</v>
      </c>
      <c r="AE70" s="98">
        <f t="shared" ref="AE70:AE133" si="36">IF(X70+R70+S70+AB70+N70+P70-M70-AA70-U70&lt;0,0,X70+R70+S70+AB70+N70+P70-M70-AA70-U70)</f>
        <v>0</v>
      </c>
      <c r="AF70" s="205" t="str">
        <f t="shared" si="29"/>
        <v/>
      </c>
      <c r="AG70" s="98">
        <f t="shared" si="18"/>
        <v>0</v>
      </c>
      <c r="AH70" s="97"/>
      <c r="AI70" s="311"/>
      <c r="AJ70" s="98">
        <f t="shared" si="35"/>
        <v>0</v>
      </c>
      <c r="AK70" s="233"/>
      <c r="AL70" s="98">
        <f>IF(SUMIFS('Shipments data'!L:L,'Shipments data'!F:F,'Supply planning data'!C70,'Shipments data'!A:A,'Supply planning data'!A70,'Shipments data'!O:O,"received",'Shipments data'!Q:Q,"&lt;"&amp;'Supply planning data'!D85,'Shipments data'!AC:AC,"&lt;"&amp;'Supply planning data'!D85)-SUMIFS(M:M,D:D,"&lt;="&amp;D70,C:C,C70)-SUMIFS(AJ:AJ,D:D,"&lt;="&amp;D70,C:C,C70)+SUMIFS(N:N,D:D,"&lt;="&amp;D70,C:C,C70)+SUMIFS(P:P,D:D,"&lt;="&amp;D70,C:C,C70)&lt;0,0,SUMIFS('Shipments data'!L:L,'Shipments data'!F:F,'Supply planning data'!C70,'Shipments data'!A:A,'Supply planning data'!A70,'Shipments data'!O:O,"received",'Shipments data'!Q:Q,"&lt;"&amp;'Supply planning data'!D85,'Shipments data'!AC:AC,"&lt;"&amp;'Supply planning data'!D85)-SUMIFS(M:M,D:D,"&lt;="&amp;D70,C:C,C70)-SUMIFS(AJ:AJ,D:D,"&lt;="&amp;D70,C:C,C70)+SUMIFS(N:N,D:D,"&lt;="&amp;D70,C:C,C70)+SUMIFS(P:P,D:D,"&lt;="&amp;D70,C:C,C70))</f>
        <v>0</v>
      </c>
      <c r="AM70" s="98">
        <f t="shared" si="19"/>
        <v>0</v>
      </c>
      <c r="AN70" s="98">
        <f t="shared" ref="AN70:AN133" si="37">IF(AG70+$R70+$S70+AK70+$N70+$P70-$M70-AJ70-$AM70&lt;0,0,AG70+$R70+$S70+AK70+$N70+$P70-$M70-AJ70-$AM70)</f>
        <v>0</v>
      </c>
      <c r="AO70" s="203" t="str">
        <f t="shared" si="24"/>
        <v/>
      </c>
    </row>
    <row r="71" spans="1:41" hidden="1" x14ac:dyDescent="0.25">
      <c r="A71" s="95" t="str">
        <f>Start!D$7</f>
        <v>Anyland</v>
      </c>
      <c r="B71" s="96" t="str">
        <f>VLOOKUP(A71,list!B:C,2,FALSE)</f>
        <v>ANY</v>
      </c>
      <c r="C71" s="90" t="str">
        <f>IF(Start!$C$23="","",Start!$C$23)</f>
        <v/>
      </c>
      <c r="D71" s="296">
        <f t="shared" si="15"/>
        <v>44317</v>
      </c>
      <c r="E71" s="92" t="str">
        <f>IFERROR(VLOOKUP(C71,Start!C$15:D$31,2,FALSE),"No")</f>
        <v>No</v>
      </c>
      <c r="F71" s="92">
        <f t="shared" si="16"/>
        <v>0</v>
      </c>
      <c r="G71" s="91"/>
      <c r="H71" s="97"/>
      <c r="I71" s="97"/>
      <c r="J71" s="98">
        <f t="shared" si="30"/>
        <v>0</v>
      </c>
      <c r="K71" s="97"/>
      <c r="L71" s="175" t="str">
        <f t="shared" si="31"/>
        <v/>
      </c>
      <c r="M71" s="98">
        <f t="shared" si="32"/>
        <v>0</v>
      </c>
      <c r="N71" s="97"/>
      <c r="O71" s="122"/>
      <c r="P71" s="97"/>
      <c r="Q71" s="122"/>
      <c r="R71" s="98">
        <f>SUMIFS('Shipments data'!L:L,'Shipments data'!F:F,'Supply planning data'!C71,'Shipments data'!A:A,'Supply planning data'!A71,'Shipments data'!Y:Y,'Supply planning data'!D71,'Shipments data'!O:O,"received", 'Shipments data'!N:N, "Public")</f>
        <v>0</v>
      </c>
      <c r="S71" s="98">
        <f>SUMIFS('Shipments data'!L:L,'Shipments data'!F:F,'Supply planning data'!C71,'Shipments data'!A:A,'Supply planning data'!A71,'Shipments data'!Y:Y,'Supply planning data'!D71,'Shipments data'!O:O,"ordered", 'Shipments data'!N:N, "Public")</f>
        <v>0</v>
      </c>
      <c r="T71" s="98">
        <f>IF(SUMIFS('Shipments data'!L:L,'Shipments data'!F:F,'Supply planning data'!C71,'Shipments data'!A:A,'Supply planning data'!A71,'Shipments data'!O:O,"received",'Shipments data'!Q:Q,"&lt;"&amp;'Supply planning data'!D86,'Shipments data'!AC:AC,"&lt;"&amp;'Supply planning data'!D86)-SUMIFS(M:M,D:D,"&lt;="&amp;D71,C:C,C71)+SUMIFS(N:N,D:D,"&lt;="&amp;D71,C:C,C71)+SUMIFS(P:P,D:D,"&lt;="&amp;D71,C:C,C71)&lt;0,0,SUMIFS('Shipments data'!L:L,'Shipments data'!F:F,'Supply planning data'!C71,'Shipments data'!A:A,'Supply planning data'!A71,'Shipments data'!O:O,"received",'Shipments data'!Q:Q,"&lt;"&amp;'Supply planning data'!D86,'Shipments data'!AC:AC,"&lt;"&amp;'Supply planning data'!D86)-SUMIFS(M:M,D:D,"&lt;="&amp;D71,C:C,C71)+SUMIFS(N:N,D:D,"&lt;="&amp;D71,C:C,C71)+SUMIFS(P:P,D:D,"&lt;="&amp;D71,C:C,C71))</f>
        <v>0</v>
      </c>
      <c r="U71" s="99">
        <f t="shared" si="17"/>
        <v>0</v>
      </c>
      <c r="V71" s="98">
        <f t="shared" si="33"/>
        <v>0</v>
      </c>
      <c r="W71" s="203" t="str">
        <f t="shared" si="23"/>
        <v/>
      </c>
      <c r="X71" s="98">
        <f t="shared" si="20"/>
        <v>0</v>
      </c>
      <c r="Y71" s="97"/>
      <c r="Z71" s="93"/>
      <c r="AA71" s="98">
        <f t="shared" si="34"/>
        <v>0</v>
      </c>
      <c r="AB71" s="233"/>
      <c r="AC71" s="98">
        <f>IF(SUMIFS('Shipments data'!L:L,'Shipments data'!F:F,'Supply planning data'!C71,'Shipments data'!A:A,'Supply planning data'!A71,'Shipments data'!O:O,"received",'Shipments data'!Q:Q,"&lt;"&amp;'Supply planning data'!D86,'Shipments data'!AC:AC,"&lt;"&amp;'Supply planning data'!D86)-SUMIFS(M:M,D:D,"&lt;="&amp;D71,C:C,C71)-SUMIFS(AA:AA,D:D,"&lt;="&amp;D71,C:C,C71)+SUMIFS(N:N,D:D,"&lt;="&amp;D71,C:C,C71)+SUMIFS(P:P,D:D,"&lt;="&amp;D71,C:C,C71)&lt;0,0,SUMIFS('Shipments data'!L:L,'Shipments data'!F:F,'Supply planning data'!C71,'Shipments data'!A:A,'Supply planning data'!A71,'Shipments data'!O:O,"received",'Shipments data'!Q:Q,"&lt;"&amp;'Supply planning data'!D86,'Shipments data'!AC:AC,"&lt;"&amp;'Supply planning data'!D86)-SUMIFS(M:M,D:D,"&lt;="&amp;D71,C:C,C71)-SUMIFS(AA:AA,D:D,"&lt;="&amp;D71,C:C,C71)+SUMIFS(N:N,D:D,"&lt;="&amp;D71,C:C,C71)+SUMIFS(P:P,D:D,"&lt;="&amp;D71,C:C,C71))</f>
        <v>0</v>
      </c>
      <c r="AD71" s="98">
        <f t="shared" si="21"/>
        <v>0</v>
      </c>
      <c r="AE71" s="98">
        <f t="shared" si="36"/>
        <v>0</v>
      </c>
      <c r="AF71" s="205" t="str">
        <f t="shared" si="29"/>
        <v/>
      </c>
      <c r="AG71" s="98">
        <f t="shared" si="18"/>
        <v>0</v>
      </c>
      <c r="AH71" s="97"/>
      <c r="AI71" s="311"/>
      <c r="AJ71" s="98">
        <f t="shared" si="35"/>
        <v>0</v>
      </c>
      <c r="AK71" s="233"/>
      <c r="AL71" s="98">
        <f>IF(SUMIFS('Shipments data'!L:L,'Shipments data'!F:F,'Supply planning data'!C71,'Shipments data'!A:A,'Supply planning data'!A71,'Shipments data'!O:O,"received",'Shipments data'!Q:Q,"&lt;"&amp;'Supply planning data'!D86,'Shipments data'!AC:AC,"&lt;"&amp;'Supply planning data'!D86)-SUMIFS(M:M,D:D,"&lt;="&amp;D71,C:C,C71)-SUMIFS(AJ:AJ,D:D,"&lt;="&amp;D71,C:C,C71)+SUMIFS(N:N,D:D,"&lt;="&amp;D71,C:C,C71)+SUMIFS(P:P,D:D,"&lt;="&amp;D71,C:C,C71)&lt;0,0,SUMIFS('Shipments data'!L:L,'Shipments data'!F:F,'Supply planning data'!C71,'Shipments data'!A:A,'Supply planning data'!A71,'Shipments data'!O:O,"received",'Shipments data'!Q:Q,"&lt;"&amp;'Supply planning data'!D86,'Shipments data'!AC:AC,"&lt;"&amp;'Supply planning data'!D86)-SUMIFS(M:M,D:D,"&lt;="&amp;D71,C:C,C71)-SUMIFS(AJ:AJ,D:D,"&lt;="&amp;D71,C:C,C71)+SUMIFS(N:N,D:D,"&lt;="&amp;D71,C:C,C71)+SUMIFS(P:P,D:D,"&lt;="&amp;D71,C:C,C71))</f>
        <v>0</v>
      </c>
      <c r="AM71" s="98">
        <f t="shared" si="19"/>
        <v>0</v>
      </c>
      <c r="AN71" s="98">
        <f t="shared" si="37"/>
        <v>0</v>
      </c>
      <c r="AO71" s="203" t="str">
        <f t="shared" si="24"/>
        <v/>
      </c>
    </row>
    <row r="72" spans="1:41" hidden="1" x14ac:dyDescent="0.25">
      <c r="A72" s="95" t="str">
        <f>Start!D$7</f>
        <v>Anyland</v>
      </c>
      <c r="B72" s="96" t="str">
        <f>VLOOKUP(A72,list!B:C,2,FALSE)</f>
        <v>ANY</v>
      </c>
      <c r="C72" s="90" t="str">
        <f>IF(Start!$C$24="","",Start!$C$24)</f>
        <v/>
      </c>
      <c r="D72" s="296">
        <f t="shared" si="15"/>
        <v>44317</v>
      </c>
      <c r="E72" s="92" t="str">
        <f>IFERROR(VLOOKUP(C72,Start!C$15:D$31,2,FALSE),"No")</f>
        <v>No</v>
      </c>
      <c r="F72" s="92">
        <f t="shared" si="16"/>
        <v>0</v>
      </c>
      <c r="G72" s="91"/>
      <c r="H72" s="97"/>
      <c r="I72" s="97"/>
      <c r="J72" s="98">
        <f t="shared" si="30"/>
        <v>0</v>
      </c>
      <c r="K72" s="97"/>
      <c r="L72" s="175" t="str">
        <f t="shared" si="31"/>
        <v/>
      </c>
      <c r="M72" s="98">
        <f t="shared" si="32"/>
        <v>0</v>
      </c>
      <c r="N72" s="97"/>
      <c r="O72" s="122"/>
      <c r="P72" s="97"/>
      <c r="Q72" s="122"/>
      <c r="R72" s="98">
        <f>SUMIFS('Shipments data'!L:L,'Shipments data'!F:F,'Supply planning data'!C72,'Shipments data'!A:A,'Supply planning data'!A72,'Shipments data'!Y:Y,'Supply planning data'!D72,'Shipments data'!O:O,"received", 'Shipments data'!N:N, "Public")</f>
        <v>0</v>
      </c>
      <c r="S72" s="98">
        <f>SUMIFS('Shipments data'!L:L,'Shipments data'!F:F,'Supply planning data'!C72,'Shipments data'!A:A,'Supply planning data'!A72,'Shipments data'!Y:Y,'Supply planning data'!D72,'Shipments data'!O:O,"ordered", 'Shipments data'!N:N, "Public")</f>
        <v>0</v>
      </c>
      <c r="T72" s="98">
        <f>IF(SUMIFS('Shipments data'!L:L,'Shipments data'!F:F,'Supply planning data'!C72,'Shipments data'!A:A,'Supply planning data'!A72,'Shipments data'!O:O,"received",'Shipments data'!Q:Q,"&lt;"&amp;'Supply planning data'!D87,'Shipments data'!AC:AC,"&lt;"&amp;'Supply planning data'!D87)-SUMIFS(M:M,D:D,"&lt;="&amp;D72,C:C,C72)+SUMIFS(N:N,D:D,"&lt;="&amp;D72,C:C,C72)+SUMIFS(P:P,D:D,"&lt;="&amp;D72,C:C,C72)&lt;0,0,SUMIFS('Shipments data'!L:L,'Shipments data'!F:F,'Supply planning data'!C72,'Shipments data'!A:A,'Supply planning data'!A72,'Shipments data'!O:O,"received",'Shipments data'!Q:Q,"&lt;"&amp;'Supply planning data'!D87,'Shipments data'!AC:AC,"&lt;"&amp;'Supply planning data'!D87)-SUMIFS(M:M,D:D,"&lt;="&amp;D72,C:C,C72)+SUMIFS(N:N,D:D,"&lt;="&amp;D72,C:C,C72)+SUMIFS(P:P,D:D,"&lt;="&amp;D72,C:C,C72))</f>
        <v>0</v>
      </c>
      <c r="U72" s="99">
        <f t="shared" si="17"/>
        <v>0</v>
      </c>
      <c r="V72" s="98">
        <f t="shared" si="33"/>
        <v>0</v>
      </c>
      <c r="W72" s="203" t="str">
        <f t="shared" si="23"/>
        <v/>
      </c>
      <c r="X72" s="98">
        <f t="shared" si="20"/>
        <v>0</v>
      </c>
      <c r="Y72" s="97"/>
      <c r="Z72" s="93"/>
      <c r="AA72" s="98">
        <f t="shared" si="34"/>
        <v>0</v>
      </c>
      <c r="AB72" s="233"/>
      <c r="AC72" s="98">
        <f>IF(SUMIFS('Shipments data'!L:L,'Shipments data'!F:F,'Supply planning data'!C72,'Shipments data'!A:A,'Supply planning data'!A72,'Shipments data'!O:O,"received",'Shipments data'!Q:Q,"&lt;"&amp;'Supply planning data'!D87,'Shipments data'!AC:AC,"&lt;"&amp;'Supply planning data'!D87)-SUMIFS(M:M,D:D,"&lt;="&amp;D72,C:C,C72)-SUMIFS(AA:AA,D:D,"&lt;="&amp;D72,C:C,C72)+SUMIFS(N:N,D:D,"&lt;="&amp;D72,C:C,C72)+SUMIFS(P:P,D:D,"&lt;="&amp;D72,C:C,C72)&lt;0,0,SUMIFS('Shipments data'!L:L,'Shipments data'!F:F,'Supply planning data'!C72,'Shipments data'!A:A,'Supply planning data'!A72,'Shipments data'!O:O,"received",'Shipments data'!Q:Q,"&lt;"&amp;'Supply planning data'!D87,'Shipments data'!AC:AC,"&lt;"&amp;'Supply planning data'!D87)-SUMIFS(M:M,D:D,"&lt;="&amp;D72,C:C,C72)-SUMIFS(AA:AA,D:D,"&lt;="&amp;D72,C:C,C72)+SUMIFS(N:N,D:D,"&lt;="&amp;D72,C:C,C72)+SUMIFS(P:P,D:D,"&lt;="&amp;D72,C:C,C72))</f>
        <v>0</v>
      </c>
      <c r="AD72" s="98">
        <f t="shared" si="21"/>
        <v>0</v>
      </c>
      <c r="AE72" s="98">
        <f t="shared" si="36"/>
        <v>0</v>
      </c>
      <c r="AF72" s="205" t="str">
        <f t="shared" si="29"/>
        <v/>
      </c>
      <c r="AG72" s="98">
        <f t="shared" si="18"/>
        <v>0</v>
      </c>
      <c r="AH72" s="97"/>
      <c r="AI72" s="311"/>
      <c r="AJ72" s="98">
        <f t="shared" si="35"/>
        <v>0</v>
      </c>
      <c r="AK72" s="233"/>
      <c r="AL72" s="98">
        <f>IF(SUMIFS('Shipments data'!L:L,'Shipments data'!F:F,'Supply planning data'!C72,'Shipments data'!A:A,'Supply planning data'!A72,'Shipments data'!O:O,"received",'Shipments data'!Q:Q,"&lt;"&amp;'Supply planning data'!D87,'Shipments data'!AC:AC,"&lt;"&amp;'Supply planning data'!D87)-SUMIFS(M:M,D:D,"&lt;="&amp;D72,C:C,C72)-SUMIFS(AJ:AJ,D:D,"&lt;="&amp;D72,C:C,C72)+SUMIFS(N:N,D:D,"&lt;="&amp;D72,C:C,C72)+SUMIFS(P:P,D:D,"&lt;="&amp;D72,C:C,C72)&lt;0,0,SUMIFS('Shipments data'!L:L,'Shipments data'!F:F,'Supply planning data'!C72,'Shipments data'!A:A,'Supply planning data'!A72,'Shipments data'!O:O,"received",'Shipments data'!Q:Q,"&lt;"&amp;'Supply planning data'!D87,'Shipments data'!AC:AC,"&lt;"&amp;'Supply planning data'!D87)-SUMIFS(M:M,D:D,"&lt;="&amp;D72,C:C,C72)-SUMIFS(AJ:AJ,D:D,"&lt;="&amp;D72,C:C,C72)+SUMIFS(N:N,D:D,"&lt;="&amp;D72,C:C,C72)+SUMIFS(P:P,D:D,"&lt;="&amp;D72,C:C,C72))</f>
        <v>0</v>
      </c>
      <c r="AM72" s="98">
        <f t="shared" si="19"/>
        <v>0</v>
      </c>
      <c r="AN72" s="98">
        <f t="shared" si="37"/>
        <v>0</v>
      </c>
      <c r="AO72" s="203" t="str">
        <f t="shared" si="24"/>
        <v/>
      </c>
    </row>
    <row r="73" spans="1:41" hidden="1" x14ac:dyDescent="0.25">
      <c r="A73" s="95" t="str">
        <f>Start!D$7</f>
        <v>Anyland</v>
      </c>
      <c r="B73" s="96" t="str">
        <f>VLOOKUP(A73,list!B:C,2,FALSE)</f>
        <v>ANY</v>
      </c>
      <c r="C73" s="90" t="str">
        <f>IF(Start!$C$25="","",Start!$C$25)</f>
        <v/>
      </c>
      <c r="D73" s="296">
        <f t="shared" si="15"/>
        <v>44317</v>
      </c>
      <c r="E73" s="92" t="str">
        <f>IFERROR(VLOOKUP(C73,Start!C$15:D$31,2,FALSE),"No")</f>
        <v>No</v>
      </c>
      <c r="F73" s="92">
        <f t="shared" si="16"/>
        <v>0</v>
      </c>
      <c r="G73" s="91"/>
      <c r="H73" s="97"/>
      <c r="I73" s="97"/>
      <c r="J73" s="98">
        <f t="shared" si="30"/>
        <v>0</v>
      </c>
      <c r="K73" s="97"/>
      <c r="L73" s="175" t="str">
        <f t="shared" si="31"/>
        <v/>
      </c>
      <c r="M73" s="98">
        <f t="shared" si="32"/>
        <v>0</v>
      </c>
      <c r="N73" s="97"/>
      <c r="O73" s="122"/>
      <c r="P73" s="97"/>
      <c r="Q73" s="122"/>
      <c r="R73" s="98">
        <f>SUMIFS('Shipments data'!L:L,'Shipments data'!F:F,'Supply planning data'!C73,'Shipments data'!A:A,'Supply planning data'!A73,'Shipments data'!Y:Y,'Supply planning data'!D73,'Shipments data'!O:O,"received", 'Shipments data'!N:N, "Public")</f>
        <v>0</v>
      </c>
      <c r="S73" s="98">
        <f>SUMIFS('Shipments data'!L:L,'Shipments data'!F:F,'Supply planning data'!C73,'Shipments data'!A:A,'Supply planning data'!A73,'Shipments data'!Y:Y,'Supply planning data'!D73,'Shipments data'!O:O,"ordered", 'Shipments data'!N:N, "Public")</f>
        <v>0</v>
      </c>
      <c r="T73" s="98">
        <f>IF(SUMIFS('Shipments data'!L:L,'Shipments data'!F:F,'Supply planning data'!C73,'Shipments data'!A:A,'Supply planning data'!A73,'Shipments data'!O:O,"received",'Shipments data'!Q:Q,"&lt;"&amp;'Supply planning data'!D88,'Shipments data'!AC:AC,"&lt;"&amp;'Supply planning data'!D88)-SUMIFS(M:M,D:D,"&lt;="&amp;D73,C:C,C73)+SUMIFS(N:N,D:D,"&lt;="&amp;D73,C:C,C73)+SUMIFS(P:P,D:D,"&lt;="&amp;D73,C:C,C73)&lt;0,0,SUMIFS('Shipments data'!L:L,'Shipments data'!F:F,'Supply planning data'!C73,'Shipments data'!A:A,'Supply planning data'!A73,'Shipments data'!O:O,"received",'Shipments data'!Q:Q,"&lt;"&amp;'Supply planning data'!D88,'Shipments data'!AC:AC,"&lt;"&amp;'Supply planning data'!D88)-SUMIFS(M:M,D:D,"&lt;="&amp;D73,C:C,C73)+SUMIFS(N:N,D:D,"&lt;="&amp;D73,C:C,C73)+SUMIFS(P:P,D:D,"&lt;="&amp;D73,C:C,C73))</f>
        <v>0</v>
      </c>
      <c r="U73" s="99">
        <f t="shared" si="17"/>
        <v>0</v>
      </c>
      <c r="V73" s="98">
        <f t="shared" si="33"/>
        <v>0</v>
      </c>
      <c r="W73" s="203" t="str">
        <f t="shared" si="23"/>
        <v/>
      </c>
      <c r="X73" s="98">
        <f t="shared" si="20"/>
        <v>0</v>
      </c>
      <c r="Y73" s="97"/>
      <c r="Z73" s="93"/>
      <c r="AA73" s="98">
        <f t="shared" si="34"/>
        <v>0</v>
      </c>
      <c r="AB73" s="233"/>
      <c r="AC73" s="98">
        <f>IF(SUMIFS('Shipments data'!L:L,'Shipments data'!F:F,'Supply planning data'!C73,'Shipments data'!A:A,'Supply planning data'!A73,'Shipments data'!O:O,"received",'Shipments data'!Q:Q,"&lt;"&amp;'Supply planning data'!D88,'Shipments data'!AC:AC,"&lt;"&amp;'Supply planning data'!D88)-SUMIFS(M:M,D:D,"&lt;="&amp;D73,C:C,C73)-SUMIFS(AA:AA,D:D,"&lt;="&amp;D73,C:C,C73)+SUMIFS(N:N,D:D,"&lt;="&amp;D73,C:C,C73)+SUMIFS(P:P,D:D,"&lt;="&amp;D73,C:C,C73)&lt;0,0,SUMIFS('Shipments data'!L:L,'Shipments data'!F:F,'Supply planning data'!C73,'Shipments data'!A:A,'Supply planning data'!A73,'Shipments data'!O:O,"received",'Shipments data'!Q:Q,"&lt;"&amp;'Supply planning data'!D88,'Shipments data'!AC:AC,"&lt;"&amp;'Supply planning data'!D88)-SUMIFS(M:M,D:D,"&lt;="&amp;D73,C:C,C73)-SUMIFS(AA:AA,D:D,"&lt;="&amp;D73,C:C,C73)+SUMIFS(N:N,D:D,"&lt;="&amp;D73,C:C,C73)+SUMIFS(P:P,D:D,"&lt;="&amp;D73,C:C,C73))</f>
        <v>0</v>
      </c>
      <c r="AD73" s="98">
        <f t="shared" si="21"/>
        <v>0</v>
      </c>
      <c r="AE73" s="98">
        <f t="shared" si="36"/>
        <v>0</v>
      </c>
      <c r="AF73" s="205" t="str">
        <f t="shared" si="29"/>
        <v/>
      </c>
      <c r="AG73" s="98">
        <f t="shared" si="18"/>
        <v>0</v>
      </c>
      <c r="AH73" s="97"/>
      <c r="AI73" s="311"/>
      <c r="AJ73" s="98">
        <f t="shared" si="35"/>
        <v>0</v>
      </c>
      <c r="AK73" s="233"/>
      <c r="AL73" s="98">
        <f>IF(SUMIFS('Shipments data'!L:L,'Shipments data'!F:F,'Supply planning data'!C73,'Shipments data'!A:A,'Supply planning data'!A73,'Shipments data'!O:O,"received",'Shipments data'!Q:Q,"&lt;"&amp;'Supply planning data'!D88,'Shipments data'!AC:AC,"&lt;"&amp;'Supply planning data'!D88)-SUMIFS(M:M,D:D,"&lt;="&amp;D73,C:C,C73)-SUMIFS(AJ:AJ,D:D,"&lt;="&amp;D73,C:C,C73)+SUMIFS(N:N,D:D,"&lt;="&amp;D73,C:C,C73)+SUMIFS(P:P,D:D,"&lt;="&amp;D73,C:C,C73)&lt;0,0,SUMIFS('Shipments data'!L:L,'Shipments data'!F:F,'Supply planning data'!C73,'Shipments data'!A:A,'Supply planning data'!A73,'Shipments data'!O:O,"received",'Shipments data'!Q:Q,"&lt;"&amp;'Supply planning data'!D88,'Shipments data'!AC:AC,"&lt;"&amp;'Supply planning data'!D88)-SUMIFS(M:M,D:D,"&lt;="&amp;D73,C:C,C73)-SUMIFS(AJ:AJ,D:D,"&lt;="&amp;D73,C:C,C73)+SUMIFS(N:N,D:D,"&lt;="&amp;D73,C:C,C73)+SUMIFS(P:P,D:D,"&lt;="&amp;D73,C:C,C73))</f>
        <v>0</v>
      </c>
      <c r="AM73" s="98">
        <f t="shared" si="19"/>
        <v>0</v>
      </c>
      <c r="AN73" s="98">
        <f t="shared" si="37"/>
        <v>0</v>
      </c>
      <c r="AO73" s="203" t="str">
        <f t="shared" si="24"/>
        <v/>
      </c>
    </row>
    <row r="74" spans="1:41" hidden="1" x14ac:dyDescent="0.25">
      <c r="A74" s="95" t="str">
        <f>Start!D$7</f>
        <v>Anyland</v>
      </c>
      <c r="B74" s="96" t="str">
        <f>VLOOKUP(A74,list!B:C,2,FALSE)</f>
        <v>ANY</v>
      </c>
      <c r="C74" s="90" t="str">
        <f>IF(Start!$C$26="","",Start!$C$26)</f>
        <v/>
      </c>
      <c r="D74" s="296">
        <f t="shared" si="15"/>
        <v>44317</v>
      </c>
      <c r="E74" s="92" t="str">
        <f>IFERROR(VLOOKUP(C74,Start!C$15:D$31,2,FALSE),"No")</f>
        <v>No</v>
      </c>
      <c r="F74" s="92">
        <f t="shared" si="16"/>
        <v>0</v>
      </c>
      <c r="G74" s="91"/>
      <c r="H74" s="97"/>
      <c r="I74" s="97"/>
      <c r="J74" s="98">
        <f t="shared" si="30"/>
        <v>0</v>
      </c>
      <c r="K74" s="97"/>
      <c r="L74" s="175" t="str">
        <f t="shared" si="31"/>
        <v/>
      </c>
      <c r="M74" s="98">
        <f t="shared" si="32"/>
        <v>0</v>
      </c>
      <c r="N74" s="97"/>
      <c r="O74" s="122"/>
      <c r="P74" s="97"/>
      <c r="Q74" s="122"/>
      <c r="R74" s="98">
        <f>SUMIFS('Shipments data'!L:L,'Shipments data'!F:F,'Supply planning data'!C74,'Shipments data'!A:A,'Supply planning data'!A74,'Shipments data'!Y:Y,'Supply planning data'!D74,'Shipments data'!O:O,"received", 'Shipments data'!N:N, "Public")</f>
        <v>0</v>
      </c>
      <c r="S74" s="98">
        <f>SUMIFS('Shipments data'!L:L,'Shipments data'!F:F,'Supply planning data'!C74,'Shipments data'!A:A,'Supply planning data'!A74,'Shipments data'!Y:Y,'Supply planning data'!D74,'Shipments data'!O:O,"ordered", 'Shipments data'!N:N, "Public")</f>
        <v>0</v>
      </c>
      <c r="T74" s="98">
        <f>IF(SUMIFS('Shipments data'!L:L,'Shipments data'!F:F,'Supply planning data'!C74,'Shipments data'!A:A,'Supply planning data'!A74,'Shipments data'!O:O,"received",'Shipments data'!Q:Q,"&lt;"&amp;'Supply planning data'!D89,'Shipments data'!AC:AC,"&lt;"&amp;'Supply planning data'!D89)-SUMIFS(M:M,D:D,"&lt;="&amp;D74,C:C,C74)+SUMIFS(N:N,D:D,"&lt;="&amp;D74,C:C,C74)+SUMIFS(P:P,D:D,"&lt;="&amp;D74,C:C,C74)&lt;0,0,SUMIFS('Shipments data'!L:L,'Shipments data'!F:F,'Supply planning data'!C74,'Shipments data'!A:A,'Supply planning data'!A74,'Shipments data'!O:O,"received",'Shipments data'!Q:Q,"&lt;"&amp;'Supply planning data'!D89,'Shipments data'!AC:AC,"&lt;"&amp;'Supply planning data'!D89)-SUMIFS(M:M,D:D,"&lt;="&amp;D74,C:C,C74)+SUMIFS(N:N,D:D,"&lt;="&amp;D74,C:C,C74)+SUMIFS(P:P,D:D,"&lt;="&amp;D74,C:C,C74))</f>
        <v>0</v>
      </c>
      <c r="U74" s="99">
        <f t="shared" si="17"/>
        <v>0</v>
      </c>
      <c r="V74" s="98">
        <f t="shared" si="33"/>
        <v>0</v>
      </c>
      <c r="W74" s="203" t="str">
        <f t="shared" si="23"/>
        <v/>
      </c>
      <c r="X74" s="98">
        <f t="shared" si="20"/>
        <v>0</v>
      </c>
      <c r="Y74" s="97"/>
      <c r="Z74" s="93"/>
      <c r="AA74" s="98">
        <f t="shared" si="34"/>
        <v>0</v>
      </c>
      <c r="AB74" s="233"/>
      <c r="AC74" s="98">
        <f>IF(SUMIFS('Shipments data'!L:L,'Shipments data'!F:F,'Supply planning data'!C74,'Shipments data'!A:A,'Supply planning data'!A74,'Shipments data'!O:O,"received",'Shipments data'!Q:Q,"&lt;"&amp;'Supply planning data'!D89,'Shipments data'!AC:AC,"&lt;"&amp;'Supply planning data'!D89)-SUMIFS(M:M,D:D,"&lt;="&amp;D74,C:C,C74)-SUMIFS(AA:AA,D:D,"&lt;="&amp;D74,C:C,C74)+SUMIFS(N:N,D:D,"&lt;="&amp;D74,C:C,C74)+SUMIFS(P:P,D:D,"&lt;="&amp;D74,C:C,C74)&lt;0,0,SUMIFS('Shipments data'!L:L,'Shipments data'!F:F,'Supply planning data'!C74,'Shipments data'!A:A,'Supply planning data'!A74,'Shipments data'!O:O,"received",'Shipments data'!Q:Q,"&lt;"&amp;'Supply planning data'!D89,'Shipments data'!AC:AC,"&lt;"&amp;'Supply planning data'!D89)-SUMIFS(M:M,D:D,"&lt;="&amp;D74,C:C,C74)-SUMIFS(AA:AA,D:D,"&lt;="&amp;D74,C:C,C74)+SUMIFS(N:N,D:D,"&lt;="&amp;D74,C:C,C74)+SUMIFS(P:P,D:D,"&lt;="&amp;D74,C:C,C74))</f>
        <v>0</v>
      </c>
      <c r="AD74" s="98">
        <f t="shared" si="21"/>
        <v>0</v>
      </c>
      <c r="AE74" s="98">
        <f t="shared" si="36"/>
        <v>0</v>
      </c>
      <c r="AF74" s="205" t="str">
        <f t="shared" si="29"/>
        <v/>
      </c>
      <c r="AG74" s="98">
        <f t="shared" si="18"/>
        <v>0</v>
      </c>
      <c r="AH74" s="97"/>
      <c r="AI74" s="311"/>
      <c r="AJ74" s="98">
        <f t="shared" si="35"/>
        <v>0</v>
      </c>
      <c r="AK74" s="233"/>
      <c r="AL74" s="98">
        <f>IF(SUMIFS('Shipments data'!L:L,'Shipments data'!F:F,'Supply planning data'!C74,'Shipments data'!A:A,'Supply planning data'!A74,'Shipments data'!O:O,"received",'Shipments data'!Q:Q,"&lt;"&amp;'Supply planning data'!D89,'Shipments data'!AC:AC,"&lt;"&amp;'Supply planning data'!D89)-SUMIFS(M:M,D:D,"&lt;="&amp;D74,C:C,C74)-SUMIFS(AJ:AJ,D:D,"&lt;="&amp;D74,C:C,C74)+SUMIFS(N:N,D:D,"&lt;="&amp;D74,C:C,C74)+SUMIFS(P:P,D:D,"&lt;="&amp;D74,C:C,C74)&lt;0,0,SUMIFS('Shipments data'!L:L,'Shipments data'!F:F,'Supply planning data'!C74,'Shipments data'!A:A,'Supply planning data'!A74,'Shipments data'!O:O,"received",'Shipments data'!Q:Q,"&lt;"&amp;'Supply planning data'!D89,'Shipments data'!AC:AC,"&lt;"&amp;'Supply planning data'!D89)-SUMIFS(M:M,D:D,"&lt;="&amp;D74,C:C,C74)-SUMIFS(AJ:AJ,D:D,"&lt;="&amp;D74,C:C,C74)+SUMIFS(N:N,D:D,"&lt;="&amp;D74,C:C,C74)+SUMIFS(P:P,D:D,"&lt;="&amp;D74,C:C,C74))</f>
        <v>0</v>
      </c>
      <c r="AM74" s="98">
        <f t="shared" si="19"/>
        <v>0</v>
      </c>
      <c r="AN74" s="98">
        <f t="shared" si="37"/>
        <v>0</v>
      </c>
      <c r="AO74" s="203" t="str">
        <f t="shared" si="24"/>
        <v/>
      </c>
    </row>
    <row r="75" spans="1:41" hidden="1" x14ac:dyDescent="0.25">
      <c r="A75" s="95" t="str">
        <f>Start!D$7</f>
        <v>Anyland</v>
      </c>
      <c r="B75" s="96" t="str">
        <f>VLOOKUP(A75,list!B:C,2,FALSE)</f>
        <v>ANY</v>
      </c>
      <c r="C75" s="90" t="str">
        <f>IF(Start!$C$27="","",Start!$C$27)</f>
        <v/>
      </c>
      <c r="D75" s="296">
        <f t="shared" si="15"/>
        <v>44317</v>
      </c>
      <c r="E75" s="92" t="str">
        <f>IFERROR(VLOOKUP(C75,Start!C$15:D$31,2,FALSE),"No")</f>
        <v>No</v>
      </c>
      <c r="F75" s="92">
        <f t="shared" si="16"/>
        <v>0</v>
      </c>
      <c r="G75" s="91"/>
      <c r="H75" s="97"/>
      <c r="I75" s="97"/>
      <c r="J75" s="98">
        <f t="shared" si="30"/>
        <v>0</v>
      </c>
      <c r="K75" s="97"/>
      <c r="L75" s="175" t="str">
        <f t="shared" si="31"/>
        <v/>
      </c>
      <c r="M75" s="98">
        <f t="shared" si="32"/>
        <v>0</v>
      </c>
      <c r="N75" s="97"/>
      <c r="O75" s="122"/>
      <c r="P75" s="97"/>
      <c r="Q75" s="122"/>
      <c r="R75" s="98">
        <f>SUMIFS('Shipments data'!L:L,'Shipments data'!F:F,'Supply planning data'!C75,'Shipments data'!A:A,'Supply planning data'!A75,'Shipments data'!Y:Y,'Supply planning data'!D75,'Shipments data'!O:O,"received", 'Shipments data'!N:N, "Public")</f>
        <v>0</v>
      </c>
      <c r="S75" s="98">
        <f>SUMIFS('Shipments data'!L:L,'Shipments data'!F:F,'Supply planning data'!C75,'Shipments data'!A:A,'Supply planning data'!A75,'Shipments data'!Y:Y,'Supply planning data'!D75,'Shipments data'!O:O,"ordered", 'Shipments data'!N:N, "Public")</f>
        <v>0</v>
      </c>
      <c r="T75" s="98">
        <f>IF(SUMIFS('Shipments data'!L:L,'Shipments data'!F:F,'Supply planning data'!C75,'Shipments data'!A:A,'Supply planning data'!A75,'Shipments data'!O:O,"received",'Shipments data'!Q:Q,"&lt;"&amp;'Supply planning data'!D90,'Shipments data'!AC:AC,"&lt;"&amp;'Supply planning data'!D90)-SUMIFS(M:M,D:D,"&lt;="&amp;D75,C:C,C75)+SUMIFS(N:N,D:D,"&lt;="&amp;D75,C:C,C75)+SUMIFS(P:P,D:D,"&lt;="&amp;D75,C:C,C75)&lt;0,0,SUMIFS('Shipments data'!L:L,'Shipments data'!F:F,'Supply planning data'!C75,'Shipments data'!A:A,'Supply planning data'!A75,'Shipments data'!O:O,"received",'Shipments data'!Q:Q,"&lt;"&amp;'Supply planning data'!D90,'Shipments data'!AC:AC,"&lt;"&amp;'Supply planning data'!D90)-SUMIFS(M:M,D:D,"&lt;="&amp;D75,C:C,C75)+SUMIFS(N:N,D:D,"&lt;="&amp;D75,C:C,C75)+SUMIFS(P:P,D:D,"&lt;="&amp;D75,C:C,C75))</f>
        <v>0</v>
      </c>
      <c r="U75" s="99">
        <f t="shared" si="17"/>
        <v>0</v>
      </c>
      <c r="V75" s="98">
        <f t="shared" si="33"/>
        <v>0</v>
      </c>
      <c r="W75" s="203" t="str">
        <f t="shared" si="23"/>
        <v/>
      </c>
      <c r="X75" s="98">
        <f t="shared" si="20"/>
        <v>0</v>
      </c>
      <c r="Y75" s="97"/>
      <c r="Z75" s="93"/>
      <c r="AA75" s="98">
        <f t="shared" si="34"/>
        <v>0</v>
      </c>
      <c r="AB75" s="233"/>
      <c r="AC75" s="98">
        <f>IF(SUMIFS('Shipments data'!L:L,'Shipments data'!F:F,'Supply planning data'!C75,'Shipments data'!A:A,'Supply planning data'!A75,'Shipments data'!O:O,"received",'Shipments data'!Q:Q,"&lt;"&amp;'Supply planning data'!D90,'Shipments data'!AC:AC,"&lt;"&amp;'Supply planning data'!D90)-SUMIFS(M:M,D:D,"&lt;="&amp;D75,C:C,C75)-SUMIFS(AA:AA,D:D,"&lt;="&amp;D75,C:C,C75)+SUMIFS(N:N,D:D,"&lt;="&amp;D75,C:C,C75)+SUMIFS(P:P,D:D,"&lt;="&amp;D75,C:C,C75)&lt;0,0,SUMIFS('Shipments data'!L:L,'Shipments data'!F:F,'Supply planning data'!C75,'Shipments data'!A:A,'Supply planning data'!A75,'Shipments data'!O:O,"received",'Shipments data'!Q:Q,"&lt;"&amp;'Supply planning data'!D90,'Shipments data'!AC:AC,"&lt;"&amp;'Supply planning data'!D90)-SUMIFS(M:M,D:D,"&lt;="&amp;D75,C:C,C75)-SUMIFS(AA:AA,D:D,"&lt;="&amp;D75,C:C,C75)+SUMIFS(N:N,D:D,"&lt;="&amp;D75,C:C,C75)+SUMIFS(P:P,D:D,"&lt;="&amp;D75,C:C,C75))</f>
        <v>0</v>
      </c>
      <c r="AD75" s="98">
        <f t="shared" si="21"/>
        <v>0</v>
      </c>
      <c r="AE75" s="98">
        <f t="shared" si="36"/>
        <v>0</v>
      </c>
      <c r="AF75" s="205" t="str">
        <f t="shared" si="29"/>
        <v/>
      </c>
      <c r="AG75" s="98">
        <f t="shared" si="18"/>
        <v>0</v>
      </c>
      <c r="AH75" s="97"/>
      <c r="AI75" s="311"/>
      <c r="AJ75" s="98">
        <f t="shared" si="35"/>
        <v>0</v>
      </c>
      <c r="AK75" s="233"/>
      <c r="AL75" s="98">
        <f>IF(SUMIFS('Shipments data'!L:L,'Shipments data'!F:F,'Supply planning data'!C75,'Shipments data'!A:A,'Supply planning data'!A75,'Shipments data'!O:O,"received",'Shipments data'!Q:Q,"&lt;"&amp;'Supply planning data'!D90,'Shipments data'!AC:AC,"&lt;"&amp;'Supply planning data'!D90)-SUMIFS(M:M,D:D,"&lt;="&amp;D75,C:C,C75)-SUMIFS(AJ:AJ,D:D,"&lt;="&amp;D75,C:C,C75)+SUMIFS(N:N,D:D,"&lt;="&amp;D75,C:C,C75)+SUMIFS(P:P,D:D,"&lt;="&amp;D75,C:C,C75)&lt;0,0,SUMIFS('Shipments data'!L:L,'Shipments data'!F:F,'Supply planning data'!C75,'Shipments data'!A:A,'Supply planning data'!A75,'Shipments data'!O:O,"received",'Shipments data'!Q:Q,"&lt;"&amp;'Supply planning data'!D90,'Shipments data'!AC:AC,"&lt;"&amp;'Supply planning data'!D90)-SUMIFS(M:M,D:D,"&lt;="&amp;D75,C:C,C75)-SUMIFS(AJ:AJ,D:D,"&lt;="&amp;D75,C:C,C75)+SUMIFS(N:N,D:D,"&lt;="&amp;D75,C:C,C75)+SUMIFS(P:P,D:D,"&lt;="&amp;D75,C:C,C75))</f>
        <v>0</v>
      </c>
      <c r="AM75" s="98">
        <f t="shared" si="19"/>
        <v>0</v>
      </c>
      <c r="AN75" s="98">
        <f t="shared" si="37"/>
        <v>0</v>
      </c>
      <c r="AO75" s="203" t="str">
        <f t="shared" si="24"/>
        <v/>
      </c>
    </row>
    <row r="76" spans="1:41" hidden="1" x14ac:dyDescent="0.25">
      <c r="A76" s="95" t="str">
        <f>Start!D$7</f>
        <v>Anyland</v>
      </c>
      <c r="B76" s="96" t="str">
        <f>VLOOKUP(A76,list!B:C,2,FALSE)</f>
        <v>ANY</v>
      </c>
      <c r="C76" s="90" t="str">
        <f>IF(Start!$C$28="","",Start!$C$28)</f>
        <v/>
      </c>
      <c r="D76" s="296">
        <f t="shared" si="15"/>
        <v>44317</v>
      </c>
      <c r="E76" s="92" t="str">
        <f>IFERROR(VLOOKUP(C76,Start!C$15:D$31,2,FALSE),"No")</f>
        <v>No</v>
      </c>
      <c r="F76" s="92">
        <f t="shared" si="16"/>
        <v>0</v>
      </c>
      <c r="G76" s="91"/>
      <c r="H76" s="97"/>
      <c r="I76" s="97"/>
      <c r="J76" s="98">
        <f t="shared" si="30"/>
        <v>0</v>
      </c>
      <c r="K76" s="97"/>
      <c r="L76" s="175" t="str">
        <f t="shared" si="31"/>
        <v/>
      </c>
      <c r="M76" s="98">
        <f t="shared" si="32"/>
        <v>0</v>
      </c>
      <c r="N76" s="97"/>
      <c r="O76" s="122"/>
      <c r="P76" s="97"/>
      <c r="Q76" s="122"/>
      <c r="R76" s="98">
        <f>SUMIFS('Shipments data'!L:L,'Shipments data'!F:F,'Supply planning data'!C76,'Shipments data'!A:A,'Supply planning data'!A76,'Shipments data'!Y:Y,'Supply planning data'!D76,'Shipments data'!O:O,"received", 'Shipments data'!N:N, "Public")</f>
        <v>0</v>
      </c>
      <c r="S76" s="98">
        <f>SUMIFS('Shipments data'!L:L,'Shipments data'!F:F,'Supply planning data'!C76,'Shipments data'!A:A,'Supply planning data'!A76,'Shipments data'!Y:Y,'Supply planning data'!D76,'Shipments data'!O:O,"ordered", 'Shipments data'!N:N, "Public")</f>
        <v>0</v>
      </c>
      <c r="T76" s="98">
        <f>IF(SUMIFS('Shipments data'!L:L,'Shipments data'!F:F,'Supply planning data'!C76,'Shipments data'!A:A,'Supply planning data'!A76,'Shipments data'!O:O,"received",'Shipments data'!Q:Q,"&lt;"&amp;'Supply planning data'!D91,'Shipments data'!AC:AC,"&lt;"&amp;'Supply planning data'!D91)-SUMIFS(M:M,D:D,"&lt;="&amp;D76,C:C,C76)+SUMIFS(N:N,D:D,"&lt;="&amp;D76,C:C,C76)+SUMIFS(P:P,D:D,"&lt;="&amp;D76,C:C,C76)&lt;0,0,SUMIFS('Shipments data'!L:L,'Shipments data'!F:F,'Supply planning data'!C76,'Shipments data'!A:A,'Supply planning data'!A76,'Shipments data'!O:O,"received",'Shipments data'!Q:Q,"&lt;"&amp;'Supply planning data'!D91,'Shipments data'!AC:AC,"&lt;"&amp;'Supply planning data'!D91)-SUMIFS(M:M,D:D,"&lt;="&amp;D76,C:C,C76)+SUMIFS(N:N,D:D,"&lt;="&amp;D76,C:C,C76)+SUMIFS(P:P,D:D,"&lt;="&amp;D76,C:C,C76))</f>
        <v>0</v>
      </c>
      <c r="U76" s="99">
        <f t="shared" si="17"/>
        <v>0</v>
      </c>
      <c r="V76" s="98">
        <f t="shared" si="33"/>
        <v>0</v>
      </c>
      <c r="W76" s="203" t="str">
        <f t="shared" si="23"/>
        <v/>
      </c>
      <c r="X76" s="98">
        <f t="shared" si="20"/>
        <v>0</v>
      </c>
      <c r="Y76" s="97"/>
      <c r="Z76" s="93"/>
      <c r="AA76" s="98">
        <f t="shared" si="34"/>
        <v>0</v>
      </c>
      <c r="AB76" s="233"/>
      <c r="AC76" s="98">
        <f>IF(SUMIFS('Shipments data'!L:L,'Shipments data'!F:F,'Supply planning data'!C76,'Shipments data'!A:A,'Supply planning data'!A76,'Shipments data'!O:O,"received",'Shipments data'!Q:Q,"&lt;"&amp;'Supply planning data'!D91,'Shipments data'!AC:AC,"&lt;"&amp;'Supply planning data'!D91)-SUMIFS(M:M,D:D,"&lt;="&amp;D76,C:C,C76)-SUMIFS(AA:AA,D:D,"&lt;="&amp;D76,C:C,C76)+SUMIFS(N:N,D:D,"&lt;="&amp;D76,C:C,C76)+SUMIFS(P:P,D:D,"&lt;="&amp;D76,C:C,C76)&lt;0,0,SUMIFS('Shipments data'!L:L,'Shipments data'!F:F,'Supply planning data'!C76,'Shipments data'!A:A,'Supply planning data'!A76,'Shipments data'!O:O,"received",'Shipments data'!Q:Q,"&lt;"&amp;'Supply planning data'!D91,'Shipments data'!AC:AC,"&lt;"&amp;'Supply planning data'!D91)-SUMIFS(M:M,D:D,"&lt;="&amp;D76,C:C,C76)-SUMIFS(AA:AA,D:D,"&lt;="&amp;D76,C:C,C76)+SUMIFS(N:N,D:D,"&lt;="&amp;D76,C:C,C76)+SUMIFS(P:P,D:D,"&lt;="&amp;D76,C:C,C76))</f>
        <v>0</v>
      </c>
      <c r="AD76" s="98">
        <f t="shared" si="21"/>
        <v>0</v>
      </c>
      <c r="AE76" s="98">
        <f t="shared" si="36"/>
        <v>0</v>
      </c>
      <c r="AF76" s="205" t="str">
        <f t="shared" si="29"/>
        <v/>
      </c>
      <c r="AG76" s="98">
        <f t="shared" si="18"/>
        <v>0</v>
      </c>
      <c r="AH76" s="97"/>
      <c r="AI76" s="311"/>
      <c r="AJ76" s="98">
        <f t="shared" si="35"/>
        <v>0</v>
      </c>
      <c r="AK76" s="233"/>
      <c r="AL76" s="98">
        <f>IF(SUMIFS('Shipments data'!L:L,'Shipments data'!F:F,'Supply planning data'!C76,'Shipments data'!A:A,'Supply planning data'!A76,'Shipments data'!O:O,"received",'Shipments data'!Q:Q,"&lt;"&amp;'Supply planning data'!D91,'Shipments data'!AC:AC,"&lt;"&amp;'Supply planning data'!D91)-SUMIFS(M:M,D:D,"&lt;="&amp;D76,C:C,C76)-SUMIFS(AJ:AJ,D:D,"&lt;="&amp;D76,C:C,C76)+SUMIFS(N:N,D:D,"&lt;="&amp;D76,C:C,C76)+SUMIFS(P:P,D:D,"&lt;="&amp;D76,C:C,C76)&lt;0,0,SUMIFS('Shipments data'!L:L,'Shipments data'!F:F,'Supply planning data'!C76,'Shipments data'!A:A,'Supply planning data'!A76,'Shipments data'!O:O,"received",'Shipments data'!Q:Q,"&lt;"&amp;'Supply planning data'!D91,'Shipments data'!AC:AC,"&lt;"&amp;'Supply planning data'!D91)-SUMIFS(M:M,D:D,"&lt;="&amp;D76,C:C,C76)-SUMIFS(AJ:AJ,D:D,"&lt;="&amp;D76,C:C,C76)+SUMIFS(N:N,D:D,"&lt;="&amp;D76,C:C,C76)+SUMIFS(P:P,D:D,"&lt;="&amp;D76,C:C,C76))</f>
        <v>0</v>
      </c>
      <c r="AM76" s="98">
        <f t="shared" si="19"/>
        <v>0</v>
      </c>
      <c r="AN76" s="98">
        <f t="shared" si="37"/>
        <v>0</v>
      </c>
      <c r="AO76" s="203" t="str">
        <f t="shared" si="24"/>
        <v/>
      </c>
    </row>
    <row r="77" spans="1:41" hidden="1" x14ac:dyDescent="0.25">
      <c r="A77" s="95" t="str">
        <f>Start!D$7</f>
        <v>Anyland</v>
      </c>
      <c r="B77" s="96" t="str">
        <f>VLOOKUP(A77,list!B:C,2,FALSE)</f>
        <v>ANY</v>
      </c>
      <c r="C77" s="90" t="str">
        <f>IF(Start!$C$29="","",Start!$C$29)</f>
        <v/>
      </c>
      <c r="D77" s="296">
        <f t="shared" si="15"/>
        <v>44317</v>
      </c>
      <c r="E77" s="92" t="str">
        <f>IFERROR(VLOOKUP(C77,Start!C$15:D$31,2,FALSE),"No")</f>
        <v>No</v>
      </c>
      <c r="F77" s="92">
        <f t="shared" si="16"/>
        <v>0</v>
      </c>
      <c r="G77" s="91"/>
      <c r="H77" s="97"/>
      <c r="I77" s="97"/>
      <c r="J77" s="98">
        <f t="shared" si="30"/>
        <v>0</v>
      </c>
      <c r="K77" s="97"/>
      <c r="L77" s="175" t="str">
        <f t="shared" si="31"/>
        <v/>
      </c>
      <c r="M77" s="98">
        <f t="shared" si="32"/>
        <v>0</v>
      </c>
      <c r="N77" s="97"/>
      <c r="O77" s="122"/>
      <c r="P77" s="97"/>
      <c r="Q77" s="122"/>
      <c r="R77" s="98">
        <f>SUMIFS('Shipments data'!L:L,'Shipments data'!F:F,'Supply planning data'!C77,'Shipments data'!A:A,'Supply planning data'!A77,'Shipments data'!Y:Y,'Supply planning data'!D77,'Shipments data'!O:O,"received", 'Shipments data'!N:N, "Public")</f>
        <v>0</v>
      </c>
      <c r="S77" s="98">
        <f>SUMIFS('Shipments data'!L:L,'Shipments data'!F:F,'Supply planning data'!C77,'Shipments data'!A:A,'Supply planning data'!A77,'Shipments data'!Y:Y,'Supply planning data'!D77,'Shipments data'!O:O,"ordered", 'Shipments data'!N:N, "Public")</f>
        <v>0</v>
      </c>
      <c r="T77" s="98">
        <f>IF(SUMIFS('Shipments data'!L:L,'Shipments data'!F:F,'Supply planning data'!C77,'Shipments data'!A:A,'Supply planning data'!A77,'Shipments data'!O:O,"received",'Shipments data'!Q:Q,"&lt;"&amp;'Supply planning data'!D92,'Shipments data'!AC:AC,"&lt;"&amp;'Supply planning data'!D92)-SUMIFS(M:M,D:D,"&lt;="&amp;D77,C:C,C77)+SUMIFS(N:N,D:D,"&lt;="&amp;D77,C:C,C77)+SUMIFS(P:P,D:D,"&lt;="&amp;D77,C:C,C77)&lt;0,0,SUMIFS('Shipments data'!L:L,'Shipments data'!F:F,'Supply planning data'!C77,'Shipments data'!A:A,'Supply planning data'!A77,'Shipments data'!O:O,"received",'Shipments data'!Q:Q,"&lt;"&amp;'Supply planning data'!D92,'Shipments data'!AC:AC,"&lt;"&amp;'Supply planning data'!D92)-SUMIFS(M:M,D:D,"&lt;="&amp;D77,C:C,C77)+SUMIFS(N:N,D:D,"&lt;="&amp;D77,C:C,C77)+SUMIFS(P:P,D:D,"&lt;="&amp;D77,C:C,C77))</f>
        <v>0</v>
      </c>
      <c r="U77" s="99">
        <f t="shared" si="17"/>
        <v>0</v>
      </c>
      <c r="V77" s="98">
        <f t="shared" si="33"/>
        <v>0</v>
      </c>
      <c r="W77" s="203" t="str">
        <f t="shared" si="23"/>
        <v/>
      </c>
      <c r="X77" s="98">
        <f t="shared" si="20"/>
        <v>0</v>
      </c>
      <c r="Y77" s="97"/>
      <c r="Z77" s="93"/>
      <c r="AA77" s="98">
        <f t="shared" si="34"/>
        <v>0</v>
      </c>
      <c r="AB77" s="233"/>
      <c r="AC77" s="98">
        <f>IF(SUMIFS('Shipments data'!L:L,'Shipments data'!F:F,'Supply planning data'!C77,'Shipments data'!A:A,'Supply planning data'!A77,'Shipments data'!O:O,"received",'Shipments data'!Q:Q,"&lt;"&amp;'Supply planning data'!D92,'Shipments data'!AC:AC,"&lt;"&amp;'Supply planning data'!D92)-SUMIFS(M:M,D:D,"&lt;="&amp;D77,C:C,C77)-SUMIFS(AA:AA,D:D,"&lt;="&amp;D77,C:C,C77)+SUMIFS(N:N,D:D,"&lt;="&amp;D77,C:C,C77)+SUMIFS(P:P,D:D,"&lt;="&amp;D77,C:C,C77)&lt;0,0,SUMIFS('Shipments data'!L:L,'Shipments data'!F:F,'Supply planning data'!C77,'Shipments data'!A:A,'Supply planning data'!A77,'Shipments data'!O:O,"received",'Shipments data'!Q:Q,"&lt;"&amp;'Supply planning data'!D92,'Shipments data'!AC:AC,"&lt;"&amp;'Supply planning data'!D92)-SUMIFS(M:M,D:D,"&lt;="&amp;D77,C:C,C77)-SUMIFS(AA:AA,D:D,"&lt;="&amp;D77,C:C,C77)+SUMIFS(N:N,D:D,"&lt;="&amp;D77,C:C,C77)+SUMIFS(P:P,D:D,"&lt;="&amp;D77,C:C,C77))</f>
        <v>0</v>
      </c>
      <c r="AD77" s="98">
        <f t="shared" si="21"/>
        <v>0</v>
      </c>
      <c r="AE77" s="98">
        <f t="shared" si="36"/>
        <v>0</v>
      </c>
      <c r="AF77" s="205" t="str">
        <f t="shared" si="29"/>
        <v/>
      </c>
      <c r="AG77" s="98">
        <f t="shared" si="18"/>
        <v>0</v>
      </c>
      <c r="AH77" s="97"/>
      <c r="AI77" s="311"/>
      <c r="AJ77" s="98">
        <f t="shared" si="35"/>
        <v>0</v>
      </c>
      <c r="AK77" s="233"/>
      <c r="AL77" s="98">
        <f>IF(SUMIFS('Shipments data'!L:L,'Shipments data'!F:F,'Supply planning data'!C77,'Shipments data'!A:A,'Supply planning data'!A77,'Shipments data'!O:O,"received",'Shipments data'!Q:Q,"&lt;"&amp;'Supply planning data'!D92,'Shipments data'!AC:AC,"&lt;"&amp;'Supply planning data'!D92)-SUMIFS(M:M,D:D,"&lt;="&amp;D77,C:C,C77)-SUMIFS(AJ:AJ,D:D,"&lt;="&amp;D77,C:C,C77)+SUMIFS(N:N,D:D,"&lt;="&amp;D77,C:C,C77)+SUMIFS(P:P,D:D,"&lt;="&amp;D77,C:C,C77)&lt;0,0,SUMIFS('Shipments data'!L:L,'Shipments data'!F:F,'Supply planning data'!C77,'Shipments data'!A:A,'Supply planning data'!A77,'Shipments data'!O:O,"received",'Shipments data'!Q:Q,"&lt;"&amp;'Supply planning data'!D92,'Shipments data'!AC:AC,"&lt;"&amp;'Supply planning data'!D92)-SUMIFS(M:M,D:D,"&lt;="&amp;D77,C:C,C77)-SUMIFS(AJ:AJ,D:D,"&lt;="&amp;D77,C:C,C77)+SUMIFS(N:N,D:D,"&lt;="&amp;D77,C:C,C77)+SUMIFS(P:P,D:D,"&lt;="&amp;D77,C:C,C77))</f>
        <v>0</v>
      </c>
      <c r="AM77" s="98">
        <f t="shared" si="19"/>
        <v>0</v>
      </c>
      <c r="AN77" s="98">
        <f t="shared" si="37"/>
        <v>0</v>
      </c>
      <c r="AO77" s="203" t="str">
        <f t="shared" si="24"/>
        <v/>
      </c>
    </row>
    <row r="78" spans="1:41" hidden="1" x14ac:dyDescent="0.25">
      <c r="A78" s="95" t="str">
        <f>Start!D$7</f>
        <v>Anyland</v>
      </c>
      <c r="B78" s="96" t="str">
        <f>VLOOKUP(A78,list!B:C,2,FALSE)</f>
        <v>ANY</v>
      </c>
      <c r="C78" s="90" t="str">
        <f>IF(Start!$C$30="","",Start!$C$30)</f>
        <v/>
      </c>
      <c r="D78" s="296">
        <f t="shared" si="15"/>
        <v>44317</v>
      </c>
      <c r="E78" s="92" t="str">
        <f>IFERROR(VLOOKUP(C78,Start!C$15:D$31,2,FALSE),"No")</f>
        <v>No</v>
      </c>
      <c r="F78" s="92">
        <f t="shared" si="16"/>
        <v>0</v>
      </c>
      <c r="G78" s="91"/>
      <c r="H78" s="97"/>
      <c r="I78" s="97"/>
      <c r="J78" s="98">
        <f t="shared" si="30"/>
        <v>0</v>
      </c>
      <c r="K78" s="97"/>
      <c r="L78" s="175" t="str">
        <f t="shared" si="31"/>
        <v/>
      </c>
      <c r="M78" s="98">
        <f t="shared" si="32"/>
        <v>0</v>
      </c>
      <c r="N78" s="97"/>
      <c r="O78" s="122"/>
      <c r="P78" s="97"/>
      <c r="Q78" s="122"/>
      <c r="R78" s="98">
        <f>SUMIFS('Shipments data'!L:L,'Shipments data'!F:F,'Supply planning data'!C78,'Shipments data'!A:A,'Supply planning data'!A78,'Shipments data'!Y:Y,'Supply planning data'!D78,'Shipments data'!O:O,"received", 'Shipments data'!N:N, "Public")</f>
        <v>0</v>
      </c>
      <c r="S78" s="98">
        <f>SUMIFS('Shipments data'!L:L,'Shipments data'!F:F,'Supply planning data'!C78,'Shipments data'!A:A,'Supply planning data'!A78,'Shipments data'!Y:Y,'Supply planning data'!D78,'Shipments data'!O:O,"ordered", 'Shipments data'!N:N, "Public")</f>
        <v>0</v>
      </c>
      <c r="T78" s="98">
        <f>IF(SUMIFS('Shipments data'!L:L,'Shipments data'!F:F,'Supply planning data'!C78,'Shipments data'!A:A,'Supply planning data'!A78,'Shipments data'!O:O,"received",'Shipments data'!Q:Q,"&lt;"&amp;'Supply planning data'!D93,'Shipments data'!AC:AC,"&lt;"&amp;'Supply planning data'!D93)-SUMIFS(M:M,D:D,"&lt;="&amp;D78,C:C,C78)+SUMIFS(N:N,D:D,"&lt;="&amp;D78,C:C,C78)+SUMIFS(P:P,D:D,"&lt;="&amp;D78,C:C,C78)&lt;0,0,SUMIFS('Shipments data'!L:L,'Shipments data'!F:F,'Supply planning data'!C78,'Shipments data'!A:A,'Supply planning data'!A78,'Shipments data'!O:O,"received",'Shipments data'!Q:Q,"&lt;"&amp;'Supply planning data'!D93,'Shipments data'!AC:AC,"&lt;"&amp;'Supply planning data'!D93)-SUMIFS(M:M,D:D,"&lt;="&amp;D78,C:C,C78)+SUMIFS(N:N,D:D,"&lt;="&amp;D78,C:C,C78)+SUMIFS(P:P,D:D,"&lt;="&amp;D78,C:C,C78))</f>
        <v>0</v>
      </c>
      <c r="U78" s="99">
        <f t="shared" si="17"/>
        <v>0</v>
      </c>
      <c r="V78" s="98">
        <f t="shared" si="33"/>
        <v>0</v>
      </c>
      <c r="W78" s="203" t="str">
        <f t="shared" si="23"/>
        <v/>
      </c>
      <c r="X78" s="98">
        <f t="shared" si="20"/>
        <v>0</v>
      </c>
      <c r="Y78" s="97"/>
      <c r="Z78" s="93"/>
      <c r="AA78" s="98">
        <f t="shared" si="34"/>
        <v>0</v>
      </c>
      <c r="AB78" s="233"/>
      <c r="AC78" s="98">
        <f>IF(SUMIFS('Shipments data'!L:L,'Shipments data'!F:F,'Supply planning data'!C78,'Shipments data'!A:A,'Supply planning data'!A78,'Shipments data'!O:O,"received",'Shipments data'!Q:Q,"&lt;"&amp;'Supply planning data'!D93,'Shipments data'!AC:AC,"&lt;"&amp;'Supply planning data'!D93)-SUMIFS(M:M,D:D,"&lt;="&amp;D78,C:C,C78)-SUMIFS(AA:AA,D:D,"&lt;="&amp;D78,C:C,C78)+SUMIFS(N:N,D:D,"&lt;="&amp;D78,C:C,C78)+SUMIFS(P:P,D:D,"&lt;="&amp;D78,C:C,C78)&lt;0,0,SUMIFS('Shipments data'!L:L,'Shipments data'!F:F,'Supply planning data'!C78,'Shipments data'!A:A,'Supply planning data'!A78,'Shipments data'!O:O,"received",'Shipments data'!Q:Q,"&lt;"&amp;'Supply planning data'!D93,'Shipments data'!AC:AC,"&lt;"&amp;'Supply planning data'!D93)-SUMIFS(M:M,D:D,"&lt;="&amp;D78,C:C,C78)-SUMIFS(AA:AA,D:D,"&lt;="&amp;D78,C:C,C78)+SUMIFS(N:N,D:D,"&lt;="&amp;D78,C:C,C78)+SUMIFS(P:P,D:D,"&lt;="&amp;D78,C:C,C78))</f>
        <v>0</v>
      </c>
      <c r="AD78" s="98">
        <f t="shared" si="21"/>
        <v>0</v>
      </c>
      <c r="AE78" s="98">
        <f t="shared" si="36"/>
        <v>0</v>
      </c>
      <c r="AF78" s="205" t="str">
        <f t="shared" si="29"/>
        <v/>
      </c>
      <c r="AG78" s="98">
        <f t="shared" si="18"/>
        <v>0</v>
      </c>
      <c r="AH78" s="97"/>
      <c r="AI78" s="311"/>
      <c r="AJ78" s="98">
        <f t="shared" si="35"/>
        <v>0</v>
      </c>
      <c r="AK78" s="233"/>
      <c r="AL78" s="98">
        <f>IF(SUMIFS('Shipments data'!L:L,'Shipments data'!F:F,'Supply planning data'!C78,'Shipments data'!A:A,'Supply planning data'!A78,'Shipments data'!O:O,"received",'Shipments data'!Q:Q,"&lt;"&amp;'Supply planning data'!D93,'Shipments data'!AC:AC,"&lt;"&amp;'Supply planning data'!D93)-SUMIFS(M:M,D:D,"&lt;="&amp;D78,C:C,C78)-SUMIFS(AJ:AJ,D:D,"&lt;="&amp;D78,C:C,C78)+SUMIFS(N:N,D:D,"&lt;="&amp;D78,C:C,C78)+SUMIFS(P:P,D:D,"&lt;="&amp;D78,C:C,C78)&lt;0,0,SUMIFS('Shipments data'!L:L,'Shipments data'!F:F,'Supply planning data'!C78,'Shipments data'!A:A,'Supply planning data'!A78,'Shipments data'!O:O,"received",'Shipments data'!Q:Q,"&lt;"&amp;'Supply planning data'!D93,'Shipments data'!AC:AC,"&lt;"&amp;'Supply planning data'!D93)-SUMIFS(M:M,D:D,"&lt;="&amp;D78,C:C,C78)-SUMIFS(AJ:AJ,D:D,"&lt;="&amp;D78,C:C,C78)+SUMIFS(N:N,D:D,"&lt;="&amp;D78,C:C,C78)+SUMIFS(P:P,D:D,"&lt;="&amp;D78,C:C,C78))</f>
        <v>0</v>
      </c>
      <c r="AM78" s="98">
        <f t="shared" si="19"/>
        <v>0</v>
      </c>
      <c r="AN78" s="98">
        <f t="shared" si="37"/>
        <v>0</v>
      </c>
      <c r="AO78" s="203" t="str">
        <f t="shared" si="24"/>
        <v/>
      </c>
    </row>
    <row r="79" spans="1:41" hidden="1" x14ac:dyDescent="0.25">
      <c r="A79" s="95" t="str">
        <f>Start!D$7</f>
        <v>Anyland</v>
      </c>
      <c r="B79" s="100" t="str">
        <f>VLOOKUP(A79,list!B:C,2,FALSE)</f>
        <v>ANY</v>
      </c>
      <c r="C79" s="90" t="str">
        <f>IF(Start!$C$31="","",Start!$C$31)</f>
        <v/>
      </c>
      <c r="D79" s="296">
        <f t="shared" si="15"/>
        <v>44317</v>
      </c>
      <c r="E79" s="92" t="str">
        <f>IFERROR(VLOOKUP(C79,Start!C$15:D$31,2,FALSE),"No")</f>
        <v>No</v>
      </c>
      <c r="F79" s="92">
        <f t="shared" si="16"/>
        <v>0</v>
      </c>
      <c r="G79" s="91"/>
      <c r="H79" s="97"/>
      <c r="I79" s="97"/>
      <c r="J79" s="98">
        <f t="shared" si="30"/>
        <v>0</v>
      </c>
      <c r="K79" s="97"/>
      <c r="L79" s="175" t="str">
        <f t="shared" si="31"/>
        <v/>
      </c>
      <c r="M79" s="98">
        <f t="shared" si="32"/>
        <v>0</v>
      </c>
      <c r="N79" s="97"/>
      <c r="O79" s="122"/>
      <c r="P79" s="97"/>
      <c r="Q79" s="122"/>
      <c r="R79" s="98">
        <f>SUMIFS('Shipments data'!L:L,'Shipments data'!F:F,'Supply planning data'!C79,'Shipments data'!A:A,'Supply planning data'!A79,'Shipments data'!Y:Y,'Supply planning data'!D79,'Shipments data'!O:O,"received", 'Shipments data'!N:N, "Public")</f>
        <v>0</v>
      </c>
      <c r="S79" s="98">
        <f>SUMIFS('Shipments data'!L:L,'Shipments data'!F:F,'Supply planning data'!C79,'Shipments data'!A:A,'Supply planning data'!A79,'Shipments data'!Y:Y,'Supply planning data'!D79,'Shipments data'!O:O,"ordered", 'Shipments data'!N:N, "Public")</f>
        <v>0</v>
      </c>
      <c r="T79" s="98">
        <f>IF(SUMIFS('Shipments data'!L:L,'Shipments data'!F:F,'Supply planning data'!C79,'Shipments data'!A:A,'Supply planning data'!A79,'Shipments data'!O:O,"received",'Shipments data'!Q:Q,"&lt;"&amp;'Supply planning data'!D94,'Shipments data'!AC:AC,"&lt;"&amp;'Supply planning data'!D94)-SUMIFS(M:M,D:D,"&lt;="&amp;D79,C:C,C79)+SUMIFS(N:N,D:D,"&lt;="&amp;D79,C:C,C79)+SUMIFS(P:P,D:D,"&lt;="&amp;D79,C:C,C79)&lt;0,0,SUMIFS('Shipments data'!L:L,'Shipments data'!F:F,'Supply planning data'!C79,'Shipments data'!A:A,'Supply planning data'!A79,'Shipments data'!O:O,"received",'Shipments data'!Q:Q,"&lt;"&amp;'Supply planning data'!D94,'Shipments data'!AC:AC,"&lt;"&amp;'Supply planning data'!D94)-SUMIFS(M:M,D:D,"&lt;="&amp;D79,C:C,C79)+SUMIFS(N:N,D:D,"&lt;="&amp;D79,C:C,C79)+SUMIFS(P:P,D:D,"&lt;="&amp;D79,C:C,C79))</f>
        <v>0</v>
      </c>
      <c r="U79" s="99">
        <f t="shared" si="17"/>
        <v>0</v>
      </c>
      <c r="V79" s="98">
        <f t="shared" si="33"/>
        <v>0</v>
      </c>
      <c r="W79" s="203" t="str">
        <f t="shared" si="23"/>
        <v/>
      </c>
      <c r="X79" s="98">
        <f t="shared" si="20"/>
        <v>0</v>
      </c>
      <c r="Y79" s="97"/>
      <c r="Z79" s="93"/>
      <c r="AA79" s="98">
        <f t="shared" si="34"/>
        <v>0</v>
      </c>
      <c r="AB79" s="233"/>
      <c r="AC79" s="98">
        <f>IF(SUMIFS('Shipments data'!L:L,'Shipments data'!F:F,'Supply planning data'!C79,'Shipments data'!A:A,'Supply planning data'!A79,'Shipments data'!O:O,"received",'Shipments data'!Q:Q,"&lt;"&amp;'Supply planning data'!D94,'Shipments data'!AC:AC,"&lt;"&amp;'Supply planning data'!D94)-SUMIFS(M:M,D:D,"&lt;="&amp;D79,C:C,C79)-SUMIFS(AA:AA,D:D,"&lt;="&amp;D79,C:C,C79)+SUMIFS(N:N,D:D,"&lt;="&amp;D79,C:C,C79)+SUMIFS(P:P,D:D,"&lt;="&amp;D79,C:C,C79)&lt;0,0,SUMIFS('Shipments data'!L:L,'Shipments data'!F:F,'Supply planning data'!C79,'Shipments data'!A:A,'Supply planning data'!A79,'Shipments data'!O:O,"received",'Shipments data'!Q:Q,"&lt;"&amp;'Supply planning data'!D94,'Shipments data'!AC:AC,"&lt;"&amp;'Supply planning data'!D94)-SUMIFS(M:M,D:D,"&lt;="&amp;D79,C:C,C79)-SUMIFS(AA:AA,D:D,"&lt;="&amp;D79,C:C,C79)+SUMIFS(N:N,D:D,"&lt;="&amp;D79,C:C,C79)+SUMIFS(P:P,D:D,"&lt;="&amp;D79,C:C,C79))</f>
        <v>0</v>
      </c>
      <c r="AD79" s="98">
        <f t="shared" si="21"/>
        <v>0</v>
      </c>
      <c r="AE79" s="98">
        <f t="shared" si="36"/>
        <v>0</v>
      </c>
      <c r="AF79" s="205" t="str">
        <f>IF(M79+AA79&lt;=0,"",IFERROR(AE79/(SUM(M79,M109,M94,AA79,AA109,AA94)/3),""))</f>
        <v/>
      </c>
      <c r="AG79" s="98">
        <f t="shared" si="18"/>
        <v>0</v>
      </c>
      <c r="AH79" s="97"/>
      <c r="AI79" s="311"/>
      <c r="AJ79" s="98">
        <f t="shared" si="35"/>
        <v>0</v>
      </c>
      <c r="AK79" s="233"/>
      <c r="AL79" s="98">
        <f>IF(SUMIFS('Shipments data'!L:L,'Shipments data'!F:F,'Supply planning data'!C79,'Shipments data'!A:A,'Supply planning data'!A79,'Shipments data'!O:O,"received",'Shipments data'!Q:Q,"&lt;"&amp;'Supply planning data'!D94,'Shipments data'!AC:AC,"&lt;"&amp;'Supply planning data'!D94)-SUMIFS(M:M,D:D,"&lt;="&amp;D79,C:C,C79)-SUMIFS(AJ:AJ,D:D,"&lt;="&amp;D79,C:C,C79)+SUMIFS(N:N,D:D,"&lt;="&amp;D79,C:C,C79)+SUMIFS(P:P,D:D,"&lt;="&amp;D79,C:C,C79)&lt;0,0,SUMIFS('Shipments data'!L:L,'Shipments data'!F:F,'Supply planning data'!C79,'Shipments data'!A:A,'Supply planning data'!A79,'Shipments data'!O:O,"received",'Shipments data'!Q:Q,"&lt;"&amp;'Supply planning data'!D94,'Shipments data'!AC:AC,"&lt;"&amp;'Supply planning data'!D94)-SUMIFS(M:M,D:D,"&lt;="&amp;D79,C:C,C79)-SUMIFS(AJ:AJ,D:D,"&lt;="&amp;D79,C:C,C79)+SUMIFS(N:N,D:D,"&lt;="&amp;D79,C:C,C79)+SUMIFS(P:P,D:D,"&lt;="&amp;D79,C:C,C79))</f>
        <v>0</v>
      </c>
      <c r="AM79" s="98">
        <f t="shared" si="19"/>
        <v>0</v>
      </c>
      <c r="AN79" s="98">
        <f t="shared" si="37"/>
        <v>0</v>
      </c>
      <c r="AO79" s="203" t="str">
        <f t="shared" si="24"/>
        <v/>
      </c>
    </row>
    <row r="80" spans="1:41" x14ac:dyDescent="0.25">
      <c r="A80" s="103" t="str">
        <f>Start!D$7</f>
        <v>Anyland</v>
      </c>
      <c r="B80" s="104" t="str">
        <f>VLOOKUP(A80,list!B:C,2,FALSE)</f>
        <v>ANY</v>
      </c>
      <c r="C80" s="104" t="str">
        <f>IF(Start!$C$17="","",Start!$C$17)</f>
        <v>AstraZeneca</v>
      </c>
      <c r="D80" s="298">
        <f t="shared" si="15"/>
        <v>44348</v>
      </c>
      <c r="E80" s="105" t="str">
        <f>IFERROR(VLOOKUP(C80,Start!C$15:D$31,2,FALSE),"No")</f>
        <v>Yes</v>
      </c>
      <c r="F80" s="105">
        <f t="shared" si="16"/>
        <v>347855</v>
      </c>
      <c r="G80" s="106">
        <v>84087</v>
      </c>
      <c r="H80" s="106">
        <v>788</v>
      </c>
      <c r="I80" s="106"/>
      <c r="J80" s="105">
        <f t="shared" si="30"/>
        <v>84875</v>
      </c>
      <c r="K80" s="106"/>
      <c r="L80" s="177">
        <f t="shared" si="31"/>
        <v>0</v>
      </c>
      <c r="M80" s="105">
        <f t="shared" si="32"/>
        <v>84875</v>
      </c>
      <c r="N80" s="106"/>
      <c r="O80" s="123"/>
      <c r="P80" s="106"/>
      <c r="Q80" s="123"/>
      <c r="R80" s="105">
        <f>SUMIFS('Shipments data'!L:L,'Shipments data'!F:F,'Supply planning data'!C80,'Shipments data'!A:A,'Supply planning data'!A80,'Shipments data'!Y:Y,'Supply planning data'!D80,'Shipments data'!O:O,"received", 'Shipments data'!N:N, "Public")</f>
        <v>0</v>
      </c>
      <c r="S80" s="105">
        <f>SUMIFS('Shipments data'!L:L,'Shipments data'!F:F,'Supply planning data'!C80,'Shipments data'!A:A,'Supply planning data'!A80,'Shipments data'!Y:Y,'Supply planning data'!D80,'Shipments data'!O:O,"ordered", 'Shipments data'!N:N, "Public")</f>
        <v>0</v>
      </c>
      <c r="T80" s="105">
        <f>IF(SUMIFS('Shipments data'!L:L,'Shipments data'!F:F,'Supply planning data'!C80,'Shipments data'!A:A,'Supply planning data'!A80,'Shipments data'!O:O,"received",'Shipments data'!Q:Q,"&lt;"&amp;'Supply planning data'!D95,'Shipments data'!AC:AC,"&lt;"&amp;'Supply planning data'!D95)-SUMIFS(M:M,D:D,"&lt;="&amp;D80,C:C,C80)+SUMIFS(N:N,D:D,"&lt;="&amp;D80,C:C,C80)+SUMIFS(P:P,D:D,"&lt;="&amp;D80,C:C,C80)&lt;0,0,SUMIFS('Shipments data'!L:L,'Shipments data'!F:F,'Supply planning data'!C80,'Shipments data'!A:A,'Supply planning data'!A80,'Shipments data'!O:O,"received",'Shipments data'!Q:Q,"&lt;"&amp;'Supply planning data'!D95,'Shipments data'!AC:AC,"&lt;"&amp;'Supply planning data'!D95)-SUMIFS(M:M,D:D,"&lt;="&amp;D80,C:C,C80)+SUMIFS(N:N,D:D,"&lt;="&amp;D80,C:C,C80)+SUMIFS(P:P,D:D,"&lt;="&amp;D80,C:C,C80))</f>
        <v>0</v>
      </c>
      <c r="U80" s="108">
        <f t="shared" si="17"/>
        <v>0</v>
      </c>
      <c r="V80" s="105">
        <f t="shared" si="33"/>
        <v>262980</v>
      </c>
      <c r="W80" s="206">
        <f t="shared" si="23"/>
        <v>6.1965127238454292</v>
      </c>
      <c r="X80" s="105">
        <f t="shared" si="20"/>
        <v>347855</v>
      </c>
      <c r="Y80" s="106"/>
      <c r="Z80" s="107"/>
      <c r="AA80" s="105">
        <f t="shared" si="34"/>
        <v>0</v>
      </c>
      <c r="AB80" s="234"/>
      <c r="AC80" s="105">
        <f>IF(SUMIFS('Shipments data'!L:L,'Shipments data'!F:F,'Supply planning data'!C80,'Shipments data'!A:A,'Supply planning data'!A80,'Shipments data'!O:O,"received",'Shipments data'!Q:Q,"&lt;"&amp;'Supply planning data'!D95,'Shipments data'!AC:AC,"&lt;"&amp;'Supply planning data'!D95)-SUMIFS(M:M,D:D,"&lt;="&amp;D80,C:C,C80)-SUMIFS(AA:AA,D:D,"&lt;="&amp;D80,C:C,C80)+SUMIFS(N:N,D:D,"&lt;="&amp;D80,C:C,C80)+SUMIFS(P:P,D:D,"&lt;="&amp;D80,C:C,C80)&lt;0,0,SUMIFS('Shipments data'!L:L,'Shipments data'!F:F,'Supply planning data'!C80,'Shipments data'!A:A,'Supply planning data'!A80,'Shipments data'!O:O,"received",'Shipments data'!Q:Q,"&lt;"&amp;'Supply planning data'!D95,'Shipments data'!AC:AC,"&lt;"&amp;'Supply planning data'!D95)-SUMIFS(M:M,D:D,"&lt;="&amp;D80,C:C,C80)-SUMIFS(AA:AA,D:D,"&lt;="&amp;D80,C:C,C80)+SUMIFS(N:N,D:D,"&lt;="&amp;D80,C:C,C80)+SUMIFS(P:P,D:D,"&lt;="&amp;D80,C:C,C80))</f>
        <v>0</v>
      </c>
      <c r="AD80" s="105">
        <f t="shared" si="21"/>
        <v>0</v>
      </c>
      <c r="AE80" s="105">
        <f t="shared" si="36"/>
        <v>262980</v>
      </c>
      <c r="AF80" s="206">
        <f>IF(M80+AA80&lt;=0,"",IFERROR(AE80/(SUM(M80,M110,M95,AA80,AA110,AA95)/3),""))</f>
        <v>5.099311637527066</v>
      </c>
      <c r="AG80" s="105">
        <f t="shared" si="18"/>
        <v>347855</v>
      </c>
      <c r="AH80" s="106"/>
      <c r="AI80" s="312"/>
      <c r="AJ80" s="105">
        <f t="shared" si="35"/>
        <v>0</v>
      </c>
      <c r="AK80" s="234"/>
      <c r="AL80" s="105">
        <f>IF(SUMIFS('Shipments data'!L:L,'Shipments data'!F:F,'Supply planning data'!C80,'Shipments data'!A:A,'Supply planning data'!A80,'Shipments data'!O:O,"received",'Shipments data'!Q:Q,"&lt;"&amp;'Supply planning data'!D95,'Shipments data'!AC:AC,"&lt;"&amp;'Supply planning data'!D95)-SUMIFS(M:M,D:D,"&lt;="&amp;D80,C:C,C80)-SUMIFS(AJ:AJ,D:D,"&lt;="&amp;D80,C:C,C80)+SUMIFS(N:N,D:D,"&lt;="&amp;D80,C:C,C80)+SUMIFS(P:P,D:D,"&lt;="&amp;D80,C:C,C80)&lt;0,0,SUMIFS('Shipments data'!L:L,'Shipments data'!F:F,'Supply planning data'!C80,'Shipments data'!A:A,'Supply planning data'!A80,'Shipments data'!O:O,"received",'Shipments data'!Q:Q,"&lt;"&amp;'Supply planning data'!D95,'Shipments data'!AC:AC,"&lt;"&amp;'Supply planning data'!D95)-SUMIFS(M:M,D:D,"&lt;="&amp;D80,C:C,C80)-SUMIFS(AJ:AJ,D:D,"&lt;="&amp;D80,C:C,C80)+SUMIFS(N:N,D:D,"&lt;="&amp;D80,C:C,C80)+SUMIFS(P:P,D:D,"&lt;="&amp;D80,C:C,C80))</f>
        <v>0</v>
      </c>
      <c r="AM80" s="105">
        <f t="shared" si="19"/>
        <v>0</v>
      </c>
      <c r="AN80" s="105">
        <f t="shared" si="37"/>
        <v>262980</v>
      </c>
      <c r="AO80" s="206">
        <f t="shared" si="24"/>
        <v>5.099311637527066</v>
      </c>
    </row>
    <row r="81" spans="1:41" x14ac:dyDescent="0.25">
      <c r="A81" s="103" t="str">
        <f>Start!D$7</f>
        <v>Anyland</v>
      </c>
      <c r="B81" s="109" t="str">
        <f>VLOOKUP(A81,list!B:C,2,FALSE)</f>
        <v>ANY</v>
      </c>
      <c r="C81" s="109" t="str">
        <f>IF(Start!$C$18="","",Start!$C$18)</f>
        <v>Jansen</v>
      </c>
      <c r="D81" s="298">
        <f t="shared" si="15"/>
        <v>44348</v>
      </c>
      <c r="E81" s="105" t="str">
        <f>IFERROR(VLOOKUP(C81,Start!C$15:D$31,2,FALSE),"No")</f>
        <v>Yes</v>
      </c>
      <c r="F81" s="105">
        <f t="shared" si="16"/>
        <v>0</v>
      </c>
      <c r="G81" s="106"/>
      <c r="H81" s="106"/>
      <c r="I81" s="106"/>
      <c r="J81" s="105">
        <f t="shared" si="30"/>
        <v>0</v>
      </c>
      <c r="K81" s="106"/>
      <c r="L81" s="177" t="str">
        <f t="shared" si="31"/>
        <v/>
      </c>
      <c r="M81" s="105">
        <f t="shared" si="32"/>
        <v>0</v>
      </c>
      <c r="N81" s="110"/>
      <c r="O81" s="124"/>
      <c r="P81" s="110"/>
      <c r="Q81" s="124"/>
      <c r="R81" s="111">
        <f>SUMIFS('Shipments data'!L:L,'Shipments data'!F:F,'Supply planning data'!C81,'Shipments data'!A:A,'Supply planning data'!A81,'Shipments data'!Y:Y,'Supply planning data'!D81,'Shipments data'!O:O,"received", 'Shipments data'!N:N, "Public")</f>
        <v>0</v>
      </c>
      <c r="S81" s="111">
        <f>SUMIFS('Shipments data'!L:L,'Shipments data'!F:F,'Supply planning data'!C81,'Shipments data'!A:A,'Supply planning data'!A81,'Shipments data'!Y:Y,'Supply planning data'!D81,'Shipments data'!O:O,"ordered", 'Shipments data'!N:N, "Public")</f>
        <v>0</v>
      </c>
      <c r="T81" s="111">
        <f>IF(SUMIFS('Shipments data'!L:L,'Shipments data'!F:F,'Supply planning data'!C81,'Shipments data'!A:A,'Supply planning data'!A81,'Shipments data'!O:O,"received",'Shipments data'!Q:Q,"&lt;"&amp;'Supply planning data'!D96,'Shipments data'!AC:AC,"&lt;"&amp;'Supply planning data'!D96)-SUMIFS(M:M,D:D,"&lt;="&amp;D81,C:C,C81)+SUMIFS(N:N,D:D,"&lt;="&amp;D81,C:C,C81)+SUMIFS(P:P,D:D,"&lt;="&amp;D81,C:C,C81)&lt;0,0,SUMIFS('Shipments data'!L:L,'Shipments data'!F:F,'Supply planning data'!C81,'Shipments data'!A:A,'Supply planning data'!A81,'Shipments data'!O:O,"received",'Shipments data'!Q:Q,"&lt;"&amp;'Supply planning data'!D96,'Shipments data'!AC:AC,"&lt;"&amp;'Supply planning data'!D96)-SUMIFS(M:M,D:D,"&lt;="&amp;D81,C:C,C81)+SUMIFS(N:N,D:D,"&lt;="&amp;D81,C:C,C81)+SUMIFS(P:P,D:D,"&lt;="&amp;D81,C:C,C81))</f>
        <v>0</v>
      </c>
      <c r="U81" s="112">
        <f t="shared" si="17"/>
        <v>0</v>
      </c>
      <c r="V81" s="111">
        <f t="shared" si="33"/>
        <v>0</v>
      </c>
      <c r="W81" s="204" t="str">
        <f t="shared" si="23"/>
        <v/>
      </c>
      <c r="X81" s="111">
        <f t="shared" si="20"/>
        <v>0</v>
      </c>
      <c r="Y81" s="110"/>
      <c r="Z81" s="107"/>
      <c r="AA81" s="111">
        <f t="shared" si="34"/>
        <v>0</v>
      </c>
      <c r="AB81" s="235"/>
      <c r="AC81" s="111">
        <f>IF(SUMIFS('Shipments data'!L:L,'Shipments data'!F:F,'Supply planning data'!C81,'Shipments data'!A:A,'Supply planning data'!A81,'Shipments data'!O:O,"received",'Shipments data'!Q:Q,"&lt;"&amp;'Supply planning data'!D96,'Shipments data'!AC:AC,"&lt;"&amp;'Supply planning data'!D96)-SUMIFS(M:M,D:D,"&lt;="&amp;D81,C:C,C81)-SUMIFS(AA:AA,D:D,"&lt;="&amp;D81,C:C,C81)+SUMIFS(N:N,D:D,"&lt;="&amp;D81,C:C,C81)+SUMIFS(P:P,D:D,"&lt;="&amp;D81,C:C,C81)&lt;0,0,SUMIFS('Shipments data'!L:L,'Shipments data'!F:F,'Supply planning data'!C81,'Shipments data'!A:A,'Supply planning data'!A81,'Shipments data'!O:O,"received",'Shipments data'!Q:Q,"&lt;"&amp;'Supply planning data'!D96,'Shipments data'!AC:AC,"&lt;"&amp;'Supply planning data'!D96)-SUMIFS(M:M,D:D,"&lt;="&amp;D81,C:C,C81)-SUMIFS(AA:AA,D:D,"&lt;="&amp;D81,C:C,C81)+SUMIFS(N:N,D:D,"&lt;="&amp;D81,C:C,C81)+SUMIFS(P:P,D:D,"&lt;="&amp;D81,C:C,C81))</f>
        <v>0</v>
      </c>
      <c r="AD81" s="111">
        <f t="shared" si="21"/>
        <v>0</v>
      </c>
      <c r="AE81" s="111">
        <f t="shared" si="36"/>
        <v>0</v>
      </c>
      <c r="AF81" s="204" t="str">
        <f>IF(M81+AA81&lt;=0,"",IFERROR(AE81/(SUM(M81,M111,M96,AA81,AA111,AA96)/3),""))</f>
        <v/>
      </c>
      <c r="AG81" s="111">
        <f t="shared" si="18"/>
        <v>0</v>
      </c>
      <c r="AH81" s="110"/>
      <c r="AI81" s="313"/>
      <c r="AJ81" s="111">
        <f t="shared" si="35"/>
        <v>0</v>
      </c>
      <c r="AK81" s="235"/>
      <c r="AL81" s="111">
        <f>IF(SUMIFS('Shipments data'!L:L,'Shipments data'!F:F,'Supply planning data'!C81,'Shipments data'!A:A,'Supply planning data'!A81,'Shipments data'!O:O,"received",'Shipments data'!Q:Q,"&lt;"&amp;'Supply planning data'!D96,'Shipments data'!AC:AC,"&lt;"&amp;'Supply planning data'!D96)-SUMIFS(M:M,D:D,"&lt;="&amp;D81,C:C,C81)-SUMIFS(AJ:AJ,D:D,"&lt;="&amp;D81,C:C,C81)+SUMIFS(N:N,D:D,"&lt;="&amp;D81,C:C,C81)+SUMIFS(P:P,D:D,"&lt;="&amp;D81,C:C,C81)&lt;0,0,SUMIFS('Shipments data'!L:L,'Shipments data'!F:F,'Supply planning data'!C81,'Shipments data'!A:A,'Supply planning data'!A81,'Shipments data'!O:O,"received",'Shipments data'!Q:Q,"&lt;"&amp;'Supply planning data'!D96,'Shipments data'!AC:AC,"&lt;"&amp;'Supply planning data'!D96)-SUMIFS(M:M,D:D,"&lt;="&amp;D81,C:C,C81)-SUMIFS(AJ:AJ,D:D,"&lt;="&amp;D81,C:C,C81)+SUMIFS(N:N,D:D,"&lt;="&amp;D81,C:C,C81)+SUMIFS(P:P,D:D,"&lt;="&amp;D81,C:C,C81))</f>
        <v>0</v>
      </c>
      <c r="AM81" s="111">
        <f t="shared" si="19"/>
        <v>0</v>
      </c>
      <c r="AN81" s="111">
        <f t="shared" si="37"/>
        <v>0</v>
      </c>
      <c r="AO81" s="204" t="str">
        <f t="shared" si="24"/>
        <v/>
      </c>
    </row>
    <row r="82" spans="1:41" x14ac:dyDescent="0.25">
      <c r="A82" s="103" t="str">
        <f>Start!D$7</f>
        <v>Anyland</v>
      </c>
      <c r="B82" s="109" t="str">
        <f>VLOOKUP(A82,list!B:C,2,FALSE)</f>
        <v>ANY</v>
      </c>
      <c r="C82" s="104" t="str">
        <f>IF(Start!$C$19="","",Start!$C$19)</f>
        <v>Moderna</v>
      </c>
      <c r="D82" s="298">
        <f t="shared" si="15"/>
        <v>44348</v>
      </c>
      <c r="E82" s="105" t="str">
        <f>IFERROR(VLOOKUP(C82,Start!C$15:D$31,2,FALSE),"No")</f>
        <v>No</v>
      </c>
      <c r="F82" s="105">
        <f t="shared" si="16"/>
        <v>0</v>
      </c>
      <c r="G82" s="106"/>
      <c r="H82" s="106"/>
      <c r="I82" s="106"/>
      <c r="J82" s="105">
        <f t="shared" si="30"/>
        <v>0</v>
      </c>
      <c r="K82" s="106"/>
      <c r="L82" s="177" t="str">
        <f t="shared" si="31"/>
        <v/>
      </c>
      <c r="M82" s="105">
        <f t="shared" si="32"/>
        <v>0</v>
      </c>
      <c r="N82" s="110"/>
      <c r="O82" s="124"/>
      <c r="P82" s="110"/>
      <c r="Q82" s="124"/>
      <c r="R82" s="111">
        <f>SUMIFS('Shipments data'!L:L,'Shipments data'!F:F,'Supply planning data'!C82,'Shipments data'!A:A,'Supply planning data'!A82,'Shipments data'!Y:Y,'Supply planning data'!D82,'Shipments data'!O:O,"received", 'Shipments data'!N:N, "Public")</f>
        <v>0</v>
      </c>
      <c r="S82" s="111">
        <f>SUMIFS('Shipments data'!L:L,'Shipments data'!F:F,'Supply planning data'!C82,'Shipments data'!A:A,'Supply planning data'!A82,'Shipments data'!Y:Y,'Supply planning data'!D82,'Shipments data'!O:O,"ordered", 'Shipments data'!N:N, "Public")</f>
        <v>0</v>
      </c>
      <c r="T82" s="111">
        <f>IF(SUMIFS('Shipments data'!L:L,'Shipments data'!F:F,'Supply planning data'!C82,'Shipments data'!A:A,'Supply planning data'!A82,'Shipments data'!O:O,"received",'Shipments data'!Q:Q,"&lt;"&amp;'Supply planning data'!D97,'Shipments data'!AC:AC,"&lt;"&amp;'Supply planning data'!D97)-SUMIFS(M:M,D:D,"&lt;="&amp;D82,C:C,C82)+SUMIFS(N:N,D:D,"&lt;="&amp;D82,C:C,C82)+SUMIFS(P:P,D:D,"&lt;="&amp;D82,C:C,C82)&lt;0,0,SUMIFS('Shipments data'!L:L,'Shipments data'!F:F,'Supply planning data'!C82,'Shipments data'!A:A,'Supply planning data'!A82,'Shipments data'!O:O,"received",'Shipments data'!Q:Q,"&lt;"&amp;'Supply planning data'!D97,'Shipments data'!AC:AC,"&lt;"&amp;'Supply planning data'!D97)-SUMIFS(M:M,D:D,"&lt;="&amp;D82,C:C,C82)+SUMIFS(N:N,D:D,"&lt;="&amp;D82,C:C,C82)+SUMIFS(P:P,D:D,"&lt;="&amp;D82,C:C,C82))</f>
        <v>0</v>
      </c>
      <c r="U82" s="112">
        <f t="shared" si="17"/>
        <v>0</v>
      </c>
      <c r="V82" s="111">
        <f t="shared" si="33"/>
        <v>0</v>
      </c>
      <c r="W82" s="204" t="str">
        <f t="shared" si="23"/>
        <v/>
      </c>
      <c r="X82" s="111">
        <f t="shared" si="20"/>
        <v>0</v>
      </c>
      <c r="Y82" s="110"/>
      <c r="Z82" s="107"/>
      <c r="AA82" s="111">
        <f t="shared" si="34"/>
        <v>0</v>
      </c>
      <c r="AB82" s="235"/>
      <c r="AC82" s="111">
        <f>IF(SUMIFS('Shipments data'!L:L,'Shipments data'!F:F,'Supply planning data'!C82,'Shipments data'!A:A,'Supply planning data'!A82,'Shipments data'!O:O,"received",'Shipments data'!Q:Q,"&lt;"&amp;'Supply planning data'!D97,'Shipments data'!AC:AC,"&lt;"&amp;'Supply planning data'!D97)-SUMIFS(M:M,D:D,"&lt;="&amp;D82,C:C,C82)-SUMIFS(AA:AA,D:D,"&lt;="&amp;D82,C:C,C82)+SUMIFS(N:N,D:D,"&lt;="&amp;D82,C:C,C82)+SUMIFS(P:P,D:D,"&lt;="&amp;D82,C:C,C82)&lt;0,0,SUMIFS('Shipments data'!L:L,'Shipments data'!F:F,'Supply planning data'!C82,'Shipments data'!A:A,'Supply planning data'!A82,'Shipments data'!O:O,"received",'Shipments data'!Q:Q,"&lt;"&amp;'Supply planning data'!D97,'Shipments data'!AC:AC,"&lt;"&amp;'Supply planning data'!D97)-SUMIFS(M:M,D:D,"&lt;="&amp;D82,C:C,C82)-SUMIFS(AA:AA,D:D,"&lt;="&amp;D82,C:C,C82)+SUMIFS(N:N,D:D,"&lt;="&amp;D82,C:C,C82)+SUMIFS(P:P,D:D,"&lt;="&amp;D82,C:C,C82))</f>
        <v>0</v>
      </c>
      <c r="AD82" s="111">
        <f t="shared" si="21"/>
        <v>0</v>
      </c>
      <c r="AE82" s="111">
        <f t="shared" si="36"/>
        <v>0</v>
      </c>
      <c r="AF82" s="204" t="str">
        <f t="shared" ref="AF82:AF93" si="38">IF(M82+AA82&lt;=0,"",IFERROR(AE82/(SUM(M82,M112,M97,AA82,AA112,AA97)/3),""))</f>
        <v/>
      </c>
      <c r="AG82" s="111">
        <f t="shared" si="18"/>
        <v>0</v>
      </c>
      <c r="AH82" s="110"/>
      <c r="AI82" s="313"/>
      <c r="AJ82" s="111">
        <f t="shared" si="35"/>
        <v>0</v>
      </c>
      <c r="AK82" s="235"/>
      <c r="AL82" s="111">
        <f>IF(SUMIFS('Shipments data'!L:L,'Shipments data'!F:F,'Supply planning data'!C82,'Shipments data'!A:A,'Supply planning data'!A82,'Shipments data'!O:O,"received",'Shipments data'!Q:Q,"&lt;"&amp;'Supply planning data'!D97,'Shipments data'!AC:AC,"&lt;"&amp;'Supply planning data'!D97)-SUMIFS(M:M,D:D,"&lt;="&amp;D82,C:C,C82)-SUMIFS(AJ:AJ,D:D,"&lt;="&amp;D82,C:C,C82)+SUMIFS(N:N,D:D,"&lt;="&amp;D82,C:C,C82)+SUMIFS(P:P,D:D,"&lt;="&amp;D82,C:C,C82)&lt;0,0,SUMIFS('Shipments data'!L:L,'Shipments data'!F:F,'Supply planning data'!C82,'Shipments data'!A:A,'Supply planning data'!A82,'Shipments data'!O:O,"received",'Shipments data'!Q:Q,"&lt;"&amp;'Supply planning data'!D97,'Shipments data'!AC:AC,"&lt;"&amp;'Supply planning data'!D97)-SUMIFS(M:M,D:D,"&lt;="&amp;D82,C:C,C82)-SUMIFS(AJ:AJ,D:D,"&lt;="&amp;D82,C:C,C82)+SUMIFS(N:N,D:D,"&lt;="&amp;D82,C:C,C82)+SUMIFS(P:P,D:D,"&lt;="&amp;D82,C:C,C82))</f>
        <v>0</v>
      </c>
      <c r="AM82" s="111">
        <f t="shared" si="19"/>
        <v>0</v>
      </c>
      <c r="AN82" s="111">
        <f t="shared" si="37"/>
        <v>0</v>
      </c>
      <c r="AO82" s="204" t="str">
        <f t="shared" si="24"/>
        <v/>
      </c>
    </row>
    <row r="83" spans="1:41" x14ac:dyDescent="0.25">
      <c r="A83" s="103" t="str">
        <f>Start!D$7</f>
        <v>Anyland</v>
      </c>
      <c r="B83" s="109" t="str">
        <f>VLOOKUP(A83,list!B:C,2,FALSE)</f>
        <v>ANY</v>
      </c>
      <c r="C83" s="109" t="str">
        <f>IF(Start!$C$20="","",Start!$C$20)</f>
        <v>Pfizer</v>
      </c>
      <c r="D83" s="298">
        <f t="shared" si="15"/>
        <v>44348</v>
      </c>
      <c r="E83" s="105" t="str">
        <f>IFERROR(VLOOKUP(C83,Start!C$15:D$31,2,FALSE),"No")</f>
        <v>Yes</v>
      </c>
      <c r="F83" s="105">
        <f t="shared" si="16"/>
        <v>0</v>
      </c>
      <c r="G83" s="106"/>
      <c r="H83" s="106"/>
      <c r="I83" s="106"/>
      <c r="J83" s="105">
        <f t="shared" si="30"/>
        <v>0</v>
      </c>
      <c r="K83" s="106"/>
      <c r="L83" s="177" t="str">
        <f t="shared" si="31"/>
        <v/>
      </c>
      <c r="M83" s="105">
        <f t="shared" si="32"/>
        <v>0</v>
      </c>
      <c r="N83" s="110"/>
      <c r="O83" s="124"/>
      <c r="P83" s="110"/>
      <c r="Q83" s="124"/>
      <c r="R83" s="111">
        <f>SUMIFS('Shipments data'!L:L,'Shipments data'!F:F,'Supply planning data'!C83,'Shipments data'!A:A,'Supply planning data'!A83,'Shipments data'!Y:Y,'Supply planning data'!D83,'Shipments data'!O:O,"received", 'Shipments data'!N:N, "Public")</f>
        <v>0</v>
      </c>
      <c r="S83" s="111">
        <f>SUMIFS('Shipments data'!L:L,'Shipments data'!F:F,'Supply planning data'!C83,'Shipments data'!A:A,'Supply planning data'!A83,'Shipments data'!Y:Y,'Supply planning data'!D83,'Shipments data'!O:O,"ordered", 'Shipments data'!N:N, "Public")</f>
        <v>0</v>
      </c>
      <c r="T83" s="111">
        <f>IF(SUMIFS('Shipments data'!L:L,'Shipments data'!F:F,'Supply planning data'!C83,'Shipments data'!A:A,'Supply planning data'!A83,'Shipments data'!O:O,"received",'Shipments data'!Q:Q,"&lt;"&amp;'Supply planning data'!D98,'Shipments data'!AC:AC,"&lt;"&amp;'Supply planning data'!D98)-SUMIFS(M:M,D:D,"&lt;="&amp;D83,C:C,C83)+SUMIFS(N:N,D:D,"&lt;="&amp;D83,C:C,C83)+SUMIFS(P:P,D:D,"&lt;="&amp;D83,C:C,C83)&lt;0,0,SUMIFS('Shipments data'!L:L,'Shipments data'!F:F,'Supply planning data'!C83,'Shipments data'!A:A,'Supply planning data'!A83,'Shipments data'!O:O,"received",'Shipments data'!Q:Q,"&lt;"&amp;'Supply planning data'!D98,'Shipments data'!AC:AC,"&lt;"&amp;'Supply planning data'!D98)-SUMIFS(M:M,D:D,"&lt;="&amp;D83,C:C,C83)+SUMIFS(N:N,D:D,"&lt;="&amp;D83,C:C,C83)+SUMIFS(P:P,D:D,"&lt;="&amp;D83,C:C,C83))</f>
        <v>0</v>
      </c>
      <c r="U83" s="112">
        <f t="shared" si="17"/>
        <v>0</v>
      </c>
      <c r="V83" s="111">
        <f t="shared" si="33"/>
        <v>0</v>
      </c>
      <c r="W83" s="204" t="str">
        <f t="shared" si="23"/>
        <v/>
      </c>
      <c r="X83" s="111">
        <f t="shared" si="20"/>
        <v>0</v>
      </c>
      <c r="Y83" s="110"/>
      <c r="Z83" s="107"/>
      <c r="AA83" s="111">
        <f t="shared" si="34"/>
        <v>0</v>
      </c>
      <c r="AB83" s="235"/>
      <c r="AC83" s="111">
        <f>IF(SUMIFS('Shipments data'!L:L,'Shipments data'!F:F,'Supply planning data'!C83,'Shipments data'!A:A,'Supply planning data'!A83,'Shipments data'!O:O,"received",'Shipments data'!Q:Q,"&lt;"&amp;'Supply planning data'!D98,'Shipments data'!AC:AC,"&lt;"&amp;'Supply planning data'!D98)-SUMIFS(M:M,D:D,"&lt;="&amp;D83,C:C,C83)-SUMIFS(AA:AA,D:D,"&lt;="&amp;D83,C:C,C83)+SUMIFS(N:N,D:D,"&lt;="&amp;D83,C:C,C83)+SUMIFS(P:P,D:D,"&lt;="&amp;D83,C:C,C83)&lt;0,0,SUMIFS('Shipments data'!L:L,'Shipments data'!F:F,'Supply planning data'!C83,'Shipments data'!A:A,'Supply planning data'!A83,'Shipments data'!O:O,"received",'Shipments data'!Q:Q,"&lt;"&amp;'Supply planning data'!D98,'Shipments data'!AC:AC,"&lt;"&amp;'Supply planning data'!D98)-SUMIFS(M:M,D:D,"&lt;="&amp;D83,C:C,C83)-SUMIFS(AA:AA,D:D,"&lt;="&amp;D83,C:C,C83)+SUMIFS(N:N,D:D,"&lt;="&amp;D83,C:C,C83)+SUMIFS(P:P,D:D,"&lt;="&amp;D83,C:C,C83))</f>
        <v>0</v>
      </c>
      <c r="AD83" s="111">
        <f t="shared" si="21"/>
        <v>0</v>
      </c>
      <c r="AE83" s="111">
        <f t="shared" si="36"/>
        <v>0</v>
      </c>
      <c r="AF83" s="204" t="str">
        <f t="shared" si="38"/>
        <v/>
      </c>
      <c r="AG83" s="111">
        <f t="shared" si="18"/>
        <v>0</v>
      </c>
      <c r="AH83" s="110"/>
      <c r="AI83" s="313"/>
      <c r="AJ83" s="111">
        <f t="shared" si="35"/>
        <v>0</v>
      </c>
      <c r="AK83" s="235"/>
      <c r="AL83" s="111">
        <f>IF(SUMIFS('Shipments data'!L:L,'Shipments data'!F:F,'Supply planning data'!C83,'Shipments data'!A:A,'Supply planning data'!A83,'Shipments data'!O:O,"received",'Shipments data'!Q:Q,"&lt;"&amp;'Supply planning data'!D98,'Shipments data'!AC:AC,"&lt;"&amp;'Supply planning data'!D98)-SUMIFS(M:M,D:D,"&lt;="&amp;D83,C:C,C83)-SUMIFS(AJ:AJ,D:D,"&lt;="&amp;D83,C:C,C83)+SUMIFS(N:N,D:D,"&lt;="&amp;D83,C:C,C83)+SUMIFS(P:P,D:D,"&lt;="&amp;D83,C:C,C83)&lt;0,0,SUMIFS('Shipments data'!L:L,'Shipments data'!F:F,'Supply planning data'!C83,'Shipments data'!A:A,'Supply planning data'!A83,'Shipments data'!O:O,"received",'Shipments data'!Q:Q,"&lt;"&amp;'Supply planning data'!D98,'Shipments data'!AC:AC,"&lt;"&amp;'Supply planning data'!D98)-SUMIFS(M:M,D:D,"&lt;="&amp;D83,C:C,C83)-SUMIFS(AJ:AJ,D:D,"&lt;="&amp;D83,C:C,C83)+SUMIFS(N:N,D:D,"&lt;="&amp;D83,C:C,C83)+SUMIFS(P:P,D:D,"&lt;="&amp;D83,C:C,C83))</f>
        <v>0</v>
      </c>
      <c r="AM83" s="111">
        <f t="shared" si="19"/>
        <v>0</v>
      </c>
      <c r="AN83" s="111">
        <f t="shared" si="37"/>
        <v>0</v>
      </c>
      <c r="AO83" s="204" t="str">
        <f t="shared" si="24"/>
        <v/>
      </c>
    </row>
    <row r="84" spans="1:41" x14ac:dyDescent="0.25">
      <c r="A84" s="103" t="str">
        <f>Start!D$7</f>
        <v>Anyland</v>
      </c>
      <c r="B84" s="109" t="str">
        <f>VLOOKUP(A84,list!B:C,2,FALSE)</f>
        <v>ANY</v>
      </c>
      <c r="C84" s="104" t="str">
        <f>IF(Start!$C$21="","",Start!$C$21)</f>
        <v>Sinovac</v>
      </c>
      <c r="D84" s="298">
        <f t="shared" ref="D84:D147" si="39">DATE(YEAR(D69),MONTH(D69)+1,1)</f>
        <v>44348</v>
      </c>
      <c r="E84" s="105" t="str">
        <f>IFERROR(VLOOKUP(C84,Start!C$15:D$31,2,FALSE),"No")</f>
        <v>No</v>
      </c>
      <c r="F84" s="105">
        <f t="shared" ref="F84:F147" si="40">V69</f>
        <v>0</v>
      </c>
      <c r="G84" s="106"/>
      <c r="H84" s="106"/>
      <c r="I84" s="106"/>
      <c r="J84" s="105">
        <f t="shared" si="30"/>
        <v>0</v>
      </c>
      <c r="K84" s="106"/>
      <c r="L84" s="177" t="str">
        <f t="shared" si="31"/>
        <v/>
      </c>
      <c r="M84" s="105">
        <f t="shared" si="32"/>
        <v>0</v>
      </c>
      <c r="N84" s="110"/>
      <c r="O84" s="124"/>
      <c r="P84" s="110"/>
      <c r="Q84" s="124"/>
      <c r="R84" s="111">
        <f>SUMIFS('Shipments data'!L:L,'Shipments data'!F:F,'Supply planning data'!C84,'Shipments data'!A:A,'Supply planning data'!A84,'Shipments data'!Y:Y,'Supply planning data'!D84,'Shipments data'!O:O,"received", 'Shipments data'!N:N, "Public")</f>
        <v>0</v>
      </c>
      <c r="S84" s="111">
        <f>SUMIFS('Shipments data'!L:L,'Shipments data'!F:F,'Supply planning data'!C84,'Shipments data'!A:A,'Supply planning data'!A84,'Shipments data'!Y:Y,'Supply planning data'!D84,'Shipments data'!O:O,"ordered", 'Shipments data'!N:N, "Public")</f>
        <v>0</v>
      </c>
      <c r="T84" s="111">
        <f>IF(SUMIFS('Shipments data'!L:L,'Shipments data'!F:F,'Supply planning data'!C84,'Shipments data'!A:A,'Supply planning data'!A84,'Shipments data'!O:O,"received",'Shipments data'!Q:Q,"&lt;"&amp;'Supply planning data'!D99,'Shipments data'!AC:AC,"&lt;"&amp;'Supply planning data'!D99)-SUMIFS(M:M,D:D,"&lt;="&amp;D84,C:C,C84)+SUMIFS(N:N,D:D,"&lt;="&amp;D84,C:C,C84)+SUMIFS(P:P,D:D,"&lt;="&amp;D84,C:C,C84)&lt;0,0,SUMIFS('Shipments data'!L:L,'Shipments data'!F:F,'Supply planning data'!C84,'Shipments data'!A:A,'Supply planning data'!A84,'Shipments data'!O:O,"received",'Shipments data'!Q:Q,"&lt;"&amp;'Supply planning data'!D99,'Shipments data'!AC:AC,"&lt;"&amp;'Supply planning data'!D99)-SUMIFS(M:M,D:D,"&lt;="&amp;D84,C:C,C84)+SUMIFS(N:N,D:D,"&lt;="&amp;D84,C:C,C84)+SUMIFS(P:P,D:D,"&lt;="&amp;D84,C:C,C84))</f>
        <v>0</v>
      </c>
      <c r="U84" s="112">
        <f t="shared" ref="U84:U147" si="41">IF(T84-T69&lt;0,0,T84-T69)</f>
        <v>0</v>
      </c>
      <c r="V84" s="111">
        <f t="shared" si="33"/>
        <v>0</v>
      </c>
      <c r="W84" s="204" t="str">
        <f t="shared" si="23"/>
        <v/>
      </c>
      <c r="X84" s="111">
        <f t="shared" ref="X84:X147" si="42">AE69</f>
        <v>0</v>
      </c>
      <c r="Y84" s="110"/>
      <c r="Z84" s="107"/>
      <c r="AA84" s="111">
        <f t="shared" si="34"/>
        <v>0</v>
      </c>
      <c r="AB84" s="235"/>
      <c r="AC84" s="111">
        <f>IF(SUMIFS('Shipments data'!L:L,'Shipments data'!F:F,'Supply planning data'!C84,'Shipments data'!A:A,'Supply planning data'!A84,'Shipments data'!O:O,"received",'Shipments data'!Q:Q,"&lt;"&amp;'Supply planning data'!D99,'Shipments data'!AC:AC,"&lt;"&amp;'Supply planning data'!D99)-SUMIFS(M:M,D:D,"&lt;="&amp;D84,C:C,C84)-SUMIFS(AA:AA,D:D,"&lt;="&amp;D84,C:C,C84)+SUMIFS(N:N,D:D,"&lt;="&amp;D84,C:C,C84)+SUMIFS(P:P,D:D,"&lt;="&amp;D84,C:C,C84)&lt;0,0,SUMIFS('Shipments data'!L:L,'Shipments data'!F:F,'Supply planning data'!C84,'Shipments data'!A:A,'Supply planning data'!A84,'Shipments data'!O:O,"received",'Shipments data'!Q:Q,"&lt;"&amp;'Supply planning data'!D99,'Shipments data'!AC:AC,"&lt;"&amp;'Supply planning data'!D99)-SUMIFS(M:M,D:D,"&lt;="&amp;D84,C:C,C84)-SUMIFS(AA:AA,D:D,"&lt;="&amp;D84,C:C,C84)+SUMIFS(N:N,D:D,"&lt;="&amp;D84,C:C,C84)+SUMIFS(P:P,D:D,"&lt;="&amp;D84,C:C,C84))</f>
        <v>0</v>
      </c>
      <c r="AD84" s="111">
        <f t="shared" ref="AD84:AD147" si="43">IF(AC84-AC69&lt;0,0,AC84-AC69)</f>
        <v>0</v>
      </c>
      <c r="AE84" s="111">
        <f t="shared" si="36"/>
        <v>0</v>
      </c>
      <c r="AF84" s="204" t="str">
        <f t="shared" si="38"/>
        <v/>
      </c>
      <c r="AG84" s="111">
        <f t="shared" ref="AG84:AG147" si="44">AN69</f>
        <v>0</v>
      </c>
      <c r="AH84" s="110"/>
      <c r="AI84" s="313"/>
      <c r="AJ84" s="111">
        <f t="shared" si="35"/>
        <v>0</v>
      </c>
      <c r="AK84" s="235"/>
      <c r="AL84" s="111">
        <f>IF(SUMIFS('Shipments data'!L:L,'Shipments data'!F:F,'Supply planning data'!C84,'Shipments data'!A:A,'Supply planning data'!A84,'Shipments data'!O:O,"received",'Shipments data'!Q:Q,"&lt;"&amp;'Supply planning data'!D99,'Shipments data'!AC:AC,"&lt;"&amp;'Supply planning data'!D99)-SUMIFS(M:M,D:D,"&lt;="&amp;D84,C:C,C84)-SUMIFS(AJ:AJ,D:D,"&lt;="&amp;D84,C:C,C84)+SUMIFS(N:N,D:D,"&lt;="&amp;D84,C:C,C84)+SUMIFS(P:P,D:D,"&lt;="&amp;D84,C:C,C84)&lt;0,0,SUMIFS('Shipments data'!L:L,'Shipments data'!F:F,'Supply planning data'!C84,'Shipments data'!A:A,'Supply planning data'!A84,'Shipments data'!O:O,"received",'Shipments data'!Q:Q,"&lt;"&amp;'Supply planning data'!D99,'Shipments data'!AC:AC,"&lt;"&amp;'Supply planning data'!D99)-SUMIFS(M:M,D:D,"&lt;="&amp;D84,C:C,C84)-SUMIFS(AJ:AJ,D:D,"&lt;="&amp;D84,C:C,C84)+SUMIFS(N:N,D:D,"&lt;="&amp;D84,C:C,C84)+SUMIFS(P:P,D:D,"&lt;="&amp;D84,C:C,C84))</f>
        <v>0</v>
      </c>
      <c r="AM84" s="111">
        <f t="shared" ref="AM84:AM147" si="45">IF(AL84-AL69&lt;0,0,AL84-AL69)</f>
        <v>0</v>
      </c>
      <c r="AN84" s="111">
        <f t="shared" si="37"/>
        <v>0</v>
      </c>
      <c r="AO84" s="204" t="str">
        <f t="shared" si="24"/>
        <v/>
      </c>
    </row>
    <row r="85" spans="1:41" hidden="1" x14ac:dyDescent="0.25">
      <c r="A85" s="103" t="str">
        <f>Start!D$7</f>
        <v>Anyland</v>
      </c>
      <c r="B85" s="109" t="str">
        <f>VLOOKUP(A85,list!B:C,2,FALSE)</f>
        <v>ANY</v>
      </c>
      <c r="C85" s="109" t="str">
        <f>IF(Start!$C$22="","",Start!$C$22)</f>
        <v/>
      </c>
      <c r="D85" s="298">
        <f t="shared" si="39"/>
        <v>44348</v>
      </c>
      <c r="E85" s="105" t="str">
        <f>IFERROR(VLOOKUP(C85,Start!C$15:D$31,2,FALSE),"No")</f>
        <v>No</v>
      </c>
      <c r="F85" s="105">
        <f t="shared" si="40"/>
        <v>0</v>
      </c>
      <c r="G85" s="106"/>
      <c r="H85" s="106"/>
      <c r="I85" s="106"/>
      <c r="J85" s="105">
        <f t="shared" si="30"/>
        <v>0</v>
      </c>
      <c r="K85" s="106"/>
      <c r="L85" s="177" t="str">
        <f t="shared" si="31"/>
        <v/>
      </c>
      <c r="M85" s="105">
        <f t="shared" si="32"/>
        <v>0</v>
      </c>
      <c r="N85" s="110"/>
      <c r="O85" s="124"/>
      <c r="P85" s="110"/>
      <c r="Q85" s="124"/>
      <c r="R85" s="111">
        <f>SUMIFS('Shipments data'!L:L,'Shipments data'!F:F,'Supply planning data'!C85,'Shipments data'!A:A,'Supply planning data'!A85,'Shipments data'!Y:Y,'Supply planning data'!D85,'Shipments data'!O:O,"received", 'Shipments data'!N:N, "Public")</f>
        <v>0</v>
      </c>
      <c r="S85" s="111">
        <f>SUMIFS('Shipments data'!L:L,'Shipments data'!F:F,'Supply planning data'!C85,'Shipments data'!A:A,'Supply planning data'!A85,'Shipments data'!Y:Y,'Supply planning data'!D85,'Shipments data'!O:O,"ordered", 'Shipments data'!N:N, "Public")</f>
        <v>0</v>
      </c>
      <c r="T85" s="111">
        <f>IF(SUMIFS('Shipments data'!L:L,'Shipments data'!F:F,'Supply planning data'!C85,'Shipments data'!A:A,'Supply planning data'!A85,'Shipments data'!O:O,"received",'Shipments data'!Q:Q,"&lt;"&amp;'Supply planning data'!D100,'Shipments data'!AC:AC,"&lt;"&amp;'Supply planning data'!D100)-SUMIFS(M:M,D:D,"&lt;="&amp;D85,C:C,C85)+SUMIFS(N:N,D:D,"&lt;="&amp;D85,C:C,C85)+SUMIFS(P:P,D:D,"&lt;="&amp;D85,C:C,C85)&lt;0,0,SUMIFS('Shipments data'!L:L,'Shipments data'!F:F,'Supply planning data'!C85,'Shipments data'!A:A,'Supply planning data'!A85,'Shipments data'!O:O,"received",'Shipments data'!Q:Q,"&lt;"&amp;'Supply planning data'!D100,'Shipments data'!AC:AC,"&lt;"&amp;'Supply planning data'!D100)-SUMIFS(M:M,D:D,"&lt;="&amp;D85,C:C,C85)+SUMIFS(N:N,D:D,"&lt;="&amp;D85,C:C,C85)+SUMIFS(P:P,D:D,"&lt;="&amp;D85,C:C,C85))</f>
        <v>0</v>
      </c>
      <c r="U85" s="112">
        <f t="shared" si="41"/>
        <v>0</v>
      </c>
      <c r="V85" s="111">
        <f t="shared" si="33"/>
        <v>0</v>
      </c>
      <c r="W85" s="204" t="str">
        <f t="shared" si="23"/>
        <v/>
      </c>
      <c r="X85" s="111">
        <f t="shared" si="42"/>
        <v>0</v>
      </c>
      <c r="Y85" s="110"/>
      <c r="Z85" s="107"/>
      <c r="AA85" s="111">
        <f t="shared" si="34"/>
        <v>0</v>
      </c>
      <c r="AB85" s="235"/>
      <c r="AC85" s="111">
        <f>IF(SUMIFS('Shipments data'!L:L,'Shipments data'!F:F,'Supply planning data'!C85,'Shipments data'!A:A,'Supply planning data'!A85,'Shipments data'!O:O,"received",'Shipments data'!Q:Q,"&lt;"&amp;'Supply planning data'!D100,'Shipments data'!AC:AC,"&lt;"&amp;'Supply planning data'!D100)-SUMIFS(M:M,D:D,"&lt;="&amp;D85,C:C,C85)-SUMIFS(AA:AA,D:D,"&lt;="&amp;D85,C:C,C85)+SUMIFS(N:N,D:D,"&lt;="&amp;D85,C:C,C85)+SUMIFS(P:P,D:D,"&lt;="&amp;D85,C:C,C85)&lt;0,0,SUMIFS('Shipments data'!L:L,'Shipments data'!F:F,'Supply planning data'!C85,'Shipments data'!A:A,'Supply planning data'!A85,'Shipments data'!O:O,"received",'Shipments data'!Q:Q,"&lt;"&amp;'Supply planning data'!D100,'Shipments data'!AC:AC,"&lt;"&amp;'Supply planning data'!D100)-SUMIFS(M:M,D:D,"&lt;="&amp;D85,C:C,C85)-SUMIFS(AA:AA,D:D,"&lt;="&amp;D85,C:C,C85)+SUMIFS(N:N,D:D,"&lt;="&amp;D85,C:C,C85)+SUMIFS(P:P,D:D,"&lt;="&amp;D85,C:C,C85))</f>
        <v>0</v>
      </c>
      <c r="AD85" s="111">
        <f t="shared" si="43"/>
        <v>0</v>
      </c>
      <c r="AE85" s="111">
        <f t="shared" si="36"/>
        <v>0</v>
      </c>
      <c r="AF85" s="204" t="str">
        <f t="shared" si="38"/>
        <v/>
      </c>
      <c r="AG85" s="111">
        <f t="shared" si="44"/>
        <v>0</v>
      </c>
      <c r="AH85" s="110"/>
      <c r="AI85" s="313"/>
      <c r="AJ85" s="111">
        <f t="shared" si="35"/>
        <v>0</v>
      </c>
      <c r="AK85" s="235"/>
      <c r="AL85" s="111">
        <f>IF(SUMIFS('Shipments data'!L:L,'Shipments data'!F:F,'Supply planning data'!C85,'Shipments data'!A:A,'Supply planning data'!A85,'Shipments data'!O:O,"received",'Shipments data'!Q:Q,"&lt;"&amp;'Supply planning data'!D100,'Shipments data'!AC:AC,"&lt;"&amp;'Supply planning data'!D100)-SUMIFS(M:M,D:D,"&lt;="&amp;D85,C:C,C85)-SUMIFS(AJ:AJ,D:D,"&lt;="&amp;D85,C:C,C85)+SUMIFS(N:N,D:D,"&lt;="&amp;D85,C:C,C85)+SUMIFS(P:P,D:D,"&lt;="&amp;D85,C:C,C85)&lt;0,0,SUMIFS('Shipments data'!L:L,'Shipments data'!F:F,'Supply planning data'!C85,'Shipments data'!A:A,'Supply planning data'!A85,'Shipments data'!O:O,"received",'Shipments data'!Q:Q,"&lt;"&amp;'Supply planning data'!D100,'Shipments data'!AC:AC,"&lt;"&amp;'Supply planning data'!D100)-SUMIFS(M:M,D:D,"&lt;="&amp;D85,C:C,C85)-SUMIFS(AJ:AJ,D:D,"&lt;="&amp;D85,C:C,C85)+SUMIFS(N:N,D:D,"&lt;="&amp;D85,C:C,C85)+SUMIFS(P:P,D:D,"&lt;="&amp;D85,C:C,C85))</f>
        <v>0</v>
      </c>
      <c r="AM85" s="111">
        <f t="shared" si="45"/>
        <v>0</v>
      </c>
      <c r="AN85" s="111">
        <f t="shared" si="37"/>
        <v>0</v>
      </c>
      <c r="AO85" s="204" t="str">
        <f t="shared" si="24"/>
        <v/>
      </c>
    </row>
    <row r="86" spans="1:41" hidden="1" x14ac:dyDescent="0.25">
      <c r="A86" s="103" t="str">
        <f>Start!D$7</f>
        <v>Anyland</v>
      </c>
      <c r="B86" s="109" t="str">
        <f>VLOOKUP(A86,list!B:C,2,FALSE)</f>
        <v>ANY</v>
      </c>
      <c r="C86" s="104" t="str">
        <f>IF(Start!$C$23="","",Start!$C$23)</f>
        <v/>
      </c>
      <c r="D86" s="298">
        <f t="shared" si="39"/>
        <v>44348</v>
      </c>
      <c r="E86" s="105" t="str">
        <f>IFERROR(VLOOKUP(C86,Start!C$15:D$31,2,FALSE),"No")</f>
        <v>No</v>
      </c>
      <c r="F86" s="105">
        <f t="shared" si="40"/>
        <v>0</v>
      </c>
      <c r="G86" s="106"/>
      <c r="H86" s="106"/>
      <c r="I86" s="106"/>
      <c r="J86" s="105">
        <f t="shared" si="30"/>
        <v>0</v>
      </c>
      <c r="K86" s="106"/>
      <c r="L86" s="177" t="str">
        <f t="shared" si="31"/>
        <v/>
      </c>
      <c r="M86" s="105">
        <f t="shared" si="32"/>
        <v>0</v>
      </c>
      <c r="N86" s="110"/>
      <c r="O86" s="124"/>
      <c r="P86" s="110"/>
      <c r="Q86" s="124"/>
      <c r="R86" s="111">
        <f>SUMIFS('Shipments data'!L:L,'Shipments data'!F:F,'Supply planning data'!C86,'Shipments data'!A:A,'Supply planning data'!A86,'Shipments data'!Y:Y,'Supply planning data'!D86,'Shipments data'!O:O,"received", 'Shipments data'!N:N, "Public")</f>
        <v>0</v>
      </c>
      <c r="S86" s="111">
        <f>SUMIFS('Shipments data'!L:L,'Shipments data'!F:F,'Supply planning data'!C86,'Shipments data'!A:A,'Supply planning data'!A86,'Shipments data'!Y:Y,'Supply planning data'!D86,'Shipments data'!O:O,"ordered", 'Shipments data'!N:N, "Public")</f>
        <v>0</v>
      </c>
      <c r="T86" s="111">
        <f>IF(SUMIFS('Shipments data'!L:L,'Shipments data'!F:F,'Supply planning data'!C86,'Shipments data'!A:A,'Supply planning data'!A86,'Shipments data'!O:O,"received",'Shipments data'!Q:Q,"&lt;"&amp;'Supply planning data'!D101,'Shipments data'!AC:AC,"&lt;"&amp;'Supply planning data'!D101)-SUMIFS(M:M,D:D,"&lt;="&amp;D86,C:C,C86)+SUMIFS(N:N,D:D,"&lt;="&amp;D86,C:C,C86)+SUMIFS(P:P,D:D,"&lt;="&amp;D86,C:C,C86)&lt;0,0,SUMIFS('Shipments data'!L:L,'Shipments data'!F:F,'Supply planning data'!C86,'Shipments data'!A:A,'Supply planning data'!A86,'Shipments data'!O:O,"received",'Shipments data'!Q:Q,"&lt;"&amp;'Supply planning data'!D101,'Shipments data'!AC:AC,"&lt;"&amp;'Supply planning data'!D101)-SUMIFS(M:M,D:D,"&lt;="&amp;D86,C:C,C86)+SUMIFS(N:N,D:D,"&lt;="&amp;D86,C:C,C86)+SUMIFS(P:P,D:D,"&lt;="&amp;D86,C:C,C86))</f>
        <v>0</v>
      </c>
      <c r="U86" s="112">
        <f t="shared" si="41"/>
        <v>0</v>
      </c>
      <c r="V86" s="111">
        <f t="shared" si="33"/>
        <v>0</v>
      </c>
      <c r="W86" s="204" t="str">
        <f t="shared" si="23"/>
        <v/>
      </c>
      <c r="X86" s="111">
        <f t="shared" si="42"/>
        <v>0</v>
      </c>
      <c r="Y86" s="110"/>
      <c r="Z86" s="107"/>
      <c r="AA86" s="111">
        <f t="shared" si="34"/>
        <v>0</v>
      </c>
      <c r="AB86" s="235"/>
      <c r="AC86" s="111">
        <f>IF(SUMIFS('Shipments data'!L:L,'Shipments data'!F:F,'Supply planning data'!C86,'Shipments data'!A:A,'Supply planning data'!A86,'Shipments data'!O:O,"received",'Shipments data'!Q:Q,"&lt;"&amp;'Supply planning data'!D101,'Shipments data'!AC:AC,"&lt;"&amp;'Supply planning data'!D101)-SUMIFS(M:M,D:D,"&lt;="&amp;D86,C:C,C86)-SUMIFS(AA:AA,D:D,"&lt;="&amp;D86,C:C,C86)+SUMIFS(N:N,D:D,"&lt;="&amp;D86,C:C,C86)+SUMIFS(P:P,D:D,"&lt;="&amp;D86,C:C,C86)&lt;0,0,SUMIFS('Shipments data'!L:L,'Shipments data'!F:F,'Supply planning data'!C86,'Shipments data'!A:A,'Supply planning data'!A86,'Shipments data'!O:O,"received",'Shipments data'!Q:Q,"&lt;"&amp;'Supply planning data'!D101,'Shipments data'!AC:AC,"&lt;"&amp;'Supply planning data'!D101)-SUMIFS(M:M,D:D,"&lt;="&amp;D86,C:C,C86)-SUMIFS(AA:AA,D:D,"&lt;="&amp;D86,C:C,C86)+SUMIFS(N:N,D:D,"&lt;="&amp;D86,C:C,C86)+SUMIFS(P:P,D:D,"&lt;="&amp;D86,C:C,C86))</f>
        <v>0</v>
      </c>
      <c r="AD86" s="111">
        <f t="shared" si="43"/>
        <v>0</v>
      </c>
      <c r="AE86" s="111">
        <f t="shared" si="36"/>
        <v>0</v>
      </c>
      <c r="AF86" s="204" t="str">
        <f t="shared" si="38"/>
        <v/>
      </c>
      <c r="AG86" s="111">
        <f t="shared" si="44"/>
        <v>0</v>
      </c>
      <c r="AH86" s="110"/>
      <c r="AI86" s="313"/>
      <c r="AJ86" s="111">
        <f t="shared" si="35"/>
        <v>0</v>
      </c>
      <c r="AK86" s="235"/>
      <c r="AL86" s="111">
        <f>IF(SUMIFS('Shipments data'!L:L,'Shipments data'!F:F,'Supply planning data'!C86,'Shipments data'!A:A,'Supply planning data'!A86,'Shipments data'!O:O,"received",'Shipments data'!Q:Q,"&lt;"&amp;'Supply planning data'!D101,'Shipments data'!AC:AC,"&lt;"&amp;'Supply planning data'!D101)-SUMIFS(M:M,D:D,"&lt;="&amp;D86,C:C,C86)-SUMIFS(AJ:AJ,D:D,"&lt;="&amp;D86,C:C,C86)+SUMIFS(N:N,D:D,"&lt;="&amp;D86,C:C,C86)+SUMIFS(P:P,D:D,"&lt;="&amp;D86,C:C,C86)&lt;0,0,SUMIFS('Shipments data'!L:L,'Shipments data'!F:F,'Supply planning data'!C86,'Shipments data'!A:A,'Supply planning data'!A86,'Shipments data'!O:O,"received",'Shipments data'!Q:Q,"&lt;"&amp;'Supply planning data'!D101,'Shipments data'!AC:AC,"&lt;"&amp;'Supply planning data'!D101)-SUMIFS(M:M,D:D,"&lt;="&amp;D86,C:C,C86)-SUMIFS(AJ:AJ,D:D,"&lt;="&amp;D86,C:C,C86)+SUMIFS(N:N,D:D,"&lt;="&amp;D86,C:C,C86)+SUMIFS(P:P,D:D,"&lt;="&amp;D86,C:C,C86))</f>
        <v>0</v>
      </c>
      <c r="AM86" s="111">
        <f t="shared" si="45"/>
        <v>0</v>
      </c>
      <c r="AN86" s="111">
        <f t="shared" si="37"/>
        <v>0</v>
      </c>
      <c r="AO86" s="204" t="str">
        <f t="shared" si="24"/>
        <v/>
      </c>
    </row>
    <row r="87" spans="1:41" hidden="1" x14ac:dyDescent="0.25">
      <c r="A87" s="103" t="str">
        <f>Start!D$7</f>
        <v>Anyland</v>
      </c>
      <c r="B87" s="109" t="str">
        <f>VLOOKUP(A87,list!B:C,2,FALSE)</f>
        <v>ANY</v>
      </c>
      <c r="C87" s="109" t="str">
        <f>IF(Start!$C$24="","",Start!$C$24)</f>
        <v/>
      </c>
      <c r="D87" s="298">
        <f t="shared" si="39"/>
        <v>44348</v>
      </c>
      <c r="E87" s="105" t="str">
        <f>IFERROR(VLOOKUP(C87,Start!C$15:D$31,2,FALSE),"No")</f>
        <v>No</v>
      </c>
      <c r="F87" s="105">
        <f t="shared" si="40"/>
        <v>0</v>
      </c>
      <c r="G87" s="106"/>
      <c r="H87" s="106"/>
      <c r="I87" s="106"/>
      <c r="J87" s="105">
        <f t="shared" si="30"/>
        <v>0</v>
      </c>
      <c r="K87" s="106"/>
      <c r="L87" s="177" t="str">
        <f t="shared" si="31"/>
        <v/>
      </c>
      <c r="M87" s="105">
        <f t="shared" si="32"/>
        <v>0</v>
      </c>
      <c r="N87" s="110"/>
      <c r="O87" s="124"/>
      <c r="P87" s="110"/>
      <c r="Q87" s="124"/>
      <c r="R87" s="111">
        <f>SUMIFS('Shipments data'!L:L,'Shipments data'!F:F,'Supply planning data'!C87,'Shipments data'!A:A,'Supply planning data'!A87,'Shipments data'!Y:Y,'Supply planning data'!D87,'Shipments data'!O:O,"received", 'Shipments data'!N:N, "Public")</f>
        <v>0</v>
      </c>
      <c r="S87" s="111">
        <f>SUMIFS('Shipments data'!L:L,'Shipments data'!F:F,'Supply planning data'!C87,'Shipments data'!A:A,'Supply planning data'!A87,'Shipments data'!Y:Y,'Supply planning data'!D87,'Shipments data'!O:O,"ordered", 'Shipments data'!N:N, "Public")</f>
        <v>0</v>
      </c>
      <c r="T87" s="111">
        <f>IF(SUMIFS('Shipments data'!L:L,'Shipments data'!F:F,'Supply planning data'!C87,'Shipments data'!A:A,'Supply planning data'!A87,'Shipments data'!O:O,"received",'Shipments data'!Q:Q,"&lt;"&amp;'Supply planning data'!D102,'Shipments data'!AC:AC,"&lt;"&amp;'Supply planning data'!D102)-SUMIFS(M:M,D:D,"&lt;="&amp;D87,C:C,C87)+SUMIFS(N:N,D:D,"&lt;="&amp;D87,C:C,C87)+SUMIFS(P:P,D:D,"&lt;="&amp;D87,C:C,C87)&lt;0,0,SUMIFS('Shipments data'!L:L,'Shipments data'!F:F,'Supply planning data'!C87,'Shipments data'!A:A,'Supply planning data'!A87,'Shipments data'!O:O,"received",'Shipments data'!Q:Q,"&lt;"&amp;'Supply planning data'!D102,'Shipments data'!AC:AC,"&lt;"&amp;'Supply planning data'!D102)-SUMIFS(M:M,D:D,"&lt;="&amp;D87,C:C,C87)+SUMIFS(N:N,D:D,"&lt;="&amp;D87,C:C,C87)+SUMIFS(P:P,D:D,"&lt;="&amp;D87,C:C,C87))</f>
        <v>0</v>
      </c>
      <c r="U87" s="112">
        <f t="shared" si="41"/>
        <v>0</v>
      </c>
      <c r="V87" s="111">
        <f t="shared" si="33"/>
        <v>0</v>
      </c>
      <c r="W87" s="204" t="str">
        <f t="shared" si="23"/>
        <v/>
      </c>
      <c r="X87" s="111">
        <f t="shared" si="42"/>
        <v>0</v>
      </c>
      <c r="Y87" s="110"/>
      <c r="Z87" s="107"/>
      <c r="AA87" s="111">
        <f t="shared" si="34"/>
        <v>0</v>
      </c>
      <c r="AB87" s="235"/>
      <c r="AC87" s="111">
        <f>IF(SUMIFS('Shipments data'!L:L,'Shipments data'!F:F,'Supply planning data'!C87,'Shipments data'!A:A,'Supply planning data'!A87,'Shipments data'!O:O,"received",'Shipments data'!Q:Q,"&lt;"&amp;'Supply planning data'!D102,'Shipments data'!AC:AC,"&lt;"&amp;'Supply planning data'!D102)-SUMIFS(M:M,D:D,"&lt;="&amp;D87,C:C,C87)-SUMIFS(AA:AA,D:D,"&lt;="&amp;D87,C:C,C87)+SUMIFS(N:N,D:D,"&lt;="&amp;D87,C:C,C87)+SUMIFS(P:P,D:D,"&lt;="&amp;D87,C:C,C87)&lt;0,0,SUMIFS('Shipments data'!L:L,'Shipments data'!F:F,'Supply planning data'!C87,'Shipments data'!A:A,'Supply planning data'!A87,'Shipments data'!O:O,"received",'Shipments data'!Q:Q,"&lt;"&amp;'Supply planning data'!D102,'Shipments data'!AC:AC,"&lt;"&amp;'Supply planning data'!D102)-SUMIFS(M:M,D:D,"&lt;="&amp;D87,C:C,C87)-SUMIFS(AA:AA,D:D,"&lt;="&amp;D87,C:C,C87)+SUMIFS(N:N,D:D,"&lt;="&amp;D87,C:C,C87)+SUMIFS(P:P,D:D,"&lt;="&amp;D87,C:C,C87))</f>
        <v>0</v>
      </c>
      <c r="AD87" s="111">
        <f t="shared" si="43"/>
        <v>0</v>
      </c>
      <c r="AE87" s="111">
        <f t="shared" si="36"/>
        <v>0</v>
      </c>
      <c r="AF87" s="204" t="str">
        <f t="shared" si="38"/>
        <v/>
      </c>
      <c r="AG87" s="111">
        <f t="shared" si="44"/>
        <v>0</v>
      </c>
      <c r="AH87" s="110"/>
      <c r="AI87" s="313"/>
      <c r="AJ87" s="111">
        <f t="shared" si="35"/>
        <v>0</v>
      </c>
      <c r="AK87" s="235"/>
      <c r="AL87" s="111">
        <f>IF(SUMIFS('Shipments data'!L:L,'Shipments data'!F:F,'Supply planning data'!C87,'Shipments data'!A:A,'Supply planning data'!A87,'Shipments data'!O:O,"received",'Shipments data'!Q:Q,"&lt;"&amp;'Supply planning data'!D102,'Shipments data'!AC:AC,"&lt;"&amp;'Supply planning data'!D102)-SUMIFS(M:M,D:D,"&lt;="&amp;D87,C:C,C87)-SUMIFS(AJ:AJ,D:D,"&lt;="&amp;D87,C:C,C87)+SUMIFS(N:N,D:D,"&lt;="&amp;D87,C:C,C87)+SUMIFS(P:P,D:D,"&lt;="&amp;D87,C:C,C87)&lt;0,0,SUMIFS('Shipments data'!L:L,'Shipments data'!F:F,'Supply planning data'!C87,'Shipments data'!A:A,'Supply planning data'!A87,'Shipments data'!O:O,"received",'Shipments data'!Q:Q,"&lt;"&amp;'Supply planning data'!D102,'Shipments data'!AC:AC,"&lt;"&amp;'Supply planning data'!D102)-SUMIFS(M:M,D:D,"&lt;="&amp;D87,C:C,C87)-SUMIFS(AJ:AJ,D:D,"&lt;="&amp;D87,C:C,C87)+SUMIFS(N:N,D:D,"&lt;="&amp;D87,C:C,C87)+SUMIFS(P:P,D:D,"&lt;="&amp;D87,C:C,C87))</f>
        <v>0</v>
      </c>
      <c r="AM87" s="111">
        <f t="shared" si="45"/>
        <v>0</v>
      </c>
      <c r="AN87" s="111">
        <f t="shared" si="37"/>
        <v>0</v>
      </c>
      <c r="AO87" s="204" t="str">
        <f t="shared" si="24"/>
        <v/>
      </c>
    </row>
    <row r="88" spans="1:41" hidden="1" x14ac:dyDescent="0.25">
      <c r="A88" s="103" t="str">
        <f>Start!D$7</f>
        <v>Anyland</v>
      </c>
      <c r="B88" s="109" t="str">
        <f>VLOOKUP(A88,list!B:C,2,FALSE)</f>
        <v>ANY</v>
      </c>
      <c r="C88" s="104" t="str">
        <f>IF(Start!$C$25="","",Start!$C$25)</f>
        <v/>
      </c>
      <c r="D88" s="298">
        <f t="shared" si="39"/>
        <v>44348</v>
      </c>
      <c r="E88" s="105" t="str">
        <f>IFERROR(VLOOKUP(C88,Start!C$15:D$31,2,FALSE),"No")</f>
        <v>No</v>
      </c>
      <c r="F88" s="105">
        <f t="shared" si="40"/>
        <v>0</v>
      </c>
      <c r="G88" s="106"/>
      <c r="H88" s="106"/>
      <c r="I88" s="106"/>
      <c r="J88" s="105">
        <f t="shared" si="30"/>
        <v>0</v>
      </c>
      <c r="K88" s="106"/>
      <c r="L88" s="177" t="str">
        <f t="shared" si="31"/>
        <v/>
      </c>
      <c r="M88" s="105">
        <f t="shared" si="32"/>
        <v>0</v>
      </c>
      <c r="N88" s="110"/>
      <c r="O88" s="124"/>
      <c r="P88" s="110"/>
      <c r="Q88" s="124"/>
      <c r="R88" s="111">
        <f>SUMIFS('Shipments data'!L:L,'Shipments data'!F:F,'Supply planning data'!C88,'Shipments data'!A:A,'Supply planning data'!A88,'Shipments data'!Y:Y,'Supply planning data'!D88,'Shipments data'!O:O,"received", 'Shipments data'!N:N, "Public")</f>
        <v>0</v>
      </c>
      <c r="S88" s="111">
        <f>SUMIFS('Shipments data'!L:L,'Shipments data'!F:F,'Supply planning data'!C88,'Shipments data'!A:A,'Supply planning data'!A88,'Shipments data'!Y:Y,'Supply planning data'!D88,'Shipments data'!O:O,"ordered", 'Shipments data'!N:N, "Public")</f>
        <v>0</v>
      </c>
      <c r="T88" s="111">
        <f>IF(SUMIFS('Shipments data'!L:L,'Shipments data'!F:F,'Supply planning data'!C88,'Shipments data'!A:A,'Supply planning data'!A88,'Shipments data'!O:O,"received",'Shipments data'!Q:Q,"&lt;"&amp;'Supply planning data'!D103,'Shipments data'!AC:AC,"&lt;"&amp;'Supply planning data'!D103)-SUMIFS(M:M,D:D,"&lt;="&amp;D88,C:C,C88)+SUMIFS(N:N,D:D,"&lt;="&amp;D88,C:C,C88)+SUMIFS(P:P,D:D,"&lt;="&amp;D88,C:C,C88)&lt;0,0,SUMIFS('Shipments data'!L:L,'Shipments data'!F:F,'Supply planning data'!C88,'Shipments data'!A:A,'Supply planning data'!A88,'Shipments data'!O:O,"received",'Shipments data'!Q:Q,"&lt;"&amp;'Supply planning data'!D103,'Shipments data'!AC:AC,"&lt;"&amp;'Supply planning data'!D103)-SUMIFS(M:M,D:D,"&lt;="&amp;D88,C:C,C88)+SUMIFS(N:N,D:D,"&lt;="&amp;D88,C:C,C88)+SUMIFS(P:P,D:D,"&lt;="&amp;D88,C:C,C88))</f>
        <v>0</v>
      </c>
      <c r="U88" s="112">
        <f t="shared" si="41"/>
        <v>0</v>
      </c>
      <c r="V88" s="111">
        <f t="shared" si="33"/>
        <v>0</v>
      </c>
      <c r="W88" s="204" t="str">
        <f t="shared" si="23"/>
        <v/>
      </c>
      <c r="X88" s="111">
        <f t="shared" si="42"/>
        <v>0</v>
      </c>
      <c r="Y88" s="110"/>
      <c r="Z88" s="107"/>
      <c r="AA88" s="111">
        <f t="shared" si="34"/>
        <v>0</v>
      </c>
      <c r="AB88" s="235"/>
      <c r="AC88" s="111">
        <f>IF(SUMIFS('Shipments data'!L:L,'Shipments data'!F:F,'Supply planning data'!C88,'Shipments data'!A:A,'Supply planning data'!A88,'Shipments data'!O:O,"received",'Shipments data'!Q:Q,"&lt;"&amp;'Supply planning data'!D103,'Shipments data'!AC:AC,"&lt;"&amp;'Supply planning data'!D103)-SUMIFS(M:M,D:D,"&lt;="&amp;D88,C:C,C88)-SUMIFS(AA:AA,D:D,"&lt;="&amp;D88,C:C,C88)+SUMIFS(N:N,D:D,"&lt;="&amp;D88,C:C,C88)+SUMIFS(P:P,D:D,"&lt;="&amp;D88,C:C,C88)&lt;0,0,SUMIFS('Shipments data'!L:L,'Shipments data'!F:F,'Supply planning data'!C88,'Shipments data'!A:A,'Supply planning data'!A88,'Shipments data'!O:O,"received",'Shipments data'!Q:Q,"&lt;"&amp;'Supply planning data'!D103,'Shipments data'!AC:AC,"&lt;"&amp;'Supply planning data'!D103)-SUMIFS(M:M,D:D,"&lt;="&amp;D88,C:C,C88)-SUMIFS(AA:AA,D:D,"&lt;="&amp;D88,C:C,C88)+SUMIFS(N:N,D:D,"&lt;="&amp;D88,C:C,C88)+SUMIFS(P:P,D:D,"&lt;="&amp;D88,C:C,C88))</f>
        <v>0</v>
      </c>
      <c r="AD88" s="111">
        <f t="shared" si="43"/>
        <v>0</v>
      </c>
      <c r="AE88" s="111">
        <f t="shared" si="36"/>
        <v>0</v>
      </c>
      <c r="AF88" s="204" t="str">
        <f t="shared" si="38"/>
        <v/>
      </c>
      <c r="AG88" s="111">
        <f t="shared" si="44"/>
        <v>0</v>
      </c>
      <c r="AH88" s="110"/>
      <c r="AI88" s="313"/>
      <c r="AJ88" s="111">
        <f t="shared" si="35"/>
        <v>0</v>
      </c>
      <c r="AK88" s="235"/>
      <c r="AL88" s="111">
        <f>IF(SUMIFS('Shipments data'!L:L,'Shipments data'!F:F,'Supply planning data'!C88,'Shipments data'!A:A,'Supply planning data'!A88,'Shipments data'!O:O,"received",'Shipments data'!Q:Q,"&lt;"&amp;'Supply planning data'!D103,'Shipments data'!AC:AC,"&lt;"&amp;'Supply planning data'!D103)-SUMIFS(M:M,D:D,"&lt;="&amp;D88,C:C,C88)-SUMIFS(AJ:AJ,D:D,"&lt;="&amp;D88,C:C,C88)+SUMIFS(N:N,D:D,"&lt;="&amp;D88,C:C,C88)+SUMIFS(P:P,D:D,"&lt;="&amp;D88,C:C,C88)&lt;0,0,SUMIFS('Shipments data'!L:L,'Shipments data'!F:F,'Supply planning data'!C88,'Shipments data'!A:A,'Supply planning data'!A88,'Shipments data'!O:O,"received",'Shipments data'!Q:Q,"&lt;"&amp;'Supply planning data'!D103,'Shipments data'!AC:AC,"&lt;"&amp;'Supply planning data'!D103)-SUMIFS(M:M,D:D,"&lt;="&amp;D88,C:C,C88)-SUMIFS(AJ:AJ,D:D,"&lt;="&amp;D88,C:C,C88)+SUMIFS(N:N,D:D,"&lt;="&amp;D88,C:C,C88)+SUMIFS(P:P,D:D,"&lt;="&amp;D88,C:C,C88))</f>
        <v>0</v>
      </c>
      <c r="AM88" s="111">
        <f t="shared" si="45"/>
        <v>0</v>
      </c>
      <c r="AN88" s="111">
        <f t="shared" si="37"/>
        <v>0</v>
      </c>
      <c r="AO88" s="204" t="str">
        <f t="shared" si="24"/>
        <v/>
      </c>
    </row>
    <row r="89" spans="1:41" hidden="1" x14ac:dyDescent="0.25">
      <c r="A89" s="103" t="str">
        <f>Start!D$7</f>
        <v>Anyland</v>
      </c>
      <c r="B89" s="109" t="str">
        <f>VLOOKUP(A89,list!B:C,2,FALSE)</f>
        <v>ANY</v>
      </c>
      <c r="C89" s="109" t="str">
        <f>IF(Start!$C$26="","",Start!$C$26)</f>
        <v/>
      </c>
      <c r="D89" s="298">
        <f t="shared" si="39"/>
        <v>44348</v>
      </c>
      <c r="E89" s="105" t="str">
        <f>IFERROR(VLOOKUP(C89,Start!C$15:D$31,2,FALSE),"No")</f>
        <v>No</v>
      </c>
      <c r="F89" s="105">
        <f t="shared" si="40"/>
        <v>0</v>
      </c>
      <c r="G89" s="106"/>
      <c r="H89" s="106"/>
      <c r="I89" s="106"/>
      <c r="J89" s="105">
        <f t="shared" si="30"/>
        <v>0</v>
      </c>
      <c r="K89" s="106"/>
      <c r="L89" s="177" t="str">
        <f t="shared" si="31"/>
        <v/>
      </c>
      <c r="M89" s="105">
        <f t="shared" si="32"/>
        <v>0</v>
      </c>
      <c r="N89" s="110"/>
      <c r="O89" s="124"/>
      <c r="P89" s="110"/>
      <c r="Q89" s="124"/>
      <c r="R89" s="111">
        <f>SUMIFS('Shipments data'!L:L,'Shipments data'!F:F,'Supply planning data'!C89,'Shipments data'!A:A,'Supply planning data'!A89,'Shipments data'!Y:Y,'Supply planning data'!D89,'Shipments data'!O:O,"received", 'Shipments data'!N:N, "Public")</f>
        <v>0</v>
      </c>
      <c r="S89" s="111">
        <f>SUMIFS('Shipments data'!L:L,'Shipments data'!F:F,'Supply planning data'!C89,'Shipments data'!A:A,'Supply planning data'!A89,'Shipments data'!Y:Y,'Supply planning data'!D89,'Shipments data'!O:O,"ordered", 'Shipments data'!N:N, "Public")</f>
        <v>0</v>
      </c>
      <c r="T89" s="111">
        <f>IF(SUMIFS('Shipments data'!L:L,'Shipments data'!F:F,'Supply planning data'!C89,'Shipments data'!A:A,'Supply planning data'!A89,'Shipments data'!O:O,"received",'Shipments data'!Q:Q,"&lt;"&amp;'Supply planning data'!D104,'Shipments data'!AC:AC,"&lt;"&amp;'Supply planning data'!D104)-SUMIFS(M:M,D:D,"&lt;="&amp;D89,C:C,C89)+SUMIFS(N:N,D:D,"&lt;="&amp;D89,C:C,C89)+SUMIFS(P:P,D:D,"&lt;="&amp;D89,C:C,C89)&lt;0,0,SUMIFS('Shipments data'!L:L,'Shipments data'!F:F,'Supply planning data'!C89,'Shipments data'!A:A,'Supply planning data'!A89,'Shipments data'!O:O,"received",'Shipments data'!Q:Q,"&lt;"&amp;'Supply planning data'!D104,'Shipments data'!AC:AC,"&lt;"&amp;'Supply planning data'!D104)-SUMIFS(M:M,D:D,"&lt;="&amp;D89,C:C,C89)+SUMIFS(N:N,D:D,"&lt;="&amp;D89,C:C,C89)+SUMIFS(P:P,D:D,"&lt;="&amp;D89,C:C,C89))</f>
        <v>0</v>
      </c>
      <c r="U89" s="112">
        <f t="shared" si="41"/>
        <v>0</v>
      </c>
      <c r="V89" s="111">
        <f t="shared" si="33"/>
        <v>0</v>
      </c>
      <c r="W89" s="204" t="str">
        <f t="shared" si="23"/>
        <v/>
      </c>
      <c r="X89" s="111">
        <f t="shared" si="42"/>
        <v>0</v>
      </c>
      <c r="Y89" s="110"/>
      <c r="Z89" s="107"/>
      <c r="AA89" s="111">
        <f t="shared" si="34"/>
        <v>0</v>
      </c>
      <c r="AB89" s="235"/>
      <c r="AC89" s="111">
        <f>IF(SUMIFS('Shipments data'!L:L,'Shipments data'!F:F,'Supply planning data'!C89,'Shipments data'!A:A,'Supply planning data'!A89,'Shipments data'!O:O,"received",'Shipments data'!Q:Q,"&lt;"&amp;'Supply planning data'!D104,'Shipments data'!AC:AC,"&lt;"&amp;'Supply planning data'!D104)-SUMIFS(M:M,D:D,"&lt;="&amp;D89,C:C,C89)-SUMIFS(AA:AA,D:D,"&lt;="&amp;D89,C:C,C89)+SUMIFS(N:N,D:D,"&lt;="&amp;D89,C:C,C89)+SUMIFS(P:P,D:D,"&lt;="&amp;D89,C:C,C89)&lt;0,0,SUMIFS('Shipments data'!L:L,'Shipments data'!F:F,'Supply planning data'!C89,'Shipments data'!A:A,'Supply planning data'!A89,'Shipments data'!O:O,"received",'Shipments data'!Q:Q,"&lt;"&amp;'Supply planning data'!D104,'Shipments data'!AC:AC,"&lt;"&amp;'Supply planning data'!D104)-SUMIFS(M:M,D:D,"&lt;="&amp;D89,C:C,C89)-SUMIFS(AA:AA,D:D,"&lt;="&amp;D89,C:C,C89)+SUMIFS(N:N,D:D,"&lt;="&amp;D89,C:C,C89)+SUMIFS(P:P,D:D,"&lt;="&amp;D89,C:C,C89))</f>
        <v>0</v>
      </c>
      <c r="AD89" s="111">
        <f t="shared" si="43"/>
        <v>0</v>
      </c>
      <c r="AE89" s="111">
        <f t="shared" si="36"/>
        <v>0</v>
      </c>
      <c r="AF89" s="204" t="str">
        <f t="shared" si="38"/>
        <v/>
      </c>
      <c r="AG89" s="111">
        <f t="shared" si="44"/>
        <v>0</v>
      </c>
      <c r="AH89" s="110"/>
      <c r="AI89" s="313"/>
      <c r="AJ89" s="111">
        <f t="shared" si="35"/>
        <v>0</v>
      </c>
      <c r="AK89" s="235"/>
      <c r="AL89" s="111">
        <f>IF(SUMIFS('Shipments data'!L:L,'Shipments data'!F:F,'Supply planning data'!C89,'Shipments data'!A:A,'Supply planning data'!A89,'Shipments data'!O:O,"received",'Shipments data'!Q:Q,"&lt;"&amp;'Supply planning data'!D104,'Shipments data'!AC:AC,"&lt;"&amp;'Supply planning data'!D104)-SUMIFS(M:M,D:D,"&lt;="&amp;D89,C:C,C89)-SUMIFS(AJ:AJ,D:D,"&lt;="&amp;D89,C:C,C89)+SUMIFS(N:N,D:D,"&lt;="&amp;D89,C:C,C89)+SUMIFS(P:P,D:D,"&lt;="&amp;D89,C:C,C89)&lt;0,0,SUMIFS('Shipments data'!L:L,'Shipments data'!F:F,'Supply planning data'!C89,'Shipments data'!A:A,'Supply planning data'!A89,'Shipments data'!O:O,"received",'Shipments data'!Q:Q,"&lt;"&amp;'Supply planning data'!D104,'Shipments data'!AC:AC,"&lt;"&amp;'Supply planning data'!D104)-SUMIFS(M:M,D:D,"&lt;="&amp;D89,C:C,C89)-SUMIFS(AJ:AJ,D:D,"&lt;="&amp;D89,C:C,C89)+SUMIFS(N:N,D:D,"&lt;="&amp;D89,C:C,C89)+SUMIFS(P:P,D:D,"&lt;="&amp;D89,C:C,C89))</f>
        <v>0</v>
      </c>
      <c r="AM89" s="111">
        <f t="shared" si="45"/>
        <v>0</v>
      </c>
      <c r="AN89" s="111">
        <f t="shared" si="37"/>
        <v>0</v>
      </c>
      <c r="AO89" s="204" t="str">
        <f t="shared" si="24"/>
        <v/>
      </c>
    </row>
    <row r="90" spans="1:41" hidden="1" x14ac:dyDescent="0.25">
      <c r="A90" s="103" t="str">
        <f>Start!D$7</f>
        <v>Anyland</v>
      </c>
      <c r="B90" s="109" t="str">
        <f>VLOOKUP(A90,list!B:C,2,FALSE)</f>
        <v>ANY</v>
      </c>
      <c r="C90" s="104" t="str">
        <f>IF(Start!$C$27="","",Start!$C$27)</f>
        <v/>
      </c>
      <c r="D90" s="298">
        <f t="shared" si="39"/>
        <v>44348</v>
      </c>
      <c r="E90" s="105" t="str">
        <f>IFERROR(VLOOKUP(C90,Start!C$15:D$31,2,FALSE),"No")</f>
        <v>No</v>
      </c>
      <c r="F90" s="105">
        <f t="shared" si="40"/>
        <v>0</v>
      </c>
      <c r="G90" s="106"/>
      <c r="H90" s="106"/>
      <c r="I90" s="106"/>
      <c r="J90" s="105">
        <f t="shared" si="30"/>
        <v>0</v>
      </c>
      <c r="K90" s="106"/>
      <c r="L90" s="177" t="str">
        <f t="shared" si="31"/>
        <v/>
      </c>
      <c r="M90" s="105">
        <f t="shared" si="32"/>
        <v>0</v>
      </c>
      <c r="N90" s="110"/>
      <c r="O90" s="124"/>
      <c r="P90" s="110"/>
      <c r="Q90" s="124"/>
      <c r="R90" s="111">
        <f>SUMIFS('Shipments data'!L:L,'Shipments data'!F:F,'Supply planning data'!C90,'Shipments data'!A:A,'Supply planning data'!A90,'Shipments data'!Y:Y,'Supply planning data'!D90,'Shipments data'!O:O,"received", 'Shipments data'!N:N, "Public")</f>
        <v>0</v>
      </c>
      <c r="S90" s="111">
        <f>SUMIFS('Shipments data'!L:L,'Shipments data'!F:F,'Supply planning data'!C90,'Shipments data'!A:A,'Supply planning data'!A90,'Shipments data'!Y:Y,'Supply planning data'!D90,'Shipments data'!O:O,"ordered", 'Shipments data'!N:N, "Public")</f>
        <v>0</v>
      </c>
      <c r="T90" s="111">
        <f>IF(SUMIFS('Shipments data'!L:L,'Shipments data'!F:F,'Supply planning data'!C90,'Shipments data'!A:A,'Supply planning data'!A90,'Shipments data'!O:O,"received",'Shipments data'!Q:Q,"&lt;"&amp;'Supply planning data'!D105,'Shipments data'!AC:AC,"&lt;"&amp;'Supply planning data'!D105)-SUMIFS(M:M,D:D,"&lt;="&amp;D90,C:C,C90)+SUMIFS(N:N,D:D,"&lt;="&amp;D90,C:C,C90)+SUMIFS(P:P,D:D,"&lt;="&amp;D90,C:C,C90)&lt;0,0,SUMIFS('Shipments data'!L:L,'Shipments data'!F:F,'Supply planning data'!C90,'Shipments data'!A:A,'Supply planning data'!A90,'Shipments data'!O:O,"received",'Shipments data'!Q:Q,"&lt;"&amp;'Supply planning data'!D105,'Shipments data'!AC:AC,"&lt;"&amp;'Supply planning data'!D105)-SUMIFS(M:M,D:D,"&lt;="&amp;D90,C:C,C90)+SUMIFS(N:N,D:D,"&lt;="&amp;D90,C:C,C90)+SUMIFS(P:P,D:D,"&lt;="&amp;D90,C:C,C90))</f>
        <v>0</v>
      </c>
      <c r="U90" s="112">
        <f t="shared" si="41"/>
        <v>0</v>
      </c>
      <c r="V90" s="111">
        <f t="shared" si="33"/>
        <v>0</v>
      </c>
      <c r="W90" s="204" t="str">
        <f t="shared" si="23"/>
        <v/>
      </c>
      <c r="X90" s="111">
        <f t="shared" si="42"/>
        <v>0</v>
      </c>
      <c r="Y90" s="110"/>
      <c r="Z90" s="107"/>
      <c r="AA90" s="111">
        <f t="shared" si="34"/>
        <v>0</v>
      </c>
      <c r="AB90" s="235"/>
      <c r="AC90" s="111">
        <f>IF(SUMIFS('Shipments data'!L:L,'Shipments data'!F:F,'Supply planning data'!C90,'Shipments data'!A:A,'Supply planning data'!A90,'Shipments data'!O:O,"received",'Shipments data'!Q:Q,"&lt;"&amp;'Supply planning data'!D105,'Shipments data'!AC:AC,"&lt;"&amp;'Supply planning data'!D105)-SUMIFS(M:M,D:D,"&lt;="&amp;D90,C:C,C90)-SUMIFS(AA:AA,D:D,"&lt;="&amp;D90,C:C,C90)+SUMIFS(N:N,D:D,"&lt;="&amp;D90,C:C,C90)+SUMIFS(P:P,D:D,"&lt;="&amp;D90,C:C,C90)&lt;0,0,SUMIFS('Shipments data'!L:L,'Shipments data'!F:F,'Supply planning data'!C90,'Shipments data'!A:A,'Supply planning data'!A90,'Shipments data'!O:O,"received",'Shipments data'!Q:Q,"&lt;"&amp;'Supply planning data'!D105,'Shipments data'!AC:AC,"&lt;"&amp;'Supply planning data'!D105)-SUMIFS(M:M,D:D,"&lt;="&amp;D90,C:C,C90)-SUMIFS(AA:AA,D:D,"&lt;="&amp;D90,C:C,C90)+SUMIFS(N:N,D:D,"&lt;="&amp;D90,C:C,C90)+SUMIFS(P:P,D:D,"&lt;="&amp;D90,C:C,C90))</f>
        <v>0</v>
      </c>
      <c r="AD90" s="111">
        <f t="shared" si="43"/>
        <v>0</v>
      </c>
      <c r="AE90" s="111">
        <f t="shared" si="36"/>
        <v>0</v>
      </c>
      <c r="AF90" s="204" t="str">
        <f t="shared" si="38"/>
        <v/>
      </c>
      <c r="AG90" s="111">
        <f t="shared" si="44"/>
        <v>0</v>
      </c>
      <c r="AH90" s="110"/>
      <c r="AI90" s="313"/>
      <c r="AJ90" s="111">
        <f t="shared" si="35"/>
        <v>0</v>
      </c>
      <c r="AK90" s="235"/>
      <c r="AL90" s="111">
        <f>IF(SUMIFS('Shipments data'!L:L,'Shipments data'!F:F,'Supply planning data'!C90,'Shipments data'!A:A,'Supply planning data'!A90,'Shipments data'!O:O,"received",'Shipments data'!Q:Q,"&lt;"&amp;'Supply planning data'!D105,'Shipments data'!AC:AC,"&lt;"&amp;'Supply planning data'!D105)-SUMIFS(M:M,D:D,"&lt;="&amp;D90,C:C,C90)-SUMIFS(AJ:AJ,D:D,"&lt;="&amp;D90,C:C,C90)+SUMIFS(N:N,D:D,"&lt;="&amp;D90,C:C,C90)+SUMIFS(P:P,D:D,"&lt;="&amp;D90,C:C,C90)&lt;0,0,SUMIFS('Shipments data'!L:L,'Shipments data'!F:F,'Supply planning data'!C90,'Shipments data'!A:A,'Supply planning data'!A90,'Shipments data'!O:O,"received",'Shipments data'!Q:Q,"&lt;"&amp;'Supply planning data'!D105,'Shipments data'!AC:AC,"&lt;"&amp;'Supply planning data'!D105)-SUMIFS(M:M,D:D,"&lt;="&amp;D90,C:C,C90)-SUMIFS(AJ:AJ,D:D,"&lt;="&amp;D90,C:C,C90)+SUMIFS(N:N,D:D,"&lt;="&amp;D90,C:C,C90)+SUMIFS(P:P,D:D,"&lt;="&amp;D90,C:C,C90))</f>
        <v>0</v>
      </c>
      <c r="AM90" s="111">
        <f t="shared" si="45"/>
        <v>0</v>
      </c>
      <c r="AN90" s="111">
        <f t="shared" si="37"/>
        <v>0</v>
      </c>
      <c r="AO90" s="204" t="str">
        <f t="shared" si="24"/>
        <v/>
      </c>
    </row>
    <row r="91" spans="1:41" hidden="1" x14ac:dyDescent="0.25">
      <c r="A91" s="103" t="str">
        <f>Start!D$7</f>
        <v>Anyland</v>
      </c>
      <c r="B91" s="109" t="str">
        <f>VLOOKUP(A91,list!B:C,2,FALSE)</f>
        <v>ANY</v>
      </c>
      <c r="C91" s="109" t="str">
        <f>IF(Start!$C$28="","",Start!$C$28)</f>
        <v/>
      </c>
      <c r="D91" s="298">
        <f t="shared" si="39"/>
        <v>44348</v>
      </c>
      <c r="E91" s="105" t="str">
        <f>IFERROR(VLOOKUP(C91,Start!C$15:D$31,2,FALSE),"No")</f>
        <v>No</v>
      </c>
      <c r="F91" s="105">
        <f t="shared" si="40"/>
        <v>0</v>
      </c>
      <c r="G91" s="106"/>
      <c r="H91" s="106"/>
      <c r="I91" s="106"/>
      <c r="J91" s="105">
        <f t="shared" si="30"/>
        <v>0</v>
      </c>
      <c r="K91" s="106"/>
      <c r="L91" s="177" t="str">
        <f t="shared" si="31"/>
        <v/>
      </c>
      <c r="M91" s="105">
        <f t="shared" si="32"/>
        <v>0</v>
      </c>
      <c r="N91" s="110"/>
      <c r="O91" s="124"/>
      <c r="P91" s="110"/>
      <c r="Q91" s="124"/>
      <c r="R91" s="111">
        <f>SUMIFS('Shipments data'!L:L,'Shipments data'!F:F,'Supply planning data'!C91,'Shipments data'!A:A,'Supply planning data'!A91,'Shipments data'!Y:Y,'Supply planning data'!D91,'Shipments data'!O:O,"received", 'Shipments data'!N:N, "Public")</f>
        <v>0</v>
      </c>
      <c r="S91" s="111">
        <f>SUMIFS('Shipments data'!L:L,'Shipments data'!F:F,'Supply planning data'!C91,'Shipments data'!A:A,'Supply planning data'!A91,'Shipments data'!Y:Y,'Supply planning data'!D91,'Shipments data'!O:O,"ordered", 'Shipments data'!N:N, "Public")</f>
        <v>0</v>
      </c>
      <c r="T91" s="111">
        <f>IF(SUMIFS('Shipments data'!L:L,'Shipments data'!F:F,'Supply planning data'!C91,'Shipments data'!A:A,'Supply planning data'!A91,'Shipments data'!O:O,"received",'Shipments data'!Q:Q,"&lt;"&amp;'Supply planning data'!D106,'Shipments data'!AC:AC,"&lt;"&amp;'Supply planning data'!D106)-SUMIFS(M:M,D:D,"&lt;="&amp;D91,C:C,C91)+SUMIFS(N:N,D:D,"&lt;="&amp;D91,C:C,C91)+SUMIFS(P:P,D:D,"&lt;="&amp;D91,C:C,C91)&lt;0,0,SUMIFS('Shipments data'!L:L,'Shipments data'!F:F,'Supply planning data'!C91,'Shipments data'!A:A,'Supply planning data'!A91,'Shipments data'!O:O,"received",'Shipments data'!Q:Q,"&lt;"&amp;'Supply planning data'!D106,'Shipments data'!AC:AC,"&lt;"&amp;'Supply planning data'!D106)-SUMIFS(M:M,D:D,"&lt;="&amp;D91,C:C,C91)+SUMIFS(N:N,D:D,"&lt;="&amp;D91,C:C,C91)+SUMIFS(P:P,D:D,"&lt;="&amp;D91,C:C,C91))</f>
        <v>0</v>
      </c>
      <c r="U91" s="112">
        <f t="shared" si="41"/>
        <v>0</v>
      </c>
      <c r="V91" s="111">
        <f t="shared" si="33"/>
        <v>0</v>
      </c>
      <c r="W91" s="204" t="str">
        <f t="shared" si="23"/>
        <v/>
      </c>
      <c r="X91" s="111">
        <f t="shared" si="42"/>
        <v>0</v>
      </c>
      <c r="Y91" s="110"/>
      <c r="Z91" s="107"/>
      <c r="AA91" s="111">
        <f t="shared" si="34"/>
        <v>0</v>
      </c>
      <c r="AB91" s="235"/>
      <c r="AC91" s="111">
        <f>IF(SUMIFS('Shipments data'!L:L,'Shipments data'!F:F,'Supply planning data'!C91,'Shipments data'!A:A,'Supply planning data'!A91,'Shipments data'!O:O,"received",'Shipments data'!Q:Q,"&lt;"&amp;'Supply planning data'!D106,'Shipments data'!AC:AC,"&lt;"&amp;'Supply planning data'!D106)-SUMIFS(M:M,D:D,"&lt;="&amp;D91,C:C,C91)-SUMIFS(AA:AA,D:D,"&lt;="&amp;D91,C:C,C91)+SUMIFS(N:N,D:D,"&lt;="&amp;D91,C:C,C91)+SUMIFS(P:P,D:D,"&lt;="&amp;D91,C:C,C91)&lt;0,0,SUMIFS('Shipments data'!L:L,'Shipments data'!F:F,'Supply planning data'!C91,'Shipments data'!A:A,'Supply planning data'!A91,'Shipments data'!O:O,"received",'Shipments data'!Q:Q,"&lt;"&amp;'Supply planning data'!D106,'Shipments data'!AC:AC,"&lt;"&amp;'Supply planning data'!D106)-SUMIFS(M:M,D:D,"&lt;="&amp;D91,C:C,C91)-SUMIFS(AA:AA,D:D,"&lt;="&amp;D91,C:C,C91)+SUMIFS(N:N,D:D,"&lt;="&amp;D91,C:C,C91)+SUMIFS(P:P,D:D,"&lt;="&amp;D91,C:C,C91))</f>
        <v>0</v>
      </c>
      <c r="AD91" s="111">
        <f t="shared" si="43"/>
        <v>0</v>
      </c>
      <c r="AE91" s="111">
        <f t="shared" si="36"/>
        <v>0</v>
      </c>
      <c r="AF91" s="204" t="str">
        <f t="shared" si="38"/>
        <v/>
      </c>
      <c r="AG91" s="111">
        <f t="shared" si="44"/>
        <v>0</v>
      </c>
      <c r="AH91" s="110"/>
      <c r="AI91" s="313"/>
      <c r="AJ91" s="111">
        <f t="shared" si="35"/>
        <v>0</v>
      </c>
      <c r="AK91" s="235"/>
      <c r="AL91" s="111">
        <f>IF(SUMIFS('Shipments data'!L:L,'Shipments data'!F:F,'Supply planning data'!C91,'Shipments data'!A:A,'Supply planning data'!A91,'Shipments data'!O:O,"received",'Shipments data'!Q:Q,"&lt;"&amp;'Supply planning data'!D106,'Shipments data'!AC:AC,"&lt;"&amp;'Supply planning data'!D106)-SUMIFS(M:M,D:D,"&lt;="&amp;D91,C:C,C91)-SUMIFS(AJ:AJ,D:D,"&lt;="&amp;D91,C:C,C91)+SUMIFS(N:N,D:D,"&lt;="&amp;D91,C:C,C91)+SUMIFS(P:P,D:D,"&lt;="&amp;D91,C:C,C91)&lt;0,0,SUMIFS('Shipments data'!L:L,'Shipments data'!F:F,'Supply planning data'!C91,'Shipments data'!A:A,'Supply planning data'!A91,'Shipments data'!O:O,"received",'Shipments data'!Q:Q,"&lt;"&amp;'Supply planning data'!D106,'Shipments data'!AC:AC,"&lt;"&amp;'Supply planning data'!D106)-SUMIFS(M:M,D:D,"&lt;="&amp;D91,C:C,C91)-SUMIFS(AJ:AJ,D:D,"&lt;="&amp;D91,C:C,C91)+SUMIFS(N:N,D:D,"&lt;="&amp;D91,C:C,C91)+SUMIFS(P:P,D:D,"&lt;="&amp;D91,C:C,C91))</f>
        <v>0</v>
      </c>
      <c r="AM91" s="111">
        <f t="shared" si="45"/>
        <v>0</v>
      </c>
      <c r="AN91" s="111">
        <f t="shared" si="37"/>
        <v>0</v>
      </c>
      <c r="AO91" s="204" t="str">
        <f t="shared" si="24"/>
        <v/>
      </c>
    </row>
    <row r="92" spans="1:41" hidden="1" x14ac:dyDescent="0.25">
      <c r="A92" s="103" t="str">
        <f>Start!D$7</f>
        <v>Anyland</v>
      </c>
      <c r="B92" s="109" t="str">
        <f>VLOOKUP(A92,list!B:C,2,FALSE)</f>
        <v>ANY</v>
      </c>
      <c r="C92" s="104" t="str">
        <f>IF(Start!$C$29="","",Start!$C$29)</f>
        <v/>
      </c>
      <c r="D92" s="298">
        <f t="shared" si="39"/>
        <v>44348</v>
      </c>
      <c r="E92" s="105" t="str">
        <f>IFERROR(VLOOKUP(C92,Start!C$15:D$31,2,FALSE),"No")</f>
        <v>No</v>
      </c>
      <c r="F92" s="105">
        <f t="shared" si="40"/>
        <v>0</v>
      </c>
      <c r="G92" s="106"/>
      <c r="H92" s="106"/>
      <c r="I92" s="106"/>
      <c r="J92" s="105">
        <f t="shared" si="30"/>
        <v>0</v>
      </c>
      <c r="K92" s="106"/>
      <c r="L92" s="177" t="str">
        <f t="shared" si="31"/>
        <v/>
      </c>
      <c r="M92" s="105">
        <f t="shared" si="32"/>
        <v>0</v>
      </c>
      <c r="N92" s="110"/>
      <c r="O92" s="124"/>
      <c r="P92" s="110"/>
      <c r="Q92" s="124"/>
      <c r="R92" s="111">
        <f>SUMIFS('Shipments data'!L:L,'Shipments data'!F:F,'Supply planning data'!C92,'Shipments data'!A:A,'Supply planning data'!A92,'Shipments data'!Y:Y,'Supply planning data'!D92,'Shipments data'!O:O,"received", 'Shipments data'!N:N, "Public")</f>
        <v>0</v>
      </c>
      <c r="S92" s="111">
        <f>SUMIFS('Shipments data'!L:L,'Shipments data'!F:F,'Supply planning data'!C92,'Shipments data'!A:A,'Supply planning data'!A92,'Shipments data'!Y:Y,'Supply planning data'!D92,'Shipments data'!O:O,"ordered", 'Shipments data'!N:N, "Public")</f>
        <v>0</v>
      </c>
      <c r="T92" s="111">
        <f>IF(SUMIFS('Shipments data'!L:L,'Shipments data'!F:F,'Supply planning data'!C92,'Shipments data'!A:A,'Supply planning data'!A92,'Shipments data'!O:O,"received",'Shipments data'!Q:Q,"&lt;"&amp;'Supply planning data'!D107,'Shipments data'!AC:AC,"&lt;"&amp;'Supply planning data'!D107)-SUMIFS(M:M,D:D,"&lt;="&amp;D92,C:C,C92)+SUMIFS(N:N,D:D,"&lt;="&amp;D92,C:C,C92)+SUMIFS(P:P,D:D,"&lt;="&amp;D92,C:C,C92)&lt;0,0,SUMIFS('Shipments data'!L:L,'Shipments data'!F:F,'Supply planning data'!C92,'Shipments data'!A:A,'Supply planning data'!A92,'Shipments data'!O:O,"received",'Shipments data'!Q:Q,"&lt;"&amp;'Supply planning data'!D107,'Shipments data'!AC:AC,"&lt;"&amp;'Supply planning data'!D107)-SUMIFS(M:M,D:D,"&lt;="&amp;D92,C:C,C92)+SUMIFS(N:N,D:D,"&lt;="&amp;D92,C:C,C92)+SUMIFS(P:P,D:D,"&lt;="&amp;D92,C:C,C92))</f>
        <v>0</v>
      </c>
      <c r="U92" s="112">
        <f t="shared" si="41"/>
        <v>0</v>
      </c>
      <c r="V92" s="111">
        <f t="shared" si="33"/>
        <v>0</v>
      </c>
      <c r="W92" s="204" t="str">
        <f t="shared" si="23"/>
        <v/>
      </c>
      <c r="X92" s="111">
        <f t="shared" si="42"/>
        <v>0</v>
      </c>
      <c r="Y92" s="110"/>
      <c r="Z92" s="107"/>
      <c r="AA92" s="111">
        <f t="shared" si="34"/>
        <v>0</v>
      </c>
      <c r="AB92" s="235"/>
      <c r="AC92" s="111">
        <f>IF(SUMIFS('Shipments data'!L:L,'Shipments data'!F:F,'Supply planning data'!C92,'Shipments data'!A:A,'Supply planning data'!A92,'Shipments data'!O:O,"received",'Shipments data'!Q:Q,"&lt;"&amp;'Supply planning data'!D107,'Shipments data'!AC:AC,"&lt;"&amp;'Supply planning data'!D107)-SUMIFS(M:M,D:D,"&lt;="&amp;D92,C:C,C92)-SUMIFS(AA:AA,D:D,"&lt;="&amp;D92,C:C,C92)+SUMIFS(N:N,D:D,"&lt;="&amp;D92,C:C,C92)+SUMIFS(P:P,D:D,"&lt;="&amp;D92,C:C,C92)&lt;0,0,SUMIFS('Shipments data'!L:L,'Shipments data'!F:F,'Supply planning data'!C92,'Shipments data'!A:A,'Supply planning data'!A92,'Shipments data'!O:O,"received",'Shipments data'!Q:Q,"&lt;"&amp;'Supply planning data'!D107,'Shipments data'!AC:AC,"&lt;"&amp;'Supply planning data'!D107)-SUMIFS(M:M,D:D,"&lt;="&amp;D92,C:C,C92)-SUMIFS(AA:AA,D:D,"&lt;="&amp;D92,C:C,C92)+SUMIFS(N:N,D:D,"&lt;="&amp;D92,C:C,C92)+SUMIFS(P:P,D:D,"&lt;="&amp;D92,C:C,C92))</f>
        <v>0</v>
      </c>
      <c r="AD92" s="111">
        <f t="shared" si="43"/>
        <v>0</v>
      </c>
      <c r="AE92" s="111">
        <f t="shared" si="36"/>
        <v>0</v>
      </c>
      <c r="AF92" s="204" t="str">
        <f t="shared" si="38"/>
        <v/>
      </c>
      <c r="AG92" s="111">
        <f t="shared" si="44"/>
        <v>0</v>
      </c>
      <c r="AH92" s="110"/>
      <c r="AI92" s="313"/>
      <c r="AJ92" s="111">
        <f t="shared" si="35"/>
        <v>0</v>
      </c>
      <c r="AK92" s="235"/>
      <c r="AL92" s="111">
        <f>IF(SUMIFS('Shipments data'!L:L,'Shipments data'!F:F,'Supply planning data'!C92,'Shipments data'!A:A,'Supply planning data'!A92,'Shipments data'!O:O,"received",'Shipments data'!Q:Q,"&lt;"&amp;'Supply planning data'!D107,'Shipments data'!AC:AC,"&lt;"&amp;'Supply planning data'!D107)-SUMIFS(M:M,D:D,"&lt;="&amp;D92,C:C,C92)-SUMIFS(AJ:AJ,D:D,"&lt;="&amp;D92,C:C,C92)+SUMIFS(N:N,D:D,"&lt;="&amp;D92,C:C,C92)+SUMIFS(P:P,D:D,"&lt;="&amp;D92,C:C,C92)&lt;0,0,SUMIFS('Shipments data'!L:L,'Shipments data'!F:F,'Supply planning data'!C92,'Shipments data'!A:A,'Supply planning data'!A92,'Shipments data'!O:O,"received",'Shipments data'!Q:Q,"&lt;"&amp;'Supply planning data'!D107,'Shipments data'!AC:AC,"&lt;"&amp;'Supply planning data'!D107)-SUMIFS(M:M,D:D,"&lt;="&amp;D92,C:C,C92)-SUMIFS(AJ:AJ,D:D,"&lt;="&amp;D92,C:C,C92)+SUMIFS(N:N,D:D,"&lt;="&amp;D92,C:C,C92)+SUMIFS(P:P,D:D,"&lt;="&amp;D92,C:C,C92))</f>
        <v>0</v>
      </c>
      <c r="AM92" s="111">
        <f t="shared" si="45"/>
        <v>0</v>
      </c>
      <c r="AN92" s="111">
        <f t="shared" si="37"/>
        <v>0</v>
      </c>
      <c r="AO92" s="204" t="str">
        <f t="shared" si="24"/>
        <v/>
      </c>
    </row>
    <row r="93" spans="1:41" hidden="1" x14ac:dyDescent="0.25">
      <c r="A93" s="103" t="str">
        <f>Start!D$7</f>
        <v>Anyland</v>
      </c>
      <c r="B93" s="109" t="str">
        <f>VLOOKUP(A93,list!B:C,2,FALSE)</f>
        <v>ANY</v>
      </c>
      <c r="C93" s="109" t="str">
        <f>IF(Start!$C$30="","",Start!$C$30)</f>
        <v/>
      </c>
      <c r="D93" s="298">
        <f t="shared" si="39"/>
        <v>44348</v>
      </c>
      <c r="E93" s="105" t="str">
        <f>IFERROR(VLOOKUP(C93,Start!C$15:D$31,2,FALSE),"No")</f>
        <v>No</v>
      </c>
      <c r="F93" s="105">
        <f t="shared" si="40"/>
        <v>0</v>
      </c>
      <c r="G93" s="106"/>
      <c r="H93" s="106"/>
      <c r="I93" s="106"/>
      <c r="J93" s="105">
        <f t="shared" si="30"/>
        <v>0</v>
      </c>
      <c r="K93" s="106"/>
      <c r="L93" s="177" t="str">
        <f t="shared" si="31"/>
        <v/>
      </c>
      <c r="M93" s="105">
        <f t="shared" si="32"/>
        <v>0</v>
      </c>
      <c r="N93" s="110"/>
      <c r="O93" s="124"/>
      <c r="P93" s="110"/>
      <c r="Q93" s="124"/>
      <c r="R93" s="111">
        <f>SUMIFS('Shipments data'!L:L,'Shipments data'!F:F,'Supply planning data'!C93,'Shipments data'!A:A,'Supply planning data'!A93,'Shipments data'!Y:Y,'Supply planning data'!D93,'Shipments data'!O:O,"received", 'Shipments data'!N:N, "Public")</f>
        <v>0</v>
      </c>
      <c r="S93" s="111">
        <f>SUMIFS('Shipments data'!L:L,'Shipments data'!F:F,'Supply planning data'!C93,'Shipments data'!A:A,'Supply planning data'!A93,'Shipments data'!Y:Y,'Supply planning data'!D93,'Shipments data'!O:O,"ordered", 'Shipments data'!N:N, "Public")</f>
        <v>0</v>
      </c>
      <c r="T93" s="111">
        <f>IF(SUMIFS('Shipments data'!L:L,'Shipments data'!F:F,'Supply planning data'!C93,'Shipments data'!A:A,'Supply planning data'!A93,'Shipments data'!O:O,"received",'Shipments data'!Q:Q,"&lt;"&amp;'Supply planning data'!D108,'Shipments data'!AC:AC,"&lt;"&amp;'Supply planning data'!D108)-SUMIFS(M:M,D:D,"&lt;="&amp;D93,C:C,C93)+SUMIFS(N:N,D:D,"&lt;="&amp;D93,C:C,C93)+SUMIFS(P:P,D:D,"&lt;="&amp;D93,C:C,C93)&lt;0,0,SUMIFS('Shipments data'!L:L,'Shipments data'!F:F,'Supply planning data'!C93,'Shipments data'!A:A,'Supply planning data'!A93,'Shipments data'!O:O,"received",'Shipments data'!Q:Q,"&lt;"&amp;'Supply planning data'!D108,'Shipments data'!AC:AC,"&lt;"&amp;'Supply planning data'!D108)-SUMIFS(M:M,D:D,"&lt;="&amp;D93,C:C,C93)+SUMIFS(N:N,D:D,"&lt;="&amp;D93,C:C,C93)+SUMIFS(P:P,D:D,"&lt;="&amp;D93,C:C,C93))</f>
        <v>0</v>
      </c>
      <c r="U93" s="112">
        <f t="shared" si="41"/>
        <v>0</v>
      </c>
      <c r="V93" s="111">
        <f t="shared" si="33"/>
        <v>0</v>
      </c>
      <c r="W93" s="204" t="str">
        <f t="shared" si="23"/>
        <v/>
      </c>
      <c r="X93" s="111">
        <f t="shared" si="42"/>
        <v>0</v>
      </c>
      <c r="Y93" s="110"/>
      <c r="Z93" s="107"/>
      <c r="AA93" s="111">
        <f t="shared" si="34"/>
        <v>0</v>
      </c>
      <c r="AB93" s="235"/>
      <c r="AC93" s="111">
        <f>IF(SUMIFS('Shipments data'!L:L,'Shipments data'!F:F,'Supply planning data'!C93,'Shipments data'!A:A,'Supply planning data'!A93,'Shipments data'!O:O,"received",'Shipments data'!Q:Q,"&lt;"&amp;'Supply planning data'!D108,'Shipments data'!AC:AC,"&lt;"&amp;'Supply planning data'!D108)-SUMIFS(M:M,D:D,"&lt;="&amp;D93,C:C,C93)-SUMIFS(AA:AA,D:D,"&lt;="&amp;D93,C:C,C93)+SUMIFS(N:N,D:D,"&lt;="&amp;D93,C:C,C93)+SUMIFS(P:P,D:D,"&lt;="&amp;D93,C:C,C93)&lt;0,0,SUMIFS('Shipments data'!L:L,'Shipments data'!F:F,'Supply planning data'!C93,'Shipments data'!A:A,'Supply planning data'!A93,'Shipments data'!O:O,"received",'Shipments data'!Q:Q,"&lt;"&amp;'Supply planning data'!D108,'Shipments data'!AC:AC,"&lt;"&amp;'Supply planning data'!D108)-SUMIFS(M:M,D:D,"&lt;="&amp;D93,C:C,C93)-SUMIFS(AA:AA,D:D,"&lt;="&amp;D93,C:C,C93)+SUMIFS(N:N,D:D,"&lt;="&amp;D93,C:C,C93)+SUMIFS(P:P,D:D,"&lt;="&amp;D93,C:C,C93))</f>
        <v>0</v>
      </c>
      <c r="AD93" s="111">
        <f t="shared" si="43"/>
        <v>0</v>
      </c>
      <c r="AE93" s="111">
        <f t="shared" si="36"/>
        <v>0</v>
      </c>
      <c r="AF93" s="204" t="str">
        <f t="shared" si="38"/>
        <v/>
      </c>
      <c r="AG93" s="111">
        <f t="shared" si="44"/>
        <v>0</v>
      </c>
      <c r="AH93" s="110"/>
      <c r="AI93" s="313"/>
      <c r="AJ93" s="111">
        <f t="shared" si="35"/>
        <v>0</v>
      </c>
      <c r="AK93" s="235"/>
      <c r="AL93" s="111">
        <f>IF(SUMIFS('Shipments data'!L:L,'Shipments data'!F:F,'Supply planning data'!C93,'Shipments data'!A:A,'Supply planning data'!A93,'Shipments data'!O:O,"received",'Shipments data'!Q:Q,"&lt;"&amp;'Supply planning data'!D108,'Shipments data'!AC:AC,"&lt;"&amp;'Supply planning data'!D108)-SUMIFS(M:M,D:D,"&lt;="&amp;D93,C:C,C93)-SUMIFS(AJ:AJ,D:D,"&lt;="&amp;D93,C:C,C93)+SUMIFS(N:N,D:D,"&lt;="&amp;D93,C:C,C93)+SUMIFS(P:P,D:D,"&lt;="&amp;D93,C:C,C93)&lt;0,0,SUMIFS('Shipments data'!L:L,'Shipments data'!F:F,'Supply planning data'!C93,'Shipments data'!A:A,'Supply planning data'!A93,'Shipments data'!O:O,"received",'Shipments data'!Q:Q,"&lt;"&amp;'Supply planning data'!D108,'Shipments data'!AC:AC,"&lt;"&amp;'Supply planning data'!D108)-SUMIFS(M:M,D:D,"&lt;="&amp;D93,C:C,C93)-SUMIFS(AJ:AJ,D:D,"&lt;="&amp;D93,C:C,C93)+SUMIFS(N:N,D:D,"&lt;="&amp;D93,C:C,C93)+SUMIFS(P:P,D:D,"&lt;="&amp;D93,C:C,C93))</f>
        <v>0</v>
      </c>
      <c r="AM93" s="111">
        <f t="shared" si="45"/>
        <v>0</v>
      </c>
      <c r="AN93" s="111">
        <f t="shared" si="37"/>
        <v>0</v>
      </c>
      <c r="AO93" s="204" t="str">
        <f t="shared" si="24"/>
        <v/>
      </c>
    </row>
    <row r="94" spans="1:41" hidden="1" x14ac:dyDescent="0.25">
      <c r="A94" s="113" t="str">
        <f>Start!D$7</f>
        <v>Anyland</v>
      </c>
      <c r="B94" s="114" t="str">
        <f>VLOOKUP(A94,list!B:C,2,FALSE)</f>
        <v>ANY</v>
      </c>
      <c r="C94" s="104" t="str">
        <f>IF(Start!$C$31="","",Start!$C$31)</f>
        <v/>
      </c>
      <c r="D94" s="298">
        <f t="shared" si="39"/>
        <v>44348</v>
      </c>
      <c r="E94" s="105" t="str">
        <f>IFERROR(VLOOKUP(C94,Start!C$15:D$31,2,FALSE),"No")</f>
        <v>No</v>
      </c>
      <c r="F94" s="105">
        <f t="shared" si="40"/>
        <v>0</v>
      </c>
      <c r="G94" s="106"/>
      <c r="H94" s="106"/>
      <c r="I94" s="106"/>
      <c r="J94" s="105">
        <f t="shared" si="30"/>
        <v>0</v>
      </c>
      <c r="K94" s="106"/>
      <c r="L94" s="177" t="str">
        <f t="shared" si="31"/>
        <v/>
      </c>
      <c r="M94" s="105">
        <f t="shared" si="32"/>
        <v>0</v>
      </c>
      <c r="N94" s="110"/>
      <c r="O94" s="124"/>
      <c r="P94" s="110"/>
      <c r="Q94" s="124"/>
      <c r="R94" s="111">
        <f>SUMIFS('Shipments data'!L:L,'Shipments data'!F:F,'Supply planning data'!C94,'Shipments data'!A:A,'Supply planning data'!A94,'Shipments data'!Y:Y,'Supply planning data'!D94,'Shipments data'!O:O,"received", 'Shipments data'!N:N, "Public")</f>
        <v>0</v>
      </c>
      <c r="S94" s="111">
        <f>SUMIFS('Shipments data'!L:L,'Shipments data'!F:F,'Supply planning data'!C94,'Shipments data'!A:A,'Supply planning data'!A94,'Shipments data'!Y:Y,'Supply planning data'!D94,'Shipments data'!O:O,"ordered", 'Shipments data'!N:N, "Public")</f>
        <v>0</v>
      </c>
      <c r="T94" s="111">
        <f>IF(SUMIFS('Shipments data'!L:L,'Shipments data'!F:F,'Supply planning data'!C94,'Shipments data'!A:A,'Supply planning data'!A94,'Shipments data'!O:O,"received",'Shipments data'!Q:Q,"&lt;"&amp;'Supply planning data'!D109,'Shipments data'!AC:AC,"&lt;"&amp;'Supply planning data'!D109)-SUMIFS(M:M,D:D,"&lt;="&amp;D94,C:C,C94)+SUMIFS(N:N,D:D,"&lt;="&amp;D94,C:C,C94)+SUMIFS(P:P,D:D,"&lt;="&amp;D94,C:C,C94)&lt;0,0,SUMIFS('Shipments data'!L:L,'Shipments data'!F:F,'Supply planning data'!C94,'Shipments data'!A:A,'Supply planning data'!A94,'Shipments data'!O:O,"received",'Shipments data'!Q:Q,"&lt;"&amp;'Supply planning data'!D109,'Shipments data'!AC:AC,"&lt;"&amp;'Supply planning data'!D109)-SUMIFS(M:M,D:D,"&lt;="&amp;D94,C:C,C94)+SUMIFS(N:N,D:D,"&lt;="&amp;D94,C:C,C94)+SUMIFS(P:P,D:D,"&lt;="&amp;D94,C:C,C94))</f>
        <v>0</v>
      </c>
      <c r="U94" s="112">
        <f t="shared" si="41"/>
        <v>0</v>
      </c>
      <c r="V94" s="111">
        <f t="shared" si="33"/>
        <v>0</v>
      </c>
      <c r="W94" s="204" t="str">
        <f t="shared" si="23"/>
        <v/>
      </c>
      <c r="X94" s="111">
        <f t="shared" si="42"/>
        <v>0</v>
      </c>
      <c r="Y94" s="110"/>
      <c r="Z94" s="107"/>
      <c r="AA94" s="111">
        <f t="shared" si="34"/>
        <v>0</v>
      </c>
      <c r="AB94" s="235"/>
      <c r="AC94" s="111">
        <f>IF(SUMIFS('Shipments data'!L:L,'Shipments data'!F:F,'Supply planning data'!C94,'Shipments data'!A:A,'Supply planning data'!A94,'Shipments data'!O:O,"received",'Shipments data'!Q:Q,"&lt;"&amp;'Supply planning data'!D109,'Shipments data'!AC:AC,"&lt;"&amp;'Supply planning data'!D109)-SUMIFS(M:M,D:D,"&lt;="&amp;D94,C:C,C94)-SUMIFS(AA:AA,D:D,"&lt;="&amp;D94,C:C,C94)+SUMIFS(N:N,D:D,"&lt;="&amp;D94,C:C,C94)+SUMIFS(P:P,D:D,"&lt;="&amp;D94,C:C,C94)&lt;0,0,SUMIFS('Shipments data'!L:L,'Shipments data'!F:F,'Supply planning data'!C94,'Shipments data'!A:A,'Supply planning data'!A94,'Shipments data'!O:O,"received",'Shipments data'!Q:Q,"&lt;"&amp;'Supply planning data'!D109,'Shipments data'!AC:AC,"&lt;"&amp;'Supply planning data'!D109)-SUMIFS(M:M,D:D,"&lt;="&amp;D94,C:C,C94)-SUMIFS(AA:AA,D:D,"&lt;="&amp;D94,C:C,C94)+SUMIFS(N:N,D:D,"&lt;="&amp;D94,C:C,C94)+SUMIFS(P:P,D:D,"&lt;="&amp;D94,C:C,C94))</f>
        <v>0</v>
      </c>
      <c r="AD94" s="111">
        <f t="shared" si="43"/>
        <v>0</v>
      </c>
      <c r="AE94" s="111">
        <f t="shared" si="36"/>
        <v>0</v>
      </c>
      <c r="AF94" s="204" t="str">
        <f>IF(M94+AA94&lt;=0,"",IFERROR(AE94/(SUM(M94,M124,M109,AA94,AA124,AA109)/3),""))</f>
        <v/>
      </c>
      <c r="AG94" s="111">
        <f t="shared" si="44"/>
        <v>0</v>
      </c>
      <c r="AH94" s="110"/>
      <c r="AI94" s="313"/>
      <c r="AJ94" s="111">
        <f t="shared" si="35"/>
        <v>0</v>
      </c>
      <c r="AK94" s="235"/>
      <c r="AL94" s="111">
        <f>IF(SUMIFS('Shipments data'!L:L,'Shipments data'!F:F,'Supply planning data'!C94,'Shipments data'!A:A,'Supply planning data'!A94,'Shipments data'!O:O,"received",'Shipments data'!Q:Q,"&lt;"&amp;'Supply planning data'!D109,'Shipments data'!AC:AC,"&lt;"&amp;'Supply planning data'!D109)-SUMIFS(M:M,D:D,"&lt;="&amp;D94,C:C,C94)-SUMIFS(AJ:AJ,D:D,"&lt;="&amp;D94,C:C,C94)+SUMIFS(N:N,D:D,"&lt;="&amp;D94,C:C,C94)+SUMIFS(P:P,D:D,"&lt;="&amp;D94,C:C,C94)&lt;0,0,SUMIFS('Shipments data'!L:L,'Shipments data'!F:F,'Supply planning data'!C94,'Shipments data'!A:A,'Supply planning data'!A94,'Shipments data'!O:O,"received",'Shipments data'!Q:Q,"&lt;"&amp;'Supply planning data'!D109,'Shipments data'!AC:AC,"&lt;"&amp;'Supply planning data'!D109)-SUMIFS(M:M,D:D,"&lt;="&amp;D94,C:C,C94)-SUMIFS(AJ:AJ,D:D,"&lt;="&amp;D94,C:C,C94)+SUMIFS(N:N,D:D,"&lt;="&amp;D94,C:C,C94)+SUMIFS(P:P,D:D,"&lt;="&amp;D94,C:C,C94))</f>
        <v>0</v>
      </c>
      <c r="AM94" s="111">
        <f t="shared" si="45"/>
        <v>0</v>
      </c>
      <c r="AN94" s="111">
        <f t="shared" si="37"/>
        <v>0</v>
      </c>
      <c r="AO94" s="204" t="str">
        <f t="shared" si="24"/>
        <v/>
      </c>
    </row>
    <row r="95" spans="1:41" x14ac:dyDescent="0.25">
      <c r="A95" s="89" t="str">
        <f>Start!D$7</f>
        <v>Anyland</v>
      </c>
      <c r="B95" s="90" t="str">
        <f>VLOOKUP(A95,list!B:C,2,FALSE)</f>
        <v>ANY</v>
      </c>
      <c r="C95" s="90" t="str">
        <f>IF(Start!$C$17="","",Start!$C$17)</f>
        <v>AstraZeneca</v>
      </c>
      <c r="D95" s="296">
        <f t="shared" si="39"/>
        <v>44378</v>
      </c>
      <c r="E95" s="92" t="str">
        <f>IFERROR(VLOOKUP(C95,Start!C$15:D$31,2,FALSE),"No")</f>
        <v>Yes</v>
      </c>
      <c r="F95" s="92">
        <f t="shared" si="40"/>
        <v>262980</v>
      </c>
      <c r="G95" s="91">
        <v>58240</v>
      </c>
      <c r="H95" s="91">
        <v>11600</v>
      </c>
      <c r="I95" s="91"/>
      <c r="J95" s="92">
        <f t="shared" si="30"/>
        <v>69840</v>
      </c>
      <c r="K95" s="91"/>
      <c r="L95" s="174">
        <f t="shared" si="31"/>
        <v>0</v>
      </c>
      <c r="M95" s="92">
        <f t="shared" si="32"/>
        <v>69840</v>
      </c>
      <c r="N95" s="91"/>
      <c r="O95" s="121"/>
      <c r="P95" s="91"/>
      <c r="Q95" s="121"/>
      <c r="R95" s="92">
        <f>SUMIFS('Shipments data'!L:L,'Shipments data'!F:F,'Supply planning data'!C95,'Shipments data'!A:A,'Supply planning data'!A95,'Shipments data'!Y:Y,'Supply planning data'!D95,'Shipments data'!O:O,"received", 'Shipments data'!N:N, "Public")</f>
        <v>0</v>
      </c>
      <c r="S95" s="92">
        <f>SUMIFS('Shipments data'!L:L,'Shipments data'!F:F,'Supply planning data'!C95,'Shipments data'!A:A,'Supply planning data'!A95,'Shipments data'!Y:Y,'Supply planning data'!D95,'Shipments data'!O:O,"ordered", 'Shipments data'!N:N, "Public")</f>
        <v>0</v>
      </c>
      <c r="T95" s="92">
        <f>IF(SUMIFS('Shipments data'!L:L,'Shipments data'!F:F,'Supply planning data'!C95,'Shipments data'!A:A,'Supply planning data'!A95,'Shipments data'!O:O,"received",'Shipments data'!Q:Q,"&lt;"&amp;'Supply planning data'!D110,'Shipments data'!AC:AC,"&lt;"&amp;'Supply planning data'!D110)-SUMIFS(M:M,D:D,"&lt;="&amp;D95,C:C,C95)+SUMIFS(N:N,D:D,"&lt;="&amp;D95,C:C,C95)+SUMIFS(P:P,D:D,"&lt;="&amp;D95,C:C,C95)&lt;0,0,SUMIFS('Shipments data'!L:L,'Shipments data'!F:F,'Supply planning data'!C95,'Shipments data'!A:A,'Supply planning data'!A95,'Shipments data'!O:O,"received",'Shipments data'!Q:Q,"&lt;"&amp;'Supply planning data'!D110,'Shipments data'!AC:AC,"&lt;"&amp;'Supply planning data'!D110)-SUMIFS(M:M,D:D,"&lt;="&amp;D95,C:C,C95)+SUMIFS(N:N,D:D,"&lt;="&amp;D95,C:C,C95)+SUMIFS(P:P,D:D,"&lt;="&amp;D95,C:C,C95))</f>
        <v>0</v>
      </c>
      <c r="U95" s="94">
        <f t="shared" si="41"/>
        <v>0</v>
      </c>
      <c r="V95" s="92">
        <f t="shared" si="33"/>
        <v>193140</v>
      </c>
      <c r="W95" s="205">
        <f t="shared" si="23"/>
        <v>2.9388314059646987</v>
      </c>
      <c r="X95" s="92">
        <f t="shared" si="42"/>
        <v>262980</v>
      </c>
      <c r="Y95" s="91"/>
      <c r="Z95" s="93"/>
      <c r="AA95" s="92">
        <f t="shared" si="34"/>
        <v>0</v>
      </c>
      <c r="AB95" s="232"/>
      <c r="AC95" s="92">
        <f>IF(SUMIFS('Shipments data'!L:L,'Shipments data'!F:F,'Supply planning data'!C95,'Shipments data'!A:A,'Supply planning data'!A95,'Shipments data'!O:O,"received",'Shipments data'!Q:Q,"&lt;"&amp;'Supply planning data'!D110,'Shipments data'!AC:AC,"&lt;"&amp;'Supply planning data'!D110)-SUMIFS(M:M,D:D,"&lt;="&amp;D95,C:C,C95)-SUMIFS(AA:AA,D:D,"&lt;="&amp;D95,C:C,C95)+SUMIFS(N:N,D:D,"&lt;="&amp;D95,C:C,C95)+SUMIFS(P:P,D:D,"&lt;="&amp;D95,C:C,C95)&lt;0,0,SUMIFS('Shipments data'!L:L,'Shipments data'!F:F,'Supply planning data'!C95,'Shipments data'!A:A,'Supply planning data'!A95,'Shipments data'!O:O,"received",'Shipments data'!Q:Q,"&lt;"&amp;'Supply planning data'!D110,'Shipments data'!AC:AC,"&lt;"&amp;'Supply planning data'!D110)-SUMIFS(M:M,D:D,"&lt;="&amp;D95,C:C,C95)-SUMIFS(AA:AA,D:D,"&lt;="&amp;D95,C:C,C95)+SUMIFS(N:N,D:D,"&lt;="&amp;D95,C:C,C95)+SUMIFS(P:P,D:D,"&lt;="&amp;D95,C:C,C95))</f>
        <v>0</v>
      </c>
      <c r="AD95" s="92">
        <f t="shared" si="43"/>
        <v>0</v>
      </c>
      <c r="AE95" s="92">
        <f t="shared" si="36"/>
        <v>193140</v>
      </c>
      <c r="AF95" s="205">
        <f t="shared" ref="AF95:AF158" si="46">IF(M95+AA95&lt;=0,"",IFERROR(AE95/(SUM(M95,M125,M110,AA95,AA125,AA110)/3),""))</f>
        <v>1.5666774821544451</v>
      </c>
      <c r="AG95" s="92">
        <f t="shared" si="44"/>
        <v>262980</v>
      </c>
      <c r="AH95" s="91"/>
      <c r="AI95" s="310"/>
      <c r="AJ95" s="92">
        <f t="shared" si="35"/>
        <v>0</v>
      </c>
      <c r="AK95" s="232"/>
      <c r="AL95" s="92">
        <f>IF(SUMIFS('Shipments data'!L:L,'Shipments data'!F:F,'Supply planning data'!C95,'Shipments data'!A:A,'Supply planning data'!A95,'Shipments data'!O:O,"received",'Shipments data'!Q:Q,"&lt;"&amp;'Supply planning data'!D110,'Shipments data'!AC:AC,"&lt;"&amp;'Supply planning data'!D110)-SUMIFS(M:M,D:D,"&lt;="&amp;D95,C:C,C95)-SUMIFS(AJ:AJ,D:D,"&lt;="&amp;D95,C:C,C95)+SUMIFS(N:N,D:D,"&lt;="&amp;D95,C:C,C95)+SUMIFS(P:P,D:D,"&lt;="&amp;D95,C:C,C95)&lt;0,0,SUMIFS('Shipments data'!L:L,'Shipments data'!F:F,'Supply planning data'!C95,'Shipments data'!A:A,'Supply planning data'!A95,'Shipments data'!O:O,"received",'Shipments data'!Q:Q,"&lt;"&amp;'Supply planning data'!D110,'Shipments data'!AC:AC,"&lt;"&amp;'Supply planning data'!D110)-SUMIFS(M:M,D:D,"&lt;="&amp;D95,C:C,C95)-SUMIFS(AJ:AJ,D:D,"&lt;="&amp;D95,C:C,C95)+SUMIFS(N:N,D:D,"&lt;="&amp;D95,C:C,C95)+SUMIFS(P:P,D:D,"&lt;="&amp;D95,C:C,C95))</f>
        <v>0</v>
      </c>
      <c r="AM95" s="92">
        <f t="shared" si="45"/>
        <v>0</v>
      </c>
      <c r="AN95" s="92">
        <f t="shared" si="37"/>
        <v>193140</v>
      </c>
      <c r="AO95" s="205">
        <f t="shared" si="24"/>
        <v>1.5666774821544451</v>
      </c>
    </row>
    <row r="96" spans="1:41" x14ac:dyDescent="0.25">
      <c r="A96" s="95" t="str">
        <f>Start!D$7</f>
        <v>Anyland</v>
      </c>
      <c r="B96" s="96" t="str">
        <f>VLOOKUP(A96,list!B:C,2,FALSE)</f>
        <v>ANY</v>
      </c>
      <c r="C96" s="90" t="str">
        <f>IF(Start!$C$18="","",Start!$C$18)</f>
        <v>Jansen</v>
      </c>
      <c r="D96" s="296">
        <f t="shared" si="39"/>
        <v>44378</v>
      </c>
      <c r="E96" s="92" t="str">
        <f>IFERROR(VLOOKUP(C96,Start!C$15:D$31,2,FALSE),"No")</f>
        <v>Yes</v>
      </c>
      <c r="F96" s="92">
        <f t="shared" si="40"/>
        <v>0</v>
      </c>
      <c r="G96" s="91"/>
      <c r="H96" s="97"/>
      <c r="I96" s="97"/>
      <c r="J96" s="98">
        <f t="shared" si="30"/>
        <v>0</v>
      </c>
      <c r="K96" s="97"/>
      <c r="L96" s="175" t="str">
        <f t="shared" si="31"/>
        <v/>
      </c>
      <c r="M96" s="98">
        <f t="shared" si="32"/>
        <v>0</v>
      </c>
      <c r="N96" s="97"/>
      <c r="O96" s="122"/>
      <c r="P96" s="97"/>
      <c r="Q96" s="122"/>
      <c r="R96" s="98">
        <f>SUMIFS('Shipments data'!L:L,'Shipments data'!F:F,'Supply planning data'!C96,'Shipments data'!A:A,'Supply planning data'!A96,'Shipments data'!Y:Y,'Supply planning data'!D96,'Shipments data'!O:O,"received", 'Shipments data'!N:N, "Public")</f>
        <v>302600</v>
      </c>
      <c r="S96" s="98">
        <f>SUMIFS('Shipments data'!L:L,'Shipments data'!F:F,'Supply planning data'!C96,'Shipments data'!A:A,'Supply planning data'!A96,'Shipments data'!Y:Y,'Supply planning data'!D96,'Shipments data'!O:O,"ordered", 'Shipments data'!N:N, "Public")</f>
        <v>0</v>
      </c>
      <c r="T96" s="98">
        <f>IF(SUMIFS('Shipments data'!L:L,'Shipments data'!F:F,'Supply planning data'!C96,'Shipments data'!A:A,'Supply planning data'!A96,'Shipments data'!O:O,"received",'Shipments data'!Q:Q,"&lt;"&amp;'Supply planning data'!D111,'Shipments data'!AC:AC,"&lt;"&amp;'Supply planning data'!D111)-SUMIFS(M:M,D:D,"&lt;="&amp;D96,C:C,C96)+SUMIFS(N:N,D:D,"&lt;="&amp;D96,C:C,C96)+SUMIFS(P:P,D:D,"&lt;="&amp;D96,C:C,C96)&lt;0,0,SUMIFS('Shipments data'!L:L,'Shipments data'!F:F,'Supply planning data'!C96,'Shipments data'!A:A,'Supply planning data'!A96,'Shipments data'!O:O,"received",'Shipments data'!Q:Q,"&lt;"&amp;'Supply planning data'!D111,'Shipments data'!AC:AC,"&lt;"&amp;'Supply planning data'!D111)-SUMIFS(M:M,D:D,"&lt;="&amp;D96,C:C,C96)+SUMIFS(N:N,D:D,"&lt;="&amp;D96,C:C,C96)+SUMIFS(P:P,D:D,"&lt;="&amp;D96,C:C,C96))</f>
        <v>0</v>
      </c>
      <c r="U96" s="99">
        <f t="shared" si="41"/>
        <v>0</v>
      </c>
      <c r="V96" s="98">
        <f t="shared" si="33"/>
        <v>302600</v>
      </c>
      <c r="W96" s="203" t="str">
        <f t="shared" si="23"/>
        <v/>
      </c>
      <c r="X96" s="98">
        <f t="shared" si="42"/>
        <v>0</v>
      </c>
      <c r="Y96" s="97"/>
      <c r="Z96" s="93"/>
      <c r="AA96" s="98">
        <f t="shared" si="34"/>
        <v>0</v>
      </c>
      <c r="AB96" s="233"/>
      <c r="AC96" s="98">
        <f>IF(SUMIFS('Shipments data'!L:L,'Shipments data'!F:F,'Supply planning data'!C96,'Shipments data'!A:A,'Supply planning data'!A96,'Shipments data'!O:O,"received",'Shipments data'!Q:Q,"&lt;"&amp;'Supply planning data'!D111,'Shipments data'!AC:AC,"&lt;"&amp;'Supply planning data'!D111)-SUMIFS(M:M,D:D,"&lt;="&amp;D96,C:C,C96)-SUMIFS(AA:AA,D:D,"&lt;="&amp;D96,C:C,C96)+SUMIFS(N:N,D:D,"&lt;="&amp;D96,C:C,C96)+SUMIFS(P:P,D:D,"&lt;="&amp;D96,C:C,C96)&lt;0,0,SUMIFS('Shipments data'!L:L,'Shipments data'!F:F,'Supply planning data'!C96,'Shipments data'!A:A,'Supply planning data'!A96,'Shipments data'!O:O,"received",'Shipments data'!Q:Q,"&lt;"&amp;'Supply planning data'!D111,'Shipments data'!AC:AC,"&lt;"&amp;'Supply planning data'!D111)-SUMIFS(M:M,D:D,"&lt;="&amp;D96,C:C,C96)-SUMIFS(AA:AA,D:D,"&lt;="&amp;D96,C:C,C96)+SUMIFS(N:N,D:D,"&lt;="&amp;D96,C:C,C96)+SUMIFS(P:P,D:D,"&lt;="&amp;D96,C:C,C96))</f>
        <v>0</v>
      </c>
      <c r="AD96" s="98">
        <f t="shared" si="43"/>
        <v>0</v>
      </c>
      <c r="AE96" s="98">
        <f t="shared" si="36"/>
        <v>302600</v>
      </c>
      <c r="AF96" s="205" t="str">
        <f t="shared" si="46"/>
        <v/>
      </c>
      <c r="AG96" s="98">
        <f t="shared" si="44"/>
        <v>0</v>
      </c>
      <c r="AH96" s="97"/>
      <c r="AI96" s="311"/>
      <c r="AJ96" s="98">
        <f t="shared" si="35"/>
        <v>0</v>
      </c>
      <c r="AK96" s="233"/>
      <c r="AL96" s="98">
        <f>IF(SUMIFS('Shipments data'!L:L,'Shipments data'!F:F,'Supply planning data'!C96,'Shipments data'!A:A,'Supply planning data'!A96,'Shipments data'!O:O,"received",'Shipments data'!Q:Q,"&lt;"&amp;'Supply planning data'!D111,'Shipments data'!AC:AC,"&lt;"&amp;'Supply planning data'!D111)-SUMIFS(M:M,D:D,"&lt;="&amp;D96,C:C,C96)-SUMIFS(AJ:AJ,D:D,"&lt;="&amp;D96,C:C,C96)+SUMIFS(N:N,D:D,"&lt;="&amp;D96,C:C,C96)+SUMIFS(P:P,D:D,"&lt;="&amp;D96,C:C,C96)&lt;0,0,SUMIFS('Shipments data'!L:L,'Shipments data'!F:F,'Supply planning data'!C96,'Shipments data'!A:A,'Supply planning data'!A96,'Shipments data'!O:O,"received",'Shipments data'!Q:Q,"&lt;"&amp;'Supply planning data'!D111,'Shipments data'!AC:AC,"&lt;"&amp;'Supply planning data'!D111)-SUMIFS(M:M,D:D,"&lt;="&amp;D96,C:C,C96)-SUMIFS(AJ:AJ,D:D,"&lt;="&amp;D96,C:C,C96)+SUMIFS(N:N,D:D,"&lt;="&amp;D96,C:C,C96)+SUMIFS(P:P,D:D,"&lt;="&amp;D96,C:C,C96))</f>
        <v>0</v>
      </c>
      <c r="AM96" s="98">
        <f t="shared" si="45"/>
        <v>0</v>
      </c>
      <c r="AN96" s="98">
        <f t="shared" si="37"/>
        <v>302600</v>
      </c>
      <c r="AO96" s="203" t="str">
        <f t="shared" si="24"/>
        <v/>
      </c>
    </row>
    <row r="97" spans="1:41" x14ac:dyDescent="0.25">
      <c r="A97" s="95" t="str">
        <f>Start!D$7</f>
        <v>Anyland</v>
      </c>
      <c r="B97" s="96" t="str">
        <f>VLOOKUP(A97,list!B:C,2,FALSE)</f>
        <v>ANY</v>
      </c>
      <c r="C97" s="90" t="str">
        <f>IF(Start!$C$19="","",Start!$C$19)</f>
        <v>Moderna</v>
      </c>
      <c r="D97" s="296">
        <f t="shared" si="39"/>
        <v>44378</v>
      </c>
      <c r="E97" s="92" t="str">
        <f>IFERROR(VLOOKUP(C97,Start!C$15:D$31,2,FALSE),"No")</f>
        <v>No</v>
      </c>
      <c r="F97" s="92">
        <f t="shared" si="40"/>
        <v>0</v>
      </c>
      <c r="G97" s="91"/>
      <c r="H97" s="97"/>
      <c r="I97" s="97"/>
      <c r="J97" s="98">
        <f t="shared" si="30"/>
        <v>0</v>
      </c>
      <c r="K97" s="97"/>
      <c r="L97" s="175" t="str">
        <f t="shared" si="31"/>
        <v/>
      </c>
      <c r="M97" s="98">
        <f t="shared" si="32"/>
        <v>0</v>
      </c>
      <c r="N97" s="97"/>
      <c r="O97" s="122"/>
      <c r="P97" s="97"/>
      <c r="Q97" s="122"/>
      <c r="R97" s="98">
        <f>SUMIFS('Shipments data'!L:L,'Shipments data'!F:F,'Supply planning data'!C97,'Shipments data'!A:A,'Supply planning data'!A97,'Shipments data'!Y:Y,'Supply planning data'!D97,'Shipments data'!O:O,"received", 'Shipments data'!N:N, "Public")</f>
        <v>0</v>
      </c>
      <c r="S97" s="98">
        <f>SUMIFS('Shipments data'!L:L,'Shipments data'!F:F,'Supply planning data'!C97,'Shipments data'!A:A,'Supply planning data'!A97,'Shipments data'!Y:Y,'Supply planning data'!D97,'Shipments data'!O:O,"ordered", 'Shipments data'!N:N, "Public")</f>
        <v>0</v>
      </c>
      <c r="T97" s="98">
        <f>IF(SUMIFS('Shipments data'!L:L,'Shipments data'!F:F,'Supply planning data'!C97,'Shipments data'!A:A,'Supply planning data'!A97,'Shipments data'!O:O,"received",'Shipments data'!Q:Q,"&lt;"&amp;'Supply planning data'!D112,'Shipments data'!AC:AC,"&lt;"&amp;'Supply planning data'!D112)-SUMIFS(M:M,D:D,"&lt;="&amp;D97,C:C,C97)+SUMIFS(N:N,D:D,"&lt;="&amp;D97,C:C,C97)+SUMIFS(P:P,D:D,"&lt;="&amp;D97,C:C,C97)&lt;0,0,SUMIFS('Shipments data'!L:L,'Shipments data'!F:F,'Supply planning data'!C97,'Shipments data'!A:A,'Supply planning data'!A97,'Shipments data'!O:O,"received",'Shipments data'!Q:Q,"&lt;"&amp;'Supply planning data'!D112,'Shipments data'!AC:AC,"&lt;"&amp;'Supply planning data'!D112)-SUMIFS(M:M,D:D,"&lt;="&amp;D97,C:C,C97)+SUMIFS(N:N,D:D,"&lt;="&amp;D97,C:C,C97)+SUMIFS(P:P,D:D,"&lt;="&amp;D97,C:C,C97))</f>
        <v>0</v>
      </c>
      <c r="U97" s="99">
        <f t="shared" si="41"/>
        <v>0</v>
      </c>
      <c r="V97" s="98">
        <f t="shared" si="33"/>
        <v>0</v>
      </c>
      <c r="W97" s="203" t="str">
        <f t="shared" si="23"/>
        <v/>
      </c>
      <c r="X97" s="98">
        <f t="shared" si="42"/>
        <v>0</v>
      </c>
      <c r="Y97" s="97"/>
      <c r="Z97" s="93"/>
      <c r="AA97" s="98">
        <f t="shared" si="34"/>
        <v>0</v>
      </c>
      <c r="AB97" s="233"/>
      <c r="AC97" s="98">
        <f>IF(SUMIFS('Shipments data'!L:L,'Shipments data'!F:F,'Supply planning data'!C97,'Shipments data'!A:A,'Supply planning data'!A97,'Shipments data'!O:O,"received",'Shipments data'!Q:Q,"&lt;"&amp;'Supply planning data'!D112,'Shipments data'!AC:AC,"&lt;"&amp;'Supply planning data'!D112)-SUMIFS(M:M,D:D,"&lt;="&amp;D97,C:C,C97)-SUMIFS(AA:AA,D:D,"&lt;="&amp;D97,C:C,C97)+SUMIFS(N:N,D:D,"&lt;="&amp;D97,C:C,C97)+SUMIFS(P:P,D:D,"&lt;="&amp;D97,C:C,C97)&lt;0,0,SUMIFS('Shipments data'!L:L,'Shipments data'!F:F,'Supply planning data'!C97,'Shipments data'!A:A,'Supply planning data'!A97,'Shipments data'!O:O,"received",'Shipments data'!Q:Q,"&lt;"&amp;'Supply planning data'!D112,'Shipments data'!AC:AC,"&lt;"&amp;'Supply planning data'!D112)-SUMIFS(M:M,D:D,"&lt;="&amp;D97,C:C,C97)-SUMIFS(AA:AA,D:D,"&lt;="&amp;D97,C:C,C97)+SUMIFS(N:N,D:D,"&lt;="&amp;D97,C:C,C97)+SUMIFS(P:P,D:D,"&lt;="&amp;D97,C:C,C97))</f>
        <v>0</v>
      </c>
      <c r="AD97" s="98">
        <f t="shared" si="43"/>
        <v>0</v>
      </c>
      <c r="AE97" s="98">
        <f t="shared" si="36"/>
        <v>0</v>
      </c>
      <c r="AF97" s="205" t="str">
        <f t="shared" si="46"/>
        <v/>
      </c>
      <c r="AG97" s="98">
        <f t="shared" si="44"/>
        <v>0</v>
      </c>
      <c r="AH97" s="97"/>
      <c r="AI97" s="311"/>
      <c r="AJ97" s="98">
        <f t="shared" si="35"/>
        <v>0</v>
      </c>
      <c r="AK97" s="233"/>
      <c r="AL97" s="98">
        <f>IF(SUMIFS('Shipments data'!L:L,'Shipments data'!F:F,'Supply planning data'!C97,'Shipments data'!A:A,'Supply planning data'!A97,'Shipments data'!O:O,"received",'Shipments data'!Q:Q,"&lt;"&amp;'Supply planning data'!D112,'Shipments data'!AC:AC,"&lt;"&amp;'Supply planning data'!D112)-SUMIFS(M:M,D:D,"&lt;="&amp;D97,C:C,C97)-SUMIFS(AJ:AJ,D:D,"&lt;="&amp;D97,C:C,C97)+SUMIFS(N:N,D:D,"&lt;="&amp;D97,C:C,C97)+SUMIFS(P:P,D:D,"&lt;="&amp;D97,C:C,C97)&lt;0,0,SUMIFS('Shipments data'!L:L,'Shipments data'!F:F,'Supply planning data'!C97,'Shipments data'!A:A,'Supply planning data'!A97,'Shipments data'!O:O,"received",'Shipments data'!Q:Q,"&lt;"&amp;'Supply planning data'!D112,'Shipments data'!AC:AC,"&lt;"&amp;'Supply planning data'!D112)-SUMIFS(M:M,D:D,"&lt;="&amp;D97,C:C,C97)-SUMIFS(AJ:AJ,D:D,"&lt;="&amp;D97,C:C,C97)+SUMIFS(N:N,D:D,"&lt;="&amp;D97,C:C,C97)+SUMIFS(P:P,D:D,"&lt;="&amp;D97,C:C,C97))</f>
        <v>0</v>
      </c>
      <c r="AM97" s="98">
        <f t="shared" si="45"/>
        <v>0</v>
      </c>
      <c r="AN97" s="98">
        <f t="shared" si="37"/>
        <v>0</v>
      </c>
      <c r="AO97" s="203" t="str">
        <f t="shared" si="24"/>
        <v/>
      </c>
    </row>
    <row r="98" spans="1:41" x14ac:dyDescent="0.25">
      <c r="A98" s="95" t="str">
        <f>Start!D$7</f>
        <v>Anyland</v>
      </c>
      <c r="B98" s="96" t="str">
        <f>VLOOKUP(A98,list!B:C,2,FALSE)</f>
        <v>ANY</v>
      </c>
      <c r="C98" s="90" t="str">
        <f>IF(Start!$C$20="","",Start!$C$20)</f>
        <v>Pfizer</v>
      </c>
      <c r="D98" s="296">
        <f t="shared" si="39"/>
        <v>44378</v>
      </c>
      <c r="E98" s="92" t="str">
        <f>IFERROR(VLOOKUP(C98,Start!C$15:D$31,2,FALSE),"No")</f>
        <v>Yes</v>
      </c>
      <c r="F98" s="92">
        <f t="shared" si="40"/>
        <v>0</v>
      </c>
      <c r="G98" s="91"/>
      <c r="H98" s="97"/>
      <c r="I98" s="97"/>
      <c r="J98" s="98">
        <f t="shared" si="30"/>
        <v>0</v>
      </c>
      <c r="K98" s="97"/>
      <c r="L98" s="175" t="str">
        <f t="shared" si="31"/>
        <v/>
      </c>
      <c r="M98" s="98">
        <f t="shared" si="32"/>
        <v>0</v>
      </c>
      <c r="N98" s="97"/>
      <c r="O98" s="122"/>
      <c r="P98" s="97"/>
      <c r="Q98" s="122"/>
      <c r="R98" s="98">
        <f>SUMIFS('Shipments data'!L:L,'Shipments data'!F:F,'Supply planning data'!C98,'Shipments data'!A:A,'Supply planning data'!A98,'Shipments data'!Y:Y,'Supply planning data'!D98,'Shipments data'!O:O,"received", 'Shipments data'!N:N, "Public")</f>
        <v>0</v>
      </c>
      <c r="S98" s="98">
        <f>SUMIFS('Shipments data'!L:L,'Shipments data'!F:F,'Supply planning data'!C98,'Shipments data'!A:A,'Supply planning data'!A98,'Shipments data'!Y:Y,'Supply planning data'!D98,'Shipments data'!O:O,"ordered", 'Shipments data'!N:N, "Public")</f>
        <v>0</v>
      </c>
      <c r="T98" s="98">
        <f>IF(SUMIFS('Shipments data'!L:L,'Shipments data'!F:F,'Supply planning data'!C98,'Shipments data'!A:A,'Supply planning data'!A98,'Shipments data'!O:O,"received",'Shipments data'!Q:Q,"&lt;"&amp;'Supply planning data'!D113,'Shipments data'!AC:AC,"&lt;"&amp;'Supply planning data'!D113)-SUMIFS(M:M,D:D,"&lt;="&amp;D98,C:C,C98)+SUMIFS(N:N,D:D,"&lt;="&amp;D98,C:C,C98)+SUMIFS(P:P,D:D,"&lt;="&amp;D98,C:C,C98)&lt;0,0,SUMIFS('Shipments data'!L:L,'Shipments data'!F:F,'Supply planning data'!C98,'Shipments data'!A:A,'Supply planning data'!A98,'Shipments data'!O:O,"received",'Shipments data'!Q:Q,"&lt;"&amp;'Supply planning data'!D113,'Shipments data'!AC:AC,"&lt;"&amp;'Supply planning data'!D113)-SUMIFS(M:M,D:D,"&lt;="&amp;D98,C:C,C98)+SUMIFS(N:N,D:D,"&lt;="&amp;D98,C:C,C98)+SUMIFS(P:P,D:D,"&lt;="&amp;D98,C:C,C98))</f>
        <v>0</v>
      </c>
      <c r="U98" s="99">
        <f t="shared" si="41"/>
        <v>0</v>
      </c>
      <c r="V98" s="98">
        <f t="shared" si="33"/>
        <v>0</v>
      </c>
      <c r="W98" s="203" t="str">
        <f t="shared" si="23"/>
        <v/>
      </c>
      <c r="X98" s="98">
        <f t="shared" si="42"/>
        <v>0</v>
      </c>
      <c r="Y98" s="97"/>
      <c r="Z98" s="93"/>
      <c r="AA98" s="98">
        <f t="shared" si="34"/>
        <v>0</v>
      </c>
      <c r="AB98" s="233"/>
      <c r="AC98" s="98">
        <f>IF(SUMIFS('Shipments data'!L:L,'Shipments data'!F:F,'Supply planning data'!C98,'Shipments data'!A:A,'Supply planning data'!A98,'Shipments data'!O:O,"received",'Shipments data'!Q:Q,"&lt;"&amp;'Supply planning data'!D113,'Shipments data'!AC:AC,"&lt;"&amp;'Supply planning data'!D113)-SUMIFS(M:M,D:D,"&lt;="&amp;D98,C:C,C98)-SUMIFS(AA:AA,D:D,"&lt;="&amp;D98,C:C,C98)+SUMIFS(N:N,D:D,"&lt;="&amp;D98,C:C,C98)+SUMIFS(P:P,D:D,"&lt;="&amp;D98,C:C,C98)&lt;0,0,SUMIFS('Shipments data'!L:L,'Shipments data'!F:F,'Supply planning data'!C98,'Shipments data'!A:A,'Supply planning data'!A98,'Shipments data'!O:O,"received",'Shipments data'!Q:Q,"&lt;"&amp;'Supply planning data'!D113,'Shipments data'!AC:AC,"&lt;"&amp;'Supply planning data'!D113)-SUMIFS(M:M,D:D,"&lt;="&amp;D98,C:C,C98)-SUMIFS(AA:AA,D:D,"&lt;="&amp;D98,C:C,C98)+SUMIFS(N:N,D:D,"&lt;="&amp;D98,C:C,C98)+SUMIFS(P:P,D:D,"&lt;="&amp;D98,C:C,C98))</f>
        <v>0</v>
      </c>
      <c r="AD98" s="98">
        <f t="shared" si="43"/>
        <v>0</v>
      </c>
      <c r="AE98" s="98">
        <f t="shared" si="36"/>
        <v>0</v>
      </c>
      <c r="AF98" s="205" t="str">
        <f t="shared" si="46"/>
        <v/>
      </c>
      <c r="AG98" s="98">
        <f t="shared" si="44"/>
        <v>0</v>
      </c>
      <c r="AH98" s="97"/>
      <c r="AI98" s="311"/>
      <c r="AJ98" s="98">
        <f t="shared" si="35"/>
        <v>0</v>
      </c>
      <c r="AK98" s="233"/>
      <c r="AL98" s="98">
        <f>IF(SUMIFS('Shipments data'!L:L,'Shipments data'!F:F,'Supply planning data'!C98,'Shipments data'!A:A,'Supply planning data'!A98,'Shipments data'!O:O,"received",'Shipments data'!Q:Q,"&lt;"&amp;'Supply planning data'!D113,'Shipments data'!AC:AC,"&lt;"&amp;'Supply planning data'!D113)-SUMIFS(M:M,D:D,"&lt;="&amp;D98,C:C,C98)-SUMIFS(AJ:AJ,D:D,"&lt;="&amp;D98,C:C,C98)+SUMIFS(N:N,D:D,"&lt;="&amp;D98,C:C,C98)+SUMIFS(P:P,D:D,"&lt;="&amp;D98,C:C,C98)&lt;0,0,SUMIFS('Shipments data'!L:L,'Shipments data'!F:F,'Supply planning data'!C98,'Shipments data'!A:A,'Supply planning data'!A98,'Shipments data'!O:O,"received",'Shipments data'!Q:Q,"&lt;"&amp;'Supply planning data'!D113,'Shipments data'!AC:AC,"&lt;"&amp;'Supply planning data'!D113)-SUMIFS(M:M,D:D,"&lt;="&amp;D98,C:C,C98)-SUMIFS(AJ:AJ,D:D,"&lt;="&amp;D98,C:C,C98)+SUMIFS(N:N,D:D,"&lt;="&amp;D98,C:C,C98)+SUMIFS(P:P,D:D,"&lt;="&amp;D98,C:C,C98))</f>
        <v>0</v>
      </c>
      <c r="AM98" s="98">
        <f t="shared" si="45"/>
        <v>0</v>
      </c>
      <c r="AN98" s="98">
        <f t="shared" si="37"/>
        <v>0</v>
      </c>
      <c r="AO98" s="203" t="str">
        <f t="shared" si="24"/>
        <v/>
      </c>
    </row>
    <row r="99" spans="1:41" x14ac:dyDescent="0.25">
      <c r="A99" s="95" t="str">
        <f>Start!D$7</f>
        <v>Anyland</v>
      </c>
      <c r="B99" s="96" t="str">
        <f>VLOOKUP(A99,list!B:C,2,FALSE)</f>
        <v>ANY</v>
      </c>
      <c r="C99" s="90" t="str">
        <f>IF(Start!$C$21="","",Start!$C$21)</f>
        <v>Sinovac</v>
      </c>
      <c r="D99" s="296">
        <f t="shared" si="39"/>
        <v>44378</v>
      </c>
      <c r="E99" s="92" t="str">
        <f>IFERROR(VLOOKUP(C99,Start!C$15:D$31,2,FALSE),"No")</f>
        <v>No</v>
      </c>
      <c r="F99" s="92">
        <f t="shared" si="40"/>
        <v>0</v>
      </c>
      <c r="G99" s="91"/>
      <c r="H99" s="97"/>
      <c r="I99" s="97"/>
      <c r="J99" s="98">
        <f t="shared" si="30"/>
        <v>0</v>
      </c>
      <c r="K99" s="97"/>
      <c r="L99" s="175" t="str">
        <f t="shared" si="31"/>
        <v/>
      </c>
      <c r="M99" s="98">
        <f t="shared" si="32"/>
        <v>0</v>
      </c>
      <c r="N99" s="97"/>
      <c r="O99" s="122"/>
      <c r="P99" s="97"/>
      <c r="Q99" s="122"/>
      <c r="R99" s="98">
        <f>SUMIFS('Shipments data'!L:L,'Shipments data'!F:F,'Supply planning data'!C99,'Shipments data'!A:A,'Supply planning data'!A99,'Shipments data'!Y:Y,'Supply planning data'!D99,'Shipments data'!O:O,"received", 'Shipments data'!N:N, "Public")</f>
        <v>0</v>
      </c>
      <c r="S99" s="98">
        <f>SUMIFS('Shipments data'!L:L,'Shipments data'!F:F,'Supply planning data'!C99,'Shipments data'!A:A,'Supply planning data'!A99,'Shipments data'!Y:Y,'Supply planning data'!D99,'Shipments data'!O:O,"ordered", 'Shipments data'!N:N, "Public")</f>
        <v>0</v>
      </c>
      <c r="T99" s="98">
        <f>IF(SUMIFS('Shipments data'!L:L,'Shipments data'!F:F,'Supply planning data'!C99,'Shipments data'!A:A,'Supply planning data'!A99,'Shipments data'!O:O,"received",'Shipments data'!Q:Q,"&lt;"&amp;'Supply planning data'!D114,'Shipments data'!AC:AC,"&lt;"&amp;'Supply planning data'!D114)-SUMIFS(M:M,D:D,"&lt;="&amp;D99,C:C,C99)+SUMIFS(N:N,D:D,"&lt;="&amp;D99,C:C,C99)+SUMIFS(P:P,D:D,"&lt;="&amp;D99,C:C,C99)&lt;0,0,SUMIFS('Shipments data'!L:L,'Shipments data'!F:F,'Supply planning data'!C99,'Shipments data'!A:A,'Supply planning data'!A99,'Shipments data'!O:O,"received",'Shipments data'!Q:Q,"&lt;"&amp;'Supply planning data'!D114,'Shipments data'!AC:AC,"&lt;"&amp;'Supply planning data'!D114)-SUMIFS(M:M,D:D,"&lt;="&amp;D99,C:C,C99)+SUMIFS(N:N,D:D,"&lt;="&amp;D99,C:C,C99)+SUMIFS(P:P,D:D,"&lt;="&amp;D99,C:C,C99))</f>
        <v>0</v>
      </c>
      <c r="U99" s="99">
        <f t="shared" si="41"/>
        <v>0</v>
      </c>
      <c r="V99" s="98">
        <f t="shared" si="33"/>
        <v>0</v>
      </c>
      <c r="W99" s="203" t="str">
        <f t="shared" si="23"/>
        <v/>
      </c>
      <c r="X99" s="98">
        <f t="shared" si="42"/>
        <v>0</v>
      </c>
      <c r="Y99" s="97"/>
      <c r="Z99" s="93"/>
      <c r="AA99" s="98">
        <f t="shared" si="34"/>
        <v>0</v>
      </c>
      <c r="AB99" s="233"/>
      <c r="AC99" s="98">
        <f>IF(SUMIFS('Shipments data'!L:L,'Shipments data'!F:F,'Supply planning data'!C99,'Shipments data'!A:A,'Supply planning data'!A99,'Shipments data'!O:O,"received",'Shipments data'!Q:Q,"&lt;"&amp;'Supply planning data'!D114,'Shipments data'!AC:AC,"&lt;"&amp;'Supply planning data'!D114)-SUMIFS(M:M,D:D,"&lt;="&amp;D99,C:C,C99)-SUMIFS(AA:AA,D:D,"&lt;="&amp;D99,C:C,C99)+SUMIFS(N:N,D:D,"&lt;="&amp;D99,C:C,C99)+SUMIFS(P:P,D:D,"&lt;="&amp;D99,C:C,C99)&lt;0,0,SUMIFS('Shipments data'!L:L,'Shipments data'!F:F,'Supply planning data'!C99,'Shipments data'!A:A,'Supply planning data'!A99,'Shipments data'!O:O,"received",'Shipments data'!Q:Q,"&lt;"&amp;'Supply planning data'!D114,'Shipments data'!AC:AC,"&lt;"&amp;'Supply planning data'!D114)-SUMIFS(M:M,D:D,"&lt;="&amp;D99,C:C,C99)-SUMIFS(AA:AA,D:D,"&lt;="&amp;D99,C:C,C99)+SUMIFS(N:N,D:D,"&lt;="&amp;D99,C:C,C99)+SUMIFS(P:P,D:D,"&lt;="&amp;D99,C:C,C99))</f>
        <v>0</v>
      </c>
      <c r="AD99" s="98">
        <f t="shared" si="43"/>
        <v>0</v>
      </c>
      <c r="AE99" s="98">
        <f t="shared" si="36"/>
        <v>0</v>
      </c>
      <c r="AF99" s="205" t="str">
        <f t="shared" si="46"/>
        <v/>
      </c>
      <c r="AG99" s="98">
        <f t="shared" si="44"/>
        <v>0</v>
      </c>
      <c r="AH99" s="97"/>
      <c r="AI99" s="311"/>
      <c r="AJ99" s="98">
        <f t="shared" si="35"/>
        <v>0</v>
      </c>
      <c r="AK99" s="233"/>
      <c r="AL99" s="98">
        <f>IF(SUMIFS('Shipments data'!L:L,'Shipments data'!F:F,'Supply planning data'!C99,'Shipments data'!A:A,'Supply planning data'!A99,'Shipments data'!O:O,"received",'Shipments data'!Q:Q,"&lt;"&amp;'Supply planning data'!D114,'Shipments data'!AC:AC,"&lt;"&amp;'Supply planning data'!D114)-SUMIFS(M:M,D:D,"&lt;="&amp;D99,C:C,C99)-SUMIFS(AJ:AJ,D:D,"&lt;="&amp;D99,C:C,C99)+SUMIFS(N:N,D:D,"&lt;="&amp;D99,C:C,C99)+SUMIFS(P:P,D:D,"&lt;="&amp;D99,C:C,C99)&lt;0,0,SUMIFS('Shipments data'!L:L,'Shipments data'!F:F,'Supply planning data'!C99,'Shipments data'!A:A,'Supply planning data'!A99,'Shipments data'!O:O,"received",'Shipments data'!Q:Q,"&lt;"&amp;'Supply planning data'!D114,'Shipments data'!AC:AC,"&lt;"&amp;'Supply planning data'!D114)-SUMIFS(M:M,D:D,"&lt;="&amp;D99,C:C,C99)-SUMIFS(AJ:AJ,D:D,"&lt;="&amp;D99,C:C,C99)+SUMIFS(N:N,D:D,"&lt;="&amp;D99,C:C,C99)+SUMIFS(P:P,D:D,"&lt;="&amp;D99,C:C,C99))</f>
        <v>0</v>
      </c>
      <c r="AM99" s="98">
        <f t="shared" si="45"/>
        <v>0</v>
      </c>
      <c r="AN99" s="98">
        <f t="shared" si="37"/>
        <v>0</v>
      </c>
      <c r="AO99" s="203" t="str">
        <f t="shared" si="24"/>
        <v/>
      </c>
    </row>
    <row r="100" spans="1:41" hidden="1" x14ac:dyDescent="0.25">
      <c r="A100" s="95" t="str">
        <f>Start!D$7</f>
        <v>Anyland</v>
      </c>
      <c r="B100" s="96" t="str">
        <f>VLOOKUP(A100,list!B:C,2,FALSE)</f>
        <v>ANY</v>
      </c>
      <c r="C100" s="90" t="str">
        <f>IF(Start!$C$22="","",Start!$C$22)</f>
        <v/>
      </c>
      <c r="D100" s="296">
        <f t="shared" si="39"/>
        <v>44378</v>
      </c>
      <c r="E100" s="92" t="str">
        <f>IFERROR(VLOOKUP(C100,Start!C$15:D$31,2,FALSE),"No")</f>
        <v>No</v>
      </c>
      <c r="F100" s="92">
        <f t="shared" si="40"/>
        <v>0</v>
      </c>
      <c r="G100" s="91"/>
      <c r="H100" s="97"/>
      <c r="I100" s="97"/>
      <c r="J100" s="98">
        <f t="shared" si="30"/>
        <v>0</v>
      </c>
      <c r="K100" s="97"/>
      <c r="L100" s="175" t="str">
        <f t="shared" si="31"/>
        <v/>
      </c>
      <c r="M100" s="98">
        <f t="shared" si="32"/>
        <v>0</v>
      </c>
      <c r="N100" s="97"/>
      <c r="O100" s="122"/>
      <c r="P100" s="97"/>
      <c r="Q100" s="122"/>
      <c r="R100" s="98">
        <f>SUMIFS('Shipments data'!L:L,'Shipments data'!F:F,'Supply planning data'!C100,'Shipments data'!A:A,'Supply planning data'!A100,'Shipments data'!Y:Y,'Supply planning data'!D100,'Shipments data'!O:O,"received", 'Shipments data'!N:N, "Public")</f>
        <v>0</v>
      </c>
      <c r="S100" s="98">
        <f>SUMIFS('Shipments data'!L:L,'Shipments data'!F:F,'Supply planning data'!C100,'Shipments data'!A:A,'Supply planning data'!A100,'Shipments data'!Y:Y,'Supply planning data'!D100,'Shipments data'!O:O,"ordered", 'Shipments data'!N:N, "Public")</f>
        <v>0</v>
      </c>
      <c r="T100" s="98">
        <f>IF(SUMIFS('Shipments data'!L:L,'Shipments data'!F:F,'Supply planning data'!C100,'Shipments data'!A:A,'Supply planning data'!A100,'Shipments data'!O:O,"received",'Shipments data'!Q:Q,"&lt;"&amp;'Supply planning data'!D115,'Shipments data'!AC:AC,"&lt;"&amp;'Supply planning data'!D115)-SUMIFS(M:M,D:D,"&lt;="&amp;D100,C:C,C100)+SUMIFS(N:N,D:D,"&lt;="&amp;D100,C:C,C100)+SUMIFS(P:P,D:D,"&lt;="&amp;D100,C:C,C100)&lt;0,0,SUMIFS('Shipments data'!L:L,'Shipments data'!F:F,'Supply planning data'!C100,'Shipments data'!A:A,'Supply planning data'!A100,'Shipments data'!O:O,"received",'Shipments data'!Q:Q,"&lt;"&amp;'Supply planning data'!D115,'Shipments data'!AC:AC,"&lt;"&amp;'Supply planning data'!D115)-SUMIFS(M:M,D:D,"&lt;="&amp;D100,C:C,C100)+SUMIFS(N:N,D:D,"&lt;="&amp;D100,C:C,C100)+SUMIFS(P:P,D:D,"&lt;="&amp;D100,C:C,C100))</f>
        <v>0</v>
      </c>
      <c r="U100" s="99">
        <f t="shared" si="41"/>
        <v>0</v>
      </c>
      <c r="V100" s="98">
        <f t="shared" si="33"/>
        <v>0</v>
      </c>
      <c r="W100" s="203" t="str">
        <f t="shared" ref="W100:W163" si="47">IF(M100&lt;=0,"",IFERROR(V100/(SUM(M100,M85,M70)/3),""))</f>
        <v/>
      </c>
      <c r="X100" s="98">
        <f t="shared" si="42"/>
        <v>0</v>
      </c>
      <c r="Y100" s="97"/>
      <c r="Z100" s="93"/>
      <c r="AA100" s="98">
        <f t="shared" si="34"/>
        <v>0</v>
      </c>
      <c r="AB100" s="233"/>
      <c r="AC100" s="98">
        <f>IF(SUMIFS('Shipments data'!L:L,'Shipments data'!F:F,'Supply planning data'!C100,'Shipments data'!A:A,'Supply planning data'!A100,'Shipments data'!O:O,"received",'Shipments data'!Q:Q,"&lt;"&amp;'Supply planning data'!D115,'Shipments data'!AC:AC,"&lt;"&amp;'Supply planning data'!D115)-SUMIFS(M:M,D:D,"&lt;="&amp;D100,C:C,C100)-SUMIFS(AA:AA,D:D,"&lt;="&amp;D100,C:C,C100)+SUMIFS(N:N,D:D,"&lt;="&amp;D100,C:C,C100)+SUMIFS(P:P,D:D,"&lt;="&amp;D100,C:C,C100)&lt;0,0,SUMIFS('Shipments data'!L:L,'Shipments data'!F:F,'Supply planning data'!C100,'Shipments data'!A:A,'Supply planning data'!A100,'Shipments data'!O:O,"received",'Shipments data'!Q:Q,"&lt;"&amp;'Supply planning data'!D115,'Shipments data'!AC:AC,"&lt;"&amp;'Supply planning data'!D115)-SUMIFS(M:M,D:D,"&lt;="&amp;D100,C:C,C100)-SUMIFS(AA:AA,D:D,"&lt;="&amp;D100,C:C,C100)+SUMIFS(N:N,D:D,"&lt;="&amp;D100,C:C,C100)+SUMIFS(P:P,D:D,"&lt;="&amp;D100,C:C,C100))</f>
        <v>0</v>
      </c>
      <c r="AD100" s="98">
        <f t="shared" si="43"/>
        <v>0</v>
      </c>
      <c r="AE100" s="98">
        <f t="shared" si="36"/>
        <v>0</v>
      </c>
      <c r="AF100" s="205" t="str">
        <f t="shared" si="46"/>
        <v/>
      </c>
      <c r="AG100" s="98">
        <f t="shared" si="44"/>
        <v>0</v>
      </c>
      <c r="AH100" s="97"/>
      <c r="AI100" s="311"/>
      <c r="AJ100" s="98">
        <f t="shared" si="35"/>
        <v>0</v>
      </c>
      <c r="AK100" s="233"/>
      <c r="AL100" s="98">
        <f>IF(SUMIFS('Shipments data'!L:L,'Shipments data'!F:F,'Supply planning data'!C100,'Shipments data'!A:A,'Supply planning data'!A100,'Shipments data'!O:O,"received",'Shipments data'!Q:Q,"&lt;"&amp;'Supply planning data'!D115,'Shipments data'!AC:AC,"&lt;"&amp;'Supply planning data'!D115)-SUMIFS(M:M,D:D,"&lt;="&amp;D100,C:C,C100)-SUMIFS(AJ:AJ,D:D,"&lt;="&amp;D100,C:C,C100)+SUMIFS(N:N,D:D,"&lt;="&amp;D100,C:C,C100)+SUMIFS(P:P,D:D,"&lt;="&amp;D100,C:C,C100)&lt;0,0,SUMIFS('Shipments data'!L:L,'Shipments data'!F:F,'Supply planning data'!C100,'Shipments data'!A:A,'Supply planning data'!A100,'Shipments data'!O:O,"received",'Shipments data'!Q:Q,"&lt;"&amp;'Supply planning data'!D115,'Shipments data'!AC:AC,"&lt;"&amp;'Supply planning data'!D115)-SUMIFS(M:M,D:D,"&lt;="&amp;D100,C:C,C100)-SUMIFS(AJ:AJ,D:D,"&lt;="&amp;D100,C:C,C100)+SUMIFS(N:N,D:D,"&lt;="&amp;D100,C:C,C100)+SUMIFS(P:P,D:D,"&lt;="&amp;D100,C:C,C100))</f>
        <v>0</v>
      </c>
      <c r="AM100" s="98">
        <f t="shared" si="45"/>
        <v>0</v>
      </c>
      <c r="AN100" s="98">
        <f t="shared" si="37"/>
        <v>0</v>
      </c>
      <c r="AO100" s="203" t="str">
        <f t="shared" ref="AO100:AO163" si="48">IF(M100+AJ100&lt;=0,"",IFERROR(AN100/(SUM(M100,M130,M115,AJ100,AJ130,AJ115)/3),""))</f>
        <v/>
      </c>
    </row>
    <row r="101" spans="1:41" hidden="1" x14ac:dyDescent="0.25">
      <c r="A101" s="95" t="str">
        <f>Start!D$7</f>
        <v>Anyland</v>
      </c>
      <c r="B101" s="96" t="str">
        <f>VLOOKUP(A101,list!B:C,2,FALSE)</f>
        <v>ANY</v>
      </c>
      <c r="C101" s="90" t="str">
        <f>IF(Start!$C$23="","",Start!$C$23)</f>
        <v/>
      </c>
      <c r="D101" s="296">
        <f t="shared" si="39"/>
        <v>44378</v>
      </c>
      <c r="E101" s="92" t="str">
        <f>IFERROR(VLOOKUP(C101,Start!C$15:D$31,2,FALSE),"No")</f>
        <v>No</v>
      </c>
      <c r="F101" s="92">
        <f t="shared" si="40"/>
        <v>0</v>
      </c>
      <c r="G101" s="91"/>
      <c r="H101" s="97"/>
      <c r="I101" s="97"/>
      <c r="J101" s="98">
        <f t="shared" si="30"/>
        <v>0</v>
      </c>
      <c r="K101" s="97"/>
      <c r="L101" s="175" t="str">
        <f t="shared" si="31"/>
        <v/>
      </c>
      <c r="M101" s="98">
        <f t="shared" si="32"/>
        <v>0</v>
      </c>
      <c r="N101" s="97"/>
      <c r="O101" s="122"/>
      <c r="P101" s="97"/>
      <c r="Q101" s="122"/>
      <c r="R101" s="98">
        <f>SUMIFS('Shipments data'!L:L,'Shipments data'!F:F,'Supply planning data'!C101,'Shipments data'!A:A,'Supply planning data'!A101,'Shipments data'!Y:Y,'Supply planning data'!D101,'Shipments data'!O:O,"received", 'Shipments data'!N:N, "Public")</f>
        <v>0</v>
      </c>
      <c r="S101" s="98">
        <f>SUMIFS('Shipments data'!L:L,'Shipments data'!F:F,'Supply planning data'!C101,'Shipments data'!A:A,'Supply planning data'!A101,'Shipments data'!Y:Y,'Supply planning data'!D101,'Shipments data'!O:O,"ordered", 'Shipments data'!N:N, "Public")</f>
        <v>0</v>
      </c>
      <c r="T101" s="98">
        <f>IF(SUMIFS('Shipments data'!L:L,'Shipments data'!F:F,'Supply planning data'!C101,'Shipments data'!A:A,'Supply planning data'!A101,'Shipments data'!O:O,"received",'Shipments data'!Q:Q,"&lt;"&amp;'Supply planning data'!D116,'Shipments data'!AC:AC,"&lt;"&amp;'Supply planning data'!D116)-SUMIFS(M:M,D:D,"&lt;="&amp;D101,C:C,C101)+SUMIFS(N:N,D:D,"&lt;="&amp;D101,C:C,C101)+SUMIFS(P:P,D:D,"&lt;="&amp;D101,C:C,C101)&lt;0,0,SUMIFS('Shipments data'!L:L,'Shipments data'!F:F,'Supply planning data'!C101,'Shipments data'!A:A,'Supply planning data'!A101,'Shipments data'!O:O,"received",'Shipments data'!Q:Q,"&lt;"&amp;'Supply planning data'!D116,'Shipments data'!AC:AC,"&lt;"&amp;'Supply planning data'!D116)-SUMIFS(M:M,D:D,"&lt;="&amp;D101,C:C,C101)+SUMIFS(N:N,D:D,"&lt;="&amp;D101,C:C,C101)+SUMIFS(P:P,D:D,"&lt;="&amp;D101,C:C,C101))</f>
        <v>0</v>
      </c>
      <c r="U101" s="99">
        <f t="shared" si="41"/>
        <v>0</v>
      </c>
      <c r="V101" s="98">
        <f t="shared" ref="V101:V132" si="49">IF(F101-M101+N101+P101+R101-U101&lt;0,0,F101-M101+N101+P101+R101-U101)</f>
        <v>0</v>
      </c>
      <c r="W101" s="203" t="str">
        <f t="shared" si="47"/>
        <v/>
      </c>
      <c r="X101" s="98">
        <f t="shared" si="42"/>
        <v>0</v>
      </c>
      <c r="Y101" s="97"/>
      <c r="Z101" s="93"/>
      <c r="AA101" s="98">
        <f t="shared" si="34"/>
        <v>0</v>
      </c>
      <c r="AB101" s="233"/>
      <c r="AC101" s="98">
        <f>IF(SUMIFS('Shipments data'!L:L,'Shipments data'!F:F,'Supply planning data'!C101,'Shipments data'!A:A,'Supply planning data'!A101,'Shipments data'!O:O,"received",'Shipments data'!Q:Q,"&lt;"&amp;'Supply planning data'!D116,'Shipments data'!AC:AC,"&lt;"&amp;'Supply planning data'!D116)-SUMIFS(M:M,D:D,"&lt;="&amp;D101,C:C,C101)-SUMIFS(AA:AA,D:D,"&lt;="&amp;D101,C:C,C101)+SUMIFS(N:N,D:D,"&lt;="&amp;D101,C:C,C101)+SUMIFS(P:P,D:D,"&lt;="&amp;D101,C:C,C101)&lt;0,0,SUMIFS('Shipments data'!L:L,'Shipments data'!F:F,'Supply planning data'!C101,'Shipments data'!A:A,'Supply planning data'!A101,'Shipments data'!O:O,"received",'Shipments data'!Q:Q,"&lt;"&amp;'Supply planning data'!D116,'Shipments data'!AC:AC,"&lt;"&amp;'Supply planning data'!D116)-SUMIFS(M:M,D:D,"&lt;="&amp;D101,C:C,C101)-SUMIFS(AA:AA,D:D,"&lt;="&amp;D101,C:C,C101)+SUMIFS(N:N,D:D,"&lt;="&amp;D101,C:C,C101)+SUMIFS(P:P,D:D,"&lt;="&amp;D101,C:C,C101))</f>
        <v>0</v>
      </c>
      <c r="AD101" s="98">
        <f t="shared" si="43"/>
        <v>0</v>
      </c>
      <c r="AE101" s="98">
        <f t="shared" si="36"/>
        <v>0</v>
      </c>
      <c r="AF101" s="205" t="str">
        <f t="shared" si="46"/>
        <v/>
      </c>
      <c r="AG101" s="98">
        <f t="shared" si="44"/>
        <v>0</v>
      </c>
      <c r="AH101" s="97"/>
      <c r="AI101" s="311"/>
      <c r="AJ101" s="98">
        <f t="shared" si="35"/>
        <v>0</v>
      </c>
      <c r="AK101" s="233"/>
      <c r="AL101" s="98">
        <f>IF(SUMIFS('Shipments data'!L:L,'Shipments data'!F:F,'Supply planning data'!C101,'Shipments data'!A:A,'Supply planning data'!A101,'Shipments data'!O:O,"received",'Shipments data'!Q:Q,"&lt;"&amp;'Supply planning data'!D116,'Shipments data'!AC:AC,"&lt;"&amp;'Supply planning data'!D116)-SUMIFS(M:M,D:D,"&lt;="&amp;D101,C:C,C101)-SUMIFS(AJ:AJ,D:D,"&lt;="&amp;D101,C:C,C101)+SUMIFS(N:N,D:D,"&lt;="&amp;D101,C:C,C101)+SUMIFS(P:P,D:D,"&lt;="&amp;D101,C:C,C101)&lt;0,0,SUMIFS('Shipments data'!L:L,'Shipments data'!F:F,'Supply planning data'!C101,'Shipments data'!A:A,'Supply planning data'!A101,'Shipments data'!O:O,"received",'Shipments data'!Q:Q,"&lt;"&amp;'Supply planning data'!D116,'Shipments data'!AC:AC,"&lt;"&amp;'Supply planning data'!D116)-SUMIFS(M:M,D:D,"&lt;="&amp;D101,C:C,C101)-SUMIFS(AJ:AJ,D:D,"&lt;="&amp;D101,C:C,C101)+SUMIFS(N:N,D:D,"&lt;="&amp;D101,C:C,C101)+SUMIFS(P:P,D:D,"&lt;="&amp;D101,C:C,C101))</f>
        <v>0</v>
      </c>
      <c r="AM101" s="98">
        <f t="shared" si="45"/>
        <v>0</v>
      </c>
      <c r="AN101" s="98">
        <f t="shared" si="37"/>
        <v>0</v>
      </c>
      <c r="AO101" s="203" t="str">
        <f t="shared" si="48"/>
        <v/>
      </c>
    </row>
    <row r="102" spans="1:41" hidden="1" x14ac:dyDescent="0.25">
      <c r="A102" s="95" t="str">
        <f>Start!D$7</f>
        <v>Anyland</v>
      </c>
      <c r="B102" s="96" t="str">
        <f>VLOOKUP(A102,list!B:C,2,FALSE)</f>
        <v>ANY</v>
      </c>
      <c r="C102" s="90" t="str">
        <f>IF(Start!$C$24="","",Start!$C$24)</f>
        <v/>
      </c>
      <c r="D102" s="296">
        <f t="shared" si="39"/>
        <v>44378</v>
      </c>
      <c r="E102" s="92" t="str">
        <f>IFERROR(VLOOKUP(C102,Start!C$15:D$31,2,FALSE),"No")</f>
        <v>No</v>
      </c>
      <c r="F102" s="92">
        <f t="shared" si="40"/>
        <v>0</v>
      </c>
      <c r="G102" s="91"/>
      <c r="H102" s="97"/>
      <c r="I102" s="97"/>
      <c r="J102" s="98">
        <f t="shared" si="30"/>
        <v>0</v>
      </c>
      <c r="K102" s="97"/>
      <c r="L102" s="175" t="str">
        <f t="shared" si="31"/>
        <v/>
      </c>
      <c r="M102" s="98">
        <f t="shared" si="32"/>
        <v>0</v>
      </c>
      <c r="N102" s="97"/>
      <c r="O102" s="122"/>
      <c r="P102" s="97"/>
      <c r="Q102" s="122"/>
      <c r="R102" s="98">
        <f>SUMIFS('Shipments data'!L:L,'Shipments data'!F:F,'Supply planning data'!C102,'Shipments data'!A:A,'Supply planning data'!A102,'Shipments data'!Y:Y,'Supply planning data'!D102,'Shipments data'!O:O,"received", 'Shipments data'!N:N, "Public")</f>
        <v>0</v>
      </c>
      <c r="S102" s="98">
        <f>SUMIFS('Shipments data'!L:L,'Shipments data'!F:F,'Supply planning data'!C102,'Shipments data'!A:A,'Supply planning data'!A102,'Shipments data'!Y:Y,'Supply planning data'!D102,'Shipments data'!O:O,"ordered", 'Shipments data'!N:N, "Public")</f>
        <v>0</v>
      </c>
      <c r="T102" s="98">
        <f>IF(SUMIFS('Shipments data'!L:L,'Shipments data'!F:F,'Supply planning data'!C102,'Shipments data'!A:A,'Supply planning data'!A102,'Shipments data'!O:O,"received",'Shipments data'!Q:Q,"&lt;"&amp;'Supply planning data'!D117,'Shipments data'!AC:AC,"&lt;"&amp;'Supply planning data'!D117)-SUMIFS(M:M,D:D,"&lt;="&amp;D102,C:C,C102)+SUMIFS(N:N,D:D,"&lt;="&amp;D102,C:C,C102)+SUMIFS(P:P,D:D,"&lt;="&amp;D102,C:C,C102)&lt;0,0,SUMIFS('Shipments data'!L:L,'Shipments data'!F:F,'Supply planning data'!C102,'Shipments data'!A:A,'Supply planning data'!A102,'Shipments data'!O:O,"received",'Shipments data'!Q:Q,"&lt;"&amp;'Supply planning data'!D117,'Shipments data'!AC:AC,"&lt;"&amp;'Supply planning data'!D117)-SUMIFS(M:M,D:D,"&lt;="&amp;D102,C:C,C102)+SUMIFS(N:N,D:D,"&lt;="&amp;D102,C:C,C102)+SUMIFS(P:P,D:D,"&lt;="&amp;D102,C:C,C102))</f>
        <v>0</v>
      </c>
      <c r="U102" s="99">
        <f t="shared" si="41"/>
        <v>0</v>
      </c>
      <c r="V102" s="98">
        <f t="shared" si="49"/>
        <v>0</v>
      </c>
      <c r="W102" s="203" t="str">
        <f t="shared" si="47"/>
        <v/>
      </c>
      <c r="X102" s="98">
        <f t="shared" si="42"/>
        <v>0</v>
      </c>
      <c r="Y102" s="97"/>
      <c r="Z102" s="93"/>
      <c r="AA102" s="98">
        <f t="shared" si="34"/>
        <v>0</v>
      </c>
      <c r="AB102" s="233"/>
      <c r="AC102" s="98">
        <f>IF(SUMIFS('Shipments data'!L:L,'Shipments data'!F:F,'Supply planning data'!C102,'Shipments data'!A:A,'Supply planning data'!A102,'Shipments data'!O:O,"received",'Shipments data'!Q:Q,"&lt;"&amp;'Supply planning data'!D117,'Shipments data'!AC:AC,"&lt;"&amp;'Supply planning data'!D117)-SUMIFS(M:M,D:D,"&lt;="&amp;D102,C:C,C102)-SUMIFS(AA:AA,D:D,"&lt;="&amp;D102,C:C,C102)+SUMIFS(N:N,D:D,"&lt;="&amp;D102,C:C,C102)+SUMIFS(P:P,D:D,"&lt;="&amp;D102,C:C,C102)&lt;0,0,SUMIFS('Shipments data'!L:L,'Shipments data'!F:F,'Supply planning data'!C102,'Shipments data'!A:A,'Supply planning data'!A102,'Shipments data'!O:O,"received",'Shipments data'!Q:Q,"&lt;"&amp;'Supply planning data'!D117,'Shipments data'!AC:AC,"&lt;"&amp;'Supply planning data'!D117)-SUMIFS(M:M,D:D,"&lt;="&amp;D102,C:C,C102)-SUMIFS(AA:AA,D:D,"&lt;="&amp;D102,C:C,C102)+SUMIFS(N:N,D:D,"&lt;="&amp;D102,C:C,C102)+SUMIFS(P:P,D:D,"&lt;="&amp;D102,C:C,C102))</f>
        <v>0</v>
      </c>
      <c r="AD102" s="98">
        <f t="shared" si="43"/>
        <v>0</v>
      </c>
      <c r="AE102" s="98">
        <f t="shared" si="36"/>
        <v>0</v>
      </c>
      <c r="AF102" s="205" t="str">
        <f t="shared" si="46"/>
        <v/>
      </c>
      <c r="AG102" s="98">
        <f t="shared" si="44"/>
        <v>0</v>
      </c>
      <c r="AH102" s="97"/>
      <c r="AI102" s="311"/>
      <c r="AJ102" s="98">
        <f t="shared" si="35"/>
        <v>0</v>
      </c>
      <c r="AK102" s="233"/>
      <c r="AL102" s="98">
        <f>IF(SUMIFS('Shipments data'!L:L,'Shipments data'!F:F,'Supply planning data'!C102,'Shipments data'!A:A,'Supply planning data'!A102,'Shipments data'!O:O,"received",'Shipments data'!Q:Q,"&lt;"&amp;'Supply planning data'!D117,'Shipments data'!AC:AC,"&lt;"&amp;'Supply planning data'!D117)-SUMIFS(M:M,D:D,"&lt;="&amp;D102,C:C,C102)-SUMIFS(AJ:AJ,D:D,"&lt;="&amp;D102,C:C,C102)+SUMIFS(N:N,D:D,"&lt;="&amp;D102,C:C,C102)+SUMIFS(P:P,D:D,"&lt;="&amp;D102,C:C,C102)&lt;0,0,SUMIFS('Shipments data'!L:L,'Shipments data'!F:F,'Supply planning data'!C102,'Shipments data'!A:A,'Supply planning data'!A102,'Shipments data'!O:O,"received",'Shipments data'!Q:Q,"&lt;"&amp;'Supply planning data'!D117,'Shipments data'!AC:AC,"&lt;"&amp;'Supply planning data'!D117)-SUMIFS(M:M,D:D,"&lt;="&amp;D102,C:C,C102)-SUMIFS(AJ:AJ,D:D,"&lt;="&amp;D102,C:C,C102)+SUMIFS(N:N,D:D,"&lt;="&amp;D102,C:C,C102)+SUMIFS(P:P,D:D,"&lt;="&amp;D102,C:C,C102))</f>
        <v>0</v>
      </c>
      <c r="AM102" s="98">
        <f t="shared" si="45"/>
        <v>0</v>
      </c>
      <c r="AN102" s="98">
        <f t="shared" si="37"/>
        <v>0</v>
      </c>
      <c r="AO102" s="203" t="str">
        <f t="shared" si="48"/>
        <v/>
      </c>
    </row>
    <row r="103" spans="1:41" hidden="1" x14ac:dyDescent="0.25">
      <c r="A103" s="95" t="str">
        <f>Start!D$7</f>
        <v>Anyland</v>
      </c>
      <c r="B103" s="96" t="str">
        <f>VLOOKUP(A103,list!B:C,2,FALSE)</f>
        <v>ANY</v>
      </c>
      <c r="C103" s="90" t="str">
        <f>IF(Start!$C$25="","",Start!$C$25)</f>
        <v/>
      </c>
      <c r="D103" s="296">
        <f t="shared" si="39"/>
        <v>44378</v>
      </c>
      <c r="E103" s="92" t="str">
        <f>IFERROR(VLOOKUP(C103,Start!C$15:D$31,2,FALSE),"No")</f>
        <v>No</v>
      </c>
      <c r="F103" s="92">
        <f t="shared" si="40"/>
        <v>0</v>
      </c>
      <c r="G103" s="91"/>
      <c r="H103" s="97"/>
      <c r="I103" s="97"/>
      <c r="J103" s="98">
        <f t="shared" si="30"/>
        <v>0</v>
      </c>
      <c r="K103" s="97"/>
      <c r="L103" s="175" t="str">
        <f t="shared" si="31"/>
        <v/>
      </c>
      <c r="M103" s="98">
        <f t="shared" si="32"/>
        <v>0</v>
      </c>
      <c r="N103" s="97"/>
      <c r="O103" s="122"/>
      <c r="P103" s="97"/>
      <c r="Q103" s="122"/>
      <c r="R103" s="98">
        <f>SUMIFS('Shipments data'!L:L,'Shipments data'!F:F,'Supply planning data'!C103,'Shipments data'!A:A,'Supply planning data'!A103,'Shipments data'!Y:Y,'Supply planning data'!D103,'Shipments data'!O:O,"received", 'Shipments data'!N:N, "Public")</f>
        <v>0</v>
      </c>
      <c r="S103" s="98">
        <f>SUMIFS('Shipments data'!L:L,'Shipments data'!F:F,'Supply planning data'!C103,'Shipments data'!A:A,'Supply planning data'!A103,'Shipments data'!Y:Y,'Supply planning data'!D103,'Shipments data'!O:O,"ordered", 'Shipments data'!N:N, "Public")</f>
        <v>0</v>
      </c>
      <c r="T103" s="98">
        <f>IF(SUMIFS('Shipments data'!L:L,'Shipments data'!F:F,'Supply planning data'!C103,'Shipments data'!A:A,'Supply planning data'!A103,'Shipments data'!O:O,"received",'Shipments data'!Q:Q,"&lt;"&amp;'Supply planning data'!D118,'Shipments data'!AC:AC,"&lt;"&amp;'Supply planning data'!D118)-SUMIFS(M:M,D:D,"&lt;="&amp;D103,C:C,C103)+SUMIFS(N:N,D:D,"&lt;="&amp;D103,C:C,C103)+SUMIFS(P:P,D:D,"&lt;="&amp;D103,C:C,C103)&lt;0,0,SUMIFS('Shipments data'!L:L,'Shipments data'!F:F,'Supply planning data'!C103,'Shipments data'!A:A,'Supply planning data'!A103,'Shipments data'!O:O,"received",'Shipments data'!Q:Q,"&lt;"&amp;'Supply planning data'!D118,'Shipments data'!AC:AC,"&lt;"&amp;'Supply planning data'!D118)-SUMIFS(M:M,D:D,"&lt;="&amp;D103,C:C,C103)+SUMIFS(N:N,D:D,"&lt;="&amp;D103,C:C,C103)+SUMIFS(P:P,D:D,"&lt;="&amp;D103,C:C,C103))</f>
        <v>0</v>
      </c>
      <c r="U103" s="99">
        <f t="shared" si="41"/>
        <v>0</v>
      </c>
      <c r="V103" s="98">
        <f t="shared" si="49"/>
        <v>0</v>
      </c>
      <c r="W103" s="203" t="str">
        <f t="shared" si="47"/>
        <v/>
      </c>
      <c r="X103" s="98">
        <f t="shared" si="42"/>
        <v>0</v>
      </c>
      <c r="Y103" s="97"/>
      <c r="Z103" s="93"/>
      <c r="AA103" s="98">
        <f t="shared" si="34"/>
        <v>0</v>
      </c>
      <c r="AB103" s="233"/>
      <c r="AC103" s="98">
        <f>IF(SUMIFS('Shipments data'!L:L,'Shipments data'!F:F,'Supply planning data'!C103,'Shipments data'!A:A,'Supply planning data'!A103,'Shipments data'!O:O,"received",'Shipments data'!Q:Q,"&lt;"&amp;'Supply planning data'!D118,'Shipments data'!AC:AC,"&lt;"&amp;'Supply planning data'!D118)-SUMIFS(M:M,D:D,"&lt;="&amp;D103,C:C,C103)-SUMIFS(AA:AA,D:D,"&lt;="&amp;D103,C:C,C103)+SUMIFS(N:N,D:D,"&lt;="&amp;D103,C:C,C103)+SUMIFS(P:P,D:D,"&lt;="&amp;D103,C:C,C103)&lt;0,0,SUMIFS('Shipments data'!L:L,'Shipments data'!F:F,'Supply planning data'!C103,'Shipments data'!A:A,'Supply planning data'!A103,'Shipments data'!O:O,"received",'Shipments data'!Q:Q,"&lt;"&amp;'Supply planning data'!D118,'Shipments data'!AC:AC,"&lt;"&amp;'Supply planning data'!D118)-SUMIFS(M:M,D:D,"&lt;="&amp;D103,C:C,C103)-SUMIFS(AA:AA,D:D,"&lt;="&amp;D103,C:C,C103)+SUMIFS(N:N,D:D,"&lt;="&amp;D103,C:C,C103)+SUMIFS(P:P,D:D,"&lt;="&amp;D103,C:C,C103))</f>
        <v>0</v>
      </c>
      <c r="AD103" s="98">
        <f t="shared" si="43"/>
        <v>0</v>
      </c>
      <c r="AE103" s="98">
        <f t="shared" si="36"/>
        <v>0</v>
      </c>
      <c r="AF103" s="205" t="str">
        <f t="shared" si="46"/>
        <v/>
      </c>
      <c r="AG103" s="98">
        <f t="shared" si="44"/>
        <v>0</v>
      </c>
      <c r="AH103" s="97"/>
      <c r="AI103" s="311"/>
      <c r="AJ103" s="98">
        <f t="shared" si="35"/>
        <v>0</v>
      </c>
      <c r="AK103" s="233"/>
      <c r="AL103" s="98">
        <f>IF(SUMIFS('Shipments data'!L:L,'Shipments data'!F:F,'Supply planning data'!C103,'Shipments data'!A:A,'Supply planning data'!A103,'Shipments data'!O:O,"received",'Shipments data'!Q:Q,"&lt;"&amp;'Supply planning data'!D118,'Shipments data'!AC:AC,"&lt;"&amp;'Supply planning data'!D118)-SUMIFS(M:M,D:D,"&lt;="&amp;D103,C:C,C103)-SUMIFS(AJ:AJ,D:D,"&lt;="&amp;D103,C:C,C103)+SUMIFS(N:N,D:D,"&lt;="&amp;D103,C:C,C103)+SUMIFS(P:P,D:D,"&lt;="&amp;D103,C:C,C103)&lt;0,0,SUMIFS('Shipments data'!L:L,'Shipments data'!F:F,'Supply planning data'!C103,'Shipments data'!A:A,'Supply planning data'!A103,'Shipments data'!O:O,"received",'Shipments data'!Q:Q,"&lt;"&amp;'Supply planning data'!D118,'Shipments data'!AC:AC,"&lt;"&amp;'Supply planning data'!D118)-SUMIFS(M:M,D:D,"&lt;="&amp;D103,C:C,C103)-SUMIFS(AJ:AJ,D:D,"&lt;="&amp;D103,C:C,C103)+SUMIFS(N:N,D:D,"&lt;="&amp;D103,C:C,C103)+SUMIFS(P:P,D:D,"&lt;="&amp;D103,C:C,C103))</f>
        <v>0</v>
      </c>
      <c r="AM103" s="98">
        <f t="shared" si="45"/>
        <v>0</v>
      </c>
      <c r="AN103" s="98">
        <f t="shared" si="37"/>
        <v>0</v>
      </c>
      <c r="AO103" s="203" t="str">
        <f t="shared" si="48"/>
        <v/>
      </c>
    </row>
    <row r="104" spans="1:41" hidden="1" x14ac:dyDescent="0.25">
      <c r="A104" s="95" t="str">
        <f>Start!D$7</f>
        <v>Anyland</v>
      </c>
      <c r="B104" s="96" t="str">
        <f>VLOOKUP(A104,list!B:C,2,FALSE)</f>
        <v>ANY</v>
      </c>
      <c r="C104" s="90" t="str">
        <f>IF(Start!$C$26="","",Start!$C$26)</f>
        <v/>
      </c>
      <c r="D104" s="296">
        <f t="shared" si="39"/>
        <v>44378</v>
      </c>
      <c r="E104" s="92" t="str">
        <f>IFERROR(VLOOKUP(C104,Start!C$15:D$31,2,FALSE),"No")</f>
        <v>No</v>
      </c>
      <c r="F104" s="92">
        <f t="shared" si="40"/>
        <v>0</v>
      </c>
      <c r="G104" s="91"/>
      <c r="H104" s="97"/>
      <c r="I104" s="97"/>
      <c r="J104" s="98">
        <f t="shared" si="30"/>
        <v>0</v>
      </c>
      <c r="K104" s="97"/>
      <c r="L104" s="175" t="str">
        <f t="shared" si="31"/>
        <v/>
      </c>
      <c r="M104" s="98">
        <f t="shared" si="32"/>
        <v>0</v>
      </c>
      <c r="N104" s="97"/>
      <c r="O104" s="122"/>
      <c r="P104" s="97"/>
      <c r="Q104" s="122"/>
      <c r="R104" s="98">
        <f>SUMIFS('Shipments data'!L:L,'Shipments data'!F:F,'Supply planning data'!C104,'Shipments data'!A:A,'Supply planning data'!A104,'Shipments data'!Y:Y,'Supply planning data'!D104,'Shipments data'!O:O,"received", 'Shipments data'!N:N, "Public")</f>
        <v>0</v>
      </c>
      <c r="S104" s="98">
        <f>SUMIFS('Shipments data'!L:L,'Shipments data'!F:F,'Supply planning data'!C104,'Shipments data'!A:A,'Supply planning data'!A104,'Shipments data'!Y:Y,'Supply planning data'!D104,'Shipments data'!O:O,"ordered", 'Shipments data'!N:N, "Public")</f>
        <v>0</v>
      </c>
      <c r="T104" s="98">
        <f>IF(SUMIFS('Shipments data'!L:L,'Shipments data'!F:F,'Supply planning data'!C104,'Shipments data'!A:A,'Supply planning data'!A104,'Shipments data'!O:O,"received",'Shipments data'!Q:Q,"&lt;"&amp;'Supply planning data'!D119,'Shipments data'!AC:AC,"&lt;"&amp;'Supply planning data'!D119)-SUMIFS(M:M,D:D,"&lt;="&amp;D104,C:C,C104)+SUMIFS(N:N,D:D,"&lt;="&amp;D104,C:C,C104)+SUMIFS(P:P,D:D,"&lt;="&amp;D104,C:C,C104)&lt;0,0,SUMIFS('Shipments data'!L:L,'Shipments data'!F:F,'Supply planning data'!C104,'Shipments data'!A:A,'Supply planning data'!A104,'Shipments data'!O:O,"received",'Shipments data'!Q:Q,"&lt;"&amp;'Supply planning data'!D119,'Shipments data'!AC:AC,"&lt;"&amp;'Supply planning data'!D119)-SUMIFS(M:M,D:D,"&lt;="&amp;D104,C:C,C104)+SUMIFS(N:N,D:D,"&lt;="&amp;D104,C:C,C104)+SUMIFS(P:P,D:D,"&lt;="&amp;D104,C:C,C104))</f>
        <v>0</v>
      </c>
      <c r="U104" s="99">
        <f t="shared" si="41"/>
        <v>0</v>
      </c>
      <c r="V104" s="98">
        <f t="shared" si="49"/>
        <v>0</v>
      </c>
      <c r="W104" s="203" t="str">
        <f t="shared" si="47"/>
        <v/>
      </c>
      <c r="X104" s="98">
        <f t="shared" si="42"/>
        <v>0</v>
      </c>
      <c r="Y104" s="97"/>
      <c r="Z104" s="93"/>
      <c r="AA104" s="98">
        <f t="shared" si="34"/>
        <v>0</v>
      </c>
      <c r="AB104" s="233"/>
      <c r="AC104" s="98">
        <f>IF(SUMIFS('Shipments data'!L:L,'Shipments data'!F:F,'Supply planning data'!C104,'Shipments data'!A:A,'Supply planning data'!A104,'Shipments data'!O:O,"received",'Shipments data'!Q:Q,"&lt;"&amp;'Supply planning data'!D119,'Shipments data'!AC:AC,"&lt;"&amp;'Supply planning data'!D119)-SUMIFS(M:M,D:D,"&lt;="&amp;D104,C:C,C104)-SUMIFS(AA:AA,D:D,"&lt;="&amp;D104,C:C,C104)+SUMIFS(N:N,D:D,"&lt;="&amp;D104,C:C,C104)+SUMIFS(P:P,D:D,"&lt;="&amp;D104,C:C,C104)&lt;0,0,SUMIFS('Shipments data'!L:L,'Shipments data'!F:F,'Supply planning data'!C104,'Shipments data'!A:A,'Supply planning data'!A104,'Shipments data'!O:O,"received",'Shipments data'!Q:Q,"&lt;"&amp;'Supply planning data'!D119,'Shipments data'!AC:AC,"&lt;"&amp;'Supply planning data'!D119)-SUMIFS(M:M,D:D,"&lt;="&amp;D104,C:C,C104)-SUMIFS(AA:AA,D:D,"&lt;="&amp;D104,C:C,C104)+SUMIFS(N:N,D:D,"&lt;="&amp;D104,C:C,C104)+SUMIFS(P:P,D:D,"&lt;="&amp;D104,C:C,C104))</f>
        <v>0</v>
      </c>
      <c r="AD104" s="98">
        <f t="shared" si="43"/>
        <v>0</v>
      </c>
      <c r="AE104" s="98">
        <f t="shared" si="36"/>
        <v>0</v>
      </c>
      <c r="AF104" s="205" t="str">
        <f t="shared" si="46"/>
        <v/>
      </c>
      <c r="AG104" s="98">
        <f t="shared" si="44"/>
        <v>0</v>
      </c>
      <c r="AH104" s="97"/>
      <c r="AI104" s="311"/>
      <c r="AJ104" s="98">
        <f t="shared" si="35"/>
        <v>0</v>
      </c>
      <c r="AK104" s="233"/>
      <c r="AL104" s="98">
        <f>IF(SUMIFS('Shipments data'!L:L,'Shipments data'!F:F,'Supply planning data'!C104,'Shipments data'!A:A,'Supply planning data'!A104,'Shipments data'!O:O,"received",'Shipments data'!Q:Q,"&lt;"&amp;'Supply planning data'!D119,'Shipments data'!AC:AC,"&lt;"&amp;'Supply planning data'!D119)-SUMIFS(M:M,D:D,"&lt;="&amp;D104,C:C,C104)-SUMIFS(AJ:AJ,D:D,"&lt;="&amp;D104,C:C,C104)+SUMIFS(N:N,D:D,"&lt;="&amp;D104,C:C,C104)+SUMIFS(P:P,D:D,"&lt;="&amp;D104,C:C,C104)&lt;0,0,SUMIFS('Shipments data'!L:L,'Shipments data'!F:F,'Supply planning data'!C104,'Shipments data'!A:A,'Supply planning data'!A104,'Shipments data'!O:O,"received",'Shipments data'!Q:Q,"&lt;"&amp;'Supply planning data'!D119,'Shipments data'!AC:AC,"&lt;"&amp;'Supply planning data'!D119)-SUMIFS(M:M,D:D,"&lt;="&amp;D104,C:C,C104)-SUMIFS(AJ:AJ,D:D,"&lt;="&amp;D104,C:C,C104)+SUMIFS(N:N,D:D,"&lt;="&amp;D104,C:C,C104)+SUMIFS(P:P,D:D,"&lt;="&amp;D104,C:C,C104))</f>
        <v>0</v>
      </c>
      <c r="AM104" s="98">
        <f t="shared" si="45"/>
        <v>0</v>
      </c>
      <c r="AN104" s="98">
        <f t="shared" si="37"/>
        <v>0</v>
      </c>
      <c r="AO104" s="203" t="str">
        <f t="shared" si="48"/>
        <v/>
      </c>
    </row>
    <row r="105" spans="1:41" hidden="1" x14ac:dyDescent="0.25">
      <c r="A105" s="95" t="str">
        <f>Start!D$7</f>
        <v>Anyland</v>
      </c>
      <c r="B105" s="96" t="str">
        <f>VLOOKUP(A105,list!B:C,2,FALSE)</f>
        <v>ANY</v>
      </c>
      <c r="C105" s="90" t="str">
        <f>IF(Start!$C$27="","",Start!$C$27)</f>
        <v/>
      </c>
      <c r="D105" s="296">
        <f t="shared" si="39"/>
        <v>44378</v>
      </c>
      <c r="E105" s="92" t="str">
        <f>IFERROR(VLOOKUP(C105,Start!C$15:D$31,2,FALSE),"No")</f>
        <v>No</v>
      </c>
      <c r="F105" s="92">
        <f t="shared" si="40"/>
        <v>0</v>
      </c>
      <c r="G105" s="91"/>
      <c r="H105" s="97"/>
      <c r="I105" s="97"/>
      <c r="J105" s="98">
        <f t="shared" si="30"/>
        <v>0</v>
      </c>
      <c r="K105" s="97"/>
      <c r="L105" s="175" t="str">
        <f t="shared" si="31"/>
        <v/>
      </c>
      <c r="M105" s="98">
        <f t="shared" si="32"/>
        <v>0</v>
      </c>
      <c r="N105" s="97"/>
      <c r="O105" s="122"/>
      <c r="P105" s="97"/>
      <c r="Q105" s="122"/>
      <c r="R105" s="98">
        <f>SUMIFS('Shipments data'!L:L,'Shipments data'!F:F,'Supply planning data'!C105,'Shipments data'!A:A,'Supply planning data'!A105,'Shipments data'!Y:Y,'Supply planning data'!D105,'Shipments data'!O:O,"received", 'Shipments data'!N:N, "Public")</f>
        <v>0</v>
      </c>
      <c r="S105" s="98">
        <f>SUMIFS('Shipments data'!L:L,'Shipments data'!F:F,'Supply planning data'!C105,'Shipments data'!A:A,'Supply planning data'!A105,'Shipments data'!Y:Y,'Supply planning data'!D105,'Shipments data'!O:O,"ordered", 'Shipments data'!N:N, "Public")</f>
        <v>0</v>
      </c>
      <c r="T105" s="98">
        <f>IF(SUMIFS('Shipments data'!L:L,'Shipments data'!F:F,'Supply planning data'!C105,'Shipments data'!A:A,'Supply planning data'!A105,'Shipments data'!O:O,"received",'Shipments data'!Q:Q,"&lt;"&amp;'Supply planning data'!D120,'Shipments data'!AC:AC,"&lt;"&amp;'Supply planning data'!D120)-SUMIFS(M:M,D:D,"&lt;="&amp;D105,C:C,C105)+SUMIFS(N:N,D:D,"&lt;="&amp;D105,C:C,C105)+SUMIFS(P:P,D:D,"&lt;="&amp;D105,C:C,C105)&lt;0,0,SUMIFS('Shipments data'!L:L,'Shipments data'!F:F,'Supply planning data'!C105,'Shipments data'!A:A,'Supply planning data'!A105,'Shipments data'!O:O,"received",'Shipments data'!Q:Q,"&lt;"&amp;'Supply planning data'!D120,'Shipments data'!AC:AC,"&lt;"&amp;'Supply planning data'!D120)-SUMIFS(M:M,D:D,"&lt;="&amp;D105,C:C,C105)+SUMIFS(N:N,D:D,"&lt;="&amp;D105,C:C,C105)+SUMIFS(P:P,D:D,"&lt;="&amp;D105,C:C,C105))</f>
        <v>0</v>
      </c>
      <c r="U105" s="99">
        <f t="shared" si="41"/>
        <v>0</v>
      </c>
      <c r="V105" s="98">
        <f t="shared" si="49"/>
        <v>0</v>
      </c>
      <c r="W105" s="203" t="str">
        <f t="shared" si="47"/>
        <v/>
      </c>
      <c r="X105" s="98">
        <f t="shared" si="42"/>
        <v>0</v>
      </c>
      <c r="Y105" s="97"/>
      <c r="Z105" s="93"/>
      <c r="AA105" s="98">
        <f t="shared" si="34"/>
        <v>0</v>
      </c>
      <c r="AB105" s="233"/>
      <c r="AC105" s="98">
        <f>IF(SUMIFS('Shipments data'!L:L,'Shipments data'!F:F,'Supply planning data'!C105,'Shipments data'!A:A,'Supply planning data'!A105,'Shipments data'!O:O,"received",'Shipments data'!Q:Q,"&lt;"&amp;'Supply planning data'!D120,'Shipments data'!AC:AC,"&lt;"&amp;'Supply planning data'!D120)-SUMIFS(M:M,D:D,"&lt;="&amp;D105,C:C,C105)-SUMIFS(AA:AA,D:D,"&lt;="&amp;D105,C:C,C105)+SUMIFS(N:N,D:D,"&lt;="&amp;D105,C:C,C105)+SUMIFS(P:P,D:D,"&lt;="&amp;D105,C:C,C105)&lt;0,0,SUMIFS('Shipments data'!L:L,'Shipments data'!F:F,'Supply planning data'!C105,'Shipments data'!A:A,'Supply planning data'!A105,'Shipments data'!O:O,"received",'Shipments data'!Q:Q,"&lt;"&amp;'Supply planning data'!D120,'Shipments data'!AC:AC,"&lt;"&amp;'Supply planning data'!D120)-SUMIFS(M:M,D:D,"&lt;="&amp;D105,C:C,C105)-SUMIFS(AA:AA,D:D,"&lt;="&amp;D105,C:C,C105)+SUMIFS(N:N,D:D,"&lt;="&amp;D105,C:C,C105)+SUMIFS(P:P,D:D,"&lt;="&amp;D105,C:C,C105))</f>
        <v>0</v>
      </c>
      <c r="AD105" s="98">
        <f t="shared" si="43"/>
        <v>0</v>
      </c>
      <c r="AE105" s="98">
        <f t="shared" si="36"/>
        <v>0</v>
      </c>
      <c r="AF105" s="205" t="str">
        <f t="shared" si="46"/>
        <v/>
      </c>
      <c r="AG105" s="98">
        <f t="shared" si="44"/>
        <v>0</v>
      </c>
      <c r="AH105" s="97"/>
      <c r="AI105" s="311"/>
      <c r="AJ105" s="98">
        <f t="shared" si="35"/>
        <v>0</v>
      </c>
      <c r="AK105" s="233"/>
      <c r="AL105" s="98">
        <f>IF(SUMIFS('Shipments data'!L:L,'Shipments data'!F:F,'Supply planning data'!C105,'Shipments data'!A:A,'Supply planning data'!A105,'Shipments data'!O:O,"received",'Shipments data'!Q:Q,"&lt;"&amp;'Supply planning data'!D120,'Shipments data'!AC:AC,"&lt;"&amp;'Supply planning data'!D120)-SUMIFS(M:M,D:D,"&lt;="&amp;D105,C:C,C105)-SUMIFS(AJ:AJ,D:D,"&lt;="&amp;D105,C:C,C105)+SUMIFS(N:N,D:D,"&lt;="&amp;D105,C:C,C105)+SUMIFS(P:P,D:D,"&lt;="&amp;D105,C:C,C105)&lt;0,0,SUMIFS('Shipments data'!L:L,'Shipments data'!F:F,'Supply planning data'!C105,'Shipments data'!A:A,'Supply planning data'!A105,'Shipments data'!O:O,"received",'Shipments data'!Q:Q,"&lt;"&amp;'Supply planning data'!D120,'Shipments data'!AC:AC,"&lt;"&amp;'Supply planning data'!D120)-SUMIFS(M:M,D:D,"&lt;="&amp;D105,C:C,C105)-SUMIFS(AJ:AJ,D:D,"&lt;="&amp;D105,C:C,C105)+SUMIFS(N:N,D:D,"&lt;="&amp;D105,C:C,C105)+SUMIFS(P:P,D:D,"&lt;="&amp;D105,C:C,C105))</f>
        <v>0</v>
      </c>
      <c r="AM105" s="98">
        <f t="shared" si="45"/>
        <v>0</v>
      </c>
      <c r="AN105" s="98">
        <f t="shared" si="37"/>
        <v>0</v>
      </c>
      <c r="AO105" s="203" t="str">
        <f t="shared" si="48"/>
        <v/>
      </c>
    </row>
    <row r="106" spans="1:41" hidden="1" x14ac:dyDescent="0.25">
      <c r="A106" s="95" t="str">
        <f>Start!D$7</f>
        <v>Anyland</v>
      </c>
      <c r="B106" s="96" t="str">
        <f>VLOOKUP(A106,list!B:C,2,FALSE)</f>
        <v>ANY</v>
      </c>
      <c r="C106" s="90" t="str">
        <f>IF(Start!$C$28="","",Start!$C$28)</f>
        <v/>
      </c>
      <c r="D106" s="296">
        <f t="shared" si="39"/>
        <v>44378</v>
      </c>
      <c r="E106" s="92" t="str">
        <f>IFERROR(VLOOKUP(C106,Start!C$15:D$31,2,FALSE),"No")</f>
        <v>No</v>
      </c>
      <c r="F106" s="92">
        <f t="shared" si="40"/>
        <v>0</v>
      </c>
      <c r="G106" s="91"/>
      <c r="H106" s="97"/>
      <c r="I106" s="97"/>
      <c r="J106" s="98">
        <f t="shared" si="30"/>
        <v>0</v>
      </c>
      <c r="K106" s="97"/>
      <c r="L106" s="175" t="str">
        <f t="shared" si="31"/>
        <v/>
      </c>
      <c r="M106" s="98">
        <f t="shared" si="32"/>
        <v>0</v>
      </c>
      <c r="N106" s="97"/>
      <c r="O106" s="122"/>
      <c r="P106" s="97"/>
      <c r="Q106" s="122"/>
      <c r="R106" s="98">
        <f>SUMIFS('Shipments data'!L:L,'Shipments data'!F:F,'Supply planning data'!C106,'Shipments data'!A:A,'Supply planning data'!A106,'Shipments data'!Y:Y,'Supply planning data'!D106,'Shipments data'!O:O,"received", 'Shipments data'!N:N, "Public")</f>
        <v>0</v>
      </c>
      <c r="S106" s="98">
        <f>SUMIFS('Shipments data'!L:L,'Shipments data'!F:F,'Supply planning data'!C106,'Shipments data'!A:A,'Supply planning data'!A106,'Shipments data'!Y:Y,'Supply planning data'!D106,'Shipments data'!O:O,"ordered", 'Shipments data'!N:N, "Public")</f>
        <v>0</v>
      </c>
      <c r="T106" s="98">
        <f>IF(SUMIFS('Shipments data'!L:L,'Shipments data'!F:F,'Supply planning data'!C106,'Shipments data'!A:A,'Supply planning data'!A106,'Shipments data'!O:O,"received",'Shipments data'!Q:Q,"&lt;"&amp;'Supply planning data'!D121,'Shipments data'!AC:AC,"&lt;"&amp;'Supply planning data'!D121)-SUMIFS(M:M,D:D,"&lt;="&amp;D106,C:C,C106)+SUMIFS(N:N,D:D,"&lt;="&amp;D106,C:C,C106)+SUMIFS(P:P,D:D,"&lt;="&amp;D106,C:C,C106)&lt;0,0,SUMIFS('Shipments data'!L:L,'Shipments data'!F:F,'Supply planning data'!C106,'Shipments data'!A:A,'Supply planning data'!A106,'Shipments data'!O:O,"received",'Shipments data'!Q:Q,"&lt;"&amp;'Supply planning data'!D121,'Shipments data'!AC:AC,"&lt;"&amp;'Supply planning data'!D121)-SUMIFS(M:M,D:D,"&lt;="&amp;D106,C:C,C106)+SUMIFS(N:N,D:D,"&lt;="&amp;D106,C:C,C106)+SUMIFS(P:P,D:D,"&lt;="&amp;D106,C:C,C106))</f>
        <v>0</v>
      </c>
      <c r="U106" s="99">
        <f t="shared" si="41"/>
        <v>0</v>
      </c>
      <c r="V106" s="98">
        <f t="shared" si="49"/>
        <v>0</v>
      </c>
      <c r="W106" s="203" t="str">
        <f t="shared" si="47"/>
        <v/>
      </c>
      <c r="X106" s="98">
        <f t="shared" si="42"/>
        <v>0</v>
      </c>
      <c r="Y106" s="97"/>
      <c r="Z106" s="93"/>
      <c r="AA106" s="98">
        <f t="shared" si="34"/>
        <v>0</v>
      </c>
      <c r="AB106" s="233"/>
      <c r="AC106" s="98">
        <f>IF(SUMIFS('Shipments data'!L:L,'Shipments data'!F:F,'Supply planning data'!C106,'Shipments data'!A:A,'Supply planning data'!A106,'Shipments data'!O:O,"received",'Shipments data'!Q:Q,"&lt;"&amp;'Supply planning data'!D121,'Shipments data'!AC:AC,"&lt;"&amp;'Supply planning data'!D121)-SUMIFS(M:M,D:D,"&lt;="&amp;D106,C:C,C106)-SUMIFS(AA:AA,D:D,"&lt;="&amp;D106,C:C,C106)+SUMIFS(N:N,D:D,"&lt;="&amp;D106,C:C,C106)+SUMIFS(P:P,D:D,"&lt;="&amp;D106,C:C,C106)&lt;0,0,SUMIFS('Shipments data'!L:L,'Shipments data'!F:F,'Supply planning data'!C106,'Shipments data'!A:A,'Supply planning data'!A106,'Shipments data'!O:O,"received",'Shipments data'!Q:Q,"&lt;"&amp;'Supply planning data'!D121,'Shipments data'!AC:AC,"&lt;"&amp;'Supply planning data'!D121)-SUMIFS(M:M,D:D,"&lt;="&amp;D106,C:C,C106)-SUMIFS(AA:AA,D:D,"&lt;="&amp;D106,C:C,C106)+SUMIFS(N:N,D:D,"&lt;="&amp;D106,C:C,C106)+SUMIFS(P:P,D:D,"&lt;="&amp;D106,C:C,C106))</f>
        <v>0</v>
      </c>
      <c r="AD106" s="98">
        <f t="shared" si="43"/>
        <v>0</v>
      </c>
      <c r="AE106" s="98">
        <f t="shared" si="36"/>
        <v>0</v>
      </c>
      <c r="AF106" s="205" t="str">
        <f t="shared" si="46"/>
        <v/>
      </c>
      <c r="AG106" s="98">
        <f t="shared" si="44"/>
        <v>0</v>
      </c>
      <c r="AH106" s="97"/>
      <c r="AI106" s="311"/>
      <c r="AJ106" s="98">
        <f t="shared" si="35"/>
        <v>0</v>
      </c>
      <c r="AK106" s="233"/>
      <c r="AL106" s="98">
        <f>IF(SUMIFS('Shipments data'!L:L,'Shipments data'!F:F,'Supply planning data'!C106,'Shipments data'!A:A,'Supply planning data'!A106,'Shipments data'!O:O,"received",'Shipments data'!Q:Q,"&lt;"&amp;'Supply planning data'!D121,'Shipments data'!AC:AC,"&lt;"&amp;'Supply planning data'!D121)-SUMIFS(M:M,D:D,"&lt;="&amp;D106,C:C,C106)-SUMIFS(AJ:AJ,D:D,"&lt;="&amp;D106,C:C,C106)+SUMIFS(N:N,D:D,"&lt;="&amp;D106,C:C,C106)+SUMIFS(P:P,D:D,"&lt;="&amp;D106,C:C,C106)&lt;0,0,SUMIFS('Shipments data'!L:L,'Shipments data'!F:F,'Supply planning data'!C106,'Shipments data'!A:A,'Supply planning data'!A106,'Shipments data'!O:O,"received",'Shipments data'!Q:Q,"&lt;"&amp;'Supply planning data'!D121,'Shipments data'!AC:AC,"&lt;"&amp;'Supply planning data'!D121)-SUMIFS(M:M,D:D,"&lt;="&amp;D106,C:C,C106)-SUMIFS(AJ:AJ,D:D,"&lt;="&amp;D106,C:C,C106)+SUMIFS(N:N,D:D,"&lt;="&amp;D106,C:C,C106)+SUMIFS(P:P,D:D,"&lt;="&amp;D106,C:C,C106))</f>
        <v>0</v>
      </c>
      <c r="AM106" s="98">
        <f t="shared" si="45"/>
        <v>0</v>
      </c>
      <c r="AN106" s="98">
        <f t="shared" si="37"/>
        <v>0</v>
      </c>
      <c r="AO106" s="203" t="str">
        <f t="shared" si="48"/>
        <v/>
      </c>
    </row>
    <row r="107" spans="1:41" hidden="1" x14ac:dyDescent="0.25">
      <c r="A107" s="95" t="str">
        <f>Start!D$7</f>
        <v>Anyland</v>
      </c>
      <c r="B107" s="96" t="str">
        <f>VLOOKUP(A107,list!B:C,2,FALSE)</f>
        <v>ANY</v>
      </c>
      <c r="C107" s="90" t="str">
        <f>IF(Start!$C$29="","",Start!$C$29)</f>
        <v/>
      </c>
      <c r="D107" s="296">
        <f t="shared" si="39"/>
        <v>44378</v>
      </c>
      <c r="E107" s="92" t="str">
        <f>IFERROR(VLOOKUP(C107,Start!C$15:D$31,2,FALSE),"No")</f>
        <v>No</v>
      </c>
      <c r="F107" s="92">
        <f t="shared" si="40"/>
        <v>0</v>
      </c>
      <c r="G107" s="91"/>
      <c r="H107" s="97"/>
      <c r="I107" s="97"/>
      <c r="J107" s="98">
        <f t="shared" si="30"/>
        <v>0</v>
      </c>
      <c r="K107" s="97"/>
      <c r="L107" s="175" t="str">
        <f t="shared" si="31"/>
        <v/>
      </c>
      <c r="M107" s="98">
        <f t="shared" si="32"/>
        <v>0</v>
      </c>
      <c r="N107" s="97"/>
      <c r="O107" s="122"/>
      <c r="P107" s="97"/>
      <c r="Q107" s="122"/>
      <c r="R107" s="98">
        <f>SUMIFS('Shipments data'!L:L,'Shipments data'!F:F,'Supply planning data'!C107,'Shipments data'!A:A,'Supply planning data'!A107,'Shipments data'!Y:Y,'Supply planning data'!D107,'Shipments data'!O:O,"received", 'Shipments data'!N:N, "Public")</f>
        <v>0</v>
      </c>
      <c r="S107" s="98">
        <f>SUMIFS('Shipments data'!L:L,'Shipments data'!F:F,'Supply planning data'!C107,'Shipments data'!A:A,'Supply planning data'!A107,'Shipments data'!Y:Y,'Supply planning data'!D107,'Shipments data'!O:O,"ordered", 'Shipments data'!N:N, "Public")</f>
        <v>0</v>
      </c>
      <c r="T107" s="98">
        <f>IF(SUMIFS('Shipments data'!L:L,'Shipments data'!F:F,'Supply planning data'!C107,'Shipments data'!A:A,'Supply planning data'!A107,'Shipments data'!O:O,"received",'Shipments data'!Q:Q,"&lt;"&amp;'Supply planning data'!D122,'Shipments data'!AC:AC,"&lt;"&amp;'Supply planning data'!D122)-SUMIFS(M:M,D:D,"&lt;="&amp;D107,C:C,C107)+SUMIFS(N:N,D:D,"&lt;="&amp;D107,C:C,C107)+SUMIFS(P:P,D:D,"&lt;="&amp;D107,C:C,C107)&lt;0,0,SUMIFS('Shipments data'!L:L,'Shipments data'!F:F,'Supply planning data'!C107,'Shipments data'!A:A,'Supply planning data'!A107,'Shipments data'!O:O,"received",'Shipments data'!Q:Q,"&lt;"&amp;'Supply planning data'!D122,'Shipments data'!AC:AC,"&lt;"&amp;'Supply planning data'!D122)-SUMIFS(M:M,D:D,"&lt;="&amp;D107,C:C,C107)+SUMIFS(N:N,D:D,"&lt;="&amp;D107,C:C,C107)+SUMIFS(P:P,D:D,"&lt;="&amp;D107,C:C,C107))</f>
        <v>0</v>
      </c>
      <c r="U107" s="99">
        <f t="shared" si="41"/>
        <v>0</v>
      </c>
      <c r="V107" s="98">
        <f t="shared" si="49"/>
        <v>0</v>
      </c>
      <c r="W107" s="203" t="str">
        <f t="shared" si="47"/>
        <v/>
      </c>
      <c r="X107" s="98">
        <f t="shared" si="42"/>
        <v>0</v>
      </c>
      <c r="Y107" s="97"/>
      <c r="Z107" s="93"/>
      <c r="AA107" s="98">
        <f t="shared" si="34"/>
        <v>0</v>
      </c>
      <c r="AB107" s="233"/>
      <c r="AC107" s="98">
        <f>IF(SUMIFS('Shipments data'!L:L,'Shipments data'!F:F,'Supply planning data'!C107,'Shipments data'!A:A,'Supply planning data'!A107,'Shipments data'!O:O,"received",'Shipments data'!Q:Q,"&lt;"&amp;'Supply planning data'!D122,'Shipments data'!AC:AC,"&lt;"&amp;'Supply planning data'!D122)-SUMIFS(M:M,D:D,"&lt;="&amp;D107,C:C,C107)-SUMIFS(AA:AA,D:D,"&lt;="&amp;D107,C:C,C107)+SUMIFS(N:N,D:D,"&lt;="&amp;D107,C:C,C107)+SUMIFS(P:P,D:D,"&lt;="&amp;D107,C:C,C107)&lt;0,0,SUMIFS('Shipments data'!L:L,'Shipments data'!F:F,'Supply planning data'!C107,'Shipments data'!A:A,'Supply planning data'!A107,'Shipments data'!O:O,"received",'Shipments data'!Q:Q,"&lt;"&amp;'Supply planning data'!D122,'Shipments data'!AC:AC,"&lt;"&amp;'Supply planning data'!D122)-SUMIFS(M:M,D:D,"&lt;="&amp;D107,C:C,C107)-SUMIFS(AA:AA,D:D,"&lt;="&amp;D107,C:C,C107)+SUMIFS(N:N,D:D,"&lt;="&amp;D107,C:C,C107)+SUMIFS(P:P,D:D,"&lt;="&amp;D107,C:C,C107))</f>
        <v>0</v>
      </c>
      <c r="AD107" s="98">
        <f t="shared" si="43"/>
        <v>0</v>
      </c>
      <c r="AE107" s="98">
        <f t="shared" si="36"/>
        <v>0</v>
      </c>
      <c r="AF107" s="205" t="str">
        <f t="shared" si="46"/>
        <v/>
      </c>
      <c r="AG107" s="98">
        <f t="shared" si="44"/>
        <v>0</v>
      </c>
      <c r="AH107" s="97"/>
      <c r="AI107" s="311"/>
      <c r="AJ107" s="98">
        <f t="shared" si="35"/>
        <v>0</v>
      </c>
      <c r="AK107" s="233"/>
      <c r="AL107" s="98">
        <f>IF(SUMIFS('Shipments data'!L:L,'Shipments data'!F:F,'Supply planning data'!C107,'Shipments data'!A:A,'Supply planning data'!A107,'Shipments data'!O:O,"received",'Shipments data'!Q:Q,"&lt;"&amp;'Supply planning data'!D122,'Shipments data'!AC:AC,"&lt;"&amp;'Supply planning data'!D122)-SUMIFS(M:M,D:D,"&lt;="&amp;D107,C:C,C107)-SUMIFS(AJ:AJ,D:D,"&lt;="&amp;D107,C:C,C107)+SUMIFS(N:N,D:D,"&lt;="&amp;D107,C:C,C107)+SUMIFS(P:P,D:D,"&lt;="&amp;D107,C:C,C107)&lt;0,0,SUMIFS('Shipments data'!L:L,'Shipments data'!F:F,'Supply planning data'!C107,'Shipments data'!A:A,'Supply planning data'!A107,'Shipments data'!O:O,"received",'Shipments data'!Q:Q,"&lt;"&amp;'Supply planning data'!D122,'Shipments data'!AC:AC,"&lt;"&amp;'Supply planning data'!D122)-SUMIFS(M:M,D:D,"&lt;="&amp;D107,C:C,C107)-SUMIFS(AJ:AJ,D:D,"&lt;="&amp;D107,C:C,C107)+SUMIFS(N:N,D:D,"&lt;="&amp;D107,C:C,C107)+SUMIFS(P:P,D:D,"&lt;="&amp;D107,C:C,C107))</f>
        <v>0</v>
      </c>
      <c r="AM107" s="98">
        <f t="shared" si="45"/>
        <v>0</v>
      </c>
      <c r="AN107" s="98">
        <f t="shared" si="37"/>
        <v>0</v>
      </c>
      <c r="AO107" s="203" t="str">
        <f t="shared" si="48"/>
        <v/>
      </c>
    </row>
    <row r="108" spans="1:41" hidden="1" x14ac:dyDescent="0.25">
      <c r="A108" s="95" t="str">
        <f>Start!D$7</f>
        <v>Anyland</v>
      </c>
      <c r="B108" s="96" t="str">
        <f>VLOOKUP(A108,list!B:C,2,FALSE)</f>
        <v>ANY</v>
      </c>
      <c r="C108" s="90" t="str">
        <f>IF(Start!$C$30="","",Start!$C$30)</f>
        <v/>
      </c>
      <c r="D108" s="296">
        <f t="shared" si="39"/>
        <v>44378</v>
      </c>
      <c r="E108" s="92" t="str">
        <f>IFERROR(VLOOKUP(C108,Start!C$15:D$31,2,FALSE),"No")</f>
        <v>No</v>
      </c>
      <c r="F108" s="92">
        <f t="shared" si="40"/>
        <v>0</v>
      </c>
      <c r="G108" s="91"/>
      <c r="H108" s="97"/>
      <c r="I108" s="97"/>
      <c r="J108" s="98">
        <f t="shared" si="30"/>
        <v>0</v>
      </c>
      <c r="K108" s="97"/>
      <c r="L108" s="175" t="str">
        <f t="shared" si="31"/>
        <v/>
      </c>
      <c r="M108" s="98">
        <f t="shared" si="32"/>
        <v>0</v>
      </c>
      <c r="N108" s="97"/>
      <c r="O108" s="122"/>
      <c r="P108" s="97"/>
      <c r="Q108" s="122"/>
      <c r="R108" s="98">
        <f>SUMIFS('Shipments data'!L:L,'Shipments data'!F:F,'Supply planning data'!C108,'Shipments data'!A:A,'Supply planning data'!A108,'Shipments data'!Y:Y,'Supply planning data'!D108,'Shipments data'!O:O,"received", 'Shipments data'!N:N, "Public")</f>
        <v>0</v>
      </c>
      <c r="S108" s="98">
        <f>SUMIFS('Shipments data'!L:L,'Shipments data'!F:F,'Supply planning data'!C108,'Shipments data'!A:A,'Supply planning data'!A108,'Shipments data'!Y:Y,'Supply planning data'!D108,'Shipments data'!O:O,"ordered", 'Shipments data'!N:N, "Public")</f>
        <v>0</v>
      </c>
      <c r="T108" s="98">
        <f>IF(SUMIFS('Shipments data'!L:L,'Shipments data'!F:F,'Supply planning data'!C108,'Shipments data'!A:A,'Supply planning data'!A108,'Shipments data'!O:O,"received",'Shipments data'!Q:Q,"&lt;"&amp;'Supply planning data'!D123,'Shipments data'!AC:AC,"&lt;"&amp;'Supply planning data'!D123)-SUMIFS(M:M,D:D,"&lt;="&amp;D108,C:C,C108)+SUMIFS(N:N,D:D,"&lt;="&amp;D108,C:C,C108)+SUMIFS(P:P,D:D,"&lt;="&amp;D108,C:C,C108)&lt;0,0,SUMIFS('Shipments data'!L:L,'Shipments data'!F:F,'Supply planning data'!C108,'Shipments data'!A:A,'Supply planning data'!A108,'Shipments data'!O:O,"received",'Shipments data'!Q:Q,"&lt;"&amp;'Supply planning data'!D123,'Shipments data'!AC:AC,"&lt;"&amp;'Supply planning data'!D123)-SUMIFS(M:M,D:D,"&lt;="&amp;D108,C:C,C108)+SUMIFS(N:N,D:D,"&lt;="&amp;D108,C:C,C108)+SUMIFS(P:P,D:D,"&lt;="&amp;D108,C:C,C108))</f>
        <v>0</v>
      </c>
      <c r="U108" s="99">
        <f t="shared" si="41"/>
        <v>0</v>
      </c>
      <c r="V108" s="98">
        <f t="shared" si="49"/>
        <v>0</v>
      </c>
      <c r="W108" s="203" t="str">
        <f t="shared" si="47"/>
        <v/>
      </c>
      <c r="X108" s="98">
        <f t="shared" si="42"/>
        <v>0</v>
      </c>
      <c r="Y108" s="97"/>
      <c r="Z108" s="93"/>
      <c r="AA108" s="98">
        <f t="shared" si="34"/>
        <v>0</v>
      </c>
      <c r="AB108" s="233"/>
      <c r="AC108" s="98">
        <f>IF(SUMIFS('Shipments data'!L:L,'Shipments data'!F:F,'Supply planning data'!C108,'Shipments data'!A:A,'Supply planning data'!A108,'Shipments data'!O:O,"received",'Shipments data'!Q:Q,"&lt;"&amp;'Supply planning data'!D123,'Shipments data'!AC:AC,"&lt;"&amp;'Supply planning data'!D123)-SUMIFS(M:M,D:D,"&lt;="&amp;D108,C:C,C108)-SUMIFS(AA:AA,D:D,"&lt;="&amp;D108,C:C,C108)+SUMIFS(N:N,D:D,"&lt;="&amp;D108,C:C,C108)+SUMIFS(P:P,D:D,"&lt;="&amp;D108,C:C,C108)&lt;0,0,SUMIFS('Shipments data'!L:L,'Shipments data'!F:F,'Supply planning data'!C108,'Shipments data'!A:A,'Supply planning data'!A108,'Shipments data'!O:O,"received",'Shipments data'!Q:Q,"&lt;"&amp;'Supply planning data'!D123,'Shipments data'!AC:AC,"&lt;"&amp;'Supply planning data'!D123)-SUMIFS(M:M,D:D,"&lt;="&amp;D108,C:C,C108)-SUMIFS(AA:AA,D:D,"&lt;="&amp;D108,C:C,C108)+SUMIFS(N:N,D:D,"&lt;="&amp;D108,C:C,C108)+SUMIFS(P:P,D:D,"&lt;="&amp;D108,C:C,C108))</f>
        <v>0</v>
      </c>
      <c r="AD108" s="98">
        <f t="shared" si="43"/>
        <v>0</v>
      </c>
      <c r="AE108" s="98">
        <f t="shared" si="36"/>
        <v>0</v>
      </c>
      <c r="AF108" s="205" t="str">
        <f t="shared" si="46"/>
        <v/>
      </c>
      <c r="AG108" s="98">
        <f t="shared" si="44"/>
        <v>0</v>
      </c>
      <c r="AH108" s="97"/>
      <c r="AI108" s="311"/>
      <c r="AJ108" s="98">
        <f t="shared" si="35"/>
        <v>0</v>
      </c>
      <c r="AK108" s="233"/>
      <c r="AL108" s="98">
        <f>IF(SUMIFS('Shipments data'!L:L,'Shipments data'!F:F,'Supply planning data'!C108,'Shipments data'!A:A,'Supply planning data'!A108,'Shipments data'!O:O,"received",'Shipments data'!Q:Q,"&lt;"&amp;'Supply planning data'!D123,'Shipments data'!AC:AC,"&lt;"&amp;'Supply planning data'!D123)-SUMIFS(M:M,D:D,"&lt;="&amp;D108,C:C,C108)-SUMIFS(AJ:AJ,D:D,"&lt;="&amp;D108,C:C,C108)+SUMIFS(N:N,D:D,"&lt;="&amp;D108,C:C,C108)+SUMIFS(P:P,D:D,"&lt;="&amp;D108,C:C,C108)&lt;0,0,SUMIFS('Shipments data'!L:L,'Shipments data'!F:F,'Supply planning data'!C108,'Shipments data'!A:A,'Supply planning data'!A108,'Shipments data'!O:O,"received",'Shipments data'!Q:Q,"&lt;"&amp;'Supply planning data'!D123,'Shipments data'!AC:AC,"&lt;"&amp;'Supply planning data'!D123)-SUMIFS(M:M,D:D,"&lt;="&amp;D108,C:C,C108)-SUMIFS(AJ:AJ,D:D,"&lt;="&amp;D108,C:C,C108)+SUMIFS(N:N,D:D,"&lt;="&amp;D108,C:C,C108)+SUMIFS(P:P,D:D,"&lt;="&amp;D108,C:C,C108))</f>
        <v>0</v>
      </c>
      <c r="AM108" s="98">
        <f t="shared" si="45"/>
        <v>0</v>
      </c>
      <c r="AN108" s="98">
        <f t="shared" si="37"/>
        <v>0</v>
      </c>
      <c r="AO108" s="203" t="str">
        <f t="shared" si="48"/>
        <v/>
      </c>
    </row>
    <row r="109" spans="1:41" hidden="1" x14ac:dyDescent="0.25">
      <c r="A109" s="95" t="str">
        <f>Start!D$7</f>
        <v>Anyland</v>
      </c>
      <c r="B109" s="100" t="str">
        <f>VLOOKUP(A109,list!B:C,2,FALSE)</f>
        <v>ANY</v>
      </c>
      <c r="C109" s="90" t="str">
        <f>IF(Start!$C$31="","",Start!$C$31)</f>
        <v/>
      </c>
      <c r="D109" s="296">
        <f t="shared" si="39"/>
        <v>44378</v>
      </c>
      <c r="E109" s="92" t="str">
        <f>IFERROR(VLOOKUP(C109,Start!C$15:D$31,2,FALSE),"No")</f>
        <v>No</v>
      </c>
      <c r="F109" s="92">
        <f t="shared" si="40"/>
        <v>0</v>
      </c>
      <c r="G109" s="91"/>
      <c r="H109" s="97"/>
      <c r="I109" s="97"/>
      <c r="J109" s="98">
        <f t="shared" si="30"/>
        <v>0</v>
      </c>
      <c r="K109" s="97"/>
      <c r="L109" s="175" t="str">
        <f t="shared" si="31"/>
        <v/>
      </c>
      <c r="M109" s="98">
        <f t="shared" si="32"/>
        <v>0</v>
      </c>
      <c r="N109" s="97"/>
      <c r="O109" s="122"/>
      <c r="P109" s="97"/>
      <c r="Q109" s="122"/>
      <c r="R109" s="98">
        <f>SUMIFS('Shipments data'!L:L,'Shipments data'!F:F,'Supply planning data'!C109,'Shipments data'!A:A,'Supply planning data'!A109,'Shipments data'!Y:Y,'Supply planning data'!D109,'Shipments data'!O:O,"received", 'Shipments data'!N:N, "Public")</f>
        <v>0</v>
      </c>
      <c r="S109" s="98">
        <f>SUMIFS('Shipments data'!L:L,'Shipments data'!F:F,'Supply planning data'!C109,'Shipments data'!A:A,'Supply planning data'!A109,'Shipments data'!Y:Y,'Supply planning data'!D109,'Shipments data'!O:O,"ordered", 'Shipments data'!N:N, "Public")</f>
        <v>0</v>
      </c>
      <c r="T109" s="98">
        <f>IF(SUMIFS('Shipments data'!L:L,'Shipments data'!F:F,'Supply planning data'!C109,'Shipments data'!A:A,'Supply planning data'!A109,'Shipments data'!O:O,"received",'Shipments data'!Q:Q,"&lt;"&amp;'Supply planning data'!D124,'Shipments data'!AC:AC,"&lt;"&amp;'Supply planning data'!D124)-SUMIFS(M:M,D:D,"&lt;="&amp;D109,C:C,C109)+SUMIFS(N:N,D:D,"&lt;="&amp;D109,C:C,C109)+SUMIFS(P:P,D:D,"&lt;="&amp;D109,C:C,C109)&lt;0,0,SUMIFS('Shipments data'!L:L,'Shipments data'!F:F,'Supply planning data'!C109,'Shipments data'!A:A,'Supply planning data'!A109,'Shipments data'!O:O,"received",'Shipments data'!Q:Q,"&lt;"&amp;'Supply planning data'!D124,'Shipments data'!AC:AC,"&lt;"&amp;'Supply planning data'!D124)-SUMIFS(M:M,D:D,"&lt;="&amp;D109,C:C,C109)+SUMIFS(N:N,D:D,"&lt;="&amp;D109,C:C,C109)+SUMIFS(P:P,D:D,"&lt;="&amp;D109,C:C,C109))</f>
        <v>0</v>
      </c>
      <c r="U109" s="99">
        <f t="shared" si="41"/>
        <v>0</v>
      </c>
      <c r="V109" s="98">
        <f t="shared" si="49"/>
        <v>0</v>
      </c>
      <c r="W109" s="203" t="str">
        <f t="shared" si="47"/>
        <v/>
      </c>
      <c r="X109" s="98">
        <f t="shared" si="42"/>
        <v>0</v>
      </c>
      <c r="Y109" s="97"/>
      <c r="Z109" s="93"/>
      <c r="AA109" s="98">
        <f t="shared" si="34"/>
        <v>0</v>
      </c>
      <c r="AB109" s="233"/>
      <c r="AC109" s="98">
        <f>IF(SUMIFS('Shipments data'!L:L,'Shipments data'!F:F,'Supply planning data'!C109,'Shipments data'!A:A,'Supply planning data'!A109,'Shipments data'!O:O,"received",'Shipments data'!Q:Q,"&lt;"&amp;'Supply planning data'!D124,'Shipments data'!AC:AC,"&lt;"&amp;'Supply planning data'!D124)-SUMIFS(M:M,D:D,"&lt;="&amp;D109,C:C,C109)-SUMIFS(AA:AA,D:D,"&lt;="&amp;D109,C:C,C109)+SUMIFS(N:N,D:D,"&lt;="&amp;D109,C:C,C109)+SUMIFS(P:P,D:D,"&lt;="&amp;D109,C:C,C109)&lt;0,0,SUMIFS('Shipments data'!L:L,'Shipments data'!F:F,'Supply planning data'!C109,'Shipments data'!A:A,'Supply planning data'!A109,'Shipments data'!O:O,"received",'Shipments data'!Q:Q,"&lt;"&amp;'Supply planning data'!D124,'Shipments data'!AC:AC,"&lt;"&amp;'Supply planning data'!D124)-SUMIFS(M:M,D:D,"&lt;="&amp;D109,C:C,C109)-SUMIFS(AA:AA,D:D,"&lt;="&amp;D109,C:C,C109)+SUMIFS(N:N,D:D,"&lt;="&amp;D109,C:C,C109)+SUMIFS(P:P,D:D,"&lt;="&amp;D109,C:C,C109))</f>
        <v>0</v>
      </c>
      <c r="AD109" s="98">
        <f t="shared" si="43"/>
        <v>0</v>
      </c>
      <c r="AE109" s="98">
        <f t="shared" si="36"/>
        <v>0</v>
      </c>
      <c r="AF109" s="205" t="str">
        <f t="shared" si="46"/>
        <v/>
      </c>
      <c r="AG109" s="98">
        <f t="shared" si="44"/>
        <v>0</v>
      </c>
      <c r="AH109" s="97"/>
      <c r="AI109" s="311"/>
      <c r="AJ109" s="98">
        <f t="shared" si="35"/>
        <v>0</v>
      </c>
      <c r="AK109" s="233"/>
      <c r="AL109" s="98">
        <f>IF(SUMIFS('Shipments data'!L:L,'Shipments data'!F:F,'Supply planning data'!C109,'Shipments data'!A:A,'Supply planning data'!A109,'Shipments data'!O:O,"received",'Shipments data'!Q:Q,"&lt;"&amp;'Supply planning data'!D124,'Shipments data'!AC:AC,"&lt;"&amp;'Supply planning data'!D124)-SUMIFS(M:M,D:D,"&lt;="&amp;D109,C:C,C109)-SUMIFS(AJ:AJ,D:D,"&lt;="&amp;D109,C:C,C109)+SUMIFS(N:N,D:D,"&lt;="&amp;D109,C:C,C109)+SUMIFS(P:P,D:D,"&lt;="&amp;D109,C:C,C109)&lt;0,0,SUMIFS('Shipments data'!L:L,'Shipments data'!F:F,'Supply planning data'!C109,'Shipments data'!A:A,'Supply planning data'!A109,'Shipments data'!O:O,"received",'Shipments data'!Q:Q,"&lt;"&amp;'Supply planning data'!D124,'Shipments data'!AC:AC,"&lt;"&amp;'Supply planning data'!D124)-SUMIFS(M:M,D:D,"&lt;="&amp;D109,C:C,C109)-SUMIFS(AJ:AJ,D:D,"&lt;="&amp;D109,C:C,C109)+SUMIFS(N:N,D:D,"&lt;="&amp;D109,C:C,C109)+SUMIFS(P:P,D:D,"&lt;="&amp;D109,C:C,C109))</f>
        <v>0</v>
      </c>
      <c r="AM109" s="98">
        <f t="shared" si="45"/>
        <v>0</v>
      </c>
      <c r="AN109" s="98">
        <f t="shared" si="37"/>
        <v>0</v>
      </c>
      <c r="AO109" s="203" t="str">
        <f t="shared" si="48"/>
        <v/>
      </c>
    </row>
    <row r="110" spans="1:41" x14ac:dyDescent="0.25">
      <c r="A110" s="103" t="str">
        <f>Start!D$7</f>
        <v>Anyland</v>
      </c>
      <c r="B110" s="104" t="str">
        <f>VLOOKUP(A110,list!B:C,2,FALSE)</f>
        <v>ANY</v>
      </c>
      <c r="C110" s="104" t="str">
        <f>IF(Start!$C$17="","",Start!$C$17)</f>
        <v>AstraZeneca</v>
      </c>
      <c r="D110" s="298">
        <f t="shared" si="39"/>
        <v>44409</v>
      </c>
      <c r="E110" s="105" t="str">
        <f>IFERROR(VLOOKUP(C110,Start!C$15:D$31,2,FALSE),"No")</f>
        <v>Yes</v>
      </c>
      <c r="F110" s="105">
        <f t="shared" si="40"/>
        <v>193140</v>
      </c>
      <c r="G110" s="106"/>
      <c r="H110" s="106"/>
      <c r="I110" s="106"/>
      <c r="J110" s="105">
        <f t="shared" si="30"/>
        <v>0</v>
      </c>
      <c r="K110" s="106"/>
      <c r="L110" s="177" t="str">
        <f t="shared" si="31"/>
        <v/>
      </c>
      <c r="M110" s="105">
        <f t="shared" si="32"/>
        <v>0</v>
      </c>
      <c r="N110" s="106">
        <v>-193140</v>
      </c>
      <c r="O110" s="123" t="s">
        <v>130</v>
      </c>
      <c r="P110" s="106"/>
      <c r="Q110" s="123"/>
      <c r="R110" s="105">
        <f>SUMIFS('Shipments data'!L:L,'Shipments data'!F:F,'Supply planning data'!C110,'Shipments data'!A:A,'Supply planning data'!A110,'Shipments data'!Y:Y,'Supply planning data'!D110,'Shipments data'!O:O,"received", 'Shipments data'!N:N, "Public")</f>
        <v>0</v>
      </c>
      <c r="S110" s="105">
        <f>SUMIFS('Shipments data'!L:L,'Shipments data'!F:F,'Supply planning data'!C110,'Shipments data'!A:A,'Supply planning data'!A110,'Shipments data'!Y:Y,'Supply planning data'!D110,'Shipments data'!O:O,"ordered", 'Shipments data'!N:N, "Public")</f>
        <v>0</v>
      </c>
      <c r="T110" s="105">
        <f>IF(SUMIFS('Shipments data'!L:L,'Shipments data'!F:F,'Supply planning data'!C110,'Shipments data'!A:A,'Supply planning data'!A110,'Shipments data'!O:O,"received",'Shipments data'!Q:Q,"&lt;"&amp;'Supply planning data'!D125,'Shipments data'!AC:AC,"&lt;"&amp;'Supply planning data'!D125)-SUMIFS(M:M,D:D,"&lt;="&amp;D110,C:C,C110)+SUMIFS(N:N,D:D,"&lt;="&amp;D110,C:C,C110)+SUMIFS(P:P,D:D,"&lt;="&amp;D110,C:C,C110)&lt;0,0,SUMIFS('Shipments data'!L:L,'Shipments data'!F:F,'Supply planning data'!C110,'Shipments data'!A:A,'Supply planning data'!A110,'Shipments data'!O:O,"received",'Shipments data'!Q:Q,"&lt;"&amp;'Supply planning data'!D125,'Shipments data'!AC:AC,"&lt;"&amp;'Supply planning data'!D125)-SUMIFS(M:M,D:D,"&lt;="&amp;D110,C:C,C110)+SUMIFS(N:N,D:D,"&lt;="&amp;D110,C:C,C110)+SUMIFS(P:P,D:D,"&lt;="&amp;D110,C:C,C110))</f>
        <v>0</v>
      </c>
      <c r="U110" s="108">
        <f t="shared" si="41"/>
        <v>0</v>
      </c>
      <c r="V110" s="105">
        <f t="shared" si="49"/>
        <v>0</v>
      </c>
      <c r="W110" s="206" t="str">
        <f t="shared" si="47"/>
        <v/>
      </c>
      <c r="X110" s="105">
        <f t="shared" si="42"/>
        <v>193140</v>
      </c>
      <c r="Y110" s="106"/>
      <c r="Z110" s="107"/>
      <c r="AA110" s="105">
        <f t="shared" si="34"/>
        <v>0</v>
      </c>
      <c r="AB110" s="234">
        <v>1000000</v>
      </c>
      <c r="AC110" s="105">
        <f>IF(SUMIFS('Shipments data'!L:L,'Shipments data'!F:F,'Supply planning data'!C110,'Shipments data'!A:A,'Supply planning data'!A110,'Shipments data'!O:O,"received",'Shipments data'!Q:Q,"&lt;"&amp;'Supply planning data'!D125,'Shipments data'!AC:AC,"&lt;"&amp;'Supply planning data'!D125)-SUMIFS(M:M,D:D,"&lt;="&amp;D110,C:C,C110)-SUMIFS(AA:AA,D:D,"&lt;="&amp;D110,C:C,C110)+SUMIFS(N:N,D:D,"&lt;="&amp;D110,C:C,C110)+SUMIFS(P:P,D:D,"&lt;="&amp;D110,C:C,C110)&lt;0,0,SUMIFS('Shipments data'!L:L,'Shipments data'!F:F,'Supply planning data'!C110,'Shipments data'!A:A,'Supply planning data'!A110,'Shipments data'!O:O,"received",'Shipments data'!Q:Q,"&lt;"&amp;'Supply planning data'!D125,'Shipments data'!AC:AC,"&lt;"&amp;'Supply planning data'!D125)-SUMIFS(M:M,D:D,"&lt;="&amp;D110,C:C,C110)-SUMIFS(AA:AA,D:D,"&lt;="&amp;D110,C:C,C110)+SUMIFS(N:N,D:D,"&lt;="&amp;D110,C:C,C110)+SUMIFS(P:P,D:D,"&lt;="&amp;D110,C:C,C110))</f>
        <v>0</v>
      </c>
      <c r="AD110" s="105">
        <f t="shared" si="43"/>
        <v>0</v>
      </c>
      <c r="AE110" s="105">
        <f t="shared" si="36"/>
        <v>1000000</v>
      </c>
      <c r="AF110" s="206" t="str">
        <f t="shared" si="46"/>
        <v/>
      </c>
      <c r="AG110" s="105">
        <f t="shared" si="44"/>
        <v>193140</v>
      </c>
      <c r="AH110" s="106"/>
      <c r="AI110" s="312"/>
      <c r="AJ110" s="105">
        <f t="shared" si="35"/>
        <v>0</v>
      </c>
      <c r="AK110" s="234"/>
      <c r="AL110" s="105">
        <f>IF(SUMIFS('Shipments data'!L:L,'Shipments data'!F:F,'Supply planning data'!C110,'Shipments data'!A:A,'Supply planning data'!A110,'Shipments data'!O:O,"received",'Shipments data'!Q:Q,"&lt;"&amp;'Supply planning data'!D125,'Shipments data'!AC:AC,"&lt;"&amp;'Supply planning data'!D125)-SUMIFS(M:M,D:D,"&lt;="&amp;D110,C:C,C110)-SUMIFS(AJ:AJ,D:D,"&lt;="&amp;D110,C:C,C110)+SUMIFS(N:N,D:D,"&lt;="&amp;D110,C:C,C110)+SUMIFS(P:P,D:D,"&lt;="&amp;D110,C:C,C110)&lt;0,0,SUMIFS('Shipments data'!L:L,'Shipments data'!F:F,'Supply planning data'!C110,'Shipments data'!A:A,'Supply planning data'!A110,'Shipments data'!O:O,"received",'Shipments data'!Q:Q,"&lt;"&amp;'Supply planning data'!D125,'Shipments data'!AC:AC,"&lt;"&amp;'Supply planning data'!D125)-SUMIFS(M:M,D:D,"&lt;="&amp;D110,C:C,C110)-SUMIFS(AJ:AJ,D:D,"&lt;="&amp;D110,C:C,C110)+SUMIFS(N:N,D:D,"&lt;="&amp;D110,C:C,C110)+SUMIFS(P:P,D:D,"&lt;="&amp;D110,C:C,C110))</f>
        <v>0</v>
      </c>
      <c r="AM110" s="105">
        <f t="shared" si="45"/>
        <v>0</v>
      </c>
      <c r="AN110" s="105">
        <f t="shared" si="37"/>
        <v>0</v>
      </c>
      <c r="AO110" s="206" t="str">
        <f t="shared" si="48"/>
        <v/>
      </c>
    </row>
    <row r="111" spans="1:41" x14ac:dyDescent="0.25">
      <c r="A111" s="103" t="str">
        <f>Start!D$7</f>
        <v>Anyland</v>
      </c>
      <c r="B111" s="109" t="str">
        <f>VLOOKUP(A111,list!B:C,2,FALSE)</f>
        <v>ANY</v>
      </c>
      <c r="C111" s="109" t="str">
        <f>IF(Start!$C$18="","",Start!$C$18)</f>
        <v>Jansen</v>
      </c>
      <c r="D111" s="298">
        <f t="shared" si="39"/>
        <v>44409</v>
      </c>
      <c r="E111" s="105" t="str">
        <f>IFERROR(VLOOKUP(C111,Start!C$15:D$31,2,FALSE),"No")</f>
        <v>Yes</v>
      </c>
      <c r="F111" s="105">
        <f t="shared" si="40"/>
        <v>302600</v>
      </c>
      <c r="G111" s="106">
        <v>1653</v>
      </c>
      <c r="H111" s="106"/>
      <c r="I111" s="106"/>
      <c r="J111" s="105">
        <f t="shared" si="30"/>
        <v>1653</v>
      </c>
      <c r="K111" s="106"/>
      <c r="L111" s="177">
        <f t="shared" si="31"/>
        <v>0</v>
      </c>
      <c r="M111" s="105">
        <f t="shared" si="32"/>
        <v>1653</v>
      </c>
      <c r="N111" s="110"/>
      <c r="O111" s="124"/>
      <c r="P111" s="110"/>
      <c r="Q111" s="124"/>
      <c r="R111" s="111">
        <f>SUMIFS('Shipments data'!L:L,'Shipments data'!F:F,'Supply planning data'!C111,'Shipments data'!A:A,'Supply planning data'!A111,'Shipments data'!Y:Y,'Supply planning data'!D111,'Shipments data'!O:O,"received", 'Shipments data'!N:N, "Public")</f>
        <v>0</v>
      </c>
      <c r="S111" s="111">
        <f>SUMIFS('Shipments data'!L:L,'Shipments data'!F:F,'Supply planning data'!C111,'Shipments data'!A:A,'Supply planning data'!A111,'Shipments data'!Y:Y,'Supply planning data'!D111,'Shipments data'!O:O,"ordered", 'Shipments data'!N:N, "Public")</f>
        <v>0</v>
      </c>
      <c r="T111" s="111">
        <f>IF(SUMIFS('Shipments data'!L:L,'Shipments data'!F:F,'Supply planning data'!C111,'Shipments data'!A:A,'Supply planning data'!A111,'Shipments data'!O:O,"received",'Shipments data'!Q:Q,"&lt;"&amp;'Supply planning data'!D126,'Shipments data'!AC:AC,"&lt;"&amp;'Supply planning data'!D126)-SUMIFS(M:M,D:D,"&lt;="&amp;D111,C:C,C111)+SUMIFS(N:N,D:D,"&lt;="&amp;D111,C:C,C111)+SUMIFS(P:P,D:D,"&lt;="&amp;D111,C:C,C111)&lt;0,0,SUMIFS('Shipments data'!L:L,'Shipments data'!F:F,'Supply planning data'!C111,'Shipments data'!A:A,'Supply planning data'!A111,'Shipments data'!O:O,"received",'Shipments data'!Q:Q,"&lt;"&amp;'Supply planning data'!D126,'Shipments data'!AC:AC,"&lt;"&amp;'Supply planning data'!D126)-SUMIFS(M:M,D:D,"&lt;="&amp;D111,C:C,C111)+SUMIFS(N:N,D:D,"&lt;="&amp;D111,C:C,C111)+SUMIFS(P:P,D:D,"&lt;="&amp;D111,C:C,C111))</f>
        <v>0</v>
      </c>
      <c r="U111" s="112">
        <f t="shared" si="41"/>
        <v>0</v>
      </c>
      <c r="V111" s="111">
        <f t="shared" si="49"/>
        <v>300947</v>
      </c>
      <c r="W111" s="204">
        <f t="shared" si="47"/>
        <v>546.18330308529949</v>
      </c>
      <c r="X111" s="111">
        <f t="shared" si="42"/>
        <v>302600</v>
      </c>
      <c r="Y111" s="110"/>
      <c r="Z111" s="107"/>
      <c r="AA111" s="111">
        <f t="shared" si="34"/>
        <v>0</v>
      </c>
      <c r="AB111" s="235"/>
      <c r="AC111" s="111">
        <f>IF(SUMIFS('Shipments data'!L:L,'Shipments data'!F:F,'Supply planning data'!C111,'Shipments data'!A:A,'Supply planning data'!A111,'Shipments data'!O:O,"received",'Shipments data'!Q:Q,"&lt;"&amp;'Supply planning data'!D126,'Shipments data'!AC:AC,"&lt;"&amp;'Supply planning data'!D126)-SUMIFS(M:M,D:D,"&lt;="&amp;D111,C:C,C111)-SUMIFS(AA:AA,D:D,"&lt;="&amp;D111,C:C,C111)+SUMIFS(N:N,D:D,"&lt;="&amp;D111,C:C,C111)+SUMIFS(P:P,D:D,"&lt;="&amp;D111,C:C,C111)&lt;0,0,SUMIFS('Shipments data'!L:L,'Shipments data'!F:F,'Supply planning data'!C111,'Shipments data'!A:A,'Supply planning data'!A111,'Shipments data'!O:O,"received",'Shipments data'!Q:Q,"&lt;"&amp;'Supply planning data'!D126,'Shipments data'!AC:AC,"&lt;"&amp;'Supply planning data'!D126)-SUMIFS(M:M,D:D,"&lt;="&amp;D111,C:C,C111)-SUMIFS(AA:AA,D:D,"&lt;="&amp;D111,C:C,C111)+SUMIFS(N:N,D:D,"&lt;="&amp;D111,C:C,C111)+SUMIFS(P:P,D:D,"&lt;="&amp;D111,C:C,C111))</f>
        <v>0</v>
      </c>
      <c r="AD111" s="111">
        <f t="shared" si="43"/>
        <v>0</v>
      </c>
      <c r="AE111" s="111">
        <f t="shared" si="36"/>
        <v>300947</v>
      </c>
      <c r="AF111" s="204">
        <f t="shared" si="46"/>
        <v>4.0538680172959571</v>
      </c>
      <c r="AG111" s="111">
        <f t="shared" si="44"/>
        <v>302600</v>
      </c>
      <c r="AH111" s="110"/>
      <c r="AI111" s="313"/>
      <c r="AJ111" s="111">
        <f t="shared" si="35"/>
        <v>0</v>
      </c>
      <c r="AK111" s="235"/>
      <c r="AL111" s="111">
        <f>IF(SUMIFS('Shipments data'!L:L,'Shipments data'!F:F,'Supply planning data'!C111,'Shipments data'!A:A,'Supply planning data'!A111,'Shipments data'!O:O,"received",'Shipments data'!Q:Q,"&lt;"&amp;'Supply planning data'!D126,'Shipments data'!AC:AC,"&lt;"&amp;'Supply planning data'!D126)-SUMIFS(M:M,D:D,"&lt;="&amp;D111,C:C,C111)-SUMIFS(AJ:AJ,D:D,"&lt;="&amp;D111,C:C,C111)+SUMIFS(N:N,D:D,"&lt;="&amp;D111,C:C,C111)+SUMIFS(P:P,D:D,"&lt;="&amp;D111,C:C,C111)&lt;0,0,SUMIFS('Shipments data'!L:L,'Shipments data'!F:F,'Supply planning data'!C111,'Shipments data'!A:A,'Supply planning data'!A111,'Shipments data'!O:O,"received",'Shipments data'!Q:Q,"&lt;"&amp;'Supply planning data'!D126,'Shipments data'!AC:AC,"&lt;"&amp;'Supply planning data'!D126)-SUMIFS(M:M,D:D,"&lt;="&amp;D111,C:C,C111)-SUMIFS(AJ:AJ,D:D,"&lt;="&amp;D111,C:C,C111)+SUMIFS(N:N,D:D,"&lt;="&amp;D111,C:C,C111)+SUMIFS(P:P,D:D,"&lt;="&amp;D111,C:C,C111))</f>
        <v>0</v>
      </c>
      <c r="AM111" s="111">
        <f t="shared" si="45"/>
        <v>0</v>
      </c>
      <c r="AN111" s="111">
        <f t="shared" si="37"/>
        <v>300947</v>
      </c>
      <c r="AO111" s="204">
        <f t="shared" si="48"/>
        <v>4.0538680172959571</v>
      </c>
    </row>
    <row r="112" spans="1:41" x14ac:dyDescent="0.25">
      <c r="A112" s="103" t="str">
        <f>Start!D$7</f>
        <v>Anyland</v>
      </c>
      <c r="B112" s="109" t="str">
        <f>VLOOKUP(A112,list!B:C,2,FALSE)</f>
        <v>ANY</v>
      </c>
      <c r="C112" s="104" t="str">
        <f>IF(Start!$C$19="","",Start!$C$19)</f>
        <v>Moderna</v>
      </c>
      <c r="D112" s="298">
        <f t="shared" si="39"/>
        <v>44409</v>
      </c>
      <c r="E112" s="105" t="str">
        <f>IFERROR(VLOOKUP(C112,Start!C$15:D$31,2,FALSE),"No")</f>
        <v>No</v>
      </c>
      <c r="F112" s="105">
        <f t="shared" si="40"/>
        <v>0</v>
      </c>
      <c r="G112" s="106"/>
      <c r="H112" s="106"/>
      <c r="I112" s="106"/>
      <c r="J112" s="105">
        <f t="shared" si="30"/>
        <v>0</v>
      </c>
      <c r="K112" s="106"/>
      <c r="L112" s="177" t="str">
        <f t="shared" si="31"/>
        <v/>
      </c>
      <c r="M112" s="105">
        <f t="shared" si="32"/>
        <v>0</v>
      </c>
      <c r="N112" s="110"/>
      <c r="O112" s="124"/>
      <c r="P112" s="110"/>
      <c r="Q112" s="124"/>
      <c r="R112" s="111">
        <f>SUMIFS('Shipments data'!L:L,'Shipments data'!F:F,'Supply planning data'!C112,'Shipments data'!A:A,'Supply planning data'!A112,'Shipments data'!Y:Y,'Supply planning data'!D112,'Shipments data'!O:O,"received", 'Shipments data'!N:N, "Public")</f>
        <v>0</v>
      </c>
      <c r="S112" s="111">
        <f>SUMIFS('Shipments data'!L:L,'Shipments data'!F:F,'Supply planning data'!C112,'Shipments data'!A:A,'Supply planning data'!A112,'Shipments data'!Y:Y,'Supply planning data'!D112,'Shipments data'!O:O,"ordered", 'Shipments data'!N:N, "Public")</f>
        <v>0</v>
      </c>
      <c r="T112" s="111">
        <f>IF(SUMIFS('Shipments data'!L:L,'Shipments data'!F:F,'Supply planning data'!C112,'Shipments data'!A:A,'Supply planning data'!A112,'Shipments data'!O:O,"received",'Shipments data'!Q:Q,"&lt;"&amp;'Supply planning data'!D127,'Shipments data'!AC:AC,"&lt;"&amp;'Supply planning data'!D127)-SUMIFS(M:M,D:D,"&lt;="&amp;D112,C:C,C112)+SUMIFS(N:N,D:D,"&lt;="&amp;D112,C:C,C112)+SUMIFS(P:P,D:D,"&lt;="&amp;D112,C:C,C112)&lt;0,0,SUMIFS('Shipments data'!L:L,'Shipments data'!F:F,'Supply planning data'!C112,'Shipments data'!A:A,'Supply planning data'!A112,'Shipments data'!O:O,"received",'Shipments data'!Q:Q,"&lt;"&amp;'Supply planning data'!D127,'Shipments data'!AC:AC,"&lt;"&amp;'Supply planning data'!D127)-SUMIFS(M:M,D:D,"&lt;="&amp;D112,C:C,C112)+SUMIFS(N:N,D:D,"&lt;="&amp;D112,C:C,C112)+SUMIFS(P:P,D:D,"&lt;="&amp;D112,C:C,C112))</f>
        <v>0</v>
      </c>
      <c r="U112" s="112">
        <f t="shared" si="41"/>
        <v>0</v>
      </c>
      <c r="V112" s="111">
        <f t="shared" si="49"/>
        <v>0</v>
      </c>
      <c r="W112" s="204" t="str">
        <f t="shared" si="47"/>
        <v/>
      </c>
      <c r="X112" s="111">
        <f t="shared" si="42"/>
        <v>0</v>
      </c>
      <c r="Y112" s="110"/>
      <c r="Z112" s="107"/>
      <c r="AA112" s="111">
        <f t="shared" si="34"/>
        <v>0</v>
      </c>
      <c r="AB112" s="235"/>
      <c r="AC112" s="111">
        <f>IF(SUMIFS('Shipments data'!L:L,'Shipments data'!F:F,'Supply planning data'!C112,'Shipments data'!A:A,'Supply planning data'!A112,'Shipments data'!O:O,"received",'Shipments data'!Q:Q,"&lt;"&amp;'Supply planning data'!D127,'Shipments data'!AC:AC,"&lt;"&amp;'Supply planning data'!D127)-SUMIFS(M:M,D:D,"&lt;="&amp;D112,C:C,C112)-SUMIFS(AA:AA,D:D,"&lt;="&amp;D112,C:C,C112)+SUMIFS(N:N,D:D,"&lt;="&amp;D112,C:C,C112)+SUMIFS(P:P,D:D,"&lt;="&amp;D112,C:C,C112)&lt;0,0,SUMIFS('Shipments data'!L:L,'Shipments data'!F:F,'Supply planning data'!C112,'Shipments data'!A:A,'Supply planning data'!A112,'Shipments data'!O:O,"received",'Shipments data'!Q:Q,"&lt;"&amp;'Supply planning data'!D127,'Shipments data'!AC:AC,"&lt;"&amp;'Supply planning data'!D127)-SUMIFS(M:M,D:D,"&lt;="&amp;D112,C:C,C112)-SUMIFS(AA:AA,D:D,"&lt;="&amp;D112,C:C,C112)+SUMIFS(N:N,D:D,"&lt;="&amp;D112,C:C,C112)+SUMIFS(P:P,D:D,"&lt;="&amp;D112,C:C,C112))</f>
        <v>0</v>
      </c>
      <c r="AD112" s="111">
        <f t="shared" si="43"/>
        <v>0</v>
      </c>
      <c r="AE112" s="111">
        <f t="shared" si="36"/>
        <v>0</v>
      </c>
      <c r="AF112" s="204" t="str">
        <f t="shared" si="46"/>
        <v/>
      </c>
      <c r="AG112" s="111">
        <f t="shared" si="44"/>
        <v>0</v>
      </c>
      <c r="AH112" s="110"/>
      <c r="AI112" s="313"/>
      <c r="AJ112" s="111">
        <f t="shared" si="35"/>
        <v>0</v>
      </c>
      <c r="AK112" s="235"/>
      <c r="AL112" s="111">
        <f>IF(SUMIFS('Shipments data'!L:L,'Shipments data'!F:F,'Supply planning data'!C112,'Shipments data'!A:A,'Supply planning data'!A112,'Shipments data'!O:O,"received",'Shipments data'!Q:Q,"&lt;"&amp;'Supply planning data'!D127,'Shipments data'!AC:AC,"&lt;"&amp;'Supply planning data'!D127)-SUMIFS(M:M,D:D,"&lt;="&amp;D112,C:C,C112)-SUMIFS(AJ:AJ,D:D,"&lt;="&amp;D112,C:C,C112)+SUMIFS(N:N,D:D,"&lt;="&amp;D112,C:C,C112)+SUMIFS(P:P,D:D,"&lt;="&amp;D112,C:C,C112)&lt;0,0,SUMIFS('Shipments data'!L:L,'Shipments data'!F:F,'Supply planning data'!C112,'Shipments data'!A:A,'Supply planning data'!A112,'Shipments data'!O:O,"received",'Shipments data'!Q:Q,"&lt;"&amp;'Supply planning data'!D127,'Shipments data'!AC:AC,"&lt;"&amp;'Supply planning data'!D127)-SUMIFS(M:M,D:D,"&lt;="&amp;D112,C:C,C112)-SUMIFS(AJ:AJ,D:D,"&lt;="&amp;D112,C:C,C112)+SUMIFS(N:N,D:D,"&lt;="&amp;D112,C:C,C112)+SUMIFS(P:P,D:D,"&lt;="&amp;D112,C:C,C112))</f>
        <v>0</v>
      </c>
      <c r="AM112" s="111">
        <f t="shared" si="45"/>
        <v>0</v>
      </c>
      <c r="AN112" s="111">
        <f t="shared" si="37"/>
        <v>0</v>
      </c>
      <c r="AO112" s="204" t="str">
        <f t="shared" si="48"/>
        <v/>
      </c>
    </row>
    <row r="113" spans="1:41" x14ac:dyDescent="0.25">
      <c r="A113" s="103" t="str">
        <f>Start!D$7</f>
        <v>Anyland</v>
      </c>
      <c r="B113" s="109" t="str">
        <f>VLOOKUP(A113,list!B:C,2,FALSE)</f>
        <v>ANY</v>
      </c>
      <c r="C113" s="109" t="str">
        <f>IF(Start!$C$20="","",Start!$C$20)</f>
        <v>Pfizer</v>
      </c>
      <c r="D113" s="298">
        <f t="shared" si="39"/>
        <v>44409</v>
      </c>
      <c r="E113" s="105" t="str">
        <f>IFERROR(VLOOKUP(C113,Start!C$15:D$31,2,FALSE),"No")</f>
        <v>Yes</v>
      </c>
      <c r="F113" s="105">
        <f t="shared" si="40"/>
        <v>0</v>
      </c>
      <c r="G113" s="106"/>
      <c r="H113" s="106"/>
      <c r="I113" s="106"/>
      <c r="J113" s="105">
        <f t="shared" si="30"/>
        <v>0</v>
      </c>
      <c r="K113" s="106"/>
      <c r="L113" s="177" t="str">
        <f t="shared" si="31"/>
        <v/>
      </c>
      <c r="M113" s="105">
        <f t="shared" si="32"/>
        <v>0</v>
      </c>
      <c r="N113" s="110"/>
      <c r="O113" s="124"/>
      <c r="P113" s="110"/>
      <c r="Q113" s="124"/>
      <c r="R113" s="111">
        <f>SUMIFS('Shipments data'!L:L,'Shipments data'!F:F,'Supply planning data'!C113,'Shipments data'!A:A,'Supply planning data'!A113,'Shipments data'!Y:Y,'Supply planning data'!D113,'Shipments data'!O:O,"received", 'Shipments data'!N:N, "Public")</f>
        <v>0</v>
      </c>
      <c r="S113" s="111">
        <f>SUMIFS('Shipments data'!L:L,'Shipments data'!F:F,'Supply planning data'!C113,'Shipments data'!A:A,'Supply planning data'!A113,'Shipments data'!Y:Y,'Supply planning data'!D113,'Shipments data'!O:O,"ordered", 'Shipments data'!N:N, "Public")</f>
        <v>0</v>
      </c>
      <c r="T113" s="111">
        <f>IF(SUMIFS('Shipments data'!L:L,'Shipments data'!F:F,'Supply planning data'!C113,'Shipments data'!A:A,'Supply planning data'!A113,'Shipments data'!O:O,"received",'Shipments data'!Q:Q,"&lt;"&amp;'Supply planning data'!D128,'Shipments data'!AC:AC,"&lt;"&amp;'Supply planning data'!D128)-SUMIFS(M:M,D:D,"&lt;="&amp;D113,C:C,C113)+SUMIFS(N:N,D:D,"&lt;="&amp;D113,C:C,C113)+SUMIFS(P:P,D:D,"&lt;="&amp;D113,C:C,C113)&lt;0,0,SUMIFS('Shipments data'!L:L,'Shipments data'!F:F,'Supply planning data'!C113,'Shipments data'!A:A,'Supply planning data'!A113,'Shipments data'!O:O,"received",'Shipments data'!Q:Q,"&lt;"&amp;'Supply planning data'!D128,'Shipments data'!AC:AC,"&lt;"&amp;'Supply planning data'!D128)-SUMIFS(M:M,D:D,"&lt;="&amp;D113,C:C,C113)+SUMIFS(N:N,D:D,"&lt;="&amp;D113,C:C,C113)+SUMIFS(P:P,D:D,"&lt;="&amp;D113,C:C,C113))</f>
        <v>0</v>
      </c>
      <c r="U113" s="112">
        <f t="shared" si="41"/>
        <v>0</v>
      </c>
      <c r="V113" s="111">
        <f t="shared" si="49"/>
        <v>0</v>
      </c>
      <c r="W113" s="204" t="str">
        <f t="shared" si="47"/>
        <v/>
      </c>
      <c r="X113" s="111">
        <f t="shared" si="42"/>
        <v>0</v>
      </c>
      <c r="Y113" s="110"/>
      <c r="Z113" s="107"/>
      <c r="AA113" s="111">
        <f t="shared" si="34"/>
        <v>0</v>
      </c>
      <c r="AB113" s="235"/>
      <c r="AC113" s="111">
        <f>IF(SUMIFS('Shipments data'!L:L,'Shipments data'!F:F,'Supply planning data'!C113,'Shipments data'!A:A,'Supply planning data'!A113,'Shipments data'!O:O,"received",'Shipments data'!Q:Q,"&lt;"&amp;'Supply planning data'!D128,'Shipments data'!AC:AC,"&lt;"&amp;'Supply planning data'!D128)-SUMIFS(M:M,D:D,"&lt;="&amp;D113,C:C,C113)-SUMIFS(AA:AA,D:D,"&lt;="&amp;D113,C:C,C113)+SUMIFS(N:N,D:D,"&lt;="&amp;D113,C:C,C113)+SUMIFS(P:P,D:D,"&lt;="&amp;D113,C:C,C113)&lt;0,0,SUMIFS('Shipments data'!L:L,'Shipments data'!F:F,'Supply planning data'!C113,'Shipments data'!A:A,'Supply planning data'!A113,'Shipments data'!O:O,"received",'Shipments data'!Q:Q,"&lt;"&amp;'Supply planning data'!D128,'Shipments data'!AC:AC,"&lt;"&amp;'Supply planning data'!D128)-SUMIFS(M:M,D:D,"&lt;="&amp;D113,C:C,C113)-SUMIFS(AA:AA,D:D,"&lt;="&amp;D113,C:C,C113)+SUMIFS(N:N,D:D,"&lt;="&amp;D113,C:C,C113)+SUMIFS(P:P,D:D,"&lt;="&amp;D113,C:C,C113))</f>
        <v>0</v>
      </c>
      <c r="AD113" s="111">
        <f t="shared" si="43"/>
        <v>0</v>
      </c>
      <c r="AE113" s="111">
        <f t="shared" si="36"/>
        <v>0</v>
      </c>
      <c r="AF113" s="204" t="str">
        <f t="shared" si="46"/>
        <v/>
      </c>
      <c r="AG113" s="111">
        <f t="shared" si="44"/>
        <v>0</v>
      </c>
      <c r="AH113" s="110"/>
      <c r="AI113" s="313"/>
      <c r="AJ113" s="111">
        <f t="shared" si="35"/>
        <v>0</v>
      </c>
      <c r="AK113" s="235"/>
      <c r="AL113" s="111">
        <f>IF(SUMIFS('Shipments data'!L:L,'Shipments data'!F:F,'Supply planning data'!C113,'Shipments data'!A:A,'Supply planning data'!A113,'Shipments data'!O:O,"received",'Shipments data'!Q:Q,"&lt;"&amp;'Supply planning data'!D128,'Shipments data'!AC:AC,"&lt;"&amp;'Supply planning data'!D128)-SUMIFS(M:M,D:D,"&lt;="&amp;D113,C:C,C113)-SUMIFS(AJ:AJ,D:D,"&lt;="&amp;D113,C:C,C113)+SUMIFS(N:N,D:D,"&lt;="&amp;D113,C:C,C113)+SUMIFS(P:P,D:D,"&lt;="&amp;D113,C:C,C113)&lt;0,0,SUMIFS('Shipments data'!L:L,'Shipments data'!F:F,'Supply planning data'!C113,'Shipments data'!A:A,'Supply planning data'!A113,'Shipments data'!O:O,"received",'Shipments data'!Q:Q,"&lt;"&amp;'Supply planning data'!D128,'Shipments data'!AC:AC,"&lt;"&amp;'Supply planning data'!D128)-SUMIFS(M:M,D:D,"&lt;="&amp;D113,C:C,C113)-SUMIFS(AJ:AJ,D:D,"&lt;="&amp;D113,C:C,C113)+SUMIFS(N:N,D:D,"&lt;="&amp;D113,C:C,C113)+SUMIFS(P:P,D:D,"&lt;="&amp;D113,C:C,C113))</f>
        <v>0</v>
      </c>
      <c r="AM113" s="111">
        <f t="shared" si="45"/>
        <v>0</v>
      </c>
      <c r="AN113" s="111">
        <f t="shared" si="37"/>
        <v>0</v>
      </c>
      <c r="AO113" s="204" t="str">
        <f t="shared" si="48"/>
        <v/>
      </c>
    </row>
    <row r="114" spans="1:41" x14ac:dyDescent="0.25">
      <c r="A114" s="103" t="str">
        <f>Start!D$7</f>
        <v>Anyland</v>
      </c>
      <c r="B114" s="109" t="str">
        <f>VLOOKUP(A114,list!B:C,2,FALSE)</f>
        <v>ANY</v>
      </c>
      <c r="C114" s="104" t="str">
        <f>IF(Start!$C$21="","",Start!$C$21)</f>
        <v>Sinovac</v>
      </c>
      <c r="D114" s="298">
        <f t="shared" si="39"/>
        <v>44409</v>
      </c>
      <c r="E114" s="105" t="str">
        <f>IFERROR(VLOOKUP(C114,Start!C$15:D$31,2,FALSE),"No")</f>
        <v>No</v>
      </c>
      <c r="F114" s="105">
        <f t="shared" si="40"/>
        <v>0</v>
      </c>
      <c r="G114" s="106"/>
      <c r="H114" s="106"/>
      <c r="I114" s="106"/>
      <c r="J114" s="105">
        <f t="shared" si="30"/>
        <v>0</v>
      </c>
      <c r="K114" s="106"/>
      <c r="L114" s="177" t="str">
        <f t="shared" si="31"/>
        <v/>
      </c>
      <c r="M114" s="105">
        <f t="shared" si="32"/>
        <v>0</v>
      </c>
      <c r="N114" s="110"/>
      <c r="O114" s="124"/>
      <c r="P114" s="110"/>
      <c r="Q114" s="124"/>
      <c r="R114" s="111">
        <f>SUMIFS('Shipments data'!L:L,'Shipments data'!F:F,'Supply planning data'!C114,'Shipments data'!A:A,'Supply planning data'!A114,'Shipments data'!Y:Y,'Supply planning data'!D114,'Shipments data'!O:O,"received", 'Shipments data'!N:N, "Public")</f>
        <v>0</v>
      </c>
      <c r="S114" s="111">
        <f>SUMIFS('Shipments data'!L:L,'Shipments data'!F:F,'Supply planning data'!C114,'Shipments data'!A:A,'Supply planning data'!A114,'Shipments data'!Y:Y,'Supply planning data'!D114,'Shipments data'!O:O,"ordered", 'Shipments data'!N:N, "Public")</f>
        <v>0</v>
      </c>
      <c r="T114" s="111">
        <f>IF(SUMIFS('Shipments data'!L:L,'Shipments data'!F:F,'Supply planning data'!C114,'Shipments data'!A:A,'Supply planning data'!A114,'Shipments data'!O:O,"received",'Shipments data'!Q:Q,"&lt;"&amp;'Supply planning data'!D129,'Shipments data'!AC:AC,"&lt;"&amp;'Supply planning data'!D129)-SUMIFS(M:M,D:D,"&lt;="&amp;D114,C:C,C114)+SUMIFS(N:N,D:D,"&lt;="&amp;D114,C:C,C114)+SUMIFS(P:P,D:D,"&lt;="&amp;D114,C:C,C114)&lt;0,0,SUMIFS('Shipments data'!L:L,'Shipments data'!F:F,'Supply planning data'!C114,'Shipments data'!A:A,'Supply planning data'!A114,'Shipments data'!O:O,"received",'Shipments data'!Q:Q,"&lt;"&amp;'Supply planning data'!D129,'Shipments data'!AC:AC,"&lt;"&amp;'Supply planning data'!D129)-SUMIFS(M:M,D:D,"&lt;="&amp;D114,C:C,C114)+SUMIFS(N:N,D:D,"&lt;="&amp;D114,C:C,C114)+SUMIFS(P:P,D:D,"&lt;="&amp;D114,C:C,C114))</f>
        <v>0</v>
      </c>
      <c r="U114" s="112">
        <f t="shared" si="41"/>
        <v>0</v>
      </c>
      <c r="V114" s="111">
        <f t="shared" si="49"/>
        <v>0</v>
      </c>
      <c r="W114" s="204" t="str">
        <f t="shared" si="47"/>
        <v/>
      </c>
      <c r="X114" s="111">
        <f t="shared" si="42"/>
        <v>0</v>
      </c>
      <c r="Y114" s="110"/>
      <c r="Z114" s="107"/>
      <c r="AA114" s="111">
        <f t="shared" si="34"/>
        <v>0</v>
      </c>
      <c r="AB114" s="235"/>
      <c r="AC114" s="111">
        <f>IF(SUMIFS('Shipments data'!L:L,'Shipments data'!F:F,'Supply planning data'!C114,'Shipments data'!A:A,'Supply planning data'!A114,'Shipments data'!O:O,"received",'Shipments data'!Q:Q,"&lt;"&amp;'Supply planning data'!D129,'Shipments data'!AC:AC,"&lt;"&amp;'Supply planning data'!D129)-SUMIFS(M:M,D:D,"&lt;="&amp;D114,C:C,C114)-SUMIFS(AA:AA,D:D,"&lt;="&amp;D114,C:C,C114)+SUMIFS(N:N,D:D,"&lt;="&amp;D114,C:C,C114)+SUMIFS(P:P,D:D,"&lt;="&amp;D114,C:C,C114)&lt;0,0,SUMIFS('Shipments data'!L:L,'Shipments data'!F:F,'Supply planning data'!C114,'Shipments data'!A:A,'Supply planning data'!A114,'Shipments data'!O:O,"received",'Shipments data'!Q:Q,"&lt;"&amp;'Supply planning data'!D129,'Shipments data'!AC:AC,"&lt;"&amp;'Supply planning data'!D129)-SUMIFS(M:M,D:D,"&lt;="&amp;D114,C:C,C114)-SUMIFS(AA:AA,D:D,"&lt;="&amp;D114,C:C,C114)+SUMIFS(N:N,D:D,"&lt;="&amp;D114,C:C,C114)+SUMIFS(P:P,D:D,"&lt;="&amp;D114,C:C,C114))</f>
        <v>0</v>
      </c>
      <c r="AD114" s="111">
        <f t="shared" si="43"/>
        <v>0</v>
      </c>
      <c r="AE114" s="111">
        <f t="shared" si="36"/>
        <v>0</v>
      </c>
      <c r="AF114" s="204" t="str">
        <f t="shared" si="46"/>
        <v/>
      </c>
      <c r="AG114" s="111">
        <f t="shared" si="44"/>
        <v>0</v>
      </c>
      <c r="AH114" s="110"/>
      <c r="AI114" s="313"/>
      <c r="AJ114" s="111">
        <f t="shared" si="35"/>
        <v>0</v>
      </c>
      <c r="AK114" s="235"/>
      <c r="AL114" s="111">
        <f>IF(SUMIFS('Shipments data'!L:L,'Shipments data'!F:F,'Supply planning data'!C114,'Shipments data'!A:A,'Supply planning data'!A114,'Shipments data'!O:O,"received",'Shipments data'!Q:Q,"&lt;"&amp;'Supply planning data'!D129,'Shipments data'!AC:AC,"&lt;"&amp;'Supply planning data'!D129)-SUMIFS(M:M,D:D,"&lt;="&amp;D114,C:C,C114)-SUMIFS(AJ:AJ,D:D,"&lt;="&amp;D114,C:C,C114)+SUMIFS(N:N,D:D,"&lt;="&amp;D114,C:C,C114)+SUMIFS(P:P,D:D,"&lt;="&amp;D114,C:C,C114)&lt;0,0,SUMIFS('Shipments data'!L:L,'Shipments data'!F:F,'Supply planning data'!C114,'Shipments data'!A:A,'Supply planning data'!A114,'Shipments data'!O:O,"received",'Shipments data'!Q:Q,"&lt;"&amp;'Supply planning data'!D129,'Shipments data'!AC:AC,"&lt;"&amp;'Supply planning data'!D129)-SUMIFS(M:M,D:D,"&lt;="&amp;D114,C:C,C114)-SUMIFS(AJ:AJ,D:D,"&lt;="&amp;D114,C:C,C114)+SUMIFS(N:N,D:D,"&lt;="&amp;D114,C:C,C114)+SUMIFS(P:P,D:D,"&lt;="&amp;D114,C:C,C114))</f>
        <v>0</v>
      </c>
      <c r="AM114" s="111">
        <f t="shared" si="45"/>
        <v>0</v>
      </c>
      <c r="AN114" s="111">
        <f t="shared" si="37"/>
        <v>0</v>
      </c>
      <c r="AO114" s="204" t="str">
        <f t="shared" si="48"/>
        <v/>
      </c>
    </row>
    <row r="115" spans="1:41" hidden="1" x14ac:dyDescent="0.25">
      <c r="A115" s="103" t="str">
        <f>Start!D$7</f>
        <v>Anyland</v>
      </c>
      <c r="B115" s="109" t="str">
        <f>VLOOKUP(A115,list!B:C,2,FALSE)</f>
        <v>ANY</v>
      </c>
      <c r="C115" s="109" t="str">
        <f>IF(Start!$C$22="","",Start!$C$22)</f>
        <v/>
      </c>
      <c r="D115" s="298">
        <f t="shared" si="39"/>
        <v>44409</v>
      </c>
      <c r="E115" s="105" t="str">
        <f>IFERROR(VLOOKUP(C115,Start!C$15:D$31,2,FALSE),"No")</f>
        <v>No</v>
      </c>
      <c r="F115" s="105">
        <f t="shared" si="40"/>
        <v>0</v>
      </c>
      <c r="G115" s="106"/>
      <c r="H115" s="106"/>
      <c r="I115" s="106"/>
      <c r="J115" s="105">
        <f t="shared" si="30"/>
        <v>0</v>
      </c>
      <c r="K115" s="106"/>
      <c r="L115" s="177" t="str">
        <f t="shared" si="31"/>
        <v/>
      </c>
      <c r="M115" s="105">
        <f t="shared" si="32"/>
        <v>0</v>
      </c>
      <c r="N115" s="110"/>
      <c r="O115" s="124"/>
      <c r="P115" s="110"/>
      <c r="Q115" s="124"/>
      <c r="R115" s="111">
        <f>SUMIFS('Shipments data'!L:L,'Shipments data'!F:F,'Supply planning data'!C115,'Shipments data'!A:A,'Supply planning data'!A115,'Shipments data'!Y:Y,'Supply planning data'!D115,'Shipments data'!O:O,"received", 'Shipments data'!N:N, "Public")</f>
        <v>0</v>
      </c>
      <c r="S115" s="111">
        <f>SUMIFS('Shipments data'!L:L,'Shipments data'!F:F,'Supply planning data'!C115,'Shipments data'!A:A,'Supply planning data'!A115,'Shipments data'!Y:Y,'Supply planning data'!D115,'Shipments data'!O:O,"ordered", 'Shipments data'!N:N, "Public")</f>
        <v>0</v>
      </c>
      <c r="T115" s="111">
        <f>IF(SUMIFS('Shipments data'!L:L,'Shipments data'!F:F,'Supply planning data'!C115,'Shipments data'!A:A,'Supply planning data'!A115,'Shipments data'!O:O,"received",'Shipments data'!Q:Q,"&lt;"&amp;'Supply planning data'!D130,'Shipments data'!AC:AC,"&lt;"&amp;'Supply planning data'!D130)-SUMIFS(M:M,D:D,"&lt;="&amp;D115,C:C,C115)+SUMIFS(N:N,D:D,"&lt;="&amp;D115,C:C,C115)+SUMIFS(P:P,D:D,"&lt;="&amp;D115,C:C,C115)&lt;0,0,SUMIFS('Shipments data'!L:L,'Shipments data'!F:F,'Supply planning data'!C115,'Shipments data'!A:A,'Supply planning data'!A115,'Shipments data'!O:O,"received",'Shipments data'!Q:Q,"&lt;"&amp;'Supply planning data'!D130,'Shipments data'!AC:AC,"&lt;"&amp;'Supply planning data'!D130)-SUMIFS(M:M,D:D,"&lt;="&amp;D115,C:C,C115)+SUMIFS(N:N,D:D,"&lt;="&amp;D115,C:C,C115)+SUMIFS(P:P,D:D,"&lt;="&amp;D115,C:C,C115))</f>
        <v>0</v>
      </c>
      <c r="U115" s="112">
        <f t="shared" si="41"/>
        <v>0</v>
      </c>
      <c r="V115" s="111">
        <f t="shared" si="49"/>
        <v>0</v>
      </c>
      <c r="W115" s="204" t="str">
        <f t="shared" si="47"/>
        <v/>
      </c>
      <c r="X115" s="111">
        <f t="shared" si="42"/>
        <v>0</v>
      </c>
      <c r="Y115" s="110"/>
      <c r="Z115" s="107"/>
      <c r="AA115" s="111">
        <f t="shared" si="34"/>
        <v>0</v>
      </c>
      <c r="AB115" s="235"/>
      <c r="AC115" s="111">
        <f>IF(SUMIFS('Shipments data'!L:L,'Shipments data'!F:F,'Supply planning data'!C115,'Shipments data'!A:A,'Supply planning data'!A115,'Shipments data'!O:O,"received",'Shipments data'!Q:Q,"&lt;"&amp;'Supply planning data'!D130,'Shipments data'!AC:AC,"&lt;"&amp;'Supply planning data'!D130)-SUMIFS(M:M,D:D,"&lt;="&amp;D115,C:C,C115)-SUMIFS(AA:AA,D:D,"&lt;="&amp;D115,C:C,C115)+SUMIFS(N:N,D:D,"&lt;="&amp;D115,C:C,C115)+SUMIFS(P:P,D:D,"&lt;="&amp;D115,C:C,C115)&lt;0,0,SUMIFS('Shipments data'!L:L,'Shipments data'!F:F,'Supply planning data'!C115,'Shipments data'!A:A,'Supply planning data'!A115,'Shipments data'!O:O,"received",'Shipments data'!Q:Q,"&lt;"&amp;'Supply planning data'!D130,'Shipments data'!AC:AC,"&lt;"&amp;'Supply planning data'!D130)-SUMIFS(M:M,D:D,"&lt;="&amp;D115,C:C,C115)-SUMIFS(AA:AA,D:D,"&lt;="&amp;D115,C:C,C115)+SUMIFS(N:N,D:D,"&lt;="&amp;D115,C:C,C115)+SUMIFS(P:P,D:D,"&lt;="&amp;D115,C:C,C115))</f>
        <v>0</v>
      </c>
      <c r="AD115" s="111">
        <f t="shared" si="43"/>
        <v>0</v>
      </c>
      <c r="AE115" s="111">
        <f t="shared" si="36"/>
        <v>0</v>
      </c>
      <c r="AF115" s="204" t="str">
        <f t="shared" si="46"/>
        <v/>
      </c>
      <c r="AG115" s="111">
        <f t="shared" si="44"/>
        <v>0</v>
      </c>
      <c r="AH115" s="110"/>
      <c r="AI115" s="313"/>
      <c r="AJ115" s="111">
        <f t="shared" si="35"/>
        <v>0</v>
      </c>
      <c r="AK115" s="235"/>
      <c r="AL115" s="111">
        <f>IF(SUMIFS('Shipments data'!L:L,'Shipments data'!F:F,'Supply planning data'!C115,'Shipments data'!A:A,'Supply planning data'!A115,'Shipments data'!O:O,"received",'Shipments data'!Q:Q,"&lt;"&amp;'Supply planning data'!D130,'Shipments data'!AC:AC,"&lt;"&amp;'Supply planning data'!D130)-SUMIFS(M:M,D:D,"&lt;="&amp;D115,C:C,C115)-SUMIFS(AJ:AJ,D:D,"&lt;="&amp;D115,C:C,C115)+SUMIFS(N:N,D:D,"&lt;="&amp;D115,C:C,C115)+SUMIFS(P:P,D:D,"&lt;="&amp;D115,C:C,C115)&lt;0,0,SUMIFS('Shipments data'!L:L,'Shipments data'!F:F,'Supply planning data'!C115,'Shipments data'!A:A,'Supply planning data'!A115,'Shipments data'!O:O,"received",'Shipments data'!Q:Q,"&lt;"&amp;'Supply planning data'!D130,'Shipments data'!AC:AC,"&lt;"&amp;'Supply planning data'!D130)-SUMIFS(M:M,D:D,"&lt;="&amp;D115,C:C,C115)-SUMIFS(AJ:AJ,D:D,"&lt;="&amp;D115,C:C,C115)+SUMIFS(N:N,D:D,"&lt;="&amp;D115,C:C,C115)+SUMIFS(P:P,D:D,"&lt;="&amp;D115,C:C,C115))</f>
        <v>0</v>
      </c>
      <c r="AM115" s="111">
        <f t="shared" si="45"/>
        <v>0</v>
      </c>
      <c r="AN115" s="111">
        <f t="shared" si="37"/>
        <v>0</v>
      </c>
      <c r="AO115" s="204" t="str">
        <f t="shared" si="48"/>
        <v/>
      </c>
    </row>
    <row r="116" spans="1:41" hidden="1" x14ac:dyDescent="0.25">
      <c r="A116" s="103" t="str">
        <f>Start!D$7</f>
        <v>Anyland</v>
      </c>
      <c r="B116" s="109" t="str">
        <f>VLOOKUP(A116,list!B:C,2,FALSE)</f>
        <v>ANY</v>
      </c>
      <c r="C116" s="104" t="str">
        <f>IF(Start!$C$23="","",Start!$C$23)</f>
        <v/>
      </c>
      <c r="D116" s="298">
        <f t="shared" si="39"/>
        <v>44409</v>
      </c>
      <c r="E116" s="105" t="str">
        <f>IFERROR(VLOOKUP(C116,Start!C$15:D$31,2,FALSE),"No")</f>
        <v>No</v>
      </c>
      <c r="F116" s="105">
        <f t="shared" si="40"/>
        <v>0</v>
      </c>
      <c r="G116" s="106"/>
      <c r="H116" s="106"/>
      <c r="I116" s="106"/>
      <c r="J116" s="105">
        <f t="shared" si="30"/>
        <v>0</v>
      </c>
      <c r="K116" s="106"/>
      <c r="L116" s="177" t="str">
        <f t="shared" si="31"/>
        <v/>
      </c>
      <c r="M116" s="105">
        <f t="shared" si="32"/>
        <v>0</v>
      </c>
      <c r="N116" s="110"/>
      <c r="O116" s="124"/>
      <c r="P116" s="110"/>
      <c r="Q116" s="124"/>
      <c r="R116" s="111">
        <f>SUMIFS('Shipments data'!L:L,'Shipments data'!F:F,'Supply planning data'!C116,'Shipments data'!A:A,'Supply planning data'!A116,'Shipments data'!Y:Y,'Supply planning data'!D116,'Shipments data'!O:O,"received", 'Shipments data'!N:N, "Public")</f>
        <v>0</v>
      </c>
      <c r="S116" s="111">
        <f>SUMIFS('Shipments data'!L:L,'Shipments data'!F:F,'Supply planning data'!C116,'Shipments data'!A:A,'Supply planning data'!A116,'Shipments data'!Y:Y,'Supply planning data'!D116,'Shipments data'!O:O,"ordered", 'Shipments data'!N:N, "Public")</f>
        <v>0</v>
      </c>
      <c r="T116" s="111">
        <f>IF(SUMIFS('Shipments data'!L:L,'Shipments data'!F:F,'Supply planning data'!C116,'Shipments data'!A:A,'Supply planning data'!A116,'Shipments data'!O:O,"received",'Shipments data'!Q:Q,"&lt;"&amp;'Supply planning data'!D131,'Shipments data'!AC:AC,"&lt;"&amp;'Supply planning data'!D131)-SUMIFS(M:M,D:D,"&lt;="&amp;D116,C:C,C116)+SUMIFS(N:N,D:D,"&lt;="&amp;D116,C:C,C116)+SUMIFS(P:P,D:D,"&lt;="&amp;D116,C:C,C116)&lt;0,0,SUMIFS('Shipments data'!L:L,'Shipments data'!F:F,'Supply planning data'!C116,'Shipments data'!A:A,'Supply planning data'!A116,'Shipments data'!O:O,"received",'Shipments data'!Q:Q,"&lt;"&amp;'Supply planning data'!D131,'Shipments data'!AC:AC,"&lt;"&amp;'Supply planning data'!D131)-SUMIFS(M:M,D:D,"&lt;="&amp;D116,C:C,C116)+SUMIFS(N:N,D:D,"&lt;="&amp;D116,C:C,C116)+SUMIFS(P:P,D:D,"&lt;="&amp;D116,C:C,C116))</f>
        <v>0</v>
      </c>
      <c r="U116" s="112">
        <f t="shared" si="41"/>
        <v>0</v>
      </c>
      <c r="V116" s="111">
        <f t="shared" si="49"/>
        <v>0</v>
      </c>
      <c r="W116" s="204" t="str">
        <f t="shared" si="47"/>
        <v/>
      </c>
      <c r="X116" s="111">
        <f t="shared" si="42"/>
        <v>0</v>
      </c>
      <c r="Y116" s="110"/>
      <c r="Z116" s="107"/>
      <c r="AA116" s="111">
        <f t="shared" si="34"/>
        <v>0</v>
      </c>
      <c r="AB116" s="235"/>
      <c r="AC116" s="111">
        <f>IF(SUMIFS('Shipments data'!L:L,'Shipments data'!F:F,'Supply planning data'!C116,'Shipments data'!A:A,'Supply planning data'!A116,'Shipments data'!O:O,"received",'Shipments data'!Q:Q,"&lt;"&amp;'Supply planning data'!D131,'Shipments data'!AC:AC,"&lt;"&amp;'Supply planning data'!D131)-SUMIFS(M:M,D:D,"&lt;="&amp;D116,C:C,C116)-SUMIFS(AA:AA,D:D,"&lt;="&amp;D116,C:C,C116)+SUMIFS(N:N,D:D,"&lt;="&amp;D116,C:C,C116)+SUMIFS(P:P,D:D,"&lt;="&amp;D116,C:C,C116)&lt;0,0,SUMIFS('Shipments data'!L:L,'Shipments data'!F:F,'Supply planning data'!C116,'Shipments data'!A:A,'Supply planning data'!A116,'Shipments data'!O:O,"received",'Shipments data'!Q:Q,"&lt;"&amp;'Supply planning data'!D131,'Shipments data'!AC:AC,"&lt;"&amp;'Supply planning data'!D131)-SUMIFS(M:M,D:D,"&lt;="&amp;D116,C:C,C116)-SUMIFS(AA:AA,D:D,"&lt;="&amp;D116,C:C,C116)+SUMIFS(N:N,D:D,"&lt;="&amp;D116,C:C,C116)+SUMIFS(P:P,D:D,"&lt;="&amp;D116,C:C,C116))</f>
        <v>0</v>
      </c>
      <c r="AD116" s="111">
        <f t="shared" si="43"/>
        <v>0</v>
      </c>
      <c r="AE116" s="111">
        <f t="shared" si="36"/>
        <v>0</v>
      </c>
      <c r="AF116" s="204" t="str">
        <f t="shared" si="46"/>
        <v/>
      </c>
      <c r="AG116" s="111">
        <f t="shared" si="44"/>
        <v>0</v>
      </c>
      <c r="AH116" s="110"/>
      <c r="AI116" s="313"/>
      <c r="AJ116" s="111">
        <f t="shared" si="35"/>
        <v>0</v>
      </c>
      <c r="AK116" s="235"/>
      <c r="AL116" s="111">
        <f>IF(SUMIFS('Shipments data'!L:L,'Shipments data'!F:F,'Supply planning data'!C116,'Shipments data'!A:A,'Supply planning data'!A116,'Shipments data'!O:O,"received",'Shipments data'!Q:Q,"&lt;"&amp;'Supply planning data'!D131,'Shipments data'!AC:AC,"&lt;"&amp;'Supply planning data'!D131)-SUMIFS(M:M,D:D,"&lt;="&amp;D116,C:C,C116)-SUMIFS(AJ:AJ,D:D,"&lt;="&amp;D116,C:C,C116)+SUMIFS(N:N,D:D,"&lt;="&amp;D116,C:C,C116)+SUMIFS(P:P,D:D,"&lt;="&amp;D116,C:C,C116)&lt;0,0,SUMIFS('Shipments data'!L:L,'Shipments data'!F:F,'Supply planning data'!C116,'Shipments data'!A:A,'Supply planning data'!A116,'Shipments data'!O:O,"received",'Shipments data'!Q:Q,"&lt;"&amp;'Supply planning data'!D131,'Shipments data'!AC:AC,"&lt;"&amp;'Supply planning data'!D131)-SUMIFS(M:M,D:D,"&lt;="&amp;D116,C:C,C116)-SUMIFS(AJ:AJ,D:D,"&lt;="&amp;D116,C:C,C116)+SUMIFS(N:N,D:D,"&lt;="&amp;D116,C:C,C116)+SUMIFS(P:P,D:D,"&lt;="&amp;D116,C:C,C116))</f>
        <v>0</v>
      </c>
      <c r="AM116" s="111">
        <f t="shared" si="45"/>
        <v>0</v>
      </c>
      <c r="AN116" s="111">
        <f t="shared" si="37"/>
        <v>0</v>
      </c>
      <c r="AO116" s="204" t="str">
        <f t="shared" si="48"/>
        <v/>
      </c>
    </row>
    <row r="117" spans="1:41" hidden="1" x14ac:dyDescent="0.25">
      <c r="A117" s="103" t="str">
        <f>Start!D$7</f>
        <v>Anyland</v>
      </c>
      <c r="B117" s="109" t="str">
        <f>VLOOKUP(A117,list!B:C,2,FALSE)</f>
        <v>ANY</v>
      </c>
      <c r="C117" s="109" t="str">
        <f>IF(Start!$C$24="","",Start!$C$24)</f>
        <v/>
      </c>
      <c r="D117" s="298">
        <f t="shared" si="39"/>
        <v>44409</v>
      </c>
      <c r="E117" s="105" t="str">
        <f>IFERROR(VLOOKUP(C117,Start!C$15:D$31,2,FALSE),"No")</f>
        <v>No</v>
      </c>
      <c r="F117" s="105">
        <f t="shared" si="40"/>
        <v>0</v>
      </c>
      <c r="G117" s="106"/>
      <c r="H117" s="106"/>
      <c r="I117" s="106"/>
      <c r="J117" s="105">
        <f t="shared" si="30"/>
        <v>0</v>
      </c>
      <c r="K117" s="106"/>
      <c r="L117" s="177" t="str">
        <f t="shared" si="31"/>
        <v/>
      </c>
      <c r="M117" s="105">
        <f t="shared" si="32"/>
        <v>0</v>
      </c>
      <c r="N117" s="110"/>
      <c r="O117" s="124"/>
      <c r="P117" s="110"/>
      <c r="Q117" s="124"/>
      <c r="R117" s="111">
        <f>SUMIFS('Shipments data'!L:L,'Shipments data'!F:F,'Supply planning data'!C117,'Shipments data'!A:A,'Supply planning data'!A117,'Shipments data'!Y:Y,'Supply planning data'!D117,'Shipments data'!O:O,"received", 'Shipments data'!N:N, "Public")</f>
        <v>0</v>
      </c>
      <c r="S117" s="111">
        <f>SUMIFS('Shipments data'!L:L,'Shipments data'!F:F,'Supply planning data'!C117,'Shipments data'!A:A,'Supply planning data'!A117,'Shipments data'!Y:Y,'Supply planning data'!D117,'Shipments data'!O:O,"ordered", 'Shipments data'!N:N, "Public")</f>
        <v>0</v>
      </c>
      <c r="T117" s="111">
        <f>IF(SUMIFS('Shipments data'!L:L,'Shipments data'!F:F,'Supply planning data'!C117,'Shipments data'!A:A,'Supply planning data'!A117,'Shipments data'!O:O,"received",'Shipments data'!Q:Q,"&lt;"&amp;'Supply planning data'!D132,'Shipments data'!AC:AC,"&lt;"&amp;'Supply planning data'!D132)-SUMIFS(M:M,D:D,"&lt;="&amp;D117,C:C,C117)+SUMIFS(N:N,D:D,"&lt;="&amp;D117,C:C,C117)+SUMIFS(P:P,D:D,"&lt;="&amp;D117,C:C,C117)&lt;0,0,SUMIFS('Shipments data'!L:L,'Shipments data'!F:F,'Supply planning data'!C117,'Shipments data'!A:A,'Supply planning data'!A117,'Shipments data'!O:O,"received",'Shipments data'!Q:Q,"&lt;"&amp;'Supply planning data'!D132,'Shipments data'!AC:AC,"&lt;"&amp;'Supply planning data'!D132)-SUMIFS(M:M,D:D,"&lt;="&amp;D117,C:C,C117)+SUMIFS(N:N,D:D,"&lt;="&amp;D117,C:C,C117)+SUMIFS(P:P,D:D,"&lt;="&amp;D117,C:C,C117))</f>
        <v>0</v>
      </c>
      <c r="U117" s="112">
        <f t="shared" si="41"/>
        <v>0</v>
      </c>
      <c r="V117" s="111">
        <f t="shared" si="49"/>
        <v>0</v>
      </c>
      <c r="W117" s="204" t="str">
        <f t="shared" si="47"/>
        <v/>
      </c>
      <c r="X117" s="111">
        <f t="shared" si="42"/>
        <v>0</v>
      </c>
      <c r="Y117" s="110"/>
      <c r="Z117" s="107"/>
      <c r="AA117" s="111">
        <f t="shared" si="34"/>
        <v>0</v>
      </c>
      <c r="AB117" s="235"/>
      <c r="AC117" s="111">
        <f>IF(SUMIFS('Shipments data'!L:L,'Shipments data'!F:F,'Supply planning data'!C117,'Shipments data'!A:A,'Supply planning data'!A117,'Shipments data'!O:O,"received",'Shipments data'!Q:Q,"&lt;"&amp;'Supply planning data'!D132,'Shipments data'!AC:AC,"&lt;"&amp;'Supply planning data'!D132)-SUMIFS(M:M,D:D,"&lt;="&amp;D117,C:C,C117)-SUMIFS(AA:AA,D:D,"&lt;="&amp;D117,C:C,C117)+SUMIFS(N:N,D:D,"&lt;="&amp;D117,C:C,C117)+SUMIFS(P:P,D:D,"&lt;="&amp;D117,C:C,C117)&lt;0,0,SUMIFS('Shipments data'!L:L,'Shipments data'!F:F,'Supply planning data'!C117,'Shipments data'!A:A,'Supply planning data'!A117,'Shipments data'!O:O,"received",'Shipments data'!Q:Q,"&lt;"&amp;'Supply planning data'!D132,'Shipments data'!AC:AC,"&lt;"&amp;'Supply planning data'!D132)-SUMIFS(M:M,D:D,"&lt;="&amp;D117,C:C,C117)-SUMIFS(AA:AA,D:D,"&lt;="&amp;D117,C:C,C117)+SUMIFS(N:N,D:D,"&lt;="&amp;D117,C:C,C117)+SUMIFS(P:P,D:D,"&lt;="&amp;D117,C:C,C117))</f>
        <v>0</v>
      </c>
      <c r="AD117" s="111">
        <f t="shared" si="43"/>
        <v>0</v>
      </c>
      <c r="AE117" s="111">
        <f t="shared" si="36"/>
        <v>0</v>
      </c>
      <c r="AF117" s="204" t="str">
        <f t="shared" si="46"/>
        <v/>
      </c>
      <c r="AG117" s="111">
        <f t="shared" si="44"/>
        <v>0</v>
      </c>
      <c r="AH117" s="110"/>
      <c r="AI117" s="313"/>
      <c r="AJ117" s="111">
        <f t="shared" si="35"/>
        <v>0</v>
      </c>
      <c r="AK117" s="235"/>
      <c r="AL117" s="111">
        <f>IF(SUMIFS('Shipments data'!L:L,'Shipments data'!F:F,'Supply planning data'!C117,'Shipments data'!A:A,'Supply planning data'!A117,'Shipments data'!O:O,"received",'Shipments data'!Q:Q,"&lt;"&amp;'Supply planning data'!D132,'Shipments data'!AC:AC,"&lt;"&amp;'Supply planning data'!D132)-SUMIFS(M:M,D:D,"&lt;="&amp;D117,C:C,C117)-SUMIFS(AJ:AJ,D:D,"&lt;="&amp;D117,C:C,C117)+SUMIFS(N:N,D:D,"&lt;="&amp;D117,C:C,C117)+SUMIFS(P:P,D:D,"&lt;="&amp;D117,C:C,C117)&lt;0,0,SUMIFS('Shipments data'!L:L,'Shipments data'!F:F,'Supply planning data'!C117,'Shipments data'!A:A,'Supply planning data'!A117,'Shipments data'!O:O,"received",'Shipments data'!Q:Q,"&lt;"&amp;'Supply planning data'!D132,'Shipments data'!AC:AC,"&lt;"&amp;'Supply planning data'!D132)-SUMIFS(M:M,D:D,"&lt;="&amp;D117,C:C,C117)-SUMIFS(AJ:AJ,D:D,"&lt;="&amp;D117,C:C,C117)+SUMIFS(N:N,D:D,"&lt;="&amp;D117,C:C,C117)+SUMIFS(P:P,D:D,"&lt;="&amp;D117,C:C,C117))</f>
        <v>0</v>
      </c>
      <c r="AM117" s="111">
        <f t="shared" si="45"/>
        <v>0</v>
      </c>
      <c r="AN117" s="111">
        <f t="shared" si="37"/>
        <v>0</v>
      </c>
      <c r="AO117" s="204" t="str">
        <f t="shared" si="48"/>
        <v/>
      </c>
    </row>
    <row r="118" spans="1:41" hidden="1" x14ac:dyDescent="0.25">
      <c r="A118" s="103" t="str">
        <f>Start!D$7</f>
        <v>Anyland</v>
      </c>
      <c r="B118" s="109" t="str">
        <f>VLOOKUP(A118,list!B:C,2,FALSE)</f>
        <v>ANY</v>
      </c>
      <c r="C118" s="104" t="str">
        <f>IF(Start!$C$25="","",Start!$C$25)</f>
        <v/>
      </c>
      <c r="D118" s="298">
        <f t="shared" si="39"/>
        <v>44409</v>
      </c>
      <c r="E118" s="105" t="str">
        <f>IFERROR(VLOOKUP(C118,Start!C$15:D$31,2,FALSE),"No")</f>
        <v>No</v>
      </c>
      <c r="F118" s="105">
        <f t="shared" si="40"/>
        <v>0</v>
      </c>
      <c r="G118" s="106"/>
      <c r="H118" s="106"/>
      <c r="I118" s="106"/>
      <c r="J118" s="105">
        <f t="shared" si="30"/>
        <v>0</v>
      </c>
      <c r="K118" s="106"/>
      <c r="L118" s="177" t="str">
        <f t="shared" si="31"/>
        <v/>
      </c>
      <c r="M118" s="105">
        <f t="shared" si="32"/>
        <v>0</v>
      </c>
      <c r="N118" s="110"/>
      <c r="O118" s="124"/>
      <c r="P118" s="110"/>
      <c r="Q118" s="124"/>
      <c r="R118" s="111">
        <f>SUMIFS('Shipments data'!L:L,'Shipments data'!F:F,'Supply planning data'!C118,'Shipments data'!A:A,'Supply planning data'!A118,'Shipments data'!Y:Y,'Supply planning data'!D118,'Shipments data'!O:O,"received", 'Shipments data'!N:N, "Public")</f>
        <v>0</v>
      </c>
      <c r="S118" s="111">
        <f>SUMIFS('Shipments data'!L:L,'Shipments data'!F:F,'Supply planning data'!C118,'Shipments data'!A:A,'Supply planning data'!A118,'Shipments data'!Y:Y,'Supply planning data'!D118,'Shipments data'!O:O,"ordered", 'Shipments data'!N:N, "Public")</f>
        <v>0</v>
      </c>
      <c r="T118" s="111">
        <f>IF(SUMIFS('Shipments data'!L:L,'Shipments data'!F:F,'Supply planning data'!C118,'Shipments data'!A:A,'Supply planning data'!A118,'Shipments data'!O:O,"received",'Shipments data'!Q:Q,"&lt;"&amp;'Supply planning data'!D133,'Shipments data'!AC:AC,"&lt;"&amp;'Supply planning data'!D133)-SUMIFS(M:M,D:D,"&lt;="&amp;D118,C:C,C118)+SUMIFS(N:N,D:D,"&lt;="&amp;D118,C:C,C118)+SUMIFS(P:P,D:D,"&lt;="&amp;D118,C:C,C118)&lt;0,0,SUMIFS('Shipments data'!L:L,'Shipments data'!F:F,'Supply planning data'!C118,'Shipments data'!A:A,'Supply planning data'!A118,'Shipments data'!O:O,"received",'Shipments data'!Q:Q,"&lt;"&amp;'Supply planning data'!D133,'Shipments data'!AC:AC,"&lt;"&amp;'Supply planning data'!D133)-SUMIFS(M:M,D:D,"&lt;="&amp;D118,C:C,C118)+SUMIFS(N:N,D:D,"&lt;="&amp;D118,C:C,C118)+SUMIFS(P:P,D:D,"&lt;="&amp;D118,C:C,C118))</f>
        <v>0</v>
      </c>
      <c r="U118" s="112">
        <f t="shared" si="41"/>
        <v>0</v>
      </c>
      <c r="V118" s="111">
        <f t="shared" si="49"/>
        <v>0</v>
      </c>
      <c r="W118" s="204" t="str">
        <f t="shared" si="47"/>
        <v/>
      </c>
      <c r="X118" s="111">
        <f t="shared" si="42"/>
        <v>0</v>
      </c>
      <c r="Y118" s="110"/>
      <c r="Z118" s="107"/>
      <c r="AA118" s="111">
        <f t="shared" si="34"/>
        <v>0</v>
      </c>
      <c r="AB118" s="235"/>
      <c r="AC118" s="111">
        <f>IF(SUMIFS('Shipments data'!L:L,'Shipments data'!F:F,'Supply planning data'!C118,'Shipments data'!A:A,'Supply planning data'!A118,'Shipments data'!O:O,"received",'Shipments data'!Q:Q,"&lt;"&amp;'Supply planning data'!D133,'Shipments data'!AC:AC,"&lt;"&amp;'Supply planning data'!D133)-SUMIFS(M:M,D:D,"&lt;="&amp;D118,C:C,C118)-SUMIFS(AA:AA,D:D,"&lt;="&amp;D118,C:C,C118)+SUMIFS(N:N,D:D,"&lt;="&amp;D118,C:C,C118)+SUMIFS(P:P,D:D,"&lt;="&amp;D118,C:C,C118)&lt;0,0,SUMIFS('Shipments data'!L:L,'Shipments data'!F:F,'Supply planning data'!C118,'Shipments data'!A:A,'Supply planning data'!A118,'Shipments data'!O:O,"received",'Shipments data'!Q:Q,"&lt;"&amp;'Supply planning data'!D133,'Shipments data'!AC:AC,"&lt;"&amp;'Supply planning data'!D133)-SUMIFS(M:M,D:D,"&lt;="&amp;D118,C:C,C118)-SUMIFS(AA:AA,D:D,"&lt;="&amp;D118,C:C,C118)+SUMIFS(N:N,D:D,"&lt;="&amp;D118,C:C,C118)+SUMIFS(P:P,D:D,"&lt;="&amp;D118,C:C,C118))</f>
        <v>0</v>
      </c>
      <c r="AD118" s="111">
        <f t="shared" si="43"/>
        <v>0</v>
      </c>
      <c r="AE118" s="111">
        <f t="shared" si="36"/>
        <v>0</v>
      </c>
      <c r="AF118" s="204" t="str">
        <f t="shared" si="46"/>
        <v/>
      </c>
      <c r="AG118" s="111">
        <f t="shared" si="44"/>
        <v>0</v>
      </c>
      <c r="AH118" s="110"/>
      <c r="AI118" s="313"/>
      <c r="AJ118" s="111">
        <f t="shared" si="35"/>
        <v>0</v>
      </c>
      <c r="AK118" s="235"/>
      <c r="AL118" s="111">
        <f>IF(SUMIFS('Shipments data'!L:L,'Shipments data'!F:F,'Supply planning data'!C118,'Shipments data'!A:A,'Supply planning data'!A118,'Shipments data'!O:O,"received",'Shipments data'!Q:Q,"&lt;"&amp;'Supply planning data'!D133,'Shipments data'!AC:AC,"&lt;"&amp;'Supply planning data'!D133)-SUMIFS(M:M,D:D,"&lt;="&amp;D118,C:C,C118)-SUMIFS(AJ:AJ,D:D,"&lt;="&amp;D118,C:C,C118)+SUMIFS(N:N,D:D,"&lt;="&amp;D118,C:C,C118)+SUMIFS(P:P,D:D,"&lt;="&amp;D118,C:C,C118)&lt;0,0,SUMIFS('Shipments data'!L:L,'Shipments data'!F:F,'Supply planning data'!C118,'Shipments data'!A:A,'Supply planning data'!A118,'Shipments data'!O:O,"received",'Shipments data'!Q:Q,"&lt;"&amp;'Supply planning data'!D133,'Shipments data'!AC:AC,"&lt;"&amp;'Supply planning data'!D133)-SUMIFS(M:M,D:D,"&lt;="&amp;D118,C:C,C118)-SUMIFS(AJ:AJ,D:D,"&lt;="&amp;D118,C:C,C118)+SUMIFS(N:N,D:D,"&lt;="&amp;D118,C:C,C118)+SUMIFS(P:P,D:D,"&lt;="&amp;D118,C:C,C118))</f>
        <v>0</v>
      </c>
      <c r="AM118" s="111">
        <f t="shared" si="45"/>
        <v>0</v>
      </c>
      <c r="AN118" s="111">
        <f t="shared" si="37"/>
        <v>0</v>
      </c>
      <c r="AO118" s="204" t="str">
        <f t="shared" si="48"/>
        <v/>
      </c>
    </row>
    <row r="119" spans="1:41" hidden="1" x14ac:dyDescent="0.25">
      <c r="A119" s="103" t="str">
        <f>Start!D$7</f>
        <v>Anyland</v>
      </c>
      <c r="B119" s="109" t="str">
        <f>VLOOKUP(A119,list!B:C,2,FALSE)</f>
        <v>ANY</v>
      </c>
      <c r="C119" s="109" t="str">
        <f>IF(Start!$C$26="","",Start!$C$26)</f>
        <v/>
      </c>
      <c r="D119" s="298">
        <f t="shared" si="39"/>
        <v>44409</v>
      </c>
      <c r="E119" s="105" t="str">
        <f>IFERROR(VLOOKUP(C119,Start!C$15:D$31,2,FALSE),"No")</f>
        <v>No</v>
      </c>
      <c r="F119" s="105">
        <f t="shared" si="40"/>
        <v>0</v>
      </c>
      <c r="G119" s="106"/>
      <c r="H119" s="106"/>
      <c r="I119" s="106"/>
      <c r="J119" s="105">
        <f t="shared" si="30"/>
        <v>0</v>
      </c>
      <c r="K119" s="106"/>
      <c r="L119" s="177" t="str">
        <f t="shared" si="31"/>
        <v/>
      </c>
      <c r="M119" s="105">
        <f t="shared" si="32"/>
        <v>0</v>
      </c>
      <c r="N119" s="110"/>
      <c r="O119" s="124"/>
      <c r="P119" s="110"/>
      <c r="Q119" s="124"/>
      <c r="R119" s="111">
        <f>SUMIFS('Shipments data'!L:L,'Shipments data'!F:F,'Supply planning data'!C119,'Shipments data'!A:A,'Supply planning data'!A119,'Shipments data'!Y:Y,'Supply planning data'!D119,'Shipments data'!O:O,"received", 'Shipments data'!N:N, "Public")</f>
        <v>0</v>
      </c>
      <c r="S119" s="111">
        <f>SUMIFS('Shipments data'!L:L,'Shipments data'!F:F,'Supply planning data'!C119,'Shipments data'!A:A,'Supply planning data'!A119,'Shipments data'!Y:Y,'Supply planning data'!D119,'Shipments data'!O:O,"ordered", 'Shipments data'!N:N, "Public")</f>
        <v>0</v>
      </c>
      <c r="T119" s="111">
        <f>IF(SUMIFS('Shipments data'!L:L,'Shipments data'!F:F,'Supply planning data'!C119,'Shipments data'!A:A,'Supply planning data'!A119,'Shipments data'!O:O,"received",'Shipments data'!Q:Q,"&lt;"&amp;'Supply planning data'!D134,'Shipments data'!AC:AC,"&lt;"&amp;'Supply planning data'!D134)-SUMIFS(M:M,D:D,"&lt;="&amp;D119,C:C,C119)+SUMIFS(N:N,D:D,"&lt;="&amp;D119,C:C,C119)+SUMIFS(P:P,D:D,"&lt;="&amp;D119,C:C,C119)&lt;0,0,SUMIFS('Shipments data'!L:L,'Shipments data'!F:F,'Supply planning data'!C119,'Shipments data'!A:A,'Supply planning data'!A119,'Shipments data'!O:O,"received",'Shipments data'!Q:Q,"&lt;"&amp;'Supply planning data'!D134,'Shipments data'!AC:AC,"&lt;"&amp;'Supply planning data'!D134)-SUMIFS(M:M,D:D,"&lt;="&amp;D119,C:C,C119)+SUMIFS(N:N,D:D,"&lt;="&amp;D119,C:C,C119)+SUMIFS(P:P,D:D,"&lt;="&amp;D119,C:C,C119))</f>
        <v>0</v>
      </c>
      <c r="U119" s="112">
        <f t="shared" si="41"/>
        <v>0</v>
      </c>
      <c r="V119" s="111">
        <f t="shared" si="49"/>
        <v>0</v>
      </c>
      <c r="W119" s="204" t="str">
        <f t="shared" si="47"/>
        <v/>
      </c>
      <c r="X119" s="111">
        <f t="shared" si="42"/>
        <v>0</v>
      </c>
      <c r="Y119" s="110"/>
      <c r="Z119" s="107"/>
      <c r="AA119" s="111">
        <f t="shared" si="34"/>
        <v>0</v>
      </c>
      <c r="AB119" s="235"/>
      <c r="AC119" s="111">
        <f>IF(SUMIFS('Shipments data'!L:L,'Shipments data'!F:F,'Supply planning data'!C119,'Shipments data'!A:A,'Supply planning data'!A119,'Shipments data'!O:O,"received",'Shipments data'!Q:Q,"&lt;"&amp;'Supply planning data'!D134,'Shipments data'!AC:AC,"&lt;"&amp;'Supply planning data'!D134)-SUMIFS(M:M,D:D,"&lt;="&amp;D119,C:C,C119)-SUMIFS(AA:AA,D:D,"&lt;="&amp;D119,C:C,C119)+SUMIFS(N:N,D:D,"&lt;="&amp;D119,C:C,C119)+SUMIFS(P:P,D:D,"&lt;="&amp;D119,C:C,C119)&lt;0,0,SUMIFS('Shipments data'!L:L,'Shipments data'!F:F,'Supply planning data'!C119,'Shipments data'!A:A,'Supply planning data'!A119,'Shipments data'!O:O,"received",'Shipments data'!Q:Q,"&lt;"&amp;'Supply planning data'!D134,'Shipments data'!AC:AC,"&lt;"&amp;'Supply planning data'!D134)-SUMIFS(M:M,D:D,"&lt;="&amp;D119,C:C,C119)-SUMIFS(AA:AA,D:D,"&lt;="&amp;D119,C:C,C119)+SUMIFS(N:N,D:D,"&lt;="&amp;D119,C:C,C119)+SUMIFS(P:P,D:D,"&lt;="&amp;D119,C:C,C119))</f>
        <v>0</v>
      </c>
      <c r="AD119" s="111">
        <f t="shared" si="43"/>
        <v>0</v>
      </c>
      <c r="AE119" s="111">
        <f t="shared" si="36"/>
        <v>0</v>
      </c>
      <c r="AF119" s="204" t="str">
        <f t="shared" si="46"/>
        <v/>
      </c>
      <c r="AG119" s="111">
        <f t="shared" si="44"/>
        <v>0</v>
      </c>
      <c r="AH119" s="110"/>
      <c r="AI119" s="313"/>
      <c r="AJ119" s="111">
        <f t="shared" si="35"/>
        <v>0</v>
      </c>
      <c r="AK119" s="235"/>
      <c r="AL119" s="111">
        <f>IF(SUMIFS('Shipments data'!L:L,'Shipments data'!F:F,'Supply planning data'!C119,'Shipments data'!A:A,'Supply planning data'!A119,'Shipments data'!O:O,"received",'Shipments data'!Q:Q,"&lt;"&amp;'Supply planning data'!D134,'Shipments data'!AC:AC,"&lt;"&amp;'Supply planning data'!D134)-SUMIFS(M:M,D:D,"&lt;="&amp;D119,C:C,C119)-SUMIFS(AJ:AJ,D:D,"&lt;="&amp;D119,C:C,C119)+SUMIFS(N:N,D:D,"&lt;="&amp;D119,C:C,C119)+SUMIFS(P:P,D:D,"&lt;="&amp;D119,C:C,C119)&lt;0,0,SUMIFS('Shipments data'!L:L,'Shipments data'!F:F,'Supply planning data'!C119,'Shipments data'!A:A,'Supply planning data'!A119,'Shipments data'!O:O,"received",'Shipments data'!Q:Q,"&lt;"&amp;'Supply planning data'!D134,'Shipments data'!AC:AC,"&lt;"&amp;'Supply planning data'!D134)-SUMIFS(M:M,D:D,"&lt;="&amp;D119,C:C,C119)-SUMIFS(AJ:AJ,D:D,"&lt;="&amp;D119,C:C,C119)+SUMIFS(N:N,D:D,"&lt;="&amp;D119,C:C,C119)+SUMIFS(P:P,D:D,"&lt;="&amp;D119,C:C,C119))</f>
        <v>0</v>
      </c>
      <c r="AM119" s="111">
        <f t="shared" si="45"/>
        <v>0</v>
      </c>
      <c r="AN119" s="111">
        <f t="shared" si="37"/>
        <v>0</v>
      </c>
      <c r="AO119" s="204" t="str">
        <f t="shared" si="48"/>
        <v/>
      </c>
    </row>
    <row r="120" spans="1:41" hidden="1" x14ac:dyDescent="0.25">
      <c r="A120" s="103" t="str">
        <f>Start!D$7</f>
        <v>Anyland</v>
      </c>
      <c r="B120" s="109" t="str">
        <f>VLOOKUP(A120,list!B:C,2,FALSE)</f>
        <v>ANY</v>
      </c>
      <c r="C120" s="104" t="str">
        <f>IF(Start!$C$27="","",Start!$C$27)</f>
        <v/>
      </c>
      <c r="D120" s="298">
        <f t="shared" si="39"/>
        <v>44409</v>
      </c>
      <c r="E120" s="105" t="str">
        <f>IFERROR(VLOOKUP(C120,Start!C$15:D$31,2,FALSE),"No")</f>
        <v>No</v>
      </c>
      <c r="F120" s="105">
        <f t="shared" si="40"/>
        <v>0</v>
      </c>
      <c r="G120" s="106"/>
      <c r="H120" s="106"/>
      <c r="I120" s="106"/>
      <c r="J120" s="105">
        <f t="shared" si="30"/>
        <v>0</v>
      </c>
      <c r="K120" s="106"/>
      <c r="L120" s="177" t="str">
        <f t="shared" si="31"/>
        <v/>
      </c>
      <c r="M120" s="105">
        <f t="shared" si="32"/>
        <v>0</v>
      </c>
      <c r="N120" s="110"/>
      <c r="O120" s="124"/>
      <c r="P120" s="110"/>
      <c r="Q120" s="124"/>
      <c r="R120" s="111">
        <f>SUMIFS('Shipments data'!L:L,'Shipments data'!F:F,'Supply planning data'!C120,'Shipments data'!A:A,'Supply planning data'!A120,'Shipments data'!Y:Y,'Supply planning data'!D120,'Shipments data'!O:O,"received", 'Shipments data'!N:N, "Public")</f>
        <v>0</v>
      </c>
      <c r="S120" s="111">
        <f>SUMIFS('Shipments data'!L:L,'Shipments data'!F:F,'Supply planning data'!C120,'Shipments data'!A:A,'Supply planning data'!A120,'Shipments data'!Y:Y,'Supply planning data'!D120,'Shipments data'!O:O,"ordered", 'Shipments data'!N:N, "Public")</f>
        <v>0</v>
      </c>
      <c r="T120" s="111">
        <f>IF(SUMIFS('Shipments data'!L:L,'Shipments data'!F:F,'Supply planning data'!C120,'Shipments data'!A:A,'Supply planning data'!A120,'Shipments data'!O:O,"received",'Shipments data'!Q:Q,"&lt;"&amp;'Supply planning data'!D135,'Shipments data'!AC:AC,"&lt;"&amp;'Supply planning data'!D135)-SUMIFS(M:M,D:D,"&lt;="&amp;D120,C:C,C120)+SUMIFS(N:N,D:D,"&lt;="&amp;D120,C:C,C120)+SUMIFS(P:P,D:D,"&lt;="&amp;D120,C:C,C120)&lt;0,0,SUMIFS('Shipments data'!L:L,'Shipments data'!F:F,'Supply planning data'!C120,'Shipments data'!A:A,'Supply planning data'!A120,'Shipments data'!O:O,"received",'Shipments data'!Q:Q,"&lt;"&amp;'Supply planning data'!D135,'Shipments data'!AC:AC,"&lt;"&amp;'Supply planning data'!D135)-SUMIFS(M:M,D:D,"&lt;="&amp;D120,C:C,C120)+SUMIFS(N:N,D:D,"&lt;="&amp;D120,C:C,C120)+SUMIFS(P:P,D:D,"&lt;="&amp;D120,C:C,C120))</f>
        <v>0</v>
      </c>
      <c r="U120" s="112">
        <f t="shared" si="41"/>
        <v>0</v>
      </c>
      <c r="V120" s="111">
        <f t="shared" si="49"/>
        <v>0</v>
      </c>
      <c r="W120" s="204" t="str">
        <f t="shared" si="47"/>
        <v/>
      </c>
      <c r="X120" s="111">
        <f t="shared" si="42"/>
        <v>0</v>
      </c>
      <c r="Y120" s="110"/>
      <c r="Z120" s="107"/>
      <c r="AA120" s="111">
        <f t="shared" si="34"/>
        <v>0</v>
      </c>
      <c r="AB120" s="235"/>
      <c r="AC120" s="111">
        <f>IF(SUMIFS('Shipments data'!L:L,'Shipments data'!F:F,'Supply planning data'!C120,'Shipments data'!A:A,'Supply planning data'!A120,'Shipments data'!O:O,"received",'Shipments data'!Q:Q,"&lt;"&amp;'Supply planning data'!D135,'Shipments data'!AC:AC,"&lt;"&amp;'Supply planning data'!D135)-SUMIFS(M:M,D:D,"&lt;="&amp;D120,C:C,C120)-SUMIFS(AA:AA,D:D,"&lt;="&amp;D120,C:C,C120)+SUMIFS(N:N,D:D,"&lt;="&amp;D120,C:C,C120)+SUMIFS(P:P,D:D,"&lt;="&amp;D120,C:C,C120)&lt;0,0,SUMIFS('Shipments data'!L:L,'Shipments data'!F:F,'Supply planning data'!C120,'Shipments data'!A:A,'Supply planning data'!A120,'Shipments data'!O:O,"received",'Shipments data'!Q:Q,"&lt;"&amp;'Supply planning data'!D135,'Shipments data'!AC:AC,"&lt;"&amp;'Supply planning data'!D135)-SUMIFS(M:M,D:D,"&lt;="&amp;D120,C:C,C120)-SUMIFS(AA:AA,D:D,"&lt;="&amp;D120,C:C,C120)+SUMIFS(N:N,D:D,"&lt;="&amp;D120,C:C,C120)+SUMIFS(P:P,D:D,"&lt;="&amp;D120,C:C,C120))</f>
        <v>0</v>
      </c>
      <c r="AD120" s="111">
        <f t="shared" si="43"/>
        <v>0</v>
      </c>
      <c r="AE120" s="111">
        <f t="shared" si="36"/>
        <v>0</v>
      </c>
      <c r="AF120" s="204" t="str">
        <f t="shared" si="46"/>
        <v/>
      </c>
      <c r="AG120" s="111">
        <f t="shared" si="44"/>
        <v>0</v>
      </c>
      <c r="AH120" s="110"/>
      <c r="AI120" s="313"/>
      <c r="AJ120" s="111">
        <f t="shared" si="35"/>
        <v>0</v>
      </c>
      <c r="AK120" s="235"/>
      <c r="AL120" s="111">
        <f>IF(SUMIFS('Shipments data'!L:L,'Shipments data'!F:F,'Supply planning data'!C120,'Shipments data'!A:A,'Supply planning data'!A120,'Shipments data'!O:O,"received",'Shipments data'!Q:Q,"&lt;"&amp;'Supply planning data'!D135,'Shipments data'!AC:AC,"&lt;"&amp;'Supply planning data'!D135)-SUMIFS(M:M,D:D,"&lt;="&amp;D120,C:C,C120)-SUMIFS(AJ:AJ,D:D,"&lt;="&amp;D120,C:C,C120)+SUMIFS(N:N,D:D,"&lt;="&amp;D120,C:C,C120)+SUMIFS(P:P,D:D,"&lt;="&amp;D120,C:C,C120)&lt;0,0,SUMIFS('Shipments data'!L:L,'Shipments data'!F:F,'Supply planning data'!C120,'Shipments data'!A:A,'Supply planning data'!A120,'Shipments data'!O:O,"received",'Shipments data'!Q:Q,"&lt;"&amp;'Supply planning data'!D135,'Shipments data'!AC:AC,"&lt;"&amp;'Supply planning data'!D135)-SUMIFS(M:M,D:D,"&lt;="&amp;D120,C:C,C120)-SUMIFS(AJ:AJ,D:D,"&lt;="&amp;D120,C:C,C120)+SUMIFS(N:N,D:D,"&lt;="&amp;D120,C:C,C120)+SUMIFS(P:P,D:D,"&lt;="&amp;D120,C:C,C120))</f>
        <v>0</v>
      </c>
      <c r="AM120" s="111">
        <f t="shared" si="45"/>
        <v>0</v>
      </c>
      <c r="AN120" s="111">
        <f t="shared" si="37"/>
        <v>0</v>
      </c>
      <c r="AO120" s="204" t="str">
        <f t="shared" si="48"/>
        <v/>
      </c>
    </row>
    <row r="121" spans="1:41" hidden="1" x14ac:dyDescent="0.25">
      <c r="A121" s="103" t="str">
        <f>Start!D$7</f>
        <v>Anyland</v>
      </c>
      <c r="B121" s="109" t="str">
        <f>VLOOKUP(A121,list!B:C,2,FALSE)</f>
        <v>ANY</v>
      </c>
      <c r="C121" s="109" t="str">
        <f>IF(Start!$C$28="","",Start!$C$28)</f>
        <v/>
      </c>
      <c r="D121" s="298">
        <f t="shared" si="39"/>
        <v>44409</v>
      </c>
      <c r="E121" s="105" t="str">
        <f>IFERROR(VLOOKUP(C121,Start!C$15:D$31,2,FALSE),"No")</f>
        <v>No</v>
      </c>
      <c r="F121" s="105">
        <f t="shared" si="40"/>
        <v>0</v>
      </c>
      <c r="G121" s="106"/>
      <c r="H121" s="106"/>
      <c r="I121" s="106"/>
      <c r="J121" s="105">
        <f t="shared" si="30"/>
        <v>0</v>
      </c>
      <c r="K121" s="106"/>
      <c r="L121" s="177" t="str">
        <f t="shared" si="31"/>
        <v/>
      </c>
      <c r="M121" s="105">
        <f t="shared" si="32"/>
        <v>0</v>
      </c>
      <c r="N121" s="110"/>
      <c r="O121" s="124"/>
      <c r="P121" s="110"/>
      <c r="Q121" s="124"/>
      <c r="R121" s="111">
        <f>SUMIFS('Shipments data'!L:L,'Shipments data'!F:F,'Supply planning data'!C121,'Shipments data'!A:A,'Supply planning data'!A121,'Shipments data'!Y:Y,'Supply planning data'!D121,'Shipments data'!O:O,"received", 'Shipments data'!N:N, "Public")</f>
        <v>0</v>
      </c>
      <c r="S121" s="111">
        <f>SUMIFS('Shipments data'!L:L,'Shipments data'!F:F,'Supply planning data'!C121,'Shipments data'!A:A,'Supply planning data'!A121,'Shipments data'!Y:Y,'Supply planning data'!D121,'Shipments data'!O:O,"ordered", 'Shipments data'!N:N, "Public")</f>
        <v>0</v>
      </c>
      <c r="T121" s="111">
        <f>IF(SUMIFS('Shipments data'!L:L,'Shipments data'!F:F,'Supply planning data'!C121,'Shipments data'!A:A,'Supply planning data'!A121,'Shipments data'!O:O,"received",'Shipments data'!Q:Q,"&lt;"&amp;'Supply planning data'!D136,'Shipments data'!AC:AC,"&lt;"&amp;'Supply planning data'!D136)-SUMIFS(M:M,D:D,"&lt;="&amp;D121,C:C,C121)+SUMIFS(N:N,D:D,"&lt;="&amp;D121,C:C,C121)+SUMIFS(P:P,D:D,"&lt;="&amp;D121,C:C,C121)&lt;0,0,SUMIFS('Shipments data'!L:L,'Shipments data'!F:F,'Supply planning data'!C121,'Shipments data'!A:A,'Supply planning data'!A121,'Shipments data'!O:O,"received",'Shipments data'!Q:Q,"&lt;"&amp;'Supply planning data'!D136,'Shipments data'!AC:AC,"&lt;"&amp;'Supply planning data'!D136)-SUMIFS(M:M,D:D,"&lt;="&amp;D121,C:C,C121)+SUMIFS(N:N,D:D,"&lt;="&amp;D121,C:C,C121)+SUMIFS(P:P,D:D,"&lt;="&amp;D121,C:C,C121))</f>
        <v>0</v>
      </c>
      <c r="U121" s="112">
        <f t="shared" si="41"/>
        <v>0</v>
      </c>
      <c r="V121" s="111">
        <f t="shared" si="49"/>
        <v>0</v>
      </c>
      <c r="W121" s="204" t="str">
        <f t="shared" si="47"/>
        <v/>
      </c>
      <c r="X121" s="111">
        <f t="shared" si="42"/>
        <v>0</v>
      </c>
      <c r="Y121" s="110"/>
      <c r="Z121" s="107"/>
      <c r="AA121" s="111">
        <f t="shared" si="34"/>
        <v>0</v>
      </c>
      <c r="AB121" s="235"/>
      <c r="AC121" s="111">
        <f>IF(SUMIFS('Shipments data'!L:L,'Shipments data'!F:F,'Supply planning data'!C121,'Shipments data'!A:A,'Supply planning data'!A121,'Shipments data'!O:O,"received",'Shipments data'!Q:Q,"&lt;"&amp;'Supply planning data'!D136,'Shipments data'!AC:AC,"&lt;"&amp;'Supply planning data'!D136)-SUMIFS(M:M,D:D,"&lt;="&amp;D121,C:C,C121)-SUMIFS(AA:AA,D:D,"&lt;="&amp;D121,C:C,C121)+SUMIFS(N:N,D:D,"&lt;="&amp;D121,C:C,C121)+SUMIFS(P:P,D:D,"&lt;="&amp;D121,C:C,C121)&lt;0,0,SUMIFS('Shipments data'!L:L,'Shipments data'!F:F,'Supply planning data'!C121,'Shipments data'!A:A,'Supply planning data'!A121,'Shipments data'!O:O,"received",'Shipments data'!Q:Q,"&lt;"&amp;'Supply planning data'!D136,'Shipments data'!AC:AC,"&lt;"&amp;'Supply planning data'!D136)-SUMIFS(M:M,D:D,"&lt;="&amp;D121,C:C,C121)-SUMIFS(AA:AA,D:D,"&lt;="&amp;D121,C:C,C121)+SUMIFS(N:N,D:D,"&lt;="&amp;D121,C:C,C121)+SUMIFS(P:P,D:D,"&lt;="&amp;D121,C:C,C121))</f>
        <v>0</v>
      </c>
      <c r="AD121" s="111">
        <f t="shared" si="43"/>
        <v>0</v>
      </c>
      <c r="AE121" s="111">
        <f t="shared" si="36"/>
        <v>0</v>
      </c>
      <c r="AF121" s="204" t="str">
        <f t="shared" si="46"/>
        <v/>
      </c>
      <c r="AG121" s="111">
        <f t="shared" si="44"/>
        <v>0</v>
      </c>
      <c r="AH121" s="110"/>
      <c r="AI121" s="313"/>
      <c r="AJ121" s="111">
        <f t="shared" si="35"/>
        <v>0</v>
      </c>
      <c r="AK121" s="235"/>
      <c r="AL121" s="111">
        <f>IF(SUMIFS('Shipments data'!L:L,'Shipments data'!F:F,'Supply planning data'!C121,'Shipments data'!A:A,'Supply planning data'!A121,'Shipments data'!O:O,"received",'Shipments data'!Q:Q,"&lt;"&amp;'Supply planning data'!D136,'Shipments data'!AC:AC,"&lt;"&amp;'Supply planning data'!D136)-SUMIFS(M:M,D:D,"&lt;="&amp;D121,C:C,C121)-SUMIFS(AJ:AJ,D:D,"&lt;="&amp;D121,C:C,C121)+SUMIFS(N:N,D:D,"&lt;="&amp;D121,C:C,C121)+SUMIFS(P:P,D:D,"&lt;="&amp;D121,C:C,C121)&lt;0,0,SUMIFS('Shipments data'!L:L,'Shipments data'!F:F,'Supply planning data'!C121,'Shipments data'!A:A,'Supply planning data'!A121,'Shipments data'!O:O,"received",'Shipments data'!Q:Q,"&lt;"&amp;'Supply planning data'!D136,'Shipments data'!AC:AC,"&lt;"&amp;'Supply planning data'!D136)-SUMIFS(M:M,D:D,"&lt;="&amp;D121,C:C,C121)-SUMIFS(AJ:AJ,D:D,"&lt;="&amp;D121,C:C,C121)+SUMIFS(N:N,D:D,"&lt;="&amp;D121,C:C,C121)+SUMIFS(P:P,D:D,"&lt;="&amp;D121,C:C,C121))</f>
        <v>0</v>
      </c>
      <c r="AM121" s="111">
        <f t="shared" si="45"/>
        <v>0</v>
      </c>
      <c r="AN121" s="111">
        <f t="shared" si="37"/>
        <v>0</v>
      </c>
      <c r="AO121" s="204" t="str">
        <f t="shared" si="48"/>
        <v/>
      </c>
    </row>
    <row r="122" spans="1:41" hidden="1" x14ac:dyDescent="0.25">
      <c r="A122" s="103" t="str">
        <f>Start!D$7</f>
        <v>Anyland</v>
      </c>
      <c r="B122" s="109" t="str">
        <f>VLOOKUP(A122,list!B:C,2,FALSE)</f>
        <v>ANY</v>
      </c>
      <c r="C122" s="104" t="str">
        <f>IF(Start!$C$29="","",Start!$C$29)</f>
        <v/>
      </c>
      <c r="D122" s="298">
        <f t="shared" si="39"/>
        <v>44409</v>
      </c>
      <c r="E122" s="105" t="str">
        <f>IFERROR(VLOOKUP(C122,Start!C$15:D$31,2,FALSE),"No")</f>
        <v>No</v>
      </c>
      <c r="F122" s="105">
        <f t="shared" si="40"/>
        <v>0</v>
      </c>
      <c r="G122" s="106"/>
      <c r="H122" s="106"/>
      <c r="I122" s="106"/>
      <c r="J122" s="105">
        <f t="shared" si="30"/>
        <v>0</v>
      </c>
      <c r="K122" s="106"/>
      <c r="L122" s="177" t="str">
        <f t="shared" si="31"/>
        <v/>
      </c>
      <c r="M122" s="105">
        <f t="shared" si="32"/>
        <v>0</v>
      </c>
      <c r="N122" s="110"/>
      <c r="O122" s="124"/>
      <c r="P122" s="110"/>
      <c r="Q122" s="124"/>
      <c r="R122" s="111">
        <f>SUMIFS('Shipments data'!L:L,'Shipments data'!F:F,'Supply planning data'!C122,'Shipments data'!A:A,'Supply planning data'!A122,'Shipments data'!Y:Y,'Supply planning data'!D122,'Shipments data'!O:O,"received", 'Shipments data'!N:N, "Public")</f>
        <v>0</v>
      </c>
      <c r="S122" s="111">
        <f>SUMIFS('Shipments data'!L:L,'Shipments data'!F:F,'Supply planning data'!C122,'Shipments data'!A:A,'Supply planning data'!A122,'Shipments data'!Y:Y,'Supply planning data'!D122,'Shipments data'!O:O,"ordered", 'Shipments data'!N:N, "Public")</f>
        <v>0</v>
      </c>
      <c r="T122" s="111">
        <f>IF(SUMIFS('Shipments data'!L:L,'Shipments data'!F:F,'Supply planning data'!C122,'Shipments data'!A:A,'Supply planning data'!A122,'Shipments data'!O:O,"received",'Shipments data'!Q:Q,"&lt;"&amp;'Supply planning data'!D137,'Shipments data'!AC:AC,"&lt;"&amp;'Supply planning data'!D137)-SUMIFS(M:M,D:D,"&lt;="&amp;D122,C:C,C122)+SUMIFS(N:N,D:D,"&lt;="&amp;D122,C:C,C122)+SUMIFS(P:P,D:D,"&lt;="&amp;D122,C:C,C122)&lt;0,0,SUMIFS('Shipments data'!L:L,'Shipments data'!F:F,'Supply planning data'!C122,'Shipments data'!A:A,'Supply planning data'!A122,'Shipments data'!O:O,"received",'Shipments data'!Q:Q,"&lt;"&amp;'Supply planning data'!D137,'Shipments data'!AC:AC,"&lt;"&amp;'Supply planning data'!D137)-SUMIFS(M:M,D:D,"&lt;="&amp;D122,C:C,C122)+SUMIFS(N:N,D:D,"&lt;="&amp;D122,C:C,C122)+SUMIFS(P:P,D:D,"&lt;="&amp;D122,C:C,C122))</f>
        <v>0</v>
      </c>
      <c r="U122" s="112">
        <f t="shared" si="41"/>
        <v>0</v>
      </c>
      <c r="V122" s="111">
        <f t="shared" si="49"/>
        <v>0</v>
      </c>
      <c r="W122" s="204" t="str">
        <f t="shared" si="47"/>
        <v/>
      </c>
      <c r="X122" s="111">
        <f t="shared" si="42"/>
        <v>0</v>
      </c>
      <c r="Y122" s="110"/>
      <c r="Z122" s="107"/>
      <c r="AA122" s="111">
        <f t="shared" si="34"/>
        <v>0</v>
      </c>
      <c r="AB122" s="235"/>
      <c r="AC122" s="111">
        <f>IF(SUMIFS('Shipments data'!L:L,'Shipments data'!F:F,'Supply planning data'!C122,'Shipments data'!A:A,'Supply planning data'!A122,'Shipments data'!O:O,"received",'Shipments data'!Q:Q,"&lt;"&amp;'Supply planning data'!D137,'Shipments data'!AC:AC,"&lt;"&amp;'Supply planning data'!D137)-SUMIFS(M:M,D:D,"&lt;="&amp;D122,C:C,C122)-SUMIFS(AA:AA,D:D,"&lt;="&amp;D122,C:C,C122)+SUMIFS(N:N,D:D,"&lt;="&amp;D122,C:C,C122)+SUMIFS(P:P,D:D,"&lt;="&amp;D122,C:C,C122)&lt;0,0,SUMIFS('Shipments data'!L:L,'Shipments data'!F:F,'Supply planning data'!C122,'Shipments data'!A:A,'Supply planning data'!A122,'Shipments data'!O:O,"received",'Shipments data'!Q:Q,"&lt;"&amp;'Supply planning data'!D137,'Shipments data'!AC:AC,"&lt;"&amp;'Supply planning data'!D137)-SUMIFS(M:M,D:D,"&lt;="&amp;D122,C:C,C122)-SUMIFS(AA:AA,D:D,"&lt;="&amp;D122,C:C,C122)+SUMIFS(N:N,D:D,"&lt;="&amp;D122,C:C,C122)+SUMIFS(P:P,D:D,"&lt;="&amp;D122,C:C,C122))</f>
        <v>0</v>
      </c>
      <c r="AD122" s="111">
        <f t="shared" si="43"/>
        <v>0</v>
      </c>
      <c r="AE122" s="111">
        <f t="shared" si="36"/>
        <v>0</v>
      </c>
      <c r="AF122" s="204" t="str">
        <f t="shared" si="46"/>
        <v/>
      </c>
      <c r="AG122" s="111">
        <f t="shared" si="44"/>
        <v>0</v>
      </c>
      <c r="AH122" s="110"/>
      <c r="AI122" s="313"/>
      <c r="AJ122" s="111">
        <f t="shared" si="35"/>
        <v>0</v>
      </c>
      <c r="AK122" s="235"/>
      <c r="AL122" s="111">
        <f>IF(SUMIFS('Shipments data'!L:L,'Shipments data'!F:F,'Supply planning data'!C122,'Shipments data'!A:A,'Supply planning data'!A122,'Shipments data'!O:O,"received",'Shipments data'!Q:Q,"&lt;"&amp;'Supply planning data'!D137,'Shipments data'!AC:AC,"&lt;"&amp;'Supply planning data'!D137)-SUMIFS(M:M,D:D,"&lt;="&amp;D122,C:C,C122)-SUMIFS(AJ:AJ,D:D,"&lt;="&amp;D122,C:C,C122)+SUMIFS(N:N,D:D,"&lt;="&amp;D122,C:C,C122)+SUMIFS(P:P,D:D,"&lt;="&amp;D122,C:C,C122)&lt;0,0,SUMIFS('Shipments data'!L:L,'Shipments data'!F:F,'Supply planning data'!C122,'Shipments data'!A:A,'Supply planning data'!A122,'Shipments data'!O:O,"received",'Shipments data'!Q:Q,"&lt;"&amp;'Supply planning data'!D137,'Shipments data'!AC:AC,"&lt;"&amp;'Supply planning data'!D137)-SUMIFS(M:M,D:D,"&lt;="&amp;D122,C:C,C122)-SUMIFS(AJ:AJ,D:D,"&lt;="&amp;D122,C:C,C122)+SUMIFS(N:N,D:D,"&lt;="&amp;D122,C:C,C122)+SUMIFS(P:P,D:D,"&lt;="&amp;D122,C:C,C122))</f>
        <v>0</v>
      </c>
      <c r="AM122" s="111">
        <f t="shared" si="45"/>
        <v>0</v>
      </c>
      <c r="AN122" s="111">
        <f t="shared" si="37"/>
        <v>0</v>
      </c>
      <c r="AO122" s="204" t="str">
        <f t="shared" si="48"/>
        <v/>
      </c>
    </row>
    <row r="123" spans="1:41" hidden="1" x14ac:dyDescent="0.25">
      <c r="A123" s="103" t="str">
        <f>Start!D$7</f>
        <v>Anyland</v>
      </c>
      <c r="B123" s="109" t="str">
        <f>VLOOKUP(A123,list!B:C,2,FALSE)</f>
        <v>ANY</v>
      </c>
      <c r="C123" s="109" t="str">
        <f>IF(Start!$C$30="","",Start!$C$30)</f>
        <v/>
      </c>
      <c r="D123" s="298">
        <f t="shared" si="39"/>
        <v>44409</v>
      </c>
      <c r="E123" s="105" t="str">
        <f>IFERROR(VLOOKUP(C123,Start!C$15:D$31,2,FALSE),"No")</f>
        <v>No</v>
      </c>
      <c r="F123" s="105">
        <f t="shared" si="40"/>
        <v>0</v>
      </c>
      <c r="G123" s="106"/>
      <c r="H123" s="106"/>
      <c r="I123" s="106"/>
      <c r="J123" s="105">
        <f t="shared" si="30"/>
        <v>0</v>
      </c>
      <c r="K123" s="106"/>
      <c r="L123" s="177" t="str">
        <f t="shared" si="31"/>
        <v/>
      </c>
      <c r="M123" s="105">
        <f t="shared" si="32"/>
        <v>0</v>
      </c>
      <c r="N123" s="110"/>
      <c r="O123" s="124"/>
      <c r="P123" s="110"/>
      <c r="Q123" s="124"/>
      <c r="R123" s="111">
        <f>SUMIFS('Shipments data'!L:L,'Shipments data'!F:F,'Supply planning data'!C123,'Shipments data'!A:A,'Supply planning data'!A123,'Shipments data'!Y:Y,'Supply planning data'!D123,'Shipments data'!O:O,"received", 'Shipments data'!N:N, "Public")</f>
        <v>0</v>
      </c>
      <c r="S123" s="111">
        <f>SUMIFS('Shipments data'!L:L,'Shipments data'!F:F,'Supply planning data'!C123,'Shipments data'!A:A,'Supply planning data'!A123,'Shipments data'!Y:Y,'Supply planning data'!D123,'Shipments data'!O:O,"ordered", 'Shipments data'!N:N, "Public")</f>
        <v>0</v>
      </c>
      <c r="T123" s="111">
        <f>IF(SUMIFS('Shipments data'!L:L,'Shipments data'!F:F,'Supply planning data'!C123,'Shipments data'!A:A,'Supply planning data'!A123,'Shipments data'!O:O,"received",'Shipments data'!Q:Q,"&lt;"&amp;'Supply planning data'!D138,'Shipments data'!AC:AC,"&lt;"&amp;'Supply planning data'!D138)-SUMIFS(M:M,D:D,"&lt;="&amp;D123,C:C,C123)+SUMIFS(N:N,D:D,"&lt;="&amp;D123,C:C,C123)+SUMIFS(P:P,D:D,"&lt;="&amp;D123,C:C,C123)&lt;0,0,SUMIFS('Shipments data'!L:L,'Shipments data'!F:F,'Supply planning data'!C123,'Shipments data'!A:A,'Supply planning data'!A123,'Shipments data'!O:O,"received",'Shipments data'!Q:Q,"&lt;"&amp;'Supply planning data'!D138,'Shipments data'!AC:AC,"&lt;"&amp;'Supply planning data'!D138)-SUMIFS(M:M,D:D,"&lt;="&amp;D123,C:C,C123)+SUMIFS(N:N,D:D,"&lt;="&amp;D123,C:C,C123)+SUMIFS(P:P,D:D,"&lt;="&amp;D123,C:C,C123))</f>
        <v>0</v>
      </c>
      <c r="U123" s="112">
        <f t="shared" si="41"/>
        <v>0</v>
      </c>
      <c r="V123" s="111">
        <f t="shared" si="49"/>
        <v>0</v>
      </c>
      <c r="W123" s="204" t="str">
        <f t="shared" si="47"/>
        <v/>
      </c>
      <c r="X123" s="111">
        <f t="shared" si="42"/>
        <v>0</v>
      </c>
      <c r="Y123" s="110"/>
      <c r="Z123" s="107"/>
      <c r="AA123" s="111">
        <f t="shared" si="34"/>
        <v>0</v>
      </c>
      <c r="AB123" s="235"/>
      <c r="AC123" s="111">
        <f>IF(SUMIFS('Shipments data'!L:L,'Shipments data'!F:F,'Supply planning data'!C123,'Shipments data'!A:A,'Supply planning data'!A123,'Shipments data'!O:O,"received",'Shipments data'!Q:Q,"&lt;"&amp;'Supply planning data'!D138,'Shipments data'!AC:AC,"&lt;"&amp;'Supply planning data'!D138)-SUMIFS(M:M,D:D,"&lt;="&amp;D123,C:C,C123)-SUMIFS(AA:AA,D:D,"&lt;="&amp;D123,C:C,C123)+SUMIFS(N:N,D:D,"&lt;="&amp;D123,C:C,C123)+SUMIFS(P:P,D:D,"&lt;="&amp;D123,C:C,C123)&lt;0,0,SUMIFS('Shipments data'!L:L,'Shipments data'!F:F,'Supply planning data'!C123,'Shipments data'!A:A,'Supply planning data'!A123,'Shipments data'!O:O,"received",'Shipments data'!Q:Q,"&lt;"&amp;'Supply planning data'!D138,'Shipments data'!AC:AC,"&lt;"&amp;'Supply planning data'!D138)-SUMIFS(M:M,D:D,"&lt;="&amp;D123,C:C,C123)-SUMIFS(AA:AA,D:D,"&lt;="&amp;D123,C:C,C123)+SUMIFS(N:N,D:D,"&lt;="&amp;D123,C:C,C123)+SUMIFS(P:P,D:D,"&lt;="&amp;D123,C:C,C123))</f>
        <v>0</v>
      </c>
      <c r="AD123" s="111">
        <f t="shared" si="43"/>
        <v>0</v>
      </c>
      <c r="AE123" s="111">
        <f t="shared" si="36"/>
        <v>0</v>
      </c>
      <c r="AF123" s="204" t="str">
        <f t="shared" si="46"/>
        <v/>
      </c>
      <c r="AG123" s="111">
        <f t="shared" si="44"/>
        <v>0</v>
      </c>
      <c r="AH123" s="110"/>
      <c r="AI123" s="313"/>
      <c r="AJ123" s="111">
        <f t="shared" si="35"/>
        <v>0</v>
      </c>
      <c r="AK123" s="235"/>
      <c r="AL123" s="111">
        <f>IF(SUMIFS('Shipments data'!L:L,'Shipments data'!F:F,'Supply planning data'!C123,'Shipments data'!A:A,'Supply planning data'!A123,'Shipments data'!O:O,"received",'Shipments data'!Q:Q,"&lt;"&amp;'Supply planning data'!D138,'Shipments data'!AC:AC,"&lt;"&amp;'Supply planning data'!D138)-SUMIFS(M:M,D:D,"&lt;="&amp;D123,C:C,C123)-SUMIFS(AJ:AJ,D:D,"&lt;="&amp;D123,C:C,C123)+SUMIFS(N:N,D:D,"&lt;="&amp;D123,C:C,C123)+SUMIFS(P:P,D:D,"&lt;="&amp;D123,C:C,C123)&lt;0,0,SUMIFS('Shipments data'!L:L,'Shipments data'!F:F,'Supply planning data'!C123,'Shipments data'!A:A,'Supply planning data'!A123,'Shipments data'!O:O,"received",'Shipments data'!Q:Q,"&lt;"&amp;'Supply planning data'!D138,'Shipments data'!AC:AC,"&lt;"&amp;'Supply planning data'!D138)-SUMIFS(M:M,D:D,"&lt;="&amp;D123,C:C,C123)-SUMIFS(AJ:AJ,D:D,"&lt;="&amp;D123,C:C,C123)+SUMIFS(N:N,D:D,"&lt;="&amp;D123,C:C,C123)+SUMIFS(P:P,D:D,"&lt;="&amp;D123,C:C,C123))</f>
        <v>0</v>
      </c>
      <c r="AM123" s="111">
        <f t="shared" si="45"/>
        <v>0</v>
      </c>
      <c r="AN123" s="111">
        <f t="shared" si="37"/>
        <v>0</v>
      </c>
      <c r="AO123" s="204" t="str">
        <f t="shared" si="48"/>
        <v/>
      </c>
    </row>
    <row r="124" spans="1:41" hidden="1" x14ac:dyDescent="0.25">
      <c r="A124" s="113" t="str">
        <f>Start!D$7</f>
        <v>Anyland</v>
      </c>
      <c r="B124" s="114" t="str">
        <f>VLOOKUP(A124,list!B:C,2,FALSE)</f>
        <v>ANY</v>
      </c>
      <c r="C124" s="104" t="str">
        <f>IF(Start!$C$31="","",Start!$C$31)</f>
        <v/>
      </c>
      <c r="D124" s="298">
        <f t="shared" si="39"/>
        <v>44409</v>
      </c>
      <c r="E124" s="105" t="str">
        <f>IFERROR(VLOOKUP(C124,Start!C$15:D$31,2,FALSE),"No")</f>
        <v>No</v>
      </c>
      <c r="F124" s="105">
        <f t="shared" si="40"/>
        <v>0</v>
      </c>
      <c r="G124" s="106"/>
      <c r="H124" s="106"/>
      <c r="I124" s="106"/>
      <c r="J124" s="105">
        <f t="shared" si="30"/>
        <v>0</v>
      </c>
      <c r="K124" s="106"/>
      <c r="L124" s="177" t="str">
        <f t="shared" si="31"/>
        <v/>
      </c>
      <c r="M124" s="105">
        <f t="shared" si="32"/>
        <v>0</v>
      </c>
      <c r="N124" s="110"/>
      <c r="O124" s="124"/>
      <c r="P124" s="110"/>
      <c r="Q124" s="124"/>
      <c r="R124" s="111">
        <f>SUMIFS('Shipments data'!L:L,'Shipments data'!F:F,'Supply planning data'!C124,'Shipments data'!A:A,'Supply planning data'!A124,'Shipments data'!Y:Y,'Supply planning data'!D124,'Shipments data'!O:O,"received", 'Shipments data'!N:N, "Public")</f>
        <v>0</v>
      </c>
      <c r="S124" s="111">
        <f>SUMIFS('Shipments data'!L:L,'Shipments data'!F:F,'Supply planning data'!C124,'Shipments data'!A:A,'Supply planning data'!A124,'Shipments data'!Y:Y,'Supply planning data'!D124,'Shipments data'!O:O,"ordered", 'Shipments data'!N:N, "Public")</f>
        <v>0</v>
      </c>
      <c r="T124" s="111">
        <f>IF(SUMIFS('Shipments data'!L:L,'Shipments data'!F:F,'Supply planning data'!C124,'Shipments data'!A:A,'Supply planning data'!A124,'Shipments data'!O:O,"received",'Shipments data'!Q:Q,"&lt;"&amp;'Supply planning data'!D139,'Shipments data'!AC:AC,"&lt;"&amp;'Supply planning data'!D139)-SUMIFS(M:M,D:D,"&lt;="&amp;D124,C:C,C124)+SUMIFS(N:N,D:D,"&lt;="&amp;D124,C:C,C124)+SUMIFS(P:P,D:D,"&lt;="&amp;D124,C:C,C124)&lt;0,0,SUMIFS('Shipments data'!L:L,'Shipments data'!F:F,'Supply planning data'!C124,'Shipments data'!A:A,'Supply planning data'!A124,'Shipments data'!O:O,"received",'Shipments data'!Q:Q,"&lt;"&amp;'Supply planning data'!D139,'Shipments data'!AC:AC,"&lt;"&amp;'Supply planning data'!D139)-SUMIFS(M:M,D:D,"&lt;="&amp;D124,C:C,C124)+SUMIFS(N:N,D:D,"&lt;="&amp;D124,C:C,C124)+SUMIFS(P:P,D:D,"&lt;="&amp;D124,C:C,C124))</f>
        <v>0</v>
      </c>
      <c r="U124" s="112">
        <f t="shared" si="41"/>
        <v>0</v>
      </c>
      <c r="V124" s="111">
        <f t="shared" si="49"/>
        <v>0</v>
      </c>
      <c r="W124" s="204" t="str">
        <f t="shared" si="47"/>
        <v/>
      </c>
      <c r="X124" s="111">
        <f t="shared" si="42"/>
        <v>0</v>
      </c>
      <c r="Y124" s="110"/>
      <c r="Z124" s="107"/>
      <c r="AA124" s="111">
        <f t="shared" si="34"/>
        <v>0</v>
      </c>
      <c r="AB124" s="235"/>
      <c r="AC124" s="111">
        <f>IF(SUMIFS('Shipments data'!L:L,'Shipments data'!F:F,'Supply planning data'!C124,'Shipments data'!A:A,'Supply planning data'!A124,'Shipments data'!O:O,"received",'Shipments data'!Q:Q,"&lt;"&amp;'Supply planning data'!D139,'Shipments data'!AC:AC,"&lt;"&amp;'Supply planning data'!D139)-SUMIFS(M:M,D:D,"&lt;="&amp;D124,C:C,C124)-SUMIFS(AA:AA,D:D,"&lt;="&amp;D124,C:C,C124)+SUMIFS(N:N,D:D,"&lt;="&amp;D124,C:C,C124)+SUMIFS(P:P,D:D,"&lt;="&amp;D124,C:C,C124)&lt;0,0,SUMIFS('Shipments data'!L:L,'Shipments data'!F:F,'Supply planning data'!C124,'Shipments data'!A:A,'Supply planning data'!A124,'Shipments data'!O:O,"received",'Shipments data'!Q:Q,"&lt;"&amp;'Supply planning data'!D139,'Shipments data'!AC:AC,"&lt;"&amp;'Supply planning data'!D139)-SUMIFS(M:M,D:D,"&lt;="&amp;D124,C:C,C124)-SUMIFS(AA:AA,D:D,"&lt;="&amp;D124,C:C,C124)+SUMIFS(N:N,D:D,"&lt;="&amp;D124,C:C,C124)+SUMIFS(P:P,D:D,"&lt;="&amp;D124,C:C,C124))</f>
        <v>0</v>
      </c>
      <c r="AD124" s="111">
        <f t="shared" si="43"/>
        <v>0</v>
      </c>
      <c r="AE124" s="111">
        <f t="shared" si="36"/>
        <v>0</v>
      </c>
      <c r="AF124" s="204" t="str">
        <f t="shared" si="46"/>
        <v/>
      </c>
      <c r="AG124" s="111">
        <f t="shared" si="44"/>
        <v>0</v>
      </c>
      <c r="AH124" s="110"/>
      <c r="AI124" s="313"/>
      <c r="AJ124" s="111">
        <f t="shared" si="35"/>
        <v>0</v>
      </c>
      <c r="AK124" s="235"/>
      <c r="AL124" s="111">
        <f>IF(SUMIFS('Shipments data'!L:L,'Shipments data'!F:F,'Supply planning data'!C124,'Shipments data'!A:A,'Supply planning data'!A124,'Shipments data'!O:O,"received",'Shipments data'!Q:Q,"&lt;"&amp;'Supply planning data'!D139,'Shipments data'!AC:AC,"&lt;"&amp;'Supply planning data'!D139)-SUMIFS(M:M,D:D,"&lt;="&amp;D124,C:C,C124)-SUMIFS(AJ:AJ,D:D,"&lt;="&amp;D124,C:C,C124)+SUMIFS(N:N,D:D,"&lt;="&amp;D124,C:C,C124)+SUMIFS(P:P,D:D,"&lt;="&amp;D124,C:C,C124)&lt;0,0,SUMIFS('Shipments data'!L:L,'Shipments data'!F:F,'Supply planning data'!C124,'Shipments data'!A:A,'Supply planning data'!A124,'Shipments data'!O:O,"received",'Shipments data'!Q:Q,"&lt;"&amp;'Supply planning data'!D139,'Shipments data'!AC:AC,"&lt;"&amp;'Supply planning data'!D139)-SUMIFS(M:M,D:D,"&lt;="&amp;D124,C:C,C124)-SUMIFS(AJ:AJ,D:D,"&lt;="&amp;D124,C:C,C124)+SUMIFS(N:N,D:D,"&lt;="&amp;D124,C:C,C124)+SUMIFS(P:P,D:D,"&lt;="&amp;D124,C:C,C124))</f>
        <v>0</v>
      </c>
      <c r="AM124" s="111">
        <f t="shared" si="45"/>
        <v>0</v>
      </c>
      <c r="AN124" s="111">
        <f t="shared" si="37"/>
        <v>0</v>
      </c>
      <c r="AO124" s="204" t="str">
        <f t="shared" si="48"/>
        <v/>
      </c>
    </row>
    <row r="125" spans="1:41" x14ac:dyDescent="0.25">
      <c r="A125" s="89" t="str">
        <f>Start!D$7</f>
        <v>Anyland</v>
      </c>
      <c r="B125" s="90" t="str">
        <f>VLOOKUP(A125,list!B:C,2,FALSE)</f>
        <v>ANY</v>
      </c>
      <c r="C125" s="90" t="str">
        <f>IF(Start!$C$17="","",Start!$C$17)</f>
        <v>AstraZeneca</v>
      </c>
      <c r="D125" s="296">
        <f t="shared" si="39"/>
        <v>44440</v>
      </c>
      <c r="E125" s="92" t="str">
        <f>IFERROR(VLOOKUP(C125,Start!C$15:D$31,2,FALSE),"No")</f>
        <v>Yes</v>
      </c>
      <c r="F125" s="92">
        <f t="shared" si="40"/>
        <v>0</v>
      </c>
      <c r="G125" s="91">
        <v>300000</v>
      </c>
      <c r="H125" s="91"/>
      <c r="I125" s="91"/>
      <c r="J125" s="92">
        <f t="shared" si="30"/>
        <v>300000</v>
      </c>
      <c r="K125" s="91"/>
      <c r="L125" s="174">
        <f t="shared" si="31"/>
        <v>0</v>
      </c>
      <c r="M125" s="92">
        <f t="shared" si="32"/>
        <v>300000</v>
      </c>
      <c r="N125" s="91"/>
      <c r="O125" s="121"/>
      <c r="P125" s="91"/>
      <c r="Q125" s="121"/>
      <c r="R125" s="92">
        <f>SUMIFS('Shipments data'!L:L,'Shipments data'!F:F,'Supply planning data'!C125,'Shipments data'!A:A,'Supply planning data'!A125,'Shipments data'!Y:Y,'Supply planning data'!D125,'Shipments data'!O:O,"received", 'Shipments data'!N:N, "Public")</f>
        <v>206400</v>
      </c>
      <c r="S125" s="92">
        <f>SUMIFS('Shipments data'!L:L,'Shipments data'!F:F,'Supply planning data'!C125,'Shipments data'!A:A,'Supply planning data'!A125,'Shipments data'!Y:Y,'Supply planning data'!D125,'Shipments data'!O:O,"ordered", 'Shipments data'!N:N, "Public")</f>
        <v>0</v>
      </c>
      <c r="T125" s="92">
        <f>IF(SUMIFS('Shipments data'!L:L,'Shipments data'!F:F,'Supply planning data'!C125,'Shipments data'!A:A,'Supply planning data'!A125,'Shipments data'!O:O,"received",'Shipments data'!Q:Q,"&lt;"&amp;'Supply planning data'!D140,'Shipments data'!AC:AC,"&lt;"&amp;'Supply planning data'!D140)-SUMIFS(M:M,D:D,"&lt;="&amp;D125,C:C,C125)+SUMIFS(N:N,D:D,"&lt;="&amp;D125,C:C,C125)+SUMIFS(P:P,D:D,"&lt;="&amp;D125,C:C,C125)&lt;0,0,SUMIFS('Shipments data'!L:L,'Shipments data'!F:F,'Supply planning data'!C125,'Shipments data'!A:A,'Supply planning data'!A125,'Shipments data'!O:O,"received",'Shipments data'!Q:Q,"&lt;"&amp;'Supply planning data'!D140,'Shipments data'!AC:AC,"&lt;"&amp;'Supply planning data'!D140)-SUMIFS(M:M,D:D,"&lt;="&amp;D125,C:C,C125)+SUMIFS(N:N,D:D,"&lt;="&amp;D125,C:C,C125)+SUMIFS(P:P,D:D,"&lt;="&amp;D125,C:C,C125))</f>
        <v>0</v>
      </c>
      <c r="U125" s="94">
        <f t="shared" si="41"/>
        <v>0</v>
      </c>
      <c r="V125" s="92">
        <f t="shared" si="49"/>
        <v>0</v>
      </c>
      <c r="W125" s="205">
        <f t="shared" si="47"/>
        <v>0</v>
      </c>
      <c r="X125" s="92">
        <f t="shared" si="42"/>
        <v>1000000</v>
      </c>
      <c r="Y125" s="91"/>
      <c r="Z125" s="93"/>
      <c r="AA125" s="92">
        <f t="shared" si="34"/>
        <v>0</v>
      </c>
      <c r="AB125" s="232"/>
      <c r="AC125" s="92">
        <f>IF(SUMIFS('Shipments data'!L:L,'Shipments data'!F:F,'Supply planning data'!C125,'Shipments data'!A:A,'Supply planning data'!A125,'Shipments data'!O:O,"received",'Shipments data'!Q:Q,"&lt;"&amp;'Supply planning data'!D140,'Shipments data'!AC:AC,"&lt;"&amp;'Supply planning data'!D140)-SUMIFS(M:M,D:D,"&lt;="&amp;D125,C:C,C125)-SUMIFS(AA:AA,D:D,"&lt;="&amp;D125,C:C,C125)+SUMIFS(N:N,D:D,"&lt;="&amp;D125,C:C,C125)+SUMIFS(P:P,D:D,"&lt;="&amp;D125,C:C,C125)&lt;0,0,SUMIFS('Shipments data'!L:L,'Shipments data'!F:F,'Supply planning data'!C125,'Shipments data'!A:A,'Supply planning data'!A125,'Shipments data'!O:O,"received",'Shipments data'!Q:Q,"&lt;"&amp;'Supply planning data'!D140,'Shipments data'!AC:AC,"&lt;"&amp;'Supply planning data'!D140)-SUMIFS(M:M,D:D,"&lt;="&amp;D125,C:C,C125)-SUMIFS(AA:AA,D:D,"&lt;="&amp;D125,C:C,C125)+SUMIFS(N:N,D:D,"&lt;="&amp;D125,C:C,C125)+SUMIFS(P:P,D:D,"&lt;="&amp;D125,C:C,C125))</f>
        <v>0</v>
      </c>
      <c r="AD125" s="92">
        <f t="shared" si="43"/>
        <v>0</v>
      </c>
      <c r="AE125" s="92">
        <f t="shared" si="36"/>
        <v>906400</v>
      </c>
      <c r="AF125" s="205">
        <f t="shared" si="46"/>
        <v>6.0101583877427425</v>
      </c>
      <c r="AG125" s="92">
        <f t="shared" si="44"/>
        <v>0</v>
      </c>
      <c r="AH125" s="91"/>
      <c r="AI125" s="310"/>
      <c r="AJ125" s="92">
        <f t="shared" si="35"/>
        <v>0</v>
      </c>
      <c r="AK125" s="232"/>
      <c r="AL125" s="92">
        <f>IF(SUMIFS('Shipments data'!L:L,'Shipments data'!F:F,'Supply planning data'!C125,'Shipments data'!A:A,'Supply planning data'!A125,'Shipments data'!O:O,"received",'Shipments data'!Q:Q,"&lt;"&amp;'Supply planning data'!D140,'Shipments data'!AC:AC,"&lt;"&amp;'Supply planning data'!D140)-SUMIFS(M:M,D:D,"&lt;="&amp;D125,C:C,C125)-SUMIFS(AJ:AJ,D:D,"&lt;="&amp;D125,C:C,C125)+SUMIFS(N:N,D:D,"&lt;="&amp;D125,C:C,C125)+SUMIFS(P:P,D:D,"&lt;="&amp;D125,C:C,C125)&lt;0,0,SUMIFS('Shipments data'!L:L,'Shipments data'!F:F,'Supply planning data'!C125,'Shipments data'!A:A,'Supply planning data'!A125,'Shipments data'!O:O,"received",'Shipments data'!Q:Q,"&lt;"&amp;'Supply planning data'!D140,'Shipments data'!AC:AC,"&lt;"&amp;'Supply planning data'!D140)-SUMIFS(M:M,D:D,"&lt;="&amp;D125,C:C,C125)-SUMIFS(AJ:AJ,D:D,"&lt;="&amp;D125,C:C,C125)+SUMIFS(N:N,D:D,"&lt;="&amp;D125,C:C,C125)+SUMIFS(P:P,D:D,"&lt;="&amp;D125,C:C,C125))</f>
        <v>0</v>
      </c>
      <c r="AM125" s="92">
        <f t="shared" si="45"/>
        <v>0</v>
      </c>
      <c r="AN125" s="92">
        <f t="shared" si="37"/>
        <v>0</v>
      </c>
      <c r="AO125" s="205">
        <f t="shared" si="48"/>
        <v>0</v>
      </c>
    </row>
    <row r="126" spans="1:41" x14ac:dyDescent="0.25">
      <c r="A126" s="95" t="str">
        <f>Start!D$7</f>
        <v>Anyland</v>
      </c>
      <c r="B126" s="96" t="str">
        <f>VLOOKUP(A126,list!B:C,2,FALSE)</f>
        <v>ANY</v>
      </c>
      <c r="C126" s="90" t="str">
        <f>IF(Start!$C$18="","",Start!$C$18)</f>
        <v>Jansen</v>
      </c>
      <c r="D126" s="296">
        <f t="shared" si="39"/>
        <v>44440</v>
      </c>
      <c r="E126" s="92" t="str">
        <f>IFERROR(VLOOKUP(C126,Start!C$15:D$31,2,FALSE),"No")</f>
        <v>Yes</v>
      </c>
      <c r="F126" s="92">
        <f t="shared" si="40"/>
        <v>300947</v>
      </c>
      <c r="G126" s="91">
        <v>54830</v>
      </c>
      <c r="H126" s="97"/>
      <c r="I126" s="97"/>
      <c r="J126" s="98">
        <f t="shared" si="30"/>
        <v>54830</v>
      </c>
      <c r="K126" s="97"/>
      <c r="L126" s="175">
        <f t="shared" si="31"/>
        <v>0</v>
      </c>
      <c r="M126" s="98">
        <f t="shared" si="32"/>
        <v>54830</v>
      </c>
      <c r="N126" s="97"/>
      <c r="O126" s="122"/>
      <c r="P126" s="97"/>
      <c r="Q126" s="122"/>
      <c r="R126" s="98">
        <f>SUMIFS('Shipments data'!L:L,'Shipments data'!F:F,'Supply planning data'!C126,'Shipments data'!A:A,'Supply planning data'!A126,'Shipments data'!Y:Y,'Supply planning data'!D126,'Shipments data'!O:O,"received", 'Shipments data'!N:N, "Public")</f>
        <v>0</v>
      </c>
      <c r="S126" s="98">
        <f>SUMIFS('Shipments data'!L:L,'Shipments data'!F:F,'Supply planning data'!C126,'Shipments data'!A:A,'Supply planning data'!A126,'Shipments data'!Y:Y,'Supply planning data'!D126,'Shipments data'!O:O,"ordered", 'Shipments data'!N:N, "Public")</f>
        <v>0</v>
      </c>
      <c r="T126" s="98">
        <f>IF(SUMIFS('Shipments data'!L:L,'Shipments data'!F:F,'Supply planning data'!C126,'Shipments data'!A:A,'Supply planning data'!A126,'Shipments data'!O:O,"received",'Shipments data'!Q:Q,"&lt;"&amp;'Supply planning data'!D141,'Shipments data'!AC:AC,"&lt;"&amp;'Supply planning data'!D141)-SUMIFS(M:M,D:D,"&lt;="&amp;D126,C:C,C126)+SUMIFS(N:N,D:D,"&lt;="&amp;D126,C:C,C126)+SUMIFS(P:P,D:D,"&lt;="&amp;D126,C:C,C126)&lt;0,0,SUMIFS('Shipments data'!L:L,'Shipments data'!F:F,'Supply planning data'!C126,'Shipments data'!A:A,'Supply planning data'!A126,'Shipments data'!O:O,"received",'Shipments data'!Q:Q,"&lt;"&amp;'Supply planning data'!D141,'Shipments data'!AC:AC,"&lt;"&amp;'Supply planning data'!D141)-SUMIFS(M:M,D:D,"&lt;="&amp;D126,C:C,C126)+SUMIFS(N:N,D:D,"&lt;="&amp;D126,C:C,C126)+SUMIFS(P:P,D:D,"&lt;="&amp;D126,C:C,C126))</f>
        <v>0</v>
      </c>
      <c r="U126" s="99">
        <f t="shared" si="41"/>
        <v>0</v>
      </c>
      <c r="V126" s="98">
        <f t="shared" si="49"/>
        <v>246117</v>
      </c>
      <c r="W126" s="203">
        <f t="shared" si="47"/>
        <v>13.072092488005239</v>
      </c>
      <c r="X126" s="98">
        <f t="shared" si="42"/>
        <v>300947</v>
      </c>
      <c r="Y126" s="97"/>
      <c r="Z126" s="93"/>
      <c r="AA126" s="98">
        <f t="shared" si="34"/>
        <v>0</v>
      </c>
      <c r="AB126" s="233"/>
      <c r="AC126" s="98">
        <f>IF(SUMIFS('Shipments data'!L:L,'Shipments data'!F:F,'Supply planning data'!C126,'Shipments data'!A:A,'Supply planning data'!A126,'Shipments data'!O:O,"received",'Shipments data'!Q:Q,"&lt;"&amp;'Supply planning data'!D141,'Shipments data'!AC:AC,"&lt;"&amp;'Supply planning data'!D141)-SUMIFS(M:M,D:D,"&lt;="&amp;D126,C:C,C126)-SUMIFS(AA:AA,D:D,"&lt;="&amp;D126,C:C,C126)+SUMIFS(N:N,D:D,"&lt;="&amp;D126,C:C,C126)+SUMIFS(P:P,D:D,"&lt;="&amp;D126,C:C,C126)&lt;0,0,SUMIFS('Shipments data'!L:L,'Shipments data'!F:F,'Supply planning data'!C126,'Shipments data'!A:A,'Supply planning data'!A126,'Shipments data'!O:O,"received",'Shipments data'!Q:Q,"&lt;"&amp;'Supply planning data'!D141,'Shipments data'!AC:AC,"&lt;"&amp;'Supply planning data'!D141)-SUMIFS(M:M,D:D,"&lt;="&amp;D126,C:C,C126)-SUMIFS(AA:AA,D:D,"&lt;="&amp;D126,C:C,C126)+SUMIFS(N:N,D:D,"&lt;="&amp;D126,C:C,C126)+SUMIFS(P:P,D:D,"&lt;="&amp;D126,C:C,C126))</f>
        <v>0</v>
      </c>
      <c r="AD126" s="98">
        <f t="shared" si="43"/>
        <v>0</v>
      </c>
      <c r="AE126" s="98">
        <f t="shared" si="36"/>
        <v>246117</v>
      </c>
      <c r="AF126" s="205">
        <f t="shared" si="46"/>
        <v>1.2593850368169421</v>
      </c>
      <c r="AG126" s="98">
        <f t="shared" si="44"/>
        <v>300947</v>
      </c>
      <c r="AH126" s="97"/>
      <c r="AI126" s="311"/>
      <c r="AJ126" s="98">
        <f t="shared" si="35"/>
        <v>0</v>
      </c>
      <c r="AK126" s="233"/>
      <c r="AL126" s="98">
        <f>IF(SUMIFS('Shipments data'!L:L,'Shipments data'!F:F,'Supply planning data'!C126,'Shipments data'!A:A,'Supply planning data'!A126,'Shipments data'!O:O,"received",'Shipments data'!Q:Q,"&lt;"&amp;'Supply planning data'!D141,'Shipments data'!AC:AC,"&lt;"&amp;'Supply planning data'!D141)-SUMIFS(M:M,D:D,"&lt;="&amp;D126,C:C,C126)-SUMIFS(AJ:AJ,D:D,"&lt;="&amp;D126,C:C,C126)+SUMIFS(N:N,D:D,"&lt;="&amp;D126,C:C,C126)+SUMIFS(P:P,D:D,"&lt;="&amp;D126,C:C,C126)&lt;0,0,SUMIFS('Shipments data'!L:L,'Shipments data'!F:F,'Supply planning data'!C126,'Shipments data'!A:A,'Supply planning data'!A126,'Shipments data'!O:O,"received",'Shipments data'!Q:Q,"&lt;"&amp;'Supply planning data'!D141,'Shipments data'!AC:AC,"&lt;"&amp;'Supply planning data'!D141)-SUMIFS(M:M,D:D,"&lt;="&amp;D126,C:C,C126)-SUMIFS(AJ:AJ,D:D,"&lt;="&amp;D126,C:C,C126)+SUMIFS(N:N,D:D,"&lt;="&amp;D126,C:C,C126)+SUMIFS(P:P,D:D,"&lt;="&amp;D126,C:C,C126))</f>
        <v>0</v>
      </c>
      <c r="AM126" s="98">
        <f t="shared" si="45"/>
        <v>0</v>
      </c>
      <c r="AN126" s="98">
        <f t="shared" si="37"/>
        <v>246117</v>
      </c>
      <c r="AO126" s="203">
        <f t="shared" si="48"/>
        <v>1.2593850368169421</v>
      </c>
    </row>
    <row r="127" spans="1:41" x14ac:dyDescent="0.25">
      <c r="A127" s="95" t="str">
        <f>Start!D$7</f>
        <v>Anyland</v>
      </c>
      <c r="B127" s="96" t="str">
        <f>VLOOKUP(A127,list!B:C,2,FALSE)</f>
        <v>ANY</v>
      </c>
      <c r="C127" s="90" t="str">
        <f>IF(Start!$C$19="","",Start!$C$19)</f>
        <v>Moderna</v>
      </c>
      <c r="D127" s="296">
        <f t="shared" si="39"/>
        <v>44440</v>
      </c>
      <c r="E127" s="92" t="str">
        <f>IFERROR(VLOOKUP(C127,Start!C$15:D$31,2,FALSE),"No")</f>
        <v>No</v>
      </c>
      <c r="F127" s="92">
        <f t="shared" si="40"/>
        <v>0</v>
      </c>
      <c r="G127" s="91"/>
      <c r="H127" s="97"/>
      <c r="I127" s="97"/>
      <c r="J127" s="98">
        <f t="shared" si="30"/>
        <v>0</v>
      </c>
      <c r="K127" s="97"/>
      <c r="L127" s="175" t="str">
        <f t="shared" si="31"/>
        <v/>
      </c>
      <c r="M127" s="98">
        <f t="shared" si="32"/>
        <v>0</v>
      </c>
      <c r="N127" s="97"/>
      <c r="O127" s="122"/>
      <c r="P127" s="97"/>
      <c r="Q127" s="122"/>
      <c r="R127" s="98">
        <f>SUMIFS('Shipments data'!L:L,'Shipments data'!F:F,'Supply planning data'!C127,'Shipments data'!A:A,'Supply planning data'!A127,'Shipments data'!Y:Y,'Supply planning data'!D127,'Shipments data'!O:O,"received", 'Shipments data'!N:N, "Public")</f>
        <v>0</v>
      </c>
      <c r="S127" s="98">
        <f>SUMIFS('Shipments data'!L:L,'Shipments data'!F:F,'Supply planning data'!C127,'Shipments data'!A:A,'Supply planning data'!A127,'Shipments data'!Y:Y,'Supply planning data'!D127,'Shipments data'!O:O,"ordered", 'Shipments data'!N:N, "Public")</f>
        <v>0</v>
      </c>
      <c r="T127" s="98">
        <f>IF(SUMIFS('Shipments data'!L:L,'Shipments data'!F:F,'Supply planning data'!C127,'Shipments data'!A:A,'Supply planning data'!A127,'Shipments data'!O:O,"received",'Shipments data'!Q:Q,"&lt;"&amp;'Supply planning data'!D142,'Shipments data'!AC:AC,"&lt;"&amp;'Supply planning data'!D142)-SUMIFS(M:M,D:D,"&lt;="&amp;D127,C:C,C127)+SUMIFS(N:N,D:D,"&lt;="&amp;D127,C:C,C127)+SUMIFS(P:P,D:D,"&lt;="&amp;D127,C:C,C127)&lt;0,0,SUMIFS('Shipments data'!L:L,'Shipments data'!F:F,'Supply planning data'!C127,'Shipments data'!A:A,'Supply planning data'!A127,'Shipments data'!O:O,"received",'Shipments data'!Q:Q,"&lt;"&amp;'Supply planning data'!D142,'Shipments data'!AC:AC,"&lt;"&amp;'Supply planning data'!D142)-SUMIFS(M:M,D:D,"&lt;="&amp;D127,C:C,C127)+SUMIFS(N:N,D:D,"&lt;="&amp;D127,C:C,C127)+SUMIFS(P:P,D:D,"&lt;="&amp;D127,C:C,C127))</f>
        <v>0</v>
      </c>
      <c r="U127" s="99">
        <f t="shared" si="41"/>
        <v>0</v>
      </c>
      <c r="V127" s="98">
        <f t="shared" si="49"/>
        <v>0</v>
      </c>
      <c r="W127" s="203" t="str">
        <f t="shared" si="47"/>
        <v/>
      </c>
      <c r="X127" s="98">
        <f t="shared" si="42"/>
        <v>0</v>
      </c>
      <c r="Y127" s="97"/>
      <c r="Z127" s="93"/>
      <c r="AA127" s="98">
        <f t="shared" si="34"/>
        <v>0</v>
      </c>
      <c r="AB127" s="233"/>
      <c r="AC127" s="98">
        <f>IF(SUMIFS('Shipments data'!L:L,'Shipments data'!F:F,'Supply planning data'!C127,'Shipments data'!A:A,'Supply planning data'!A127,'Shipments data'!O:O,"received",'Shipments data'!Q:Q,"&lt;"&amp;'Supply planning data'!D142,'Shipments data'!AC:AC,"&lt;"&amp;'Supply planning data'!D142)-SUMIFS(M:M,D:D,"&lt;="&amp;D127,C:C,C127)-SUMIFS(AA:AA,D:D,"&lt;="&amp;D127,C:C,C127)+SUMIFS(N:N,D:D,"&lt;="&amp;D127,C:C,C127)+SUMIFS(P:P,D:D,"&lt;="&amp;D127,C:C,C127)&lt;0,0,SUMIFS('Shipments data'!L:L,'Shipments data'!F:F,'Supply planning data'!C127,'Shipments data'!A:A,'Supply planning data'!A127,'Shipments data'!O:O,"received",'Shipments data'!Q:Q,"&lt;"&amp;'Supply planning data'!D142,'Shipments data'!AC:AC,"&lt;"&amp;'Supply planning data'!D142)-SUMIFS(M:M,D:D,"&lt;="&amp;D127,C:C,C127)-SUMIFS(AA:AA,D:D,"&lt;="&amp;D127,C:C,C127)+SUMIFS(N:N,D:D,"&lt;="&amp;D127,C:C,C127)+SUMIFS(P:P,D:D,"&lt;="&amp;D127,C:C,C127))</f>
        <v>0</v>
      </c>
      <c r="AD127" s="98">
        <f t="shared" si="43"/>
        <v>0</v>
      </c>
      <c r="AE127" s="98">
        <f t="shared" si="36"/>
        <v>0</v>
      </c>
      <c r="AF127" s="205" t="str">
        <f t="shared" si="46"/>
        <v/>
      </c>
      <c r="AG127" s="98">
        <f t="shared" si="44"/>
        <v>0</v>
      </c>
      <c r="AH127" s="97"/>
      <c r="AI127" s="311"/>
      <c r="AJ127" s="98">
        <f t="shared" si="35"/>
        <v>0</v>
      </c>
      <c r="AK127" s="233"/>
      <c r="AL127" s="98">
        <f>IF(SUMIFS('Shipments data'!L:L,'Shipments data'!F:F,'Supply planning data'!C127,'Shipments data'!A:A,'Supply planning data'!A127,'Shipments data'!O:O,"received",'Shipments data'!Q:Q,"&lt;"&amp;'Supply planning data'!D142,'Shipments data'!AC:AC,"&lt;"&amp;'Supply planning data'!D142)-SUMIFS(M:M,D:D,"&lt;="&amp;D127,C:C,C127)-SUMIFS(AJ:AJ,D:D,"&lt;="&amp;D127,C:C,C127)+SUMIFS(N:N,D:D,"&lt;="&amp;D127,C:C,C127)+SUMIFS(P:P,D:D,"&lt;="&amp;D127,C:C,C127)&lt;0,0,SUMIFS('Shipments data'!L:L,'Shipments data'!F:F,'Supply planning data'!C127,'Shipments data'!A:A,'Supply planning data'!A127,'Shipments data'!O:O,"received",'Shipments data'!Q:Q,"&lt;"&amp;'Supply planning data'!D142,'Shipments data'!AC:AC,"&lt;"&amp;'Supply planning data'!D142)-SUMIFS(M:M,D:D,"&lt;="&amp;D127,C:C,C127)-SUMIFS(AJ:AJ,D:D,"&lt;="&amp;D127,C:C,C127)+SUMIFS(N:N,D:D,"&lt;="&amp;D127,C:C,C127)+SUMIFS(P:P,D:D,"&lt;="&amp;D127,C:C,C127))</f>
        <v>0</v>
      </c>
      <c r="AM127" s="98">
        <f t="shared" si="45"/>
        <v>0</v>
      </c>
      <c r="AN127" s="98">
        <f t="shared" si="37"/>
        <v>0</v>
      </c>
      <c r="AO127" s="203" t="str">
        <f t="shared" si="48"/>
        <v/>
      </c>
    </row>
    <row r="128" spans="1:41" x14ac:dyDescent="0.25">
      <c r="A128" s="95" t="str">
        <f>Start!D$7</f>
        <v>Anyland</v>
      </c>
      <c r="B128" s="96" t="str">
        <f>VLOOKUP(A128,list!B:C,2,FALSE)</f>
        <v>ANY</v>
      </c>
      <c r="C128" s="90" t="str">
        <f>IF(Start!$C$20="","",Start!$C$20)</f>
        <v>Pfizer</v>
      </c>
      <c r="D128" s="296">
        <f t="shared" si="39"/>
        <v>44440</v>
      </c>
      <c r="E128" s="92" t="str">
        <f>IFERROR(VLOOKUP(C128,Start!C$15:D$31,2,FALSE),"No")</f>
        <v>Yes</v>
      </c>
      <c r="F128" s="92">
        <f t="shared" si="40"/>
        <v>0</v>
      </c>
      <c r="G128" s="91"/>
      <c r="H128" s="97"/>
      <c r="I128" s="97"/>
      <c r="J128" s="98">
        <f t="shared" si="30"/>
        <v>0</v>
      </c>
      <c r="K128" s="97"/>
      <c r="L128" s="175" t="str">
        <f t="shared" si="31"/>
        <v/>
      </c>
      <c r="M128" s="98">
        <f t="shared" si="32"/>
        <v>0</v>
      </c>
      <c r="N128" s="97"/>
      <c r="O128" s="122"/>
      <c r="P128" s="97"/>
      <c r="Q128" s="122"/>
      <c r="R128" s="98">
        <f>SUMIFS('Shipments data'!L:L,'Shipments data'!F:F,'Supply planning data'!C128,'Shipments data'!A:A,'Supply planning data'!A128,'Shipments data'!Y:Y,'Supply planning data'!D128,'Shipments data'!O:O,"received", 'Shipments data'!N:N, "Public")</f>
        <v>0</v>
      </c>
      <c r="S128" s="98">
        <f>SUMIFS('Shipments data'!L:L,'Shipments data'!F:F,'Supply planning data'!C128,'Shipments data'!A:A,'Supply planning data'!A128,'Shipments data'!Y:Y,'Supply planning data'!D128,'Shipments data'!O:O,"ordered", 'Shipments data'!N:N, "Public")</f>
        <v>0</v>
      </c>
      <c r="T128" s="98">
        <f>IF(SUMIFS('Shipments data'!L:L,'Shipments data'!F:F,'Supply planning data'!C128,'Shipments data'!A:A,'Supply planning data'!A128,'Shipments data'!O:O,"received",'Shipments data'!Q:Q,"&lt;"&amp;'Supply planning data'!D143,'Shipments data'!AC:AC,"&lt;"&amp;'Supply planning data'!D143)-SUMIFS(M:M,D:D,"&lt;="&amp;D128,C:C,C128)+SUMIFS(N:N,D:D,"&lt;="&amp;D128,C:C,C128)+SUMIFS(P:P,D:D,"&lt;="&amp;D128,C:C,C128)&lt;0,0,SUMIFS('Shipments data'!L:L,'Shipments data'!F:F,'Supply planning data'!C128,'Shipments data'!A:A,'Supply planning data'!A128,'Shipments data'!O:O,"received",'Shipments data'!Q:Q,"&lt;"&amp;'Supply planning data'!D143,'Shipments data'!AC:AC,"&lt;"&amp;'Supply planning data'!D143)-SUMIFS(M:M,D:D,"&lt;="&amp;D128,C:C,C128)+SUMIFS(N:N,D:D,"&lt;="&amp;D128,C:C,C128)+SUMIFS(P:P,D:D,"&lt;="&amp;D128,C:C,C128))</f>
        <v>0</v>
      </c>
      <c r="U128" s="99">
        <f t="shared" si="41"/>
        <v>0</v>
      </c>
      <c r="V128" s="98">
        <f t="shared" si="49"/>
        <v>0</v>
      </c>
      <c r="W128" s="203" t="str">
        <f t="shared" si="47"/>
        <v/>
      </c>
      <c r="X128" s="98">
        <f t="shared" si="42"/>
        <v>0</v>
      </c>
      <c r="Y128" s="97"/>
      <c r="Z128" s="93"/>
      <c r="AA128" s="98">
        <f t="shared" si="34"/>
        <v>0</v>
      </c>
      <c r="AB128" s="233"/>
      <c r="AC128" s="98">
        <f>IF(SUMIFS('Shipments data'!L:L,'Shipments data'!F:F,'Supply planning data'!C128,'Shipments data'!A:A,'Supply planning data'!A128,'Shipments data'!O:O,"received",'Shipments data'!Q:Q,"&lt;"&amp;'Supply planning data'!D143,'Shipments data'!AC:AC,"&lt;"&amp;'Supply planning data'!D143)-SUMIFS(M:M,D:D,"&lt;="&amp;D128,C:C,C128)-SUMIFS(AA:AA,D:D,"&lt;="&amp;D128,C:C,C128)+SUMIFS(N:N,D:D,"&lt;="&amp;D128,C:C,C128)+SUMIFS(P:P,D:D,"&lt;="&amp;D128,C:C,C128)&lt;0,0,SUMIFS('Shipments data'!L:L,'Shipments data'!F:F,'Supply planning data'!C128,'Shipments data'!A:A,'Supply planning data'!A128,'Shipments data'!O:O,"received",'Shipments data'!Q:Q,"&lt;"&amp;'Supply planning data'!D143,'Shipments data'!AC:AC,"&lt;"&amp;'Supply planning data'!D143)-SUMIFS(M:M,D:D,"&lt;="&amp;D128,C:C,C128)-SUMIFS(AA:AA,D:D,"&lt;="&amp;D128,C:C,C128)+SUMIFS(N:N,D:D,"&lt;="&amp;D128,C:C,C128)+SUMIFS(P:P,D:D,"&lt;="&amp;D128,C:C,C128))</f>
        <v>0</v>
      </c>
      <c r="AD128" s="98">
        <f t="shared" si="43"/>
        <v>0</v>
      </c>
      <c r="AE128" s="98">
        <f t="shared" si="36"/>
        <v>0</v>
      </c>
      <c r="AF128" s="205" t="str">
        <f t="shared" si="46"/>
        <v/>
      </c>
      <c r="AG128" s="98">
        <f t="shared" si="44"/>
        <v>0</v>
      </c>
      <c r="AH128" s="97"/>
      <c r="AI128" s="311"/>
      <c r="AJ128" s="98">
        <f t="shared" si="35"/>
        <v>0</v>
      </c>
      <c r="AK128" s="233"/>
      <c r="AL128" s="98">
        <f>IF(SUMIFS('Shipments data'!L:L,'Shipments data'!F:F,'Supply planning data'!C128,'Shipments data'!A:A,'Supply planning data'!A128,'Shipments data'!O:O,"received",'Shipments data'!Q:Q,"&lt;"&amp;'Supply planning data'!D143,'Shipments data'!AC:AC,"&lt;"&amp;'Supply planning data'!D143)-SUMIFS(M:M,D:D,"&lt;="&amp;D128,C:C,C128)-SUMIFS(AJ:AJ,D:D,"&lt;="&amp;D128,C:C,C128)+SUMIFS(N:N,D:D,"&lt;="&amp;D128,C:C,C128)+SUMIFS(P:P,D:D,"&lt;="&amp;D128,C:C,C128)&lt;0,0,SUMIFS('Shipments data'!L:L,'Shipments data'!F:F,'Supply planning data'!C128,'Shipments data'!A:A,'Supply planning data'!A128,'Shipments data'!O:O,"received",'Shipments data'!Q:Q,"&lt;"&amp;'Supply planning data'!D143,'Shipments data'!AC:AC,"&lt;"&amp;'Supply planning data'!D143)-SUMIFS(M:M,D:D,"&lt;="&amp;D128,C:C,C128)-SUMIFS(AJ:AJ,D:D,"&lt;="&amp;D128,C:C,C128)+SUMIFS(N:N,D:D,"&lt;="&amp;D128,C:C,C128)+SUMIFS(P:P,D:D,"&lt;="&amp;D128,C:C,C128))</f>
        <v>0</v>
      </c>
      <c r="AM128" s="98">
        <f t="shared" si="45"/>
        <v>0</v>
      </c>
      <c r="AN128" s="98">
        <f t="shared" si="37"/>
        <v>0</v>
      </c>
      <c r="AO128" s="203" t="str">
        <f t="shared" si="48"/>
        <v/>
      </c>
    </row>
    <row r="129" spans="1:41" x14ac:dyDescent="0.25">
      <c r="A129" s="95" t="str">
        <f>Start!D$7</f>
        <v>Anyland</v>
      </c>
      <c r="B129" s="96" t="str">
        <f>VLOOKUP(A129,list!B:C,2,FALSE)</f>
        <v>ANY</v>
      </c>
      <c r="C129" s="90" t="str">
        <f>IF(Start!$C$21="","",Start!$C$21)</f>
        <v>Sinovac</v>
      </c>
      <c r="D129" s="296">
        <f t="shared" si="39"/>
        <v>44440</v>
      </c>
      <c r="E129" s="92" t="str">
        <f>IFERROR(VLOOKUP(C129,Start!C$15:D$31,2,FALSE),"No")</f>
        <v>No</v>
      </c>
      <c r="F129" s="92">
        <f t="shared" si="40"/>
        <v>0</v>
      </c>
      <c r="G129" s="91"/>
      <c r="H129" s="97"/>
      <c r="I129" s="97"/>
      <c r="J129" s="98">
        <f t="shared" si="30"/>
        <v>0</v>
      </c>
      <c r="K129" s="97"/>
      <c r="L129" s="175" t="str">
        <f t="shared" si="31"/>
        <v/>
      </c>
      <c r="M129" s="98">
        <f t="shared" si="32"/>
        <v>0</v>
      </c>
      <c r="N129" s="97"/>
      <c r="O129" s="122"/>
      <c r="P129" s="97"/>
      <c r="Q129" s="122"/>
      <c r="R129" s="98">
        <f>SUMIFS('Shipments data'!L:L,'Shipments data'!F:F,'Supply planning data'!C129,'Shipments data'!A:A,'Supply planning data'!A129,'Shipments data'!Y:Y,'Supply planning data'!D129,'Shipments data'!O:O,"received", 'Shipments data'!N:N, "Public")</f>
        <v>0</v>
      </c>
      <c r="S129" s="98">
        <f>SUMIFS('Shipments data'!L:L,'Shipments data'!F:F,'Supply planning data'!C129,'Shipments data'!A:A,'Supply planning data'!A129,'Shipments data'!Y:Y,'Supply planning data'!D129,'Shipments data'!O:O,"ordered", 'Shipments data'!N:N, "Public")</f>
        <v>0</v>
      </c>
      <c r="T129" s="98">
        <f>IF(SUMIFS('Shipments data'!L:L,'Shipments data'!F:F,'Supply planning data'!C129,'Shipments data'!A:A,'Supply planning data'!A129,'Shipments data'!O:O,"received",'Shipments data'!Q:Q,"&lt;"&amp;'Supply planning data'!D144,'Shipments data'!AC:AC,"&lt;"&amp;'Supply planning data'!D144)-SUMIFS(M:M,D:D,"&lt;="&amp;D129,C:C,C129)+SUMIFS(N:N,D:D,"&lt;="&amp;D129,C:C,C129)+SUMIFS(P:P,D:D,"&lt;="&amp;D129,C:C,C129)&lt;0,0,SUMIFS('Shipments data'!L:L,'Shipments data'!F:F,'Supply planning data'!C129,'Shipments data'!A:A,'Supply planning data'!A129,'Shipments data'!O:O,"received",'Shipments data'!Q:Q,"&lt;"&amp;'Supply planning data'!D144,'Shipments data'!AC:AC,"&lt;"&amp;'Supply planning data'!D144)-SUMIFS(M:M,D:D,"&lt;="&amp;D129,C:C,C129)+SUMIFS(N:N,D:D,"&lt;="&amp;D129,C:C,C129)+SUMIFS(P:P,D:D,"&lt;="&amp;D129,C:C,C129))</f>
        <v>0</v>
      </c>
      <c r="U129" s="99">
        <f t="shared" si="41"/>
        <v>0</v>
      </c>
      <c r="V129" s="98">
        <f t="shared" si="49"/>
        <v>0</v>
      </c>
      <c r="W129" s="203" t="str">
        <f t="shared" si="47"/>
        <v/>
      </c>
      <c r="X129" s="98">
        <f t="shared" si="42"/>
        <v>0</v>
      </c>
      <c r="Y129" s="97"/>
      <c r="Z129" s="93"/>
      <c r="AA129" s="98">
        <f t="shared" si="34"/>
        <v>0</v>
      </c>
      <c r="AB129" s="233"/>
      <c r="AC129" s="98">
        <f>IF(SUMIFS('Shipments data'!L:L,'Shipments data'!F:F,'Supply planning data'!C129,'Shipments data'!A:A,'Supply planning data'!A129,'Shipments data'!O:O,"received",'Shipments data'!Q:Q,"&lt;"&amp;'Supply planning data'!D144,'Shipments data'!AC:AC,"&lt;"&amp;'Supply planning data'!D144)-SUMIFS(M:M,D:D,"&lt;="&amp;D129,C:C,C129)-SUMIFS(AA:AA,D:D,"&lt;="&amp;D129,C:C,C129)+SUMIFS(N:N,D:D,"&lt;="&amp;D129,C:C,C129)+SUMIFS(P:P,D:D,"&lt;="&amp;D129,C:C,C129)&lt;0,0,SUMIFS('Shipments data'!L:L,'Shipments data'!F:F,'Supply planning data'!C129,'Shipments data'!A:A,'Supply planning data'!A129,'Shipments data'!O:O,"received",'Shipments data'!Q:Q,"&lt;"&amp;'Supply planning data'!D144,'Shipments data'!AC:AC,"&lt;"&amp;'Supply planning data'!D144)-SUMIFS(M:M,D:D,"&lt;="&amp;D129,C:C,C129)-SUMIFS(AA:AA,D:D,"&lt;="&amp;D129,C:C,C129)+SUMIFS(N:N,D:D,"&lt;="&amp;D129,C:C,C129)+SUMIFS(P:P,D:D,"&lt;="&amp;D129,C:C,C129))</f>
        <v>0</v>
      </c>
      <c r="AD129" s="98">
        <f t="shared" si="43"/>
        <v>0</v>
      </c>
      <c r="AE129" s="98">
        <f t="shared" si="36"/>
        <v>0</v>
      </c>
      <c r="AF129" s="205" t="str">
        <f t="shared" si="46"/>
        <v/>
      </c>
      <c r="AG129" s="98">
        <f t="shared" si="44"/>
        <v>0</v>
      </c>
      <c r="AH129" s="97"/>
      <c r="AI129" s="311"/>
      <c r="AJ129" s="98">
        <f t="shared" si="35"/>
        <v>0</v>
      </c>
      <c r="AK129" s="233"/>
      <c r="AL129" s="98">
        <f>IF(SUMIFS('Shipments data'!L:L,'Shipments data'!F:F,'Supply planning data'!C129,'Shipments data'!A:A,'Supply planning data'!A129,'Shipments data'!O:O,"received",'Shipments data'!Q:Q,"&lt;"&amp;'Supply planning data'!D144,'Shipments data'!AC:AC,"&lt;"&amp;'Supply planning data'!D144)-SUMIFS(M:M,D:D,"&lt;="&amp;D129,C:C,C129)-SUMIFS(AJ:AJ,D:D,"&lt;="&amp;D129,C:C,C129)+SUMIFS(N:N,D:D,"&lt;="&amp;D129,C:C,C129)+SUMIFS(P:P,D:D,"&lt;="&amp;D129,C:C,C129)&lt;0,0,SUMIFS('Shipments data'!L:L,'Shipments data'!F:F,'Supply planning data'!C129,'Shipments data'!A:A,'Supply planning data'!A129,'Shipments data'!O:O,"received",'Shipments data'!Q:Q,"&lt;"&amp;'Supply planning data'!D144,'Shipments data'!AC:AC,"&lt;"&amp;'Supply planning data'!D144)-SUMIFS(M:M,D:D,"&lt;="&amp;D129,C:C,C129)-SUMIFS(AJ:AJ,D:D,"&lt;="&amp;D129,C:C,C129)+SUMIFS(N:N,D:D,"&lt;="&amp;D129,C:C,C129)+SUMIFS(P:P,D:D,"&lt;="&amp;D129,C:C,C129))</f>
        <v>0</v>
      </c>
      <c r="AM129" s="98">
        <f t="shared" si="45"/>
        <v>0</v>
      </c>
      <c r="AN129" s="98">
        <f t="shared" si="37"/>
        <v>0</v>
      </c>
      <c r="AO129" s="203" t="str">
        <f t="shared" si="48"/>
        <v/>
      </c>
    </row>
    <row r="130" spans="1:41" hidden="1" x14ac:dyDescent="0.25">
      <c r="A130" s="95" t="str">
        <f>Start!D$7</f>
        <v>Anyland</v>
      </c>
      <c r="B130" s="96" t="str">
        <f>VLOOKUP(A130,list!B:C,2,FALSE)</f>
        <v>ANY</v>
      </c>
      <c r="C130" s="90" t="str">
        <f>IF(Start!$C$22="","",Start!$C$22)</f>
        <v/>
      </c>
      <c r="D130" s="296">
        <f t="shared" si="39"/>
        <v>44440</v>
      </c>
      <c r="E130" s="92" t="str">
        <f>IFERROR(VLOOKUP(C130,Start!C$15:D$31,2,FALSE),"No")</f>
        <v>No</v>
      </c>
      <c r="F130" s="92">
        <f t="shared" si="40"/>
        <v>0</v>
      </c>
      <c r="G130" s="91"/>
      <c r="H130" s="97"/>
      <c r="I130" s="97"/>
      <c r="J130" s="98">
        <f t="shared" si="30"/>
        <v>0</v>
      </c>
      <c r="K130" s="97"/>
      <c r="L130" s="175" t="str">
        <f t="shared" si="31"/>
        <v/>
      </c>
      <c r="M130" s="98">
        <f t="shared" si="32"/>
        <v>0</v>
      </c>
      <c r="N130" s="97"/>
      <c r="O130" s="122"/>
      <c r="P130" s="97"/>
      <c r="Q130" s="122"/>
      <c r="R130" s="98">
        <f>SUMIFS('Shipments data'!L:L,'Shipments data'!F:F,'Supply planning data'!C130,'Shipments data'!A:A,'Supply planning data'!A130,'Shipments data'!Y:Y,'Supply planning data'!D130,'Shipments data'!O:O,"received", 'Shipments data'!N:N, "Public")</f>
        <v>0</v>
      </c>
      <c r="S130" s="98">
        <f>SUMIFS('Shipments data'!L:L,'Shipments data'!F:F,'Supply planning data'!C130,'Shipments data'!A:A,'Supply planning data'!A130,'Shipments data'!Y:Y,'Supply planning data'!D130,'Shipments data'!O:O,"ordered", 'Shipments data'!N:N, "Public")</f>
        <v>0</v>
      </c>
      <c r="T130" s="98">
        <f>IF(SUMIFS('Shipments data'!L:L,'Shipments data'!F:F,'Supply planning data'!C130,'Shipments data'!A:A,'Supply planning data'!A130,'Shipments data'!O:O,"received",'Shipments data'!Q:Q,"&lt;"&amp;'Supply planning data'!D145,'Shipments data'!AC:AC,"&lt;"&amp;'Supply planning data'!D145)-SUMIFS(M:M,D:D,"&lt;="&amp;D130,C:C,C130)+SUMIFS(N:N,D:D,"&lt;="&amp;D130,C:C,C130)+SUMIFS(P:P,D:D,"&lt;="&amp;D130,C:C,C130)&lt;0,0,SUMIFS('Shipments data'!L:L,'Shipments data'!F:F,'Supply planning data'!C130,'Shipments data'!A:A,'Supply planning data'!A130,'Shipments data'!O:O,"received",'Shipments data'!Q:Q,"&lt;"&amp;'Supply planning data'!D145,'Shipments data'!AC:AC,"&lt;"&amp;'Supply planning data'!D145)-SUMIFS(M:M,D:D,"&lt;="&amp;D130,C:C,C130)+SUMIFS(N:N,D:D,"&lt;="&amp;D130,C:C,C130)+SUMIFS(P:P,D:D,"&lt;="&amp;D130,C:C,C130))</f>
        <v>0</v>
      </c>
      <c r="U130" s="99">
        <f t="shared" si="41"/>
        <v>0</v>
      </c>
      <c r="V130" s="98">
        <f t="shared" si="49"/>
        <v>0</v>
      </c>
      <c r="W130" s="203" t="str">
        <f t="shared" si="47"/>
        <v/>
      </c>
      <c r="X130" s="98">
        <f t="shared" si="42"/>
        <v>0</v>
      </c>
      <c r="Y130" s="97"/>
      <c r="Z130" s="93"/>
      <c r="AA130" s="98">
        <f t="shared" si="34"/>
        <v>0</v>
      </c>
      <c r="AB130" s="233"/>
      <c r="AC130" s="98">
        <f>IF(SUMIFS('Shipments data'!L:L,'Shipments data'!F:F,'Supply planning data'!C130,'Shipments data'!A:A,'Supply planning data'!A130,'Shipments data'!O:O,"received",'Shipments data'!Q:Q,"&lt;"&amp;'Supply planning data'!D145,'Shipments data'!AC:AC,"&lt;"&amp;'Supply planning data'!D145)-SUMIFS(M:M,D:D,"&lt;="&amp;D130,C:C,C130)-SUMIFS(AA:AA,D:D,"&lt;="&amp;D130,C:C,C130)+SUMIFS(N:N,D:D,"&lt;="&amp;D130,C:C,C130)+SUMIFS(P:P,D:D,"&lt;="&amp;D130,C:C,C130)&lt;0,0,SUMIFS('Shipments data'!L:L,'Shipments data'!F:F,'Supply planning data'!C130,'Shipments data'!A:A,'Supply planning data'!A130,'Shipments data'!O:O,"received",'Shipments data'!Q:Q,"&lt;"&amp;'Supply planning data'!D145,'Shipments data'!AC:AC,"&lt;"&amp;'Supply planning data'!D145)-SUMIFS(M:M,D:D,"&lt;="&amp;D130,C:C,C130)-SUMIFS(AA:AA,D:D,"&lt;="&amp;D130,C:C,C130)+SUMIFS(N:N,D:D,"&lt;="&amp;D130,C:C,C130)+SUMIFS(P:P,D:D,"&lt;="&amp;D130,C:C,C130))</f>
        <v>0</v>
      </c>
      <c r="AD130" s="98">
        <f t="shared" si="43"/>
        <v>0</v>
      </c>
      <c r="AE130" s="98">
        <f t="shared" si="36"/>
        <v>0</v>
      </c>
      <c r="AF130" s="205" t="str">
        <f t="shared" si="46"/>
        <v/>
      </c>
      <c r="AG130" s="98">
        <f t="shared" si="44"/>
        <v>0</v>
      </c>
      <c r="AH130" s="97"/>
      <c r="AI130" s="311"/>
      <c r="AJ130" s="98">
        <f t="shared" si="35"/>
        <v>0</v>
      </c>
      <c r="AK130" s="233"/>
      <c r="AL130" s="98">
        <f>IF(SUMIFS('Shipments data'!L:L,'Shipments data'!F:F,'Supply planning data'!C130,'Shipments data'!A:A,'Supply planning data'!A130,'Shipments data'!O:O,"received",'Shipments data'!Q:Q,"&lt;"&amp;'Supply planning data'!D145,'Shipments data'!AC:AC,"&lt;"&amp;'Supply planning data'!D145)-SUMIFS(M:M,D:D,"&lt;="&amp;D130,C:C,C130)-SUMIFS(AJ:AJ,D:D,"&lt;="&amp;D130,C:C,C130)+SUMIFS(N:N,D:D,"&lt;="&amp;D130,C:C,C130)+SUMIFS(P:P,D:D,"&lt;="&amp;D130,C:C,C130)&lt;0,0,SUMIFS('Shipments data'!L:L,'Shipments data'!F:F,'Supply planning data'!C130,'Shipments data'!A:A,'Supply planning data'!A130,'Shipments data'!O:O,"received",'Shipments data'!Q:Q,"&lt;"&amp;'Supply planning data'!D145,'Shipments data'!AC:AC,"&lt;"&amp;'Supply planning data'!D145)-SUMIFS(M:M,D:D,"&lt;="&amp;D130,C:C,C130)-SUMIFS(AJ:AJ,D:D,"&lt;="&amp;D130,C:C,C130)+SUMIFS(N:N,D:D,"&lt;="&amp;D130,C:C,C130)+SUMIFS(P:P,D:D,"&lt;="&amp;D130,C:C,C130))</f>
        <v>0</v>
      </c>
      <c r="AM130" s="98">
        <f t="shared" si="45"/>
        <v>0</v>
      </c>
      <c r="AN130" s="98">
        <f t="shared" si="37"/>
        <v>0</v>
      </c>
      <c r="AO130" s="203" t="str">
        <f t="shared" si="48"/>
        <v/>
      </c>
    </row>
    <row r="131" spans="1:41" hidden="1" x14ac:dyDescent="0.25">
      <c r="A131" s="95" t="str">
        <f>Start!D$7</f>
        <v>Anyland</v>
      </c>
      <c r="B131" s="96" t="str">
        <f>VLOOKUP(A131,list!B:C,2,FALSE)</f>
        <v>ANY</v>
      </c>
      <c r="C131" s="90" t="str">
        <f>IF(Start!$C$23="","",Start!$C$23)</f>
        <v/>
      </c>
      <c r="D131" s="296">
        <f t="shared" si="39"/>
        <v>44440</v>
      </c>
      <c r="E131" s="92" t="str">
        <f>IFERROR(VLOOKUP(C131,Start!C$15:D$31,2,FALSE),"No")</f>
        <v>No</v>
      </c>
      <c r="F131" s="92">
        <f t="shared" si="40"/>
        <v>0</v>
      </c>
      <c r="G131" s="91"/>
      <c r="H131" s="97"/>
      <c r="I131" s="97"/>
      <c r="J131" s="98">
        <f t="shared" si="30"/>
        <v>0</v>
      </c>
      <c r="K131" s="97"/>
      <c r="L131" s="175" t="str">
        <f t="shared" si="31"/>
        <v/>
      </c>
      <c r="M131" s="98">
        <f t="shared" si="32"/>
        <v>0</v>
      </c>
      <c r="N131" s="97"/>
      <c r="O131" s="122"/>
      <c r="P131" s="97"/>
      <c r="Q131" s="122"/>
      <c r="R131" s="98">
        <f>SUMIFS('Shipments data'!L:L,'Shipments data'!F:F,'Supply planning data'!C131,'Shipments data'!A:A,'Supply planning data'!A131,'Shipments data'!Y:Y,'Supply planning data'!D131,'Shipments data'!O:O,"received", 'Shipments data'!N:N, "Public")</f>
        <v>0</v>
      </c>
      <c r="S131" s="98">
        <f>SUMIFS('Shipments data'!L:L,'Shipments data'!F:F,'Supply planning data'!C131,'Shipments data'!A:A,'Supply planning data'!A131,'Shipments data'!Y:Y,'Supply planning data'!D131,'Shipments data'!O:O,"ordered", 'Shipments data'!N:N, "Public")</f>
        <v>0</v>
      </c>
      <c r="T131" s="98">
        <f>IF(SUMIFS('Shipments data'!L:L,'Shipments data'!F:F,'Supply planning data'!C131,'Shipments data'!A:A,'Supply planning data'!A131,'Shipments data'!O:O,"received",'Shipments data'!Q:Q,"&lt;"&amp;'Supply planning data'!D146,'Shipments data'!AC:AC,"&lt;"&amp;'Supply planning data'!D146)-SUMIFS(M:M,D:D,"&lt;="&amp;D131,C:C,C131)+SUMIFS(N:N,D:D,"&lt;="&amp;D131,C:C,C131)+SUMIFS(P:P,D:D,"&lt;="&amp;D131,C:C,C131)&lt;0,0,SUMIFS('Shipments data'!L:L,'Shipments data'!F:F,'Supply planning data'!C131,'Shipments data'!A:A,'Supply planning data'!A131,'Shipments data'!O:O,"received",'Shipments data'!Q:Q,"&lt;"&amp;'Supply planning data'!D146,'Shipments data'!AC:AC,"&lt;"&amp;'Supply planning data'!D146)-SUMIFS(M:M,D:D,"&lt;="&amp;D131,C:C,C131)+SUMIFS(N:N,D:D,"&lt;="&amp;D131,C:C,C131)+SUMIFS(P:P,D:D,"&lt;="&amp;D131,C:C,C131))</f>
        <v>0</v>
      </c>
      <c r="U131" s="99">
        <f t="shared" si="41"/>
        <v>0</v>
      </c>
      <c r="V131" s="98">
        <f t="shared" si="49"/>
        <v>0</v>
      </c>
      <c r="W131" s="203" t="str">
        <f t="shared" si="47"/>
        <v/>
      </c>
      <c r="X131" s="98">
        <f t="shared" si="42"/>
        <v>0</v>
      </c>
      <c r="Y131" s="97"/>
      <c r="Z131" s="93"/>
      <c r="AA131" s="98">
        <f t="shared" si="34"/>
        <v>0</v>
      </c>
      <c r="AB131" s="233"/>
      <c r="AC131" s="98">
        <f>IF(SUMIFS('Shipments data'!L:L,'Shipments data'!F:F,'Supply planning data'!C131,'Shipments data'!A:A,'Supply planning data'!A131,'Shipments data'!O:O,"received",'Shipments data'!Q:Q,"&lt;"&amp;'Supply planning data'!D146,'Shipments data'!AC:AC,"&lt;"&amp;'Supply planning data'!D146)-SUMIFS(M:M,D:D,"&lt;="&amp;D131,C:C,C131)-SUMIFS(AA:AA,D:D,"&lt;="&amp;D131,C:C,C131)+SUMIFS(N:N,D:D,"&lt;="&amp;D131,C:C,C131)+SUMIFS(P:P,D:D,"&lt;="&amp;D131,C:C,C131)&lt;0,0,SUMIFS('Shipments data'!L:L,'Shipments data'!F:F,'Supply planning data'!C131,'Shipments data'!A:A,'Supply planning data'!A131,'Shipments data'!O:O,"received",'Shipments data'!Q:Q,"&lt;"&amp;'Supply planning data'!D146,'Shipments data'!AC:AC,"&lt;"&amp;'Supply planning data'!D146)-SUMIFS(M:M,D:D,"&lt;="&amp;D131,C:C,C131)-SUMIFS(AA:AA,D:D,"&lt;="&amp;D131,C:C,C131)+SUMIFS(N:N,D:D,"&lt;="&amp;D131,C:C,C131)+SUMIFS(P:P,D:D,"&lt;="&amp;D131,C:C,C131))</f>
        <v>0</v>
      </c>
      <c r="AD131" s="98">
        <f t="shared" si="43"/>
        <v>0</v>
      </c>
      <c r="AE131" s="98">
        <f t="shared" si="36"/>
        <v>0</v>
      </c>
      <c r="AF131" s="205" t="str">
        <f t="shared" si="46"/>
        <v/>
      </c>
      <c r="AG131" s="98">
        <f t="shared" si="44"/>
        <v>0</v>
      </c>
      <c r="AH131" s="97"/>
      <c r="AI131" s="311"/>
      <c r="AJ131" s="98">
        <f t="shared" si="35"/>
        <v>0</v>
      </c>
      <c r="AK131" s="233"/>
      <c r="AL131" s="98">
        <f>IF(SUMIFS('Shipments data'!L:L,'Shipments data'!F:F,'Supply planning data'!C131,'Shipments data'!A:A,'Supply planning data'!A131,'Shipments data'!O:O,"received",'Shipments data'!Q:Q,"&lt;"&amp;'Supply planning data'!D146,'Shipments data'!AC:AC,"&lt;"&amp;'Supply planning data'!D146)-SUMIFS(M:M,D:D,"&lt;="&amp;D131,C:C,C131)-SUMIFS(AJ:AJ,D:D,"&lt;="&amp;D131,C:C,C131)+SUMIFS(N:N,D:D,"&lt;="&amp;D131,C:C,C131)+SUMIFS(P:P,D:D,"&lt;="&amp;D131,C:C,C131)&lt;0,0,SUMIFS('Shipments data'!L:L,'Shipments data'!F:F,'Supply planning data'!C131,'Shipments data'!A:A,'Supply planning data'!A131,'Shipments data'!O:O,"received",'Shipments data'!Q:Q,"&lt;"&amp;'Supply planning data'!D146,'Shipments data'!AC:AC,"&lt;"&amp;'Supply planning data'!D146)-SUMIFS(M:M,D:D,"&lt;="&amp;D131,C:C,C131)-SUMIFS(AJ:AJ,D:D,"&lt;="&amp;D131,C:C,C131)+SUMIFS(N:N,D:D,"&lt;="&amp;D131,C:C,C131)+SUMIFS(P:P,D:D,"&lt;="&amp;D131,C:C,C131))</f>
        <v>0</v>
      </c>
      <c r="AM131" s="98">
        <f t="shared" si="45"/>
        <v>0</v>
      </c>
      <c r="AN131" s="98">
        <f t="shared" si="37"/>
        <v>0</v>
      </c>
      <c r="AO131" s="203" t="str">
        <f t="shared" si="48"/>
        <v/>
      </c>
    </row>
    <row r="132" spans="1:41" hidden="1" x14ac:dyDescent="0.25">
      <c r="A132" s="95" t="str">
        <f>Start!D$7</f>
        <v>Anyland</v>
      </c>
      <c r="B132" s="96" t="str">
        <f>VLOOKUP(A132,list!B:C,2,FALSE)</f>
        <v>ANY</v>
      </c>
      <c r="C132" s="90" t="str">
        <f>IF(Start!$C$24="","",Start!$C$24)</f>
        <v/>
      </c>
      <c r="D132" s="296">
        <f t="shared" si="39"/>
        <v>44440</v>
      </c>
      <c r="E132" s="92" t="str">
        <f>IFERROR(VLOOKUP(C132,Start!C$15:D$31,2,FALSE),"No")</f>
        <v>No</v>
      </c>
      <c r="F132" s="92">
        <f t="shared" si="40"/>
        <v>0</v>
      </c>
      <c r="G132" s="91"/>
      <c r="H132" s="97"/>
      <c r="I132" s="97"/>
      <c r="J132" s="98">
        <f t="shared" si="30"/>
        <v>0</v>
      </c>
      <c r="K132" s="97"/>
      <c r="L132" s="175" t="str">
        <f t="shared" si="31"/>
        <v/>
      </c>
      <c r="M132" s="98">
        <f t="shared" si="32"/>
        <v>0</v>
      </c>
      <c r="N132" s="97"/>
      <c r="O132" s="122"/>
      <c r="P132" s="97"/>
      <c r="Q132" s="122"/>
      <c r="R132" s="98">
        <f>SUMIFS('Shipments data'!L:L,'Shipments data'!F:F,'Supply planning data'!C132,'Shipments data'!A:A,'Supply planning data'!A132,'Shipments data'!Y:Y,'Supply planning data'!D132,'Shipments data'!O:O,"received", 'Shipments data'!N:N, "Public")</f>
        <v>0</v>
      </c>
      <c r="S132" s="98">
        <f>SUMIFS('Shipments data'!L:L,'Shipments data'!F:F,'Supply planning data'!C132,'Shipments data'!A:A,'Supply planning data'!A132,'Shipments data'!Y:Y,'Supply planning data'!D132,'Shipments data'!O:O,"ordered", 'Shipments data'!N:N, "Public")</f>
        <v>0</v>
      </c>
      <c r="T132" s="98">
        <f>IF(SUMIFS('Shipments data'!L:L,'Shipments data'!F:F,'Supply planning data'!C132,'Shipments data'!A:A,'Supply planning data'!A132,'Shipments data'!O:O,"received",'Shipments data'!Q:Q,"&lt;"&amp;'Supply planning data'!D147,'Shipments data'!AC:AC,"&lt;"&amp;'Supply planning data'!D147)-SUMIFS(M:M,D:D,"&lt;="&amp;D132,C:C,C132)+SUMIFS(N:N,D:D,"&lt;="&amp;D132,C:C,C132)+SUMIFS(P:P,D:D,"&lt;="&amp;D132,C:C,C132)&lt;0,0,SUMIFS('Shipments data'!L:L,'Shipments data'!F:F,'Supply planning data'!C132,'Shipments data'!A:A,'Supply planning data'!A132,'Shipments data'!O:O,"received",'Shipments data'!Q:Q,"&lt;"&amp;'Supply planning data'!D147,'Shipments data'!AC:AC,"&lt;"&amp;'Supply planning data'!D147)-SUMIFS(M:M,D:D,"&lt;="&amp;D132,C:C,C132)+SUMIFS(N:N,D:D,"&lt;="&amp;D132,C:C,C132)+SUMIFS(P:P,D:D,"&lt;="&amp;D132,C:C,C132))</f>
        <v>0</v>
      </c>
      <c r="U132" s="99">
        <f t="shared" si="41"/>
        <v>0</v>
      </c>
      <c r="V132" s="98">
        <f t="shared" si="49"/>
        <v>0</v>
      </c>
      <c r="W132" s="203" t="str">
        <f t="shared" si="47"/>
        <v/>
      </c>
      <c r="X132" s="98">
        <f t="shared" si="42"/>
        <v>0</v>
      </c>
      <c r="Y132" s="97"/>
      <c r="Z132" s="93"/>
      <c r="AA132" s="98">
        <f t="shared" si="34"/>
        <v>0</v>
      </c>
      <c r="AB132" s="233"/>
      <c r="AC132" s="98">
        <f>IF(SUMIFS('Shipments data'!L:L,'Shipments data'!F:F,'Supply planning data'!C132,'Shipments data'!A:A,'Supply planning data'!A132,'Shipments data'!O:O,"received",'Shipments data'!Q:Q,"&lt;"&amp;'Supply planning data'!D147,'Shipments data'!AC:AC,"&lt;"&amp;'Supply planning data'!D147)-SUMIFS(M:M,D:D,"&lt;="&amp;D132,C:C,C132)-SUMIFS(AA:AA,D:D,"&lt;="&amp;D132,C:C,C132)+SUMIFS(N:N,D:D,"&lt;="&amp;D132,C:C,C132)+SUMIFS(P:P,D:D,"&lt;="&amp;D132,C:C,C132)&lt;0,0,SUMIFS('Shipments data'!L:L,'Shipments data'!F:F,'Supply planning data'!C132,'Shipments data'!A:A,'Supply planning data'!A132,'Shipments data'!O:O,"received",'Shipments data'!Q:Q,"&lt;"&amp;'Supply planning data'!D147,'Shipments data'!AC:AC,"&lt;"&amp;'Supply planning data'!D147)-SUMIFS(M:M,D:D,"&lt;="&amp;D132,C:C,C132)-SUMIFS(AA:AA,D:D,"&lt;="&amp;D132,C:C,C132)+SUMIFS(N:N,D:D,"&lt;="&amp;D132,C:C,C132)+SUMIFS(P:P,D:D,"&lt;="&amp;D132,C:C,C132))</f>
        <v>0</v>
      </c>
      <c r="AD132" s="98">
        <f t="shared" si="43"/>
        <v>0</v>
      </c>
      <c r="AE132" s="98">
        <f t="shared" si="36"/>
        <v>0</v>
      </c>
      <c r="AF132" s="205" t="str">
        <f t="shared" si="46"/>
        <v/>
      </c>
      <c r="AG132" s="98">
        <f t="shared" si="44"/>
        <v>0</v>
      </c>
      <c r="AH132" s="97"/>
      <c r="AI132" s="311"/>
      <c r="AJ132" s="98">
        <f t="shared" si="35"/>
        <v>0</v>
      </c>
      <c r="AK132" s="233"/>
      <c r="AL132" s="98">
        <f>IF(SUMIFS('Shipments data'!L:L,'Shipments data'!F:F,'Supply planning data'!C132,'Shipments data'!A:A,'Supply planning data'!A132,'Shipments data'!O:O,"received",'Shipments data'!Q:Q,"&lt;"&amp;'Supply planning data'!D147,'Shipments data'!AC:AC,"&lt;"&amp;'Supply planning data'!D147)-SUMIFS(M:M,D:D,"&lt;="&amp;D132,C:C,C132)-SUMIFS(AJ:AJ,D:D,"&lt;="&amp;D132,C:C,C132)+SUMIFS(N:N,D:D,"&lt;="&amp;D132,C:C,C132)+SUMIFS(P:P,D:D,"&lt;="&amp;D132,C:C,C132)&lt;0,0,SUMIFS('Shipments data'!L:L,'Shipments data'!F:F,'Supply planning data'!C132,'Shipments data'!A:A,'Supply planning data'!A132,'Shipments data'!O:O,"received",'Shipments data'!Q:Q,"&lt;"&amp;'Supply planning data'!D147,'Shipments data'!AC:AC,"&lt;"&amp;'Supply planning data'!D147)-SUMIFS(M:M,D:D,"&lt;="&amp;D132,C:C,C132)-SUMIFS(AJ:AJ,D:D,"&lt;="&amp;D132,C:C,C132)+SUMIFS(N:N,D:D,"&lt;="&amp;D132,C:C,C132)+SUMIFS(P:P,D:D,"&lt;="&amp;D132,C:C,C132))</f>
        <v>0</v>
      </c>
      <c r="AM132" s="98">
        <f t="shared" si="45"/>
        <v>0</v>
      </c>
      <c r="AN132" s="98">
        <f t="shared" si="37"/>
        <v>0</v>
      </c>
      <c r="AO132" s="203" t="str">
        <f t="shared" si="48"/>
        <v/>
      </c>
    </row>
    <row r="133" spans="1:41" hidden="1" x14ac:dyDescent="0.25">
      <c r="A133" s="95" t="str">
        <f>Start!D$7</f>
        <v>Anyland</v>
      </c>
      <c r="B133" s="96" t="str">
        <f>VLOOKUP(A133,list!B:C,2,FALSE)</f>
        <v>ANY</v>
      </c>
      <c r="C133" s="90" t="str">
        <f>IF(Start!$C$25="","",Start!$C$25)</f>
        <v/>
      </c>
      <c r="D133" s="296">
        <f t="shared" si="39"/>
        <v>44440</v>
      </c>
      <c r="E133" s="92" t="str">
        <f>IFERROR(VLOOKUP(C133,Start!C$15:D$31,2,FALSE),"No")</f>
        <v>No</v>
      </c>
      <c r="F133" s="92">
        <f t="shared" si="40"/>
        <v>0</v>
      </c>
      <c r="G133" s="91"/>
      <c r="H133" s="97"/>
      <c r="I133" s="97"/>
      <c r="J133" s="98">
        <f t="shared" ref="J133:J196" si="50">SUM(G133:I133)</f>
        <v>0</v>
      </c>
      <c r="K133" s="97"/>
      <c r="L133" s="175" t="str">
        <f t="shared" ref="L133:L196" si="51">IFERROR(K133/J133, "")</f>
        <v/>
      </c>
      <c r="M133" s="98">
        <f t="shared" ref="M133:M196" si="52">SUM(J133,K133)</f>
        <v>0</v>
      </c>
      <c r="N133" s="97"/>
      <c r="O133" s="122"/>
      <c r="P133" s="97"/>
      <c r="Q133" s="122"/>
      <c r="R133" s="98">
        <f>SUMIFS('Shipments data'!L:L,'Shipments data'!F:F,'Supply planning data'!C133,'Shipments data'!A:A,'Supply planning data'!A133,'Shipments data'!Y:Y,'Supply planning data'!D133,'Shipments data'!O:O,"received", 'Shipments data'!N:N, "Public")</f>
        <v>0</v>
      </c>
      <c r="S133" s="98">
        <f>SUMIFS('Shipments data'!L:L,'Shipments data'!F:F,'Supply planning data'!C133,'Shipments data'!A:A,'Supply planning data'!A133,'Shipments data'!Y:Y,'Supply planning data'!D133,'Shipments data'!O:O,"ordered", 'Shipments data'!N:N, "Public")</f>
        <v>0</v>
      </c>
      <c r="T133" s="98">
        <f>IF(SUMIFS('Shipments data'!L:L,'Shipments data'!F:F,'Supply planning data'!C133,'Shipments data'!A:A,'Supply planning data'!A133,'Shipments data'!O:O,"received",'Shipments data'!Q:Q,"&lt;"&amp;'Supply planning data'!D148,'Shipments data'!AC:AC,"&lt;"&amp;'Supply planning data'!D148)-SUMIFS(M:M,D:D,"&lt;="&amp;D133,C:C,C133)+SUMIFS(N:N,D:D,"&lt;="&amp;D133,C:C,C133)+SUMIFS(P:P,D:D,"&lt;="&amp;D133,C:C,C133)&lt;0,0,SUMIFS('Shipments data'!L:L,'Shipments data'!F:F,'Supply planning data'!C133,'Shipments data'!A:A,'Supply planning data'!A133,'Shipments data'!O:O,"received",'Shipments data'!Q:Q,"&lt;"&amp;'Supply planning data'!D148,'Shipments data'!AC:AC,"&lt;"&amp;'Supply planning data'!D148)-SUMIFS(M:M,D:D,"&lt;="&amp;D133,C:C,C133)+SUMIFS(N:N,D:D,"&lt;="&amp;D133,C:C,C133)+SUMIFS(P:P,D:D,"&lt;="&amp;D133,C:C,C133))</f>
        <v>0</v>
      </c>
      <c r="U133" s="99">
        <f t="shared" si="41"/>
        <v>0</v>
      </c>
      <c r="V133" s="98">
        <f t="shared" ref="V133:V164" si="53">IF(F133-M133+N133+P133+R133-U133&lt;0,0,F133-M133+N133+P133+R133-U133)</f>
        <v>0</v>
      </c>
      <c r="W133" s="203" t="str">
        <f t="shared" si="47"/>
        <v/>
      </c>
      <c r="X133" s="98">
        <f t="shared" si="42"/>
        <v>0</v>
      </c>
      <c r="Y133" s="97"/>
      <c r="Z133" s="93"/>
      <c r="AA133" s="98">
        <f t="shared" ref="AA133:AA196" si="54">IFERROR(Z133*Y133,0)+Y133</f>
        <v>0</v>
      </c>
      <c r="AB133" s="233"/>
      <c r="AC133" s="98">
        <f>IF(SUMIFS('Shipments data'!L:L,'Shipments data'!F:F,'Supply planning data'!C133,'Shipments data'!A:A,'Supply planning data'!A133,'Shipments data'!O:O,"received",'Shipments data'!Q:Q,"&lt;"&amp;'Supply planning data'!D148,'Shipments data'!AC:AC,"&lt;"&amp;'Supply planning data'!D148)-SUMIFS(M:M,D:D,"&lt;="&amp;D133,C:C,C133)-SUMIFS(AA:AA,D:D,"&lt;="&amp;D133,C:C,C133)+SUMIFS(N:N,D:D,"&lt;="&amp;D133,C:C,C133)+SUMIFS(P:P,D:D,"&lt;="&amp;D133,C:C,C133)&lt;0,0,SUMIFS('Shipments data'!L:L,'Shipments data'!F:F,'Supply planning data'!C133,'Shipments data'!A:A,'Supply planning data'!A133,'Shipments data'!O:O,"received",'Shipments data'!Q:Q,"&lt;"&amp;'Supply planning data'!D148,'Shipments data'!AC:AC,"&lt;"&amp;'Supply planning data'!D148)-SUMIFS(M:M,D:D,"&lt;="&amp;D133,C:C,C133)-SUMIFS(AA:AA,D:D,"&lt;="&amp;D133,C:C,C133)+SUMIFS(N:N,D:D,"&lt;="&amp;D133,C:C,C133)+SUMIFS(P:P,D:D,"&lt;="&amp;D133,C:C,C133))</f>
        <v>0</v>
      </c>
      <c r="AD133" s="98">
        <f t="shared" si="43"/>
        <v>0</v>
      </c>
      <c r="AE133" s="98">
        <f t="shared" si="36"/>
        <v>0</v>
      </c>
      <c r="AF133" s="205" t="str">
        <f t="shared" si="46"/>
        <v/>
      </c>
      <c r="AG133" s="98">
        <f t="shared" si="44"/>
        <v>0</v>
      </c>
      <c r="AH133" s="97"/>
      <c r="AI133" s="311"/>
      <c r="AJ133" s="98">
        <f t="shared" ref="AJ133:AJ196" si="55">IFERROR(AI133*AH133,0)+AH133</f>
        <v>0</v>
      </c>
      <c r="AK133" s="233"/>
      <c r="AL133" s="98">
        <f>IF(SUMIFS('Shipments data'!L:L,'Shipments data'!F:F,'Supply planning data'!C133,'Shipments data'!A:A,'Supply planning data'!A133,'Shipments data'!O:O,"received",'Shipments data'!Q:Q,"&lt;"&amp;'Supply planning data'!D148,'Shipments data'!AC:AC,"&lt;"&amp;'Supply planning data'!D148)-SUMIFS(M:M,D:D,"&lt;="&amp;D133,C:C,C133)-SUMIFS(AJ:AJ,D:D,"&lt;="&amp;D133,C:C,C133)+SUMIFS(N:N,D:D,"&lt;="&amp;D133,C:C,C133)+SUMIFS(P:P,D:D,"&lt;="&amp;D133,C:C,C133)&lt;0,0,SUMIFS('Shipments data'!L:L,'Shipments data'!F:F,'Supply planning data'!C133,'Shipments data'!A:A,'Supply planning data'!A133,'Shipments data'!O:O,"received",'Shipments data'!Q:Q,"&lt;"&amp;'Supply planning data'!D148,'Shipments data'!AC:AC,"&lt;"&amp;'Supply planning data'!D148)-SUMIFS(M:M,D:D,"&lt;="&amp;D133,C:C,C133)-SUMIFS(AJ:AJ,D:D,"&lt;="&amp;D133,C:C,C133)+SUMIFS(N:N,D:D,"&lt;="&amp;D133,C:C,C133)+SUMIFS(P:P,D:D,"&lt;="&amp;D133,C:C,C133))</f>
        <v>0</v>
      </c>
      <c r="AM133" s="98">
        <f t="shared" si="45"/>
        <v>0</v>
      </c>
      <c r="AN133" s="98">
        <f t="shared" si="37"/>
        <v>0</v>
      </c>
      <c r="AO133" s="203" t="str">
        <f t="shared" si="48"/>
        <v/>
      </c>
    </row>
    <row r="134" spans="1:41" hidden="1" x14ac:dyDescent="0.25">
      <c r="A134" s="95" t="str">
        <f>Start!D$7</f>
        <v>Anyland</v>
      </c>
      <c r="B134" s="96" t="str">
        <f>VLOOKUP(A134,list!B:C,2,FALSE)</f>
        <v>ANY</v>
      </c>
      <c r="C134" s="90" t="str">
        <f>IF(Start!$C$26="","",Start!$C$26)</f>
        <v/>
      </c>
      <c r="D134" s="296">
        <f t="shared" si="39"/>
        <v>44440</v>
      </c>
      <c r="E134" s="92" t="str">
        <f>IFERROR(VLOOKUP(C134,Start!C$15:D$31,2,FALSE),"No")</f>
        <v>No</v>
      </c>
      <c r="F134" s="92">
        <f t="shared" si="40"/>
        <v>0</v>
      </c>
      <c r="G134" s="91"/>
      <c r="H134" s="97"/>
      <c r="I134" s="97"/>
      <c r="J134" s="98">
        <f t="shared" si="50"/>
        <v>0</v>
      </c>
      <c r="K134" s="97"/>
      <c r="L134" s="175" t="str">
        <f t="shared" si="51"/>
        <v/>
      </c>
      <c r="M134" s="98">
        <f t="shared" si="52"/>
        <v>0</v>
      </c>
      <c r="N134" s="97"/>
      <c r="O134" s="122"/>
      <c r="P134" s="97"/>
      <c r="Q134" s="122"/>
      <c r="R134" s="98">
        <f>SUMIFS('Shipments data'!L:L,'Shipments data'!F:F,'Supply planning data'!C134,'Shipments data'!A:A,'Supply planning data'!A134,'Shipments data'!Y:Y,'Supply planning data'!D134,'Shipments data'!O:O,"received", 'Shipments data'!N:N, "Public")</f>
        <v>0</v>
      </c>
      <c r="S134" s="98">
        <f>SUMIFS('Shipments data'!L:L,'Shipments data'!F:F,'Supply planning data'!C134,'Shipments data'!A:A,'Supply planning data'!A134,'Shipments data'!Y:Y,'Supply planning data'!D134,'Shipments data'!O:O,"ordered", 'Shipments data'!N:N, "Public")</f>
        <v>0</v>
      </c>
      <c r="T134" s="98">
        <f>IF(SUMIFS('Shipments data'!L:L,'Shipments data'!F:F,'Supply planning data'!C134,'Shipments data'!A:A,'Supply planning data'!A134,'Shipments data'!O:O,"received",'Shipments data'!Q:Q,"&lt;"&amp;'Supply planning data'!D149,'Shipments data'!AC:AC,"&lt;"&amp;'Supply planning data'!D149)-SUMIFS(M:M,D:D,"&lt;="&amp;D134,C:C,C134)+SUMIFS(N:N,D:D,"&lt;="&amp;D134,C:C,C134)+SUMIFS(P:P,D:D,"&lt;="&amp;D134,C:C,C134)&lt;0,0,SUMIFS('Shipments data'!L:L,'Shipments data'!F:F,'Supply planning data'!C134,'Shipments data'!A:A,'Supply planning data'!A134,'Shipments data'!O:O,"received",'Shipments data'!Q:Q,"&lt;"&amp;'Supply planning data'!D149,'Shipments data'!AC:AC,"&lt;"&amp;'Supply planning data'!D149)-SUMIFS(M:M,D:D,"&lt;="&amp;D134,C:C,C134)+SUMIFS(N:N,D:D,"&lt;="&amp;D134,C:C,C134)+SUMIFS(P:P,D:D,"&lt;="&amp;D134,C:C,C134))</f>
        <v>0</v>
      </c>
      <c r="U134" s="99">
        <f t="shared" si="41"/>
        <v>0</v>
      </c>
      <c r="V134" s="98">
        <f t="shared" si="53"/>
        <v>0</v>
      </c>
      <c r="W134" s="203" t="str">
        <f t="shared" si="47"/>
        <v/>
      </c>
      <c r="X134" s="98">
        <f t="shared" si="42"/>
        <v>0</v>
      </c>
      <c r="Y134" s="97"/>
      <c r="Z134" s="93"/>
      <c r="AA134" s="98">
        <f t="shared" si="54"/>
        <v>0</v>
      </c>
      <c r="AB134" s="233"/>
      <c r="AC134" s="98">
        <f>IF(SUMIFS('Shipments data'!L:L,'Shipments data'!F:F,'Supply planning data'!C134,'Shipments data'!A:A,'Supply planning data'!A134,'Shipments data'!O:O,"received",'Shipments data'!Q:Q,"&lt;"&amp;'Supply planning data'!D149,'Shipments data'!AC:AC,"&lt;"&amp;'Supply planning data'!D149)-SUMIFS(M:M,D:D,"&lt;="&amp;D134,C:C,C134)-SUMIFS(AA:AA,D:D,"&lt;="&amp;D134,C:C,C134)+SUMIFS(N:N,D:D,"&lt;="&amp;D134,C:C,C134)+SUMIFS(P:P,D:D,"&lt;="&amp;D134,C:C,C134)&lt;0,0,SUMIFS('Shipments data'!L:L,'Shipments data'!F:F,'Supply planning data'!C134,'Shipments data'!A:A,'Supply planning data'!A134,'Shipments data'!O:O,"received",'Shipments data'!Q:Q,"&lt;"&amp;'Supply planning data'!D149,'Shipments data'!AC:AC,"&lt;"&amp;'Supply planning data'!D149)-SUMIFS(M:M,D:D,"&lt;="&amp;D134,C:C,C134)-SUMIFS(AA:AA,D:D,"&lt;="&amp;D134,C:C,C134)+SUMIFS(N:N,D:D,"&lt;="&amp;D134,C:C,C134)+SUMIFS(P:P,D:D,"&lt;="&amp;D134,C:C,C134))</f>
        <v>0</v>
      </c>
      <c r="AD134" s="98">
        <f t="shared" si="43"/>
        <v>0</v>
      </c>
      <c r="AE134" s="98">
        <f t="shared" ref="AE134:AE197" si="56">IF(X134+R134+S134+AB134+N134+P134-M134-AA134-U134&lt;0,0,X134+R134+S134+AB134+N134+P134-M134-AA134-U134)</f>
        <v>0</v>
      </c>
      <c r="AF134" s="205" t="str">
        <f t="shared" si="46"/>
        <v/>
      </c>
      <c r="AG134" s="98">
        <f t="shared" si="44"/>
        <v>0</v>
      </c>
      <c r="AH134" s="97"/>
      <c r="AI134" s="311"/>
      <c r="AJ134" s="98">
        <f t="shared" si="55"/>
        <v>0</v>
      </c>
      <c r="AK134" s="233"/>
      <c r="AL134" s="98">
        <f>IF(SUMIFS('Shipments data'!L:L,'Shipments data'!F:F,'Supply planning data'!C134,'Shipments data'!A:A,'Supply planning data'!A134,'Shipments data'!O:O,"received",'Shipments data'!Q:Q,"&lt;"&amp;'Supply planning data'!D149,'Shipments data'!AC:AC,"&lt;"&amp;'Supply planning data'!D149)-SUMIFS(M:M,D:D,"&lt;="&amp;D134,C:C,C134)-SUMIFS(AJ:AJ,D:D,"&lt;="&amp;D134,C:C,C134)+SUMIFS(N:N,D:D,"&lt;="&amp;D134,C:C,C134)+SUMIFS(P:P,D:D,"&lt;="&amp;D134,C:C,C134)&lt;0,0,SUMIFS('Shipments data'!L:L,'Shipments data'!F:F,'Supply planning data'!C134,'Shipments data'!A:A,'Supply planning data'!A134,'Shipments data'!O:O,"received",'Shipments data'!Q:Q,"&lt;"&amp;'Supply planning data'!D149,'Shipments data'!AC:AC,"&lt;"&amp;'Supply planning data'!D149)-SUMIFS(M:M,D:D,"&lt;="&amp;D134,C:C,C134)-SUMIFS(AJ:AJ,D:D,"&lt;="&amp;D134,C:C,C134)+SUMIFS(N:N,D:D,"&lt;="&amp;D134,C:C,C134)+SUMIFS(P:P,D:D,"&lt;="&amp;D134,C:C,C134))</f>
        <v>0</v>
      </c>
      <c r="AM134" s="98">
        <f t="shared" si="45"/>
        <v>0</v>
      </c>
      <c r="AN134" s="98">
        <f t="shared" ref="AN134:AN197" si="57">IF(AG134+$R134+$S134+AK134+$N134+$P134-$M134-AJ134-$AM134&lt;0,0,AG134+$R134+$S134+AK134+$N134+$P134-$M134-AJ134-$AM134)</f>
        <v>0</v>
      </c>
      <c r="AO134" s="203" t="str">
        <f t="shared" si="48"/>
        <v/>
      </c>
    </row>
    <row r="135" spans="1:41" hidden="1" x14ac:dyDescent="0.25">
      <c r="A135" s="95" t="str">
        <f>Start!D$7</f>
        <v>Anyland</v>
      </c>
      <c r="B135" s="96" t="str">
        <f>VLOOKUP(A135,list!B:C,2,FALSE)</f>
        <v>ANY</v>
      </c>
      <c r="C135" s="90" t="str">
        <f>IF(Start!$C$27="","",Start!$C$27)</f>
        <v/>
      </c>
      <c r="D135" s="296">
        <f t="shared" si="39"/>
        <v>44440</v>
      </c>
      <c r="E135" s="92" t="str">
        <f>IFERROR(VLOOKUP(C135,Start!C$15:D$31,2,FALSE),"No")</f>
        <v>No</v>
      </c>
      <c r="F135" s="92">
        <f t="shared" si="40"/>
        <v>0</v>
      </c>
      <c r="G135" s="91"/>
      <c r="H135" s="97"/>
      <c r="I135" s="97"/>
      <c r="J135" s="98">
        <f t="shared" si="50"/>
        <v>0</v>
      </c>
      <c r="K135" s="97"/>
      <c r="L135" s="175" t="str">
        <f t="shared" si="51"/>
        <v/>
      </c>
      <c r="M135" s="98">
        <f t="shared" si="52"/>
        <v>0</v>
      </c>
      <c r="N135" s="97"/>
      <c r="O135" s="122"/>
      <c r="P135" s="97"/>
      <c r="Q135" s="122"/>
      <c r="R135" s="98">
        <f>SUMIFS('Shipments data'!L:L,'Shipments data'!F:F,'Supply planning data'!C135,'Shipments data'!A:A,'Supply planning data'!A135,'Shipments data'!Y:Y,'Supply planning data'!D135,'Shipments data'!O:O,"received", 'Shipments data'!N:N, "Public")</f>
        <v>0</v>
      </c>
      <c r="S135" s="98">
        <f>SUMIFS('Shipments data'!L:L,'Shipments data'!F:F,'Supply planning data'!C135,'Shipments data'!A:A,'Supply planning data'!A135,'Shipments data'!Y:Y,'Supply planning data'!D135,'Shipments data'!O:O,"ordered", 'Shipments data'!N:N, "Public")</f>
        <v>0</v>
      </c>
      <c r="T135" s="98">
        <f>IF(SUMIFS('Shipments data'!L:L,'Shipments data'!F:F,'Supply planning data'!C135,'Shipments data'!A:A,'Supply planning data'!A135,'Shipments data'!O:O,"received",'Shipments data'!Q:Q,"&lt;"&amp;'Supply planning data'!D150,'Shipments data'!AC:AC,"&lt;"&amp;'Supply planning data'!D150)-SUMIFS(M:M,D:D,"&lt;="&amp;D135,C:C,C135)+SUMIFS(N:N,D:D,"&lt;="&amp;D135,C:C,C135)+SUMIFS(P:P,D:D,"&lt;="&amp;D135,C:C,C135)&lt;0,0,SUMIFS('Shipments data'!L:L,'Shipments data'!F:F,'Supply planning data'!C135,'Shipments data'!A:A,'Supply planning data'!A135,'Shipments data'!O:O,"received",'Shipments data'!Q:Q,"&lt;"&amp;'Supply planning data'!D150,'Shipments data'!AC:AC,"&lt;"&amp;'Supply planning data'!D150)-SUMIFS(M:M,D:D,"&lt;="&amp;D135,C:C,C135)+SUMIFS(N:N,D:D,"&lt;="&amp;D135,C:C,C135)+SUMIFS(P:P,D:D,"&lt;="&amp;D135,C:C,C135))</f>
        <v>0</v>
      </c>
      <c r="U135" s="99">
        <f t="shared" si="41"/>
        <v>0</v>
      </c>
      <c r="V135" s="98">
        <f t="shared" si="53"/>
        <v>0</v>
      </c>
      <c r="W135" s="203" t="str">
        <f t="shared" si="47"/>
        <v/>
      </c>
      <c r="X135" s="98">
        <f t="shared" si="42"/>
        <v>0</v>
      </c>
      <c r="Y135" s="97"/>
      <c r="Z135" s="93"/>
      <c r="AA135" s="98">
        <f t="shared" si="54"/>
        <v>0</v>
      </c>
      <c r="AB135" s="233"/>
      <c r="AC135" s="98">
        <f>IF(SUMIFS('Shipments data'!L:L,'Shipments data'!F:F,'Supply planning data'!C135,'Shipments data'!A:A,'Supply planning data'!A135,'Shipments data'!O:O,"received",'Shipments data'!Q:Q,"&lt;"&amp;'Supply planning data'!D150,'Shipments data'!AC:AC,"&lt;"&amp;'Supply planning data'!D150)-SUMIFS(M:M,D:D,"&lt;="&amp;D135,C:C,C135)-SUMIFS(AA:AA,D:D,"&lt;="&amp;D135,C:C,C135)+SUMIFS(N:N,D:D,"&lt;="&amp;D135,C:C,C135)+SUMIFS(P:P,D:D,"&lt;="&amp;D135,C:C,C135)&lt;0,0,SUMIFS('Shipments data'!L:L,'Shipments data'!F:F,'Supply planning data'!C135,'Shipments data'!A:A,'Supply planning data'!A135,'Shipments data'!O:O,"received",'Shipments data'!Q:Q,"&lt;"&amp;'Supply planning data'!D150,'Shipments data'!AC:AC,"&lt;"&amp;'Supply planning data'!D150)-SUMIFS(M:M,D:D,"&lt;="&amp;D135,C:C,C135)-SUMIFS(AA:AA,D:D,"&lt;="&amp;D135,C:C,C135)+SUMIFS(N:N,D:D,"&lt;="&amp;D135,C:C,C135)+SUMIFS(P:P,D:D,"&lt;="&amp;D135,C:C,C135))</f>
        <v>0</v>
      </c>
      <c r="AD135" s="98">
        <f t="shared" si="43"/>
        <v>0</v>
      </c>
      <c r="AE135" s="98">
        <f t="shared" si="56"/>
        <v>0</v>
      </c>
      <c r="AF135" s="205" t="str">
        <f t="shared" si="46"/>
        <v/>
      </c>
      <c r="AG135" s="98">
        <f t="shared" si="44"/>
        <v>0</v>
      </c>
      <c r="AH135" s="97"/>
      <c r="AI135" s="311"/>
      <c r="AJ135" s="98">
        <f t="shared" si="55"/>
        <v>0</v>
      </c>
      <c r="AK135" s="233"/>
      <c r="AL135" s="98">
        <f>IF(SUMIFS('Shipments data'!L:L,'Shipments data'!F:F,'Supply planning data'!C135,'Shipments data'!A:A,'Supply planning data'!A135,'Shipments data'!O:O,"received",'Shipments data'!Q:Q,"&lt;"&amp;'Supply planning data'!D150,'Shipments data'!AC:AC,"&lt;"&amp;'Supply planning data'!D150)-SUMIFS(M:M,D:D,"&lt;="&amp;D135,C:C,C135)-SUMIFS(AJ:AJ,D:D,"&lt;="&amp;D135,C:C,C135)+SUMIFS(N:N,D:D,"&lt;="&amp;D135,C:C,C135)+SUMIFS(P:P,D:D,"&lt;="&amp;D135,C:C,C135)&lt;0,0,SUMIFS('Shipments data'!L:L,'Shipments data'!F:F,'Supply planning data'!C135,'Shipments data'!A:A,'Supply planning data'!A135,'Shipments data'!O:O,"received",'Shipments data'!Q:Q,"&lt;"&amp;'Supply planning data'!D150,'Shipments data'!AC:AC,"&lt;"&amp;'Supply planning data'!D150)-SUMIFS(M:M,D:D,"&lt;="&amp;D135,C:C,C135)-SUMIFS(AJ:AJ,D:D,"&lt;="&amp;D135,C:C,C135)+SUMIFS(N:N,D:D,"&lt;="&amp;D135,C:C,C135)+SUMIFS(P:P,D:D,"&lt;="&amp;D135,C:C,C135))</f>
        <v>0</v>
      </c>
      <c r="AM135" s="98">
        <f t="shared" si="45"/>
        <v>0</v>
      </c>
      <c r="AN135" s="98">
        <f t="shared" si="57"/>
        <v>0</v>
      </c>
      <c r="AO135" s="203" t="str">
        <f t="shared" si="48"/>
        <v/>
      </c>
    </row>
    <row r="136" spans="1:41" hidden="1" x14ac:dyDescent="0.25">
      <c r="A136" s="95" t="str">
        <f>Start!D$7</f>
        <v>Anyland</v>
      </c>
      <c r="B136" s="96" t="str">
        <f>VLOOKUP(A136,list!B:C,2,FALSE)</f>
        <v>ANY</v>
      </c>
      <c r="C136" s="90" t="str">
        <f>IF(Start!$C$28="","",Start!$C$28)</f>
        <v/>
      </c>
      <c r="D136" s="296">
        <f t="shared" si="39"/>
        <v>44440</v>
      </c>
      <c r="E136" s="92" t="str">
        <f>IFERROR(VLOOKUP(C136,Start!C$15:D$31,2,FALSE),"No")</f>
        <v>No</v>
      </c>
      <c r="F136" s="92">
        <f t="shared" si="40"/>
        <v>0</v>
      </c>
      <c r="G136" s="91"/>
      <c r="H136" s="97"/>
      <c r="I136" s="97"/>
      <c r="J136" s="98">
        <f t="shared" si="50"/>
        <v>0</v>
      </c>
      <c r="K136" s="97"/>
      <c r="L136" s="175" t="str">
        <f t="shared" si="51"/>
        <v/>
      </c>
      <c r="M136" s="98">
        <f t="shared" si="52"/>
        <v>0</v>
      </c>
      <c r="N136" s="97"/>
      <c r="O136" s="122"/>
      <c r="P136" s="97"/>
      <c r="Q136" s="122"/>
      <c r="R136" s="98">
        <f>SUMIFS('Shipments data'!L:L,'Shipments data'!F:F,'Supply planning data'!C136,'Shipments data'!A:A,'Supply planning data'!A136,'Shipments data'!Y:Y,'Supply planning data'!D136,'Shipments data'!O:O,"received", 'Shipments data'!N:N, "Public")</f>
        <v>0</v>
      </c>
      <c r="S136" s="98">
        <f>SUMIFS('Shipments data'!L:L,'Shipments data'!F:F,'Supply planning data'!C136,'Shipments data'!A:A,'Supply planning data'!A136,'Shipments data'!Y:Y,'Supply planning data'!D136,'Shipments data'!O:O,"ordered", 'Shipments data'!N:N, "Public")</f>
        <v>0</v>
      </c>
      <c r="T136" s="98">
        <f>IF(SUMIFS('Shipments data'!L:L,'Shipments data'!F:F,'Supply planning data'!C136,'Shipments data'!A:A,'Supply planning data'!A136,'Shipments data'!O:O,"received",'Shipments data'!Q:Q,"&lt;"&amp;'Supply planning data'!D151,'Shipments data'!AC:AC,"&lt;"&amp;'Supply planning data'!D151)-SUMIFS(M:M,D:D,"&lt;="&amp;D136,C:C,C136)+SUMIFS(N:N,D:D,"&lt;="&amp;D136,C:C,C136)+SUMIFS(P:P,D:D,"&lt;="&amp;D136,C:C,C136)&lt;0,0,SUMIFS('Shipments data'!L:L,'Shipments data'!F:F,'Supply planning data'!C136,'Shipments data'!A:A,'Supply planning data'!A136,'Shipments data'!O:O,"received",'Shipments data'!Q:Q,"&lt;"&amp;'Supply planning data'!D151,'Shipments data'!AC:AC,"&lt;"&amp;'Supply planning data'!D151)-SUMIFS(M:M,D:D,"&lt;="&amp;D136,C:C,C136)+SUMIFS(N:N,D:D,"&lt;="&amp;D136,C:C,C136)+SUMIFS(P:P,D:D,"&lt;="&amp;D136,C:C,C136))</f>
        <v>0</v>
      </c>
      <c r="U136" s="99">
        <f t="shared" si="41"/>
        <v>0</v>
      </c>
      <c r="V136" s="98">
        <f t="shared" si="53"/>
        <v>0</v>
      </c>
      <c r="W136" s="203" t="str">
        <f t="shared" si="47"/>
        <v/>
      </c>
      <c r="X136" s="98">
        <f t="shared" si="42"/>
        <v>0</v>
      </c>
      <c r="Y136" s="97"/>
      <c r="Z136" s="93"/>
      <c r="AA136" s="98">
        <f t="shared" si="54"/>
        <v>0</v>
      </c>
      <c r="AB136" s="233"/>
      <c r="AC136" s="98">
        <f>IF(SUMIFS('Shipments data'!L:L,'Shipments data'!F:F,'Supply planning data'!C136,'Shipments data'!A:A,'Supply planning data'!A136,'Shipments data'!O:O,"received",'Shipments data'!Q:Q,"&lt;"&amp;'Supply planning data'!D151,'Shipments data'!AC:AC,"&lt;"&amp;'Supply planning data'!D151)-SUMIFS(M:M,D:D,"&lt;="&amp;D136,C:C,C136)-SUMIFS(AA:AA,D:D,"&lt;="&amp;D136,C:C,C136)+SUMIFS(N:N,D:D,"&lt;="&amp;D136,C:C,C136)+SUMIFS(P:P,D:D,"&lt;="&amp;D136,C:C,C136)&lt;0,0,SUMIFS('Shipments data'!L:L,'Shipments data'!F:F,'Supply planning data'!C136,'Shipments data'!A:A,'Supply planning data'!A136,'Shipments data'!O:O,"received",'Shipments data'!Q:Q,"&lt;"&amp;'Supply planning data'!D151,'Shipments data'!AC:AC,"&lt;"&amp;'Supply planning data'!D151)-SUMIFS(M:M,D:D,"&lt;="&amp;D136,C:C,C136)-SUMIFS(AA:AA,D:D,"&lt;="&amp;D136,C:C,C136)+SUMIFS(N:N,D:D,"&lt;="&amp;D136,C:C,C136)+SUMIFS(P:P,D:D,"&lt;="&amp;D136,C:C,C136))</f>
        <v>0</v>
      </c>
      <c r="AD136" s="98">
        <f t="shared" si="43"/>
        <v>0</v>
      </c>
      <c r="AE136" s="98">
        <f t="shared" si="56"/>
        <v>0</v>
      </c>
      <c r="AF136" s="205" t="str">
        <f t="shared" si="46"/>
        <v/>
      </c>
      <c r="AG136" s="98">
        <f t="shared" si="44"/>
        <v>0</v>
      </c>
      <c r="AH136" s="97"/>
      <c r="AI136" s="311"/>
      <c r="AJ136" s="98">
        <f t="shared" si="55"/>
        <v>0</v>
      </c>
      <c r="AK136" s="233"/>
      <c r="AL136" s="98">
        <f>IF(SUMIFS('Shipments data'!L:L,'Shipments data'!F:F,'Supply planning data'!C136,'Shipments data'!A:A,'Supply planning data'!A136,'Shipments data'!O:O,"received",'Shipments data'!Q:Q,"&lt;"&amp;'Supply planning data'!D151,'Shipments data'!AC:AC,"&lt;"&amp;'Supply planning data'!D151)-SUMIFS(M:M,D:D,"&lt;="&amp;D136,C:C,C136)-SUMIFS(AJ:AJ,D:D,"&lt;="&amp;D136,C:C,C136)+SUMIFS(N:N,D:D,"&lt;="&amp;D136,C:C,C136)+SUMIFS(P:P,D:D,"&lt;="&amp;D136,C:C,C136)&lt;0,0,SUMIFS('Shipments data'!L:L,'Shipments data'!F:F,'Supply planning data'!C136,'Shipments data'!A:A,'Supply planning data'!A136,'Shipments data'!O:O,"received",'Shipments data'!Q:Q,"&lt;"&amp;'Supply planning data'!D151,'Shipments data'!AC:AC,"&lt;"&amp;'Supply planning data'!D151)-SUMIFS(M:M,D:D,"&lt;="&amp;D136,C:C,C136)-SUMIFS(AJ:AJ,D:D,"&lt;="&amp;D136,C:C,C136)+SUMIFS(N:N,D:D,"&lt;="&amp;D136,C:C,C136)+SUMIFS(P:P,D:D,"&lt;="&amp;D136,C:C,C136))</f>
        <v>0</v>
      </c>
      <c r="AM136" s="98">
        <f t="shared" si="45"/>
        <v>0</v>
      </c>
      <c r="AN136" s="98">
        <f t="shared" si="57"/>
        <v>0</v>
      </c>
      <c r="AO136" s="203" t="str">
        <f t="shared" si="48"/>
        <v/>
      </c>
    </row>
    <row r="137" spans="1:41" hidden="1" x14ac:dyDescent="0.25">
      <c r="A137" s="95" t="str">
        <f>Start!D$7</f>
        <v>Anyland</v>
      </c>
      <c r="B137" s="96" t="str">
        <f>VLOOKUP(A137,list!B:C,2,FALSE)</f>
        <v>ANY</v>
      </c>
      <c r="C137" s="90" t="str">
        <f>IF(Start!$C$29="","",Start!$C$29)</f>
        <v/>
      </c>
      <c r="D137" s="296">
        <f t="shared" si="39"/>
        <v>44440</v>
      </c>
      <c r="E137" s="92" t="str">
        <f>IFERROR(VLOOKUP(C137,Start!C$15:D$31,2,FALSE),"No")</f>
        <v>No</v>
      </c>
      <c r="F137" s="92">
        <f t="shared" si="40"/>
        <v>0</v>
      </c>
      <c r="G137" s="91"/>
      <c r="H137" s="97"/>
      <c r="I137" s="97"/>
      <c r="J137" s="98">
        <f t="shared" si="50"/>
        <v>0</v>
      </c>
      <c r="K137" s="97"/>
      <c r="L137" s="175" t="str">
        <f t="shared" si="51"/>
        <v/>
      </c>
      <c r="M137" s="98">
        <f t="shared" si="52"/>
        <v>0</v>
      </c>
      <c r="N137" s="97"/>
      <c r="O137" s="122"/>
      <c r="P137" s="97"/>
      <c r="Q137" s="122"/>
      <c r="R137" s="98">
        <f>SUMIFS('Shipments data'!L:L,'Shipments data'!F:F,'Supply planning data'!C137,'Shipments data'!A:A,'Supply planning data'!A137,'Shipments data'!Y:Y,'Supply planning data'!D137,'Shipments data'!O:O,"received", 'Shipments data'!N:N, "Public")</f>
        <v>0</v>
      </c>
      <c r="S137" s="98">
        <f>SUMIFS('Shipments data'!L:L,'Shipments data'!F:F,'Supply planning data'!C137,'Shipments data'!A:A,'Supply planning data'!A137,'Shipments data'!Y:Y,'Supply planning data'!D137,'Shipments data'!O:O,"ordered", 'Shipments data'!N:N, "Public")</f>
        <v>0</v>
      </c>
      <c r="T137" s="98">
        <f>IF(SUMIFS('Shipments data'!L:L,'Shipments data'!F:F,'Supply planning data'!C137,'Shipments data'!A:A,'Supply planning data'!A137,'Shipments data'!O:O,"received",'Shipments data'!Q:Q,"&lt;"&amp;'Supply planning data'!D152,'Shipments data'!AC:AC,"&lt;"&amp;'Supply planning data'!D152)-SUMIFS(M:M,D:D,"&lt;="&amp;D137,C:C,C137)+SUMIFS(N:N,D:D,"&lt;="&amp;D137,C:C,C137)+SUMIFS(P:P,D:D,"&lt;="&amp;D137,C:C,C137)&lt;0,0,SUMIFS('Shipments data'!L:L,'Shipments data'!F:F,'Supply planning data'!C137,'Shipments data'!A:A,'Supply planning data'!A137,'Shipments data'!O:O,"received",'Shipments data'!Q:Q,"&lt;"&amp;'Supply planning data'!D152,'Shipments data'!AC:AC,"&lt;"&amp;'Supply planning data'!D152)-SUMIFS(M:M,D:D,"&lt;="&amp;D137,C:C,C137)+SUMIFS(N:N,D:D,"&lt;="&amp;D137,C:C,C137)+SUMIFS(P:P,D:D,"&lt;="&amp;D137,C:C,C137))</f>
        <v>0</v>
      </c>
      <c r="U137" s="99">
        <f t="shared" si="41"/>
        <v>0</v>
      </c>
      <c r="V137" s="98">
        <f t="shared" si="53"/>
        <v>0</v>
      </c>
      <c r="W137" s="203" t="str">
        <f t="shared" si="47"/>
        <v/>
      </c>
      <c r="X137" s="98">
        <f t="shared" si="42"/>
        <v>0</v>
      </c>
      <c r="Y137" s="97"/>
      <c r="Z137" s="93"/>
      <c r="AA137" s="98">
        <f t="shared" si="54"/>
        <v>0</v>
      </c>
      <c r="AB137" s="233"/>
      <c r="AC137" s="98">
        <f>IF(SUMIFS('Shipments data'!L:L,'Shipments data'!F:F,'Supply planning data'!C137,'Shipments data'!A:A,'Supply planning data'!A137,'Shipments data'!O:O,"received",'Shipments data'!Q:Q,"&lt;"&amp;'Supply planning data'!D152,'Shipments data'!AC:AC,"&lt;"&amp;'Supply planning data'!D152)-SUMIFS(M:M,D:D,"&lt;="&amp;D137,C:C,C137)-SUMIFS(AA:AA,D:D,"&lt;="&amp;D137,C:C,C137)+SUMIFS(N:N,D:D,"&lt;="&amp;D137,C:C,C137)+SUMIFS(P:P,D:D,"&lt;="&amp;D137,C:C,C137)&lt;0,0,SUMIFS('Shipments data'!L:L,'Shipments data'!F:F,'Supply planning data'!C137,'Shipments data'!A:A,'Supply planning data'!A137,'Shipments data'!O:O,"received",'Shipments data'!Q:Q,"&lt;"&amp;'Supply planning data'!D152,'Shipments data'!AC:AC,"&lt;"&amp;'Supply planning data'!D152)-SUMIFS(M:M,D:D,"&lt;="&amp;D137,C:C,C137)-SUMIFS(AA:AA,D:D,"&lt;="&amp;D137,C:C,C137)+SUMIFS(N:N,D:D,"&lt;="&amp;D137,C:C,C137)+SUMIFS(P:P,D:D,"&lt;="&amp;D137,C:C,C137))</f>
        <v>0</v>
      </c>
      <c r="AD137" s="98">
        <f t="shared" si="43"/>
        <v>0</v>
      </c>
      <c r="AE137" s="98">
        <f t="shared" si="56"/>
        <v>0</v>
      </c>
      <c r="AF137" s="205" t="str">
        <f t="shared" si="46"/>
        <v/>
      </c>
      <c r="AG137" s="98">
        <f t="shared" si="44"/>
        <v>0</v>
      </c>
      <c r="AH137" s="97"/>
      <c r="AI137" s="311"/>
      <c r="AJ137" s="98">
        <f t="shared" si="55"/>
        <v>0</v>
      </c>
      <c r="AK137" s="233"/>
      <c r="AL137" s="98">
        <f>IF(SUMIFS('Shipments data'!L:L,'Shipments data'!F:F,'Supply planning data'!C137,'Shipments data'!A:A,'Supply planning data'!A137,'Shipments data'!O:O,"received",'Shipments data'!Q:Q,"&lt;"&amp;'Supply planning data'!D152,'Shipments data'!AC:AC,"&lt;"&amp;'Supply planning data'!D152)-SUMIFS(M:M,D:D,"&lt;="&amp;D137,C:C,C137)-SUMIFS(AJ:AJ,D:D,"&lt;="&amp;D137,C:C,C137)+SUMIFS(N:N,D:D,"&lt;="&amp;D137,C:C,C137)+SUMIFS(P:P,D:D,"&lt;="&amp;D137,C:C,C137)&lt;0,0,SUMIFS('Shipments data'!L:L,'Shipments data'!F:F,'Supply planning data'!C137,'Shipments data'!A:A,'Supply planning data'!A137,'Shipments data'!O:O,"received",'Shipments data'!Q:Q,"&lt;"&amp;'Supply planning data'!D152,'Shipments data'!AC:AC,"&lt;"&amp;'Supply planning data'!D152)-SUMIFS(M:M,D:D,"&lt;="&amp;D137,C:C,C137)-SUMIFS(AJ:AJ,D:D,"&lt;="&amp;D137,C:C,C137)+SUMIFS(N:N,D:D,"&lt;="&amp;D137,C:C,C137)+SUMIFS(P:P,D:D,"&lt;="&amp;D137,C:C,C137))</f>
        <v>0</v>
      </c>
      <c r="AM137" s="98">
        <f t="shared" si="45"/>
        <v>0</v>
      </c>
      <c r="AN137" s="98">
        <f t="shared" si="57"/>
        <v>0</v>
      </c>
      <c r="AO137" s="203" t="str">
        <f t="shared" si="48"/>
        <v/>
      </c>
    </row>
    <row r="138" spans="1:41" hidden="1" x14ac:dyDescent="0.25">
      <c r="A138" s="95" t="str">
        <f>Start!D$7</f>
        <v>Anyland</v>
      </c>
      <c r="B138" s="96" t="str">
        <f>VLOOKUP(A138,list!B:C,2,FALSE)</f>
        <v>ANY</v>
      </c>
      <c r="C138" s="90" t="str">
        <f>IF(Start!$C$30="","",Start!$C$30)</f>
        <v/>
      </c>
      <c r="D138" s="296">
        <f t="shared" si="39"/>
        <v>44440</v>
      </c>
      <c r="E138" s="92" t="str">
        <f>IFERROR(VLOOKUP(C138,Start!C$15:D$31,2,FALSE),"No")</f>
        <v>No</v>
      </c>
      <c r="F138" s="92">
        <f t="shared" si="40"/>
        <v>0</v>
      </c>
      <c r="G138" s="91"/>
      <c r="H138" s="97"/>
      <c r="I138" s="97"/>
      <c r="J138" s="98">
        <f t="shared" si="50"/>
        <v>0</v>
      </c>
      <c r="K138" s="97"/>
      <c r="L138" s="175" t="str">
        <f t="shared" si="51"/>
        <v/>
      </c>
      <c r="M138" s="98">
        <f t="shared" si="52"/>
        <v>0</v>
      </c>
      <c r="N138" s="97"/>
      <c r="O138" s="122"/>
      <c r="P138" s="97"/>
      <c r="Q138" s="122"/>
      <c r="R138" s="98">
        <f>SUMIFS('Shipments data'!L:L,'Shipments data'!F:F,'Supply planning data'!C138,'Shipments data'!A:A,'Supply planning data'!A138,'Shipments data'!Y:Y,'Supply planning data'!D138,'Shipments data'!O:O,"received", 'Shipments data'!N:N, "Public")</f>
        <v>0</v>
      </c>
      <c r="S138" s="98">
        <f>SUMIFS('Shipments data'!L:L,'Shipments data'!F:F,'Supply planning data'!C138,'Shipments data'!A:A,'Supply planning data'!A138,'Shipments data'!Y:Y,'Supply planning data'!D138,'Shipments data'!O:O,"ordered", 'Shipments data'!N:N, "Public")</f>
        <v>0</v>
      </c>
      <c r="T138" s="98">
        <f>IF(SUMIFS('Shipments data'!L:L,'Shipments data'!F:F,'Supply planning data'!C138,'Shipments data'!A:A,'Supply planning data'!A138,'Shipments data'!O:O,"received",'Shipments data'!Q:Q,"&lt;"&amp;'Supply planning data'!D153,'Shipments data'!AC:AC,"&lt;"&amp;'Supply planning data'!D153)-SUMIFS(M:M,D:D,"&lt;="&amp;D138,C:C,C138)+SUMIFS(N:N,D:D,"&lt;="&amp;D138,C:C,C138)+SUMIFS(P:P,D:D,"&lt;="&amp;D138,C:C,C138)&lt;0,0,SUMIFS('Shipments data'!L:L,'Shipments data'!F:F,'Supply planning data'!C138,'Shipments data'!A:A,'Supply planning data'!A138,'Shipments data'!O:O,"received",'Shipments data'!Q:Q,"&lt;"&amp;'Supply planning data'!D153,'Shipments data'!AC:AC,"&lt;"&amp;'Supply planning data'!D153)-SUMIFS(M:M,D:D,"&lt;="&amp;D138,C:C,C138)+SUMIFS(N:N,D:D,"&lt;="&amp;D138,C:C,C138)+SUMIFS(P:P,D:D,"&lt;="&amp;D138,C:C,C138))</f>
        <v>0</v>
      </c>
      <c r="U138" s="99">
        <f t="shared" si="41"/>
        <v>0</v>
      </c>
      <c r="V138" s="98">
        <f t="shared" si="53"/>
        <v>0</v>
      </c>
      <c r="W138" s="203" t="str">
        <f t="shared" si="47"/>
        <v/>
      </c>
      <c r="X138" s="98">
        <f t="shared" si="42"/>
        <v>0</v>
      </c>
      <c r="Y138" s="97"/>
      <c r="Z138" s="93"/>
      <c r="AA138" s="98">
        <f t="shared" si="54"/>
        <v>0</v>
      </c>
      <c r="AB138" s="233"/>
      <c r="AC138" s="98">
        <f>IF(SUMIFS('Shipments data'!L:L,'Shipments data'!F:F,'Supply planning data'!C138,'Shipments data'!A:A,'Supply planning data'!A138,'Shipments data'!O:O,"received",'Shipments data'!Q:Q,"&lt;"&amp;'Supply planning data'!D153,'Shipments data'!AC:AC,"&lt;"&amp;'Supply planning data'!D153)-SUMIFS(M:M,D:D,"&lt;="&amp;D138,C:C,C138)-SUMIFS(AA:AA,D:D,"&lt;="&amp;D138,C:C,C138)+SUMIFS(N:N,D:D,"&lt;="&amp;D138,C:C,C138)+SUMIFS(P:P,D:D,"&lt;="&amp;D138,C:C,C138)&lt;0,0,SUMIFS('Shipments data'!L:L,'Shipments data'!F:F,'Supply planning data'!C138,'Shipments data'!A:A,'Supply planning data'!A138,'Shipments data'!O:O,"received",'Shipments data'!Q:Q,"&lt;"&amp;'Supply planning data'!D153,'Shipments data'!AC:AC,"&lt;"&amp;'Supply planning data'!D153)-SUMIFS(M:M,D:D,"&lt;="&amp;D138,C:C,C138)-SUMIFS(AA:AA,D:D,"&lt;="&amp;D138,C:C,C138)+SUMIFS(N:N,D:D,"&lt;="&amp;D138,C:C,C138)+SUMIFS(P:P,D:D,"&lt;="&amp;D138,C:C,C138))</f>
        <v>0</v>
      </c>
      <c r="AD138" s="98">
        <f t="shared" si="43"/>
        <v>0</v>
      </c>
      <c r="AE138" s="98">
        <f t="shared" si="56"/>
        <v>0</v>
      </c>
      <c r="AF138" s="205" t="str">
        <f t="shared" si="46"/>
        <v/>
      </c>
      <c r="AG138" s="98">
        <f t="shared" si="44"/>
        <v>0</v>
      </c>
      <c r="AH138" s="97"/>
      <c r="AI138" s="311"/>
      <c r="AJ138" s="98">
        <f t="shared" si="55"/>
        <v>0</v>
      </c>
      <c r="AK138" s="233"/>
      <c r="AL138" s="98">
        <f>IF(SUMIFS('Shipments data'!L:L,'Shipments data'!F:F,'Supply planning data'!C138,'Shipments data'!A:A,'Supply planning data'!A138,'Shipments data'!O:O,"received",'Shipments data'!Q:Q,"&lt;"&amp;'Supply planning data'!D153,'Shipments data'!AC:AC,"&lt;"&amp;'Supply planning data'!D153)-SUMIFS(M:M,D:D,"&lt;="&amp;D138,C:C,C138)-SUMIFS(AJ:AJ,D:D,"&lt;="&amp;D138,C:C,C138)+SUMIFS(N:N,D:D,"&lt;="&amp;D138,C:C,C138)+SUMIFS(P:P,D:D,"&lt;="&amp;D138,C:C,C138)&lt;0,0,SUMIFS('Shipments data'!L:L,'Shipments data'!F:F,'Supply planning data'!C138,'Shipments data'!A:A,'Supply planning data'!A138,'Shipments data'!O:O,"received",'Shipments data'!Q:Q,"&lt;"&amp;'Supply planning data'!D153,'Shipments data'!AC:AC,"&lt;"&amp;'Supply planning data'!D153)-SUMIFS(M:M,D:D,"&lt;="&amp;D138,C:C,C138)-SUMIFS(AJ:AJ,D:D,"&lt;="&amp;D138,C:C,C138)+SUMIFS(N:N,D:D,"&lt;="&amp;D138,C:C,C138)+SUMIFS(P:P,D:D,"&lt;="&amp;D138,C:C,C138))</f>
        <v>0</v>
      </c>
      <c r="AM138" s="98">
        <f t="shared" si="45"/>
        <v>0</v>
      </c>
      <c r="AN138" s="98">
        <f t="shared" si="57"/>
        <v>0</v>
      </c>
      <c r="AO138" s="203" t="str">
        <f t="shared" si="48"/>
        <v/>
      </c>
    </row>
    <row r="139" spans="1:41" hidden="1" x14ac:dyDescent="0.25">
      <c r="A139" s="95" t="str">
        <f>Start!D$7</f>
        <v>Anyland</v>
      </c>
      <c r="B139" s="100" t="str">
        <f>VLOOKUP(A139,list!B:C,2,FALSE)</f>
        <v>ANY</v>
      </c>
      <c r="C139" s="90" t="str">
        <f>IF(Start!$C$31="","",Start!$C$31)</f>
        <v/>
      </c>
      <c r="D139" s="296">
        <f t="shared" si="39"/>
        <v>44440</v>
      </c>
      <c r="E139" s="92" t="str">
        <f>IFERROR(VLOOKUP(C139,Start!C$15:D$31,2,FALSE),"No")</f>
        <v>No</v>
      </c>
      <c r="F139" s="92">
        <f t="shared" si="40"/>
        <v>0</v>
      </c>
      <c r="G139" s="91"/>
      <c r="H139" s="97"/>
      <c r="I139" s="97"/>
      <c r="J139" s="98">
        <f t="shared" si="50"/>
        <v>0</v>
      </c>
      <c r="K139" s="97"/>
      <c r="L139" s="175" t="str">
        <f t="shared" si="51"/>
        <v/>
      </c>
      <c r="M139" s="98">
        <f t="shared" si="52"/>
        <v>0</v>
      </c>
      <c r="N139" s="97"/>
      <c r="O139" s="122"/>
      <c r="P139" s="97"/>
      <c r="Q139" s="122"/>
      <c r="R139" s="98">
        <f>SUMIFS('Shipments data'!L:L,'Shipments data'!F:F,'Supply planning data'!C139,'Shipments data'!A:A,'Supply planning data'!A139,'Shipments data'!Y:Y,'Supply planning data'!D139,'Shipments data'!O:O,"received", 'Shipments data'!N:N, "Public")</f>
        <v>0</v>
      </c>
      <c r="S139" s="98">
        <f>SUMIFS('Shipments data'!L:L,'Shipments data'!F:F,'Supply planning data'!C139,'Shipments data'!A:A,'Supply planning data'!A139,'Shipments data'!Y:Y,'Supply planning data'!D139,'Shipments data'!O:O,"ordered", 'Shipments data'!N:N, "Public")</f>
        <v>0</v>
      </c>
      <c r="T139" s="98">
        <f>IF(SUMIFS('Shipments data'!L:L,'Shipments data'!F:F,'Supply planning data'!C139,'Shipments data'!A:A,'Supply planning data'!A139,'Shipments data'!O:O,"received",'Shipments data'!Q:Q,"&lt;"&amp;'Supply planning data'!D154,'Shipments data'!AC:AC,"&lt;"&amp;'Supply planning data'!D154)-SUMIFS(M:M,D:D,"&lt;="&amp;D139,C:C,C139)+SUMIFS(N:N,D:D,"&lt;="&amp;D139,C:C,C139)+SUMIFS(P:P,D:D,"&lt;="&amp;D139,C:C,C139)&lt;0,0,SUMIFS('Shipments data'!L:L,'Shipments data'!F:F,'Supply planning data'!C139,'Shipments data'!A:A,'Supply planning data'!A139,'Shipments data'!O:O,"received",'Shipments data'!Q:Q,"&lt;"&amp;'Supply planning data'!D154,'Shipments data'!AC:AC,"&lt;"&amp;'Supply planning data'!D154)-SUMIFS(M:M,D:D,"&lt;="&amp;D139,C:C,C139)+SUMIFS(N:N,D:D,"&lt;="&amp;D139,C:C,C139)+SUMIFS(P:P,D:D,"&lt;="&amp;D139,C:C,C139))</f>
        <v>0</v>
      </c>
      <c r="U139" s="99">
        <f t="shared" si="41"/>
        <v>0</v>
      </c>
      <c r="V139" s="98">
        <f t="shared" si="53"/>
        <v>0</v>
      </c>
      <c r="W139" s="203" t="str">
        <f t="shared" si="47"/>
        <v/>
      </c>
      <c r="X139" s="98">
        <f t="shared" si="42"/>
        <v>0</v>
      </c>
      <c r="Y139" s="97"/>
      <c r="Z139" s="93"/>
      <c r="AA139" s="98">
        <f t="shared" si="54"/>
        <v>0</v>
      </c>
      <c r="AB139" s="233"/>
      <c r="AC139" s="98">
        <f>IF(SUMIFS('Shipments data'!L:L,'Shipments data'!F:F,'Supply planning data'!C139,'Shipments data'!A:A,'Supply planning data'!A139,'Shipments data'!O:O,"received",'Shipments data'!Q:Q,"&lt;"&amp;'Supply planning data'!D154,'Shipments data'!AC:AC,"&lt;"&amp;'Supply planning data'!D154)-SUMIFS(M:M,D:D,"&lt;="&amp;D139,C:C,C139)-SUMIFS(AA:AA,D:D,"&lt;="&amp;D139,C:C,C139)+SUMIFS(N:N,D:D,"&lt;="&amp;D139,C:C,C139)+SUMIFS(P:P,D:D,"&lt;="&amp;D139,C:C,C139)&lt;0,0,SUMIFS('Shipments data'!L:L,'Shipments data'!F:F,'Supply planning data'!C139,'Shipments data'!A:A,'Supply planning data'!A139,'Shipments data'!O:O,"received",'Shipments data'!Q:Q,"&lt;"&amp;'Supply planning data'!D154,'Shipments data'!AC:AC,"&lt;"&amp;'Supply planning data'!D154)-SUMIFS(M:M,D:D,"&lt;="&amp;D139,C:C,C139)-SUMIFS(AA:AA,D:D,"&lt;="&amp;D139,C:C,C139)+SUMIFS(N:N,D:D,"&lt;="&amp;D139,C:C,C139)+SUMIFS(P:P,D:D,"&lt;="&amp;D139,C:C,C139))</f>
        <v>0</v>
      </c>
      <c r="AD139" s="98">
        <f t="shared" si="43"/>
        <v>0</v>
      </c>
      <c r="AE139" s="98">
        <f t="shared" si="56"/>
        <v>0</v>
      </c>
      <c r="AF139" s="205" t="str">
        <f t="shared" si="46"/>
        <v/>
      </c>
      <c r="AG139" s="98">
        <f t="shared" si="44"/>
        <v>0</v>
      </c>
      <c r="AH139" s="97"/>
      <c r="AI139" s="311"/>
      <c r="AJ139" s="98">
        <f t="shared" si="55"/>
        <v>0</v>
      </c>
      <c r="AK139" s="233"/>
      <c r="AL139" s="98">
        <f>IF(SUMIFS('Shipments data'!L:L,'Shipments data'!F:F,'Supply planning data'!C139,'Shipments data'!A:A,'Supply planning data'!A139,'Shipments data'!O:O,"received",'Shipments data'!Q:Q,"&lt;"&amp;'Supply planning data'!D154,'Shipments data'!AC:AC,"&lt;"&amp;'Supply planning data'!D154)-SUMIFS(M:M,D:D,"&lt;="&amp;D139,C:C,C139)-SUMIFS(AJ:AJ,D:D,"&lt;="&amp;D139,C:C,C139)+SUMIFS(N:N,D:D,"&lt;="&amp;D139,C:C,C139)+SUMIFS(P:P,D:D,"&lt;="&amp;D139,C:C,C139)&lt;0,0,SUMIFS('Shipments data'!L:L,'Shipments data'!F:F,'Supply planning data'!C139,'Shipments data'!A:A,'Supply planning data'!A139,'Shipments data'!O:O,"received",'Shipments data'!Q:Q,"&lt;"&amp;'Supply planning data'!D154,'Shipments data'!AC:AC,"&lt;"&amp;'Supply planning data'!D154)-SUMIFS(M:M,D:D,"&lt;="&amp;D139,C:C,C139)-SUMIFS(AJ:AJ,D:D,"&lt;="&amp;D139,C:C,C139)+SUMIFS(N:N,D:D,"&lt;="&amp;D139,C:C,C139)+SUMIFS(P:P,D:D,"&lt;="&amp;D139,C:C,C139))</f>
        <v>0</v>
      </c>
      <c r="AM139" s="98">
        <f t="shared" si="45"/>
        <v>0</v>
      </c>
      <c r="AN139" s="98">
        <f t="shared" si="57"/>
        <v>0</v>
      </c>
      <c r="AO139" s="203" t="str">
        <f t="shared" si="48"/>
        <v/>
      </c>
    </row>
    <row r="140" spans="1:41" x14ac:dyDescent="0.25">
      <c r="A140" s="103" t="str">
        <f>Start!D$7</f>
        <v>Anyland</v>
      </c>
      <c r="B140" s="104" t="str">
        <f>VLOOKUP(A140,list!B:C,2,FALSE)</f>
        <v>ANY</v>
      </c>
      <c r="C140" s="104" t="str">
        <f>IF(Start!$C$17="","",Start!$C$17)</f>
        <v>AstraZeneca</v>
      </c>
      <c r="D140" s="298">
        <f t="shared" si="39"/>
        <v>44470</v>
      </c>
      <c r="E140" s="105" t="str">
        <f>IFERROR(VLOOKUP(C140,Start!C$15:D$31,2,FALSE),"No")</f>
        <v>Yes</v>
      </c>
      <c r="F140" s="105">
        <f t="shared" si="40"/>
        <v>0</v>
      </c>
      <c r="G140" s="106">
        <v>59096</v>
      </c>
      <c r="H140" s="106">
        <v>56984</v>
      </c>
      <c r="I140" s="106"/>
      <c r="J140" s="105">
        <f t="shared" si="50"/>
        <v>116080</v>
      </c>
      <c r="K140" s="106"/>
      <c r="L140" s="177">
        <f t="shared" si="51"/>
        <v>0</v>
      </c>
      <c r="M140" s="105">
        <f t="shared" si="52"/>
        <v>116080</v>
      </c>
      <c r="N140" s="106"/>
      <c r="O140" s="123"/>
      <c r="P140" s="106"/>
      <c r="Q140" s="123"/>
      <c r="R140" s="105">
        <f>SUMIFS('Shipments data'!L:L,'Shipments data'!F:F,'Supply planning data'!C140,'Shipments data'!A:A,'Supply planning data'!A140,'Shipments data'!Y:Y,'Supply planning data'!D140,'Shipments data'!O:O,"received", 'Shipments data'!N:N, "Public")</f>
        <v>0</v>
      </c>
      <c r="S140" s="105">
        <f>SUMIFS('Shipments data'!L:L,'Shipments data'!F:F,'Supply planning data'!C140,'Shipments data'!A:A,'Supply planning data'!A140,'Shipments data'!Y:Y,'Supply planning data'!D140,'Shipments data'!O:O,"ordered", 'Shipments data'!N:N, "Public")</f>
        <v>0</v>
      </c>
      <c r="T140" s="105">
        <f>IF(SUMIFS('Shipments data'!L:L,'Shipments data'!F:F,'Supply planning data'!C140,'Shipments data'!A:A,'Supply planning data'!A140,'Shipments data'!O:O,"received",'Shipments data'!Q:Q,"&lt;"&amp;'Supply planning data'!D155,'Shipments data'!AC:AC,"&lt;"&amp;'Supply planning data'!D155)-SUMIFS(M:M,D:D,"&lt;="&amp;D140,C:C,C140)+SUMIFS(N:N,D:D,"&lt;="&amp;D140,C:C,C140)+SUMIFS(P:P,D:D,"&lt;="&amp;D140,C:C,C140)&lt;0,0,SUMIFS('Shipments data'!L:L,'Shipments data'!F:F,'Supply planning data'!C140,'Shipments data'!A:A,'Supply planning data'!A140,'Shipments data'!O:O,"received",'Shipments data'!Q:Q,"&lt;"&amp;'Supply planning data'!D155,'Shipments data'!AC:AC,"&lt;"&amp;'Supply planning data'!D155)-SUMIFS(M:M,D:D,"&lt;="&amp;D140,C:C,C140)+SUMIFS(N:N,D:D,"&lt;="&amp;D140,C:C,C140)+SUMIFS(P:P,D:D,"&lt;="&amp;D140,C:C,C140))</f>
        <v>0</v>
      </c>
      <c r="U140" s="108">
        <f t="shared" si="41"/>
        <v>0</v>
      </c>
      <c r="V140" s="105">
        <f t="shared" si="53"/>
        <v>0</v>
      </c>
      <c r="W140" s="206">
        <f t="shared" si="47"/>
        <v>0</v>
      </c>
      <c r="X140" s="105">
        <f t="shared" si="42"/>
        <v>906400</v>
      </c>
      <c r="Y140" s="106"/>
      <c r="Z140" s="107"/>
      <c r="AA140" s="105">
        <f t="shared" si="54"/>
        <v>0</v>
      </c>
      <c r="AB140" s="234"/>
      <c r="AC140" s="105">
        <f>IF(SUMIFS('Shipments data'!L:L,'Shipments data'!F:F,'Supply planning data'!C140,'Shipments data'!A:A,'Supply planning data'!A140,'Shipments data'!O:O,"received",'Shipments data'!Q:Q,"&lt;"&amp;'Supply planning data'!D155,'Shipments data'!AC:AC,"&lt;"&amp;'Supply planning data'!D155)-SUMIFS(M:M,D:D,"&lt;="&amp;D140,C:C,C140)-SUMIFS(AA:AA,D:D,"&lt;="&amp;D140,C:C,C140)+SUMIFS(N:N,D:D,"&lt;="&amp;D140,C:C,C140)+SUMIFS(P:P,D:D,"&lt;="&amp;D140,C:C,C140)&lt;0,0,SUMIFS('Shipments data'!L:L,'Shipments data'!F:F,'Supply planning data'!C140,'Shipments data'!A:A,'Supply planning data'!A140,'Shipments data'!O:O,"received",'Shipments data'!Q:Q,"&lt;"&amp;'Supply planning data'!D155,'Shipments data'!AC:AC,"&lt;"&amp;'Supply planning data'!D155)-SUMIFS(M:M,D:D,"&lt;="&amp;D140,C:C,C140)-SUMIFS(AA:AA,D:D,"&lt;="&amp;D140,C:C,C140)+SUMIFS(N:N,D:D,"&lt;="&amp;D140,C:C,C140)+SUMIFS(P:P,D:D,"&lt;="&amp;D140,C:C,C140))</f>
        <v>0</v>
      </c>
      <c r="AD140" s="105">
        <f t="shared" si="43"/>
        <v>0</v>
      </c>
      <c r="AE140" s="105">
        <f t="shared" si="56"/>
        <v>790320</v>
      </c>
      <c r="AF140" s="206">
        <f t="shared" si="46"/>
        <v>6.9979870486355029</v>
      </c>
      <c r="AG140" s="105">
        <f t="shared" si="44"/>
        <v>0</v>
      </c>
      <c r="AH140" s="106"/>
      <c r="AI140" s="312"/>
      <c r="AJ140" s="105">
        <f t="shared" si="55"/>
        <v>0</v>
      </c>
      <c r="AK140" s="234"/>
      <c r="AL140" s="105">
        <f>IF(SUMIFS('Shipments data'!L:L,'Shipments data'!F:F,'Supply planning data'!C140,'Shipments data'!A:A,'Supply planning data'!A140,'Shipments data'!O:O,"received",'Shipments data'!Q:Q,"&lt;"&amp;'Supply planning data'!D155,'Shipments data'!AC:AC,"&lt;"&amp;'Supply planning data'!D155)-SUMIFS(M:M,D:D,"&lt;="&amp;D140,C:C,C140)-SUMIFS(AJ:AJ,D:D,"&lt;="&amp;D140,C:C,C140)+SUMIFS(N:N,D:D,"&lt;="&amp;D140,C:C,C140)+SUMIFS(P:P,D:D,"&lt;="&amp;D140,C:C,C140)&lt;0,0,SUMIFS('Shipments data'!L:L,'Shipments data'!F:F,'Supply planning data'!C140,'Shipments data'!A:A,'Supply planning data'!A140,'Shipments data'!O:O,"received",'Shipments data'!Q:Q,"&lt;"&amp;'Supply planning data'!D155,'Shipments data'!AC:AC,"&lt;"&amp;'Supply planning data'!D155)-SUMIFS(M:M,D:D,"&lt;="&amp;D140,C:C,C140)-SUMIFS(AJ:AJ,D:D,"&lt;="&amp;D140,C:C,C140)+SUMIFS(N:N,D:D,"&lt;="&amp;D140,C:C,C140)+SUMIFS(P:P,D:D,"&lt;="&amp;D140,C:C,C140))</f>
        <v>0</v>
      </c>
      <c r="AM140" s="105">
        <f t="shared" si="45"/>
        <v>0</v>
      </c>
      <c r="AN140" s="105">
        <f t="shared" si="57"/>
        <v>0</v>
      </c>
      <c r="AO140" s="206">
        <f t="shared" si="48"/>
        <v>0</v>
      </c>
    </row>
    <row r="141" spans="1:41" x14ac:dyDescent="0.25">
      <c r="A141" s="103" t="str">
        <f>Start!D$7</f>
        <v>Anyland</v>
      </c>
      <c r="B141" s="109" t="str">
        <f>VLOOKUP(A141,list!B:C,2,FALSE)</f>
        <v>ANY</v>
      </c>
      <c r="C141" s="109" t="str">
        <f>IF(Start!$C$18="","",Start!$C$18)</f>
        <v>Jansen</v>
      </c>
      <c r="D141" s="298">
        <f t="shared" si="39"/>
        <v>44470</v>
      </c>
      <c r="E141" s="105" t="str">
        <f>IFERROR(VLOOKUP(C141,Start!C$15:D$31,2,FALSE),"No")</f>
        <v>Yes</v>
      </c>
      <c r="F141" s="105">
        <f t="shared" si="40"/>
        <v>246117</v>
      </c>
      <c r="G141" s="106">
        <v>166228</v>
      </c>
      <c r="H141" s="106"/>
      <c r="I141" s="106"/>
      <c r="J141" s="105">
        <f t="shared" si="50"/>
        <v>166228</v>
      </c>
      <c r="K141" s="106"/>
      <c r="L141" s="177">
        <f t="shared" si="51"/>
        <v>0</v>
      </c>
      <c r="M141" s="105">
        <f t="shared" si="52"/>
        <v>166228</v>
      </c>
      <c r="N141" s="110"/>
      <c r="O141" s="124"/>
      <c r="P141" s="110"/>
      <c r="Q141" s="124"/>
      <c r="R141" s="111">
        <f>SUMIFS('Shipments data'!L:L,'Shipments data'!F:F,'Supply planning data'!C141,'Shipments data'!A:A,'Supply planning data'!A141,'Shipments data'!Y:Y,'Supply planning data'!D141,'Shipments data'!O:O,"received", 'Shipments data'!N:N, "Public")</f>
        <v>0</v>
      </c>
      <c r="S141" s="111">
        <f>SUMIFS('Shipments data'!L:L,'Shipments data'!F:F,'Supply planning data'!C141,'Shipments data'!A:A,'Supply planning data'!A141,'Shipments data'!Y:Y,'Supply planning data'!D141,'Shipments data'!O:O,"ordered", 'Shipments data'!N:N, "Public")</f>
        <v>0</v>
      </c>
      <c r="T141" s="111">
        <f>IF(SUMIFS('Shipments data'!L:L,'Shipments data'!F:F,'Supply planning data'!C141,'Shipments data'!A:A,'Supply planning data'!A141,'Shipments data'!O:O,"received",'Shipments data'!Q:Q,"&lt;"&amp;'Supply planning data'!D156,'Shipments data'!AC:AC,"&lt;"&amp;'Supply planning data'!D156)-SUMIFS(M:M,D:D,"&lt;="&amp;D141,C:C,C141)+SUMIFS(N:N,D:D,"&lt;="&amp;D141,C:C,C141)+SUMIFS(P:P,D:D,"&lt;="&amp;D141,C:C,C141)&lt;0,0,SUMIFS('Shipments data'!L:L,'Shipments data'!F:F,'Supply planning data'!C141,'Shipments data'!A:A,'Supply planning data'!A141,'Shipments data'!O:O,"received",'Shipments data'!Q:Q,"&lt;"&amp;'Supply planning data'!D156,'Shipments data'!AC:AC,"&lt;"&amp;'Supply planning data'!D156)-SUMIFS(M:M,D:D,"&lt;="&amp;D141,C:C,C141)+SUMIFS(N:N,D:D,"&lt;="&amp;D141,C:C,C141)+SUMIFS(P:P,D:D,"&lt;="&amp;D141,C:C,C141))</f>
        <v>0</v>
      </c>
      <c r="U141" s="112">
        <f t="shared" si="41"/>
        <v>0</v>
      </c>
      <c r="V141" s="111">
        <f t="shared" si="53"/>
        <v>79889</v>
      </c>
      <c r="W141" s="204">
        <f t="shared" si="47"/>
        <v>1.0761345420747066</v>
      </c>
      <c r="X141" s="111">
        <f t="shared" si="42"/>
        <v>246117</v>
      </c>
      <c r="Y141" s="110"/>
      <c r="Z141" s="107"/>
      <c r="AA141" s="111">
        <f t="shared" si="54"/>
        <v>0</v>
      </c>
      <c r="AB141" s="235"/>
      <c r="AC141" s="111">
        <f>IF(SUMIFS('Shipments data'!L:L,'Shipments data'!F:F,'Supply planning data'!C141,'Shipments data'!A:A,'Supply planning data'!A141,'Shipments data'!O:O,"received",'Shipments data'!Q:Q,"&lt;"&amp;'Supply planning data'!D156,'Shipments data'!AC:AC,"&lt;"&amp;'Supply planning data'!D156)-SUMIFS(M:M,D:D,"&lt;="&amp;D141,C:C,C141)-SUMIFS(AA:AA,D:D,"&lt;="&amp;D141,C:C,C141)+SUMIFS(N:N,D:D,"&lt;="&amp;D141,C:C,C141)+SUMIFS(P:P,D:D,"&lt;="&amp;D141,C:C,C141)&lt;0,0,SUMIFS('Shipments data'!L:L,'Shipments data'!F:F,'Supply planning data'!C141,'Shipments data'!A:A,'Supply planning data'!A141,'Shipments data'!O:O,"received",'Shipments data'!Q:Q,"&lt;"&amp;'Supply planning data'!D156,'Shipments data'!AC:AC,"&lt;"&amp;'Supply planning data'!D156)-SUMIFS(M:M,D:D,"&lt;="&amp;D141,C:C,C141)-SUMIFS(AA:AA,D:D,"&lt;="&amp;D141,C:C,C141)+SUMIFS(N:N,D:D,"&lt;="&amp;D141,C:C,C141)+SUMIFS(P:P,D:D,"&lt;="&amp;D141,C:C,C141))</f>
        <v>0</v>
      </c>
      <c r="AD141" s="111">
        <f t="shared" si="43"/>
        <v>0</v>
      </c>
      <c r="AE141" s="111">
        <f t="shared" si="56"/>
        <v>79889</v>
      </c>
      <c r="AF141" s="204">
        <f t="shared" si="46"/>
        <v>0.25809887290999434</v>
      </c>
      <c r="AG141" s="111">
        <f t="shared" si="44"/>
        <v>246117</v>
      </c>
      <c r="AH141" s="110"/>
      <c r="AI141" s="313"/>
      <c r="AJ141" s="111">
        <f t="shared" si="55"/>
        <v>0</v>
      </c>
      <c r="AK141" s="235"/>
      <c r="AL141" s="111">
        <f>IF(SUMIFS('Shipments data'!L:L,'Shipments data'!F:F,'Supply planning data'!C141,'Shipments data'!A:A,'Supply planning data'!A141,'Shipments data'!O:O,"received",'Shipments data'!Q:Q,"&lt;"&amp;'Supply planning data'!D156,'Shipments data'!AC:AC,"&lt;"&amp;'Supply planning data'!D156)-SUMIFS(M:M,D:D,"&lt;="&amp;D141,C:C,C141)-SUMIFS(AJ:AJ,D:D,"&lt;="&amp;D141,C:C,C141)+SUMIFS(N:N,D:D,"&lt;="&amp;D141,C:C,C141)+SUMIFS(P:P,D:D,"&lt;="&amp;D141,C:C,C141)&lt;0,0,SUMIFS('Shipments data'!L:L,'Shipments data'!F:F,'Supply planning data'!C141,'Shipments data'!A:A,'Supply planning data'!A141,'Shipments data'!O:O,"received",'Shipments data'!Q:Q,"&lt;"&amp;'Supply planning data'!D156,'Shipments data'!AC:AC,"&lt;"&amp;'Supply planning data'!D156)-SUMIFS(M:M,D:D,"&lt;="&amp;D141,C:C,C141)-SUMIFS(AJ:AJ,D:D,"&lt;="&amp;D141,C:C,C141)+SUMIFS(N:N,D:D,"&lt;="&amp;D141,C:C,C141)+SUMIFS(P:P,D:D,"&lt;="&amp;D141,C:C,C141))</f>
        <v>0</v>
      </c>
      <c r="AM141" s="111">
        <f t="shared" si="45"/>
        <v>0</v>
      </c>
      <c r="AN141" s="111">
        <f t="shared" si="57"/>
        <v>79889</v>
      </c>
      <c r="AO141" s="204">
        <f t="shared" si="48"/>
        <v>0.25809887290999434</v>
      </c>
    </row>
    <row r="142" spans="1:41" x14ac:dyDescent="0.25">
      <c r="A142" s="103" t="str">
        <f>Start!D$7</f>
        <v>Anyland</v>
      </c>
      <c r="B142" s="109" t="str">
        <f>VLOOKUP(A142,list!B:C,2,FALSE)</f>
        <v>ANY</v>
      </c>
      <c r="C142" s="104" t="str">
        <f>IF(Start!$C$19="","",Start!$C$19)</f>
        <v>Moderna</v>
      </c>
      <c r="D142" s="298">
        <f t="shared" si="39"/>
        <v>44470</v>
      </c>
      <c r="E142" s="105" t="str">
        <f>IFERROR(VLOOKUP(C142,Start!C$15:D$31,2,FALSE),"No")</f>
        <v>No</v>
      </c>
      <c r="F142" s="105">
        <f t="shared" si="40"/>
        <v>0</v>
      </c>
      <c r="G142" s="106"/>
      <c r="H142" s="106"/>
      <c r="I142" s="106"/>
      <c r="J142" s="105">
        <f t="shared" si="50"/>
        <v>0</v>
      </c>
      <c r="K142" s="106"/>
      <c r="L142" s="177" t="str">
        <f t="shared" si="51"/>
        <v/>
      </c>
      <c r="M142" s="105">
        <f t="shared" si="52"/>
        <v>0</v>
      </c>
      <c r="N142" s="110"/>
      <c r="O142" s="124"/>
      <c r="P142" s="110"/>
      <c r="Q142" s="124"/>
      <c r="R142" s="111">
        <f>SUMIFS('Shipments data'!L:L,'Shipments data'!F:F,'Supply planning data'!C142,'Shipments data'!A:A,'Supply planning data'!A142,'Shipments data'!Y:Y,'Supply planning data'!D142,'Shipments data'!O:O,"received", 'Shipments data'!N:N, "Public")</f>
        <v>0</v>
      </c>
      <c r="S142" s="111">
        <f>SUMIFS('Shipments data'!L:L,'Shipments data'!F:F,'Supply planning data'!C142,'Shipments data'!A:A,'Supply planning data'!A142,'Shipments data'!Y:Y,'Supply planning data'!D142,'Shipments data'!O:O,"ordered", 'Shipments data'!N:N, "Public")</f>
        <v>0</v>
      </c>
      <c r="T142" s="111">
        <f>IF(SUMIFS('Shipments data'!L:L,'Shipments data'!F:F,'Supply planning data'!C142,'Shipments data'!A:A,'Supply planning data'!A142,'Shipments data'!O:O,"received",'Shipments data'!Q:Q,"&lt;"&amp;'Supply planning data'!D157,'Shipments data'!AC:AC,"&lt;"&amp;'Supply planning data'!D157)-SUMIFS(M:M,D:D,"&lt;="&amp;D142,C:C,C142)+SUMIFS(N:N,D:D,"&lt;="&amp;D142,C:C,C142)+SUMIFS(P:P,D:D,"&lt;="&amp;D142,C:C,C142)&lt;0,0,SUMIFS('Shipments data'!L:L,'Shipments data'!F:F,'Supply planning data'!C142,'Shipments data'!A:A,'Supply planning data'!A142,'Shipments data'!O:O,"received",'Shipments data'!Q:Q,"&lt;"&amp;'Supply planning data'!D157,'Shipments data'!AC:AC,"&lt;"&amp;'Supply planning data'!D157)-SUMIFS(M:M,D:D,"&lt;="&amp;D142,C:C,C142)+SUMIFS(N:N,D:D,"&lt;="&amp;D142,C:C,C142)+SUMIFS(P:P,D:D,"&lt;="&amp;D142,C:C,C142))</f>
        <v>0</v>
      </c>
      <c r="U142" s="112">
        <f t="shared" si="41"/>
        <v>0</v>
      </c>
      <c r="V142" s="111">
        <f t="shared" si="53"/>
        <v>0</v>
      </c>
      <c r="W142" s="204" t="str">
        <f t="shared" si="47"/>
        <v/>
      </c>
      <c r="X142" s="111">
        <f t="shared" si="42"/>
        <v>0</v>
      </c>
      <c r="Y142" s="110"/>
      <c r="Z142" s="107"/>
      <c r="AA142" s="111">
        <f t="shared" si="54"/>
        <v>0</v>
      </c>
      <c r="AB142" s="235"/>
      <c r="AC142" s="111">
        <f>IF(SUMIFS('Shipments data'!L:L,'Shipments data'!F:F,'Supply planning data'!C142,'Shipments data'!A:A,'Supply planning data'!A142,'Shipments data'!O:O,"received",'Shipments data'!Q:Q,"&lt;"&amp;'Supply planning data'!D157,'Shipments data'!AC:AC,"&lt;"&amp;'Supply planning data'!D157)-SUMIFS(M:M,D:D,"&lt;="&amp;D142,C:C,C142)-SUMIFS(AA:AA,D:D,"&lt;="&amp;D142,C:C,C142)+SUMIFS(N:N,D:D,"&lt;="&amp;D142,C:C,C142)+SUMIFS(P:P,D:D,"&lt;="&amp;D142,C:C,C142)&lt;0,0,SUMIFS('Shipments data'!L:L,'Shipments data'!F:F,'Supply planning data'!C142,'Shipments data'!A:A,'Supply planning data'!A142,'Shipments data'!O:O,"received",'Shipments data'!Q:Q,"&lt;"&amp;'Supply planning data'!D157,'Shipments data'!AC:AC,"&lt;"&amp;'Supply planning data'!D157)-SUMIFS(M:M,D:D,"&lt;="&amp;D142,C:C,C142)-SUMIFS(AA:AA,D:D,"&lt;="&amp;D142,C:C,C142)+SUMIFS(N:N,D:D,"&lt;="&amp;D142,C:C,C142)+SUMIFS(P:P,D:D,"&lt;="&amp;D142,C:C,C142))</f>
        <v>0</v>
      </c>
      <c r="AD142" s="111">
        <f t="shared" si="43"/>
        <v>0</v>
      </c>
      <c r="AE142" s="111">
        <f t="shared" si="56"/>
        <v>0</v>
      </c>
      <c r="AF142" s="204" t="str">
        <f t="shared" si="46"/>
        <v/>
      </c>
      <c r="AG142" s="111">
        <f t="shared" si="44"/>
        <v>0</v>
      </c>
      <c r="AH142" s="110"/>
      <c r="AI142" s="313"/>
      <c r="AJ142" s="111">
        <f t="shared" si="55"/>
        <v>0</v>
      </c>
      <c r="AK142" s="235"/>
      <c r="AL142" s="111">
        <f>IF(SUMIFS('Shipments data'!L:L,'Shipments data'!F:F,'Supply planning data'!C142,'Shipments data'!A:A,'Supply planning data'!A142,'Shipments data'!O:O,"received",'Shipments data'!Q:Q,"&lt;"&amp;'Supply planning data'!D157,'Shipments data'!AC:AC,"&lt;"&amp;'Supply planning data'!D157)-SUMIFS(M:M,D:D,"&lt;="&amp;D142,C:C,C142)-SUMIFS(AJ:AJ,D:D,"&lt;="&amp;D142,C:C,C142)+SUMIFS(N:N,D:D,"&lt;="&amp;D142,C:C,C142)+SUMIFS(P:P,D:D,"&lt;="&amp;D142,C:C,C142)&lt;0,0,SUMIFS('Shipments data'!L:L,'Shipments data'!F:F,'Supply planning data'!C142,'Shipments data'!A:A,'Supply planning data'!A142,'Shipments data'!O:O,"received",'Shipments data'!Q:Q,"&lt;"&amp;'Supply planning data'!D157,'Shipments data'!AC:AC,"&lt;"&amp;'Supply planning data'!D157)-SUMIFS(M:M,D:D,"&lt;="&amp;D142,C:C,C142)-SUMIFS(AJ:AJ,D:D,"&lt;="&amp;D142,C:C,C142)+SUMIFS(N:N,D:D,"&lt;="&amp;D142,C:C,C142)+SUMIFS(P:P,D:D,"&lt;="&amp;D142,C:C,C142))</f>
        <v>0</v>
      </c>
      <c r="AM142" s="111">
        <f t="shared" si="45"/>
        <v>0</v>
      </c>
      <c r="AN142" s="111">
        <f t="shared" si="57"/>
        <v>0</v>
      </c>
      <c r="AO142" s="204" t="str">
        <f t="shared" si="48"/>
        <v/>
      </c>
    </row>
    <row r="143" spans="1:41" x14ac:dyDescent="0.25">
      <c r="A143" s="103" t="str">
        <f>Start!D$7</f>
        <v>Anyland</v>
      </c>
      <c r="B143" s="109" t="str">
        <f>VLOOKUP(A143,list!B:C,2,FALSE)</f>
        <v>ANY</v>
      </c>
      <c r="C143" s="109" t="str">
        <f>IF(Start!$C$20="","",Start!$C$20)</f>
        <v>Pfizer</v>
      </c>
      <c r="D143" s="298">
        <f t="shared" si="39"/>
        <v>44470</v>
      </c>
      <c r="E143" s="105" t="str">
        <f>IFERROR(VLOOKUP(C143,Start!C$15:D$31,2,FALSE),"No")</f>
        <v>Yes</v>
      </c>
      <c r="F143" s="105">
        <f t="shared" si="40"/>
        <v>0</v>
      </c>
      <c r="G143" s="106"/>
      <c r="H143" s="106"/>
      <c r="I143" s="106"/>
      <c r="J143" s="105">
        <f t="shared" si="50"/>
        <v>0</v>
      </c>
      <c r="K143" s="106"/>
      <c r="L143" s="177" t="str">
        <f t="shared" si="51"/>
        <v/>
      </c>
      <c r="M143" s="105">
        <f t="shared" si="52"/>
        <v>0</v>
      </c>
      <c r="N143" s="110"/>
      <c r="O143" s="124"/>
      <c r="P143" s="110"/>
      <c r="Q143" s="124"/>
      <c r="R143" s="111">
        <f>SUMIFS('Shipments data'!L:L,'Shipments data'!F:F,'Supply planning data'!C143,'Shipments data'!A:A,'Supply planning data'!A143,'Shipments data'!Y:Y,'Supply planning data'!D143,'Shipments data'!O:O,"received", 'Shipments data'!N:N, "Public")</f>
        <v>0</v>
      </c>
      <c r="S143" s="111">
        <f>SUMIFS('Shipments data'!L:L,'Shipments data'!F:F,'Supply planning data'!C143,'Shipments data'!A:A,'Supply planning data'!A143,'Shipments data'!Y:Y,'Supply planning data'!D143,'Shipments data'!O:O,"ordered", 'Shipments data'!N:N, "Public")</f>
        <v>0</v>
      </c>
      <c r="T143" s="111">
        <f>IF(SUMIFS('Shipments data'!L:L,'Shipments data'!F:F,'Supply planning data'!C143,'Shipments data'!A:A,'Supply planning data'!A143,'Shipments data'!O:O,"received",'Shipments data'!Q:Q,"&lt;"&amp;'Supply planning data'!D158,'Shipments data'!AC:AC,"&lt;"&amp;'Supply planning data'!D158)-SUMIFS(M:M,D:D,"&lt;="&amp;D143,C:C,C143)+SUMIFS(N:N,D:D,"&lt;="&amp;D143,C:C,C143)+SUMIFS(P:P,D:D,"&lt;="&amp;D143,C:C,C143)&lt;0,0,SUMIFS('Shipments data'!L:L,'Shipments data'!F:F,'Supply planning data'!C143,'Shipments data'!A:A,'Supply planning data'!A143,'Shipments data'!O:O,"received",'Shipments data'!Q:Q,"&lt;"&amp;'Supply planning data'!D158,'Shipments data'!AC:AC,"&lt;"&amp;'Supply planning data'!D158)-SUMIFS(M:M,D:D,"&lt;="&amp;D143,C:C,C143)+SUMIFS(N:N,D:D,"&lt;="&amp;D143,C:C,C143)+SUMIFS(P:P,D:D,"&lt;="&amp;D143,C:C,C143))</f>
        <v>0</v>
      </c>
      <c r="U143" s="112">
        <f t="shared" si="41"/>
        <v>0</v>
      </c>
      <c r="V143" s="111">
        <f t="shared" si="53"/>
        <v>0</v>
      </c>
      <c r="W143" s="204" t="str">
        <f t="shared" si="47"/>
        <v/>
      </c>
      <c r="X143" s="111">
        <f t="shared" si="42"/>
        <v>0</v>
      </c>
      <c r="Y143" s="110"/>
      <c r="Z143" s="107"/>
      <c r="AA143" s="111">
        <f t="shared" si="54"/>
        <v>0</v>
      </c>
      <c r="AB143" s="235"/>
      <c r="AC143" s="111">
        <f>IF(SUMIFS('Shipments data'!L:L,'Shipments data'!F:F,'Supply planning data'!C143,'Shipments data'!A:A,'Supply planning data'!A143,'Shipments data'!O:O,"received",'Shipments data'!Q:Q,"&lt;"&amp;'Supply planning data'!D158,'Shipments data'!AC:AC,"&lt;"&amp;'Supply planning data'!D158)-SUMIFS(M:M,D:D,"&lt;="&amp;D143,C:C,C143)-SUMIFS(AA:AA,D:D,"&lt;="&amp;D143,C:C,C143)+SUMIFS(N:N,D:D,"&lt;="&amp;D143,C:C,C143)+SUMIFS(P:P,D:D,"&lt;="&amp;D143,C:C,C143)&lt;0,0,SUMIFS('Shipments data'!L:L,'Shipments data'!F:F,'Supply planning data'!C143,'Shipments data'!A:A,'Supply planning data'!A143,'Shipments data'!O:O,"received",'Shipments data'!Q:Q,"&lt;"&amp;'Supply planning data'!D158,'Shipments data'!AC:AC,"&lt;"&amp;'Supply planning data'!D158)-SUMIFS(M:M,D:D,"&lt;="&amp;D143,C:C,C143)-SUMIFS(AA:AA,D:D,"&lt;="&amp;D143,C:C,C143)+SUMIFS(N:N,D:D,"&lt;="&amp;D143,C:C,C143)+SUMIFS(P:P,D:D,"&lt;="&amp;D143,C:C,C143))</f>
        <v>0</v>
      </c>
      <c r="AD143" s="111">
        <f t="shared" si="43"/>
        <v>0</v>
      </c>
      <c r="AE143" s="111">
        <f t="shared" si="56"/>
        <v>0</v>
      </c>
      <c r="AF143" s="204" t="str">
        <f t="shared" si="46"/>
        <v/>
      </c>
      <c r="AG143" s="111">
        <f t="shared" si="44"/>
        <v>0</v>
      </c>
      <c r="AH143" s="110"/>
      <c r="AI143" s="313"/>
      <c r="AJ143" s="111">
        <f t="shared" si="55"/>
        <v>0</v>
      </c>
      <c r="AK143" s="235"/>
      <c r="AL143" s="111">
        <f>IF(SUMIFS('Shipments data'!L:L,'Shipments data'!F:F,'Supply planning data'!C143,'Shipments data'!A:A,'Supply planning data'!A143,'Shipments data'!O:O,"received",'Shipments data'!Q:Q,"&lt;"&amp;'Supply planning data'!D158,'Shipments data'!AC:AC,"&lt;"&amp;'Supply planning data'!D158)-SUMIFS(M:M,D:D,"&lt;="&amp;D143,C:C,C143)-SUMIFS(AJ:AJ,D:D,"&lt;="&amp;D143,C:C,C143)+SUMIFS(N:N,D:D,"&lt;="&amp;D143,C:C,C143)+SUMIFS(P:P,D:D,"&lt;="&amp;D143,C:C,C143)&lt;0,0,SUMIFS('Shipments data'!L:L,'Shipments data'!F:F,'Supply planning data'!C143,'Shipments data'!A:A,'Supply planning data'!A143,'Shipments data'!O:O,"received",'Shipments data'!Q:Q,"&lt;"&amp;'Supply planning data'!D158,'Shipments data'!AC:AC,"&lt;"&amp;'Supply planning data'!D158)-SUMIFS(M:M,D:D,"&lt;="&amp;D143,C:C,C143)-SUMIFS(AJ:AJ,D:D,"&lt;="&amp;D143,C:C,C143)+SUMIFS(N:N,D:D,"&lt;="&amp;D143,C:C,C143)+SUMIFS(P:P,D:D,"&lt;="&amp;D143,C:C,C143))</f>
        <v>0</v>
      </c>
      <c r="AM143" s="111">
        <f t="shared" si="45"/>
        <v>0</v>
      </c>
      <c r="AN143" s="111">
        <f t="shared" si="57"/>
        <v>0</v>
      </c>
      <c r="AO143" s="204" t="str">
        <f t="shared" si="48"/>
        <v/>
      </c>
    </row>
    <row r="144" spans="1:41" x14ac:dyDescent="0.25">
      <c r="A144" s="103" t="str">
        <f>Start!D$7</f>
        <v>Anyland</v>
      </c>
      <c r="B144" s="109" t="str">
        <f>VLOOKUP(A144,list!B:C,2,FALSE)</f>
        <v>ANY</v>
      </c>
      <c r="C144" s="104" t="str">
        <f>IF(Start!$C$21="","",Start!$C$21)</f>
        <v>Sinovac</v>
      </c>
      <c r="D144" s="298">
        <f t="shared" si="39"/>
        <v>44470</v>
      </c>
      <c r="E144" s="105" t="str">
        <f>IFERROR(VLOOKUP(C144,Start!C$15:D$31,2,FALSE),"No")</f>
        <v>No</v>
      </c>
      <c r="F144" s="105">
        <f t="shared" si="40"/>
        <v>0</v>
      </c>
      <c r="G144" s="106"/>
      <c r="H144" s="106"/>
      <c r="I144" s="106"/>
      <c r="J144" s="105">
        <f t="shared" si="50"/>
        <v>0</v>
      </c>
      <c r="K144" s="106"/>
      <c r="L144" s="177" t="str">
        <f t="shared" si="51"/>
        <v/>
      </c>
      <c r="M144" s="105">
        <f t="shared" si="52"/>
        <v>0</v>
      </c>
      <c r="N144" s="110"/>
      <c r="O144" s="124"/>
      <c r="P144" s="110"/>
      <c r="Q144" s="124"/>
      <c r="R144" s="111">
        <f>SUMIFS('Shipments data'!L:L,'Shipments data'!F:F,'Supply planning data'!C144,'Shipments data'!A:A,'Supply planning data'!A144,'Shipments data'!Y:Y,'Supply planning data'!D144,'Shipments data'!O:O,"received", 'Shipments data'!N:N, "Public")</f>
        <v>0</v>
      </c>
      <c r="S144" s="111">
        <f>SUMIFS('Shipments data'!L:L,'Shipments data'!F:F,'Supply planning data'!C144,'Shipments data'!A:A,'Supply planning data'!A144,'Shipments data'!Y:Y,'Supply planning data'!D144,'Shipments data'!O:O,"ordered", 'Shipments data'!N:N, "Public")</f>
        <v>0</v>
      </c>
      <c r="T144" s="111">
        <f>IF(SUMIFS('Shipments data'!L:L,'Shipments data'!F:F,'Supply planning data'!C144,'Shipments data'!A:A,'Supply planning data'!A144,'Shipments data'!O:O,"received",'Shipments data'!Q:Q,"&lt;"&amp;'Supply planning data'!D159,'Shipments data'!AC:AC,"&lt;"&amp;'Supply planning data'!D159)-SUMIFS(M:M,D:D,"&lt;="&amp;D144,C:C,C144)+SUMIFS(N:N,D:D,"&lt;="&amp;D144,C:C,C144)+SUMIFS(P:P,D:D,"&lt;="&amp;D144,C:C,C144)&lt;0,0,SUMIFS('Shipments data'!L:L,'Shipments data'!F:F,'Supply planning data'!C144,'Shipments data'!A:A,'Supply planning data'!A144,'Shipments data'!O:O,"received",'Shipments data'!Q:Q,"&lt;"&amp;'Supply planning data'!D159,'Shipments data'!AC:AC,"&lt;"&amp;'Supply planning data'!D159)-SUMIFS(M:M,D:D,"&lt;="&amp;D144,C:C,C144)+SUMIFS(N:N,D:D,"&lt;="&amp;D144,C:C,C144)+SUMIFS(P:P,D:D,"&lt;="&amp;D144,C:C,C144))</f>
        <v>0</v>
      </c>
      <c r="U144" s="112">
        <f t="shared" si="41"/>
        <v>0</v>
      </c>
      <c r="V144" s="111">
        <f t="shared" si="53"/>
        <v>0</v>
      </c>
      <c r="W144" s="204" t="str">
        <f t="shared" si="47"/>
        <v/>
      </c>
      <c r="X144" s="111">
        <f t="shared" si="42"/>
        <v>0</v>
      </c>
      <c r="Y144" s="110"/>
      <c r="Z144" s="107"/>
      <c r="AA144" s="111">
        <f t="shared" si="54"/>
        <v>0</v>
      </c>
      <c r="AB144" s="235"/>
      <c r="AC144" s="111">
        <f>IF(SUMIFS('Shipments data'!L:L,'Shipments data'!F:F,'Supply planning data'!C144,'Shipments data'!A:A,'Supply planning data'!A144,'Shipments data'!O:O,"received",'Shipments data'!Q:Q,"&lt;"&amp;'Supply planning data'!D159,'Shipments data'!AC:AC,"&lt;"&amp;'Supply planning data'!D159)-SUMIFS(M:M,D:D,"&lt;="&amp;D144,C:C,C144)-SUMIFS(AA:AA,D:D,"&lt;="&amp;D144,C:C,C144)+SUMIFS(N:N,D:D,"&lt;="&amp;D144,C:C,C144)+SUMIFS(P:P,D:D,"&lt;="&amp;D144,C:C,C144)&lt;0,0,SUMIFS('Shipments data'!L:L,'Shipments data'!F:F,'Supply planning data'!C144,'Shipments data'!A:A,'Supply planning data'!A144,'Shipments data'!O:O,"received",'Shipments data'!Q:Q,"&lt;"&amp;'Supply planning data'!D159,'Shipments data'!AC:AC,"&lt;"&amp;'Supply planning data'!D159)-SUMIFS(M:M,D:D,"&lt;="&amp;D144,C:C,C144)-SUMIFS(AA:AA,D:D,"&lt;="&amp;D144,C:C,C144)+SUMIFS(N:N,D:D,"&lt;="&amp;D144,C:C,C144)+SUMIFS(P:P,D:D,"&lt;="&amp;D144,C:C,C144))</f>
        <v>0</v>
      </c>
      <c r="AD144" s="111">
        <f t="shared" si="43"/>
        <v>0</v>
      </c>
      <c r="AE144" s="111">
        <f t="shared" si="56"/>
        <v>0</v>
      </c>
      <c r="AF144" s="204" t="str">
        <f t="shared" si="46"/>
        <v/>
      </c>
      <c r="AG144" s="111">
        <f t="shared" si="44"/>
        <v>0</v>
      </c>
      <c r="AH144" s="110"/>
      <c r="AI144" s="313"/>
      <c r="AJ144" s="111">
        <f t="shared" si="55"/>
        <v>0</v>
      </c>
      <c r="AK144" s="235"/>
      <c r="AL144" s="111">
        <f>IF(SUMIFS('Shipments data'!L:L,'Shipments data'!F:F,'Supply planning data'!C144,'Shipments data'!A:A,'Supply planning data'!A144,'Shipments data'!O:O,"received",'Shipments data'!Q:Q,"&lt;"&amp;'Supply planning data'!D159,'Shipments data'!AC:AC,"&lt;"&amp;'Supply planning data'!D159)-SUMIFS(M:M,D:D,"&lt;="&amp;D144,C:C,C144)-SUMIFS(AJ:AJ,D:D,"&lt;="&amp;D144,C:C,C144)+SUMIFS(N:N,D:D,"&lt;="&amp;D144,C:C,C144)+SUMIFS(P:P,D:D,"&lt;="&amp;D144,C:C,C144)&lt;0,0,SUMIFS('Shipments data'!L:L,'Shipments data'!F:F,'Supply planning data'!C144,'Shipments data'!A:A,'Supply planning data'!A144,'Shipments data'!O:O,"received",'Shipments data'!Q:Q,"&lt;"&amp;'Supply planning data'!D159,'Shipments data'!AC:AC,"&lt;"&amp;'Supply planning data'!D159)-SUMIFS(M:M,D:D,"&lt;="&amp;D144,C:C,C144)-SUMIFS(AJ:AJ,D:D,"&lt;="&amp;D144,C:C,C144)+SUMIFS(N:N,D:D,"&lt;="&amp;D144,C:C,C144)+SUMIFS(P:P,D:D,"&lt;="&amp;D144,C:C,C144))</f>
        <v>0</v>
      </c>
      <c r="AM144" s="111">
        <f t="shared" si="45"/>
        <v>0</v>
      </c>
      <c r="AN144" s="111">
        <f t="shared" si="57"/>
        <v>0</v>
      </c>
      <c r="AO144" s="204" t="str">
        <f t="shared" si="48"/>
        <v/>
      </c>
    </row>
    <row r="145" spans="1:41" hidden="1" x14ac:dyDescent="0.25">
      <c r="A145" s="103" t="str">
        <f>Start!D$7</f>
        <v>Anyland</v>
      </c>
      <c r="B145" s="109" t="str">
        <f>VLOOKUP(A145,list!B:C,2,FALSE)</f>
        <v>ANY</v>
      </c>
      <c r="C145" s="109" t="str">
        <f>IF(Start!$C$22="","",Start!$C$22)</f>
        <v/>
      </c>
      <c r="D145" s="298">
        <f t="shared" si="39"/>
        <v>44470</v>
      </c>
      <c r="E145" s="105" t="str">
        <f>IFERROR(VLOOKUP(C145,Start!C$15:D$31,2,FALSE),"No")</f>
        <v>No</v>
      </c>
      <c r="F145" s="105">
        <f t="shared" si="40"/>
        <v>0</v>
      </c>
      <c r="G145" s="106"/>
      <c r="H145" s="106"/>
      <c r="I145" s="106"/>
      <c r="J145" s="105">
        <f t="shared" si="50"/>
        <v>0</v>
      </c>
      <c r="K145" s="106"/>
      <c r="L145" s="177" t="str">
        <f t="shared" si="51"/>
        <v/>
      </c>
      <c r="M145" s="105">
        <f t="shared" si="52"/>
        <v>0</v>
      </c>
      <c r="N145" s="110"/>
      <c r="O145" s="124"/>
      <c r="P145" s="110"/>
      <c r="Q145" s="124"/>
      <c r="R145" s="111">
        <f>SUMIFS('Shipments data'!L:L,'Shipments data'!F:F,'Supply planning data'!C145,'Shipments data'!A:A,'Supply planning data'!A145,'Shipments data'!Y:Y,'Supply planning data'!D145,'Shipments data'!O:O,"received", 'Shipments data'!N:N, "Public")</f>
        <v>0</v>
      </c>
      <c r="S145" s="111">
        <f>SUMIFS('Shipments data'!L:L,'Shipments data'!F:F,'Supply planning data'!C145,'Shipments data'!A:A,'Supply planning data'!A145,'Shipments data'!Y:Y,'Supply planning data'!D145,'Shipments data'!O:O,"ordered", 'Shipments data'!N:N, "Public")</f>
        <v>0</v>
      </c>
      <c r="T145" s="111">
        <f>IF(SUMIFS('Shipments data'!L:L,'Shipments data'!F:F,'Supply planning data'!C145,'Shipments data'!A:A,'Supply planning data'!A145,'Shipments data'!O:O,"received",'Shipments data'!Q:Q,"&lt;"&amp;'Supply planning data'!D160,'Shipments data'!AC:AC,"&lt;"&amp;'Supply planning data'!D160)-SUMIFS(M:M,D:D,"&lt;="&amp;D145,C:C,C145)+SUMIFS(N:N,D:D,"&lt;="&amp;D145,C:C,C145)+SUMIFS(P:P,D:D,"&lt;="&amp;D145,C:C,C145)&lt;0,0,SUMIFS('Shipments data'!L:L,'Shipments data'!F:F,'Supply planning data'!C145,'Shipments data'!A:A,'Supply planning data'!A145,'Shipments data'!O:O,"received",'Shipments data'!Q:Q,"&lt;"&amp;'Supply planning data'!D160,'Shipments data'!AC:AC,"&lt;"&amp;'Supply planning data'!D160)-SUMIFS(M:M,D:D,"&lt;="&amp;D145,C:C,C145)+SUMIFS(N:N,D:D,"&lt;="&amp;D145,C:C,C145)+SUMIFS(P:P,D:D,"&lt;="&amp;D145,C:C,C145))</f>
        <v>0</v>
      </c>
      <c r="U145" s="112">
        <f t="shared" si="41"/>
        <v>0</v>
      </c>
      <c r="V145" s="111">
        <f t="shared" si="53"/>
        <v>0</v>
      </c>
      <c r="W145" s="204" t="str">
        <f t="shared" si="47"/>
        <v/>
      </c>
      <c r="X145" s="111">
        <f t="shared" si="42"/>
        <v>0</v>
      </c>
      <c r="Y145" s="110"/>
      <c r="Z145" s="107"/>
      <c r="AA145" s="111">
        <f t="shared" si="54"/>
        <v>0</v>
      </c>
      <c r="AB145" s="235"/>
      <c r="AC145" s="111">
        <f>IF(SUMIFS('Shipments data'!L:L,'Shipments data'!F:F,'Supply planning data'!C145,'Shipments data'!A:A,'Supply planning data'!A145,'Shipments data'!O:O,"received",'Shipments data'!Q:Q,"&lt;"&amp;'Supply planning data'!D160,'Shipments data'!AC:AC,"&lt;"&amp;'Supply planning data'!D160)-SUMIFS(M:M,D:D,"&lt;="&amp;D145,C:C,C145)-SUMIFS(AA:AA,D:D,"&lt;="&amp;D145,C:C,C145)+SUMIFS(N:N,D:D,"&lt;="&amp;D145,C:C,C145)+SUMIFS(P:P,D:D,"&lt;="&amp;D145,C:C,C145)&lt;0,0,SUMIFS('Shipments data'!L:L,'Shipments data'!F:F,'Supply planning data'!C145,'Shipments data'!A:A,'Supply planning data'!A145,'Shipments data'!O:O,"received",'Shipments data'!Q:Q,"&lt;"&amp;'Supply planning data'!D160,'Shipments data'!AC:AC,"&lt;"&amp;'Supply planning data'!D160)-SUMIFS(M:M,D:D,"&lt;="&amp;D145,C:C,C145)-SUMIFS(AA:AA,D:D,"&lt;="&amp;D145,C:C,C145)+SUMIFS(N:N,D:D,"&lt;="&amp;D145,C:C,C145)+SUMIFS(P:P,D:D,"&lt;="&amp;D145,C:C,C145))</f>
        <v>0</v>
      </c>
      <c r="AD145" s="111">
        <f t="shared" si="43"/>
        <v>0</v>
      </c>
      <c r="AE145" s="111">
        <f t="shared" si="56"/>
        <v>0</v>
      </c>
      <c r="AF145" s="204" t="str">
        <f t="shared" si="46"/>
        <v/>
      </c>
      <c r="AG145" s="111">
        <f t="shared" si="44"/>
        <v>0</v>
      </c>
      <c r="AH145" s="110"/>
      <c r="AI145" s="313"/>
      <c r="AJ145" s="111">
        <f t="shared" si="55"/>
        <v>0</v>
      </c>
      <c r="AK145" s="235"/>
      <c r="AL145" s="111">
        <f>IF(SUMIFS('Shipments data'!L:L,'Shipments data'!F:F,'Supply planning data'!C145,'Shipments data'!A:A,'Supply planning data'!A145,'Shipments data'!O:O,"received",'Shipments data'!Q:Q,"&lt;"&amp;'Supply planning data'!D160,'Shipments data'!AC:AC,"&lt;"&amp;'Supply planning data'!D160)-SUMIFS(M:M,D:D,"&lt;="&amp;D145,C:C,C145)-SUMIFS(AJ:AJ,D:D,"&lt;="&amp;D145,C:C,C145)+SUMIFS(N:N,D:D,"&lt;="&amp;D145,C:C,C145)+SUMIFS(P:P,D:D,"&lt;="&amp;D145,C:C,C145)&lt;0,0,SUMIFS('Shipments data'!L:L,'Shipments data'!F:F,'Supply planning data'!C145,'Shipments data'!A:A,'Supply planning data'!A145,'Shipments data'!O:O,"received",'Shipments data'!Q:Q,"&lt;"&amp;'Supply planning data'!D160,'Shipments data'!AC:AC,"&lt;"&amp;'Supply planning data'!D160)-SUMIFS(M:M,D:D,"&lt;="&amp;D145,C:C,C145)-SUMIFS(AJ:AJ,D:D,"&lt;="&amp;D145,C:C,C145)+SUMIFS(N:N,D:D,"&lt;="&amp;D145,C:C,C145)+SUMIFS(P:P,D:D,"&lt;="&amp;D145,C:C,C145))</f>
        <v>0</v>
      </c>
      <c r="AM145" s="111">
        <f t="shared" si="45"/>
        <v>0</v>
      </c>
      <c r="AN145" s="111">
        <f t="shared" si="57"/>
        <v>0</v>
      </c>
      <c r="AO145" s="204" t="str">
        <f t="shared" si="48"/>
        <v/>
      </c>
    </row>
    <row r="146" spans="1:41" hidden="1" x14ac:dyDescent="0.25">
      <c r="A146" s="103" t="str">
        <f>Start!D$7</f>
        <v>Anyland</v>
      </c>
      <c r="B146" s="109" t="str">
        <f>VLOOKUP(A146,list!B:C,2,FALSE)</f>
        <v>ANY</v>
      </c>
      <c r="C146" s="104" t="str">
        <f>IF(Start!$C$23="","",Start!$C$23)</f>
        <v/>
      </c>
      <c r="D146" s="298">
        <f t="shared" si="39"/>
        <v>44470</v>
      </c>
      <c r="E146" s="105" t="str">
        <f>IFERROR(VLOOKUP(C146,Start!C$15:D$31,2,FALSE),"No")</f>
        <v>No</v>
      </c>
      <c r="F146" s="105">
        <f t="shared" si="40"/>
        <v>0</v>
      </c>
      <c r="G146" s="106"/>
      <c r="H146" s="106"/>
      <c r="I146" s="106"/>
      <c r="J146" s="105">
        <f t="shared" si="50"/>
        <v>0</v>
      </c>
      <c r="K146" s="106"/>
      <c r="L146" s="177" t="str">
        <f t="shared" si="51"/>
        <v/>
      </c>
      <c r="M146" s="105">
        <f t="shared" si="52"/>
        <v>0</v>
      </c>
      <c r="N146" s="110"/>
      <c r="O146" s="124"/>
      <c r="P146" s="110"/>
      <c r="Q146" s="124"/>
      <c r="R146" s="111">
        <f>SUMIFS('Shipments data'!L:L,'Shipments data'!F:F,'Supply planning data'!C146,'Shipments data'!A:A,'Supply planning data'!A146,'Shipments data'!Y:Y,'Supply planning data'!D146,'Shipments data'!O:O,"received", 'Shipments data'!N:N, "Public")</f>
        <v>0</v>
      </c>
      <c r="S146" s="111">
        <f>SUMIFS('Shipments data'!L:L,'Shipments data'!F:F,'Supply planning data'!C146,'Shipments data'!A:A,'Supply planning data'!A146,'Shipments data'!Y:Y,'Supply planning data'!D146,'Shipments data'!O:O,"ordered", 'Shipments data'!N:N, "Public")</f>
        <v>0</v>
      </c>
      <c r="T146" s="111">
        <f>IF(SUMIFS('Shipments data'!L:L,'Shipments data'!F:F,'Supply planning data'!C146,'Shipments data'!A:A,'Supply planning data'!A146,'Shipments data'!O:O,"received",'Shipments data'!Q:Q,"&lt;"&amp;'Supply planning data'!D161,'Shipments data'!AC:AC,"&lt;"&amp;'Supply planning data'!D161)-SUMIFS(M:M,D:D,"&lt;="&amp;D146,C:C,C146)+SUMIFS(N:N,D:D,"&lt;="&amp;D146,C:C,C146)+SUMIFS(P:P,D:D,"&lt;="&amp;D146,C:C,C146)&lt;0,0,SUMIFS('Shipments data'!L:L,'Shipments data'!F:F,'Supply planning data'!C146,'Shipments data'!A:A,'Supply planning data'!A146,'Shipments data'!O:O,"received",'Shipments data'!Q:Q,"&lt;"&amp;'Supply planning data'!D161,'Shipments data'!AC:AC,"&lt;"&amp;'Supply planning data'!D161)-SUMIFS(M:M,D:D,"&lt;="&amp;D146,C:C,C146)+SUMIFS(N:N,D:D,"&lt;="&amp;D146,C:C,C146)+SUMIFS(P:P,D:D,"&lt;="&amp;D146,C:C,C146))</f>
        <v>0</v>
      </c>
      <c r="U146" s="112">
        <f t="shared" si="41"/>
        <v>0</v>
      </c>
      <c r="V146" s="111">
        <f t="shared" si="53"/>
        <v>0</v>
      </c>
      <c r="W146" s="204" t="str">
        <f t="shared" si="47"/>
        <v/>
      </c>
      <c r="X146" s="111">
        <f t="shared" si="42"/>
        <v>0</v>
      </c>
      <c r="Y146" s="110"/>
      <c r="Z146" s="107"/>
      <c r="AA146" s="111">
        <f t="shared" si="54"/>
        <v>0</v>
      </c>
      <c r="AB146" s="235"/>
      <c r="AC146" s="111">
        <f>IF(SUMIFS('Shipments data'!L:L,'Shipments data'!F:F,'Supply planning data'!C146,'Shipments data'!A:A,'Supply planning data'!A146,'Shipments data'!O:O,"received",'Shipments data'!Q:Q,"&lt;"&amp;'Supply planning data'!D161,'Shipments data'!AC:AC,"&lt;"&amp;'Supply planning data'!D161)-SUMIFS(M:M,D:D,"&lt;="&amp;D146,C:C,C146)-SUMIFS(AA:AA,D:D,"&lt;="&amp;D146,C:C,C146)+SUMIFS(N:N,D:D,"&lt;="&amp;D146,C:C,C146)+SUMIFS(P:P,D:D,"&lt;="&amp;D146,C:C,C146)&lt;0,0,SUMIFS('Shipments data'!L:L,'Shipments data'!F:F,'Supply planning data'!C146,'Shipments data'!A:A,'Supply planning data'!A146,'Shipments data'!O:O,"received",'Shipments data'!Q:Q,"&lt;"&amp;'Supply planning data'!D161,'Shipments data'!AC:AC,"&lt;"&amp;'Supply planning data'!D161)-SUMIFS(M:M,D:D,"&lt;="&amp;D146,C:C,C146)-SUMIFS(AA:AA,D:D,"&lt;="&amp;D146,C:C,C146)+SUMIFS(N:N,D:D,"&lt;="&amp;D146,C:C,C146)+SUMIFS(P:P,D:D,"&lt;="&amp;D146,C:C,C146))</f>
        <v>0</v>
      </c>
      <c r="AD146" s="111">
        <f t="shared" si="43"/>
        <v>0</v>
      </c>
      <c r="AE146" s="111">
        <f t="shared" si="56"/>
        <v>0</v>
      </c>
      <c r="AF146" s="204" t="str">
        <f t="shared" si="46"/>
        <v/>
      </c>
      <c r="AG146" s="111">
        <f t="shared" si="44"/>
        <v>0</v>
      </c>
      <c r="AH146" s="110"/>
      <c r="AI146" s="313"/>
      <c r="AJ146" s="111">
        <f t="shared" si="55"/>
        <v>0</v>
      </c>
      <c r="AK146" s="235"/>
      <c r="AL146" s="111">
        <f>IF(SUMIFS('Shipments data'!L:L,'Shipments data'!F:F,'Supply planning data'!C146,'Shipments data'!A:A,'Supply planning data'!A146,'Shipments data'!O:O,"received",'Shipments data'!Q:Q,"&lt;"&amp;'Supply planning data'!D161,'Shipments data'!AC:AC,"&lt;"&amp;'Supply planning data'!D161)-SUMIFS(M:M,D:D,"&lt;="&amp;D146,C:C,C146)-SUMIFS(AJ:AJ,D:D,"&lt;="&amp;D146,C:C,C146)+SUMIFS(N:N,D:D,"&lt;="&amp;D146,C:C,C146)+SUMIFS(P:P,D:D,"&lt;="&amp;D146,C:C,C146)&lt;0,0,SUMIFS('Shipments data'!L:L,'Shipments data'!F:F,'Supply planning data'!C146,'Shipments data'!A:A,'Supply planning data'!A146,'Shipments data'!O:O,"received",'Shipments data'!Q:Q,"&lt;"&amp;'Supply planning data'!D161,'Shipments data'!AC:AC,"&lt;"&amp;'Supply planning data'!D161)-SUMIFS(M:M,D:D,"&lt;="&amp;D146,C:C,C146)-SUMIFS(AJ:AJ,D:D,"&lt;="&amp;D146,C:C,C146)+SUMIFS(N:N,D:D,"&lt;="&amp;D146,C:C,C146)+SUMIFS(P:P,D:D,"&lt;="&amp;D146,C:C,C146))</f>
        <v>0</v>
      </c>
      <c r="AM146" s="111">
        <f t="shared" si="45"/>
        <v>0</v>
      </c>
      <c r="AN146" s="111">
        <f t="shared" si="57"/>
        <v>0</v>
      </c>
      <c r="AO146" s="204" t="str">
        <f t="shared" si="48"/>
        <v/>
      </c>
    </row>
    <row r="147" spans="1:41" hidden="1" x14ac:dyDescent="0.25">
      <c r="A147" s="103" t="str">
        <f>Start!D$7</f>
        <v>Anyland</v>
      </c>
      <c r="B147" s="109" t="str">
        <f>VLOOKUP(A147,list!B:C,2,FALSE)</f>
        <v>ANY</v>
      </c>
      <c r="C147" s="109" t="str">
        <f>IF(Start!$C$24="","",Start!$C$24)</f>
        <v/>
      </c>
      <c r="D147" s="298">
        <f t="shared" si="39"/>
        <v>44470</v>
      </c>
      <c r="E147" s="105" t="str">
        <f>IFERROR(VLOOKUP(C147,Start!C$15:D$31,2,FALSE),"No")</f>
        <v>No</v>
      </c>
      <c r="F147" s="105">
        <f t="shared" si="40"/>
        <v>0</v>
      </c>
      <c r="G147" s="106"/>
      <c r="H147" s="106"/>
      <c r="I147" s="106"/>
      <c r="J147" s="105">
        <f t="shared" si="50"/>
        <v>0</v>
      </c>
      <c r="K147" s="106"/>
      <c r="L147" s="177" t="str">
        <f t="shared" si="51"/>
        <v/>
      </c>
      <c r="M147" s="105">
        <f t="shared" si="52"/>
        <v>0</v>
      </c>
      <c r="N147" s="110"/>
      <c r="O147" s="124"/>
      <c r="P147" s="110"/>
      <c r="Q147" s="124"/>
      <c r="R147" s="111">
        <f>SUMIFS('Shipments data'!L:L,'Shipments data'!F:F,'Supply planning data'!C147,'Shipments data'!A:A,'Supply planning data'!A147,'Shipments data'!Y:Y,'Supply planning data'!D147,'Shipments data'!O:O,"received", 'Shipments data'!N:N, "Public")</f>
        <v>0</v>
      </c>
      <c r="S147" s="111">
        <f>SUMIFS('Shipments data'!L:L,'Shipments data'!F:F,'Supply planning data'!C147,'Shipments data'!A:A,'Supply planning data'!A147,'Shipments data'!Y:Y,'Supply planning data'!D147,'Shipments data'!O:O,"ordered", 'Shipments data'!N:N, "Public")</f>
        <v>0</v>
      </c>
      <c r="T147" s="111">
        <f>IF(SUMIFS('Shipments data'!L:L,'Shipments data'!F:F,'Supply planning data'!C147,'Shipments data'!A:A,'Supply planning data'!A147,'Shipments data'!O:O,"received",'Shipments data'!Q:Q,"&lt;"&amp;'Supply planning data'!D162,'Shipments data'!AC:AC,"&lt;"&amp;'Supply planning data'!D162)-SUMIFS(M:M,D:D,"&lt;="&amp;D147,C:C,C147)+SUMIFS(N:N,D:D,"&lt;="&amp;D147,C:C,C147)+SUMIFS(P:P,D:D,"&lt;="&amp;D147,C:C,C147)&lt;0,0,SUMIFS('Shipments data'!L:L,'Shipments data'!F:F,'Supply planning data'!C147,'Shipments data'!A:A,'Supply planning data'!A147,'Shipments data'!O:O,"received",'Shipments data'!Q:Q,"&lt;"&amp;'Supply planning data'!D162,'Shipments data'!AC:AC,"&lt;"&amp;'Supply planning data'!D162)-SUMIFS(M:M,D:D,"&lt;="&amp;D147,C:C,C147)+SUMIFS(N:N,D:D,"&lt;="&amp;D147,C:C,C147)+SUMIFS(P:P,D:D,"&lt;="&amp;D147,C:C,C147))</f>
        <v>0</v>
      </c>
      <c r="U147" s="112">
        <f t="shared" si="41"/>
        <v>0</v>
      </c>
      <c r="V147" s="111">
        <f t="shared" si="53"/>
        <v>0</v>
      </c>
      <c r="W147" s="204" t="str">
        <f t="shared" si="47"/>
        <v/>
      </c>
      <c r="X147" s="111">
        <f t="shared" si="42"/>
        <v>0</v>
      </c>
      <c r="Y147" s="110"/>
      <c r="Z147" s="107"/>
      <c r="AA147" s="111">
        <f t="shared" si="54"/>
        <v>0</v>
      </c>
      <c r="AB147" s="235"/>
      <c r="AC147" s="111">
        <f>IF(SUMIFS('Shipments data'!L:L,'Shipments data'!F:F,'Supply planning data'!C147,'Shipments data'!A:A,'Supply planning data'!A147,'Shipments data'!O:O,"received",'Shipments data'!Q:Q,"&lt;"&amp;'Supply planning data'!D162,'Shipments data'!AC:AC,"&lt;"&amp;'Supply planning data'!D162)-SUMIFS(M:M,D:D,"&lt;="&amp;D147,C:C,C147)-SUMIFS(AA:AA,D:D,"&lt;="&amp;D147,C:C,C147)+SUMIFS(N:N,D:D,"&lt;="&amp;D147,C:C,C147)+SUMIFS(P:P,D:D,"&lt;="&amp;D147,C:C,C147)&lt;0,0,SUMIFS('Shipments data'!L:L,'Shipments data'!F:F,'Supply planning data'!C147,'Shipments data'!A:A,'Supply planning data'!A147,'Shipments data'!O:O,"received",'Shipments data'!Q:Q,"&lt;"&amp;'Supply planning data'!D162,'Shipments data'!AC:AC,"&lt;"&amp;'Supply planning data'!D162)-SUMIFS(M:M,D:D,"&lt;="&amp;D147,C:C,C147)-SUMIFS(AA:AA,D:D,"&lt;="&amp;D147,C:C,C147)+SUMIFS(N:N,D:D,"&lt;="&amp;D147,C:C,C147)+SUMIFS(P:P,D:D,"&lt;="&amp;D147,C:C,C147))</f>
        <v>0</v>
      </c>
      <c r="AD147" s="111">
        <f t="shared" si="43"/>
        <v>0</v>
      </c>
      <c r="AE147" s="111">
        <f t="shared" si="56"/>
        <v>0</v>
      </c>
      <c r="AF147" s="204" t="str">
        <f t="shared" si="46"/>
        <v/>
      </c>
      <c r="AG147" s="111">
        <f t="shared" si="44"/>
        <v>0</v>
      </c>
      <c r="AH147" s="110"/>
      <c r="AI147" s="313"/>
      <c r="AJ147" s="111">
        <f t="shared" si="55"/>
        <v>0</v>
      </c>
      <c r="AK147" s="235"/>
      <c r="AL147" s="111">
        <f>IF(SUMIFS('Shipments data'!L:L,'Shipments data'!F:F,'Supply planning data'!C147,'Shipments data'!A:A,'Supply planning data'!A147,'Shipments data'!O:O,"received",'Shipments data'!Q:Q,"&lt;"&amp;'Supply planning data'!D162,'Shipments data'!AC:AC,"&lt;"&amp;'Supply planning data'!D162)-SUMIFS(M:M,D:D,"&lt;="&amp;D147,C:C,C147)-SUMIFS(AJ:AJ,D:D,"&lt;="&amp;D147,C:C,C147)+SUMIFS(N:N,D:D,"&lt;="&amp;D147,C:C,C147)+SUMIFS(P:P,D:D,"&lt;="&amp;D147,C:C,C147)&lt;0,0,SUMIFS('Shipments data'!L:L,'Shipments data'!F:F,'Supply planning data'!C147,'Shipments data'!A:A,'Supply planning data'!A147,'Shipments data'!O:O,"received",'Shipments data'!Q:Q,"&lt;"&amp;'Supply planning data'!D162,'Shipments data'!AC:AC,"&lt;"&amp;'Supply planning data'!D162)-SUMIFS(M:M,D:D,"&lt;="&amp;D147,C:C,C147)-SUMIFS(AJ:AJ,D:D,"&lt;="&amp;D147,C:C,C147)+SUMIFS(N:N,D:D,"&lt;="&amp;D147,C:C,C147)+SUMIFS(P:P,D:D,"&lt;="&amp;D147,C:C,C147))</f>
        <v>0</v>
      </c>
      <c r="AM147" s="111">
        <f t="shared" si="45"/>
        <v>0</v>
      </c>
      <c r="AN147" s="111">
        <f t="shared" si="57"/>
        <v>0</v>
      </c>
      <c r="AO147" s="204" t="str">
        <f t="shared" si="48"/>
        <v/>
      </c>
    </row>
    <row r="148" spans="1:41" hidden="1" x14ac:dyDescent="0.25">
      <c r="A148" s="103" t="str">
        <f>Start!D$7</f>
        <v>Anyland</v>
      </c>
      <c r="B148" s="109" t="str">
        <f>VLOOKUP(A148,list!B:C,2,FALSE)</f>
        <v>ANY</v>
      </c>
      <c r="C148" s="104" t="str">
        <f>IF(Start!$C$25="","",Start!$C$25)</f>
        <v/>
      </c>
      <c r="D148" s="298">
        <f t="shared" ref="D148:D211" si="58">DATE(YEAR(D133),MONTH(D133)+1,1)</f>
        <v>44470</v>
      </c>
      <c r="E148" s="105" t="str">
        <f>IFERROR(VLOOKUP(C148,Start!C$15:D$31,2,FALSE),"No")</f>
        <v>No</v>
      </c>
      <c r="F148" s="105">
        <f t="shared" ref="F148:F211" si="59">V133</f>
        <v>0</v>
      </c>
      <c r="G148" s="106"/>
      <c r="H148" s="106"/>
      <c r="I148" s="106"/>
      <c r="J148" s="105">
        <f t="shared" si="50"/>
        <v>0</v>
      </c>
      <c r="K148" s="106"/>
      <c r="L148" s="177" t="str">
        <f t="shared" si="51"/>
        <v/>
      </c>
      <c r="M148" s="105">
        <f t="shared" si="52"/>
        <v>0</v>
      </c>
      <c r="N148" s="110"/>
      <c r="O148" s="124"/>
      <c r="P148" s="110"/>
      <c r="Q148" s="124"/>
      <c r="R148" s="111">
        <f>SUMIFS('Shipments data'!L:L,'Shipments data'!F:F,'Supply planning data'!C148,'Shipments data'!A:A,'Supply planning data'!A148,'Shipments data'!Y:Y,'Supply planning data'!D148,'Shipments data'!O:O,"received", 'Shipments data'!N:N, "Public")</f>
        <v>0</v>
      </c>
      <c r="S148" s="111">
        <f>SUMIFS('Shipments data'!L:L,'Shipments data'!F:F,'Supply planning data'!C148,'Shipments data'!A:A,'Supply planning data'!A148,'Shipments data'!Y:Y,'Supply planning data'!D148,'Shipments data'!O:O,"ordered", 'Shipments data'!N:N, "Public")</f>
        <v>0</v>
      </c>
      <c r="T148" s="111">
        <f>IF(SUMIFS('Shipments data'!L:L,'Shipments data'!F:F,'Supply planning data'!C148,'Shipments data'!A:A,'Supply planning data'!A148,'Shipments data'!O:O,"received",'Shipments data'!Q:Q,"&lt;"&amp;'Supply planning data'!D163,'Shipments data'!AC:AC,"&lt;"&amp;'Supply planning data'!D163)-SUMIFS(M:M,D:D,"&lt;="&amp;D148,C:C,C148)+SUMIFS(N:N,D:D,"&lt;="&amp;D148,C:C,C148)+SUMIFS(P:P,D:D,"&lt;="&amp;D148,C:C,C148)&lt;0,0,SUMIFS('Shipments data'!L:L,'Shipments data'!F:F,'Supply planning data'!C148,'Shipments data'!A:A,'Supply planning data'!A148,'Shipments data'!O:O,"received",'Shipments data'!Q:Q,"&lt;"&amp;'Supply planning data'!D163,'Shipments data'!AC:AC,"&lt;"&amp;'Supply planning data'!D163)-SUMIFS(M:M,D:D,"&lt;="&amp;D148,C:C,C148)+SUMIFS(N:N,D:D,"&lt;="&amp;D148,C:C,C148)+SUMIFS(P:P,D:D,"&lt;="&amp;D148,C:C,C148))</f>
        <v>0</v>
      </c>
      <c r="U148" s="112">
        <f t="shared" ref="U148:U211" si="60">IF(T148-T133&lt;0,0,T148-T133)</f>
        <v>0</v>
      </c>
      <c r="V148" s="111">
        <f t="shared" si="53"/>
        <v>0</v>
      </c>
      <c r="W148" s="204" t="str">
        <f t="shared" si="47"/>
        <v/>
      </c>
      <c r="X148" s="111">
        <f t="shared" ref="X148:X211" si="61">AE133</f>
        <v>0</v>
      </c>
      <c r="Y148" s="110"/>
      <c r="Z148" s="107"/>
      <c r="AA148" s="111">
        <f t="shared" si="54"/>
        <v>0</v>
      </c>
      <c r="AB148" s="235"/>
      <c r="AC148" s="111">
        <f>IF(SUMIFS('Shipments data'!L:L,'Shipments data'!F:F,'Supply planning data'!C148,'Shipments data'!A:A,'Supply planning data'!A148,'Shipments data'!O:O,"received",'Shipments data'!Q:Q,"&lt;"&amp;'Supply planning data'!D163,'Shipments data'!AC:AC,"&lt;"&amp;'Supply planning data'!D163)-SUMIFS(M:M,D:D,"&lt;="&amp;D148,C:C,C148)-SUMIFS(AA:AA,D:D,"&lt;="&amp;D148,C:C,C148)+SUMIFS(N:N,D:D,"&lt;="&amp;D148,C:C,C148)+SUMIFS(P:P,D:D,"&lt;="&amp;D148,C:C,C148)&lt;0,0,SUMIFS('Shipments data'!L:L,'Shipments data'!F:F,'Supply planning data'!C148,'Shipments data'!A:A,'Supply planning data'!A148,'Shipments data'!O:O,"received",'Shipments data'!Q:Q,"&lt;"&amp;'Supply planning data'!D163,'Shipments data'!AC:AC,"&lt;"&amp;'Supply planning data'!D163)-SUMIFS(M:M,D:D,"&lt;="&amp;D148,C:C,C148)-SUMIFS(AA:AA,D:D,"&lt;="&amp;D148,C:C,C148)+SUMIFS(N:N,D:D,"&lt;="&amp;D148,C:C,C148)+SUMIFS(P:P,D:D,"&lt;="&amp;D148,C:C,C148))</f>
        <v>0</v>
      </c>
      <c r="AD148" s="111">
        <f t="shared" ref="AD148:AD211" si="62">IF(AC148-AC133&lt;0,0,AC148-AC133)</f>
        <v>0</v>
      </c>
      <c r="AE148" s="111">
        <f t="shared" si="56"/>
        <v>0</v>
      </c>
      <c r="AF148" s="204" t="str">
        <f t="shared" si="46"/>
        <v/>
      </c>
      <c r="AG148" s="111">
        <f t="shared" ref="AG148:AG211" si="63">AN133</f>
        <v>0</v>
      </c>
      <c r="AH148" s="110"/>
      <c r="AI148" s="313"/>
      <c r="AJ148" s="111">
        <f t="shared" si="55"/>
        <v>0</v>
      </c>
      <c r="AK148" s="235"/>
      <c r="AL148" s="111">
        <f>IF(SUMIFS('Shipments data'!L:L,'Shipments data'!F:F,'Supply planning data'!C148,'Shipments data'!A:A,'Supply planning data'!A148,'Shipments data'!O:O,"received",'Shipments data'!Q:Q,"&lt;"&amp;'Supply planning data'!D163,'Shipments data'!AC:AC,"&lt;"&amp;'Supply planning data'!D163)-SUMIFS(M:M,D:D,"&lt;="&amp;D148,C:C,C148)-SUMIFS(AJ:AJ,D:D,"&lt;="&amp;D148,C:C,C148)+SUMIFS(N:N,D:D,"&lt;="&amp;D148,C:C,C148)+SUMIFS(P:P,D:D,"&lt;="&amp;D148,C:C,C148)&lt;0,0,SUMIFS('Shipments data'!L:L,'Shipments data'!F:F,'Supply planning data'!C148,'Shipments data'!A:A,'Supply planning data'!A148,'Shipments data'!O:O,"received",'Shipments data'!Q:Q,"&lt;"&amp;'Supply planning data'!D163,'Shipments data'!AC:AC,"&lt;"&amp;'Supply planning data'!D163)-SUMIFS(M:M,D:D,"&lt;="&amp;D148,C:C,C148)-SUMIFS(AJ:AJ,D:D,"&lt;="&amp;D148,C:C,C148)+SUMIFS(N:N,D:D,"&lt;="&amp;D148,C:C,C148)+SUMIFS(P:P,D:D,"&lt;="&amp;D148,C:C,C148))</f>
        <v>0</v>
      </c>
      <c r="AM148" s="111">
        <f t="shared" ref="AM148:AM211" si="64">IF(AL148-AL133&lt;0,0,AL148-AL133)</f>
        <v>0</v>
      </c>
      <c r="AN148" s="111">
        <f t="shared" si="57"/>
        <v>0</v>
      </c>
      <c r="AO148" s="204" t="str">
        <f t="shared" si="48"/>
        <v/>
      </c>
    </row>
    <row r="149" spans="1:41" hidden="1" x14ac:dyDescent="0.25">
      <c r="A149" s="103" t="str">
        <f>Start!D$7</f>
        <v>Anyland</v>
      </c>
      <c r="B149" s="109" t="str">
        <f>VLOOKUP(A149,list!B:C,2,FALSE)</f>
        <v>ANY</v>
      </c>
      <c r="C149" s="109" t="str">
        <f>IF(Start!$C$26="","",Start!$C$26)</f>
        <v/>
      </c>
      <c r="D149" s="298">
        <f t="shared" si="58"/>
        <v>44470</v>
      </c>
      <c r="E149" s="105" t="str">
        <f>IFERROR(VLOOKUP(C149,Start!C$15:D$31,2,FALSE),"No")</f>
        <v>No</v>
      </c>
      <c r="F149" s="105">
        <f t="shared" si="59"/>
        <v>0</v>
      </c>
      <c r="G149" s="106"/>
      <c r="H149" s="106"/>
      <c r="I149" s="106"/>
      <c r="J149" s="105">
        <f t="shared" si="50"/>
        <v>0</v>
      </c>
      <c r="K149" s="106"/>
      <c r="L149" s="177" t="str">
        <f t="shared" si="51"/>
        <v/>
      </c>
      <c r="M149" s="105">
        <f t="shared" si="52"/>
        <v>0</v>
      </c>
      <c r="N149" s="110"/>
      <c r="O149" s="124"/>
      <c r="P149" s="110"/>
      <c r="Q149" s="124"/>
      <c r="R149" s="111">
        <f>SUMIFS('Shipments data'!L:L,'Shipments data'!F:F,'Supply planning data'!C149,'Shipments data'!A:A,'Supply planning data'!A149,'Shipments data'!Y:Y,'Supply planning data'!D149,'Shipments data'!O:O,"received", 'Shipments data'!N:N, "Public")</f>
        <v>0</v>
      </c>
      <c r="S149" s="111">
        <f>SUMIFS('Shipments data'!L:L,'Shipments data'!F:F,'Supply planning data'!C149,'Shipments data'!A:A,'Supply planning data'!A149,'Shipments data'!Y:Y,'Supply planning data'!D149,'Shipments data'!O:O,"ordered", 'Shipments data'!N:N, "Public")</f>
        <v>0</v>
      </c>
      <c r="T149" s="111">
        <f>IF(SUMIFS('Shipments data'!L:L,'Shipments data'!F:F,'Supply planning data'!C149,'Shipments data'!A:A,'Supply planning data'!A149,'Shipments data'!O:O,"received",'Shipments data'!Q:Q,"&lt;"&amp;'Supply planning data'!D164,'Shipments data'!AC:AC,"&lt;"&amp;'Supply planning data'!D164)-SUMIFS(M:M,D:D,"&lt;="&amp;D149,C:C,C149)+SUMIFS(N:N,D:D,"&lt;="&amp;D149,C:C,C149)+SUMIFS(P:P,D:D,"&lt;="&amp;D149,C:C,C149)&lt;0,0,SUMIFS('Shipments data'!L:L,'Shipments data'!F:F,'Supply planning data'!C149,'Shipments data'!A:A,'Supply planning data'!A149,'Shipments data'!O:O,"received",'Shipments data'!Q:Q,"&lt;"&amp;'Supply planning data'!D164,'Shipments data'!AC:AC,"&lt;"&amp;'Supply planning data'!D164)-SUMIFS(M:M,D:D,"&lt;="&amp;D149,C:C,C149)+SUMIFS(N:N,D:D,"&lt;="&amp;D149,C:C,C149)+SUMIFS(P:P,D:D,"&lt;="&amp;D149,C:C,C149))</f>
        <v>0</v>
      </c>
      <c r="U149" s="112">
        <f t="shared" si="60"/>
        <v>0</v>
      </c>
      <c r="V149" s="111">
        <f t="shared" si="53"/>
        <v>0</v>
      </c>
      <c r="W149" s="204" t="str">
        <f t="shared" si="47"/>
        <v/>
      </c>
      <c r="X149" s="111">
        <f t="shared" si="61"/>
        <v>0</v>
      </c>
      <c r="Y149" s="110"/>
      <c r="Z149" s="107"/>
      <c r="AA149" s="111">
        <f t="shared" si="54"/>
        <v>0</v>
      </c>
      <c r="AB149" s="235"/>
      <c r="AC149" s="111">
        <f>IF(SUMIFS('Shipments data'!L:L,'Shipments data'!F:F,'Supply planning data'!C149,'Shipments data'!A:A,'Supply planning data'!A149,'Shipments data'!O:O,"received",'Shipments data'!Q:Q,"&lt;"&amp;'Supply planning data'!D164,'Shipments data'!AC:AC,"&lt;"&amp;'Supply planning data'!D164)-SUMIFS(M:M,D:D,"&lt;="&amp;D149,C:C,C149)-SUMIFS(AA:AA,D:D,"&lt;="&amp;D149,C:C,C149)+SUMIFS(N:N,D:D,"&lt;="&amp;D149,C:C,C149)+SUMIFS(P:P,D:D,"&lt;="&amp;D149,C:C,C149)&lt;0,0,SUMIFS('Shipments data'!L:L,'Shipments data'!F:F,'Supply planning data'!C149,'Shipments data'!A:A,'Supply planning data'!A149,'Shipments data'!O:O,"received",'Shipments data'!Q:Q,"&lt;"&amp;'Supply planning data'!D164,'Shipments data'!AC:AC,"&lt;"&amp;'Supply planning data'!D164)-SUMIFS(M:M,D:D,"&lt;="&amp;D149,C:C,C149)-SUMIFS(AA:AA,D:D,"&lt;="&amp;D149,C:C,C149)+SUMIFS(N:N,D:D,"&lt;="&amp;D149,C:C,C149)+SUMIFS(P:P,D:D,"&lt;="&amp;D149,C:C,C149))</f>
        <v>0</v>
      </c>
      <c r="AD149" s="111">
        <f t="shared" si="62"/>
        <v>0</v>
      </c>
      <c r="AE149" s="111">
        <f t="shared" si="56"/>
        <v>0</v>
      </c>
      <c r="AF149" s="204" t="str">
        <f t="shared" si="46"/>
        <v/>
      </c>
      <c r="AG149" s="111">
        <f t="shared" si="63"/>
        <v>0</v>
      </c>
      <c r="AH149" s="110"/>
      <c r="AI149" s="313"/>
      <c r="AJ149" s="111">
        <f t="shared" si="55"/>
        <v>0</v>
      </c>
      <c r="AK149" s="235"/>
      <c r="AL149" s="111">
        <f>IF(SUMIFS('Shipments data'!L:L,'Shipments data'!F:F,'Supply planning data'!C149,'Shipments data'!A:A,'Supply planning data'!A149,'Shipments data'!O:O,"received",'Shipments data'!Q:Q,"&lt;"&amp;'Supply planning data'!D164,'Shipments data'!AC:AC,"&lt;"&amp;'Supply planning data'!D164)-SUMIFS(M:M,D:D,"&lt;="&amp;D149,C:C,C149)-SUMIFS(AJ:AJ,D:D,"&lt;="&amp;D149,C:C,C149)+SUMIFS(N:N,D:D,"&lt;="&amp;D149,C:C,C149)+SUMIFS(P:P,D:D,"&lt;="&amp;D149,C:C,C149)&lt;0,0,SUMIFS('Shipments data'!L:L,'Shipments data'!F:F,'Supply planning data'!C149,'Shipments data'!A:A,'Supply planning data'!A149,'Shipments data'!O:O,"received",'Shipments data'!Q:Q,"&lt;"&amp;'Supply planning data'!D164,'Shipments data'!AC:AC,"&lt;"&amp;'Supply planning data'!D164)-SUMIFS(M:M,D:D,"&lt;="&amp;D149,C:C,C149)-SUMIFS(AJ:AJ,D:D,"&lt;="&amp;D149,C:C,C149)+SUMIFS(N:N,D:D,"&lt;="&amp;D149,C:C,C149)+SUMIFS(P:P,D:D,"&lt;="&amp;D149,C:C,C149))</f>
        <v>0</v>
      </c>
      <c r="AM149" s="111">
        <f t="shared" si="64"/>
        <v>0</v>
      </c>
      <c r="AN149" s="111">
        <f t="shared" si="57"/>
        <v>0</v>
      </c>
      <c r="AO149" s="204" t="str">
        <f t="shared" si="48"/>
        <v/>
      </c>
    </row>
    <row r="150" spans="1:41" hidden="1" x14ac:dyDescent="0.25">
      <c r="A150" s="103" t="str">
        <f>Start!D$7</f>
        <v>Anyland</v>
      </c>
      <c r="B150" s="109" t="str">
        <f>VLOOKUP(A150,list!B:C,2,FALSE)</f>
        <v>ANY</v>
      </c>
      <c r="C150" s="104" t="str">
        <f>IF(Start!$C$27="","",Start!$C$27)</f>
        <v/>
      </c>
      <c r="D150" s="298">
        <f t="shared" si="58"/>
        <v>44470</v>
      </c>
      <c r="E150" s="105" t="str">
        <f>IFERROR(VLOOKUP(C150,Start!C$15:D$31,2,FALSE),"No")</f>
        <v>No</v>
      </c>
      <c r="F150" s="105">
        <f t="shared" si="59"/>
        <v>0</v>
      </c>
      <c r="G150" s="106"/>
      <c r="H150" s="106"/>
      <c r="I150" s="106"/>
      <c r="J150" s="105">
        <f t="shared" si="50"/>
        <v>0</v>
      </c>
      <c r="K150" s="106"/>
      <c r="L150" s="177" t="str">
        <f t="shared" si="51"/>
        <v/>
      </c>
      <c r="M150" s="105">
        <f t="shared" si="52"/>
        <v>0</v>
      </c>
      <c r="N150" s="110"/>
      <c r="O150" s="124"/>
      <c r="P150" s="110"/>
      <c r="Q150" s="124"/>
      <c r="R150" s="111">
        <f>SUMIFS('Shipments data'!L:L,'Shipments data'!F:F,'Supply planning data'!C150,'Shipments data'!A:A,'Supply planning data'!A150,'Shipments data'!Y:Y,'Supply planning data'!D150,'Shipments data'!O:O,"received", 'Shipments data'!N:N, "Public")</f>
        <v>0</v>
      </c>
      <c r="S150" s="111">
        <f>SUMIFS('Shipments data'!L:L,'Shipments data'!F:F,'Supply planning data'!C150,'Shipments data'!A:A,'Supply planning data'!A150,'Shipments data'!Y:Y,'Supply planning data'!D150,'Shipments data'!O:O,"ordered", 'Shipments data'!N:N, "Public")</f>
        <v>0</v>
      </c>
      <c r="T150" s="111">
        <f>IF(SUMIFS('Shipments data'!L:L,'Shipments data'!F:F,'Supply planning data'!C150,'Shipments data'!A:A,'Supply planning data'!A150,'Shipments data'!O:O,"received",'Shipments data'!Q:Q,"&lt;"&amp;'Supply planning data'!D165,'Shipments data'!AC:AC,"&lt;"&amp;'Supply planning data'!D165)-SUMIFS(M:M,D:D,"&lt;="&amp;D150,C:C,C150)+SUMIFS(N:N,D:D,"&lt;="&amp;D150,C:C,C150)+SUMIFS(P:P,D:D,"&lt;="&amp;D150,C:C,C150)&lt;0,0,SUMIFS('Shipments data'!L:L,'Shipments data'!F:F,'Supply planning data'!C150,'Shipments data'!A:A,'Supply planning data'!A150,'Shipments data'!O:O,"received",'Shipments data'!Q:Q,"&lt;"&amp;'Supply planning data'!D165,'Shipments data'!AC:AC,"&lt;"&amp;'Supply planning data'!D165)-SUMIFS(M:M,D:D,"&lt;="&amp;D150,C:C,C150)+SUMIFS(N:N,D:D,"&lt;="&amp;D150,C:C,C150)+SUMIFS(P:P,D:D,"&lt;="&amp;D150,C:C,C150))</f>
        <v>0</v>
      </c>
      <c r="U150" s="112">
        <f t="shared" si="60"/>
        <v>0</v>
      </c>
      <c r="V150" s="111">
        <f t="shared" si="53"/>
        <v>0</v>
      </c>
      <c r="W150" s="204" t="str">
        <f t="shared" si="47"/>
        <v/>
      </c>
      <c r="X150" s="111">
        <f t="shared" si="61"/>
        <v>0</v>
      </c>
      <c r="Y150" s="110"/>
      <c r="Z150" s="107"/>
      <c r="AA150" s="111">
        <f t="shared" si="54"/>
        <v>0</v>
      </c>
      <c r="AB150" s="235"/>
      <c r="AC150" s="111">
        <f>IF(SUMIFS('Shipments data'!L:L,'Shipments data'!F:F,'Supply planning data'!C150,'Shipments data'!A:A,'Supply planning data'!A150,'Shipments data'!O:O,"received",'Shipments data'!Q:Q,"&lt;"&amp;'Supply planning data'!D165,'Shipments data'!AC:AC,"&lt;"&amp;'Supply planning data'!D165)-SUMIFS(M:M,D:D,"&lt;="&amp;D150,C:C,C150)-SUMIFS(AA:AA,D:D,"&lt;="&amp;D150,C:C,C150)+SUMIFS(N:N,D:D,"&lt;="&amp;D150,C:C,C150)+SUMIFS(P:P,D:D,"&lt;="&amp;D150,C:C,C150)&lt;0,0,SUMIFS('Shipments data'!L:L,'Shipments data'!F:F,'Supply planning data'!C150,'Shipments data'!A:A,'Supply planning data'!A150,'Shipments data'!O:O,"received",'Shipments data'!Q:Q,"&lt;"&amp;'Supply planning data'!D165,'Shipments data'!AC:AC,"&lt;"&amp;'Supply planning data'!D165)-SUMIFS(M:M,D:D,"&lt;="&amp;D150,C:C,C150)-SUMIFS(AA:AA,D:D,"&lt;="&amp;D150,C:C,C150)+SUMIFS(N:N,D:D,"&lt;="&amp;D150,C:C,C150)+SUMIFS(P:P,D:D,"&lt;="&amp;D150,C:C,C150))</f>
        <v>0</v>
      </c>
      <c r="AD150" s="111">
        <f t="shared" si="62"/>
        <v>0</v>
      </c>
      <c r="AE150" s="111">
        <f t="shared" si="56"/>
        <v>0</v>
      </c>
      <c r="AF150" s="204" t="str">
        <f t="shared" si="46"/>
        <v/>
      </c>
      <c r="AG150" s="111">
        <f t="shared" si="63"/>
        <v>0</v>
      </c>
      <c r="AH150" s="110"/>
      <c r="AI150" s="313"/>
      <c r="AJ150" s="111">
        <f t="shared" si="55"/>
        <v>0</v>
      </c>
      <c r="AK150" s="235"/>
      <c r="AL150" s="111">
        <f>IF(SUMIFS('Shipments data'!L:L,'Shipments data'!F:F,'Supply planning data'!C150,'Shipments data'!A:A,'Supply planning data'!A150,'Shipments data'!O:O,"received",'Shipments data'!Q:Q,"&lt;"&amp;'Supply planning data'!D165,'Shipments data'!AC:AC,"&lt;"&amp;'Supply planning data'!D165)-SUMIFS(M:M,D:D,"&lt;="&amp;D150,C:C,C150)-SUMIFS(AJ:AJ,D:D,"&lt;="&amp;D150,C:C,C150)+SUMIFS(N:N,D:D,"&lt;="&amp;D150,C:C,C150)+SUMIFS(P:P,D:D,"&lt;="&amp;D150,C:C,C150)&lt;0,0,SUMIFS('Shipments data'!L:L,'Shipments data'!F:F,'Supply planning data'!C150,'Shipments data'!A:A,'Supply planning data'!A150,'Shipments data'!O:O,"received",'Shipments data'!Q:Q,"&lt;"&amp;'Supply planning data'!D165,'Shipments data'!AC:AC,"&lt;"&amp;'Supply planning data'!D165)-SUMIFS(M:M,D:D,"&lt;="&amp;D150,C:C,C150)-SUMIFS(AJ:AJ,D:D,"&lt;="&amp;D150,C:C,C150)+SUMIFS(N:N,D:D,"&lt;="&amp;D150,C:C,C150)+SUMIFS(P:P,D:D,"&lt;="&amp;D150,C:C,C150))</f>
        <v>0</v>
      </c>
      <c r="AM150" s="111">
        <f t="shared" si="64"/>
        <v>0</v>
      </c>
      <c r="AN150" s="111">
        <f t="shared" si="57"/>
        <v>0</v>
      </c>
      <c r="AO150" s="204" t="str">
        <f t="shared" si="48"/>
        <v/>
      </c>
    </row>
    <row r="151" spans="1:41" hidden="1" x14ac:dyDescent="0.25">
      <c r="A151" s="103" t="str">
        <f>Start!D$7</f>
        <v>Anyland</v>
      </c>
      <c r="B151" s="109" t="str">
        <f>VLOOKUP(A151,list!B:C,2,FALSE)</f>
        <v>ANY</v>
      </c>
      <c r="C151" s="109" t="str">
        <f>IF(Start!$C$28="","",Start!$C$28)</f>
        <v/>
      </c>
      <c r="D151" s="298">
        <f t="shared" si="58"/>
        <v>44470</v>
      </c>
      <c r="E151" s="105" t="str">
        <f>IFERROR(VLOOKUP(C151,Start!C$15:D$31,2,FALSE),"No")</f>
        <v>No</v>
      </c>
      <c r="F151" s="105">
        <f t="shared" si="59"/>
        <v>0</v>
      </c>
      <c r="G151" s="106"/>
      <c r="H151" s="106"/>
      <c r="I151" s="106"/>
      <c r="J151" s="105">
        <f t="shared" si="50"/>
        <v>0</v>
      </c>
      <c r="K151" s="106"/>
      <c r="L151" s="177" t="str">
        <f t="shared" si="51"/>
        <v/>
      </c>
      <c r="M151" s="105">
        <f t="shared" si="52"/>
        <v>0</v>
      </c>
      <c r="N151" s="110"/>
      <c r="O151" s="124"/>
      <c r="P151" s="110"/>
      <c r="Q151" s="124"/>
      <c r="R151" s="111">
        <f>SUMIFS('Shipments data'!L:L,'Shipments data'!F:F,'Supply planning data'!C151,'Shipments data'!A:A,'Supply planning data'!A151,'Shipments data'!Y:Y,'Supply planning data'!D151,'Shipments data'!O:O,"received", 'Shipments data'!N:N, "Public")</f>
        <v>0</v>
      </c>
      <c r="S151" s="111">
        <f>SUMIFS('Shipments data'!L:L,'Shipments data'!F:F,'Supply planning data'!C151,'Shipments data'!A:A,'Supply planning data'!A151,'Shipments data'!Y:Y,'Supply planning data'!D151,'Shipments data'!O:O,"ordered", 'Shipments data'!N:N, "Public")</f>
        <v>0</v>
      </c>
      <c r="T151" s="111">
        <f>IF(SUMIFS('Shipments data'!L:L,'Shipments data'!F:F,'Supply planning data'!C151,'Shipments data'!A:A,'Supply planning data'!A151,'Shipments data'!O:O,"received",'Shipments data'!Q:Q,"&lt;"&amp;'Supply planning data'!D166,'Shipments data'!AC:AC,"&lt;"&amp;'Supply planning data'!D166)-SUMIFS(M:M,D:D,"&lt;="&amp;D151,C:C,C151)+SUMIFS(N:N,D:D,"&lt;="&amp;D151,C:C,C151)+SUMIFS(P:P,D:D,"&lt;="&amp;D151,C:C,C151)&lt;0,0,SUMIFS('Shipments data'!L:L,'Shipments data'!F:F,'Supply planning data'!C151,'Shipments data'!A:A,'Supply planning data'!A151,'Shipments data'!O:O,"received",'Shipments data'!Q:Q,"&lt;"&amp;'Supply planning data'!D166,'Shipments data'!AC:AC,"&lt;"&amp;'Supply planning data'!D166)-SUMIFS(M:M,D:D,"&lt;="&amp;D151,C:C,C151)+SUMIFS(N:N,D:D,"&lt;="&amp;D151,C:C,C151)+SUMIFS(P:P,D:D,"&lt;="&amp;D151,C:C,C151))</f>
        <v>0</v>
      </c>
      <c r="U151" s="112">
        <f t="shared" si="60"/>
        <v>0</v>
      </c>
      <c r="V151" s="111">
        <f t="shared" si="53"/>
        <v>0</v>
      </c>
      <c r="W151" s="204" t="str">
        <f t="shared" si="47"/>
        <v/>
      </c>
      <c r="X151" s="111">
        <f t="shared" si="61"/>
        <v>0</v>
      </c>
      <c r="Y151" s="110"/>
      <c r="Z151" s="107"/>
      <c r="AA151" s="111">
        <f t="shared" si="54"/>
        <v>0</v>
      </c>
      <c r="AB151" s="235"/>
      <c r="AC151" s="111">
        <f>IF(SUMIFS('Shipments data'!L:L,'Shipments data'!F:F,'Supply planning data'!C151,'Shipments data'!A:A,'Supply planning data'!A151,'Shipments data'!O:O,"received",'Shipments data'!Q:Q,"&lt;"&amp;'Supply planning data'!D166,'Shipments data'!AC:AC,"&lt;"&amp;'Supply planning data'!D166)-SUMIFS(M:M,D:D,"&lt;="&amp;D151,C:C,C151)-SUMIFS(AA:AA,D:D,"&lt;="&amp;D151,C:C,C151)+SUMIFS(N:N,D:D,"&lt;="&amp;D151,C:C,C151)+SUMIFS(P:P,D:D,"&lt;="&amp;D151,C:C,C151)&lt;0,0,SUMIFS('Shipments data'!L:L,'Shipments data'!F:F,'Supply planning data'!C151,'Shipments data'!A:A,'Supply planning data'!A151,'Shipments data'!O:O,"received",'Shipments data'!Q:Q,"&lt;"&amp;'Supply planning data'!D166,'Shipments data'!AC:AC,"&lt;"&amp;'Supply planning data'!D166)-SUMIFS(M:M,D:D,"&lt;="&amp;D151,C:C,C151)-SUMIFS(AA:AA,D:D,"&lt;="&amp;D151,C:C,C151)+SUMIFS(N:N,D:D,"&lt;="&amp;D151,C:C,C151)+SUMIFS(P:P,D:D,"&lt;="&amp;D151,C:C,C151))</f>
        <v>0</v>
      </c>
      <c r="AD151" s="111">
        <f t="shared" si="62"/>
        <v>0</v>
      </c>
      <c r="AE151" s="111">
        <f t="shared" si="56"/>
        <v>0</v>
      </c>
      <c r="AF151" s="204" t="str">
        <f t="shared" si="46"/>
        <v/>
      </c>
      <c r="AG151" s="111">
        <f t="shared" si="63"/>
        <v>0</v>
      </c>
      <c r="AH151" s="110"/>
      <c r="AI151" s="313"/>
      <c r="AJ151" s="111">
        <f t="shared" si="55"/>
        <v>0</v>
      </c>
      <c r="AK151" s="235"/>
      <c r="AL151" s="111">
        <f>IF(SUMIFS('Shipments data'!L:L,'Shipments data'!F:F,'Supply planning data'!C151,'Shipments data'!A:A,'Supply planning data'!A151,'Shipments data'!O:O,"received",'Shipments data'!Q:Q,"&lt;"&amp;'Supply planning data'!D166,'Shipments data'!AC:AC,"&lt;"&amp;'Supply planning data'!D166)-SUMIFS(M:M,D:D,"&lt;="&amp;D151,C:C,C151)-SUMIFS(AJ:AJ,D:D,"&lt;="&amp;D151,C:C,C151)+SUMIFS(N:N,D:D,"&lt;="&amp;D151,C:C,C151)+SUMIFS(P:P,D:D,"&lt;="&amp;D151,C:C,C151)&lt;0,0,SUMIFS('Shipments data'!L:L,'Shipments data'!F:F,'Supply planning data'!C151,'Shipments data'!A:A,'Supply planning data'!A151,'Shipments data'!O:O,"received",'Shipments data'!Q:Q,"&lt;"&amp;'Supply planning data'!D166,'Shipments data'!AC:AC,"&lt;"&amp;'Supply planning data'!D166)-SUMIFS(M:M,D:D,"&lt;="&amp;D151,C:C,C151)-SUMIFS(AJ:AJ,D:D,"&lt;="&amp;D151,C:C,C151)+SUMIFS(N:N,D:D,"&lt;="&amp;D151,C:C,C151)+SUMIFS(P:P,D:D,"&lt;="&amp;D151,C:C,C151))</f>
        <v>0</v>
      </c>
      <c r="AM151" s="111">
        <f t="shared" si="64"/>
        <v>0</v>
      </c>
      <c r="AN151" s="111">
        <f t="shared" si="57"/>
        <v>0</v>
      </c>
      <c r="AO151" s="204" t="str">
        <f t="shared" si="48"/>
        <v/>
      </c>
    </row>
    <row r="152" spans="1:41" hidden="1" x14ac:dyDescent="0.25">
      <c r="A152" s="103" t="str">
        <f>Start!D$7</f>
        <v>Anyland</v>
      </c>
      <c r="B152" s="109" t="str">
        <f>VLOOKUP(A152,list!B:C,2,FALSE)</f>
        <v>ANY</v>
      </c>
      <c r="C152" s="104" t="str">
        <f>IF(Start!$C$29="","",Start!$C$29)</f>
        <v/>
      </c>
      <c r="D152" s="298">
        <f t="shared" si="58"/>
        <v>44470</v>
      </c>
      <c r="E152" s="105" t="str">
        <f>IFERROR(VLOOKUP(C152,Start!C$15:D$31,2,FALSE),"No")</f>
        <v>No</v>
      </c>
      <c r="F152" s="105">
        <f t="shared" si="59"/>
        <v>0</v>
      </c>
      <c r="G152" s="106"/>
      <c r="H152" s="106"/>
      <c r="I152" s="106"/>
      <c r="J152" s="105">
        <f t="shared" si="50"/>
        <v>0</v>
      </c>
      <c r="K152" s="106"/>
      <c r="L152" s="177" t="str">
        <f t="shared" si="51"/>
        <v/>
      </c>
      <c r="M152" s="105">
        <f t="shared" si="52"/>
        <v>0</v>
      </c>
      <c r="N152" s="110"/>
      <c r="O152" s="124"/>
      <c r="P152" s="110"/>
      <c r="Q152" s="124"/>
      <c r="R152" s="111">
        <f>SUMIFS('Shipments data'!L:L,'Shipments data'!F:F,'Supply planning data'!C152,'Shipments data'!A:A,'Supply planning data'!A152,'Shipments data'!Y:Y,'Supply planning data'!D152,'Shipments data'!O:O,"received", 'Shipments data'!N:N, "Public")</f>
        <v>0</v>
      </c>
      <c r="S152" s="111">
        <f>SUMIFS('Shipments data'!L:L,'Shipments data'!F:F,'Supply planning data'!C152,'Shipments data'!A:A,'Supply planning data'!A152,'Shipments data'!Y:Y,'Supply planning data'!D152,'Shipments data'!O:O,"ordered", 'Shipments data'!N:N, "Public")</f>
        <v>0</v>
      </c>
      <c r="T152" s="111">
        <f>IF(SUMIFS('Shipments data'!L:L,'Shipments data'!F:F,'Supply planning data'!C152,'Shipments data'!A:A,'Supply planning data'!A152,'Shipments data'!O:O,"received",'Shipments data'!Q:Q,"&lt;"&amp;'Supply planning data'!D167,'Shipments data'!AC:AC,"&lt;"&amp;'Supply planning data'!D167)-SUMIFS(M:M,D:D,"&lt;="&amp;D152,C:C,C152)+SUMIFS(N:N,D:D,"&lt;="&amp;D152,C:C,C152)+SUMIFS(P:P,D:D,"&lt;="&amp;D152,C:C,C152)&lt;0,0,SUMIFS('Shipments data'!L:L,'Shipments data'!F:F,'Supply planning data'!C152,'Shipments data'!A:A,'Supply planning data'!A152,'Shipments data'!O:O,"received",'Shipments data'!Q:Q,"&lt;"&amp;'Supply planning data'!D167,'Shipments data'!AC:AC,"&lt;"&amp;'Supply planning data'!D167)-SUMIFS(M:M,D:D,"&lt;="&amp;D152,C:C,C152)+SUMIFS(N:N,D:D,"&lt;="&amp;D152,C:C,C152)+SUMIFS(P:P,D:D,"&lt;="&amp;D152,C:C,C152))</f>
        <v>0</v>
      </c>
      <c r="U152" s="112">
        <f t="shared" si="60"/>
        <v>0</v>
      </c>
      <c r="V152" s="111">
        <f t="shared" si="53"/>
        <v>0</v>
      </c>
      <c r="W152" s="204" t="str">
        <f t="shared" si="47"/>
        <v/>
      </c>
      <c r="X152" s="111">
        <f t="shared" si="61"/>
        <v>0</v>
      </c>
      <c r="Y152" s="110"/>
      <c r="Z152" s="107"/>
      <c r="AA152" s="111">
        <f t="shared" si="54"/>
        <v>0</v>
      </c>
      <c r="AB152" s="235"/>
      <c r="AC152" s="111">
        <f>IF(SUMIFS('Shipments data'!L:L,'Shipments data'!F:F,'Supply planning data'!C152,'Shipments data'!A:A,'Supply planning data'!A152,'Shipments data'!O:O,"received",'Shipments data'!Q:Q,"&lt;"&amp;'Supply planning data'!D167,'Shipments data'!AC:AC,"&lt;"&amp;'Supply planning data'!D167)-SUMIFS(M:M,D:D,"&lt;="&amp;D152,C:C,C152)-SUMIFS(AA:AA,D:D,"&lt;="&amp;D152,C:C,C152)+SUMIFS(N:N,D:D,"&lt;="&amp;D152,C:C,C152)+SUMIFS(P:P,D:D,"&lt;="&amp;D152,C:C,C152)&lt;0,0,SUMIFS('Shipments data'!L:L,'Shipments data'!F:F,'Supply planning data'!C152,'Shipments data'!A:A,'Supply planning data'!A152,'Shipments data'!O:O,"received",'Shipments data'!Q:Q,"&lt;"&amp;'Supply planning data'!D167,'Shipments data'!AC:AC,"&lt;"&amp;'Supply planning data'!D167)-SUMIFS(M:M,D:D,"&lt;="&amp;D152,C:C,C152)-SUMIFS(AA:AA,D:D,"&lt;="&amp;D152,C:C,C152)+SUMIFS(N:N,D:D,"&lt;="&amp;D152,C:C,C152)+SUMIFS(P:P,D:D,"&lt;="&amp;D152,C:C,C152))</f>
        <v>0</v>
      </c>
      <c r="AD152" s="111">
        <f t="shared" si="62"/>
        <v>0</v>
      </c>
      <c r="AE152" s="111">
        <f t="shared" si="56"/>
        <v>0</v>
      </c>
      <c r="AF152" s="204" t="str">
        <f t="shared" si="46"/>
        <v/>
      </c>
      <c r="AG152" s="111">
        <f t="shared" si="63"/>
        <v>0</v>
      </c>
      <c r="AH152" s="110"/>
      <c r="AI152" s="313"/>
      <c r="AJ152" s="111">
        <f t="shared" si="55"/>
        <v>0</v>
      </c>
      <c r="AK152" s="235"/>
      <c r="AL152" s="111">
        <f>IF(SUMIFS('Shipments data'!L:L,'Shipments data'!F:F,'Supply planning data'!C152,'Shipments data'!A:A,'Supply planning data'!A152,'Shipments data'!O:O,"received",'Shipments data'!Q:Q,"&lt;"&amp;'Supply planning data'!D167,'Shipments data'!AC:AC,"&lt;"&amp;'Supply planning data'!D167)-SUMIFS(M:M,D:D,"&lt;="&amp;D152,C:C,C152)-SUMIFS(AJ:AJ,D:D,"&lt;="&amp;D152,C:C,C152)+SUMIFS(N:N,D:D,"&lt;="&amp;D152,C:C,C152)+SUMIFS(P:P,D:D,"&lt;="&amp;D152,C:C,C152)&lt;0,0,SUMIFS('Shipments data'!L:L,'Shipments data'!F:F,'Supply planning data'!C152,'Shipments data'!A:A,'Supply planning data'!A152,'Shipments data'!O:O,"received",'Shipments data'!Q:Q,"&lt;"&amp;'Supply planning data'!D167,'Shipments data'!AC:AC,"&lt;"&amp;'Supply planning data'!D167)-SUMIFS(M:M,D:D,"&lt;="&amp;D152,C:C,C152)-SUMIFS(AJ:AJ,D:D,"&lt;="&amp;D152,C:C,C152)+SUMIFS(N:N,D:D,"&lt;="&amp;D152,C:C,C152)+SUMIFS(P:P,D:D,"&lt;="&amp;D152,C:C,C152))</f>
        <v>0</v>
      </c>
      <c r="AM152" s="111">
        <f t="shared" si="64"/>
        <v>0</v>
      </c>
      <c r="AN152" s="111">
        <f t="shared" si="57"/>
        <v>0</v>
      </c>
      <c r="AO152" s="204" t="str">
        <f t="shared" si="48"/>
        <v/>
      </c>
    </row>
    <row r="153" spans="1:41" hidden="1" x14ac:dyDescent="0.25">
      <c r="A153" s="103" t="str">
        <f>Start!D$7</f>
        <v>Anyland</v>
      </c>
      <c r="B153" s="109" t="str">
        <f>VLOOKUP(A153,list!B:C,2,FALSE)</f>
        <v>ANY</v>
      </c>
      <c r="C153" s="109" t="str">
        <f>IF(Start!$C$30="","",Start!$C$30)</f>
        <v/>
      </c>
      <c r="D153" s="298">
        <f t="shared" si="58"/>
        <v>44470</v>
      </c>
      <c r="E153" s="105" t="str">
        <f>IFERROR(VLOOKUP(C153,Start!C$15:D$31,2,FALSE),"No")</f>
        <v>No</v>
      </c>
      <c r="F153" s="105">
        <f t="shared" si="59"/>
        <v>0</v>
      </c>
      <c r="G153" s="106"/>
      <c r="H153" s="106"/>
      <c r="I153" s="106"/>
      <c r="J153" s="105">
        <f t="shared" si="50"/>
        <v>0</v>
      </c>
      <c r="K153" s="106"/>
      <c r="L153" s="177" t="str">
        <f t="shared" si="51"/>
        <v/>
      </c>
      <c r="M153" s="105">
        <f t="shared" si="52"/>
        <v>0</v>
      </c>
      <c r="N153" s="110"/>
      <c r="O153" s="124"/>
      <c r="P153" s="110"/>
      <c r="Q153" s="124"/>
      <c r="R153" s="111">
        <f>SUMIFS('Shipments data'!L:L,'Shipments data'!F:F,'Supply planning data'!C153,'Shipments data'!A:A,'Supply planning data'!A153,'Shipments data'!Y:Y,'Supply planning data'!D153,'Shipments data'!O:O,"received", 'Shipments data'!N:N, "Public")</f>
        <v>0</v>
      </c>
      <c r="S153" s="111">
        <f>SUMIFS('Shipments data'!L:L,'Shipments data'!F:F,'Supply planning data'!C153,'Shipments data'!A:A,'Supply planning data'!A153,'Shipments data'!Y:Y,'Supply planning data'!D153,'Shipments data'!O:O,"ordered", 'Shipments data'!N:N, "Public")</f>
        <v>0</v>
      </c>
      <c r="T153" s="111">
        <f>IF(SUMIFS('Shipments data'!L:L,'Shipments data'!F:F,'Supply planning data'!C153,'Shipments data'!A:A,'Supply planning data'!A153,'Shipments data'!O:O,"received",'Shipments data'!Q:Q,"&lt;"&amp;'Supply planning data'!D168,'Shipments data'!AC:AC,"&lt;"&amp;'Supply planning data'!D168)-SUMIFS(M:M,D:D,"&lt;="&amp;D153,C:C,C153)+SUMIFS(N:N,D:D,"&lt;="&amp;D153,C:C,C153)+SUMIFS(P:P,D:D,"&lt;="&amp;D153,C:C,C153)&lt;0,0,SUMIFS('Shipments data'!L:L,'Shipments data'!F:F,'Supply planning data'!C153,'Shipments data'!A:A,'Supply planning data'!A153,'Shipments data'!O:O,"received",'Shipments data'!Q:Q,"&lt;"&amp;'Supply planning data'!D168,'Shipments data'!AC:AC,"&lt;"&amp;'Supply planning data'!D168)-SUMIFS(M:M,D:D,"&lt;="&amp;D153,C:C,C153)+SUMIFS(N:N,D:D,"&lt;="&amp;D153,C:C,C153)+SUMIFS(P:P,D:D,"&lt;="&amp;D153,C:C,C153))</f>
        <v>0</v>
      </c>
      <c r="U153" s="112">
        <f t="shared" si="60"/>
        <v>0</v>
      </c>
      <c r="V153" s="111">
        <f t="shared" si="53"/>
        <v>0</v>
      </c>
      <c r="W153" s="204" t="str">
        <f t="shared" si="47"/>
        <v/>
      </c>
      <c r="X153" s="111">
        <f t="shared" si="61"/>
        <v>0</v>
      </c>
      <c r="Y153" s="110"/>
      <c r="Z153" s="107"/>
      <c r="AA153" s="111">
        <f t="shared" si="54"/>
        <v>0</v>
      </c>
      <c r="AB153" s="235"/>
      <c r="AC153" s="111">
        <f>IF(SUMIFS('Shipments data'!L:L,'Shipments data'!F:F,'Supply planning data'!C153,'Shipments data'!A:A,'Supply planning data'!A153,'Shipments data'!O:O,"received",'Shipments data'!Q:Q,"&lt;"&amp;'Supply planning data'!D168,'Shipments data'!AC:AC,"&lt;"&amp;'Supply planning data'!D168)-SUMIFS(M:M,D:D,"&lt;="&amp;D153,C:C,C153)-SUMIFS(AA:AA,D:D,"&lt;="&amp;D153,C:C,C153)+SUMIFS(N:N,D:D,"&lt;="&amp;D153,C:C,C153)+SUMIFS(P:P,D:D,"&lt;="&amp;D153,C:C,C153)&lt;0,0,SUMIFS('Shipments data'!L:L,'Shipments data'!F:F,'Supply planning data'!C153,'Shipments data'!A:A,'Supply planning data'!A153,'Shipments data'!O:O,"received",'Shipments data'!Q:Q,"&lt;"&amp;'Supply planning data'!D168,'Shipments data'!AC:AC,"&lt;"&amp;'Supply planning data'!D168)-SUMIFS(M:M,D:D,"&lt;="&amp;D153,C:C,C153)-SUMIFS(AA:AA,D:D,"&lt;="&amp;D153,C:C,C153)+SUMIFS(N:N,D:D,"&lt;="&amp;D153,C:C,C153)+SUMIFS(P:P,D:D,"&lt;="&amp;D153,C:C,C153))</f>
        <v>0</v>
      </c>
      <c r="AD153" s="111">
        <f t="shared" si="62"/>
        <v>0</v>
      </c>
      <c r="AE153" s="111">
        <f t="shared" si="56"/>
        <v>0</v>
      </c>
      <c r="AF153" s="204" t="str">
        <f t="shared" si="46"/>
        <v/>
      </c>
      <c r="AG153" s="111">
        <f t="shared" si="63"/>
        <v>0</v>
      </c>
      <c r="AH153" s="110"/>
      <c r="AI153" s="313"/>
      <c r="AJ153" s="111">
        <f t="shared" si="55"/>
        <v>0</v>
      </c>
      <c r="AK153" s="235"/>
      <c r="AL153" s="111">
        <f>IF(SUMIFS('Shipments data'!L:L,'Shipments data'!F:F,'Supply planning data'!C153,'Shipments data'!A:A,'Supply planning data'!A153,'Shipments data'!O:O,"received",'Shipments data'!Q:Q,"&lt;"&amp;'Supply planning data'!D168,'Shipments data'!AC:AC,"&lt;"&amp;'Supply planning data'!D168)-SUMIFS(M:M,D:D,"&lt;="&amp;D153,C:C,C153)-SUMIFS(AJ:AJ,D:D,"&lt;="&amp;D153,C:C,C153)+SUMIFS(N:N,D:D,"&lt;="&amp;D153,C:C,C153)+SUMIFS(P:P,D:D,"&lt;="&amp;D153,C:C,C153)&lt;0,0,SUMIFS('Shipments data'!L:L,'Shipments data'!F:F,'Supply planning data'!C153,'Shipments data'!A:A,'Supply planning data'!A153,'Shipments data'!O:O,"received",'Shipments data'!Q:Q,"&lt;"&amp;'Supply planning data'!D168,'Shipments data'!AC:AC,"&lt;"&amp;'Supply planning data'!D168)-SUMIFS(M:M,D:D,"&lt;="&amp;D153,C:C,C153)-SUMIFS(AJ:AJ,D:D,"&lt;="&amp;D153,C:C,C153)+SUMIFS(N:N,D:D,"&lt;="&amp;D153,C:C,C153)+SUMIFS(P:P,D:D,"&lt;="&amp;D153,C:C,C153))</f>
        <v>0</v>
      </c>
      <c r="AM153" s="111">
        <f t="shared" si="64"/>
        <v>0</v>
      </c>
      <c r="AN153" s="111">
        <f t="shared" si="57"/>
        <v>0</v>
      </c>
      <c r="AO153" s="204" t="str">
        <f t="shared" si="48"/>
        <v/>
      </c>
    </row>
    <row r="154" spans="1:41" hidden="1" x14ac:dyDescent="0.25">
      <c r="A154" s="113" t="str">
        <f>Start!D$7</f>
        <v>Anyland</v>
      </c>
      <c r="B154" s="114" t="str">
        <f>VLOOKUP(A154,list!B:C,2,FALSE)</f>
        <v>ANY</v>
      </c>
      <c r="C154" s="104" t="str">
        <f>IF(Start!$C$31="","",Start!$C$31)</f>
        <v/>
      </c>
      <c r="D154" s="298">
        <f t="shared" si="58"/>
        <v>44470</v>
      </c>
      <c r="E154" s="105" t="str">
        <f>IFERROR(VLOOKUP(C154,Start!C$15:D$31,2,FALSE),"No")</f>
        <v>No</v>
      </c>
      <c r="F154" s="105">
        <f t="shared" si="59"/>
        <v>0</v>
      </c>
      <c r="G154" s="106"/>
      <c r="H154" s="106"/>
      <c r="I154" s="106"/>
      <c r="J154" s="105">
        <f t="shared" si="50"/>
        <v>0</v>
      </c>
      <c r="K154" s="106"/>
      <c r="L154" s="177" t="str">
        <f t="shared" si="51"/>
        <v/>
      </c>
      <c r="M154" s="105">
        <f t="shared" si="52"/>
        <v>0</v>
      </c>
      <c r="N154" s="110"/>
      <c r="O154" s="124"/>
      <c r="P154" s="110"/>
      <c r="Q154" s="124"/>
      <c r="R154" s="111">
        <f>SUMIFS('Shipments data'!L:L,'Shipments data'!F:F,'Supply planning data'!C154,'Shipments data'!A:A,'Supply planning data'!A154,'Shipments data'!Y:Y,'Supply planning data'!D154,'Shipments data'!O:O,"received", 'Shipments data'!N:N, "Public")</f>
        <v>0</v>
      </c>
      <c r="S154" s="111">
        <f>SUMIFS('Shipments data'!L:L,'Shipments data'!F:F,'Supply planning data'!C154,'Shipments data'!A:A,'Supply planning data'!A154,'Shipments data'!Y:Y,'Supply planning data'!D154,'Shipments data'!O:O,"ordered", 'Shipments data'!N:N, "Public")</f>
        <v>0</v>
      </c>
      <c r="T154" s="111">
        <f>IF(SUMIFS('Shipments data'!L:L,'Shipments data'!F:F,'Supply planning data'!C154,'Shipments data'!A:A,'Supply planning data'!A154,'Shipments data'!O:O,"received",'Shipments data'!Q:Q,"&lt;"&amp;'Supply planning data'!D169,'Shipments data'!AC:AC,"&lt;"&amp;'Supply planning data'!D169)-SUMIFS(M:M,D:D,"&lt;="&amp;D154,C:C,C154)+SUMIFS(N:N,D:D,"&lt;="&amp;D154,C:C,C154)+SUMIFS(P:P,D:D,"&lt;="&amp;D154,C:C,C154)&lt;0,0,SUMIFS('Shipments data'!L:L,'Shipments data'!F:F,'Supply planning data'!C154,'Shipments data'!A:A,'Supply planning data'!A154,'Shipments data'!O:O,"received",'Shipments data'!Q:Q,"&lt;"&amp;'Supply planning data'!D169,'Shipments data'!AC:AC,"&lt;"&amp;'Supply planning data'!D169)-SUMIFS(M:M,D:D,"&lt;="&amp;D154,C:C,C154)+SUMIFS(N:N,D:D,"&lt;="&amp;D154,C:C,C154)+SUMIFS(P:P,D:D,"&lt;="&amp;D154,C:C,C154))</f>
        <v>0</v>
      </c>
      <c r="U154" s="112">
        <f t="shared" si="60"/>
        <v>0</v>
      </c>
      <c r="V154" s="111">
        <f t="shared" si="53"/>
        <v>0</v>
      </c>
      <c r="W154" s="204" t="str">
        <f t="shared" si="47"/>
        <v/>
      </c>
      <c r="X154" s="111">
        <f t="shared" si="61"/>
        <v>0</v>
      </c>
      <c r="Y154" s="110"/>
      <c r="Z154" s="107"/>
      <c r="AA154" s="111">
        <f t="shared" si="54"/>
        <v>0</v>
      </c>
      <c r="AB154" s="235"/>
      <c r="AC154" s="111">
        <f>IF(SUMIFS('Shipments data'!L:L,'Shipments data'!F:F,'Supply planning data'!C154,'Shipments data'!A:A,'Supply planning data'!A154,'Shipments data'!O:O,"received",'Shipments data'!Q:Q,"&lt;"&amp;'Supply planning data'!D169,'Shipments data'!AC:AC,"&lt;"&amp;'Supply planning data'!D169)-SUMIFS(M:M,D:D,"&lt;="&amp;D154,C:C,C154)-SUMIFS(AA:AA,D:D,"&lt;="&amp;D154,C:C,C154)+SUMIFS(N:N,D:D,"&lt;="&amp;D154,C:C,C154)+SUMIFS(P:P,D:D,"&lt;="&amp;D154,C:C,C154)&lt;0,0,SUMIFS('Shipments data'!L:L,'Shipments data'!F:F,'Supply planning data'!C154,'Shipments data'!A:A,'Supply planning data'!A154,'Shipments data'!O:O,"received",'Shipments data'!Q:Q,"&lt;"&amp;'Supply planning data'!D169,'Shipments data'!AC:AC,"&lt;"&amp;'Supply planning data'!D169)-SUMIFS(M:M,D:D,"&lt;="&amp;D154,C:C,C154)-SUMIFS(AA:AA,D:D,"&lt;="&amp;D154,C:C,C154)+SUMIFS(N:N,D:D,"&lt;="&amp;D154,C:C,C154)+SUMIFS(P:P,D:D,"&lt;="&amp;D154,C:C,C154))</f>
        <v>0</v>
      </c>
      <c r="AD154" s="111">
        <f t="shared" si="62"/>
        <v>0</v>
      </c>
      <c r="AE154" s="111">
        <f t="shared" si="56"/>
        <v>0</v>
      </c>
      <c r="AF154" s="204" t="str">
        <f t="shared" si="46"/>
        <v/>
      </c>
      <c r="AG154" s="111">
        <f t="shared" si="63"/>
        <v>0</v>
      </c>
      <c r="AH154" s="110"/>
      <c r="AI154" s="313"/>
      <c r="AJ154" s="111">
        <f t="shared" si="55"/>
        <v>0</v>
      </c>
      <c r="AK154" s="235"/>
      <c r="AL154" s="111">
        <f>IF(SUMIFS('Shipments data'!L:L,'Shipments data'!F:F,'Supply planning data'!C154,'Shipments data'!A:A,'Supply planning data'!A154,'Shipments data'!O:O,"received",'Shipments data'!Q:Q,"&lt;"&amp;'Supply planning data'!D169,'Shipments data'!AC:AC,"&lt;"&amp;'Supply planning data'!D169)-SUMIFS(M:M,D:D,"&lt;="&amp;D154,C:C,C154)-SUMIFS(AJ:AJ,D:D,"&lt;="&amp;D154,C:C,C154)+SUMIFS(N:N,D:D,"&lt;="&amp;D154,C:C,C154)+SUMIFS(P:P,D:D,"&lt;="&amp;D154,C:C,C154)&lt;0,0,SUMIFS('Shipments data'!L:L,'Shipments data'!F:F,'Supply planning data'!C154,'Shipments data'!A:A,'Supply planning data'!A154,'Shipments data'!O:O,"received",'Shipments data'!Q:Q,"&lt;"&amp;'Supply planning data'!D169,'Shipments data'!AC:AC,"&lt;"&amp;'Supply planning data'!D169)-SUMIFS(M:M,D:D,"&lt;="&amp;D154,C:C,C154)-SUMIFS(AJ:AJ,D:D,"&lt;="&amp;D154,C:C,C154)+SUMIFS(N:N,D:D,"&lt;="&amp;D154,C:C,C154)+SUMIFS(P:P,D:D,"&lt;="&amp;D154,C:C,C154))</f>
        <v>0</v>
      </c>
      <c r="AM154" s="111">
        <f t="shared" si="64"/>
        <v>0</v>
      </c>
      <c r="AN154" s="111">
        <f t="shared" si="57"/>
        <v>0</v>
      </c>
      <c r="AO154" s="204" t="str">
        <f t="shared" si="48"/>
        <v/>
      </c>
    </row>
    <row r="155" spans="1:41" x14ac:dyDescent="0.25">
      <c r="A155" s="89" t="str">
        <f>Start!D$7</f>
        <v>Anyland</v>
      </c>
      <c r="B155" s="90" t="str">
        <f>VLOOKUP(A155,list!B:C,2,FALSE)</f>
        <v>ANY</v>
      </c>
      <c r="C155" s="90" t="str">
        <f>IF(Start!$C$17="","",Start!$C$17)</f>
        <v>AstraZeneca</v>
      </c>
      <c r="D155" s="296">
        <f t="shared" si="58"/>
        <v>44501</v>
      </c>
      <c r="E155" s="92" t="str">
        <f>IFERROR(VLOOKUP(C155,Start!C$15:D$31,2,FALSE),"No")</f>
        <v>Yes</v>
      </c>
      <c r="F155" s="92">
        <f t="shared" si="59"/>
        <v>0</v>
      </c>
      <c r="G155" s="91">
        <v>17980</v>
      </c>
      <c r="H155" s="91">
        <v>18374</v>
      </c>
      <c r="I155" s="91"/>
      <c r="J155" s="92">
        <f t="shared" si="50"/>
        <v>36354</v>
      </c>
      <c r="K155" s="91"/>
      <c r="L155" s="174">
        <f t="shared" si="51"/>
        <v>0</v>
      </c>
      <c r="M155" s="92">
        <f t="shared" si="52"/>
        <v>36354</v>
      </c>
      <c r="N155" s="91"/>
      <c r="O155" s="121"/>
      <c r="P155" s="91"/>
      <c r="Q155" s="121"/>
      <c r="R155" s="92">
        <f>SUMIFS('Shipments data'!L:L,'Shipments data'!F:F,'Supply planning data'!C155,'Shipments data'!A:A,'Supply planning data'!A155,'Shipments data'!Y:Y,'Supply planning data'!D155,'Shipments data'!O:O,"received", 'Shipments data'!N:N, "Public")</f>
        <v>354400</v>
      </c>
      <c r="S155" s="92">
        <f>SUMIFS('Shipments data'!L:L,'Shipments data'!F:F,'Supply planning data'!C155,'Shipments data'!A:A,'Supply planning data'!A155,'Shipments data'!Y:Y,'Supply planning data'!D155,'Shipments data'!O:O,"ordered", 'Shipments data'!N:N, "Public")</f>
        <v>0</v>
      </c>
      <c r="T155" s="92">
        <f>IF(SUMIFS('Shipments data'!L:L,'Shipments data'!F:F,'Supply planning data'!C155,'Shipments data'!A:A,'Supply planning data'!A155,'Shipments data'!O:O,"received",'Shipments data'!Q:Q,"&lt;"&amp;'Supply planning data'!D170,'Shipments data'!AC:AC,"&lt;"&amp;'Supply planning data'!D170)-SUMIFS(M:M,D:D,"&lt;="&amp;D155,C:C,C155)+SUMIFS(N:N,D:D,"&lt;="&amp;D155,C:C,C155)+SUMIFS(P:P,D:D,"&lt;="&amp;D155,C:C,C155)&lt;0,0,SUMIFS('Shipments data'!L:L,'Shipments data'!F:F,'Supply planning data'!C155,'Shipments data'!A:A,'Supply planning data'!A155,'Shipments data'!O:O,"received",'Shipments data'!Q:Q,"&lt;"&amp;'Supply planning data'!D170,'Shipments data'!AC:AC,"&lt;"&amp;'Supply planning data'!D170)-SUMIFS(M:M,D:D,"&lt;="&amp;D155,C:C,C155)+SUMIFS(N:N,D:D,"&lt;="&amp;D155,C:C,C155)+SUMIFS(P:P,D:D,"&lt;="&amp;D155,C:C,C155))</f>
        <v>0</v>
      </c>
      <c r="U155" s="94">
        <f t="shared" si="60"/>
        <v>0</v>
      </c>
      <c r="V155" s="92">
        <f t="shared" si="53"/>
        <v>318046</v>
      </c>
      <c r="W155" s="205">
        <f t="shared" si="47"/>
        <v>2.1088998616372772</v>
      </c>
      <c r="X155" s="92">
        <f t="shared" si="61"/>
        <v>790320</v>
      </c>
      <c r="Y155" s="91"/>
      <c r="Z155" s="93"/>
      <c r="AA155" s="92">
        <f t="shared" si="54"/>
        <v>0</v>
      </c>
      <c r="AB155" s="232"/>
      <c r="AC155" s="92">
        <f>IF(SUMIFS('Shipments data'!L:L,'Shipments data'!F:F,'Supply planning data'!C155,'Shipments data'!A:A,'Supply planning data'!A155,'Shipments data'!O:O,"received",'Shipments data'!Q:Q,"&lt;"&amp;'Supply planning data'!D170,'Shipments data'!AC:AC,"&lt;"&amp;'Supply planning data'!D170)-SUMIFS(M:M,D:D,"&lt;="&amp;D155,C:C,C155)-SUMIFS(AA:AA,D:D,"&lt;="&amp;D155,C:C,C155)+SUMIFS(N:N,D:D,"&lt;="&amp;D155,C:C,C155)+SUMIFS(P:P,D:D,"&lt;="&amp;D155,C:C,C155)&lt;0,0,SUMIFS('Shipments data'!L:L,'Shipments data'!F:F,'Supply planning data'!C155,'Shipments data'!A:A,'Supply planning data'!A155,'Shipments data'!O:O,"received",'Shipments data'!Q:Q,"&lt;"&amp;'Supply planning data'!D170,'Shipments data'!AC:AC,"&lt;"&amp;'Supply planning data'!D170)-SUMIFS(M:M,D:D,"&lt;="&amp;D155,C:C,C155)-SUMIFS(AA:AA,D:D,"&lt;="&amp;D155,C:C,C155)+SUMIFS(N:N,D:D,"&lt;="&amp;D155,C:C,C155)+SUMIFS(P:P,D:D,"&lt;="&amp;D155,C:C,C155))</f>
        <v>0</v>
      </c>
      <c r="AD155" s="92">
        <f t="shared" si="62"/>
        <v>0</v>
      </c>
      <c r="AE155" s="92">
        <f t="shared" si="56"/>
        <v>1108366</v>
      </c>
      <c r="AF155" s="205">
        <f t="shared" si="46"/>
        <v>13.825081492815327</v>
      </c>
      <c r="AG155" s="92">
        <f t="shared" si="63"/>
        <v>0</v>
      </c>
      <c r="AH155" s="91"/>
      <c r="AI155" s="310"/>
      <c r="AJ155" s="92">
        <f t="shared" si="55"/>
        <v>0</v>
      </c>
      <c r="AK155" s="232"/>
      <c r="AL155" s="92">
        <f>IF(SUMIFS('Shipments data'!L:L,'Shipments data'!F:F,'Supply planning data'!C155,'Shipments data'!A:A,'Supply planning data'!A155,'Shipments data'!O:O,"received",'Shipments data'!Q:Q,"&lt;"&amp;'Supply planning data'!D170,'Shipments data'!AC:AC,"&lt;"&amp;'Supply planning data'!D170)-SUMIFS(M:M,D:D,"&lt;="&amp;D155,C:C,C155)-SUMIFS(AJ:AJ,D:D,"&lt;="&amp;D155,C:C,C155)+SUMIFS(N:N,D:D,"&lt;="&amp;D155,C:C,C155)+SUMIFS(P:P,D:D,"&lt;="&amp;D155,C:C,C155)&lt;0,0,SUMIFS('Shipments data'!L:L,'Shipments data'!F:F,'Supply planning data'!C155,'Shipments data'!A:A,'Supply planning data'!A155,'Shipments data'!O:O,"received",'Shipments data'!Q:Q,"&lt;"&amp;'Supply planning data'!D170,'Shipments data'!AC:AC,"&lt;"&amp;'Supply planning data'!D170)-SUMIFS(M:M,D:D,"&lt;="&amp;D155,C:C,C155)-SUMIFS(AJ:AJ,D:D,"&lt;="&amp;D155,C:C,C155)+SUMIFS(N:N,D:D,"&lt;="&amp;D155,C:C,C155)+SUMIFS(P:P,D:D,"&lt;="&amp;D155,C:C,C155))</f>
        <v>0</v>
      </c>
      <c r="AM155" s="92">
        <f t="shared" si="64"/>
        <v>0</v>
      </c>
      <c r="AN155" s="92">
        <f t="shared" si="57"/>
        <v>318046</v>
      </c>
      <c r="AO155" s="205">
        <f t="shared" si="48"/>
        <v>3.967111828100053</v>
      </c>
    </row>
    <row r="156" spans="1:41" x14ac:dyDescent="0.25">
      <c r="A156" s="95" t="str">
        <f>Start!D$7</f>
        <v>Anyland</v>
      </c>
      <c r="B156" s="96" t="str">
        <f>VLOOKUP(A156,list!B:C,2,FALSE)</f>
        <v>ANY</v>
      </c>
      <c r="C156" s="90" t="str">
        <f>IF(Start!$C$18="","",Start!$C$18)</f>
        <v>Jansen</v>
      </c>
      <c r="D156" s="296">
        <f t="shared" si="58"/>
        <v>44501</v>
      </c>
      <c r="E156" s="92" t="str">
        <f>IFERROR(VLOOKUP(C156,Start!C$15:D$31,2,FALSE),"No")</f>
        <v>Yes</v>
      </c>
      <c r="F156" s="92">
        <f t="shared" si="59"/>
        <v>79889</v>
      </c>
      <c r="G156" s="91">
        <v>364621</v>
      </c>
      <c r="H156" s="97"/>
      <c r="I156" s="97"/>
      <c r="J156" s="98">
        <f t="shared" si="50"/>
        <v>364621</v>
      </c>
      <c r="K156" s="97">
        <v>600</v>
      </c>
      <c r="L156" s="175">
        <f t="shared" si="51"/>
        <v>1.6455442774826463E-3</v>
      </c>
      <c r="M156" s="98">
        <f t="shared" si="52"/>
        <v>365221</v>
      </c>
      <c r="N156" s="97"/>
      <c r="O156" s="122"/>
      <c r="P156" s="97"/>
      <c r="Q156" s="122"/>
      <c r="R156" s="98">
        <f>SUMIFS('Shipments data'!L:L,'Shipments data'!F:F,'Supply planning data'!C156,'Shipments data'!A:A,'Supply planning data'!A156,'Shipments data'!Y:Y,'Supply planning data'!D156,'Shipments data'!O:O,"received", 'Shipments data'!N:N, "Public")</f>
        <v>1000800</v>
      </c>
      <c r="S156" s="98">
        <f>SUMIFS('Shipments data'!L:L,'Shipments data'!F:F,'Supply planning data'!C156,'Shipments data'!A:A,'Supply planning data'!A156,'Shipments data'!Y:Y,'Supply planning data'!D156,'Shipments data'!O:O,"ordered", 'Shipments data'!N:N, "Public")</f>
        <v>0</v>
      </c>
      <c r="T156" s="98">
        <f>IF(SUMIFS('Shipments data'!L:L,'Shipments data'!F:F,'Supply planning data'!C156,'Shipments data'!A:A,'Supply planning data'!A156,'Shipments data'!O:O,"received",'Shipments data'!Q:Q,"&lt;"&amp;'Supply planning data'!D171,'Shipments data'!AC:AC,"&lt;"&amp;'Supply planning data'!D171)-SUMIFS(M:M,D:D,"&lt;="&amp;D156,C:C,C156)+SUMIFS(N:N,D:D,"&lt;="&amp;D156,C:C,C156)+SUMIFS(P:P,D:D,"&lt;="&amp;D156,C:C,C156)&lt;0,0,SUMIFS('Shipments data'!L:L,'Shipments data'!F:F,'Supply planning data'!C156,'Shipments data'!A:A,'Supply planning data'!A156,'Shipments data'!O:O,"received",'Shipments data'!Q:Q,"&lt;"&amp;'Supply planning data'!D171,'Shipments data'!AC:AC,"&lt;"&amp;'Supply planning data'!D171)-SUMIFS(M:M,D:D,"&lt;="&amp;D156,C:C,C156)+SUMIFS(N:N,D:D,"&lt;="&amp;D156,C:C,C156)+SUMIFS(P:P,D:D,"&lt;="&amp;D156,C:C,C156))</f>
        <v>0</v>
      </c>
      <c r="U156" s="99">
        <f t="shared" si="60"/>
        <v>0</v>
      </c>
      <c r="V156" s="98">
        <f t="shared" si="53"/>
        <v>715468</v>
      </c>
      <c r="W156" s="203">
        <f t="shared" si="47"/>
        <v>3.6610623952077423</v>
      </c>
      <c r="X156" s="98">
        <f t="shared" si="61"/>
        <v>79889</v>
      </c>
      <c r="Y156" s="97"/>
      <c r="Z156" s="93"/>
      <c r="AA156" s="98">
        <f t="shared" si="54"/>
        <v>0</v>
      </c>
      <c r="AB156" s="233"/>
      <c r="AC156" s="98">
        <f>IF(SUMIFS('Shipments data'!L:L,'Shipments data'!F:F,'Supply planning data'!C156,'Shipments data'!A:A,'Supply planning data'!A156,'Shipments data'!O:O,"received",'Shipments data'!Q:Q,"&lt;"&amp;'Supply planning data'!D171,'Shipments data'!AC:AC,"&lt;"&amp;'Supply planning data'!D171)-SUMIFS(M:M,D:D,"&lt;="&amp;D156,C:C,C156)-SUMIFS(AA:AA,D:D,"&lt;="&amp;D156,C:C,C156)+SUMIFS(N:N,D:D,"&lt;="&amp;D156,C:C,C156)+SUMIFS(P:P,D:D,"&lt;="&amp;D156,C:C,C156)&lt;0,0,SUMIFS('Shipments data'!L:L,'Shipments data'!F:F,'Supply planning data'!C156,'Shipments data'!A:A,'Supply planning data'!A156,'Shipments data'!O:O,"received",'Shipments data'!Q:Q,"&lt;"&amp;'Supply planning data'!D171,'Shipments data'!AC:AC,"&lt;"&amp;'Supply planning data'!D171)-SUMIFS(M:M,D:D,"&lt;="&amp;D156,C:C,C156)-SUMIFS(AA:AA,D:D,"&lt;="&amp;D156,C:C,C156)+SUMIFS(N:N,D:D,"&lt;="&amp;D156,C:C,C156)+SUMIFS(P:P,D:D,"&lt;="&amp;D156,C:C,C156))</f>
        <v>0</v>
      </c>
      <c r="AD156" s="98">
        <f t="shared" si="62"/>
        <v>0</v>
      </c>
      <c r="AE156" s="98">
        <f t="shared" si="56"/>
        <v>715468</v>
      </c>
      <c r="AF156" s="205">
        <f t="shared" si="46"/>
        <v>2.3883936569260951</v>
      </c>
      <c r="AG156" s="98">
        <f t="shared" si="63"/>
        <v>79889</v>
      </c>
      <c r="AH156" s="97"/>
      <c r="AI156" s="311"/>
      <c r="AJ156" s="98">
        <f t="shared" si="55"/>
        <v>0</v>
      </c>
      <c r="AK156" s="233"/>
      <c r="AL156" s="98">
        <f>IF(SUMIFS('Shipments data'!L:L,'Shipments data'!F:F,'Supply planning data'!C156,'Shipments data'!A:A,'Supply planning data'!A156,'Shipments data'!O:O,"received",'Shipments data'!Q:Q,"&lt;"&amp;'Supply planning data'!D171,'Shipments data'!AC:AC,"&lt;"&amp;'Supply planning data'!D171)-SUMIFS(M:M,D:D,"&lt;="&amp;D156,C:C,C156)-SUMIFS(AJ:AJ,D:D,"&lt;="&amp;D156,C:C,C156)+SUMIFS(N:N,D:D,"&lt;="&amp;D156,C:C,C156)+SUMIFS(P:P,D:D,"&lt;="&amp;D156,C:C,C156)&lt;0,0,SUMIFS('Shipments data'!L:L,'Shipments data'!F:F,'Supply planning data'!C156,'Shipments data'!A:A,'Supply planning data'!A156,'Shipments data'!O:O,"received",'Shipments data'!Q:Q,"&lt;"&amp;'Supply planning data'!D171,'Shipments data'!AC:AC,"&lt;"&amp;'Supply planning data'!D171)-SUMIFS(M:M,D:D,"&lt;="&amp;D156,C:C,C156)-SUMIFS(AJ:AJ,D:D,"&lt;="&amp;D156,C:C,C156)+SUMIFS(N:N,D:D,"&lt;="&amp;D156,C:C,C156)+SUMIFS(P:P,D:D,"&lt;="&amp;D156,C:C,C156))</f>
        <v>0</v>
      </c>
      <c r="AM156" s="98">
        <f t="shared" si="64"/>
        <v>0</v>
      </c>
      <c r="AN156" s="98">
        <f t="shared" si="57"/>
        <v>715468</v>
      </c>
      <c r="AO156" s="203">
        <f t="shared" si="48"/>
        <v>2.3883936569260951</v>
      </c>
    </row>
    <row r="157" spans="1:41" x14ac:dyDescent="0.25">
      <c r="A157" s="95" t="str">
        <f>Start!D$7</f>
        <v>Anyland</v>
      </c>
      <c r="B157" s="96" t="str">
        <f>VLOOKUP(A157,list!B:C,2,FALSE)</f>
        <v>ANY</v>
      </c>
      <c r="C157" s="90" t="str">
        <f>IF(Start!$C$19="","",Start!$C$19)</f>
        <v>Moderna</v>
      </c>
      <c r="D157" s="296">
        <f t="shared" si="58"/>
        <v>44501</v>
      </c>
      <c r="E157" s="92" t="str">
        <f>IFERROR(VLOOKUP(C157,Start!C$15:D$31,2,FALSE),"No")</f>
        <v>No</v>
      </c>
      <c r="F157" s="92">
        <f t="shared" si="59"/>
        <v>0</v>
      </c>
      <c r="G157" s="91"/>
      <c r="H157" s="97"/>
      <c r="I157" s="97"/>
      <c r="J157" s="98">
        <f t="shared" si="50"/>
        <v>0</v>
      </c>
      <c r="K157" s="97"/>
      <c r="L157" s="175" t="str">
        <f t="shared" si="51"/>
        <v/>
      </c>
      <c r="M157" s="98">
        <f t="shared" si="52"/>
        <v>0</v>
      </c>
      <c r="N157" s="97"/>
      <c r="O157" s="122"/>
      <c r="P157" s="97"/>
      <c r="Q157" s="122"/>
      <c r="R157" s="98">
        <f>SUMIFS('Shipments data'!L:L,'Shipments data'!F:F,'Supply planning data'!C157,'Shipments data'!A:A,'Supply planning data'!A157,'Shipments data'!Y:Y,'Supply planning data'!D157,'Shipments data'!O:O,"received", 'Shipments data'!N:N, "Public")</f>
        <v>0</v>
      </c>
      <c r="S157" s="98">
        <f>SUMIFS('Shipments data'!L:L,'Shipments data'!F:F,'Supply planning data'!C157,'Shipments data'!A:A,'Supply planning data'!A157,'Shipments data'!Y:Y,'Supply planning data'!D157,'Shipments data'!O:O,"ordered", 'Shipments data'!N:N, "Public")</f>
        <v>0</v>
      </c>
      <c r="T157" s="98">
        <f>IF(SUMIFS('Shipments data'!L:L,'Shipments data'!F:F,'Supply planning data'!C157,'Shipments data'!A:A,'Supply planning data'!A157,'Shipments data'!O:O,"received",'Shipments data'!Q:Q,"&lt;"&amp;'Supply planning data'!D172,'Shipments data'!AC:AC,"&lt;"&amp;'Supply planning data'!D172)-SUMIFS(M:M,D:D,"&lt;="&amp;D157,C:C,C157)+SUMIFS(N:N,D:D,"&lt;="&amp;D157,C:C,C157)+SUMIFS(P:P,D:D,"&lt;="&amp;D157,C:C,C157)&lt;0,0,SUMIFS('Shipments data'!L:L,'Shipments data'!F:F,'Supply planning data'!C157,'Shipments data'!A:A,'Supply planning data'!A157,'Shipments data'!O:O,"received",'Shipments data'!Q:Q,"&lt;"&amp;'Supply planning data'!D172,'Shipments data'!AC:AC,"&lt;"&amp;'Supply planning data'!D172)-SUMIFS(M:M,D:D,"&lt;="&amp;D157,C:C,C157)+SUMIFS(N:N,D:D,"&lt;="&amp;D157,C:C,C157)+SUMIFS(P:P,D:D,"&lt;="&amp;D157,C:C,C157))</f>
        <v>0</v>
      </c>
      <c r="U157" s="99">
        <f t="shared" si="60"/>
        <v>0</v>
      </c>
      <c r="V157" s="98">
        <f t="shared" si="53"/>
        <v>0</v>
      </c>
      <c r="W157" s="203" t="str">
        <f t="shared" si="47"/>
        <v/>
      </c>
      <c r="X157" s="98">
        <f t="shared" si="61"/>
        <v>0</v>
      </c>
      <c r="Y157" s="97"/>
      <c r="Z157" s="93"/>
      <c r="AA157" s="98">
        <f t="shared" si="54"/>
        <v>0</v>
      </c>
      <c r="AB157" s="233"/>
      <c r="AC157" s="98">
        <f>IF(SUMIFS('Shipments data'!L:L,'Shipments data'!F:F,'Supply planning data'!C157,'Shipments data'!A:A,'Supply planning data'!A157,'Shipments data'!O:O,"received",'Shipments data'!Q:Q,"&lt;"&amp;'Supply planning data'!D172,'Shipments data'!AC:AC,"&lt;"&amp;'Supply planning data'!D172)-SUMIFS(M:M,D:D,"&lt;="&amp;D157,C:C,C157)-SUMIFS(AA:AA,D:D,"&lt;="&amp;D157,C:C,C157)+SUMIFS(N:N,D:D,"&lt;="&amp;D157,C:C,C157)+SUMIFS(P:P,D:D,"&lt;="&amp;D157,C:C,C157)&lt;0,0,SUMIFS('Shipments data'!L:L,'Shipments data'!F:F,'Supply planning data'!C157,'Shipments data'!A:A,'Supply planning data'!A157,'Shipments data'!O:O,"received",'Shipments data'!Q:Q,"&lt;"&amp;'Supply planning data'!D172,'Shipments data'!AC:AC,"&lt;"&amp;'Supply planning data'!D172)-SUMIFS(M:M,D:D,"&lt;="&amp;D157,C:C,C157)-SUMIFS(AA:AA,D:D,"&lt;="&amp;D157,C:C,C157)+SUMIFS(N:N,D:D,"&lt;="&amp;D157,C:C,C157)+SUMIFS(P:P,D:D,"&lt;="&amp;D157,C:C,C157))</f>
        <v>0</v>
      </c>
      <c r="AD157" s="98">
        <f t="shared" si="62"/>
        <v>0</v>
      </c>
      <c r="AE157" s="98">
        <f t="shared" si="56"/>
        <v>0</v>
      </c>
      <c r="AF157" s="205" t="str">
        <f t="shared" si="46"/>
        <v/>
      </c>
      <c r="AG157" s="98">
        <f t="shared" si="63"/>
        <v>0</v>
      </c>
      <c r="AH157" s="97"/>
      <c r="AI157" s="311"/>
      <c r="AJ157" s="98">
        <f t="shared" si="55"/>
        <v>0</v>
      </c>
      <c r="AK157" s="233"/>
      <c r="AL157" s="98">
        <f>IF(SUMIFS('Shipments data'!L:L,'Shipments data'!F:F,'Supply planning data'!C157,'Shipments data'!A:A,'Supply planning data'!A157,'Shipments data'!O:O,"received",'Shipments data'!Q:Q,"&lt;"&amp;'Supply planning data'!D172,'Shipments data'!AC:AC,"&lt;"&amp;'Supply planning data'!D172)-SUMIFS(M:M,D:D,"&lt;="&amp;D157,C:C,C157)-SUMIFS(AJ:AJ,D:D,"&lt;="&amp;D157,C:C,C157)+SUMIFS(N:N,D:D,"&lt;="&amp;D157,C:C,C157)+SUMIFS(P:P,D:D,"&lt;="&amp;D157,C:C,C157)&lt;0,0,SUMIFS('Shipments data'!L:L,'Shipments data'!F:F,'Supply planning data'!C157,'Shipments data'!A:A,'Supply planning data'!A157,'Shipments data'!O:O,"received",'Shipments data'!Q:Q,"&lt;"&amp;'Supply planning data'!D172,'Shipments data'!AC:AC,"&lt;"&amp;'Supply planning data'!D172)-SUMIFS(M:M,D:D,"&lt;="&amp;D157,C:C,C157)-SUMIFS(AJ:AJ,D:D,"&lt;="&amp;D157,C:C,C157)+SUMIFS(N:N,D:D,"&lt;="&amp;D157,C:C,C157)+SUMIFS(P:P,D:D,"&lt;="&amp;D157,C:C,C157))</f>
        <v>0</v>
      </c>
      <c r="AM157" s="98">
        <f t="shared" si="64"/>
        <v>0</v>
      </c>
      <c r="AN157" s="98">
        <f t="shared" si="57"/>
        <v>0</v>
      </c>
      <c r="AO157" s="203" t="str">
        <f t="shared" si="48"/>
        <v/>
      </c>
    </row>
    <row r="158" spans="1:41" x14ac:dyDescent="0.25">
      <c r="A158" s="95" t="str">
        <f>Start!D$7</f>
        <v>Anyland</v>
      </c>
      <c r="B158" s="96" t="str">
        <f>VLOOKUP(A158,list!B:C,2,FALSE)</f>
        <v>ANY</v>
      </c>
      <c r="C158" s="90" t="str">
        <f>IF(Start!$C$20="","",Start!$C$20)</f>
        <v>Pfizer</v>
      </c>
      <c r="D158" s="296">
        <f t="shared" si="58"/>
        <v>44501</v>
      </c>
      <c r="E158" s="92" t="str">
        <f>IFERROR(VLOOKUP(C158,Start!C$15:D$31,2,FALSE),"No")</f>
        <v>Yes</v>
      </c>
      <c r="F158" s="92">
        <f t="shared" si="59"/>
        <v>0</v>
      </c>
      <c r="G158" s="91"/>
      <c r="H158" s="97"/>
      <c r="I158" s="97"/>
      <c r="J158" s="98">
        <f t="shared" si="50"/>
        <v>0</v>
      </c>
      <c r="K158" s="97"/>
      <c r="L158" s="175" t="str">
        <f t="shared" si="51"/>
        <v/>
      </c>
      <c r="M158" s="98">
        <f t="shared" si="52"/>
        <v>0</v>
      </c>
      <c r="N158" s="97"/>
      <c r="O158" s="122"/>
      <c r="P158" s="97"/>
      <c r="Q158" s="122"/>
      <c r="R158" s="98">
        <f>SUMIFS('Shipments data'!L:L,'Shipments data'!F:F,'Supply planning data'!C158,'Shipments data'!A:A,'Supply planning data'!A158,'Shipments data'!Y:Y,'Supply planning data'!D158,'Shipments data'!O:O,"received", 'Shipments data'!N:N, "Public")</f>
        <v>0</v>
      </c>
      <c r="S158" s="98">
        <f>SUMIFS('Shipments data'!L:L,'Shipments data'!F:F,'Supply planning data'!C158,'Shipments data'!A:A,'Supply planning data'!A158,'Shipments data'!Y:Y,'Supply planning data'!D158,'Shipments data'!O:O,"ordered", 'Shipments data'!N:N, "Public")</f>
        <v>0</v>
      </c>
      <c r="T158" s="98">
        <f>IF(SUMIFS('Shipments data'!L:L,'Shipments data'!F:F,'Supply planning data'!C158,'Shipments data'!A:A,'Supply planning data'!A158,'Shipments data'!O:O,"received",'Shipments data'!Q:Q,"&lt;"&amp;'Supply planning data'!D173,'Shipments data'!AC:AC,"&lt;"&amp;'Supply planning data'!D173)-SUMIFS(M:M,D:D,"&lt;="&amp;D158,C:C,C158)+SUMIFS(N:N,D:D,"&lt;="&amp;D158,C:C,C158)+SUMIFS(P:P,D:D,"&lt;="&amp;D158,C:C,C158)&lt;0,0,SUMIFS('Shipments data'!L:L,'Shipments data'!F:F,'Supply planning data'!C158,'Shipments data'!A:A,'Supply planning data'!A158,'Shipments data'!O:O,"received",'Shipments data'!Q:Q,"&lt;"&amp;'Supply planning data'!D173,'Shipments data'!AC:AC,"&lt;"&amp;'Supply planning data'!D173)-SUMIFS(M:M,D:D,"&lt;="&amp;D158,C:C,C158)+SUMIFS(N:N,D:D,"&lt;="&amp;D158,C:C,C158)+SUMIFS(P:P,D:D,"&lt;="&amp;D158,C:C,C158))</f>
        <v>0</v>
      </c>
      <c r="U158" s="99">
        <f t="shared" si="60"/>
        <v>0</v>
      </c>
      <c r="V158" s="98">
        <f t="shared" si="53"/>
        <v>0</v>
      </c>
      <c r="W158" s="203" t="str">
        <f t="shared" si="47"/>
        <v/>
      </c>
      <c r="X158" s="98">
        <f t="shared" si="61"/>
        <v>0</v>
      </c>
      <c r="Y158" s="97"/>
      <c r="Z158" s="93"/>
      <c r="AA158" s="98">
        <f t="shared" si="54"/>
        <v>0</v>
      </c>
      <c r="AB158" s="233"/>
      <c r="AC158" s="98">
        <f>IF(SUMIFS('Shipments data'!L:L,'Shipments data'!F:F,'Supply planning data'!C158,'Shipments data'!A:A,'Supply planning data'!A158,'Shipments data'!O:O,"received",'Shipments data'!Q:Q,"&lt;"&amp;'Supply planning data'!D173,'Shipments data'!AC:AC,"&lt;"&amp;'Supply planning data'!D173)-SUMIFS(M:M,D:D,"&lt;="&amp;D158,C:C,C158)-SUMIFS(AA:AA,D:D,"&lt;="&amp;D158,C:C,C158)+SUMIFS(N:N,D:D,"&lt;="&amp;D158,C:C,C158)+SUMIFS(P:P,D:D,"&lt;="&amp;D158,C:C,C158)&lt;0,0,SUMIFS('Shipments data'!L:L,'Shipments data'!F:F,'Supply planning data'!C158,'Shipments data'!A:A,'Supply planning data'!A158,'Shipments data'!O:O,"received",'Shipments data'!Q:Q,"&lt;"&amp;'Supply planning data'!D173,'Shipments data'!AC:AC,"&lt;"&amp;'Supply planning data'!D173)-SUMIFS(M:M,D:D,"&lt;="&amp;D158,C:C,C158)-SUMIFS(AA:AA,D:D,"&lt;="&amp;D158,C:C,C158)+SUMIFS(N:N,D:D,"&lt;="&amp;D158,C:C,C158)+SUMIFS(P:P,D:D,"&lt;="&amp;D158,C:C,C158))</f>
        <v>0</v>
      </c>
      <c r="AD158" s="98">
        <f t="shared" si="62"/>
        <v>0</v>
      </c>
      <c r="AE158" s="98">
        <f t="shared" si="56"/>
        <v>0</v>
      </c>
      <c r="AF158" s="205" t="str">
        <f t="shared" si="46"/>
        <v/>
      </c>
      <c r="AG158" s="98">
        <f t="shared" si="63"/>
        <v>0</v>
      </c>
      <c r="AH158" s="97"/>
      <c r="AI158" s="311"/>
      <c r="AJ158" s="98">
        <f t="shared" si="55"/>
        <v>0</v>
      </c>
      <c r="AK158" s="233"/>
      <c r="AL158" s="98">
        <f>IF(SUMIFS('Shipments data'!L:L,'Shipments data'!F:F,'Supply planning data'!C158,'Shipments data'!A:A,'Supply planning data'!A158,'Shipments data'!O:O,"received",'Shipments data'!Q:Q,"&lt;"&amp;'Supply planning data'!D173,'Shipments data'!AC:AC,"&lt;"&amp;'Supply planning data'!D173)-SUMIFS(M:M,D:D,"&lt;="&amp;D158,C:C,C158)-SUMIFS(AJ:AJ,D:D,"&lt;="&amp;D158,C:C,C158)+SUMIFS(N:N,D:D,"&lt;="&amp;D158,C:C,C158)+SUMIFS(P:P,D:D,"&lt;="&amp;D158,C:C,C158)&lt;0,0,SUMIFS('Shipments data'!L:L,'Shipments data'!F:F,'Supply planning data'!C158,'Shipments data'!A:A,'Supply planning data'!A158,'Shipments data'!O:O,"received",'Shipments data'!Q:Q,"&lt;"&amp;'Supply planning data'!D173,'Shipments data'!AC:AC,"&lt;"&amp;'Supply planning data'!D173)-SUMIFS(M:M,D:D,"&lt;="&amp;D158,C:C,C158)-SUMIFS(AJ:AJ,D:D,"&lt;="&amp;D158,C:C,C158)+SUMIFS(N:N,D:D,"&lt;="&amp;D158,C:C,C158)+SUMIFS(P:P,D:D,"&lt;="&amp;D158,C:C,C158))</f>
        <v>0</v>
      </c>
      <c r="AM158" s="98">
        <f t="shared" si="64"/>
        <v>0</v>
      </c>
      <c r="AN158" s="98">
        <f t="shared" si="57"/>
        <v>0</v>
      </c>
      <c r="AO158" s="203" t="str">
        <f t="shared" si="48"/>
        <v/>
      </c>
    </row>
    <row r="159" spans="1:41" x14ac:dyDescent="0.25">
      <c r="A159" s="95" t="str">
        <f>Start!D$7</f>
        <v>Anyland</v>
      </c>
      <c r="B159" s="96" t="str">
        <f>VLOOKUP(A159,list!B:C,2,FALSE)</f>
        <v>ANY</v>
      </c>
      <c r="C159" s="90" t="str">
        <f>IF(Start!$C$21="","",Start!$C$21)</f>
        <v>Sinovac</v>
      </c>
      <c r="D159" s="296">
        <f t="shared" si="58"/>
        <v>44501</v>
      </c>
      <c r="E159" s="92" t="str">
        <f>IFERROR(VLOOKUP(C159,Start!C$15:D$31,2,FALSE),"No")</f>
        <v>No</v>
      </c>
      <c r="F159" s="92">
        <f t="shared" si="59"/>
        <v>0</v>
      </c>
      <c r="G159" s="91"/>
      <c r="H159" s="97"/>
      <c r="I159" s="97"/>
      <c r="J159" s="98">
        <f t="shared" si="50"/>
        <v>0</v>
      </c>
      <c r="K159" s="97"/>
      <c r="L159" s="175" t="str">
        <f t="shared" si="51"/>
        <v/>
      </c>
      <c r="M159" s="98">
        <f t="shared" si="52"/>
        <v>0</v>
      </c>
      <c r="N159" s="97"/>
      <c r="O159" s="122"/>
      <c r="P159" s="97"/>
      <c r="Q159" s="122"/>
      <c r="R159" s="98">
        <f>SUMIFS('Shipments data'!L:L,'Shipments data'!F:F,'Supply planning data'!C159,'Shipments data'!A:A,'Supply planning data'!A159,'Shipments data'!Y:Y,'Supply planning data'!D159,'Shipments data'!O:O,"received", 'Shipments data'!N:N, "Public")</f>
        <v>0</v>
      </c>
      <c r="S159" s="98">
        <f>SUMIFS('Shipments data'!L:L,'Shipments data'!F:F,'Supply planning data'!C159,'Shipments data'!A:A,'Supply planning data'!A159,'Shipments data'!Y:Y,'Supply planning data'!D159,'Shipments data'!O:O,"ordered", 'Shipments data'!N:N, "Public")</f>
        <v>0</v>
      </c>
      <c r="T159" s="98">
        <f>IF(SUMIFS('Shipments data'!L:L,'Shipments data'!F:F,'Supply planning data'!C159,'Shipments data'!A:A,'Supply planning data'!A159,'Shipments data'!O:O,"received",'Shipments data'!Q:Q,"&lt;"&amp;'Supply planning data'!D174,'Shipments data'!AC:AC,"&lt;"&amp;'Supply planning data'!D174)-SUMIFS(M:M,D:D,"&lt;="&amp;D159,C:C,C159)+SUMIFS(N:N,D:D,"&lt;="&amp;D159,C:C,C159)+SUMIFS(P:P,D:D,"&lt;="&amp;D159,C:C,C159)&lt;0,0,SUMIFS('Shipments data'!L:L,'Shipments data'!F:F,'Supply planning data'!C159,'Shipments data'!A:A,'Supply planning data'!A159,'Shipments data'!O:O,"received",'Shipments data'!Q:Q,"&lt;"&amp;'Supply planning data'!D174,'Shipments data'!AC:AC,"&lt;"&amp;'Supply planning data'!D174)-SUMIFS(M:M,D:D,"&lt;="&amp;D159,C:C,C159)+SUMIFS(N:N,D:D,"&lt;="&amp;D159,C:C,C159)+SUMIFS(P:P,D:D,"&lt;="&amp;D159,C:C,C159))</f>
        <v>0</v>
      </c>
      <c r="U159" s="99">
        <f t="shared" si="60"/>
        <v>0</v>
      </c>
      <c r="V159" s="98">
        <f t="shared" si="53"/>
        <v>0</v>
      </c>
      <c r="W159" s="203" t="str">
        <f t="shared" si="47"/>
        <v/>
      </c>
      <c r="X159" s="98">
        <f t="shared" si="61"/>
        <v>0</v>
      </c>
      <c r="Y159" s="97"/>
      <c r="Z159" s="93"/>
      <c r="AA159" s="98">
        <f t="shared" si="54"/>
        <v>0</v>
      </c>
      <c r="AB159" s="233"/>
      <c r="AC159" s="98">
        <f>IF(SUMIFS('Shipments data'!L:L,'Shipments data'!F:F,'Supply planning data'!C159,'Shipments data'!A:A,'Supply planning data'!A159,'Shipments data'!O:O,"received",'Shipments data'!Q:Q,"&lt;"&amp;'Supply planning data'!D174,'Shipments data'!AC:AC,"&lt;"&amp;'Supply planning data'!D174)-SUMIFS(M:M,D:D,"&lt;="&amp;D159,C:C,C159)-SUMIFS(AA:AA,D:D,"&lt;="&amp;D159,C:C,C159)+SUMIFS(N:N,D:D,"&lt;="&amp;D159,C:C,C159)+SUMIFS(P:P,D:D,"&lt;="&amp;D159,C:C,C159)&lt;0,0,SUMIFS('Shipments data'!L:L,'Shipments data'!F:F,'Supply planning data'!C159,'Shipments data'!A:A,'Supply planning data'!A159,'Shipments data'!O:O,"received",'Shipments data'!Q:Q,"&lt;"&amp;'Supply planning data'!D174,'Shipments data'!AC:AC,"&lt;"&amp;'Supply planning data'!D174)-SUMIFS(M:M,D:D,"&lt;="&amp;D159,C:C,C159)-SUMIFS(AA:AA,D:D,"&lt;="&amp;D159,C:C,C159)+SUMIFS(N:N,D:D,"&lt;="&amp;D159,C:C,C159)+SUMIFS(P:P,D:D,"&lt;="&amp;D159,C:C,C159))</f>
        <v>0</v>
      </c>
      <c r="AD159" s="98">
        <f t="shared" si="62"/>
        <v>0</v>
      </c>
      <c r="AE159" s="98">
        <f t="shared" si="56"/>
        <v>0</v>
      </c>
      <c r="AF159" s="205" t="str">
        <f t="shared" ref="AF159:AF222" si="65">IF(M159+AA159&lt;=0,"",IFERROR(AE159/(SUM(M159,M189,M174,AA159,AA189,AA174)/3),""))</f>
        <v/>
      </c>
      <c r="AG159" s="98">
        <f t="shared" si="63"/>
        <v>0</v>
      </c>
      <c r="AH159" s="97"/>
      <c r="AI159" s="311"/>
      <c r="AJ159" s="98">
        <f t="shared" si="55"/>
        <v>0</v>
      </c>
      <c r="AK159" s="233"/>
      <c r="AL159" s="98">
        <f>IF(SUMIFS('Shipments data'!L:L,'Shipments data'!F:F,'Supply planning data'!C159,'Shipments data'!A:A,'Supply planning data'!A159,'Shipments data'!O:O,"received",'Shipments data'!Q:Q,"&lt;"&amp;'Supply planning data'!D174,'Shipments data'!AC:AC,"&lt;"&amp;'Supply planning data'!D174)-SUMIFS(M:M,D:D,"&lt;="&amp;D159,C:C,C159)-SUMIFS(AJ:AJ,D:D,"&lt;="&amp;D159,C:C,C159)+SUMIFS(N:N,D:D,"&lt;="&amp;D159,C:C,C159)+SUMIFS(P:P,D:D,"&lt;="&amp;D159,C:C,C159)&lt;0,0,SUMIFS('Shipments data'!L:L,'Shipments data'!F:F,'Supply planning data'!C159,'Shipments data'!A:A,'Supply planning data'!A159,'Shipments data'!O:O,"received",'Shipments data'!Q:Q,"&lt;"&amp;'Supply planning data'!D174,'Shipments data'!AC:AC,"&lt;"&amp;'Supply planning data'!D174)-SUMIFS(M:M,D:D,"&lt;="&amp;D159,C:C,C159)-SUMIFS(AJ:AJ,D:D,"&lt;="&amp;D159,C:C,C159)+SUMIFS(N:N,D:D,"&lt;="&amp;D159,C:C,C159)+SUMIFS(P:P,D:D,"&lt;="&amp;D159,C:C,C159))</f>
        <v>0</v>
      </c>
      <c r="AM159" s="98">
        <f t="shared" si="64"/>
        <v>0</v>
      </c>
      <c r="AN159" s="98">
        <f t="shared" si="57"/>
        <v>0</v>
      </c>
      <c r="AO159" s="203" t="str">
        <f t="shared" si="48"/>
        <v/>
      </c>
    </row>
    <row r="160" spans="1:41" hidden="1" x14ac:dyDescent="0.25">
      <c r="A160" s="95" t="str">
        <f>Start!D$7</f>
        <v>Anyland</v>
      </c>
      <c r="B160" s="96" t="str">
        <f>VLOOKUP(A160,list!B:C,2,FALSE)</f>
        <v>ANY</v>
      </c>
      <c r="C160" s="90" t="str">
        <f>IF(Start!$C$22="","",Start!$C$22)</f>
        <v/>
      </c>
      <c r="D160" s="296">
        <f t="shared" si="58"/>
        <v>44501</v>
      </c>
      <c r="E160" s="92" t="str">
        <f>IFERROR(VLOOKUP(C160,Start!C$15:D$31,2,FALSE),"No")</f>
        <v>No</v>
      </c>
      <c r="F160" s="92">
        <f t="shared" si="59"/>
        <v>0</v>
      </c>
      <c r="G160" s="91"/>
      <c r="H160" s="97"/>
      <c r="I160" s="97"/>
      <c r="J160" s="98">
        <f t="shared" si="50"/>
        <v>0</v>
      </c>
      <c r="K160" s="97"/>
      <c r="L160" s="175" t="str">
        <f t="shared" si="51"/>
        <v/>
      </c>
      <c r="M160" s="98">
        <f t="shared" si="52"/>
        <v>0</v>
      </c>
      <c r="N160" s="97"/>
      <c r="O160" s="122"/>
      <c r="P160" s="97"/>
      <c r="Q160" s="122"/>
      <c r="R160" s="98">
        <f>SUMIFS('Shipments data'!L:L,'Shipments data'!F:F,'Supply planning data'!C160,'Shipments data'!A:A,'Supply planning data'!A160,'Shipments data'!Y:Y,'Supply planning data'!D160,'Shipments data'!O:O,"received", 'Shipments data'!N:N, "Public")</f>
        <v>0</v>
      </c>
      <c r="S160" s="98">
        <f>SUMIFS('Shipments data'!L:L,'Shipments data'!F:F,'Supply planning data'!C160,'Shipments data'!A:A,'Supply planning data'!A160,'Shipments data'!Y:Y,'Supply planning data'!D160,'Shipments data'!O:O,"ordered", 'Shipments data'!N:N, "Public")</f>
        <v>0</v>
      </c>
      <c r="T160" s="98">
        <f>IF(SUMIFS('Shipments data'!L:L,'Shipments data'!F:F,'Supply planning data'!C160,'Shipments data'!A:A,'Supply planning data'!A160,'Shipments data'!O:O,"received",'Shipments data'!Q:Q,"&lt;"&amp;'Supply planning data'!D175,'Shipments data'!AC:AC,"&lt;"&amp;'Supply planning data'!D175)-SUMIFS(M:M,D:D,"&lt;="&amp;D160,C:C,C160)+SUMIFS(N:N,D:D,"&lt;="&amp;D160,C:C,C160)+SUMIFS(P:P,D:D,"&lt;="&amp;D160,C:C,C160)&lt;0,0,SUMIFS('Shipments data'!L:L,'Shipments data'!F:F,'Supply planning data'!C160,'Shipments data'!A:A,'Supply planning data'!A160,'Shipments data'!O:O,"received",'Shipments data'!Q:Q,"&lt;"&amp;'Supply planning data'!D175,'Shipments data'!AC:AC,"&lt;"&amp;'Supply planning data'!D175)-SUMIFS(M:M,D:D,"&lt;="&amp;D160,C:C,C160)+SUMIFS(N:N,D:D,"&lt;="&amp;D160,C:C,C160)+SUMIFS(P:P,D:D,"&lt;="&amp;D160,C:C,C160))</f>
        <v>0</v>
      </c>
      <c r="U160" s="99">
        <f t="shared" si="60"/>
        <v>0</v>
      </c>
      <c r="V160" s="98">
        <f t="shared" si="53"/>
        <v>0</v>
      </c>
      <c r="W160" s="203" t="str">
        <f t="shared" si="47"/>
        <v/>
      </c>
      <c r="X160" s="98">
        <f t="shared" si="61"/>
        <v>0</v>
      </c>
      <c r="Y160" s="97"/>
      <c r="Z160" s="93"/>
      <c r="AA160" s="98">
        <f t="shared" si="54"/>
        <v>0</v>
      </c>
      <c r="AB160" s="233"/>
      <c r="AC160" s="98">
        <f>IF(SUMIFS('Shipments data'!L:L,'Shipments data'!F:F,'Supply planning data'!C160,'Shipments data'!A:A,'Supply planning data'!A160,'Shipments data'!O:O,"received",'Shipments data'!Q:Q,"&lt;"&amp;'Supply planning data'!D175,'Shipments data'!AC:AC,"&lt;"&amp;'Supply planning data'!D175)-SUMIFS(M:M,D:D,"&lt;="&amp;D160,C:C,C160)-SUMIFS(AA:AA,D:D,"&lt;="&amp;D160,C:C,C160)+SUMIFS(N:N,D:D,"&lt;="&amp;D160,C:C,C160)+SUMIFS(P:P,D:D,"&lt;="&amp;D160,C:C,C160)&lt;0,0,SUMIFS('Shipments data'!L:L,'Shipments data'!F:F,'Supply planning data'!C160,'Shipments data'!A:A,'Supply planning data'!A160,'Shipments data'!O:O,"received",'Shipments data'!Q:Q,"&lt;"&amp;'Supply planning data'!D175,'Shipments data'!AC:AC,"&lt;"&amp;'Supply planning data'!D175)-SUMIFS(M:M,D:D,"&lt;="&amp;D160,C:C,C160)-SUMIFS(AA:AA,D:D,"&lt;="&amp;D160,C:C,C160)+SUMIFS(N:N,D:D,"&lt;="&amp;D160,C:C,C160)+SUMIFS(P:P,D:D,"&lt;="&amp;D160,C:C,C160))</f>
        <v>0</v>
      </c>
      <c r="AD160" s="98">
        <f t="shared" si="62"/>
        <v>0</v>
      </c>
      <c r="AE160" s="98">
        <f t="shared" si="56"/>
        <v>0</v>
      </c>
      <c r="AF160" s="205" t="str">
        <f t="shared" si="65"/>
        <v/>
      </c>
      <c r="AG160" s="98">
        <f t="shared" si="63"/>
        <v>0</v>
      </c>
      <c r="AH160" s="97"/>
      <c r="AI160" s="311"/>
      <c r="AJ160" s="98">
        <f t="shared" si="55"/>
        <v>0</v>
      </c>
      <c r="AK160" s="233"/>
      <c r="AL160" s="98">
        <f>IF(SUMIFS('Shipments data'!L:L,'Shipments data'!F:F,'Supply planning data'!C160,'Shipments data'!A:A,'Supply planning data'!A160,'Shipments data'!O:O,"received",'Shipments data'!Q:Q,"&lt;"&amp;'Supply planning data'!D175,'Shipments data'!AC:AC,"&lt;"&amp;'Supply planning data'!D175)-SUMIFS(M:M,D:D,"&lt;="&amp;D160,C:C,C160)-SUMIFS(AJ:AJ,D:D,"&lt;="&amp;D160,C:C,C160)+SUMIFS(N:N,D:D,"&lt;="&amp;D160,C:C,C160)+SUMIFS(P:P,D:D,"&lt;="&amp;D160,C:C,C160)&lt;0,0,SUMIFS('Shipments data'!L:L,'Shipments data'!F:F,'Supply planning data'!C160,'Shipments data'!A:A,'Supply planning data'!A160,'Shipments data'!O:O,"received",'Shipments data'!Q:Q,"&lt;"&amp;'Supply planning data'!D175,'Shipments data'!AC:AC,"&lt;"&amp;'Supply planning data'!D175)-SUMIFS(M:M,D:D,"&lt;="&amp;D160,C:C,C160)-SUMIFS(AJ:AJ,D:D,"&lt;="&amp;D160,C:C,C160)+SUMIFS(N:N,D:D,"&lt;="&amp;D160,C:C,C160)+SUMIFS(P:P,D:D,"&lt;="&amp;D160,C:C,C160))</f>
        <v>0</v>
      </c>
      <c r="AM160" s="98">
        <f t="shared" si="64"/>
        <v>0</v>
      </c>
      <c r="AN160" s="98">
        <f t="shared" si="57"/>
        <v>0</v>
      </c>
      <c r="AO160" s="203" t="str">
        <f t="shared" si="48"/>
        <v/>
      </c>
    </row>
    <row r="161" spans="1:41" hidden="1" x14ac:dyDescent="0.25">
      <c r="A161" s="95" t="str">
        <f>Start!D$7</f>
        <v>Anyland</v>
      </c>
      <c r="B161" s="96" t="str">
        <f>VLOOKUP(A161,list!B:C,2,FALSE)</f>
        <v>ANY</v>
      </c>
      <c r="C161" s="90" t="str">
        <f>IF(Start!$C$23="","",Start!$C$23)</f>
        <v/>
      </c>
      <c r="D161" s="296">
        <f t="shared" si="58"/>
        <v>44501</v>
      </c>
      <c r="E161" s="92" t="str">
        <f>IFERROR(VLOOKUP(C161,Start!C$15:D$31,2,FALSE),"No")</f>
        <v>No</v>
      </c>
      <c r="F161" s="92">
        <f t="shared" si="59"/>
        <v>0</v>
      </c>
      <c r="G161" s="91"/>
      <c r="H161" s="97"/>
      <c r="I161" s="97"/>
      <c r="J161" s="98">
        <f t="shared" si="50"/>
        <v>0</v>
      </c>
      <c r="K161" s="97"/>
      <c r="L161" s="175" t="str">
        <f t="shared" si="51"/>
        <v/>
      </c>
      <c r="M161" s="98">
        <f t="shared" si="52"/>
        <v>0</v>
      </c>
      <c r="N161" s="97"/>
      <c r="O161" s="122"/>
      <c r="P161" s="97"/>
      <c r="Q161" s="122"/>
      <c r="R161" s="98">
        <f>SUMIFS('Shipments data'!L:L,'Shipments data'!F:F,'Supply planning data'!C161,'Shipments data'!A:A,'Supply planning data'!A161,'Shipments data'!Y:Y,'Supply planning data'!D161,'Shipments data'!O:O,"received", 'Shipments data'!N:N, "Public")</f>
        <v>0</v>
      </c>
      <c r="S161" s="98">
        <f>SUMIFS('Shipments data'!L:L,'Shipments data'!F:F,'Supply planning data'!C161,'Shipments data'!A:A,'Supply planning data'!A161,'Shipments data'!Y:Y,'Supply planning data'!D161,'Shipments data'!O:O,"ordered", 'Shipments data'!N:N, "Public")</f>
        <v>0</v>
      </c>
      <c r="T161" s="98">
        <f>IF(SUMIFS('Shipments data'!L:L,'Shipments data'!F:F,'Supply planning data'!C161,'Shipments data'!A:A,'Supply planning data'!A161,'Shipments data'!O:O,"received",'Shipments data'!Q:Q,"&lt;"&amp;'Supply planning data'!D176,'Shipments data'!AC:AC,"&lt;"&amp;'Supply planning data'!D176)-SUMIFS(M:M,D:D,"&lt;="&amp;D161,C:C,C161)+SUMIFS(N:N,D:D,"&lt;="&amp;D161,C:C,C161)+SUMIFS(P:P,D:D,"&lt;="&amp;D161,C:C,C161)&lt;0,0,SUMIFS('Shipments data'!L:L,'Shipments data'!F:F,'Supply planning data'!C161,'Shipments data'!A:A,'Supply planning data'!A161,'Shipments data'!O:O,"received",'Shipments data'!Q:Q,"&lt;"&amp;'Supply planning data'!D176,'Shipments data'!AC:AC,"&lt;"&amp;'Supply planning data'!D176)-SUMIFS(M:M,D:D,"&lt;="&amp;D161,C:C,C161)+SUMIFS(N:N,D:D,"&lt;="&amp;D161,C:C,C161)+SUMIFS(P:P,D:D,"&lt;="&amp;D161,C:C,C161))</f>
        <v>0</v>
      </c>
      <c r="U161" s="99">
        <f t="shared" si="60"/>
        <v>0</v>
      </c>
      <c r="V161" s="98">
        <f t="shared" si="53"/>
        <v>0</v>
      </c>
      <c r="W161" s="203" t="str">
        <f t="shared" si="47"/>
        <v/>
      </c>
      <c r="X161" s="98">
        <f t="shared" si="61"/>
        <v>0</v>
      </c>
      <c r="Y161" s="97"/>
      <c r="Z161" s="93"/>
      <c r="AA161" s="98">
        <f t="shared" si="54"/>
        <v>0</v>
      </c>
      <c r="AB161" s="233"/>
      <c r="AC161" s="98">
        <f>IF(SUMIFS('Shipments data'!L:L,'Shipments data'!F:F,'Supply planning data'!C161,'Shipments data'!A:A,'Supply planning data'!A161,'Shipments data'!O:O,"received",'Shipments data'!Q:Q,"&lt;"&amp;'Supply planning data'!D176,'Shipments data'!AC:AC,"&lt;"&amp;'Supply planning data'!D176)-SUMIFS(M:M,D:D,"&lt;="&amp;D161,C:C,C161)-SUMIFS(AA:AA,D:D,"&lt;="&amp;D161,C:C,C161)+SUMIFS(N:N,D:D,"&lt;="&amp;D161,C:C,C161)+SUMIFS(P:P,D:D,"&lt;="&amp;D161,C:C,C161)&lt;0,0,SUMIFS('Shipments data'!L:L,'Shipments data'!F:F,'Supply planning data'!C161,'Shipments data'!A:A,'Supply planning data'!A161,'Shipments data'!O:O,"received",'Shipments data'!Q:Q,"&lt;"&amp;'Supply planning data'!D176,'Shipments data'!AC:AC,"&lt;"&amp;'Supply planning data'!D176)-SUMIFS(M:M,D:D,"&lt;="&amp;D161,C:C,C161)-SUMIFS(AA:AA,D:D,"&lt;="&amp;D161,C:C,C161)+SUMIFS(N:N,D:D,"&lt;="&amp;D161,C:C,C161)+SUMIFS(P:P,D:D,"&lt;="&amp;D161,C:C,C161))</f>
        <v>0</v>
      </c>
      <c r="AD161" s="98">
        <f t="shared" si="62"/>
        <v>0</v>
      </c>
      <c r="AE161" s="98">
        <f t="shared" si="56"/>
        <v>0</v>
      </c>
      <c r="AF161" s="205" t="str">
        <f t="shared" si="65"/>
        <v/>
      </c>
      <c r="AG161" s="98">
        <f t="shared" si="63"/>
        <v>0</v>
      </c>
      <c r="AH161" s="97"/>
      <c r="AI161" s="311"/>
      <c r="AJ161" s="98">
        <f t="shared" si="55"/>
        <v>0</v>
      </c>
      <c r="AK161" s="233"/>
      <c r="AL161" s="98">
        <f>IF(SUMIFS('Shipments data'!L:L,'Shipments data'!F:F,'Supply planning data'!C161,'Shipments data'!A:A,'Supply planning data'!A161,'Shipments data'!O:O,"received",'Shipments data'!Q:Q,"&lt;"&amp;'Supply planning data'!D176,'Shipments data'!AC:AC,"&lt;"&amp;'Supply planning data'!D176)-SUMIFS(M:M,D:D,"&lt;="&amp;D161,C:C,C161)-SUMIFS(AJ:AJ,D:D,"&lt;="&amp;D161,C:C,C161)+SUMIFS(N:N,D:D,"&lt;="&amp;D161,C:C,C161)+SUMIFS(P:P,D:D,"&lt;="&amp;D161,C:C,C161)&lt;0,0,SUMIFS('Shipments data'!L:L,'Shipments data'!F:F,'Supply planning data'!C161,'Shipments data'!A:A,'Supply planning data'!A161,'Shipments data'!O:O,"received",'Shipments data'!Q:Q,"&lt;"&amp;'Supply planning data'!D176,'Shipments data'!AC:AC,"&lt;"&amp;'Supply planning data'!D176)-SUMIFS(M:M,D:D,"&lt;="&amp;D161,C:C,C161)-SUMIFS(AJ:AJ,D:D,"&lt;="&amp;D161,C:C,C161)+SUMIFS(N:N,D:D,"&lt;="&amp;D161,C:C,C161)+SUMIFS(P:P,D:D,"&lt;="&amp;D161,C:C,C161))</f>
        <v>0</v>
      </c>
      <c r="AM161" s="98">
        <f t="shared" si="64"/>
        <v>0</v>
      </c>
      <c r="AN161" s="98">
        <f t="shared" si="57"/>
        <v>0</v>
      </c>
      <c r="AO161" s="203" t="str">
        <f t="shared" si="48"/>
        <v/>
      </c>
    </row>
    <row r="162" spans="1:41" hidden="1" x14ac:dyDescent="0.25">
      <c r="A162" s="95" t="str">
        <f>Start!D$7</f>
        <v>Anyland</v>
      </c>
      <c r="B162" s="96" t="str">
        <f>VLOOKUP(A162,list!B:C,2,FALSE)</f>
        <v>ANY</v>
      </c>
      <c r="C162" s="90" t="str">
        <f>IF(Start!$C$24="","",Start!$C$24)</f>
        <v/>
      </c>
      <c r="D162" s="296">
        <f t="shared" si="58"/>
        <v>44501</v>
      </c>
      <c r="E162" s="92" t="str">
        <f>IFERROR(VLOOKUP(C162,Start!C$15:D$31,2,FALSE),"No")</f>
        <v>No</v>
      </c>
      <c r="F162" s="92">
        <f t="shared" si="59"/>
        <v>0</v>
      </c>
      <c r="G162" s="91"/>
      <c r="H162" s="97"/>
      <c r="I162" s="97"/>
      <c r="J162" s="98">
        <f t="shared" si="50"/>
        <v>0</v>
      </c>
      <c r="K162" s="97"/>
      <c r="L162" s="175" t="str">
        <f t="shared" si="51"/>
        <v/>
      </c>
      <c r="M162" s="98">
        <f t="shared" si="52"/>
        <v>0</v>
      </c>
      <c r="N162" s="97"/>
      <c r="O162" s="122"/>
      <c r="P162" s="97"/>
      <c r="Q162" s="122"/>
      <c r="R162" s="98">
        <f>SUMIFS('Shipments data'!L:L,'Shipments data'!F:F,'Supply planning data'!C162,'Shipments data'!A:A,'Supply planning data'!A162,'Shipments data'!Y:Y,'Supply planning data'!D162,'Shipments data'!O:O,"received", 'Shipments data'!N:N, "Public")</f>
        <v>0</v>
      </c>
      <c r="S162" s="98">
        <f>SUMIFS('Shipments data'!L:L,'Shipments data'!F:F,'Supply planning data'!C162,'Shipments data'!A:A,'Supply planning data'!A162,'Shipments data'!Y:Y,'Supply planning data'!D162,'Shipments data'!O:O,"ordered", 'Shipments data'!N:N, "Public")</f>
        <v>0</v>
      </c>
      <c r="T162" s="98">
        <f>IF(SUMIFS('Shipments data'!L:L,'Shipments data'!F:F,'Supply planning data'!C162,'Shipments data'!A:A,'Supply planning data'!A162,'Shipments data'!O:O,"received",'Shipments data'!Q:Q,"&lt;"&amp;'Supply planning data'!D177,'Shipments data'!AC:AC,"&lt;"&amp;'Supply planning data'!D177)-SUMIFS(M:M,D:D,"&lt;="&amp;D162,C:C,C162)+SUMIFS(N:N,D:D,"&lt;="&amp;D162,C:C,C162)+SUMIFS(P:P,D:D,"&lt;="&amp;D162,C:C,C162)&lt;0,0,SUMIFS('Shipments data'!L:L,'Shipments data'!F:F,'Supply planning data'!C162,'Shipments data'!A:A,'Supply planning data'!A162,'Shipments data'!O:O,"received",'Shipments data'!Q:Q,"&lt;"&amp;'Supply planning data'!D177,'Shipments data'!AC:AC,"&lt;"&amp;'Supply planning data'!D177)-SUMIFS(M:M,D:D,"&lt;="&amp;D162,C:C,C162)+SUMIFS(N:N,D:D,"&lt;="&amp;D162,C:C,C162)+SUMIFS(P:P,D:D,"&lt;="&amp;D162,C:C,C162))</f>
        <v>0</v>
      </c>
      <c r="U162" s="99">
        <f t="shared" si="60"/>
        <v>0</v>
      </c>
      <c r="V162" s="98">
        <f t="shared" si="53"/>
        <v>0</v>
      </c>
      <c r="W162" s="203" t="str">
        <f t="shared" si="47"/>
        <v/>
      </c>
      <c r="X162" s="98">
        <f t="shared" si="61"/>
        <v>0</v>
      </c>
      <c r="Y162" s="97"/>
      <c r="Z162" s="93"/>
      <c r="AA162" s="98">
        <f t="shared" si="54"/>
        <v>0</v>
      </c>
      <c r="AB162" s="233"/>
      <c r="AC162" s="98">
        <f>IF(SUMIFS('Shipments data'!L:L,'Shipments data'!F:F,'Supply planning data'!C162,'Shipments data'!A:A,'Supply planning data'!A162,'Shipments data'!O:O,"received",'Shipments data'!Q:Q,"&lt;"&amp;'Supply planning data'!D177,'Shipments data'!AC:AC,"&lt;"&amp;'Supply planning data'!D177)-SUMIFS(M:M,D:D,"&lt;="&amp;D162,C:C,C162)-SUMIFS(AA:AA,D:D,"&lt;="&amp;D162,C:C,C162)+SUMIFS(N:N,D:D,"&lt;="&amp;D162,C:C,C162)+SUMIFS(P:P,D:D,"&lt;="&amp;D162,C:C,C162)&lt;0,0,SUMIFS('Shipments data'!L:L,'Shipments data'!F:F,'Supply planning data'!C162,'Shipments data'!A:A,'Supply planning data'!A162,'Shipments data'!O:O,"received",'Shipments data'!Q:Q,"&lt;"&amp;'Supply planning data'!D177,'Shipments data'!AC:AC,"&lt;"&amp;'Supply planning data'!D177)-SUMIFS(M:M,D:D,"&lt;="&amp;D162,C:C,C162)-SUMIFS(AA:AA,D:D,"&lt;="&amp;D162,C:C,C162)+SUMIFS(N:N,D:D,"&lt;="&amp;D162,C:C,C162)+SUMIFS(P:P,D:D,"&lt;="&amp;D162,C:C,C162))</f>
        <v>0</v>
      </c>
      <c r="AD162" s="98">
        <f t="shared" si="62"/>
        <v>0</v>
      </c>
      <c r="AE162" s="98">
        <f t="shared" si="56"/>
        <v>0</v>
      </c>
      <c r="AF162" s="205" t="str">
        <f t="shared" si="65"/>
        <v/>
      </c>
      <c r="AG162" s="98">
        <f t="shared" si="63"/>
        <v>0</v>
      </c>
      <c r="AH162" s="97"/>
      <c r="AI162" s="311"/>
      <c r="AJ162" s="98">
        <f t="shared" si="55"/>
        <v>0</v>
      </c>
      <c r="AK162" s="233"/>
      <c r="AL162" s="98">
        <f>IF(SUMIFS('Shipments data'!L:L,'Shipments data'!F:F,'Supply planning data'!C162,'Shipments data'!A:A,'Supply planning data'!A162,'Shipments data'!O:O,"received",'Shipments data'!Q:Q,"&lt;"&amp;'Supply planning data'!D177,'Shipments data'!AC:AC,"&lt;"&amp;'Supply planning data'!D177)-SUMIFS(M:M,D:D,"&lt;="&amp;D162,C:C,C162)-SUMIFS(AJ:AJ,D:D,"&lt;="&amp;D162,C:C,C162)+SUMIFS(N:N,D:D,"&lt;="&amp;D162,C:C,C162)+SUMIFS(P:P,D:D,"&lt;="&amp;D162,C:C,C162)&lt;0,0,SUMIFS('Shipments data'!L:L,'Shipments data'!F:F,'Supply planning data'!C162,'Shipments data'!A:A,'Supply planning data'!A162,'Shipments data'!O:O,"received",'Shipments data'!Q:Q,"&lt;"&amp;'Supply planning data'!D177,'Shipments data'!AC:AC,"&lt;"&amp;'Supply planning data'!D177)-SUMIFS(M:M,D:D,"&lt;="&amp;D162,C:C,C162)-SUMIFS(AJ:AJ,D:D,"&lt;="&amp;D162,C:C,C162)+SUMIFS(N:N,D:D,"&lt;="&amp;D162,C:C,C162)+SUMIFS(P:P,D:D,"&lt;="&amp;D162,C:C,C162))</f>
        <v>0</v>
      </c>
      <c r="AM162" s="98">
        <f t="shared" si="64"/>
        <v>0</v>
      </c>
      <c r="AN162" s="98">
        <f t="shared" si="57"/>
        <v>0</v>
      </c>
      <c r="AO162" s="203" t="str">
        <f t="shared" si="48"/>
        <v/>
      </c>
    </row>
    <row r="163" spans="1:41" hidden="1" x14ac:dyDescent="0.25">
      <c r="A163" s="95" t="str">
        <f>Start!D$7</f>
        <v>Anyland</v>
      </c>
      <c r="B163" s="96" t="str">
        <f>VLOOKUP(A163,list!B:C,2,FALSE)</f>
        <v>ANY</v>
      </c>
      <c r="C163" s="90" t="str">
        <f>IF(Start!$C$25="","",Start!$C$25)</f>
        <v/>
      </c>
      <c r="D163" s="296">
        <f t="shared" si="58"/>
        <v>44501</v>
      </c>
      <c r="E163" s="92" t="str">
        <f>IFERROR(VLOOKUP(C163,Start!C$15:D$31,2,FALSE),"No")</f>
        <v>No</v>
      </c>
      <c r="F163" s="92">
        <f t="shared" si="59"/>
        <v>0</v>
      </c>
      <c r="G163" s="91"/>
      <c r="H163" s="97"/>
      <c r="I163" s="97"/>
      <c r="J163" s="98">
        <f t="shared" si="50"/>
        <v>0</v>
      </c>
      <c r="K163" s="97"/>
      <c r="L163" s="175" t="str">
        <f t="shared" si="51"/>
        <v/>
      </c>
      <c r="M163" s="98">
        <f t="shared" si="52"/>
        <v>0</v>
      </c>
      <c r="N163" s="97"/>
      <c r="O163" s="122"/>
      <c r="P163" s="97"/>
      <c r="Q163" s="122"/>
      <c r="R163" s="98">
        <f>SUMIFS('Shipments data'!L:L,'Shipments data'!F:F,'Supply planning data'!C163,'Shipments data'!A:A,'Supply planning data'!A163,'Shipments data'!Y:Y,'Supply planning data'!D163,'Shipments data'!O:O,"received", 'Shipments data'!N:N, "Public")</f>
        <v>0</v>
      </c>
      <c r="S163" s="98">
        <f>SUMIFS('Shipments data'!L:L,'Shipments data'!F:F,'Supply planning data'!C163,'Shipments data'!A:A,'Supply planning data'!A163,'Shipments data'!Y:Y,'Supply planning data'!D163,'Shipments data'!O:O,"ordered", 'Shipments data'!N:N, "Public")</f>
        <v>0</v>
      </c>
      <c r="T163" s="98">
        <f>IF(SUMIFS('Shipments data'!L:L,'Shipments data'!F:F,'Supply planning data'!C163,'Shipments data'!A:A,'Supply planning data'!A163,'Shipments data'!O:O,"received",'Shipments data'!Q:Q,"&lt;"&amp;'Supply planning data'!D178,'Shipments data'!AC:AC,"&lt;"&amp;'Supply planning data'!D178)-SUMIFS(M:M,D:D,"&lt;="&amp;D163,C:C,C163)+SUMIFS(N:N,D:D,"&lt;="&amp;D163,C:C,C163)+SUMIFS(P:P,D:D,"&lt;="&amp;D163,C:C,C163)&lt;0,0,SUMIFS('Shipments data'!L:L,'Shipments data'!F:F,'Supply planning data'!C163,'Shipments data'!A:A,'Supply planning data'!A163,'Shipments data'!O:O,"received",'Shipments data'!Q:Q,"&lt;"&amp;'Supply planning data'!D178,'Shipments data'!AC:AC,"&lt;"&amp;'Supply planning data'!D178)-SUMIFS(M:M,D:D,"&lt;="&amp;D163,C:C,C163)+SUMIFS(N:N,D:D,"&lt;="&amp;D163,C:C,C163)+SUMIFS(P:P,D:D,"&lt;="&amp;D163,C:C,C163))</f>
        <v>0</v>
      </c>
      <c r="U163" s="99">
        <f t="shared" si="60"/>
        <v>0</v>
      </c>
      <c r="V163" s="98">
        <f t="shared" si="53"/>
        <v>0</v>
      </c>
      <c r="W163" s="203" t="str">
        <f t="shared" si="47"/>
        <v/>
      </c>
      <c r="X163" s="98">
        <f t="shared" si="61"/>
        <v>0</v>
      </c>
      <c r="Y163" s="97"/>
      <c r="Z163" s="93"/>
      <c r="AA163" s="98">
        <f t="shared" si="54"/>
        <v>0</v>
      </c>
      <c r="AB163" s="233"/>
      <c r="AC163" s="98">
        <f>IF(SUMIFS('Shipments data'!L:L,'Shipments data'!F:F,'Supply planning data'!C163,'Shipments data'!A:A,'Supply planning data'!A163,'Shipments data'!O:O,"received",'Shipments data'!Q:Q,"&lt;"&amp;'Supply planning data'!D178,'Shipments data'!AC:AC,"&lt;"&amp;'Supply planning data'!D178)-SUMIFS(M:M,D:D,"&lt;="&amp;D163,C:C,C163)-SUMIFS(AA:AA,D:D,"&lt;="&amp;D163,C:C,C163)+SUMIFS(N:N,D:D,"&lt;="&amp;D163,C:C,C163)+SUMIFS(P:P,D:D,"&lt;="&amp;D163,C:C,C163)&lt;0,0,SUMIFS('Shipments data'!L:L,'Shipments data'!F:F,'Supply planning data'!C163,'Shipments data'!A:A,'Supply planning data'!A163,'Shipments data'!O:O,"received",'Shipments data'!Q:Q,"&lt;"&amp;'Supply planning data'!D178,'Shipments data'!AC:AC,"&lt;"&amp;'Supply planning data'!D178)-SUMIFS(M:M,D:D,"&lt;="&amp;D163,C:C,C163)-SUMIFS(AA:AA,D:D,"&lt;="&amp;D163,C:C,C163)+SUMIFS(N:N,D:D,"&lt;="&amp;D163,C:C,C163)+SUMIFS(P:P,D:D,"&lt;="&amp;D163,C:C,C163))</f>
        <v>0</v>
      </c>
      <c r="AD163" s="98">
        <f t="shared" si="62"/>
        <v>0</v>
      </c>
      <c r="AE163" s="98">
        <f t="shared" si="56"/>
        <v>0</v>
      </c>
      <c r="AF163" s="205" t="str">
        <f t="shared" si="65"/>
        <v/>
      </c>
      <c r="AG163" s="98">
        <f t="shared" si="63"/>
        <v>0</v>
      </c>
      <c r="AH163" s="97"/>
      <c r="AI163" s="311"/>
      <c r="AJ163" s="98">
        <f t="shared" si="55"/>
        <v>0</v>
      </c>
      <c r="AK163" s="233"/>
      <c r="AL163" s="98">
        <f>IF(SUMIFS('Shipments data'!L:L,'Shipments data'!F:F,'Supply planning data'!C163,'Shipments data'!A:A,'Supply planning data'!A163,'Shipments data'!O:O,"received",'Shipments data'!Q:Q,"&lt;"&amp;'Supply planning data'!D178,'Shipments data'!AC:AC,"&lt;"&amp;'Supply planning data'!D178)-SUMIFS(M:M,D:D,"&lt;="&amp;D163,C:C,C163)-SUMIFS(AJ:AJ,D:D,"&lt;="&amp;D163,C:C,C163)+SUMIFS(N:N,D:D,"&lt;="&amp;D163,C:C,C163)+SUMIFS(P:P,D:D,"&lt;="&amp;D163,C:C,C163)&lt;0,0,SUMIFS('Shipments data'!L:L,'Shipments data'!F:F,'Supply planning data'!C163,'Shipments data'!A:A,'Supply planning data'!A163,'Shipments data'!O:O,"received",'Shipments data'!Q:Q,"&lt;"&amp;'Supply planning data'!D178,'Shipments data'!AC:AC,"&lt;"&amp;'Supply planning data'!D178)-SUMIFS(M:M,D:D,"&lt;="&amp;D163,C:C,C163)-SUMIFS(AJ:AJ,D:D,"&lt;="&amp;D163,C:C,C163)+SUMIFS(N:N,D:D,"&lt;="&amp;D163,C:C,C163)+SUMIFS(P:P,D:D,"&lt;="&amp;D163,C:C,C163))</f>
        <v>0</v>
      </c>
      <c r="AM163" s="98">
        <f t="shared" si="64"/>
        <v>0</v>
      </c>
      <c r="AN163" s="98">
        <f t="shared" si="57"/>
        <v>0</v>
      </c>
      <c r="AO163" s="203" t="str">
        <f t="shared" si="48"/>
        <v/>
      </c>
    </row>
    <row r="164" spans="1:41" hidden="1" x14ac:dyDescent="0.25">
      <c r="A164" s="95" t="str">
        <f>Start!D$7</f>
        <v>Anyland</v>
      </c>
      <c r="B164" s="96" t="str">
        <f>VLOOKUP(A164,list!B:C,2,FALSE)</f>
        <v>ANY</v>
      </c>
      <c r="C164" s="90" t="str">
        <f>IF(Start!$C$26="","",Start!$C$26)</f>
        <v/>
      </c>
      <c r="D164" s="296">
        <f t="shared" si="58"/>
        <v>44501</v>
      </c>
      <c r="E164" s="92" t="str">
        <f>IFERROR(VLOOKUP(C164,Start!C$15:D$31,2,FALSE),"No")</f>
        <v>No</v>
      </c>
      <c r="F164" s="92">
        <f t="shared" si="59"/>
        <v>0</v>
      </c>
      <c r="G164" s="91"/>
      <c r="H164" s="97"/>
      <c r="I164" s="97"/>
      <c r="J164" s="98">
        <f t="shared" si="50"/>
        <v>0</v>
      </c>
      <c r="K164" s="97"/>
      <c r="L164" s="175" t="str">
        <f t="shared" si="51"/>
        <v/>
      </c>
      <c r="M164" s="98">
        <f t="shared" si="52"/>
        <v>0</v>
      </c>
      <c r="N164" s="97"/>
      <c r="O164" s="122"/>
      <c r="P164" s="97"/>
      <c r="Q164" s="122"/>
      <c r="R164" s="98">
        <f>SUMIFS('Shipments data'!L:L,'Shipments data'!F:F,'Supply planning data'!C164,'Shipments data'!A:A,'Supply planning data'!A164,'Shipments data'!Y:Y,'Supply planning data'!D164,'Shipments data'!O:O,"received", 'Shipments data'!N:N, "Public")</f>
        <v>0</v>
      </c>
      <c r="S164" s="98">
        <f>SUMIFS('Shipments data'!L:L,'Shipments data'!F:F,'Supply planning data'!C164,'Shipments data'!A:A,'Supply planning data'!A164,'Shipments data'!Y:Y,'Supply planning data'!D164,'Shipments data'!O:O,"ordered", 'Shipments data'!N:N, "Public")</f>
        <v>0</v>
      </c>
      <c r="T164" s="98">
        <f>IF(SUMIFS('Shipments data'!L:L,'Shipments data'!F:F,'Supply planning data'!C164,'Shipments data'!A:A,'Supply planning data'!A164,'Shipments data'!O:O,"received",'Shipments data'!Q:Q,"&lt;"&amp;'Supply planning data'!D179,'Shipments data'!AC:AC,"&lt;"&amp;'Supply planning data'!D179)-SUMIFS(M:M,D:D,"&lt;="&amp;D164,C:C,C164)+SUMIFS(N:N,D:D,"&lt;="&amp;D164,C:C,C164)+SUMIFS(P:P,D:D,"&lt;="&amp;D164,C:C,C164)&lt;0,0,SUMIFS('Shipments data'!L:L,'Shipments data'!F:F,'Supply planning data'!C164,'Shipments data'!A:A,'Supply planning data'!A164,'Shipments data'!O:O,"received",'Shipments data'!Q:Q,"&lt;"&amp;'Supply planning data'!D179,'Shipments data'!AC:AC,"&lt;"&amp;'Supply planning data'!D179)-SUMIFS(M:M,D:D,"&lt;="&amp;D164,C:C,C164)+SUMIFS(N:N,D:D,"&lt;="&amp;D164,C:C,C164)+SUMIFS(P:P,D:D,"&lt;="&amp;D164,C:C,C164))</f>
        <v>0</v>
      </c>
      <c r="U164" s="99">
        <f t="shared" si="60"/>
        <v>0</v>
      </c>
      <c r="V164" s="98">
        <f t="shared" si="53"/>
        <v>0</v>
      </c>
      <c r="W164" s="203" t="str">
        <f t="shared" ref="W164:W227" si="66">IF(M164&lt;=0,"",IFERROR(V164/(SUM(M164,M149,M134)/3),""))</f>
        <v/>
      </c>
      <c r="X164" s="98">
        <f t="shared" si="61"/>
        <v>0</v>
      </c>
      <c r="Y164" s="97"/>
      <c r="Z164" s="93"/>
      <c r="AA164" s="98">
        <f t="shared" si="54"/>
        <v>0</v>
      </c>
      <c r="AB164" s="233"/>
      <c r="AC164" s="98">
        <f>IF(SUMIFS('Shipments data'!L:L,'Shipments data'!F:F,'Supply planning data'!C164,'Shipments data'!A:A,'Supply planning data'!A164,'Shipments data'!O:O,"received",'Shipments data'!Q:Q,"&lt;"&amp;'Supply planning data'!D179,'Shipments data'!AC:AC,"&lt;"&amp;'Supply planning data'!D179)-SUMIFS(M:M,D:D,"&lt;="&amp;D164,C:C,C164)-SUMIFS(AA:AA,D:D,"&lt;="&amp;D164,C:C,C164)+SUMIFS(N:N,D:D,"&lt;="&amp;D164,C:C,C164)+SUMIFS(P:P,D:D,"&lt;="&amp;D164,C:C,C164)&lt;0,0,SUMIFS('Shipments data'!L:L,'Shipments data'!F:F,'Supply planning data'!C164,'Shipments data'!A:A,'Supply planning data'!A164,'Shipments data'!O:O,"received",'Shipments data'!Q:Q,"&lt;"&amp;'Supply planning data'!D179,'Shipments data'!AC:AC,"&lt;"&amp;'Supply planning data'!D179)-SUMIFS(M:M,D:D,"&lt;="&amp;D164,C:C,C164)-SUMIFS(AA:AA,D:D,"&lt;="&amp;D164,C:C,C164)+SUMIFS(N:N,D:D,"&lt;="&amp;D164,C:C,C164)+SUMIFS(P:P,D:D,"&lt;="&amp;D164,C:C,C164))</f>
        <v>0</v>
      </c>
      <c r="AD164" s="98">
        <f t="shared" si="62"/>
        <v>0</v>
      </c>
      <c r="AE164" s="98">
        <f t="shared" si="56"/>
        <v>0</v>
      </c>
      <c r="AF164" s="205" t="str">
        <f t="shared" si="65"/>
        <v/>
      </c>
      <c r="AG164" s="98">
        <f t="shared" si="63"/>
        <v>0</v>
      </c>
      <c r="AH164" s="97"/>
      <c r="AI164" s="311"/>
      <c r="AJ164" s="98">
        <f t="shared" si="55"/>
        <v>0</v>
      </c>
      <c r="AK164" s="233"/>
      <c r="AL164" s="98">
        <f>IF(SUMIFS('Shipments data'!L:L,'Shipments data'!F:F,'Supply planning data'!C164,'Shipments data'!A:A,'Supply planning data'!A164,'Shipments data'!O:O,"received",'Shipments data'!Q:Q,"&lt;"&amp;'Supply planning data'!D179,'Shipments data'!AC:AC,"&lt;"&amp;'Supply planning data'!D179)-SUMIFS(M:M,D:D,"&lt;="&amp;D164,C:C,C164)-SUMIFS(AJ:AJ,D:D,"&lt;="&amp;D164,C:C,C164)+SUMIFS(N:N,D:D,"&lt;="&amp;D164,C:C,C164)+SUMIFS(P:P,D:D,"&lt;="&amp;D164,C:C,C164)&lt;0,0,SUMIFS('Shipments data'!L:L,'Shipments data'!F:F,'Supply planning data'!C164,'Shipments data'!A:A,'Supply planning data'!A164,'Shipments data'!O:O,"received",'Shipments data'!Q:Q,"&lt;"&amp;'Supply planning data'!D179,'Shipments data'!AC:AC,"&lt;"&amp;'Supply planning data'!D179)-SUMIFS(M:M,D:D,"&lt;="&amp;D164,C:C,C164)-SUMIFS(AJ:AJ,D:D,"&lt;="&amp;D164,C:C,C164)+SUMIFS(N:N,D:D,"&lt;="&amp;D164,C:C,C164)+SUMIFS(P:P,D:D,"&lt;="&amp;D164,C:C,C164))</f>
        <v>0</v>
      </c>
      <c r="AM164" s="98">
        <f t="shared" si="64"/>
        <v>0</v>
      </c>
      <c r="AN164" s="98">
        <f t="shared" si="57"/>
        <v>0</v>
      </c>
      <c r="AO164" s="203" t="str">
        <f t="shared" ref="AO164:AO227" si="67">IF(M164+AJ164&lt;=0,"",IFERROR(AN164/(SUM(M164,M194,M179,AJ164,AJ194,AJ179)/3),""))</f>
        <v/>
      </c>
    </row>
    <row r="165" spans="1:41" hidden="1" x14ac:dyDescent="0.25">
      <c r="A165" s="95" t="str">
        <f>Start!D$7</f>
        <v>Anyland</v>
      </c>
      <c r="B165" s="96" t="str">
        <f>VLOOKUP(A165,list!B:C,2,FALSE)</f>
        <v>ANY</v>
      </c>
      <c r="C165" s="90" t="str">
        <f>IF(Start!$C$27="","",Start!$C$27)</f>
        <v/>
      </c>
      <c r="D165" s="296">
        <f t="shared" si="58"/>
        <v>44501</v>
      </c>
      <c r="E165" s="92" t="str">
        <f>IFERROR(VLOOKUP(C165,Start!C$15:D$31,2,FALSE),"No")</f>
        <v>No</v>
      </c>
      <c r="F165" s="92">
        <f t="shared" si="59"/>
        <v>0</v>
      </c>
      <c r="G165" s="91"/>
      <c r="H165" s="97"/>
      <c r="I165" s="97"/>
      <c r="J165" s="98">
        <f t="shared" si="50"/>
        <v>0</v>
      </c>
      <c r="K165" s="97"/>
      <c r="L165" s="175" t="str">
        <f t="shared" si="51"/>
        <v/>
      </c>
      <c r="M165" s="98">
        <f t="shared" si="52"/>
        <v>0</v>
      </c>
      <c r="N165" s="97"/>
      <c r="O165" s="122"/>
      <c r="P165" s="97"/>
      <c r="Q165" s="122"/>
      <c r="R165" s="98">
        <f>SUMIFS('Shipments data'!L:L,'Shipments data'!F:F,'Supply planning data'!C165,'Shipments data'!A:A,'Supply planning data'!A165,'Shipments data'!Y:Y,'Supply planning data'!D165,'Shipments data'!O:O,"received", 'Shipments data'!N:N, "Public")</f>
        <v>0</v>
      </c>
      <c r="S165" s="98">
        <f>SUMIFS('Shipments data'!L:L,'Shipments data'!F:F,'Supply planning data'!C165,'Shipments data'!A:A,'Supply planning data'!A165,'Shipments data'!Y:Y,'Supply planning data'!D165,'Shipments data'!O:O,"ordered", 'Shipments data'!N:N, "Public")</f>
        <v>0</v>
      </c>
      <c r="T165" s="98">
        <f>IF(SUMIFS('Shipments data'!L:L,'Shipments data'!F:F,'Supply planning data'!C165,'Shipments data'!A:A,'Supply planning data'!A165,'Shipments data'!O:O,"received",'Shipments data'!Q:Q,"&lt;"&amp;'Supply planning data'!D180,'Shipments data'!AC:AC,"&lt;"&amp;'Supply planning data'!D180)-SUMIFS(M:M,D:D,"&lt;="&amp;D165,C:C,C165)+SUMIFS(N:N,D:D,"&lt;="&amp;D165,C:C,C165)+SUMIFS(P:P,D:D,"&lt;="&amp;D165,C:C,C165)&lt;0,0,SUMIFS('Shipments data'!L:L,'Shipments data'!F:F,'Supply planning data'!C165,'Shipments data'!A:A,'Supply planning data'!A165,'Shipments data'!O:O,"received",'Shipments data'!Q:Q,"&lt;"&amp;'Supply planning data'!D180,'Shipments data'!AC:AC,"&lt;"&amp;'Supply planning data'!D180)-SUMIFS(M:M,D:D,"&lt;="&amp;D165,C:C,C165)+SUMIFS(N:N,D:D,"&lt;="&amp;D165,C:C,C165)+SUMIFS(P:P,D:D,"&lt;="&amp;D165,C:C,C165))</f>
        <v>0</v>
      </c>
      <c r="U165" s="99">
        <f t="shared" si="60"/>
        <v>0</v>
      </c>
      <c r="V165" s="98">
        <f t="shared" ref="V165:V178" si="68">IF(F165-M165+N165+P165+R165-U165&lt;0,0,F165-M165+N165+P165+R165-U165)</f>
        <v>0</v>
      </c>
      <c r="W165" s="203" t="str">
        <f t="shared" si="66"/>
        <v/>
      </c>
      <c r="X165" s="98">
        <f t="shared" si="61"/>
        <v>0</v>
      </c>
      <c r="Y165" s="97"/>
      <c r="Z165" s="93"/>
      <c r="AA165" s="98">
        <f t="shared" si="54"/>
        <v>0</v>
      </c>
      <c r="AB165" s="233"/>
      <c r="AC165" s="98">
        <f>IF(SUMIFS('Shipments data'!L:L,'Shipments data'!F:F,'Supply planning data'!C165,'Shipments data'!A:A,'Supply planning data'!A165,'Shipments data'!O:O,"received",'Shipments data'!Q:Q,"&lt;"&amp;'Supply planning data'!D180,'Shipments data'!AC:AC,"&lt;"&amp;'Supply planning data'!D180)-SUMIFS(M:M,D:D,"&lt;="&amp;D165,C:C,C165)-SUMIFS(AA:AA,D:D,"&lt;="&amp;D165,C:C,C165)+SUMIFS(N:N,D:D,"&lt;="&amp;D165,C:C,C165)+SUMIFS(P:P,D:D,"&lt;="&amp;D165,C:C,C165)&lt;0,0,SUMIFS('Shipments data'!L:L,'Shipments data'!F:F,'Supply planning data'!C165,'Shipments data'!A:A,'Supply planning data'!A165,'Shipments data'!O:O,"received",'Shipments data'!Q:Q,"&lt;"&amp;'Supply planning data'!D180,'Shipments data'!AC:AC,"&lt;"&amp;'Supply planning data'!D180)-SUMIFS(M:M,D:D,"&lt;="&amp;D165,C:C,C165)-SUMIFS(AA:AA,D:D,"&lt;="&amp;D165,C:C,C165)+SUMIFS(N:N,D:D,"&lt;="&amp;D165,C:C,C165)+SUMIFS(P:P,D:D,"&lt;="&amp;D165,C:C,C165))</f>
        <v>0</v>
      </c>
      <c r="AD165" s="98">
        <f t="shared" si="62"/>
        <v>0</v>
      </c>
      <c r="AE165" s="98">
        <f t="shared" si="56"/>
        <v>0</v>
      </c>
      <c r="AF165" s="205" t="str">
        <f t="shared" si="65"/>
        <v/>
      </c>
      <c r="AG165" s="98">
        <f t="shared" si="63"/>
        <v>0</v>
      </c>
      <c r="AH165" s="97"/>
      <c r="AI165" s="311"/>
      <c r="AJ165" s="98">
        <f t="shared" si="55"/>
        <v>0</v>
      </c>
      <c r="AK165" s="233"/>
      <c r="AL165" s="98">
        <f>IF(SUMIFS('Shipments data'!L:L,'Shipments data'!F:F,'Supply planning data'!C165,'Shipments data'!A:A,'Supply planning data'!A165,'Shipments data'!O:O,"received",'Shipments data'!Q:Q,"&lt;"&amp;'Supply planning data'!D180,'Shipments data'!AC:AC,"&lt;"&amp;'Supply planning data'!D180)-SUMIFS(M:M,D:D,"&lt;="&amp;D165,C:C,C165)-SUMIFS(AJ:AJ,D:D,"&lt;="&amp;D165,C:C,C165)+SUMIFS(N:N,D:D,"&lt;="&amp;D165,C:C,C165)+SUMIFS(P:P,D:D,"&lt;="&amp;D165,C:C,C165)&lt;0,0,SUMIFS('Shipments data'!L:L,'Shipments data'!F:F,'Supply planning data'!C165,'Shipments data'!A:A,'Supply planning data'!A165,'Shipments data'!O:O,"received",'Shipments data'!Q:Q,"&lt;"&amp;'Supply planning data'!D180,'Shipments data'!AC:AC,"&lt;"&amp;'Supply planning data'!D180)-SUMIFS(M:M,D:D,"&lt;="&amp;D165,C:C,C165)-SUMIFS(AJ:AJ,D:D,"&lt;="&amp;D165,C:C,C165)+SUMIFS(N:N,D:D,"&lt;="&amp;D165,C:C,C165)+SUMIFS(P:P,D:D,"&lt;="&amp;D165,C:C,C165))</f>
        <v>0</v>
      </c>
      <c r="AM165" s="98">
        <f t="shared" si="64"/>
        <v>0</v>
      </c>
      <c r="AN165" s="98">
        <f t="shared" si="57"/>
        <v>0</v>
      </c>
      <c r="AO165" s="203" t="str">
        <f t="shared" si="67"/>
        <v/>
      </c>
    </row>
    <row r="166" spans="1:41" hidden="1" x14ac:dyDescent="0.25">
      <c r="A166" s="95" t="str">
        <f>Start!D$7</f>
        <v>Anyland</v>
      </c>
      <c r="B166" s="96" t="str">
        <f>VLOOKUP(A166,list!B:C,2,FALSE)</f>
        <v>ANY</v>
      </c>
      <c r="C166" s="90" t="str">
        <f>IF(Start!$C$28="","",Start!$C$28)</f>
        <v/>
      </c>
      <c r="D166" s="296">
        <f t="shared" si="58"/>
        <v>44501</v>
      </c>
      <c r="E166" s="92" t="str">
        <f>IFERROR(VLOOKUP(C166,Start!C$15:D$31,2,FALSE),"No")</f>
        <v>No</v>
      </c>
      <c r="F166" s="92">
        <f t="shared" si="59"/>
        <v>0</v>
      </c>
      <c r="G166" s="91"/>
      <c r="H166" s="97"/>
      <c r="I166" s="97"/>
      <c r="J166" s="98">
        <f t="shared" si="50"/>
        <v>0</v>
      </c>
      <c r="K166" s="97"/>
      <c r="L166" s="175" t="str">
        <f t="shared" si="51"/>
        <v/>
      </c>
      <c r="M166" s="98">
        <f t="shared" si="52"/>
        <v>0</v>
      </c>
      <c r="N166" s="97"/>
      <c r="O166" s="122"/>
      <c r="P166" s="97"/>
      <c r="Q166" s="122"/>
      <c r="R166" s="98">
        <f>SUMIFS('Shipments data'!L:L,'Shipments data'!F:F,'Supply planning data'!C166,'Shipments data'!A:A,'Supply planning data'!A166,'Shipments data'!Y:Y,'Supply planning data'!D166,'Shipments data'!O:O,"received", 'Shipments data'!N:N, "Public")</f>
        <v>0</v>
      </c>
      <c r="S166" s="98">
        <f>SUMIFS('Shipments data'!L:L,'Shipments data'!F:F,'Supply planning data'!C166,'Shipments data'!A:A,'Supply planning data'!A166,'Shipments data'!Y:Y,'Supply planning data'!D166,'Shipments data'!O:O,"ordered", 'Shipments data'!N:N, "Public")</f>
        <v>0</v>
      </c>
      <c r="T166" s="98">
        <f>IF(SUMIFS('Shipments data'!L:L,'Shipments data'!F:F,'Supply planning data'!C166,'Shipments data'!A:A,'Supply planning data'!A166,'Shipments data'!O:O,"received",'Shipments data'!Q:Q,"&lt;"&amp;'Supply planning data'!D181,'Shipments data'!AC:AC,"&lt;"&amp;'Supply planning data'!D181)-SUMIFS(M:M,D:D,"&lt;="&amp;D166,C:C,C166)+SUMIFS(N:N,D:D,"&lt;="&amp;D166,C:C,C166)+SUMIFS(P:P,D:D,"&lt;="&amp;D166,C:C,C166)&lt;0,0,SUMIFS('Shipments data'!L:L,'Shipments data'!F:F,'Supply planning data'!C166,'Shipments data'!A:A,'Supply planning data'!A166,'Shipments data'!O:O,"received",'Shipments data'!Q:Q,"&lt;"&amp;'Supply planning data'!D181,'Shipments data'!AC:AC,"&lt;"&amp;'Supply planning data'!D181)-SUMIFS(M:M,D:D,"&lt;="&amp;D166,C:C,C166)+SUMIFS(N:N,D:D,"&lt;="&amp;D166,C:C,C166)+SUMIFS(P:P,D:D,"&lt;="&amp;D166,C:C,C166))</f>
        <v>0</v>
      </c>
      <c r="U166" s="99">
        <f t="shared" si="60"/>
        <v>0</v>
      </c>
      <c r="V166" s="98">
        <f t="shared" si="68"/>
        <v>0</v>
      </c>
      <c r="W166" s="203" t="str">
        <f t="shared" si="66"/>
        <v/>
      </c>
      <c r="X166" s="98">
        <f t="shared" si="61"/>
        <v>0</v>
      </c>
      <c r="Y166" s="97"/>
      <c r="Z166" s="93"/>
      <c r="AA166" s="98">
        <f t="shared" si="54"/>
        <v>0</v>
      </c>
      <c r="AB166" s="233"/>
      <c r="AC166" s="98">
        <f>IF(SUMIFS('Shipments data'!L:L,'Shipments data'!F:F,'Supply planning data'!C166,'Shipments data'!A:A,'Supply planning data'!A166,'Shipments data'!O:O,"received",'Shipments data'!Q:Q,"&lt;"&amp;'Supply planning data'!D181,'Shipments data'!AC:AC,"&lt;"&amp;'Supply planning data'!D181)-SUMIFS(M:M,D:D,"&lt;="&amp;D166,C:C,C166)-SUMIFS(AA:AA,D:D,"&lt;="&amp;D166,C:C,C166)+SUMIFS(N:N,D:D,"&lt;="&amp;D166,C:C,C166)+SUMIFS(P:P,D:D,"&lt;="&amp;D166,C:C,C166)&lt;0,0,SUMIFS('Shipments data'!L:L,'Shipments data'!F:F,'Supply planning data'!C166,'Shipments data'!A:A,'Supply planning data'!A166,'Shipments data'!O:O,"received",'Shipments data'!Q:Q,"&lt;"&amp;'Supply planning data'!D181,'Shipments data'!AC:AC,"&lt;"&amp;'Supply planning data'!D181)-SUMIFS(M:M,D:D,"&lt;="&amp;D166,C:C,C166)-SUMIFS(AA:AA,D:D,"&lt;="&amp;D166,C:C,C166)+SUMIFS(N:N,D:D,"&lt;="&amp;D166,C:C,C166)+SUMIFS(P:P,D:D,"&lt;="&amp;D166,C:C,C166))</f>
        <v>0</v>
      </c>
      <c r="AD166" s="98">
        <f t="shared" si="62"/>
        <v>0</v>
      </c>
      <c r="AE166" s="98">
        <f t="shared" si="56"/>
        <v>0</v>
      </c>
      <c r="AF166" s="205" t="str">
        <f t="shared" si="65"/>
        <v/>
      </c>
      <c r="AG166" s="98">
        <f t="shared" si="63"/>
        <v>0</v>
      </c>
      <c r="AH166" s="97"/>
      <c r="AI166" s="311"/>
      <c r="AJ166" s="98">
        <f t="shared" si="55"/>
        <v>0</v>
      </c>
      <c r="AK166" s="233"/>
      <c r="AL166" s="98">
        <f>IF(SUMIFS('Shipments data'!L:L,'Shipments data'!F:F,'Supply planning data'!C166,'Shipments data'!A:A,'Supply planning data'!A166,'Shipments data'!O:O,"received",'Shipments data'!Q:Q,"&lt;"&amp;'Supply planning data'!D181,'Shipments data'!AC:AC,"&lt;"&amp;'Supply planning data'!D181)-SUMIFS(M:M,D:D,"&lt;="&amp;D166,C:C,C166)-SUMIFS(AJ:AJ,D:D,"&lt;="&amp;D166,C:C,C166)+SUMIFS(N:N,D:D,"&lt;="&amp;D166,C:C,C166)+SUMIFS(P:P,D:D,"&lt;="&amp;D166,C:C,C166)&lt;0,0,SUMIFS('Shipments data'!L:L,'Shipments data'!F:F,'Supply planning data'!C166,'Shipments data'!A:A,'Supply planning data'!A166,'Shipments data'!O:O,"received",'Shipments data'!Q:Q,"&lt;"&amp;'Supply planning data'!D181,'Shipments data'!AC:AC,"&lt;"&amp;'Supply planning data'!D181)-SUMIFS(M:M,D:D,"&lt;="&amp;D166,C:C,C166)-SUMIFS(AJ:AJ,D:D,"&lt;="&amp;D166,C:C,C166)+SUMIFS(N:N,D:D,"&lt;="&amp;D166,C:C,C166)+SUMIFS(P:P,D:D,"&lt;="&amp;D166,C:C,C166))</f>
        <v>0</v>
      </c>
      <c r="AM166" s="98">
        <f t="shared" si="64"/>
        <v>0</v>
      </c>
      <c r="AN166" s="98">
        <f t="shared" si="57"/>
        <v>0</v>
      </c>
      <c r="AO166" s="203" t="str">
        <f t="shared" si="67"/>
        <v/>
      </c>
    </row>
    <row r="167" spans="1:41" hidden="1" x14ac:dyDescent="0.25">
      <c r="A167" s="95" t="str">
        <f>Start!D$7</f>
        <v>Anyland</v>
      </c>
      <c r="B167" s="96" t="str">
        <f>VLOOKUP(A167,list!B:C,2,FALSE)</f>
        <v>ANY</v>
      </c>
      <c r="C167" s="90" t="str">
        <f>IF(Start!$C$29="","",Start!$C$29)</f>
        <v/>
      </c>
      <c r="D167" s="296">
        <f t="shared" si="58"/>
        <v>44501</v>
      </c>
      <c r="E167" s="92" t="str">
        <f>IFERROR(VLOOKUP(C167,Start!C$15:D$31,2,FALSE),"No")</f>
        <v>No</v>
      </c>
      <c r="F167" s="92">
        <f t="shared" si="59"/>
        <v>0</v>
      </c>
      <c r="G167" s="91"/>
      <c r="H167" s="97"/>
      <c r="I167" s="97"/>
      <c r="J167" s="98">
        <f t="shared" si="50"/>
        <v>0</v>
      </c>
      <c r="K167" s="97"/>
      <c r="L167" s="175" t="str">
        <f t="shared" si="51"/>
        <v/>
      </c>
      <c r="M167" s="98">
        <f t="shared" si="52"/>
        <v>0</v>
      </c>
      <c r="N167" s="97"/>
      <c r="O167" s="122"/>
      <c r="P167" s="97"/>
      <c r="Q167" s="122"/>
      <c r="R167" s="98">
        <f>SUMIFS('Shipments data'!L:L,'Shipments data'!F:F,'Supply planning data'!C167,'Shipments data'!A:A,'Supply planning data'!A167,'Shipments data'!Y:Y,'Supply planning data'!D167,'Shipments data'!O:O,"received", 'Shipments data'!N:N, "Public")</f>
        <v>0</v>
      </c>
      <c r="S167" s="98">
        <f>SUMIFS('Shipments data'!L:L,'Shipments data'!F:F,'Supply planning data'!C167,'Shipments data'!A:A,'Supply planning data'!A167,'Shipments data'!Y:Y,'Supply planning data'!D167,'Shipments data'!O:O,"ordered", 'Shipments data'!N:N, "Public")</f>
        <v>0</v>
      </c>
      <c r="T167" s="98">
        <f>IF(SUMIFS('Shipments data'!L:L,'Shipments data'!F:F,'Supply planning data'!C167,'Shipments data'!A:A,'Supply planning data'!A167,'Shipments data'!O:O,"received",'Shipments data'!Q:Q,"&lt;"&amp;'Supply planning data'!D182,'Shipments data'!AC:AC,"&lt;"&amp;'Supply planning data'!D182)-SUMIFS(M:M,D:D,"&lt;="&amp;D167,C:C,C167)+SUMIFS(N:N,D:D,"&lt;="&amp;D167,C:C,C167)+SUMIFS(P:P,D:D,"&lt;="&amp;D167,C:C,C167)&lt;0,0,SUMIFS('Shipments data'!L:L,'Shipments data'!F:F,'Supply planning data'!C167,'Shipments data'!A:A,'Supply planning data'!A167,'Shipments data'!O:O,"received",'Shipments data'!Q:Q,"&lt;"&amp;'Supply planning data'!D182,'Shipments data'!AC:AC,"&lt;"&amp;'Supply planning data'!D182)-SUMIFS(M:M,D:D,"&lt;="&amp;D167,C:C,C167)+SUMIFS(N:N,D:D,"&lt;="&amp;D167,C:C,C167)+SUMIFS(P:P,D:D,"&lt;="&amp;D167,C:C,C167))</f>
        <v>0</v>
      </c>
      <c r="U167" s="99">
        <f t="shared" si="60"/>
        <v>0</v>
      </c>
      <c r="V167" s="98">
        <f t="shared" si="68"/>
        <v>0</v>
      </c>
      <c r="W167" s="203" t="str">
        <f t="shared" si="66"/>
        <v/>
      </c>
      <c r="X167" s="98">
        <f t="shared" si="61"/>
        <v>0</v>
      </c>
      <c r="Y167" s="97"/>
      <c r="Z167" s="93"/>
      <c r="AA167" s="98">
        <f t="shared" si="54"/>
        <v>0</v>
      </c>
      <c r="AB167" s="233"/>
      <c r="AC167" s="98">
        <f>IF(SUMIFS('Shipments data'!L:L,'Shipments data'!F:F,'Supply planning data'!C167,'Shipments data'!A:A,'Supply planning data'!A167,'Shipments data'!O:O,"received",'Shipments data'!Q:Q,"&lt;"&amp;'Supply planning data'!D182,'Shipments data'!AC:AC,"&lt;"&amp;'Supply planning data'!D182)-SUMIFS(M:M,D:D,"&lt;="&amp;D167,C:C,C167)-SUMIFS(AA:AA,D:D,"&lt;="&amp;D167,C:C,C167)+SUMIFS(N:N,D:D,"&lt;="&amp;D167,C:C,C167)+SUMIFS(P:P,D:D,"&lt;="&amp;D167,C:C,C167)&lt;0,0,SUMIFS('Shipments data'!L:L,'Shipments data'!F:F,'Supply planning data'!C167,'Shipments data'!A:A,'Supply planning data'!A167,'Shipments data'!O:O,"received",'Shipments data'!Q:Q,"&lt;"&amp;'Supply planning data'!D182,'Shipments data'!AC:AC,"&lt;"&amp;'Supply planning data'!D182)-SUMIFS(M:M,D:D,"&lt;="&amp;D167,C:C,C167)-SUMIFS(AA:AA,D:D,"&lt;="&amp;D167,C:C,C167)+SUMIFS(N:N,D:D,"&lt;="&amp;D167,C:C,C167)+SUMIFS(P:P,D:D,"&lt;="&amp;D167,C:C,C167))</f>
        <v>0</v>
      </c>
      <c r="AD167" s="98">
        <f t="shared" si="62"/>
        <v>0</v>
      </c>
      <c r="AE167" s="98">
        <f t="shared" si="56"/>
        <v>0</v>
      </c>
      <c r="AF167" s="205" t="str">
        <f t="shared" si="65"/>
        <v/>
      </c>
      <c r="AG167" s="98">
        <f t="shared" si="63"/>
        <v>0</v>
      </c>
      <c r="AH167" s="97"/>
      <c r="AI167" s="311"/>
      <c r="AJ167" s="98">
        <f t="shared" si="55"/>
        <v>0</v>
      </c>
      <c r="AK167" s="233"/>
      <c r="AL167" s="98">
        <f>IF(SUMIFS('Shipments data'!L:L,'Shipments data'!F:F,'Supply planning data'!C167,'Shipments data'!A:A,'Supply planning data'!A167,'Shipments data'!O:O,"received",'Shipments data'!Q:Q,"&lt;"&amp;'Supply planning data'!D182,'Shipments data'!AC:AC,"&lt;"&amp;'Supply planning data'!D182)-SUMIFS(M:M,D:D,"&lt;="&amp;D167,C:C,C167)-SUMIFS(AJ:AJ,D:D,"&lt;="&amp;D167,C:C,C167)+SUMIFS(N:N,D:D,"&lt;="&amp;D167,C:C,C167)+SUMIFS(P:P,D:D,"&lt;="&amp;D167,C:C,C167)&lt;0,0,SUMIFS('Shipments data'!L:L,'Shipments data'!F:F,'Supply planning data'!C167,'Shipments data'!A:A,'Supply planning data'!A167,'Shipments data'!O:O,"received",'Shipments data'!Q:Q,"&lt;"&amp;'Supply planning data'!D182,'Shipments data'!AC:AC,"&lt;"&amp;'Supply planning data'!D182)-SUMIFS(M:M,D:D,"&lt;="&amp;D167,C:C,C167)-SUMIFS(AJ:AJ,D:D,"&lt;="&amp;D167,C:C,C167)+SUMIFS(N:N,D:D,"&lt;="&amp;D167,C:C,C167)+SUMIFS(P:P,D:D,"&lt;="&amp;D167,C:C,C167))</f>
        <v>0</v>
      </c>
      <c r="AM167" s="98">
        <f t="shared" si="64"/>
        <v>0</v>
      </c>
      <c r="AN167" s="98">
        <f t="shared" si="57"/>
        <v>0</v>
      </c>
      <c r="AO167" s="203" t="str">
        <f t="shared" si="67"/>
        <v/>
      </c>
    </row>
    <row r="168" spans="1:41" hidden="1" x14ac:dyDescent="0.25">
      <c r="A168" s="95" t="str">
        <f>Start!D$7</f>
        <v>Anyland</v>
      </c>
      <c r="B168" s="96" t="str">
        <f>VLOOKUP(A168,list!B:C,2,FALSE)</f>
        <v>ANY</v>
      </c>
      <c r="C168" s="90" t="str">
        <f>IF(Start!$C$30="","",Start!$C$30)</f>
        <v/>
      </c>
      <c r="D168" s="296">
        <f t="shared" si="58"/>
        <v>44501</v>
      </c>
      <c r="E168" s="92" t="str">
        <f>IFERROR(VLOOKUP(C168,Start!C$15:D$31,2,FALSE),"No")</f>
        <v>No</v>
      </c>
      <c r="F168" s="92">
        <f t="shared" si="59"/>
        <v>0</v>
      </c>
      <c r="G168" s="91"/>
      <c r="H168" s="97"/>
      <c r="I168" s="97"/>
      <c r="J168" s="98">
        <f t="shared" si="50"/>
        <v>0</v>
      </c>
      <c r="K168" s="97"/>
      <c r="L168" s="175" t="str">
        <f t="shared" si="51"/>
        <v/>
      </c>
      <c r="M168" s="98">
        <f t="shared" si="52"/>
        <v>0</v>
      </c>
      <c r="N168" s="97"/>
      <c r="O168" s="122"/>
      <c r="P168" s="97"/>
      <c r="Q168" s="122"/>
      <c r="R168" s="98">
        <f>SUMIFS('Shipments data'!L:L,'Shipments data'!F:F,'Supply planning data'!C168,'Shipments data'!A:A,'Supply planning data'!A168,'Shipments data'!Y:Y,'Supply planning data'!D168,'Shipments data'!O:O,"received", 'Shipments data'!N:N, "Public")</f>
        <v>0</v>
      </c>
      <c r="S168" s="98">
        <f>SUMIFS('Shipments data'!L:L,'Shipments data'!F:F,'Supply planning data'!C168,'Shipments data'!A:A,'Supply planning data'!A168,'Shipments data'!Y:Y,'Supply planning data'!D168,'Shipments data'!O:O,"ordered", 'Shipments data'!N:N, "Public")</f>
        <v>0</v>
      </c>
      <c r="T168" s="98">
        <f>IF(SUMIFS('Shipments data'!L:L,'Shipments data'!F:F,'Supply planning data'!C168,'Shipments data'!A:A,'Supply planning data'!A168,'Shipments data'!O:O,"received",'Shipments data'!Q:Q,"&lt;"&amp;'Supply planning data'!D183,'Shipments data'!AC:AC,"&lt;"&amp;'Supply planning data'!D183)-SUMIFS(M:M,D:D,"&lt;="&amp;D168,C:C,C168)+SUMIFS(N:N,D:D,"&lt;="&amp;D168,C:C,C168)+SUMIFS(P:P,D:D,"&lt;="&amp;D168,C:C,C168)&lt;0,0,SUMIFS('Shipments data'!L:L,'Shipments data'!F:F,'Supply planning data'!C168,'Shipments data'!A:A,'Supply planning data'!A168,'Shipments data'!O:O,"received",'Shipments data'!Q:Q,"&lt;"&amp;'Supply planning data'!D183,'Shipments data'!AC:AC,"&lt;"&amp;'Supply planning data'!D183)-SUMIFS(M:M,D:D,"&lt;="&amp;D168,C:C,C168)+SUMIFS(N:N,D:D,"&lt;="&amp;D168,C:C,C168)+SUMIFS(P:P,D:D,"&lt;="&amp;D168,C:C,C168))</f>
        <v>0</v>
      </c>
      <c r="U168" s="99">
        <f t="shared" si="60"/>
        <v>0</v>
      </c>
      <c r="V168" s="98">
        <f t="shared" si="68"/>
        <v>0</v>
      </c>
      <c r="W168" s="203" t="str">
        <f t="shared" si="66"/>
        <v/>
      </c>
      <c r="X168" s="98">
        <f t="shared" si="61"/>
        <v>0</v>
      </c>
      <c r="Y168" s="97"/>
      <c r="Z168" s="93"/>
      <c r="AA168" s="98">
        <f t="shared" si="54"/>
        <v>0</v>
      </c>
      <c r="AB168" s="233"/>
      <c r="AC168" s="98">
        <f>IF(SUMIFS('Shipments data'!L:L,'Shipments data'!F:F,'Supply planning data'!C168,'Shipments data'!A:A,'Supply planning data'!A168,'Shipments data'!O:O,"received",'Shipments data'!Q:Q,"&lt;"&amp;'Supply planning data'!D183,'Shipments data'!AC:AC,"&lt;"&amp;'Supply planning data'!D183)-SUMIFS(M:M,D:D,"&lt;="&amp;D168,C:C,C168)-SUMIFS(AA:AA,D:D,"&lt;="&amp;D168,C:C,C168)+SUMIFS(N:N,D:D,"&lt;="&amp;D168,C:C,C168)+SUMIFS(P:P,D:D,"&lt;="&amp;D168,C:C,C168)&lt;0,0,SUMIFS('Shipments data'!L:L,'Shipments data'!F:F,'Supply planning data'!C168,'Shipments data'!A:A,'Supply planning data'!A168,'Shipments data'!O:O,"received",'Shipments data'!Q:Q,"&lt;"&amp;'Supply planning data'!D183,'Shipments data'!AC:AC,"&lt;"&amp;'Supply planning data'!D183)-SUMIFS(M:M,D:D,"&lt;="&amp;D168,C:C,C168)-SUMIFS(AA:AA,D:D,"&lt;="&amp;D168,C:C,C168)+SUMIFS(N:N,D:D,"&lt;="&amp;D168,C:C,C168)+SUMIFS(P:P,D:D,"&lt;="&amp;D168,C:C,C168))</f>
        <v>0</v>
      </c>
      <c r="AD168" s="98">
        <f t="shared" si="62"/>
        <v>0</v>
      </c>
      <c r="AE168" s="98">
        <f t="shared" si="56"/>
        <v>0</v>
      </c>
      <c r="AF168" s="205" t="str">
        <f t="shared" si="65"/>
        <v/>
      </c>
      <c r="AG168" s="98">
        <f t="shared" si="63"/>
        <v>0</v>
      </c>
      <c r="AH168" s="97"/>
      <c r="AI168" s="311"/>
      <c r="AJ168" s="98">
        <f t="shared" si="55"/>
        <v>0</v>
      </c>
      <c r="AK168" s="233"/>
      <c r="AL168" s="98">
        <f>IF(SUMIFS('Shipments data'!L:L,'Shipments data'!F:F,'Supply planning data'!C168,'Shipments data'!A:A,'Supply planning data'!A168,'Shipments data'!O:O,"received",'Shipments data'!Q:Q,"&lt;"&amp;'Supply planning data'!D183,'Shipments data'!AC:AC,"&lt;"&amp;'Supply planning data'!D183)-SUMIFS(M:M,D:D,"&lt;="&amp;D168,C:C,C168)-SUMIFS(AJ:AJ,D:D,"&lt;="&amp;D168,C:C,C168)+SUMIFS(N:N,D:D,"&lt;="&amp;D168,C:C,C168)+SUMIFS(P:P,D:D,"&lt;="&amp;D168,C:C,C168)&lt;0,0,SUMIFS('Shipments data'!L:L,'Shipments data'!F:F,'Supply planning data'!C168,'Shipments data'!A:A,'Supply planning data'!A168,'Shipments data'!O:O,"received",'Shipments data'!Q:Q,"&lt;"&amp;'Supply planning data'!D183,'Shipments data'!AC:AC,"&lt;"&amp;'Supply planning data'!D183)-SUMIFS(M:M,D:D,"&lt;="&amp;D168,C:C,C168)-SUMIFS(AJ:AJ,D:D,"&lt;="&amp;D168,C:C,C168)+SUMIFS(N:N,D:D,"&lt;="&amp;D168,C:C,C168)+SUMIFS(P:P,D:D,"&lt;="&amp;D168,C:C,C168))</f>
        <v>0</v>
      </c>
      <c r="AM168" s="98">
        <f t="shared" si="64"/>
        <v>0</v>
      </c>
      <c r="AN168" s="98">
        <f t="shared" si="57"/>
        <v>0</v>
      </c>
      <c r="AO168" s="203" t="str">
        <f t="shared" si="67"/>
        <v/>
      </c>
    </row>
    <row r="169" spans="1:41" hidden="1" x14ac:dyDescent="0.25">
      <c r="A169" s="95" t="str">
        <f>Start!D$7</f>
        <v>Anyland</v>
      </c>
      <c r="B169" s="100" t="str">
        <f>VLOOKUP(A169,list!B:C,2,FALSE)</f>
        <v>ANY</v>
      </c>
      <c r="C169" s="90" t="str">
        <f>IF(Start!$C$31="","",Start!$C$31)</f>
        <v/>
      </c>
      <c r="D169" s="296">
        <f t="shared" si="58"/>
        <v>44501</v>
      </c>
      <c r="E169" s="92" t="str">
        <f>IFERROR(VLOOKUP(C169,Start!C$15:D$31,2,FALSE),"No")</f>
        <v>No</v>
      </c>
      <c r="F169" s="92">
        <f t="shared" si="59"/>
        <v>0</v>
      </c>
      <c r="G169" s="91"/>
      <c r="H169" s="97"/>
      <c r="I169" s="97"/>
      <c r="J169" s="98">
        <f t="shared" si="50"/>
        <v>0</v>
      </c>
      <c r="K169" s="97"/>
      <c r="L169" s="175" t="str">
        <f t="shared" si="51"/>
        <v/>
      </c>
      <c r="M169" s="98">
        <f t="shared" si="52"/>
        <v>0</v>
      </c>
      <c r="N169" s="97"/>
      <c r="O169" s="122"/>
      <c r="P169" s="97"/>
      <c r="Q169" s="122"/>
      <c r="R169" s="98">
        <f>SUMIFS('Shipments data'!L:L,'Shipments data'!F:F,'Supply planning data'!C169,'Shipments data'!A:A,'Supply planning data'!A169,'Shipments data'!Y:Y,'Supply planning data'!D169,'Shipments data'!O:O,"received", 'Shipments data'!N:N, "Public")</f>
        <v>0</v>
      </c>
      <c r="S169" s="98">
        <f>SUMIFS('Shipments data'!L:L,'Shipments data'!F:F,'Supply planning data'!C169,'Shipments data'!A:A,'Supply planning data'!A169,'Shipments data'!Y:Y,'Supply planning data'!D169,'Shipments data'!O:O,"ordered", 'Shipments data'!N:N, "Public")</f>
        <v>0</v>
      </c>
      <c r="T169" s="98">
        <f>IF(SUMIFS('Shipments data'!L:L,'Shipments data'!F:F,'Supply planning data'!C169,'Shipments data'!A:A,'Supply planning data'!A169,'Shipments data'!O:O,"received",'Shipments data'!Q:Q,"&lt;"&amp;'Supply planning data'!D184,'Shipments data'!AC:AC,"&lt;"&amp;'Supply planning data'!D184)-SUMIFS(M:M,D:D,"&lt;="&amp;D169,C:C,C169)+SUMIFS(N:N,D:D,"&lt;="&amp;D169,C:C,C169)+SUMIFS(P:P,D:D,"&lt;="&amp;D169,C:C,C169)&lt;0,0,SUMIFS('Shipments data'!L:L,'Shipments data'!F:F,'Supply planning data'!C169,'Shipments data'!A:A,'Supply planning data'!A169,'Shipments data'!O:O,"received",'Shipments data'!Q:Q,"&lt;"&amp;'Supply planning data'!D184,'Shipments data'!AC:AC,"&lt;"&amp;'Supply planning data'!D184)-SUMIFS(M:M,D:D,"&lt;="&amp;D169,C:C,C169)+SUMIFS(N:N,D:D,"&lt;="&amp;D169,C:C,C169)+SUMIFS(P:P,D:D,"&lt;="&amp;D169,C:C,C169))</f>
        <v>0</v>
      </c>
      <c r="U169" s="99">
        <f t="shared" si="60"/>
        <v>0</v>
      </c>
      <c r="V169" s="98">
        <f t="shared" si="68"/>
        <v>0</v>
      </c>
      <c r="W169" s="203" t="str">
        <f t="shared" si="66"/>
        <v/>
      </c>
      <c r="X169" s="98">
        <f t="shared" si="61"/>
        <v>0</v>
      </c>
      <c r="Y169" s="97"/>
      <c r="Z169" s="93"/>
      <c r="AA169" s="98">
        <f t="shared" si="54"/>
        <v>0</v>
      </c>
      <c r="AB169" s="233"/>
      <c r="AC169" s="98">
        <f>IF(SUMIFS('Shipments data'!L:L,'Shipments data'!F:F,'Supply planning data'!C169,'Shipments data'!A:A,'Supply planning data'!A169,'Shipments data'!O:O,"received",'Shipments data'!Q:Q,"&lt;"&amp;'Supply planning data'!D184,'Shipments data'!AC:AC,"&lt;"&amp;'Supply planning data'!D184)-SUMIFS(M:M,D:D,"&lt;="&amp;D169,C:C,C169)-SUMIFS(AA:AA,D:D,"&lt;="&amp;D169,C:C,C169)+SUMIFS(N:N,D:D,"&lt;="&amp;D169,C:C,C169)+SUMIFS(P:P,D:D,"&lt;="&amp;D169,C:C,C169)&lt;0,0,SUMIFS('Shipments data'!L:L,'Shipments data'!F:F,'Supply planning data'!C169,'Shipments data'!A:A,'Supply planning data'!A169,'Shipments data'!O:O,"received",'Shipments data'!Q:Q,"&lt;"&amp;'Supply planning data'!D184,'Shipments data'!AC:AC,"&lt;"&amp;'Supply planning data'!D184)-SUMIFS(M:M,D:D,"&lt;="&amp;D169,C:C,C169)-SUMIFS(AA:AA,D:D,"&lt;="&amp;D169,C:C,C169)+SUMIFS(N:N,D:D,"&lt;="&amp;D169,C:C,C169)+SUMIFS(P:P,D:D,"&lt;="&amp;D169,C:C,C169))</f>
        <v>0</v>
      </c>
      <c r="AD169" s="98">
        <f t="shared" si="62"/>
        <v>0</v>
      </c>
      <c r="AE169" s="98">
        <f t="shared" si="56"/>
        <v>0</v>
      </c>
      <c r="AF169" s="205" t="str">
        <f t="shared" si="65"/>
        <v/>
      </c>
      <c r="AG169" s="98">
        <f t="shared" si="63"/>
        <v>0</v>
      </c>
      <c r="AH169" s="97"/>
      <c r="AI169" s="311"/>
      <c r="AJ169" s="98">
        <f t="shared" si="55"/>
        <v>0</v>
      </c>
      <c r="AK169" s="233"/>
      <c r="AL169" s="98">
        <f>IF(SUMIFS('Shipments data'!L:L,'Shipments data'!F:F,'Supply planning data'!C169,'Shipments data'!A:A,'Supply planning data'!A169,'Shipments data'!O:O,"received",'Shipments data'!Q:Q,"&lt;"&amp;'Supply planning data'!D184,'Shipments data'!AC:AC,"&lt;"&amp;'Supply planning data'!D184)-SUMIFS(M:M,D:D,"&lt;="&amp;D169,C:C,C169)-SUMIFS(AJ:AJ,D:D,"&lt;="&amp;D169,C:C,C169)+SUMIFS(N:N,D:D,"&lt;="&amp;D169,C:C,C169)+SUMIFS(P:P,D:D,"&lt;="&amp;D169,C:C,C169)&lt;0,0,SUMIFS('Shipments data'!L:L,'Shipments data'!F:F,'Supply planning data'!C169,'Shipments data'!A:A,'Supply planning data'!A169,'Shipments data'!O:O,"received",'Shipments data'!Q:Q,"&lt;"&amp;'Supply planning data'!D184,'Shipments data'!AC:AC,"&lt;"&amp;'Supply planning data'!D184)-SUMIFS(M:M,D:D,"&lt;="&amp;D169,C:C,C169)-SUMIFS(AJ:AJ,D:D,"&lt;="&amp;D169,C:C,C169)+SUMIFS(N:N,D:D,"&lt;="&amp;D169,C:C,C169)+SUMIFS(P:P,D:D,"&lt;="&amp;D169,C:C,C169))</f>
        <v>0</v>
      </c>
      <c r="AM169" s="98">
        <f t="shared" si="64"/>
        <v>0</v>
      </c>
      <c r="AN169" s="98">
        <f t="shared" si="57"/>
        <v>0</v>
      </c>
      <c r="AO169" s="203" t="str">
        <f t="shared" si="67"/>
        <v/>
      </c>
    </row>
    <row r="170" spans="1:41" x14ac:dyDescent="0.25">
      <c r="A170" s="103" t="str">
        <f>Start!D$7</f>
        <v>Anyland</v>
      </c>
      <c r="B170" s="104" t="str">
        <f>VLOOKUP(A170,list!B:C,2,FALSE)</f>
        <v>ANY</v>
      </c>
      <c r="C170" s="104" t="str">
        <f>IF(Start!$C$17="","",Start!$C$17)</f>
        <v>AstraZeneca</v>
      </c>
      <c r="D170" s="298">
        <f t="shared" si="58"/>
        <v>44531</v>
      </c>
      <c r="E170" s="105" t="str">
        <f>IFERROR(VLOOKUP(C170,Start!C$15:D$31,2,FALSE),"No")</f>
        <v>Yes</v>
      </c>
      <c r="F170" s="105">
        <f t="shared" si="59"/>
        <v>318046</v>
      </c>
      <c r="G170" s="106">
        <v>118681</v>
      </c>
      <c r="H170" s="106">
        <v>67691</v>
      </c>
      <c r="I170" s="106"/>
      <c r="J170" s="105">
        <f t="shared" si="50"/>
        <v>186372</v>
      </c>
      <c r="K170" s="106"/>
      <c r="L170" s="177">
        <f t="shared" si="51"/>
        <v>0</v>
      </c>
      <c r="M170" s="105">
        <f t="shared" si="52"/>
        <v>186372</v>
      </c>
      <c r="N170" s="106"/>
      <c r="O170" s="123"/>
      <c r="P170" s="106"/>
      <c r="Q170" s="123"/>
      <c r="R170" s="105">
        <f>SUMIFS('Shipments data'!L:L,'Shipments data'!F:F,'Supply planning data'!C170,'Shipments data'!A:A,'Supply planning data'!A170,'Shipments data'!Y:Y,'Supply planning data'!D170,'Shipments data'!O:O,"received", 'Shipments data'!N:N, "Public")</f>
        <v>0</v>
      </c>
      <c r="S170" s="105">
        <f>SUMIFS('Shipments data'!L:L,'Shipments data'!F:F,'Supply planning data'!C170,'Shipments data'!A:A,'Supply planning data'!A170,'Shipments data'!Y:Y,'Supply planning data'!D170,'Shipments data'!O:O,"ordered", 'Shipments data'!N:N, "Public")</f>
        <v>0</v>
      </c>
      <c r="T170" s="105">
        <f>IF(SUMIFS('Shipments data'!L:L,'Shipments data'!F:F,'Supply planning data'!C170,'Shipments data'!A:A,'Supply planning data'!A170,'Shipments data'!O:O,"received",'Shipments data'!Q:Q,"&lt;"&amp;'Supply planning data'!D185,'Shipments data'!AC:AC,"&lt;"&amp;'Supply planning data'!D185)-SUMIFS(M:M,D:D,"&lt;="&amp;D170,C:C,C170)+SUMIFS(N:N,D:D,"&lt;="&amp;D170,C:C,C170)+SUMIFS(P:P,D:D,"&lt;="&amp;D170,C:C,C170)&lt;0,0,SUMIFS('Shipments data'!L:L,'Shipments data'!F:F,'Supply planning data'!C170,'Shipments data'!A:A,'Supply planning data'!A170,'Shipments data'!O:O,"received",'Shipments data'!Q:Q,"&lt;"&amp;'Supply planning data'!D185,'Shipments data'!AC:AC,"&lt;"&amp;'Supply planning data'!D185)-SUMIFS(M:M,D:D,"&lt;="&amp;D170,C:C,C170)+SUMIFS(N:N,D:D,"&lt;="&amp;D170,C:C,C170)+SUMIFS(P:P,D:D,"&lt;="&amp;D170,C:C,C170))</f>
        <v>0</v>
      </c>
      <c r="U170" s="108">
        <f t="shared" si="60"/>
        <v>0</v>
      </c>
      <c r="V170" s="105">
        <f t="shared" si="68"/>
        <v>131674</v>
      </c>
      <c r="W170" s="206">
        <f t="shared" si="66"/>
        <v>1.16592386203314</v>
      </c>
      <c r="X170" s="105">
        <f t="shared" si="61"/>
        <v>1108366</v>
      </c>
      <c r="Y170" s="106"/>
      <c r="Z170" s="107"/>
      <c r="AA170" s="105">
        <f t="shared" si="54"/>
        <v>0</v>
      </c>
      <c r="AB170" s="234"/>
      <c r="AC170" s="105">
        <f>IF(SUMIFS('Shipments data'!L:L,'Shipments data'!F:F,'Supply planning data'!C170,'Shipments data'!A:A,'Supply planning data'!A170,'Shipments data'!O:O,"received",'Shipments data'!Q:Q,"&lt;"&amp;'Supply planning data'!D185,'Shipments data'!AC:AC,"&lt;"&amp;'Supply planning data'!D185)-SUMIFS(M:M,D:D,"&lt;="&amp;D170,C:C,C170)-SUMIFS(AA:AA,D:D,"&lt;="&amp;D170,C:C,C170)+SUMIFS(N:N,D:D,"&lt;="&amp;D170,C:C,C170)+SUMIFS(P:P,D:D,"&lt;="&amp;D170,C:C,C170)&lt;0,0,SUMIFS('Shipments data'!L:L,'Shipments data'!F:F,'Supply planning data'!C170,'Shipments data'!A:A,'Supply planning data'!A170,'Shipments data'!O:O,"received",'Shipments data'!Q:Q,"&lt;"&amp;'Supply planning data'!D185,'Shipments data'!AC:AC,"&lt;"&amp;'Supply planning data'!D185)-SUMIFS(M:M,D:D,"&lt;="&amp;D170,C:C,C170)-SUMIFS(AA:AA,D:D,"&lt;="&amp;D170,C:C,C170)+SUMIFS(N:N,D:D,"&lt;="&amp;D170,C:C,C170)+SUMIFS(P:P,D:D,"&lt;="&amp;D170,C:C,C170))</f>
        <v>0</v>
      </c>
      <c r="AD170" s="105">
        <f t="shared" si="62"/>
        <v>0</v>
      </c>
      <c r="AE170" s="105">
        <f t="shared" si="56"/>
        <v>921994</v>
      </c>
      <c r="AF170" s="206">
        <f t="shared" si="65"/>
        <v>11.883509911581987</v>
      </c>
      <c r="AG170" s="105">
        <f t="shared" si="63"/>
        <v>318046</v>
      </c>
      <c r="AH170" s="106"/>
      <c r="AI170" s="312"/>
      <c r="AJ170" s="105">
        <f t="shared" si="55"/>
        <v>0</v>
      </c>
      <c r="AK170" s="234"/>
      <c r="AL170" s="105">
        <f>IF(SUMIFS('Shipments data'!L:L,'Shipments data'!F:F,'Supply planning data'!C170,'Shipments data'!A:A,'Supply planning data'!A170,'Shipments data'!O:O,"received",'Shipments data'!Q:Q,"&lt;"&amp;'Supply planning data'!D185,'Shipments data'!AC:AC,"&lt;"&amp;'Supply planning data'!D185)-SUMIFS(M:M,D:D,"&lt;="&amp;D170,C:C,C170)-SUMIFS(AJ:AJ,D:D,"&lt;="&amp;D170,C:C,C170)+SUMIFS(N:N,D:D,"&lt;="&amp;D170,C:C,C170)+SUMIFS(P:P,D:D,"&lt;="&amp;D170,C:C,C170)&lt;0,0,SUMIFS('Shipments data'!L:L,'Shipments data'!F:F,'Supply planning data'!C170,'Shipments data'!A:A,'Supply planning data'!A170,'Shipments data'!O:O,"received",'Shipments data'!Q:Q,"&lt;"&amp;'Supply planning data'!D185,'Shipments data'!AC:AC,"&lt;"&amp;'Supply planning data'!D185)-SUMIFS(M:M,D:D,"&lt;="&amp;D170,C:C,C170)-SUMIFS(AJ:AJ,D:D,"&lt;="&amp;D170,C:C,C170)+SUMIFS(N:N,D:D,"&lt;="&amp;D170,C:C,C170)+SUMIFS(P:P,D:D,"&lt;="&amp;D170,C:C,C170))</f>
        <v>0</v>
      </c>
      <c r="AM170" s="105">
        <f t="shared" si="64"/>
        <v>0</v>
      </c>
      <c r="AN170" s="105">
        <f t="shared" si="57"/>
        <v>131674</v>
      </c>
      <c r="AO170" s="206">
        <f t="shared" si="67"/>
        <v>1.6971360812517722</v>
      </c>
    </row>
    <row r="171" spans="1:41" x14ac:dyDescent="0.25">
      <c r="A171" s="103" t="str">
        <f>Start!D$7</f>
        <v>Anyland</v>
      </c>
      <c r="B171" s="109" t="str">
        <f>VLOOKUP(A171,list!B:C,2,FALSE)</f>
        <v>ANY</v>
      </c>
      <c r="C171" s="109" t="str">
        <f>IF(Start!$C$18="","",Start!$C$18)</f>
        <v>Jansen</v>
      </c>
      <c r="D171" s="298">
        <f t="shared" si="58"/>
        <v>44531</v>
      </c>
      <c r="E171" s="105" t="str">
        <f>IFERROR(VLOOKUP(C171,Start!C$15:D$31,2,FALSE),"No")</f>
        <v>Yes</v>
      </c>
      <c r="F171" s="105">
        <f t="shared" si="59"/>
        <v>715468</v>
      </c>
      <c r="G171" s="106">
        <v>396897</v>
      </c>
      <c r="H171" s="106"/>
      <c r="I171" s="106"/>
      <c r="J171" s="105">
        <f t="shared" si="50"/>
        <v>396897</v>
      </c>
      <c r="K171" s="106">
        <v>240</v>
      </c>
      <c r="L171" s="177">
        <f t="shared" si="51"/>
        <v>6.0469088957588492E-4</v>
      </c>
      <c r="M171" s="105">
        <f t="shared" si="52"/>
        <v>397137</v>
      </c>
      <c r="N171" s="110"/>
      <c r="O171" s="124"/>
      <c r="P171" s="110"/>
      <c r="Q171" s="124"/>
      <c r="R171" s="111">
        <f>SUMIFS('Shipments data'!L:L,'Shipments data'!F:F,'Supply planning data'!C171,'Shipments data'!A:A,'Supply planning data'!A171,'Shipments data'!Y:Y,'Supply planning data'!D171,'Shipments data'!O:O,"received", 'Shipments data'!N:N, "Public")</f>
        <v>0</v>
      </c>
      <c r="S171" s="111">
        <f>SUMIFS('Shipments data'!L:L,'Shipments data'!F:F,'Supply planning data'!C171,'Shipments data'!A:A,'Supply planning data'!A171,'Shipments data'!Y:Y,'Supply planning data'!D171,'Shipments data'!O:O,"ordered", 'Shipments data'!N:N, "Public")</f>
        <v>0</v>
      </c>
      <c r="T171" s="111">
        <f>IF(SUMIFS('Shipments data'!L:L,'Shipments data'!F:F,'Supply planning data'!C171,'Shipments data'!A:A,'Supply planning data'!A171,'Shipments data'!O:O,"received",'Shipments data'!Q:Q,"&lt;"&amp;'Supply planning data'!D186,'Shipments data'!AC:AC,"&lt;"&amp;'Supply planning data'!D186)-SUMIFS(M:M,D:D,"&lt;="&amp;D171,C:C,C171)+SUMIFS(N:N,D:D,"&lt;="&amp;D171,C:C,C171)+SUMIFS(P:P,D:D,"&lt;="&amp;D171,C:C,C171)&lt;0,0,SUMIFS('Shipments data'!L:L,'Shipments data'!F:F,'Supply planning data'!C171,'Shipments data'!A:A,'Supply planning data'!A171,'Shipments data'!O:O,"received",'Shipments data'!Q:Q,"&lt;"&amp;'Supply planning data'!D186,'Shipments data'!AC:AC,"&lt;"&amp;'Supply planning data'!D186)-SUMIFS(M:M,D:D,"&lt;="&amp;D171,C:C,C171)+SUMIFS(N:N,D:D,"&lt;="&amp;D171,C:C,C171)+SUMIFS(P:P,D:D,"&lt;="&amp;D171,C:C,C171))</f>
        <v>0</v>
      </c>
      <c r="U171" s="112">
        <f t="shared" si="60"/>
        <v>0</v>
      </c>
      <c r="V171" s="111">
        <f t="shared" si="68"/>
        <v>318331</v>
      </c>
      <c r="W171" s="204">
        <f t="shared" si="66"/>
        <v>1.0284378614366358</v>
      </c>
      <c r="X171" s="111">
        <f t="shared" si="61"/>
        <v>715468</v>
      </c>
      <c r="Y171" s="110"/>
      <c r="Z171" s="107"/>
      <c r="AA171" s="111">
        <f t="shared" si="54"/>
        <v>0</v>
      </c>
      <c r="AB171" s="235"/>
      <c r="AC171" s="111">
        <f>IF(SUMIFS('Shipments data'!L:L,'Shipments data'!F:F,'Supply planning data'!C171,'Shipments data'!A:A,'Supply planning data'!A171,'Shipments data'!O:O,"received",'Shipments data'!Q:Q,"&lt;"&amp;'Supply planning data'!D186,'Shipments data'!AC:AC,"&lt;"&amp;'Supply planning data'!D186)-SUMIFS(M:M,D:D,"&lt;="&amp;D171,C:C,C171)-SUMIFS(AA:AA,D:D,"&lt;="&amp;D171,C:C,C171)+SUMIFS(N:N,D:D,"&lt;="&amp;D171,C:C,C171)+SUMIFS(P:P,D:D,"&lt;="&amp;D171,C:C,C171)&lt;0,0,SUMIFS('Shipments data'!L:L,'Shipments data'!F:F,'Supply planning data'!C171,'Shipments data'!A:A,'Supply planning data'!A171,'Shipments data'!O:O,"received",'Shipments data'!Q:Q,"&lt;"&amp;'Supply planning data'!D186,'Shipments data'!AC:AC,"&lt;"&amp;'Supply planning data'!D186)-SUMIFS(M:M,D:D,"&lt;="&amp;D171,C:C,C171)-SUMIFS(AA:AA,D:D,"&lt;="&amp;D171,C:C,C171)+SUMIFS(N:N,D:D,"&lt;="&amp;D171,C:C,C171)+SUMIFS(P:P,D:D,"&lt;="&amp;D171,C:C,C171))</f>
        <v>0</v>
      </c>
      <c r="AD171" s="111">
        <f t="shared" si="62"/>
        <v>0</v>
      </c>
      <c r="AE171" s="111">
        <f t="shared" si="56"/>
        <v>318331</v>
      </c>
      <c r="AF171" s="204">
        <f t="shared" si="65"/>
        <v>1.223592313990183</v>
      </c>
      <c r="AG171" s="111">
        <f t="shared" si="63"/>
        <v>715468</v>
      </c>
      <c r="AH171" s="110"/>
      <c r="AI171" s="313"/>
      <c r="AJ171" s="111">
        <f t="shared" si="55"/>
        <v>0</v>
      </c>
      <c r="AK171" s="235"/>
      <c r="AL171" s="111">
        <f>IF(SUMIFS('Shipments data'!L:L,'Shipments data'!F:F,'Supply planning data'!C171,'Shipments data'!A:A,'Supply planning data'!A171,'Shipments data'!O:O,"received",'Shipments data'!Q:Q,"&lt;"&amp;'Supply planning data'!D186,'Shipments data'!AC:AC,"&lt;"&amp;'Supply planning data'!D186)-SUMIFS(M:M,D:D,"&lt;="&amp;D171,C:C,C171)-SUMIFS(AJ:AJ,D:D,"&lt;="&amp;D171,C:C,C171)+SUMIFS(N:N,D:D,"&lt;="&amp;D171,C:C,C171)+SUMIFS(P:P,D:D,"&lt;="&amp;D171,C:C,C171)&lt;0,0,SUMIFS('Shipments data'!L:L,'Shipments data'!F:F,'Supply planning data'!C171,'Shipments data'!A:A,'Supply planning data'!A171,'Shipments data'!O:O,"received",'Shipments data'!Q:Q,"&lt;"&amp;'Supply planning data'!D186,'Shipments data'!AC:AC,"&lt;"&amp;'Supply planning data'!D186)-SUMIFS(M:M,D:D,"&lt;="&amp;D171,C:C,C171)-SUMIFS(AJ:AJ,D:D,"&lt;="&amp;D171,C:C,C171)+SUMIFS(N:N,D:D,"&lt;="&amp;D171,C:C,C171)+SUMIFS(P:P,D:D,"&lt;="&amp;D171,C:C,C171))</f>
        <v>0</v>
      </c>
      <c r="AM171" s="111">
        <f t="shared" si="64"/>
        <v>0</v>
      </c>
      <c r="AN171" s="111">
        <f t="shared" si="57"/>
        <v>318331</v>
      </c>
      <c r="AO171" s="204">
        <f t="shared" si="67"/>
        <v>1.223592313990183</v>
      </c>
    </row>
    <row r="172" spans="1:41" x14ac:dyDescent="0.25">
      <c r="A172" s="103" t="str">
        <f>Start!D$7</f>
        <v>Anyland</v>
      </c>
      <c r="B172" s="109" t="str">
        <f>VLOOKUP(A172,list!B:C,2,FALSE)</f>
        <v>ANY</v>
      </c>
      <c r="C172" s="104" t="str">
        <f>IF(Start!$C$19="","",Start!$C$19)</f>
        <v>Moderna</v>
      </c>
      <c r="D172" s="298">
        <f t="shared" si="58"/>
        <v>44531</v>
      </c>
      <c r="E172" s="105" t="str">
        <f>IFERROR(VLOOKUP(C172,Start!C$15:D$31,2,FALSE),"No")</f>
        <v>No</v>
      </c>
      <c r="F172" s="105">
        <f t="shared" si="59"/>
        <v>0</v>
      </c>
      <c r="G172" s="106"/>
      <c r="H172" s="106"/>
      <c r="I172" s="106"/>
      <c r="J172" s="105">
        <f t="shared" si="50"/>
        <v>0</v>
      </c>
      <c r="K172" s="106"/>
      <c r="L172" s="177" t="str">
        <f t="shared" si="51"/>
        <v/>
      </c>
      <c r="M172" s="105">
        <f t="shared" si="52"/>
        <v>0</v>
      </c>
      <c r="N172" s="110"/>
      <c r="O172" s="124"/>
      <c r="P172" s="110"/>
      <c r="Q172" s="124"/>
      <c r="R172" s="111">
        <f>SUMIFS('Shipments data'!L:L,'Shipments data'!F:F,'Supply planning data'!C172,'Shipments data'!A:A,'Supply planning data'!A172,'Shipments data'!Y:Y,'Supply planning data'!D172,'Shipments data'!O:O,"received", 'Shipments data'!N:N, "Public")</f>
        <v>0</v>
      </c>
      <c r="S172" s="111">
        <f>SUMIFS('Shipments data'!L:L,'Shipments data'!F:F,'Supply planning data'!C172,'Shipments data'!A:A,'Supply planning data'!A172,'Shipments data'!Y:Y,'Supply planning data'!D172,'Shipments data'!O:O,"ordered", 'Shipments data'!N:N, "Public")</f>
        <v>0</v>
      </c>
      <c r="T172" s="111">
        <f>IF(SUMIFS('Shipments data'!L:L,'Shipments data'!F:F,'Supply planning data'!C172,'Shipments data'!A:A,'Supply planning data'!A172,'Shipments data'!O:O,"received",'Shipments data'!Q:Q,"&lt;"&amp;'Supply planning data'!D187,'Shipments data'!AC:AC,"&lt;"&amp;'Supply planning data'!D187)-SUMIFS(M:M,D:D,"&lt;="&amp;D172,C:C,C172)+SUMIFS(N:N,D:D,"&lt;="&amp;D172,C:C,C172)+SUMIFS(P:P,D:D,"&lt;="&amp;D172,C:C,C172)&lt;0,0,SUMIFS('Shipments data'!L:L,'Shipments data'!F:F,'Supply planning data'!C172,'Shipments data'!A:A,'Supply planning data'!A172,'Shipments data'!O:O,"received",'Shipments data'!Q:Q,"&lt;"&amp;'Supply planning data'!D187,'Shipments data'!AC:AC,"&lt;"&amp;'Supply planning data'!D187)-SUMIFS(M:M,D:D,"&lt;="&amp;D172,C:C,C172)+SUMIFS(N:N,D:D,"&lt;="&amp;D172,C:C,C172)+SUMIFS(P:P,D:D,"&lt;="&amp;D172,C:C,C172))</f>
        <v>0</v>
      </c>
      <c r="U172" s="112">
        <f t="shared" si="60"/>
        <v>0</v>
      </c>
      <c r="V172" s="111">
        <f t="shared" si="68"/>
        <v>0</v>
      </c>
      <c r="W172" s="204" t="str">
        <f t="shared" si="66"/>
        <v/>
      </c>
      <c r="X172" s="111">
        <f t="shared" si="61"/>
        <v>0</v>
      </c>
      <c r="Y172" s="110"/>
      <c r="Z172" s="107"/>
      <c r="AA172" s="111">
        <f t="shared" si="54"/>
        <v>0</v>
      </c>
      <c r="AB172" s="235"/>
      <c r="AC172" s="111">
        <f>IF(SUMIFS('Shipments data'!L:L,'Shipments data'!F:F,'Supply planning data'!C172,'Shipments data'!A:A,'Supply planning data'!A172,'Shipments data'!O:O,"received",'Shipments data'!Q:Q,"&lt;"&amp;'Supply planning data'!D187,'Shipments data'!AC:AC,"&lt;"&amp;'Supply planning data'!D187)-SUMIFS(M:M,D:D,"&lt;="&amp;D172,C:C,C172)-SUMIFS(AA:AA,D:D,"&lt;="&amp;D172,C:C,C172)+SUMIFS(N:N,D:D,"&lt;="&amp;D172,C:C,C172)+SUMIFS(P:P,D:D,"&lt;="&amp;D172,C:C,C172)&lt;0,0,SUMIFS('Shipments data'!L:L,'Shipments data'!F:F,'Supply planning data'!C172,'Shipments data'!A:A,'Supply planning data'!A172,'Shipments data'!O:O,"received",'Shipments data'!Q:Q,"&lt;"&amp;'Supply planning data'!D187,'Shipments data'!AC:AC,"&lt;"&amp;'Supply planning data'!D187)-SUMIFS(M:M,D:D,"&lt;="&amp;D172,C:C,C172)-SUMIFS(AA:AA,D:D,"&lt;="&amp;D172,C:C,C172)+SUMIFS(N:N,D:D,"&lt;="&amp;D172,C:C,C172)+SUMIFS(P:P,D:D,"&lt;="&amp;D172,C:C,C172))</f>
        <v>0</v>
      </c>
      <c r="AD172" s="111">
        <f t="shared" si="62"/>
        <v>0</v>
      </c>
      <c r="AE172" s="111">
        <f t="shared" si="56"/>
        <v>0</v>
      </c>
      <c r="AF172" s="204" t="str">
        <f t="shared" si="65"/>
        <v/>
      </c>
      <c r="AG172" s="111">
        <f t="shared" si="63"/>
        <v>0</v>
      </c>
      <c r="AH172" s="110"/>
      <c r="AI172" s="313"/>
      <c r="AJ172" s="111">
        <f t="shared" si="55"/>
        <v>0</v>
      </c>
      <c r="AK172" s="235"/>
      <c r="AL172" s="111">
        <f>IF(SUMIFS('Shipments data'!L:L,'Shipments data'!F:F,'Supply planning data'!C172,'Shipments data'!A:A,'Supply planning data'!A172,'Shipments data'!O:O,"received",'Shipments data'!Q:Q,"&lt;"&amp;'Supply planning data'!D187,'Shipments data'!AC:AC,"&lt;"&amp;'Supply planning data'!D187)-SUMIFS(M:M,D:D,"&lt;="&amp;D172,C:C,C172)-SUMIFS(AJ:AJ,D:D,"&lt;="&amp;D172,C:C,C172)+SUMIFS(N:N,D:D,"&lt;="&amp;D172,C:C,C172)+SUMIFS(P:P,D:D,"&lt;="&amp;D172,C:C,C172)&lt;0,0,SUMIFS('Shipments data'!L:L,'Shipments data'!F:F,'Supply planning data'!C172,'Shipments data'!A:A,'Supply planning data'!A172,'Shipments data'!O:O,"received",'Shipments data'!Q:Q,"&lt;"&amp;'Supply planning data'!D187,'Shipments data'!AC:AC,"&lt;"&amp;'Supply planning data'!D187)-SUMIFS(M:M,D:D,"&lt;="&amp;D172,C:C,C172)-SUMIFS(AJ:AJ,D:D,"&lt;="&amp;D172,C:C,C172)+SUMIFS(N:N,D:D,"&lt;="&amp;D172,C:C,C172)+SUMIFS(P:P,D:D,"&lt;="&amp;D172,C:C,C172))</f>
        <v>0</v>
      </c>
      <c r="AM172" s="111">
        <f t="shared" si="64"/>
        <v>0</v>
      </c>
      <c r="AN172" s="111">
        <f t="shared" si="57"/>
        <v>0</v>
      </c>
      <c r="AO172" s="204" t="str">
        <f t="shared" si="67"/>
        <v/>
      </c>
    </row>
    <row r="173" spans="1:41" x14ac:dyDescent="0.25">
      <c r="A173" s="103" t="str">
        <f>Start!D$7</f>
        <v>Anyland</v>
      </c>
      <c r="B173" s="109" t="str">
        <f>VLOOKUP(A173,list!B:C,2,FALSE)</f>
        <v>ANY</v>
      </c>
      <c r="C173" s="109" t="str">
        <f>IF(Start!$C$20="","",Start!$C$20)</f>
        <v>Pfizer</v>
      </c>
      <c r="D173" s="298">
        <f t="shared" si="58"/>
        <v>44531</v>
      </c>
      <c r="E173" s="105" t="str">
        <f>IFERROR(VLOOKUP(C173,Start!C$15:D$31,2,FALSE),"No")</f>
        <v>Yes</v>
      </c>
      <c r="F173" s="105">
        <f t="shared" si="59"/>
        <v>0</v>
      </c>
      <c r="G173" s="106"/>
      <c r="H173" s="106"/>
      <c r="I173" s="106"/>
      <c r="J173" s="105">
        <f t="shared" si="50"/>
        <v>0</v>
      </c>
      <c r="K173" s="106"/>
      <c r="L173" s="177" t="str">
        <f t="shared" si="51"/>
        <v/>
      </c>
      <c r="M173" s="105">
        <f t="shared" si="52"/>
        <v>0</v>
      </c>
      <c r="N173" s="110"/>
      <c r="O173" s="124"/>
      <c r="P173" s="110"/>
      <c r="Q173" s="124"/>
      <c r="R173" s="111">
        <f>SUMIFS('Shipments data'!L:L,'Shipments data'!F:F,'Supply planning data'!C173,'Shipments data'!A:A,'Supply planning data'!A173,'Shipments data'!Y:Y,'Supply planning data'!D173,'Shipments data'!O:O,"received", 'Shipments data'!N:N, "Public")</f>
        <v>0</v>
      </c>
      <c r="S173" s="111">
        <f>SUMIFS('Shipments data'!L:L,'Shipments data'!F:F,'Supply planning data'!C173,'Shipments data'!A:A,'Supply planning data'!A173,'Shipments data'!Y:Y,'Supply planning data'!D173,'Shipments data'!O:O,"ordered", 'Shipments data'!N:N, "Public")</f>
        <v>0</v>
      </c>
      <c r="T173" s="111">
        <f>IF(SUMIFS('Shipments data'!L:L,'Shipments data'!F:F,'Supply planning data'!C173,'Shipments data'!A:A,'Supply planning data'!A173,'Shipments data'!O:O,"received",'Shipments data'!Q:Q,"&lt;"&amp;'Supply planning data'!D188,'Shipments data'!AC:AC,"&lt;"&amp;'Supply planning data'!D188)-SUMIFS(M:M,D:D,"&lt;="&amp;D173,C:C,C173)+SUMIFS(N:N,D:D,"&lt;="&amp;D173,C:C,C173)+SUMIFS(P:P,D:D,"&lt;="&amp;D173,C:C,C173)&lt;0,0,SUMIFS('Shipments data'!L:L,'Shipments data'!F:F,'Supply planning data'!C173,'Shipments data'!A:A,'Supply planning data'!A173,'Shipments data'!O:O,"received",'Shipments data'!Q:Q,"&lt;"&amp;'Supply planning data'!D188,'Shipments data'!AC:AC,"&lt;"&amp;'Supply planning data'!D188)-SUMIFS(M:M,D:D,"&lt;="&amp;D173,C:C,C173)+SUMIFS(N:N,D:D,"&lt;="&amp;D173,C:C,C173)+SUMIFS(P:P,D:D,"&lt;="&amp;D173,C:C,C173))</f>
        <v>0</v>
      </c>
      <c r="U173" s="112">
        <f t="shared" si="60"/>
        <v>0</v>
      </c>
      <c r="V173" s="111">
        <f t="shared" si="68"/>
        <v>0</v>
      </c>
      <c r="W173" s="204" t="str">
        <f t="shared" si="66"/>
        <v/>
      </c>
      <c r="X173" s="111">
        <f t="shared" si="61"/>
        <v>0</v>
      </c>
      <c r="Y173" s="110"/>
      <c r="Z173" s="107"/>
      <c r="AA173" s="111">
        <f t="shared" si="54"/>
        <v>0</v>
      </c>
      <c r="AB173" s="235"/>
      <c r="AC173" s="111">
        <f>IF(SUMIFS('Shipments data'!L:L,'Shipments data'!F:F,'Supply planning data'!C173,'Shipments data'!A:A,'Supply planning data'!A173,'Shipments data'!O:O,"received",'Shipments data'!Q:Q,"&lt;"&amp;'Supply planning data'!D188,'Shipments data'!AC:AC,"&lt;"&amp;'Supply planning data'!D188)-SUMIFS(M:M,D:D,"&lt;="&amp;D173,C:C,C173)-SUMIFS(AA:AA,D:D,"&lt;="&amp;D173,C:C,C173)+SUMIFS(N:N,D:D,"&lt;="&amp;D173,C:C,C173)+SUMIFS(P:P,D:D,"&lt;="&amp;D173,C:C,C173)&lt;0,0,SUMIFS('Shipments data'!L:L,'Shipments data'!F:F,'Supply planning data'!C173,'Shipments data'!A:A,'Supply planning data'!A173,'Shipments data'!O:O,"received",'Shipments data'!Q:Q,"&lt;"&amp;'Supply planning data'!D188,'Shipments data'!AC:AC,"&lt;"&amp;'Supply planning data'!D188)-SUMIFS(M:M,D:D,"&lt;="&amp;D173,C:C,C173)-SUMIFS(AA:AA,D:D,"&lt;="&amp;D173,C:C,C173)+SUMIFS(N:N,D:D,"&lt;="&amp;D173,C:C,C173)+SUMIFS(P:P,D:D,"&lt;="&amp;D173,C:C,C173))</f>
        <v>0</v>
      </c>
      <c r="AD173" s="111">
        <f t="shared" si="62"/>
        <v>0</v>
      </c>
      <c r="AE173" s="111">
        <f t="shared" si="56"/>
        <v>0</v>
      </c>
      <c r="AF173" s="204" t="str">
        <f t="shared" si="65"/>
        <v/>
      </c>
      <c r="AG173" s="111">
        <f t="shared" si="63"/>
        <v>0</v>
      </c>
      <c r="AH173" s="110"/>
      <c r="AI173" s="313"/>
      <c r="AJ173" s="111">
        <f t="shared" si="55"/>
        <v>0</v>
      </c>
      <c r="AK173" s="235"/>
      <c r="AL173" s="111">
        <f>IF(SUMIFS('Shipments data'!L:L,'Shipments data'!F:F,'Supply planning data'!C173,'Shipments data'!A:A,'Supply planning data'!A173,'Shipments data'!O:O,"received",'Shipments data'!Q:Q,"&lt;"&amp;'Supply planning data'!D188,'Shipments data'!AC:AC,"&lt;"&amp;'Supply planning data'!D188)-SUMIFS(M:M,D:D,"&lt;="&amp;D173,C:C,C173)-SUMIFS(AJ:AJ,D:D,"&lt;="&amp;D173,C:C,C173)+SUMIFS(N:N,D:D,"&lt;="&amp;D173,C:C,C173)+SUMIFS(P:P,D:D,"&lt;="&amp;D173,C:C,C173)&lt;0,0,SUMIFS('Shipments data'!L:L,'Shipments data'!F:F,'Supply planning data'!C173,'Shipments data'!A:A,'Supply planning data'!A173,'Shipments data'!O:O,"received",'Shipments data'!Q:Q,"&lt;"&amp;'Supply planning data'!D188,'Shipments data'!AC:AC,"&lt;"&amp;'Supply planning data'!D188)-SUMIFS(M:M,D:D,"&lt;="&amp;D173,C:C,C173)-SUMIFS(AJ:AJ,D:D,"&lt;="&amp;D173,C:C,C173)+SUMIFS(N:N,D:D,"&lt;="&amp;D173,C:C,C173)+SUMIFS(P:P,D:D,"&lt;="&amp;D173,C:C,C173))</f>
        <v>0</v>
      </c>
      <c r="AM173" s="111">
        <f t="shared" si="64"/>
        <v>0</v>
      </c>
      <c r="AN173" s="111">
        <f t="shared" si="57"/>
        <v>0</v>
      </c>
      <c r="AO173" s="204" t="str">
        <f t="shared" si="67"/>
        <v/>
      </c>
    </row>
    <row r="174" spans="1:41" x14ac:dyDescent="0.25">
      <c r="A174" s="103" t="str">
        <f>Start!D$7</f>
        <v>Anyland</v>
      </c>
      <c r="B174" s="109" t="str">
        <f>VLOOKUP(A174,list!B:C,2,FALSE)</f>
        <v>ANY</v>
      </c>
      <c r="C174" s="104" t="str">
        <f>IF(Start!$C$21="","",Start!$C$21)</f>
        <v>Sinovac</v>
      </c>
      <c r="D174" s="298">
        <f t="shared" si="58"/>
        <v>44531</v>
      </c>
      <c r="E174" s="105" t="str">
        <f>IFERROR(VLOOKUP(C174,Start!C$15:D$31,2,FALSE),"No")</f>
        <v>No</v>
      </c>
      <c r="F174" s="105">
        <f t="shared" si="59"/>
        <v>0</v>
      </c>
      <c r="G174" s="106"/>
      <c r="H174" s="106"/>
      <c r="I174" s="106"/>
      <c r="J174" s="105">
        <f t="shared" si="50"/>
        <v>0</v>
      </c>
      <c r="K174" s="106"/>
      <c r="L174" s="177" t="str">
        <f t="shared" si="51"/>
        <v/>
      </c>
      <c r="M174" s="105">
        <f t="shared" si="52"/>
        <v>0</v>
      </c>
      <c r="N174" s="110"/>
      <c r="O174" s="124"/>
      <c r="P174" s="110"/>
      <c r="Q174" s="124"/>
      <c r="R174" s="111">
        <f>SUMIFS('Shipments data'!L:L,'Shipments data'!F:F,'Supply planning data'!C174,'Shipments data'!A:A,'Supply planning data'!A174,'Shipments data'!Y:Y,'Supply planning data'!D174,'Shipments data'!O:O,"received", 'Shipments data'!N:N, "Public")</f>
        <v>0</v>
      </c>
      <c r="S174" s="111">
        <f>SUMIFS('Shipments data'!L:L,'Shipments data'!F:F,'Supply planning data'!C174,'Shipments data'!A:A,'Supply planning data'!A174,'Shipments data'!Y:Y,'Supply planning data'!D174,'Shipments data'!O:O,"ordered", 'Shipments data'!N:N, "Public")</f>
        <v>0</v>
      </c>
      <c r="T174" s="111">
        <f>IF(SUMIFS('Shipments data'!L:L,'Shipments data'!F:F,'Supply planning data'!C174,'Shipments data'!A:A,'Supply planning data'!A174,'Shipments data'!O:O,"received",'Shipments data'!Q:Q,"&lt;"&amp;'Supply planning data'!D189,'Shipments data'!AC:AC,"&lt;"&amp;'Supply planning data'!D189)-SUMIFS(M:M,D:D,"&lt;="&amp;D174,C:C,C174)+SUMIFS(N:N,D:D,"&lt;="&amp;D174,C:C,C174)+SUMIFS(P:P,D:D,"&lt;="&amp;D174,C:C,C174)&lt;0,0,SUMIFS('Shipments data'!L:L,'Shipments data'!F:F,'Supply planning data'!C174,'Shipments data'!A:A,'Supply planning data'!A174,'Shipments data'!O:O,"received",'Shipments data'!Q:Q,"&lt;"&amp;'Supply planning data'!D189,'Shipments data'!AC:AC,"&lt;"&amp;'Supply planning data'!D189)-SUMIFS(M:M,D:D,"&lt;="&amp;D174,C:C,C174)+SUMIFS(N:N,D:D,"&lt;="&amp;D174,C:C,C174)+SUMIFS(P:P,D:D,"&lt;="&amp;D174,C:C,C174))</f>
        <v>0</v>
      </c>
      <c r="U174" s="112">
        <f t="shared" si="60"/>
        <v>0</v>
      </c>
      <c r="V174" s="111">
        <f t="shared" si="68"/>
        <v>0</v>
      </c>
      <c r="W174" s="204" t="str">
        <f t="shared" si="66"/>
        <v/>
      </c>
      <c r="X174" s="111">
        <f t="shared" si="61"/>
        <v>0</v>
      </c>
      <c r="Y174" s="110"/>
      <c r="Z174" s="107"/>
      <c r="AA174" s="111">
        <f t="shared" si="54"/>
        <v>0</v>
      </c>
      <c r="AB174" s="235"/>
      <c r="AC174" s="111">
        <f>IF(SUMIFS('Shipments data'!L:L,'Shipments data'!F:F,'Supply planning data'!C174,'Shipments data'!A:A,'Supply planning data'!A174,'Shipments data'!O:O,"received",'Shipments data'!Q:Q,"&lt;"&amp;'Supply planning data'!D189,'Shipments data'!AC:AC,"&lt;"&amp;'Supply planning data'!D189)-SUMIFS(M:M,D:D,"&lt;="&amp;D174,C:C,C174)-SUMIFS(AA:AA,D:D,"&lt;="&amp;D174,C:C,C174)+SUMIFS(N:N,D:D,"&lt;="&amp;D174,C:C,C174)+SUMIFS(P:P,D:D,"&lt;="&amp;D174,C:C,C174)&lt;0,0,SUMIFS('Shipments data'!L:L,'Shipments data'!F:F,'Supply planning data'!C174,'Shipments data'!A:A,'Supply planning data'!A174,'Shipments data'!O:O,"received",'Shipments data'!Q:Q,"&lt;"&amp;'Supply planning data'!D189,'Shipments data'!AC:AC,"&lt;"&amp;'Supply planning data'!D189)-SUMIFS(M:M,D:D,"&lt;="&amp;D174,C:C,C174)-SUMIFS(AA:AA,D:D,"&lt;="&amp;D174,C:C,C174)+SUMIFS(N:N,D:D,"&lt;="&amp;D174,C:C,C174)+SUMIFS(P:P,D:D,"&lt;="&amp;D174,C:C,C174))</f>
        <v>0</v>
      </c>
      <c r="AD174" s="111">
        <f t="shared" si="62"/>
        <v>0</v>
      </c>
      <c r="AE174" s="111">
        <f t="shared" si="56"/>
        <v>0</v>
      </c>
      <c r="AF174" s="204" t="str">
        <f t="shared" si="65"/>
        <v/>
      </c>
      <c r="AG174" s="111">
        <f t="shared" si="63"/>
        <v>0</v>
      </c>
      <c r="AH174" s="110"/>
      <c r="AI174" s="313"/>
      <c r="AJ174" s="111">
        <f t="shared" si="55"/>
        <v>0</v>
      </c>
      <c r="AK174" s="235"/>
      <c r="AL174" s="111">
        <f>IF(SUMIFS('Shipments data'!L:L,'Shipments data'!F:F,'Supply planning data'!C174,'Shipments data'!A:A,'Supply planning data'!A174,'Shipments data'!O:O,"received",'Shipments data'!Q:Q,"&lt;"&amp;'Supply planning data'!D189,'Shipments data'!AC:AC,"&lt;"&amp;'Supply planning data'!D189)-SUMIFS(M:M,D:D,"&lt;="&amp;D174,C:C,C174)-SUMIFS(AJ:AJ,D:D,"&lt;="&amp;D174,C:C,C174)+SUMIFS(N:N,D:D,"&lt;="&amp;D174,C:C,C174)+SUMIFS(P:P,D:D,"&lt;="&amp;D174,C:C,C174)&lt;0,0,SUMIFS('Shipments data'!L:L,'Shipments data'!F:F,'Supply planning data'!C174,'Shipments data'!A:A,'Supply planning data'!A174,'Shipments data'!O:O,"received",'Shipments data'!Q:Q,"&lt;"&amp;'Supply planning data'!D189,'Shipments data'!AC:AC,"&lt;"&amp;'Supply planning data'!D189)-SUMIFS(M:M,D:D,"&lt;="&amp;D174,C:C,C174)-SUMIFS(AJ:AJ,D:D,"&lt;="&amp;D174,C:C,C174)+SUMIFS(N:N,D:D,"&lt;="&amp;D174,C:C,C174)+SUMIFS(P:P,D:D,"&lt;="&amp;D174,C:C,C174))</f>
        <v>0</v>
      </c>
      <c r="AM174" s="111">
        <f t="shared" si="64"/>
        <v>0</v>
      </c>
      <c r="AN174" s="111">
        <f t="shared" si="57"/>
        <v>0</v>
      </c>
      <c r="AO174" s="204" t="str">
        <f t="shared" si="67"/>
        <v/>
      </c>
    </row>
    <row r="175" spans="1:41" hidden="1" x14ac:dyDescent="0.25">
      <c r="A175" s="103" t="str">
        <f>Start!D$7</f>
        <v>Anyland</v>
      </c>
      <c r="B175" s="109" t="str">
        <f>VLOOKUP(A175,list!B:C,2,FALSE)</f>
        <v>ANY</v>
      </c>
      <c r="C175" s="109" t="str">
        <f>IF(Start!$C$22="","",Start!$C$22)</f>
        <v/>
      </c>
      <c r="D175" s="298">
        <f t="shared" si="58"/>
        <v>44531</v>
      </c>
      <c r="E175" s="105" t="str">
        <f>IFERROR(VLOOKUP(C175,Start!C$15:D$31,2,FALSE),"No")</f>
        <v>No</v>
      </c>
      <c r="F175" s="105">
        <f t="shared" si="59"/>
        <v>0</v>
      </c>
      <c r="G175" s="106"/>
      <c r="H175" s="106"/>
      <c r="I175" s="106"/>
      <c r="J175" s="105">
        <f t="shared" si="50"/>
        <v>0</v>
      </c>
      <c r="K175" s="106"/>
      <c r="L175" s="177" t="str">
        <f t="shared" si="51"/>
        <v/>
      </c>
      <c r="M175" s="105">
        <f t="shared" si="52"/>
        <v>0</v>
      </c>
      <c r="N175" s="110"/>
      <c r="O175" s="124"/>
      <c r="P175" s="110"/>
      <c r="Q175" s="124"/>
      <c r="R175" s="111">
        <f>SUMIFS('Shipments data'!L:L,'Shipments data'!F:F,'Supply planning data'!C175,'Shipments data'!A:A,'Supply planning data'!A175,'Shipments data'!Y:Y,'Supply planning data'!D175,'Shipments data'!O:O,"received", 'Shipments data'!N:N, "Public")</f>
        <v>0</v>
      </c>
      <c r="S175" s="111">
        <f>SUMIFS('Shipments data'!L:L,'Shipments data'!F:F,'Supply planning data'!C175,'Shipments data'!A:A,'Supply planning data'!A175,'Shipments data'!Y:Y,'Supply planning data'!D175,'Shipments data'!O:O,"ordered", 'Shipments data'!N:N, "Public")</f>
        <v>0</v>
      </c>
      <c r="T175" s="111">
        <f>IF(SUMIFS('Shipments data'!L:L,'Shipments data'!F:F,'Supply planning data'!C175,'Shipments data'!A:A,'Supply planning data'!A175,'Shipments data'!O:O,"received",'Shipments data'!Q:Q,"&lt;"&amp;'Supply planning data'!D190,'Shipments data'!AC:AC,"&lt;"&amp;'Supply planning data'!D190)-SUMIFS(M:M,D:D,"&lt;="&amp;D175,C:C,C175)+SUMIFS(N:N,D:D,"&lt;="&amp;D175,C:C,C175)+SUMIFS(P:P,D:D,"&lt;="&amp;D175,C:C,C175)&lt;0,0,SUMIFS('Shipments data'!L:L,'Shipments data'!F:F,'Supply planning data'!C175,'Shipments data'!A:A,'Supply planning data'!A175,'Shipments data'!O:O,"received",'Shipments data'!Q:Q,"&lt;"&amp;'Supply planning data'!D190,'Shipments data'!AC:AC,"&lt;"&amp;'Supply planning data'!D190)-SUMIFS(M:M,D:D,"&lt;="&amp;D175,C:C,C175)+SUMIFS(N:N,D:D,"&lt;="&amp;D175,C:C,C175)+SUMIFS(P:P,D:D,"&lt;="&amp;D175,C:C,C175))</f>
        <v>0</v>
      </c>
      <c r="U175" s="112">
        <f t="shared" si="60"/>
        <v>0</v>
      </c>
      <c r="V175" s="111">
        <f t="shared" si="68"/>
        <v>0</v>
      </c>
      <c r="W175" s="204" t="str">
        <f t="shared" si="66"/>
        <v/>
      </c>
      <c r="X175" s="111">
        <f t="shared" si="61"/>
        <v>0</v>
      </c>
      <c r="Y175" s="110"/>
      <c r="Z175" s="107"/>
      <c r="AA175" s="111">
        <f t="shared" si="54"/>
        <v>0</v>
      </c>
      <c r="AB175" s="235"/>
      <c r="AC175" s="111">
        <f>IF(SUMIFS('Shipments data'!L:L,'Shipments data'!F:F,'Supply planning data'!C175,'Shipments data'!A:A,'Supply planning data'!A175,'Shipments data'!O:O,"received",'Shipments data'!Q:Q,"&lt;"&amp;'Supply planning data'!D190,'Shipments data'!AC:AC,"&lt;"&amp;'Supply planning data'!D190)-SUMIFS(M:M,D:D,"&lt;="&amp;D175,C:C,C175)-SUMIFS(AA:AA,D:D,"&lt;="&amp;D175,C:C,C175)+SUMIFS(N:N,D:D,"&lt;="&amp;D175,C:C,C175)+SUMIFS(P:P,D:D,"&lt;="&amp;D175,C:C,C175)&lt;0,0,SUMIFS('Shipments data'!L:L,'Shipments data'!F:F,'Supply planning data'!C175,'Shipments data'!A:A,'Supply planning data'!A175,'Shipments data'!O:O,"received",'Shipments data'!Q:Q,"&lt;"&amp;'Supply planning data'!D190,'Shipments data'!AC:AC,"&lt;"&amp;'Supply planning data'!D190)-SUMIFS(M:M,D:D,"&lt;="&amp;D175,C:C,C175)-SUMIFS(AA:AA,D:D,"&lt;="&amp;D175,C:C,C175)+SUMIFS(N:N,D:D,"&lt;="&amp;D175,C:C,C175)+SUMIFS(P:P,D:D,"&lt;="&amp;D175,C:C,C175))</f>
        <v>0</v>
      </c>
      <c r="AD175" s="111">
        <f t="shared" si="62"/>
        <v>0</v>
      </c>
      <c r="AE175" s="111">
        <f t="shared" si="56"/>
        <v>0</v>
      </c>
      <c r="AF175" s="204" t="str">
        <f t="shared" si="65"/>
        <v/>
      </c>
      <c r="AG175" s="111">
        <f t="shared" si="63"/>
        <v>0</v>
      </c>
      <c r="AH175" s="110"/>
      <c r="AI175" s="313"/>
      <c r="AJ175" s="111">
        <f t="shared" si="55"/>
        <v>0</v>
      </c>
      <c r="AK175" s="235"/>
      <c r="AL175" s="111">
        <f>IF(SUMIFS('Shipments data'!L:L,'Shipments data'!F:F,'Supply planning data'!C175,'Shipments data'!A:A,'Supply planning data'!A175,'Shipments data'!O:O,"received",'Shipments data'!Q:Q,"&lt;"&amp;'Supply planning data'!D190,'Shipments data'!AC:AC,"&lt;"&amp;'Supply planning data'!D190)-SUMIFS(M:M,D:D,"&lt;="&amp;D175,C:C,C175)-SUMIFS(AJ:AJ,D:D,"&lt;="&amp;D175,C:C,C175)+SUMIFS(N:N,D:D,"&lt;="&amp;D175,C:C,C175)+SUMIFS(P:P,D:D,"&lt;="&amp;D175,C:C,C175)&lt;0,0,SUMIFS('Shipments data'!L:L,'Shipments data'!F:F,'Supply planning data'!C175,'Shipments data'!A:A,'Supply planning data'!A175,'Shipments data'!O:O,"received",'Shipments data'!Q:Q,"&lt;"&amp;'Supply planning data'!D190,'Shipments data'!AC:AC,"&lt;"&amp;'Supply planning data'!D190)-SUMIFS(M:M,D:D,"&lt;="&amp;D175,C:C,C175)-SUMIFS(AJ:AJ,D:D,"&lt;="&amp;D175,C:C,C175)+SUMIFS(N:N,D:D,"&lt;="&amp;D175,C:C,C175)+SUMIFS(P:P,D:D,"&lt;="&amp;D175,C:C,C175))</f>
        <v>0</v>
      </c>
      <c r="AM175" s="111">
        <f t="shared" si="64"/>
        <v>0</v>
      </c>
      <c r="AN175" s="111">
        <f t="shared" si="57"/>
        <v>0</v>
      </c>
      <c r="AO175" s="204" t="str">
        <f t="shared" si="67"/>
        <v/>
      </c>
    </row>
    <row r="176" spans="1:41" hidden="1" x14ac:dyDescent="0.25">
      <c r="A176" s="103" t="str">
        <f>Start!D$7</f>
        <v>Anyland</v>
      </c>
      <c r="B176" s="109" t="str">
        <f>VLOOKUP(A176,list!B:C,2,FALSE)</f>
        <v>ANY</v>
      </c>
      <c r="C176" s="104" t="str">
        <f>IF(Start!$C$23="","",Start!$C$23)</f>
        <v/>
      </c>
      <c r="D176" s="298">
        <f t="shared" si="58"/>
        <v>44531</v>
      </c>
      <c r="E176" s="105" t="str">
        <f>IFERROR(VLOOKUP(C176,Start!C$15:D$31,2,FALSE),"No")</f>
        <v>No</v>
      </c>
      <c r="F176" s="105">
        <f t="shared" si="59"/>
        <v>0</v>
      </c>
      <c r="G176" s="106"/>
      <c r="H176" s="106"/>
      <c r="I176" s="106"/>
      <c r="J176" s="105">
        <f t="shared" si="50"/>
        <v>0</v>
      </c>
      <c r="K176" s="106"/>
      <c r="L176" s="177" t="str">
        <f t="shared" si="51"/>
        <v/>
      </c>
      <c r="M176" s="105">
        <f t="shared" si="52"/>
        <v>0</v>
      </c>
      <c r="N176" s="110"/>
      <c r="O176" s="124"/>
      <c r="P176" s="110"/>
      <c r="Q176" s="124"/>
      <c r="R176" s="111">
        <f>SUMIFS('Shipments data'!L:L,'Shipments data'!F:F,'Supply planning data'!C176,'Shipments data'!A:A,'Supply planning data'!A176,'Shipments data'!Y:Y,'Supply planning data'!D176,'Shipments data'!O:O,"received", 'Shipments data'!N:N, "Public")</f>
        <v>0</v>
      </c>
      <c r="S176" s="111">
        <f>SUMIFS('Shipments data'!L:L,'Shipments data'!F:F,'Supply planning data'!C176,'Shipments data'!A:A,'Supply planning data'!A176,'Shipments data'!Y:Y,'Supply planning data'!D176,'Shipments data'!O:O,"ordered", 'Shipments data'!N:N, "Public")</f>
        <v>0</v>
      </c>
      <c r="T176" s="111">
        <f>IF(SUMIFS('Shipments data'!L:L,'Shipments data'!F:F,'Supply planning data'!C176,'Shipments data'!A:A,'Supply planning data'!A176,'Shipments data'!O:O,"received",'Shipments data'!Q:Q,"&lt;"&amp;'Supply planning data'!D191,'Shipments data'!AC:AC,"&lt;"&amp;'Supply planning data'!D191)-SUMIFS(M:M,D:D,"&lt;="&amp;D176,C:C,C176)+SUMIFS(N:N,D:D,"&lt;="&amp;D176,C:C,C176)+SUMIFS(P:P,D:D,"&lt;="&amp;D176,C:C,C176)&lt;0,0,SUMIFS('Shipments data'!L:L,'Shipments data'!F:F,'Supply planning data'!C176,'Shipments data'!A:A,'Supply planning data'!A176,'Shipments data'!O:O,"received",'Shipments data'!Q:Q,"&lt;"&amp;'Supply planning data'!D191,'Shipments data'!AC:AC,"&lt;"&amp;'Supply planning data'!D191)-SUMIFS(M:M,D:D,"&lt;="&amp;D176,C:C,C176)+SUMIFS(N:N,D:D,"&lt;="&amp;D176,C:C,C176)+SUMIFS(P:P,D:D,"&lt;="&amp;D176,C:C,C176))</f>
        <v>0</v>
      </c>
      <c r="U176" s="112">
        <f t="shared" si="60"/>
        <v>0</v>
      </c>
      <c r="V176" s="111">
        <f t="shared" si="68"/>
        <v>0</v>
      </c>
      <c r="W176" s="204" t="str">
        <f t="shared" si="66"/>
        <v/>
      </c>
      <c r="X176" s="111">
        <f t="shared" si="61"/>
        <v>0</v>
      </c>
      <c r="Y176" s="110"/>
      <c r="Z176" s="107"/>
      <c r="AA176" s="111">
        <f t="shared" si="54"/>
        <v>0</v>
      </c>
      <c r="AB176" s="235"/>
      <c r="AC176" s="111">
        <f>IF(SUMIFS('Shipments data'!L:L,'Shipments data'!F:F,'Supply planning data'!C176,'Shipments data'!A:A,'Supply planning data'!A176,'Shipments data'!O:O,"received",'Shipments data'!Q:Q,"&lt;"&amp;'Supply planning data'!D191,'Shipments data'!AC:AC,"&lt;"&amp;'Supply planning data'!D191)-SUMIFS(M:M,D:D,"&lt;="&amp;D176,C:C,C176)-SUMIFS(AA:AA,D:D,"&lt;="&amp;D176,C:C,C176)+SUMIFS(N:N,D:D,"&lt;="&amp;D176,C:C,C176)+SUMIFS(P:P,D:D,"&lt;="&amp;D176,C:C,C176)&lt;0,0,SUMIFS('Shipments data'!L:L,'Shipments data'!F:F,'Supply planning data'!C176,'Shipments data'!A:A,'Supply planning data'!A176,'Shipments data'!O:O,"received",'Shipments data'!Q:Q,"&lt;"&amp;'Supply planning data'!D191,'Shipments data'!AC:AC,"&lt;"&amp;'Supply planning data'!D191)-SUMIFS(M:M,D:D,"&lt;="&amp;D176,C:C,C176)-SUMIFS(AA:AA,D:D,"&lt;="&amp;D176,C:C,C176)+SUMIFS(N:N,D:D,"&lt;="&amp;D176,C:C,C176)+SUMIFS(P:P,D:D,"&lt;="&amp;D176,C:C,C176))</f>
        <v>0</v>
      </c>
      <c r="AD176" s="111">
        <f t="shared" si="62"/>
        <v>0</v>
      </c>
      <c r="AE176" s="111">
        <f t="shared" si="56"/>
        <v>0</v>
      </c>
      <c r="AF176" s="204" t="str">
        <f t="shared" si="65"/>
        <v/>
      </c>
      <c r="AG176" s="111">
        <f t="shared" si="63"/>
        <v>0</v>
      </c>
      <c r="AH176" s="110"/>
      <c r="AI176" s="313"/>
      <c r="AJ176" s="111">
        <f t="shared" si="55"/>
        <v>0</v>
      </c>
      <c r="AK176" s="235"/>
      <c r="AL176" s="111">
        <f>IF(SUMIFS('Shipments data'!L:L,'Shipments data'!F:F,'Supply planning data'!C176,'Shipments data'!A:A,'Supply planning data'!A176,'Shipments data'!O:O,"received",'Shipments data'!Q:Q,"&lt;"&amp;'Supply planning data'!D191,'Shipments data'!AC:AC,"&lt;"&amp;'Supply planning data'!D191)-SUMIFS(M:M,D:D,"&lt;="&amp;D176,C:C,C176)-SUMIFS(AJ:AJ,D:D,"&lt;="&amp;D176,C:C,C176)+SUMIFS(N:N,D:D,"&lt;="&amp;D176,C:C,C176)+SUMIFS(P:P,D:D,"&lt;="&amp;D176,C:C,C176)&lt;0,0,SUMIFS('Shipments data'!L:L,'Shipments data'!F:F,'Supply planning data'!C176,'Shipments data'!A:A,'Supply planning data'!A176,'Shipments data'!O:O,"received",'Shipments data'!Q:Q,"&lt;"&amp;'Supply planning data'!D191,'Shipments data'!AC:AC,"&lt;"&amp;'Supply planning data'!D191)-SUMIFS(M:M,D:D,"&lt;="&amp;D176,C:C,C176)-SUMIFS(AJ:AJ,D:D,"&lt;="&amp;D176,C:C,C176)+SUMIFS(N:N,D:D,"&lt;="&amp;D176,C:C,C176)+SUMIFS(P:P,D:D,"&lt;="&amp;D176,C:C,C176))</f>
        <v>0</v>
      </c>
      <c r="AM176" s="111">
        <f t="shared" si="64"/>
        <v>0</v>
      </c>
      <c r="AN176" s="111">
        <f t="shared" si="57"/>
        <v>0</v>
      </c>
      <c r="AO176" s="204" t="str">
        <f t="shared" si="67"/>
        <v/>
      </c>
    </row>
    <row r="177" spans="1:41" hidden="1" x14ac:dyDescent="0.25">
      <c r="A177" s="103" t="str">
        <f>Start!D$7</f>
        <v>Anyland</v>
      </c>
      <c r="B177" s="109" t="str">
        <f>VLOOKUP(A177,list!B:C,2,FALSE)</f>
        <v>ANY</v>
      </c>
      <c r="C177" s="109" t="str">
        <f>IF(Start!$C$24="","",Start!$C$24)</f>
        <v/>
      </c>
      <c r="D177" s="298">
        <f t="shared" si="58"/>
        <v>44531</v>
      </c>
      <c r="E177" s="105" t="str">
        <f>IFERROR(VLOOKUP(C177,Start!C$15:D$31,2,FALSE),"No")</f>
        <v>No</v>
      </c>
      <c r="F177" s="105">
        <f t="shared" si="59"/>
        <v>0</v>
      </c>
      <c r="G177" s="106"/>
      <c r="H177" s="106"/>
      <c r="I177" s="106"/>
      <c r="J177" s="105">
        <f t="shared" si="50"/>
        <v>0</v>
      </c>
      <c r="K177" s="106"/>
      <c r="L177" s="177" t="str">
        <f t="shared" si="51"/>
        <v/>
      </c>
      <c r="M177" s="105">
        <f t="shared" si="52"/>
        <v>0</v>
      </c>
      <c r="N177" s="110"/>
      <c r="O177" s="124"/>
      <c r="P177" s="110"/>
      <c r="Q177" s="124"/>
      <c r="R177" s="111">
        <f>SUMIFS('Shipments data'!L:L,'Shipments data'!F:F,'Supply planning data'!C177,'Shipments data'!A:A,'Supply planning data'!A177,'Shipments data'!Y:Y,'Supply planning data'!D177,'Shipments data'!O:O,"received", 'Shipments data'!N:N, "Public")</f>
        <v>0</v>
      </c>
      <c r="S177" s="111">
        <f>SUMIFS('Shipments data'!L:L,'Shipments data'!F:F,'Supply planning data'!C177,'Shipments data'!A:A,'Supply planning data'!A177,'Shipments data'!Y:Y,'Supply planning data'!D177,'Shipments data'!O:O,"ordered", 'Shipments data'!N:N, "Public")</f>
        <v>0</v>
      </c>
      <c r="T177" s="111">
        <f>IF(SUMIFS('Shipments data'!L:L,'Shipments data'!F:F,'Supply planning data'!C177,'Shipments data'!A:A,'Supply planning data'!A177,'Shipments data'!O:O,"received",'Shipments data'!Q:Q,"&lt;"&amp;'Supply planning data'!D192,'Shipments data'!AC:AC,"&lt;"&amp;'Supply planning data'!D192)-SUMIFS(M:M,D:D,"&lt;="&amp;D177,C:C,C177)+SUMIFS(N:N,D:D,"&lt;="&amp;D177,C:C,C177)+SUMIFS(P:P,D:D,"&lt;="&amp;D177,C:C,C177)&lt;0,0,SUMIFS('Shipments data'!L:L,'Shipments data'!F:F,'Supply planning data'!C177,'Shipments data'!A:A,'Supply planning data'!A177,'Shipments data'!O:O,"received",'Shipments data'!Q:Q,"&lt;"&amp;'Supply planning data'!D192,'Shipments data'!AC:AC,"&lt;"&amp;'Supply planning data'!D192)-SUMIFS(M:M,D:D,"&lt;="&amp;D177,C:C,C177)+SUMIFS(N:N,D:D,"&lt;="&amp;D177,C:C,C177)+SUMIFS(P:P,D:D,"&lt;="&amp;D177,C:C,C177))</f>
        <v>0</v>
      </c>
      <c r="U177" s="112">
        <f t="shared" si="60"/>
        <v>0</v>
      </c>
      <c r="V177" s="111">
        <f t="shared" si="68"/>
        <v>0</v>
      </c>
      <c r="W177" s="204" t="str">
        <f t="shared" si="66"/>
        <v/>
      </c>
      <c r="X177" s="111">
        <f t="shared" si="61"/>
        <v>0</v>
      </c>
      <c r="Y177" s="110"/>
      <c r="Z177" s="107"/>
      <c r="AA177" s="111">
        <f t="shared" si="54"/>
        <v>0</v>
      </c>
      <c r="AB177" s="235"/>
      <c r="AC177" s="111">
        <f>IF(SUMIFS('Shipments data'!L:L,'Shipments data'!F:F,'Supply planning data'!C177,'Shipments data'!A:A,'Supply planning data'!A177,'Shipments data'!O:O,"received",'Shipments data'!Q:Q,"&lt;"&amp;'Supply planning data'!D192,'Shipments data'!AC:AC,"&lt;"&amp;'Supply planning data'!D192)-SUMIFS(M:M,D:D,"&lt;="&amp;D177,C:C,C177)-SUMIFS(AA:AA,D:D,"&lt;="&amp;D177,C:C,C177)+SUMIFS(N:N,D:D,"&lt;="&amp;D177,C:C,C177)+SUMIFS(P:P,D:D,"&lt;="&amp;D177,C:C,C177)&lt;0,0,SUMIFS('Shipments data'!L:L,'Shipments data'!F:F,'Supply planning data'!C177,'Shipments data'!A:A,'Supply planning data'!A177,'Shipments data'!O:O,"received",'Shipments data'!Q:Q,"&lt;"&amp;'Supply planning data'!D192,'Shipments data'!AC:AC,"&lt;"&amp;'Supply planning data'!D192)-SUMIFS(M:M,D:D,"&lt;="&amp;D177,C:C,C177)-SUMIFS(AA:AA,D:D,"&lt;="&amp;D177,C:C,C177)+SUMIFS(N:N,D:D,"&lt;="&amp;D177,C:C,C177)+SUMIFS(P:P,D:D,"&lt;="&amp;D177,C:C,C177))</f>
        <v>0</v>
      </c>
      <c r="AD177" s="111">
        <f t="shared" si="62"/>
        <v>0</v>
      </c>
      <c r="AE177" s="111">
        <f t="shared" si="56"/>
        <v>0</v>
      </c>
      <c r="AF177" s="204" t="str">
        <f t="shared" si="65"/>
        <v/>
      </c>
      <c r="AG177" s="111">
        <f t="shared" si="63"/>
        <v>0</v>
      </c>
      <c r="AH177" s="110"/>
      <c r="AI177" s="313"/>
      <c r="AJ177" s="111">
        <f t="shared" si="55"/>
        <v>0</v>
      </c>
      <c r="AK177" s="235"/>
      <c r="AL177" s="111">
        <f>IF(SUMIFS('Shipments data'!L:L,'Shipments data'!F:F,'Supply planning data'!C177,'Shipments data'!A:A,'Supply planning data'!A177,'Shipments data'!O:O,"received",'Shipments data'!Q:Q,"&lt;"&amp;'Supply planning data'!D192,'Shipments data'!AC:AC,"&lt;"&amp;'Supply planning data'!D192)-SUMIFS(M:M,D:D,"&lt;="&amp;D177,C:C,C177)-SUMIFS(AJ:AJ,D:D,"&lt;="&amp;D177,C:C,C177)+SUMIFS(N:N,D:D,"&lt;="&amp;D177,C:C,C177)+SUMIFS(P:P,D:D,"&lt;="&amp;D177,C:C,C177)&lt;0,0,SUMIFS('Shipments data'!L:L,'Shipments data'!F:F,'Supply planning data'!C177,'Shipments data'!A:A,'Supply planning data'!A177,'Shipments data'!O:O,"received",'Shipments data'!Q:Q,"&lt;"&amp;'Supply planning data'!D192,'Shipments data'!AC:AC,"&lt;"&amp;'Supply planning data'!D192)-SUMIFS(M:M,D:D,"&lt;="&amp;D177,C:C,C177)-SUMIFS(AJ:AJ,D:D,"&lt;="&amp;D177,C:C,C177)+SUMIFS(N:N,D:D,"&lt;="&amp;D177,C:C,C177)+SUMIFS(P:P,D:D,"&lt;="&amp;D177,C:C,C177))</f>
        <v>0</v>
      </c>
      <c r="AM177" s="111">
        <f t="shared" si="64"/>
        <v>0</v>
      </c>
      <c r="AN177" s="111">
        <f t="shared" si="57"/>
        <v>0</v>
      </c>
      <c r="AO177" s="204" t="str">
        <f t="shared" si="67"/>
        <v/>
      </c>
    </row>
    <row r="178" spans="1:41" hidden="1" x14ac:dyDescent="0.25">
      <c r="A178" s="103" t="str">
        <f>Start!D$7</f>
        <v>Anyland</v>
      </c>
      <c r="B178" s="109" t="str">
        <f>VLOOKUP(A178,list!B:C,2,FALSE)</f>
        <v>ANY</v>
      </c>
      <c r="C178" s="104" t="str">
        <f>IF(Start!$C$25="","",Start!$C$25)</f>
        <v/>
      </c>
      <c r="D178" s="298">
        <f t="shared" si="58"/>
        <v>44531</v>
      </c>
      <c r="E178" s="105" t="str">
        <f>IFERROR(VLOOKUP(C178,Start!C$15:D$31,2,FALSE),"No")</f>
        <v>No</v>
      </c>
      <c r="F178" s="105">
        <f t="shared" si="59"/>
        <v>0</v>
      </c>
      <c r="G178" s="106"/>
      <c r="H178" s="106"/>
      <c r="I178" s="106"/>
      <c r="J178" s="105">
        <f t="shared" si="50"/>
        <v>0</v>
      </c>
      <c r="K178" s="106"/>
      <c r="L178" s="177" t="str">
        <f t="shared" si="51"/>
        <v/>
      </c>
      <c r="M178" s="105">
        <f t="shared" si="52"/>
        <v>0</v>
      </c>
      <c r="N178" s="110"/>
      <c r="O178" s="124"/>
      <c r="P178" s="110"/>
      <c r="Q178" s="124"/>
      <c r="R178" s="111">
        <f>SUMIFS('Shipments data'!L:L,'Shipments data'!F:F,'Supply planning data'!C178,'Shipments data'!A:A,'Supply planning data'!A178,'Shipments data'!Y:Y,'Supply planning data'!D178,'Shipments data'!O:O,"received", 'Shipments data'!N:N, "Public")</f>
        <v>0</v>
      </c>
      <c r="S178" s="111">
        <f>SUMIFS('Shipments data'!L:L,'Shipments data'!F:F,'Supply planning data'!C178,'Shipments data'!A:A,'Supply planning data'!A178,'Shipments data'!Y:Y,'Supply planning data'!D178,'Shipments data'!O:O,"ordered", 'Shipments data'!N:N, "Public")</f>
        <v>0</v>
      </c>
      <c r="T178" s="111">
        <f>IF(SUMIFS('Shipments data'!L:L,'Shipments data'!F:F,'Supply planning data'!C178,'Shipments data'!A:A,'Supply planning data'!A178,'Shipments data'!O:O,"received",'Shipments data'!Q:Q,"&lt;"&amp;'Supply planning data'!D193,'Shipments data'!AC:AC,"&lt;"&amp;'Supply planning data'!D193)-SUMIFS(M:M,D:D,"&lt;="&amp;D178,C:C,C178)+SUMIFS(N:N,D:D,"&lt;="&amp;D178,C:C,C178)+SUMIFS(P:P,D:D,"&lt;="&amp;D178,C:C,C178)&lt;0,0,SUMIFS('Shipments data'!L:L,'Shipments data'!F:F,'Supply planning data'!C178,'Shipments data'!A:A,'Supply planning data'!A178,'Shipments data'!O:O,"received",'Shipments data'!Q:Q,"&lt;"&amp;'Supply planning data'!D193,'Shipments data'!AC:AC,"&lt;"&amp;'Supply planning data'!D193)-SUMIFS(M:M,D:D,"&lt;="&amp;D178,C:C,C178)+SUMIFS(N:N,D:D,"&lt;="&amp;D178,C:C,C178)+SUMIFS(P:P,D:D,"&lt;="&amp;D178,C:C,C178))</f>
        <v>0</v>
      </c>
      <c r="U178" s="112">
        <f t="shared" si="60"/>
        <v>0</v>
      </c>
      <c r="V178" s="111">
        <f t="shared" si="68"/>
        <v>0</v>
      </c>
      <c r="W178" s="204" t="str">
        <f t="shared" si="66"/>
        <v/>
      </c>
      <c r="X178" s="111">
        <f t="shared" si="61"/>
        <v>0</v>
      </c>
      <c r="Y178" s="110"/>
      <c r="Z178" s="107"/>
      <c r="AA178" s="111">
        <f t="shared" si="54"/>
        <v>0</v>
      </c>
      <c r="AB178" s="235"/>
      <c r="AC178" s="111">
        <f>IF(SUMIFS('Shipments data'!L:L,'Shipments data'!F:F,'Supply planning data'!C178,'Shipments data'!A:A,'Supply planning data'!A178,'Shipments data'!O:O,"received",'Shipments data'!Q:Q,"&lt;"&amp;'Supply planning data'!D193,'Shipments data'!AC:AC,"&lt;"&amp;'Supply planning data'!D193)-SUMIFS(M:M,D:D,"&lt;="&amp;D178,C:C,C178)-SUMIFS(AA:AA,D:D,"&lt;="&amp;D178,C:C,C178)+SUMIFS(N:N,D:D,"&lt;="&amp;D178,C:C,C178)+SUMIFS(P:P,D:D,"&lt;="&amp;D178,C:C,C178)&lt;0,0,SUMIFS('Shipments data'!L:L,'Shipments data'!F:F,'Supply planning data'!C178,'Shipments data'!A:A,'Supply planning data'!A178,'Shipments data'!O:O,"received",'Shipments data'!Q:Q,"&lt;"&amp;'Supply planning data'!D193,'Shipments data'!AC:AC,"&lt;"&amp;'Supply planning data'!D193)-SUMIFS(M:M,D:D,"&lt;="&amp;D178,C:C,C178)-SUMIFS(AA:AA,D:D,"&lt;="&amp;D178,C:C,C178)+SUMIFS(N:N,D:D,"&lt;="&amp;D178,C:C,C178)+SUMIFS(P:P,D:D,"&lt;="&amp;D178,C:C,C178))</f>
        <v>0</v>
      </c>
      <c r="AD178" s="111">
        <f t="shared" si="62"/>
        <v>0</v>
      </c>
      <c r="AE178" s="111">
        <f t="shared" si="56"/>
        <v>0</v>
      </c>
      <c r="AF178" s="204" t="str">
        <f t="shared" si="65"/>
        <v/>
      </c>
      <c r="AG178" s="111">
        <f t="shared" si="63"/>
        <v>0</v>
      </c>
      <c r="AH178" s="110"/>
      <c r="AI178" s="313"/>
      <c r="AJ178" s="111">
        <f t="shared" si="55"/>
        <v>0</v>
      </c>
      <c r="AK178" s="235"/>
      <c r="AL178" s="111">
        <f>IF(SUMIFS('Shipments data'!L:L,'Shipments data'!F:F,'Supply planning data'!C178,'Shipments data'!A:A,'Supply planning data'!A178,'Shipments data'!O:O,"received",'Shipments data'!Q:Q,"&lt;"&amp;'Supply planning data'!D193,'Shipments data'!AC:AC,"&lt;"&amp;'Supply planning data'!D193)-SUMIFS(M:M,D:D,"&lt;="&amp;D178,C:C,C178)-SUMIFS(AJ:AJ,D:D,"&lt;="&amp;D178,C:C,C178)+SUMIFS(N:N,D:D,"&lt;="&amp;D178,C:C,C178)+SUMIFS(P:P,D:D,"&lt;="&amp;D178,C:C,C178)&lt;0,0,SUMIFS('Shipments data'!L:L,'Shipments data'!F:F,'Supply planning data'!C178,'Shipments data'!A:A,'Supply planning data'!A178,'Shipments data'!O:O,"received",'Shipments data'!Q:Q,"&lt;"&amp;'Supply planning data'!D193,'Shipments data'!AC:AC,"&lt;"&amp;'Supply planning data'!D193)-SUMIFS(M:M,D:D,"&lt;="&amp;D178,C:C,C178)-SUMIFS(AJ:AJ,D:D,"&lt;="&amp;D178,C:C,C178)+SUMIFS(N:N,D:D,"&lt;="&amp;D178,C:C,C178)+SUMIFS(P:P,D:D,"&lt;="&amp;D178,C:C,C178))</f>
        <v>0</v>
      </c>
      <c r="AM178" s="111">
        <f t="shared" si="64"/>
        <v>0</v>
      </c>
      <c r="AN178" s="111">
        <f t="shared" si="57"/>
        <v>0</v>
      </c>
      <c r="AO178" s="204" t="str">
        <f t="shared" si="67"/>
        <v/>
      </c>
    </row>
    <row r="179" spans="1:41" hidden="1" x14ac:dyDescent="0.25">
      <c r="A179" s="103" t="str">
        <f>Start!D$7</f>
        <v>Anyland</v>
      </c>
      <c r="B179" s="109" t="str">
        <f>VLOOKUP(A179,list!B:C,2,FALSE)</f>
        <v>ANY</v>
      </c>
      <c r="C179" s="109" t="str">
        <f>IF(Start!$C$26="","",Start!$C$26)</f>
        <v/>
      </c>
      <c r="D179" s="298">
        <f t="shared" si="58"/>
        <v>44531</v>
      </c>
      <c r="E179" s="105" t="str">
        <f>IFERROR(VLOOKUP(C179,Start!C$15:D$31,2,FALSE),"No")</f>
        <v>No</v>
      </c>
      <c r="F179" s="105">
        <f t="shared" si="59"/>
        <v>0</v>
      </c>
      <c r="G179" s="106"/>
      <c r="H179" s="106"/>
      <c r="I179" s="106"/>
      <c r="J179" s="105">
        <f t="shared" si="50"/>
        <v>0</v>
      </c>
      <c r="K179" s="106"/>
      <c r="L179" s="177" t="str">
        <f t="shared" si="51"/>
        <v/>
      </c>
      <c r="M179" s="105">
        <f t="shared" si="52"/>
        <v>0</v>
      </c>
      <c r="N179" s="110"/>
      <c r="O179" s="124"/>
      <c r="P179" s="110"/>
      <c r="Q179" s="124"/>
      <c r="R179" s="111">
        <f>SUMIFS('Shipments data'!L:L,'Shipments data'!F:F,'Supply planning data'!C179,'Shipments data'!A:A,'Supply planning data'!A179,'Shipments data'!Y:Y,'Supply planning data'!D179,'Shipments data'!O:O,"received", 'Shipments data'!N:N, "Public")</f>
        <v>0</v>
      </c>
      <c r="S179" s="111">
        <f>SUMIFS('Shipments data'!L:L,'Shipments data'!F:F,'Supply planning data'!C179,'Shipments data'!A:A,'Supply planning data'!A179,'Shipments data'!Y:Y,'Supply planning data'!D179,'Shipments data'!O:O,"ordered", 'Shipments data'!N:N, "Public")</f>
        <v>0</v>
      </c>
      <c r="T179" s="111">
        <f>IF(SUMIFS('Shipments data'!L:L,'Shipments data'!F:F,'Supply planning data'!C179,'Shipments data'!A:A,'Supply planning data'!A179,'Shipments data'!O:O,"received",'Shipments data'!Q:Q,"&lt;"&amp;'Supply planning data'!D194,'Shipments data'!AC:AC,"&lt;"&amp;'Supply planning data'!D194)-SUMIFS(M:M,D:D,"&lt;="&amp;D179,C:C,C179)+SUMIFS(N:N,D:D,"&lt;="&amp;D179,C:C,C179)+SUMIFS(P:P,D:D,"&lt;="&amp;D179,C:C,C179)&lt;0,0,SUMIFS('Shipments data'!L:L,'Shipments data'!F:F,'Supply planning data'!C179,'Shipments data'!A:A,'Supply planning data'!A179,'Shipments data'!O:O,"received",'Shipments data'!Q:Q,"&lt;"&amp;'Supply planning data'!D194,'Shipments data'!AC:AC,"&lt;"&amp;'Supply planning data'!D194)-SUMIFS(M:M,D:D,"&lt;="&amp;D179,C:C,C179)+SUMIFS(N:N,D:D,"&lt;="&amp;D179,C:C,C179)+SUMIFS(P:P,D:D,"&lt;="&amp;D179,C:C,C179))</f>
        <v>0</v>
      </c>
      <c r="U179" s="112">
        <f t="shared" si="60"/>
        <v>0</v>
      </c>
      <c r="V179" s="111">
        <f t="shared" ref="V179:V242" si="69">IF(F179-M179+N179+P179+R179+S179-U179&lt;0,0,F179-M179+N179+P179+R179+S179-U179)</f>
        <v>0</v>
      </c>
      <c r="W179" s="204" t="str">
        <f t="shared" si="66"/>
        <v/>
      </c>
      <c r="X179" s="111">
        <f t="shared" si="61"/>
        <v>0</v>
      </c>
      <c r="Y179" s="110"/>
      <c r="Z179" s="107"/>
      <c r="AA179" s="111">
        <f t="shared" si="54"/>
        <v>0</v>
      </c>
      <c r="AB179" s="235"/>
      <c r="AC179" s="111">
        <f>IF(SUMIFS('Shipments data'!L:L,'Shipments data'!F:F,'Supply planning data'!C179,'Shipments data'!A:A,'Supply planning data'!A179,'Shipments data'!O:O,"received",'Shipments data'!Q:Q,"&lt;"&amp;'Supply planning data'!D194,'Shipments data'!AC:AC,"&lt;"&amp;'Supply planning data'!D194)-SUMIFS(M:M,D:D,"&lt;="&amp;D179,C:C,C179)-SUMIFS(AA:AA,D:D,"&lt;="&amp;D179,C:C,C179)+SUMIFS(N:N,D:D,"&lt;="&amp;D179,C:C,C179)+SUMIFS(P:P,D:D,"&lt;="&amp;D179,C:C,C179)&lt;0,0,SUMIFS('Shipments data'!L:L,'Shipments data'!F:F,'Supply planning data'!C179,'Shipments data'!A:A,'Supply planning data'!A179,'Shipments data'!O:O,"received",'Shipments data'!Q:Q,"&lt;"&amp;'Supply planning data'!D194,'Shipments data'!AC:AC,"&lt;"&amp;'Supply planning data'!D194)-SUMIFS(M:M,D:D,"&lt;="&amp;D179,C:C,C179)-SUMIFS(AA:AA,D:D,"&lt;="&amp;D179,C:C,C179)+SUMIFS(N:N,D:D,"&lt;="&amp;D179,C:C,C179)+SUMIFS(P:P,D:D,"&lt;="&amp;D179,C:C,C179))</f>
        <v>0</v>
      </c>
      <c r="AD179" s="111">
        <f t="shared" si="62"/>
        <v>0</v>
      </c>
      <c r="AE179" s="111">
        <f t="shared" si="56"/>
        <v>0</v>
      </c>
      <c r="AF179" s="204" t="str">
        <f t="shared" si="65"/>
        <v/>
      </c>
      <c r="AG179" s="111">
        <f t="shared" si="63"/>
        <v>0</v>
      </c>
      <c r="AH179" s="110"/>
      <c r="AI179" s="313"/>
      <c r="AJ179" s="111">
        <f t="shared" si="55"/>
        <v>0</v>
      </c>
      <c r="AK179" s="235"/>
      <c r="AL179" s="111">
        <f>IF(SUMIFS('Shipments data'!L:L,'Shipments data'!F:F,'Supply planning data'!C179,'Shipments data'!A:A,'Supply planning data'!A179,'Shipments data'!O:O,"received",'Shipments data'!Q:Q,"&lt;"&amp;'Supply planning data'!D194,'Shipments data'!AC:AC,"&lt;"&amp;'Supply planning data'!D194)-SUMIFS(M:M,D:D,"&lt;="&amp;D179,C:C,C179)-SUMIFS(AJ:AJ,D:D,"&lt;="&amp;D179,C:C,C179)+SUMIFS(N:N,D:D,"&lt;="&amp;D179,C:C,C179)+SUMIFS(P:P,D:D,"&lt;="&amp;D179,C:C,C179)&lt;0,0,SUMIFS('Shipments data'!L:L,'Shipments data'!F:F,'Supply planning data'!C179,'Shipments data'!A:A,'Supply planning data'!A179,'Shipments data'!O:O,"received",'Shipments data'!Q:Q,"&lt;"&amp;'Supply planning data'!D194,'Shipments data'!AC:AC,"&lt;"&amp;'Supply planning data'!D194)-SUMIFS(M:M,D:D,"&lt;="&amp;D179,C:C,C179)-SUMIFS(AJ:AJ,D:D,"&lt;="&amp;D179,C:C,C179)+SUMIFS(N:N,D:D,"&lt;="&amp;D179,C:C,C179)+SUMIFS(P:P,D:D,"&lt;="&amp;D179,C:C,C179))</f>
        <v>0</v>
      </c>
      <c r="AM179" s="111">
        <f t="shared" si="64"/>
        <v>0</v>
      </c>
      <c r="AN179" s="111">
        <f t="shared" si="57"/>
        <v>0</v>
      </c>
      <c r="AO179" s="204" t="str">
        <f t="shared" si="67"/>
        <v/>
      </c>
    </row>
    <row r="180" spans="1:41" hidden="1" x14ac:dyDescent="0.25">
      <c r="A180" s="103" t="str">
        <f>Start!D$7</f>
        <v>Anyland</v>
      </c>
      <c r="B180" s="109" t="str">
        <f>VLOOKUP(A180,list!B:C,2,FALSE)</f>
        <v>ANY</v>
      </c>
      <c r="C180" s="104" t="str">
        <f>IF(Start!$C$27="","",Start!$C$27)</f>
        <v/>
      </c>
      <c r="D180" s="298">
        <f t="shared" si="58"/>
        <v>44531</v>
      </c>
      <c r="E180" s="105" t="str">
        <f>IFERROR(VLOOKUP(C180,Start!C$15:D$31,2,FALSE),"No")</f>
        <v>No</v>
      </c>
      <c r="F180" s="105">
        <f t="shared" si="59"/>
        <v>0</v>
      </c>
      <c r="G180" s="106"/>
      <c r="H180" s="106"/>
      <c r="I180" s="106"/>
      <c r="J180" s="105">
        <f t="shared" si="50"/>
        <v>0</v>
      </c>
      <c r="K180" s="106"/>
      <c r="L180" s="177" t="str">
        <f t="shared" si="51"/>
        <v/>
      </c>
      <c r="M180" s="105">
        <f t="shared" si="52"/>
        <v>0</v>
      </c>
      <c r="N180" s="110"/>
      <c r="O180" s="124"/>
      <c r="P180" s="110"/>
      <c r="Q180" s="124"/>
      <c r="R180" s="111">
        <f>SUMIFS('Shipments data'!L:L,'Shipments data'!F:F,'Supply planning data'!C180,'Shipments data'!A:A,'Supply planning data'!A180,'Shipments data'!Y:Y,'Supply planning data'!D180,'Shipments data'!O:O,"received", 'Shipments data'!N:N, "Public")</f>
        <v>0</v>
      </c>
      <c r="S180" s="111">
        <f>SUMIFS('Shipments data'!L:L,'Shipments data'!F:F,'Supply planning data'!C180,'Shipments data'!A:A,'Supply planning data'!A180,'Shipments data'!Y:Y,'Supply planning data'!D180,'Shipments data'!O:O,"ordered", 'Shipments data'!N:N, "Public")</f>
        <v>0</v>
      </c>
      <c r="T180" s="111">
        <f>IF(SUMIFS('Shipments data'!L:L,'Shipments data'!F:F,'Supply planning data'!C180,'Shipments data'!A:A,'Supply planning data'!A180,'Shipments data'!O:O,"received",'Shipments data'!Q:Q,"&lt;"&amp;'Supply planning data'!D195,'Shipments data'!AC:AC,"&lt;"&amp;'Supply planning data'!D195)-SUMIFS(M:M,D:D,"&lt;="&amp;D180,C:C,C180)+SUMIFS(N:N,D:D,"&lt;="&amp;D180,C:C,C180)+SUMIFS(P:P,D:D,"&lt;="&amp;D180,C:C,C180)&lt;0,0,SUMIFS('Shipments data'!L:L,'Shipments data'!F:F,'Supply planning data'!C180,'Shipments data'!A:A,'Supply planning data'!A180,'Shipments data'!O:O,"received",'Shipments data'!Q:Q,"&lt;"&amp;'Supply planning data'!D195,'Shipments data'!AC:AC,"&lt;"&amp;'Supply planning data'!D195)-SUMIFS(M:M,D:D,"&lt;="&amp;D180,C:C,C180)+SUMIFS(N:N,D:D,"&lt;="&amp;D180,C:C,C180)+SUMIFS(P:P,D:D,"&lt;="&amp;D180,C:C,C180))</f>
        <v>0</v>
      </c>
      <c r="U180" s="112">
        <f t="shared" si="60"/>
        <v>0</v>
      </c>
      <c r="V180" s="111">
        <f t="shared" si="69"/>
        <v>0</v>
      </c>
      <c r="W180" s="204" t="str">
        <f t="shared" si="66"/>
        <v/>
      </c>
      <c r="X180" s="111">
        <f t="shared" si="61"/>
        <v>0</v>
      </c>
      <c r="Y180" s="110"/>
      <c r="Z180" s="107"/>
      <c r="AA180" s="111">
        <f t="shared" si="54"/>
        <v>0</v>
      </c>
      <c r="AB180" s="235"/>
      <c r="AC180" s="111">
        <f>IF(SUMIFS('Shipments data'!L:L,'Shipments data'!F:F,'Supply planning data'!C180,'Shipments data'!A:A,'Supply planning data'!A180,'Shipments data'!O:O,"received",'Shipments data'!Q:Q,"&lt;"&amp;'Supply planning data'!D195,'Shipments data'!AC:AC,"&lt;"&amp;'Supply planning data'!D195)-SUMIFS(M:M,D:D,"&lt;="&amp;D180,C:C,C180)-SUMIFS(AA:AA,D:D,"&lt;="&amp;D180,C:C,C180)+SUMIFS(N:N,D:D,"&lt;="&amp;D180,C:C,C180)+SUMIFS(P:P,D:D,"&lt;="&amp;D180,C:C,C180)&lt;0,0,SUMIFS('Shipments data'!L:L,'Shipments data'!F:F,'Supply planning data'!C180,'Shipments data'!A:A,'Supply planning data'!A180,'Shipments data'!O:O,"received",'Shipments data'!Q:Q,"&lt;"&amp;'Supply planning data'!D195,'Shipments data'!AC:AC,"&lt;"&amp;'Supply planning data'!D195)-SUMIFS(M:M,D:D,"&lt;="&amp;D180,C:C,C180)-SUMIFS(AA:AA,D:D,"&lt;="&amp;D180,C:C,C180)+SUMIFS(N:N,D:D,"&lt;="&amp;D180,C:C,C180)+SUMIFS(P:P,D:D,"&lt;="&amp;D180,C:C,C180))</f>
        <v>0</v>
      </c>
      <c r="AD180" s="111">
        <f t="shared" si="62"/>
        <v>0</v>
      </c>
      <c r="AE180" s="111">
        <f t="shared" si="56"/>
        <v>0</v>
      </c>
      <c r="AF180" s="204" t="str">
        <f t="shared" si="65"/>
        <v/>
      </c>
      <c r="AG180" s="111">
        <f t="shared" si="63"/>
        <v>0</v>
      </c>
      <c r="AH180" s="110"/>
      <c r="AI180" s="313"/>
      <c r="AJ180" s="111">
        <f t="shared" si="55"/>
        <v>0</v>
      </c>
      <c r="AK180" s="235"/>
      <c r="AL180" s="111">
        <f>IF(SUMIFS('Shipments data'!L:L,'Shipments data'!F:F,'Supply planning data'!C180,'Shipments data'!A:A,'Supply planning data'!A180,'Shipments data'!O:O,"received",'Shipments data'!Q:Q,"&lt;"&amp;'Supply planning data'!D195,'Shipments data'!AC:AC,"&lt;"&amp;'Supply planning data'!D195)-SUMIFS(M:M,D:D,"&lt;="&amp;D180,C:C,C180)-SUMIFS(AJ:AJ,D:D,"&lt;="&amp;D180,C:C,C180)+SUMIFS(N:N,D:D,"&lt;="&amp;D180,C:C,C180)+SUMIFS(P:P,D:D,"&lt;="&amp;D180,C:C,C180)&lt;0,0,SUMIFS('Shipments data'!L:L,'Shipments data'!F:F,'Supply planning data'!C180,'Shipments data'!A:A,'Supply planning data'!A180,'Shipments data'!O:O,"received",'Shipments data'!Q:Q,"&lt;"&amp;'Supply planning data'!D195,'Shipments data'!AC:AC,"&lt;"&amp;'Supply planning data'!D195)-SUMIFS(M:M,D:D,"&lt;="&amp;D180,C:C,C180)-SUMIFS(AJ:AJ,D:D,"&lt;="&amp;D180,C:C,C180)+SUMIFS(N:N,D:D,"&lt;="&amp;D180,C:C,C180)+SUMIFS(P:P,D:D,"&lt;="&amp;D180,C:C,C180))</f>
        <v>0</v>
      </c>
      <c r="AM180" s="111">
        <f t="shared" si="64"/>
        <v>0</v>
      </c>
      <c r="AN180" s="111">
        <f t="shared" si="57"/>
        <v>0</v>
      </c>
      <c r="AO180" s="204" t="str">
        <f t="shared" si="67"/>
        <v/>
      </c>
    </row>
    <row r="181" spans="1:41" hidden="1" x14ac:dyDescent="0.25">
      <c r="A181" s="103" t="str">
        <f>Start!D$7</f>
        <v>Anyland</v>
      </c>
      <c r="B181" s="109" t="str">
        <f>VLOOKUP(A181,list!B:C,2,FALSE)</f>
        <v>ANY</v>
      </c>
      <c r="C181" s="109" t="str">
        <f>IF(Start!$C$28="","",Start!$C$28)</f>
        <v/>
      </c>
      <c r="D181" s="298">
        <f t="shared" si="58"/>
        <v>44531</v>
      </c>
      <c r="E181" s="105" t="str">
        <f>IFERROR(VLOOKUP(C181,Start!C$15:D$31,2,FALSE),"No")</f>
        <v>No</v>
      </c>
      <c r="F181" s="105">
        <f t="shared" si="59"/>
        <v>0</v>
      </c>
      <c r="G181" s="106"/>
      <c r="H181" s="106"/>
      <c r="I181" s="106"/>
      <c r="J181" s="105">
        <f t="shared" si="50"/>
        <v>0</v>
      </c>
      <c r="K181" s="106"/>
      <c r="L181" s="177" t="str">
        <f t="shared" si="51"/>
        <v/>
      </c>
      <c r="M181" s="105">
        <f t="shared" si="52"/>
        <v>0</v>
      </c>
      <c r="N181" s="110"/>
      <c r="O181" s="124"/>
      <c r="P181" s="110"/>
      <c r="Q181" s="124"/>
      <c r="R181" s="111">
        <f>SUMIFS('Shipments data'!L:L,'Shipments data'!F:F,'Supply planning data'!C181,'Shipments data'!A:A,'Supply planning data'!A181,'Shipments data'!Y:Y,'Supply planning data'!D181,'Shipments data'!O:O,"received", 'Shipments data'!N:N, "Public")</f>
        <v>0</v>
      </c>
      <c r="S181" s="111">
        <f>SUMIFS('Shipments data'!L:L,'Shipments data'!F:F,'Supply planning data'!C181,'Shipments data'!A:A,'Supply planning data'!A181,'Shipments data'!Y:Y,'Supply planning data'!D181,'Shipments data'!O:O,"ordered", 'Shipments data'!N:N, "Public")</f>
        <v>0</v>
      </c>
      <c r="T181" s="111">
        <f>IF(SUMIFS('Shipments data'!L:L,'Shipments data'!F:F,'Supply planning data'!C181,'Shipments data'!A:A,'Supply planning data'!A181,'Shipments data'!O:O,"received",'Shipments data'!Q:Q,"&lt;"&amp;'Supply planning data'!D196,'Shipments data'!AC:AC,"&lt;"&amp;'Supply planning data'!D196)-SUMIFS(M:M,D:D,"&lt;="&amp;D181,C:C,C181)+SUMIFS(N:N,D:D,"&lt;="&amp;D181,C:C,C181)+SUMIFS(P:P,D:D,"&lt;="&amp;D181,C:C,C181)&lt;0,0,SUMIFS('Shipments data'!L:L,'Shipments data'!F:F,'Supply planning data'!C181,'Shipments data'!A:A,'Supply planning data'!A181,'Shipments data'!O:O,"received",'Shipments data'!Q:Q,"&lt;"&amp;'Supply planning data'!D196,'Shipments data'!AC:AC,"&lt;"&amp;'Supply planning data'!D196)-SUMIFS(M:M,D:D,"&lt;="&amp;D181,C:C,C181)+SUMIFS(N:N,D:D,"&lt;="&amp;D181,C:C,C181)+SUMIFS(P:P,D:D,"&lt;="&amp;D181,C:C,C181))</f>
        <v>0</v>
      </c>
      <c r="U181" s="112">
        <f t="shared" si="60"/>
        <v>0</v>
      </c>
      <c r="V181" s="111">
        <f t="shared" si="69"/>
        <v>0</v>
      </c>
      <c r="W181" s="204" t="str">
        <f t="shared" si="66"/>
        <v/>
      </c>
      <c r="X181" s="111">
        <f t="shared" si="61"/>
        <v>0</v>
      </c>
      <c r="Y181" s="110"/>
      <c r="Z181" s="107"/>
      <c r="AA181" s="111">
        <f t="shared" si="54"/>
        <v>0</v>
      </c>
      <c r="AB181" s="235"/>
      <c r="AC181" s="111">
        <f>IF(SUMIFS('Shipments data'!L:L,'Shipments data'!F:F,'Supply planning data'!C181,'Shipments data'!A:A,'Supply planning data'!A181,'Shipments data'!O:O,"received",'Shipments data'!Q:Q,"&lt;"&amp;'Supply planning data'!D196,'Shipments data'!AC:AC,"&lt;"&amp;'Supply planning data'!D196)-SUMIFS(M:M,D:D,"&lt;="&amp;D181,C:C,C181)-SUMIFS(AA:AA,D:D,"&lt;="&amp;D181,C:C,C181)+SUMIFS(N:N,D:D,"&lt;="&amp;D181,C:C,C181)+SUMIFS(P:P,D:D,"&lt;="&amp;D181,C:C,C181)&lt;0,0,SUMIFS('Shipments data'!L:L,'Shipments data'!F:F,'Supply planning data'!C181,'Shipments data'!A:A,'Supply planning data'!A181,'Shipments data'!O:O,"received",'Shipments data'!Q:Q,"&lt;"&amp;'Supply planning data'!D196,'Shipments data'!AC:AC,"&lt;"&amp;'Supply planning data'!D196)-SUMIFS(M:M,D:D,"&lt;="&amp;D181,C:C,C181)-SUMIFS(AA:AA,D:D,"&lt;="&amp;D181,C:C,C181)+SUMIFS(N:N,D:D,"&lt;="&amp;D181,C:C,C181)+SUMIFS(P:P,D:D,"&lt;="&amp;D181,C:C,C181))</f>
        <v>0</v>
      </c>
      <c r="AD181" s="111">
        <f t="shared" si="62"/>
        <v>0</v>
      </c>
      <c r="AE181" s="111">
        <f t="shared" si="56"/>
        <v>0</v>
      </c>
      <c r="AF181" s="204" t="str">
        <f t="shared" si="65"/>
        <v/>
      </c>
      <c r="AG181" s="111">
        <f t="shared" si="63"/>
        <v>0</v>
      </c>
      <c r="AH181" s="110"/>
      <c r="AI181" s="313"/>
      <c r="AJ181" s="111">
        <f t="shared" si="55"/>
        <v>0</v>
      </c>
      <c r="AK181" s="235"/>
      <c r="AL181" s="111">
        <f>IF(SUMIFS('Shipments data'!L:L,'Shipments data'!F:F,'Supply planning data'!C181,'Shipments data'!A:A,'Supply planning data'!A181,'Shipments data'!O:O,"received",'Shipments data'!Q:Q,"&lt;"&amp;'Supply planning data'!D196,'Shipments data'!AC:AC,"&lt;"&amp;'Supply planning data'!D196)-SUMIFS(M:M,D:D,"&lt;="&amp;D181,C:C,C181)-SUMIFS(AJ:AJ,D:D,"&lt;="&amp;D181,C:C,C181)+SUMIFS(N:N,D:D,"&lt;="&amp;D181,C:C,C181)+SUMIFS(P:P,D:D,"&lt;="&amp;D181,C:C,C181)&lt;0,0,SUMIFS('Shipments data'!L:L,'Shipments data'!F:F,'Supply planning data'!C181,'Shipments data'!A:A,'Supply planning data'!A181,'Shipments data'!O:O,"received",'Shipments data'!Q:Q,"&lt;"&amp;'Supply planning data'!D196,'Shipments data'!AC:AC,"&lt;"&amp;'Supply planning data'!D196)-SUMIFS(M:M,D:D,"&lt;="&amp;D181,C:C,C181)-SUMIFS(AJ:AJ,D:D,"&lt;="&amp;D181,C:C,C181)+SUMIFS(N:N,D:D,"&lt;="&amp;D181,C:C,C181)+SUMIFS(P:P,D:D,"&lt;="&amp;D181,C:C,C181))</f>
        <v>0</v>
      </c>
      <c r="AM181" s="111">
        <f t="shared" si="64"/>
        <v>0</v>
      </c>
      <c r="AN181" s="111">
        <f t="shared" si="57"/>
        <v>0</v>
      </c>
      <c r="AO181" s="204" t="str">
        <f t="shared" si="67"/>
        <v/>
      </c>
    </row>
    <row r="182" spans="1:41" hidden="1" x14ac:dyDescent="0.25">
      <c r="A182" s="103" t="str">
        <f>Start!D$7</f>
        <v>Anyland</v>
      </c>
      <c r="B182" s="109" t="str">
        <f>VLOOKUP(A182,list!B:C,2,FALSE)</f>
        <v>ANY</v>
      </c>
      <c r="C182" s="104" t="str">
        <f>IF(Start!$C$29="","",Start!$C$29)</f>
        <v/>
      </c>
      <c r="D182" s="298">
        <f t="shared" si="58"/>
        <v>44531</v>
      </c>
      <c r="E182" s="105" t="str">
        <f>IFERROR(VLOOKUP(C182,Start!C$15:D$31,2,FALSE),"No")</f>
        <v>No</v>
      </c>
      <c r="F182" s="105">
        <f t="shared" si="59"/>
        <v>0</v>
      </c>
      <c r="G182" s="106"/>
      <c r="H182" s="106"/>
      <c r="I182" s="106"/>
      <c r="J182" s="105">
        <f t="shared" si="50"/>
        <v>0</v>
      </c>
      <c r="K182" s="106"/>
      <c r="L182" s="177" t="str">
        <f t="shared" si="51"/>
        <v/>
      </c>
      <c r="M182" s="105">
        <f t="shared" si="52"/>
        <v>0</v>
      </c>
      <c r="N182" s="110"/>
      <c r="O182" s="124"/>
      <c r="P182" s="110"/>
      <c r="Q182" s="124"/>
      <c r="R182" s="111">
        <f>SUMIFS('Shipments data'!L:L,'Shipments data'!F:F,'Supply planning data'!C182,'Shipments data'!A:A,'Supply planning data'!A182,'Shipments data'!Y:Y,'Supply planning data'!D182,'Shipments data'!O:O,"received", 'Shipments data'!N:N, "Public")</f>
        <v>0</v>
      </c>
      <c r="S182" s="111">
        <f>SUMIFS('Shipments data'!L:L,'Shipments data'!F:F,'Supply planning data'!C182,'Shipments data'!A:A,'Supply planning data'!A182,'Shipments data'!Y:Y,'Supply planning data'!D182,'Shipments data'!O:O,"ordered", 'Shipments data'!N:N, "Public")</f>
        <v>0</v>
      </c>
      <c r="T182" s="111">
        <f>IF(SUMIFS('Shipments data'!L:L,'Shipments data'!F:F,'Supply planning data'!C182,'Shipments data'!A:A,'Supply planning data'!A182,'Shipments data'!O:O,"received",'Shipments data'!Q:Q,"&lt;"&amp;'Supply planning data'!D197,'Shipments data'!AC:AC,"&lt;"&amp;'Supply planning data'!D197)-SUMIFS(M:M,D:D,"&lt;="&amp;D182,C:C,C182)+SUMIFS(N:N,D:D,"&lt;="&amp;D182,C:C,C182)+SUMIFS(P:P,D:D,"&lt;="&amp;D182,C:C,C182)&lt;0,0,SUMIFS('Shipments data'!L:L,'Shipments data'!F:F,'Supply planning data'!C182,'Shipments data'!A:A,'Supply planning data'!A182,'Shipments data'!O:O,"received",'Shipments data'!Q:Q,"&lt;"&amp;'Supply planning data'!D197,'Shipments data'!AC:AC,"&lt;"&amp;'Supply planning data'!D197)-SUMIFS(M:M,D:D,"&lt;="&amp;D182,C:C,C182)+SUMIFS(N:N,D:D,"&lt;="&amp;D182,C:C,C182)+SUMIFS(P:P,D:D,"&lt;="&amp;D182,C:C,C182))</f>
        <v>0</v>
      </c>
      <c r="U182" s="112">
        <f t="shared" si="60"/>
        <v>0</v>
      </c>
      <c r="V182" s="111">
        <f t="shared" si="69"/>
        <v>0</v>
      </c>
      <c r="W182" s="204" t="str">
        <f t="shared" si="66"/>
        <v/>
      </c>
      <c r="X182" s="111">
        <f t="shared" si="61"/>
        <v>0</v>
      </c>
      <c r="Y182" s="110"/>
      <c r="Z182" s="107"/>
      <c r="AA182" s="111">
        <f t="shared" si="54"/>
        <v>0</v>
      </c>
      <c r="AB182" s="235"/>
      <c r="AC182" s="111">
        <f>IF(SUMIFS('Shipments data'!L:L,'Shipments data'!F:F,'Supply planning data'!C182,'Shipments data'!A:A,'Supply planning data'!A182,'Shipments data'!O:O,"received",'Shipments data'!Q:Q,"&lt;"&amp;'Supply planning data'!D197,'Shipments data'!AC:AC,"&lt;"&amp;'Supply planning data'!D197)-SUMIFS(M:M,D:D,"&lt;="&amp;D182,C:C,C182)-SUMIFS(AA:AA,D:D,"&lt;="&amp;D182,C:C,C182)+SUMIFS(N:N,D:D,"&lt;="&amp;D182,C:C,C182)+SUMIFS(P:P,D:D,"&lt;="&amp;D182,C:C,C182)&lt;0,0,SUMIFS('Shipments data'!L:L,'Shipments data'!F:F,'Supply planning data'!C182,'Shipments data'!A:A,'Supply planning data'!A182,'Shipments data'!O:O,"received",'Shipments data'!Q:Q,"&lt;"&amp;'Supply planning data'!D197,'Shipments data'!AC:AC,"&lt;"&amp;'Supply planning data'!D197)-SUMIFS(M:M,D:D,"&lt;="&amp;D182,C:C,C182)-SUMIFS(AA:AA,D:D,"&lt;="&amp;D182,C:C,C182)+SUMIFS(N:N,D:D,"&lt;="&amp;D182,C:C,C182)+SUMIFS(P:P,D:D,"&lt;="&amp;D182,C:C,C182))</f>
        <v>0</v>
      </c>
      <c r="AD182" s="111">
        <f t="shared" si="62"/>
        <v>0</v>
      </c>
      <c r="AE182" s="111">
        <f t="shared" si="56"/>
        <v>0</v>
      </c>
      <c r="AF182" s="204" t="str">
        <f t="shared" si="65"/>
        <v/>
      </c>
      <c r="AG182" s="111">
        <f t="shared" si="63"/>
        <v>0</v>
      </c>
      <c r="AH182" s="110"/>
      <c r="AI182" s="313"/>
      <c r="AJ182" s="111">
        <f t="shared" si="55"/>
        <v>0</v>
      </c>
      <c r="AK182" s="235"/>
      <c r="AL182" s="111">
        <f>IF(SUMIFS('Shipments data'!L:L,'Shipments data'!F:F,'Supply planning data'!C182,'Shipments data'!A:A,'Supply planning data'!A182,'Shipments data'!O:O,"received",'Shipments data'!Q:Q,"&lt;"&amp;'Supply planning data'!D197,'Shipments data'!AC:AC,"&lt;"&amp;'Supply planning data'!D197)-SUMIFS(M:M,D:D,"&lt;="&amp;D182,C:C,C182)-SUMIFS(AJ:AJ,D:D,"&lt;="&amp;D182,C:C,C182)+SUMIFS(N:N,D:D,"&lt;="&amp;D182,C:C,C182)+SUMIFS(P:P,D:D,"&lt;="&amp;D182,C:C,C182)&lt;0,0,SUMIFS('Shipments data'!L:L,'Shipments data'!F:F,'Supply planning data'!C182,'Shipments data'!A:A,'Supply planning data'!A182,'Shipments data'!O:O,"received",'Shipments data'!Q:Q,"&lt;"&amp;'Supply planning data'!D197,'Shipments data'!AC:AC,"&lt;"&amp;'Supply planning data'!D197)-SUMIFS(M:M,D:D,"&lt;="&amp;D182,C:C,C182)-SUMIFS(AJ:AJ,D:D,"&lt;="&amp;D182,C:C,C182)+SUMIFS(N:N,D:D,"&lt;="&amp;D182,C:C,C182)+SUMIFS(P:P,D:D,"&lt;="&amp;D182,C:C,C182))</f>
        <v>0</v>
      </c>
      <c r="AM182" s="111">
        <f t="shared" si="64"/>
        <v>0</v>
      </c>
      <c r="AN182" s="111">
        <f t="shared" si="57"/>
        <v>0</v>
      </c>
      <c r="AO182" s="204" t="str">
        <f t="shared" si="67"/>
        <v/>
      </c>
    </row>
    <row r="183" spans="1:41" hidden="1" x14ac:dyDescent="0.25">
      <c r="A183" s="103" t="str">
        <f>Start!D$7</f>
        <v>Anyland</v>
      </c>
      <c r="B183" s="109" t="str">
        <f>VLOOKUP(A183,list!B:C,2,FALSE)</f>
        <v>ANY</v>
      </c>
      <c r="C183" s="109" t="str">
        <f>IF(Start!$C$30="","",Start!$C$30)</f>
        <v/>
      </c>
      <c r="D183" s="298">
        <f t="shared" si="58"/>
        <v>44531</v>
      </c>
      <c r="E183" s="105" t="str">
        <f>IFERROR(VLOOKUP(C183,Start!C$15:D$31,2,FALSE),"No")</f>
        <v>No</v>
      </c>
      <c r="F183" s="105">
        <f t="shared" si="59"/>
        <v>0</v>
      </c>
      <c r="G183" s="106"/>
      <c r="H183" s="106"/>
      <c r="I183" s="106"/>
      <c r="J183" s="105">
        <f t="shared" si="50"/>
        <v>0</v>
      </c>
      <c r="K183" s="106"/>
      <c r="L183" s="177" t="str">
        <f t="shared" si="51"/>
        <v/>
      </c>
      <c r="M183" s="105">
        <f t="shared" si="52"/>
        <v>0</v>
      </c>
      <c r="N183" s="110"/>
      <c r="O183" s="124"/>
      <c r="P183" s="110"/>
      <c r="Q183" s="124"/>
      <c r="R183" s="111">
        <f>SUMIFS('Shipments data'!L:L,'Shipments data'!F:F,'Supply planning data'!C183,'Shipments data'!A:A,'Supply planning data'!A183,'Shipments data'!Y:Y,'Supply planning data'!D183,'Shipments data'!O:O,"received", 'Shipments data'!N:N, "Public")</f>
        <v>0</v>
      </c>
      <c r="S183" s="111">
        <f>SUMIFS('Shipments data'!L:L,'Shipments data'!F:F,'Supply planning data'!C183,'Shipments data'!A:A,'Supply planning data'!A183,'Shipments data'!Y:Y,'Supply planning data'!D183,'Shipments data'!O:O,"ordered", 'Shipments data'!N:N, "Public")</f>
        <v>0</v>
      </c>
      <c r="T183" s="111">
        <f>IF(SUMIFS('Shipments data'!L:L,'Shipments data'!F:F,'Supply planning data'!C183,'Shipments data'!A:A,'Supply planning data'!A183,'Shipments data'!O:O,"received",'Shipments data'!Q:Q,"&lt;"&amp;'Supply planning data'!D198,'Shipments data'!AC:AC,"&lt;"&amp;'Supply planning data'!D198)-SUMIFS(M:M,D:D,"&lt;="&amp;D183,C:C,C183)+SUMIFS(N:N,D:D,"&lt;="&amp;D183,C:C,C183)+SUMIFS(P:P,D:D,"&lt;="&amp;D183,C:C,C183)&lt;0,0,SUMIFS('Shipments data'!L:L,'Shipments data'!F:F,'Supply planning data'!C183,'Shipments data'!A:A,'Supply planning data'!A183,'Shipments data'!O:O,"received",'Shipments data'!Q:Q,"&lt;"&amp;'Supply planning data'!D198,'Shipments data'!AC:AC,"&lt;"&amp;'Supply planning data'!D198)-SUMIFS(M:M,D:D,"&lt;="&amp;D183,C:C,C183)+SUMIFS(N:N,D:D,"&lt;="&amp;D183,C:C,C183)+SUMIFS(P:P,D:D,"&lt;="&amp;D183,C:C,C183))</f>
        <v>0</v>
      </c>
      <c r="U183" s="112">
        <f t="shared" si="60"/>
        <v>0</v>
      </c>
      <c r="V183" s="111">
        <f t="shared" si="69"/>
        <v>0</v>
      </c>
      <c r="W183" s="204" t="str">
        <f t="shared" si="66"/>
        <v/>
      </c>
      <c r="X183" s="111">
        <f t="shared" si="61"/>
        <v>0</v>
      </c>
      <c r="Y183" s="110"/>
      <c r="Z183" s="107"/>
      <c r="AA183" s="111">
        <f t="shared" si="54"/>
        <v>0</v>
      </c>
      <c r="AB183" s="235"/>
      <c r="AC183" s="111">
        <f>IF(SUMIFS('Shipments data'!L:L,'Shipments data'!F:F,'Supply planning data'!C183,'Shipments data'!A:A,'Supply planning data'!A183,'Shipments data'!O:O,"received",'Shipments data'!Q:Q,"&lt;"&amp;'Supply planning data'!D198,'Shipments data'!AC:AC,"&lt;"&amp;'Supply planning data'!D198)-SUMIFS(M:M,D:D,"&lt;="&amp;D183,C:C,C183)-SUMIFS(AA:AA,D:D,"&lt;="&amp;D183,C:C,C183)+SUMIFS(N:N,D:D,"&lt;="&amp;D183,C:C,C183)+SUMIFS(P:P,D:D,"&lt;="&amp;D183,C:C,C183)&lt;0,0,SUMIFS('Shipments data'!L:L,'Shipments data'!F:F,'Supply planning data'!C183,'Shipments data'!A:A,'Supply planning data'!A183,'Shipments data'!O:O,"received",'Shipments data'!Q:Q,"&lt;"&amp;'Supply planning data'!D198,'Shipments data'!AC:AC,"&lt;"&amp;'Supply planning data'!D198)-SUMIFS(M:M,D:D,"&lt;="&amp;D183,C:C,C183)-SUMIFS(AA:AA,D:D,"&lt;="&amp;D183,C:C,C183)+SUMIFS(N:N,D:D,"&lt;="&amp;D183,C:C,C183)+SUMIFS(P:P,D:D,"&lt;="&amp;D183,C:C,C183))</f>
        <v>0</v>
      </c>
      <c r="AD183" s="111">
        <f t="shared" si="62"/>
        <v>0</v>
      </c>
      <c r="AE183" s="111">
        <f t="shared" si="56"/>
        <v>0</v>
      </c>
      <c r="AF183" s="204" t="str">
        <f t="shared" si="65"/>
        <v/>
      </c>
      <c r="AG183" s="111">
        <f t="shared" si="63"/>
        <v>0</v>
      </c>
      <c r="AH183" s="110"/>
      <c r="AI183" s="313"/>
      <c r="AJ183" s="111">
        <f t="shared" si="55"/>
        <v>0</v>
      </c>
      <c r="AK183" s="235"/>
      <c r="AL183" s="111">
        <f>IF(SUMIFS('Shipments data'!L:L,'Shipments data'!F:F,'Supply planning data'!C183,'Shipments data'!A:A,'Supply planning data'!A183,'Shipments data'!O:O,"received",'Shipments data'!Q:Q,"&lt;"&amp;'Supply planning data'!D198,'Shipments data'!AC:AC,"&lt;"&amp;'Supply planning data'!D198)-SUMIFS(M:M,D:D,"&lt;="&amp;D183,C:C,C183)-SUMIFS(AJ:AJ,D:D,"&lt;="&amp;D183,C:C,C183)+SUMIFS(N:N,D:D,"&lt;="&amp;D183,C:C,C183)+SUMIFS(P:P,D:D,"&lt;="&amp;D183,C:C,C183)&lt;0,0,SUMIFS('Shipments data'!L:L,'Shipments data'!F:F,'Supply planning data'!C183,'Shipments data'!A:A,'Supply planning data'!A183,'Shipments data'!O:O,"received",'Shipments data'!Q:Q,"&lt;"&amp;'Supply planning data'!D198,'Shipments data'!AC:AC,"&lt;"&amp;'Supply planning data'!D198)-SUMIFS(M:M,D:D,"&lt;="&amp;D183,C:C,C183)-SUMIFS(AJ:AJ,D:D,"&lt;="&amp;D183,C:C,C183)+SUMIFS(N:N,D:D,"&lt;="&amp;D183,C:C,C183)+SUMIFS(P:P,D:D,"&lt;="&amp;D183,C:C,C183))</f>
        <v>0</v>
      </c>
      <c r="AM183" s="111">
        <f t="shared" si="64"/>
        <v>0</v>
      </c>
      <c r="AN183" s="111">
        <f t="shared" si="57"/>
        <v>0</v>
      </c>
      <c r="AO183" s="204" t="str">
        <f t="shared" si="67"/>
        <v/>
      </c>
    </row>
    <row r="184" spans="1:41" hidden="1" x14ac:dyDescent="0.25">
      <c r="A184" s="113" t="str">
        <f>Start!D$7</f>
        <v>Anyland</v>
      </c>
      <c r="B184" s="114" t="str">
        <f>VLOOKUP(A184,list!B:C,2,FALSE)</f>
        <v>ANY</v>
      </c>
      <c r="C184" s="104" t="str">
        <f>IF(Start!$C$31="","",Start!$C$31)</f>
        <v/>
      </c>
      <c r="D184" s="298">
        <f t="shared" si="58"/>
        <v>44531</v>
      </c>
      <c r="E184" s="105" t="str">
        <f>IFERROR(VLOOKUP(C184,Start!C$15:D$31,2,FALSE),"No")</f>
        <v>No</v>
      </c>
      <c r="F184" s="105">
        <f t="shared" si="59"/>
        <v>0</v>
      </c>
      <c r="G184" s="106"/>
      <c r="H184" s="106"/>
      <c r="I184" s="106"/>
      <c r="J184" s="105">
        <f t="shared" si="50"/>
        <v>0</v>
      </c>
      <c r="K184" s="106"/>
      <c r="L184" s="177" t="str">
        <f t="shared" si="51"/>
        <v/>
      </c>
      <c r="M184" s="105">
        <f t="shared" si="52"/>
        <v>0</v>
      </c>
      <c r="N184" s="110"/>
      <c r="O184" s="124"/>
      <c r="P184" s="110"/>
      <c r="Q184" s="124"/>
      <c r="R184" s="111">
        <f>SUMIFS('Shipments data'!L:L,'Shipments data'!F:F,'Supply planning data'!C184,'Shipments data'!A:A,'Supply planning data'!A184,'Shipments data'!Y:Y,'Supply planning data'!D184,'Shipments data'!O:O,"received", 'Shipments data'!N:N, "Public")</f>
        <v>0</v>
      </c>
      <c r="S184" s="111">
        <f>SUMIFS('Shipments data'!L:L,'Shipments data'!F:F,'Supply planning data'!C184,'Shipments data'!A:A,'Supply planning data'!A184,'Shipments data'!Y:Y,'Supply planning data'!D184,'Shipments data'!O:O,"ordered", 'Shipments data'!N:N, "Public")</f>
        <v>0</v>
      </c>
      <c r="T184" s="111">
        <f>IF(SUMIFS('Shipments data'!L:L,'Shipments data'!F:F,'Supply planning data'!C184,'Shipments data'!A:A,'Supply planning data'!A184,'Shipments data'!O:O,"received",'Shipments data'!Q:Q,"&lt;"&amp;'Supply planning data'!D199,'Shipments data'!AC:AC,"&lt;"&amp;'Supply planning data'!D199)-SUMIFS(M:M,D:D,"&lt;="&amp;D184,C:C,C184)+SUMIFS(N:N,D:D,"&lt;="&amp;D184,C:C,C184)+SUMIFS(P:P,D:D,"&lt;="&amp;D184,C:C,C184)&lt;0,0,SUMIFS('Shipments data'!L:L,'Shipments data'!F:F,'Supply planning data'!C184,'Shipments data'!A:A,'Supply planning data'!A184,'Shipments data'!O:O,"received",'Shipments data'!Q:Q,"&lt;"&amp;'Supply planning data'!D199,'Shipments data'!AC:AC,"&lt;"&amp;'Supply planning data'!D199)-SUMIFS(M:M,D:D,"&lt;="&amp;D184,C:C,C184)+SUMIFS(N:N,D:D,"&lt;="&amp;D184,C:C,C184)+SUMIFS(P:P,D:D,"&lt;="&amp;D184,C:C,C184))</f>
        <v>0</v>
      </c>
      <c r="U184" s="112">
        <f t="shared" si="60"/>
        <v>0</v>
      </c>
      <c r="V184" s="111">
        <f t="shared" si="69"/>
        <v>0</v>
      </c>
      <c r="W184" s="204" t="str">
        <f t="shared" si="66"/>
        <v/>
      </c>
      <c r="X184" s="111">
        <f t="shared" si="61"/>
        <v>0</v>
      </c>
      <c r="Y184" s="110"/>
      <c r="Z184" s="107"/>
      <c r="AA184" s="111">
        <f t="shared" si="54"/>
        <v>0</v>
      </c>
      <c r="AB184" s="235"/>
      <c r="AC184" s="111">
        <f>IF(SUMIFS('Shipments data'!L:L,'Shipments data'!F:F,'Supply planning data'!C184,'Shipments data'!A:A,'Supply planning data'!A184,'Shipments data'!O:O,"received",'Shipments data'!Q:Q,"&lt;"&amp;'Supply planning data'!D199,'Shipments data'!AC:AC,"&lt;"&amp;'Supply planning data'!D199)-SUMIFS(M:M,D:D,"&lt;="&amp;D184,C:C,C184)-SUMIFS(AA:AA,D:D,"&lt;="&amp;D184,C:C,C184)+SUMIFS(N:N,D:D,"&lt;="&amp;D184,C:C,C184)+SUMIFS(P:P,D:D,"&lt;="&amp;D184,C:C,C184)&lt;0,0,SUMIFS('Shipments data'!L:L,'Shipments data'!F:F,'Supply planning data'!C184,'Shipments data'!A:A,'Supply planning data'!A184,'Shipments data'!O:O,"received",'Shipments data'!Q:Q,"&lt;"&amp;'Supply planning data'!D199,'Shipments data'!AC:AC,"&lt;"&amp;'Supply planning data'!D199)-SUMIFS(M:M,D:D,"&lt;="&amp;D184,C:C,C184)-SUMIFS(AA:AA,D:D,"&lt;="&amp;D184,C:C,C184)+SUMIFS(N:N,D:D,"&lt;="&amp;D184,C:C,C184)+SUMIFS(P:P,D:D,"&lt;="&amp;D184,C:C,C184))</f>
        <v>0</v>
      </c>
      <c r="AD184" s="111">
        <f t="shared" si="62"/>
        <v>0</v>
      </c>
      <c r="AE184" s="111">
        <f t="shared" si="56"/>
        <v>0</v>
      </c>
      <c r="AF184" s="204" t="str">
        <f t="shared" si="65"/>
        <v/>
      </c>
      <c r="AG184" s="111">
        <f t="shared" si="63"/>
        <v>0</v>
      </c>
      <c r="AH184" s="110"/>
      <c r="AI184" s="313"/>
      <c r="AJ184" s="111">
        <f t="shared" si="55"/>
        <v>0</v>
      </c>
      <c r="AK184" s="235"/>
      <c r="AL184" s="111">
        <f>IF(SUMIFS('Shipments data'!L:L,'Shipments data'!F:F,'Supply planning data'!C184,'Shipments data'!A:A,'Supply planning data'!A184,'Shipments data'!O:O,"received",'Shipments data'!Q:Q,"&lt;"&amp;'Supply planning data'!D199,'Shipments data'!AC:AC,"&lt;"&amp;'Supply planning data'!D199)-SUMIFS(M:M,D:D,"&lt;="&amp;D184,C:C,C184)-SUMIFS(AJ:AJ,D:D,"&lt;="&amp;D184,C:C,C184)+SUMIFS(N:N,D:D,"&lt;="&amp;D184,C:C,C184)+SUMIFS(P:P,D:D,"&lt;="&amp;D184,C:C,C184)&lt;0,0,SUMIFS('Shipments data'!L:L,'Shipments data'!F:F,'Supply planning data'!C184,'Shipments data'!A:A,'Supply planning data'!A184,'Shipments data'!O:O,"received",'Shipments data'!Q:Q,"&lt;"&amp;'Supply planning data'!D199,'Shipments data'!AC:AC,"&lt;"&amp;'Supply planning data'!D199)-SUMIFS(M:M,D:D,"&lt;="&amp;D184,C:C,C184)-SUMIFS(AJ:AJ,D:D,"&lt;="&amp;D184,C:C,C184)+SUMIFS(N:N,D:D,"&lt;="&amp;D184,C:C,C184)+SUMIFS(P:P,D:D,"&lt;="&amp;D184,C:C,C184))</f>
        <v>0</v>
      </c>
      <c r="AM184" s="111">
        <f t="shared" si="64"/>
        <v>0</v>
      </c>
      <c r="AN184" s="111">
        <f t="shared" si="57"/>
        <v>0</v>
      </c>
      <c r="AO184" s="204" t="str">
        <f t="shared" si="67"/>
        <v/>
      </c>
    </row>
    <row r="185" spans="1:41" x14ac:dyDescent="0.25">
      <c r="A185" s="89" t="str">
        <f>Start!D$7</f>
        <v>Anyland</v>
      </c>
      <c r="B185" s="90" t="str">
        <f>VLOOKUP(A185,list!B:C,2,FALSE)</f>
        <v>ANY</v>
      </c>
      <c r="C185" s="90" t="str">
        <f>IF(Start!$C$17="","",Start!$C$17)</f>
        <v>AstraZeneca</v>
      </c>
      <c r="D185" s="296">
        <f t="shared" si="58"/>
        <v>44562</v>
      </c>
      <c r="E185" s="92" t="str">
        <f>IFERROR(VLOOKUP(C185,Start!C$15:D$31,2,FALSE),"No")</f>
        <v>Yes</v>
      </c>
      <c r="F185" s="92">
        <f t="shared" si="59"/>
        <v>131674</v>
      </c>
      <c r="G185" s="91">
        <v>16408</v>
      </c>
      <c r="H185" s="91">
        <v>1378</v>
      </c>
      <c r="I185" s="91"/>
      <c r="J185" s="92">
        <f t="shared" si="50"/>
        <v>17786</v>
      </c>
      <c r="K185" s="91"/>
      <c r="L185" s="174">
        <f t="shared" si="51"/>
        <v>0</v>
      </c>
      <c r="M185" s="92">
        <f t="shared" si="52"/>
        <v>17786</v>
      </c>
      <c r="N185" s="91"/>
      <c r="O185" s="121"/>
      <c r="P185" s="91"/>
      <c r="Q185" s="121"/>
      <c r="R185" s="92">
        <f>SUMIFS('Shipments data'!L:L,'Shipments data'!F:F,'Supply planning data'!C185,'Shipments data'!A:A,'Supply planning data'!A185,'Shipments data'!Y:Y,'Supply planning data'!D185,'Shipments data'!O:O,"received", 'Shipments data'!N:N, "Public")</f>
        <v>0</v>
      </c>
      <c r="S185" s="92">
        <f>SUMIFS('Shipments data'!L:L,'Shipments data'!F:F,'Supply planning data'!C185,'Shipments data'!A:A,'Supply planning data'!A185,'Shipments data'!Y:Y,'Supply planning data'!D185,'Shipments data'!O:O,"ordered", 'Shipments data'!N:N, "Public")</f>
        <v>0</v>
      </c>
      <c r="T185" s="92">
        <f>IF(SUMIFS('Shipments data'!L:L,'Shipments data'!F:F,'Supply planning data'!C185,'Shipments data'!A:A,'Supply planning data'!A185,'Shipments data'!O:O,"received",'Shipments data'!Q:Q,"&lt;"&amp;'Supply planning data'!D200,'Shipments data'!AC:AC,"&lt;"&amp;'Supply planning data'!D200)-SUMIFS(M:M,D:D,"&lt;="&amp;D185,C:C,C185)+SUMIFS(N:N,D:D,"&lt;="&amp;D185,C:C,C185)+SUMIFS(P:P,D:D,"&lt;="&amp;D185,C:C,C185)&lt;0,0,SUMIFS('Shipments data'!L:L,'Shipments data'!F:F,'Supply planning data'!C185,'Shipments data'!A:A,'Supply planning data'!A185,'Shipments data'!O:O,"received",'Shipments data'!Q:Q,"&lt;"&amp;'Supply planning data'!D200,'Shipments data'!AC:AC,"&lt;"&amp;'Supply planning data'!D200)-SUMIFS(M:M,D:D,"&lt;="&amp;D185,C:C,C185)+SUMIFS(N:N,D:D,"&lt;="&amp;D185,C:C,C185)+SUMIFS(P:P,D:D,"&lt;="&amp;D185,C:C,C185))</f>
        <v>0</v>
      </c>
      <c r="U185" s="94">
        <f t="shared" si="60"/>
        <v>0</v>
      </c>
      <c r="V185" s="92">
        <f t="shared" si="69"/>
        <v>113888</v>
      </c>
      <c r="W185" s="205">
        <f t="shared" si="66"/>
        <v>1.420569451836083</v>
      </c>
      <c r="X185" s="92">
        <f t="shared" si="61"/>
        <v>921994</v>
      </c>
      <c r="Y185" s="91"/>
      <c r="Z185" s="93"/>
      <c r="AA185" s="92">
        <f t="shared" si="54"/>
        <v>0</v>
      </c>
      <c r="AB185" s="232"/>
      <c r="AC185" s="92">
        <f>IF(SUMIFS('Shipments data'!L:L,'Shipments data'!F:F,'Supply planning data'!C185,'Shipments data'!A:A,'Supply planning data'!A185,'Shipments data'!O:O,"received",'Shipments data'!Q:Q,"&lt;"&amp;'Supply planning data'!D200,'Shipments data'!AC:AC,"&lt;"&amp;'Supply planning data'!D200)-SUMIFS(M:M,D:D,"&lt;="&amp;D185,C:C,C185)-SUMIFS(AA:AA,D:D,"&lt;="&amp;D185,C:C,C185)+SUMIFS(N:N,D:D,"&lt;="&amp;D185,C:C,C185)+SUMIFS(P:P,D:D,"&lt;="&amp;D185,C:C,C185)&lt;0,0,SUMIFS('Shipments data'!L:L,'Shipments data'!F:F,'Supply planning data'!C185,'Shipments data'!A:A,'Supply planning data'!A185,'Shipments data'!O:O,"received",'Shipments data'!Q:Q,"&lt;"&amp;'Supply planning data'!D200,'Shipments data'!AC:AC,"&lt;"&amp;'Supply planning data'!D200)-SUMIFS(M:M,D:D,"&lt;="&amp;D185,C:C,C185)-SUMIFS(AA:AA,D:D,"&lt;="&amp;D185,C:C,C185)+SUMIFS(N:N,D:D,"&lt;="&amp;D185,C:C,C185)+SUMIFS(P:P,D:D,"&lt;="&amp;D185,C:C,C185))</f>
        <v>0</v>
      </c>
      <c r="AD185" s="92">
        <f t="shared" si="62"/>
        <v>0</v>
      </c>
      <c r="AE185" s="92">
        <f t="shared" si="56"/>
        <v>904208</v>
      </c>
      <c r="AF185" s="205">
        <f t="shared" si="65"/>
        <v>34.23474178403756</v>
      </c>
      <c r="AG185" s="92">
        <f t="shared" si="63"/>
        <v>131674</v>
      </c>
      <c r="AH185" s="91"/>
      <c r="AI185" s="310"/>
      <c r="AJ185" s="92">
        <f t="shared" si="55"/>
        <v>0</v>
      </c>
      <c r="AK185" s="232"/>
      <c r="AL185" s="92">
        <f>IF(SUMIFS('Shipments data'!L:L,'Shipments data'!F:F,'Supply planning data'!C185,'Shipments data'!A:A,'Supply planning data'!A185,'Shipments data'!O:O,"received",'Shipments data'!Q:Q,"&lt;"&amp;'Supply planning data'!D200,'Shipments data'!AC:AC,"&lt;"&amp;'Supply planning data'!D200)-SUMIFS(M:M,D:D,"&lt;="&amp;D185,C:C,C185)-SUMIFS(AJ:AJ,D:D,"&lt;="&amp;D185,C:C,C185)+SUMIFS(N:N,D:D,"&lt;="&amp;D185,C:C,C185)+SUMIFS(P:P,D:D,"&lt;="&amp;D185,C:C,C185)&lt;0,0,SUMIFS('Shipments data'!L:L,'Shipments data'!F:F,'Supply planning data'!C185,'Shipments data'!A:A,'Supply planning data'!A185,'Shipments data'!O:O,"received",'Shipments data'!Q:Q,"&lt;"&amp;'Supply planning data'!D200,'Shipments data'!AC:AC,"&lt;"&amp;'Supply planning data'!D200)-SUMIFS(M:M,D:D,"&lt;="&amp;D185,C:C,C185)-SUMIFS(AJ:AJ,D:D,"&lt;="&amp;D185,C:C,C185)+SUMIFS(N:N,D:D,"&lt;="&amp;D185,C:C,C185)+SUMIFS(P:P,D:D,"&lt;="&amp;D185,C:C,C185))</f>
        <v>0</v>
      </c>
      <c r="AM185" s="92">
        <f t="shared" si="64"/>
        <v>0</v>
      </c>
      <c r="AN185" s="92">
        <f t="shared" si="57"/>
        <v>113888</v>
      </c>
      <c r="AO185" s="205">
        <f t="shared" si="67"/>
        <v>4.31197940330153</v>
      </c>
    </row>
    <row r="186" spans="1:41" x14ac:dyDescent="0.25">
      <c r="A186" s="95" t="str">
        <f>Start!D$7</f>
        <v>Anyland</v>
      </c>
      <c r="B186" s="96" t="str">
        <f>VLOOKUP(A186,list!B:C,2,FALSE)</f>
        <v>ANY</v>
      </c>
      <c r="C186" s="90" t="str">
        <f>IF(Start!$C$18="","",Start!$C$18)</f>
        <v>Jansen</v>
      </c>
      <c r="D186" s="296">
        <f t="shared" si="58"/>
        <v>44562</v>
      </c>
      <c r="E186" s="92" t="str">
        <f>IFERROR(VLOOKUP(C186,Start!C$15:D$31,2,FALSE),"No")</f>
        <v>Yes</v>
      </c>
      <c r="F186" s="92">
        <f t="shared" si="59"/>
        <v>318331</v>
      </c>
      <c r="G186" s="91">
        <v>135563</v>
      </c>
      <c r="H186" s="97"/>
      <c r="I186" s="97"/>
      <c r="J186" s="98">
        <f t="shared" si="50"/>
        <v>135563</v>
      </c>
      <c r="K186" s="97">
        <v>760</v>
      </c>
      <c r="L186" s="175">
        <f t="shared" si="51"/>
        <v>5.6062494928557204E-3</v>
      </c>
      <c r="M186" s="98">
        <f t="shared" si="52"/>
        <v>136323</v>
      </c>
      <c r="N186" s="97"/>
      <c r="O186" s="122"/>
      <c r="P186" s="97"/>
      <c r="Q186" s="122"/>
      <c r="R186" s="98">
        <f>SUMIFS('Shipments data'!L:L,'Shipments data'!F:F,'Supply planning data'!C186,'Shipments data'!A:A,'Supply planning data'!A186,'Shipments data'!Y:Y,'Supply planning data'!D186,'Shipments data'!O:O,"received", 'Shipments data'!N:N, "Public")</f>
        <v>396000</v>
      </c>
      <c r="S186" s="98">
        <f>SUMIFS('Shipments data'!L:L,'Shipments data'!F:F,'Supply planning data'!C186,'Shipments data'!A:A,'Supply planning data'!A186,'Shipments data'!Y:Y,'Supply planning data'!D186,'Shipments data'!O:O,"ordered", 'Shipments data'!N:N, "Public")</f>
        <v>0</v>
      </c>
      <c r="T186" s="98">
        <f>IF(SUMIFS('Shipments data'!L:L,'Shipments data'!F:F,'Supply planning data'!C186,'Shipments data'!A:A,'Supply planning data'!A186,'Shipments data'!O:O,"received",'Shipments data'!Q:Q,"&lt;"&amp;'Supply planning data'!D201,'Shipments data'!AC:AC,"&lt;"&amp;'Supply planning data'!D201)-SUMIFS(M:M,D:D,"&lt;="&amp;D186,C:C,C186)+SUMIFS(N:N,D:D,"&lt;="&amp;D186,C:C,C186)+SUMIFS(P:P,D:D,"&lt;="&amp;D186,C:C,C186)&lt;0,0,SUMIFS('Shipments data'!L:L,'Shipments data'!F:F,'Supply planning data'!C186,'Shipments data'!A:A,'Supply planning data'!A186,'Shipments data'!O:O,"received",'Shipments data'!Q:Q,"&lt;"&amp;'Supply planning data'!D201,'Shipments data'!AC:AC,"&lt;"&amp;'Supply planning data'!D201)-SUMIFS(M:M,D:D,"&lt;="&amp;D186,C:C,C186)+SUMIFS(N:N,D:D,"&lt;="&amp;D186,C:C,C186)+SUMIFS(P:P,D:D,"&lt;="&amp;D186,C:C,C186))</f>
        <v>0</v>
      </c>
      <c r="U186" s="99">
        <f t="shared" si="60"/>
        <v>0</v>
      </c>
      <c r="V186" s="98">
        <f t="shared" si="69"/>
        <v>578008</v>
      </c>
      <c r="W186" s="203">
        <f t="shared" si="66"/>
        <v>1.9295211537798174</v>
      </c>
      <c r="X186" s="98">
        <f t="shared" si="61"/>
        <v>318331</v>
      </c>
      <c r="Y186" s="97"/>
      <c r="Z186" s="93"/>
      <c r="AA186" s="98">
        <f t="shared" si="54"/>
        <v>0</v>
      </c>
      <c r="AB186" s="233"/>
      <c r="AC186" s="98">
        <f>IF(SUMIFS('Shipments data'!L:L,'Shipments data'!F:F,'Supply planning data'!C186,'Shipments data'!A:A,'Supply planning data'!A186,'Shipments data'!O:O,"received",'Shipments data'!Q:Q,"&lt;"&amp;'Supply planning data'!D201,'Shipments data'!AC:AC,"&lt;"&amp;'Supply planning data'!D201)-SUMIFS(M:M,D:D,"&lt;="&amp;D186,C:C,C186)-SUMIFS(AA:AA,D:D,"&lt;="&amp;D186,C:C,C186)+SUMIFS(N:N,D:D,"&lt;="&amp;D186,C:C,C186)+SUMIFS(P:P,D:D,"&lt;="&amp;D186,C:C,C186)&lt;0,0,SUMIFS('Shipments data'!L:L,'Shipments data'!F:F,'Supply planning data'!C186,'Shipments data'!A:A,'Supply planning data'!A186,'Shipments data'!O:O,"received",'Shipments data'!Q:Q,"&lt;"&amp;'Supply planning data'!D201,'Shipments data'!AC:AC,"&lt;"&amp;'Supply planning data'!D201)-SUMIFS(M:M,D:D,"&lt;="&amp;D186,C:C,C186)-SUMIFS(AA:AA,D:D,"&lt;="&amp;D186,C:C,C186)+SUMIFS(N:N,D:D,"&lt;="&amp;D186,C:C,C186)+SUMIFS(P:P,D:D,"&lt;="&amp;D186,C:C,C186))</f>
        <v>0</v>
      </c>
      <c r="AD186" s="98">
        <f t="shared" si="62"/>
        <v>0</v>
      </c>
      <c r="AE186" s="98">
        <f t="shared" si="56"/>
        <v>578008</v>
      </c>
      <c r="AF186" s="205">
        <f t="shared" si="65"/>
        <v>3.2917172883003283</v>
      </c>
      <c r="AG186" s="98">
        <f t="shared" si="63"/>
        <v>318331</v>
      </c>
      <c r="AH186" s="97"/>
      <c r="AI186" s="311"/>
      <c r="AJ186" s="98">
        <f t="shared" si="55"/>
        <v>0</v>
      </c>
      <c r="AK186" s="233"/>
      <c r="AL186" s="98">
        <f>IF(SUMIFS('Shipments data'!L:L,'Shipments data'!F:F,'Supply planning data'!C186,'Shipments data'!A:A,'Supply planning data'!A186,'Shipments data'!O:O,"received",'Shipments data'!Q:Q,"&lt;"&amp;'Supply planning data'!D201,'Shipments data'!AC:AC,"&lt;"&amp;'Supply planning data'!D201)-SUMIFS(M:M,D:D,"&lt;="&amp;D186,C:C,C186)-SUMIFS(AJ:AJ,D:D,"&lt;="&amp;D186,C:C,C186)+SUMIFS(N:N,D:D,"&lt;="&amp;D186,C:C,C186)+SUMIFS(P:P,D:D,"&lt;="&amp;D186,C:C,C186)&lt;0,0,SUMIFS('Shipments data'!L:L,'Shipments data'!F:F,'Supply planning data'!C186,'Shipments data'!A:A,'Supply planning data'!A186,'Shipments data'!O:O,"received",'Shipments data'!Q:Q,"&lt;"&amp;'Supply planning data'!D201,'Shipments data'!AC:AC,"&lt;"&amp;'Supply planning data'!D201)-SUMIFS(M:M,D:D,"&lt;="&amp;D186,C:C,C186)-SUMIFS(AJ:AJ,D:D,"&lt;="&amp;D186,C:C,C186)+SUMIFS(N:N,D:D,"&lt;="&amp;D186,C:C,C186)+SUMIFS(P:P,D:D,"&lt;="&amp;D186,C:C,C186))</f>
        <v>0</v>
      </c>
      <c r="AM186" s="98">
        <f t="shared" si="64"/>
        <v>0</v>
      </c>
      <c r="AN186" s="98">
        <f t="shared" si="57"/>
        <v>578008</v>
      </c>
      <c r="AO186" s="203">
        <f t="shared" si="67"/>
        <v>3.2917172883003283</v>
      </c>
    </row>
    <row r="187" spans="1:41" x14ac:dyDescent="0.25">
      <c r="A187" s="95" t="str">
        <f>Start!D$7</f>
        <v>Anyland</v>
      </c>
      <c r="B187" s="96" t="str">
        <f>VLOOKUP(A187,list!B:C,2,FALSE)</f>
        <v>ANY</v>
      </c>
      <c r="C187" s="90" t="str">
        <f>IF(Start!$C$19="","",Start!$C$19)</f>
        <v>Moderna</v>
      </c>
      <c r="D187" s="296">
        <f t="shared" si="58"/>
        <v>44562</v>
      </c>
      <c r="E187" s="92" t="str">
        <f>IFERROR(VLOOKUP(C187,Start!C$15:D$31,2,FALSE),"No")</f>
        <v>No</v>
      </c>
      <c r="F187" s="92">
        <f t="shared" si="59"/>
        <v>0</v>
      </c>
      <c r="G187" s="91"/>
      <c r="H187" s="97"/>
      <c r="I187" s="97"/>
      <c r="J187" s="98">
        <f t="shared" si="50"/>
        <v>0</v>
      </c>
      <c r="K187" s="97">
        <v>5400</v>
      </c>
      <c r="L187" s="175" t="str">
        <f t="shared" si="51"/>
        <v/>
      </c>
      <c r="M187" s="98">
        <f t="shared" si="52"/>
        <v>5400</v>
      </c>
      <c r="N187" s="97"/>
      <c r="O187" s="122"/>
      <c r="P187" s="97"/>
      <c r="Q187" s="122"/>
      <c r="R187" s="98">
        <f>SUMIFS('Shipments data'!L:L,'Shipments data'!F:F,'Supply planning data'!C187,'Shipments data'!A:A,'Supply planning data'!A187,'Shipments data'!Y:Y,'Supply planning data'!D187,'Shipments data'!O:O,"received", 'Shipments data'!N:N, "Public")</f>
        <v>0</v>
      </c>
      <c r="S187" s="98">
        <f>SUMIFS('Shipments data'!L:L,'Shipments data'!F:F,'Supply planning data'!C187,'Shipments data'!A:A,'Supply planning data'!A187,'Shipments data'!Y:Y,'Supply planning data'!D187,'Shipments data'!O:O,"ordered", 'Shipments data'!N:N, "Public")</f>
        <v>0</v>
      </c>
      <c r="T187" s="98">
        <f>IF(SUMIFS('Shipments data'!L:L,'Shipments data'!F:F,'Supply planning data'!C187,'Shipments data'!A:A,'Supply planning data'!A187,'Shipments data'!O:O,"received",'Shipments data'!Q:Q,"&lt;"&amp;'Supply planning data'!D202,'Shipments data'!AC:AC,"&lt;"&amp;'Supply planning data'!D202)-SUMIFS(M:M,D:D,"&lt;="&amp;D187,C:C,C187)+SUMIFS(N:N,D:D,"&lt;="&amp;D187,C:C,C187)+SUMIFS(P:P,D:D,"&lt;="&amp;D187,C:C,C187)&lt;0,0,SUMIFS('Shipments data'!L:L,'Shipments data'!F:F,'Supply planning data'!C187,'Shipments data'!A:A,'Supply planning data'!A187,'Shipments data'!O:O,"received",'Shipments data'!Q:Q,"&lt;"&amp;'Supply planning data'!D202,'Shipments data'!AC:AC,"&lt;"&amp;'Supply planning data'!D202)-SUMIFS(M:M,D:D,"&lt;="&amp;D187,C:C,C187)+SUMIFS(N:N,D:D,"&lt;="&amp;D187,C:C,C187)+SUMIFS(P:P,D:D,"&lt;="&amp;D187,C:C,C187))</f>
        <v>0</v>
      </c>
      <c r="U187" s="99">
        <f t="shared" si="60"/>
        <v>0</v>
      </c>
      <c r="V187" s="98">
        <f t="shared" si="69"/>
        <v>0</v>
      </c>
      <c r="W187" s="203">
        <f t="shared" si="66"/>
        <v>0</v>
      </c>
      <c r="X187" s="98">
        <f t="shared" si="61"/>
        <v>0</v>
      </c>
      <c r="Y187" s="97"/>
      <c r="Z187" s="93"/>
      <c r="AA187" s="98">
        <f t="shared" si="54"/>
        <v>0</v>
      </c>
      <c r="AB187" s="233"/>
      <c r="AC187" s="98">
        <f>IF(SUMIFS('Shipments data'!L:L,'Shipments data'!F:F,'Supply planning data'!C187,'Shipments data'!A:A,'Supply planning data'!A187,'Shipments data'!O:O,"received",'Shipments data'!Q:Q,"&lt;"&amp;'Supply planning data'!D202,'Shipments data'!AC:AC,"&lt;"&amp;'Supply planning data'!D202)-SUMIFS(M:M,D:D,"&lt;="&amp;D187,C:C,C187)-SUMIFS(AA:AA,D:D,"&lt;="&amp;D187,C:C,C187)+SUMIFS(N:N,D:D,"&lt;="&amp;D187,C:C,C187)+SUMIFS(P:P,D:D,"&lt;="&amp;D187,C:C,C187)&lt;0,0,SUMIFS('Shipments data'!L:L,'Shipments data'!F:F,'Supply planning data'!C187,'Shipments data'!A:A,'Supply planning data'!A187,'Shipments data'!O:O,"received",'Shipments data'!Q:Q,"&lt;"&amp;'Supply planning data'!D202,'Shipments data'!AC:AC,"&lt;"&amp;'Supply planning data'!D202)-SUMIFS(M:M,D:D,"&lt;="&amp;D187,C:C,C187)-SUMIFS(AA:AA,D:D,"&lt;="&amp;D187,C:C,C187)+SUMIFS(N:N,D:D,"&lt;="&amp;D187,C:C,C187)+SUMIFS(P:P,D:D,"&lt;="&amp;D187,C:C,C187))</f>
        <v>0</v>
      </c>
      <c r="AD187" s="98">
        <f t="shared" si="62"/>
        <v>0</v>
      </c>
      <c r="AE187" s="98">
        <f t="shared" si="56"/>
        <v>0</v>
      </c>
      <c r="AF187" s="205">
        <f t="shared" si="65"/>
        <v>0</v>
      </c>
      <c r="AG187" s="98">
        <f t="shared" si="63"/>
        <v>0</v>
      </c>
      <c r="AH187" s="97"/>
      <c r="AI187" s="311"/>
      <c r="AJ187" s="98">
        <f t="shared" si="55"/>
        <v>0</v>
      </c>
      <c r="AK187" s="233"/>
      <c r="AL187" s="98">
        <f>IF(SUMIFS('Shipments data'!L:L,'Shipments data'!F:F,'Supply planning data'!C187,'Shipments data'!A:A,'Supply planning data'!A187,'Shipments data'!O:O,"received",'Shipments data'!Q:Q,"&lt;"&amp;'Supply planning data'!D202,'Shipments data'!AC:AC,"&lt;"&amp;'Supply planning data'!D202)-SUMIFS(M:M,D:D,"&lt;="&amp;D187,C:C,C187)-SUMIFS(AJ:AJ,D:D,"&lt;="&amp;D187,C:C,C187)+SUMIFS(N:N,D:D,"&lt;="&amp;D187,C:C,C187)+SUMIFS(P:P,D:D,"&lt;="&amp;D187,C:C,C187)&lt;0,0,SUMIFS('Shipments data'!L:L,'Shipments data'!F:F,'Supply planning data'!C187,'Shipments data'!A:A,'Supply planning data'!A187,'Shipments data'!O:O,"received",'Shipments data'!Q:Q,"&lt;"&amp;'Supply planning data'!D202,'Shipments data'!AC:AC,"&lt;"&amp;'Supply planning data'!D202)-SUMIFS(M:M,D:D,"&lt;="&amp;D187,C:C,C187)-SUMIFS(AJ:AJ,D:D,"&lt;="&amp;D187,C:C,C187)+SUMIFS(N:N,D:D,"&lt;="&amp;D187,C:C,C187)+SUMIFS(P:P,D:D,"&lt;="&amp;D187,C:C,C187))</f>
        <v>0</v>
      </c>
      <c r="AM187" s="98">
        <f t="shared" si="64"/>
        <v>0</v>
      </c>
      <c r="AN187" s="98">
        <f t="shared" si="57"/>
        <v>0</v>
      </c>
      <c r="AO187" s="203">
        <f t="shared" si="67"/>
        <v>0</v>
      </c>
    </row>
    <row r="188" spans="1:41" x14ac:dyDescent="0.25">
      <c r="A188" s="95" t="str">
        <f>Start!D$7</f>
        <v>Anyland</v>
      </c>
      <c r="B188" s="96" t="str">
        <f>VLOOKUP(A188,list!B:C,2,FALSE)</f>
        <v>ANY</v>
      </c>
      <c r="C188" s="90" t="str">
        <f>IF(Start!$C$20="","",Start!$C$20)</f>
        <v>Pfizer</v>
      </c>
      <c r="D188" s="296">
        <f t="shared" si="58"/>
        <v>44562</v>
      </c>
      <c r="E188" s="92" t="str">
        <f>IFERROR(VLOOKUP(C188,Start!C$15:D$31,2,FALSE),"No")</f>
        <v>Yes</v>
      </c>
      <c r="F188" s="92">
        <f t="shared" si="59"/>
        <v>0</v>
      </c>
      <c r="G188" s="91">
        <v>34679</v>
      </c>
      <c r="H188" s="97">
        <v>2067</v>
      </c>
      <c r="I188" s="97"/>
      <c r="J188" s="98">
        <f t="shared" si="50"/>
        <v>36746</v>
      </c>
      <c r="K188" s="97">
        <v>200</v>
      </c>
      <c r="L188" s="175">
        <f t="shared" si="51"/>
        <v>5.4427692810101779E-3</v>
      </c>
      <c r="M188" s="98">
        <f t="shared" si="52"/>
        <v>36946</v>
      </c>
      <c r="N188" s="97"/>
      <c r="O188" s="122"/>
      <c r="P188" s="97"/>
      <c r="Q188" s="122"/>
      <c r="R188" s="98">
        <f>SUMIFS('Shipments data'!L:L,'Shipments data'!F:F,'Supply planning data'!C188,'Shipments data'!A:A,'Supply planning data'!A188,'Shipments data'!Y:Y,'Supply planning data'!D188,'Shipments data'!O:O,"received", 'Shipments data'!N:N, "Public")</f>
        <v>398970</v>
      </c>
      <c r="S188" s="98">
        <f>SUMIFS('Shipments data'!L:L,'Shipments data'!F:F,'Supply planning data'!C188,'Shipments data'!A:A,'Supply planning data'!A188,'Shipments data'!Y:Y,'Supply planning data'!D188,'Shipments data'!O:O,"ordered", 'Shipments data'!N:N, "Public")</f>
        <v>0</v>
      </c>
      <c r="T188" s="98">
        <f>IF(SUMIFS('Shipments data'!L:L,'Shipments data'!F:F,'Supply planning data'!C188,'Shipments data'!A:A,'Supply planning data'!A188,'Shipments data'!O:O,"received",'Shipments data'!Q:Q,"&lt;"&amp;'Supply planning data'!D203,'Shipments data'!AC:AC,"&lt;"&amp;'Supply planning data'!D203)-SUMIFS(M:M,D:D,"&lt;="&amp;D188,C:C,C188)+SUMIFS(N:N,D:D,"&lt;="&amp;D188,C:C,C188)+SUMIFS(P:P,D:D,"&lt;="&amp;D188,C:C,C188)&lt;0,0,SUMIFS('Shipments data'!L:L,'Shipments data'!F:F,'Supply planning data'!C188,'Shipments data'!A:A,'Supply planning data'!A188,'Shipments data'!O:O,"received",'Shipments data'!Q:Q,"&lt;"&amp;'Supply planning data'!D203,'Shipments data'!AC:AC,"&lt;"&amp;'Supply planning data'!D203)-SUMIFS(M:M,D:D,"&lt;="&amp;D188,C:C,C188)+SUMIFS(N:N,D:D,"&lt;="&amp;D188,C:C,C188)+SUMIFS(P:P,D:D,"&lt;="&amp;D188,C:C,C188))</f>
        <v>0</v>
      </c>
      <c r="U188" s="99">
        <f t="shared" si="60"/>
        <v>0</v>
      </c>
      <c r="V188" s="98">
        <f t="shared" si="69"/>
        <v>362024</v>
      </c>
      <c r="W188" s="203">
        <f t="shared" si="66"/>
        <v>29.396199859254047</v>
      </c>
      <c r="X188" s="98">
        <f t="shared" si="61"/>
        <v>0</v>
      </c>
      <c r="Y188" s="97"/>
      <c r="Z188" s="93"/>
      <c r="AA188" s="98">
        <f t="shared" si="54"/>
        <v>0</v>
      </c>
      <c r="AB188" s="233"/>
      <c r="AC188" s="98">
        <f>IF(SUMIFS('Shipments data'!L:L,'Shipments data'!F:F,'Supply planning data'!C188,'Shipments data'!A:A,'Supply planning data'!A188,'Shipments data'!O:O,"received",'Shipments data'!Q:Q,"&lt;"&amp;'Supply planning data'!D203,'Shipments data'!AC:AC,"&lt;"&amp;'Supply planning data'!D203)-SUMIFS(M:M,D:D,"&lt;="&amp;D188,C:C,C188)-SUMIFS(AA:AA,D:D,"&lt;="&amp;D188,C:C,C188)+SUMIFS(N:N,D:D,"&lt;="&amp;D188,C:C,C188)+SUMIFS(P:P,D:D,"&lt;="&amp;D188,C:C,C188)&lt;0,0,SUMIFS('Shipments data'!L:L,'Shipments data'!F:F,'Supply planning data'!C188,'Shipments data'!A:A,'Supply planning data'!A188,'Shipments data'!O:O,"received",'Shipments data'!Q:Q,"&lt;"&amp;'Supply planning data'!D203,'Shipments data'!AC:AC,"&lt;"&amp;'Supply planning data'!D203)-SUMIFS(M:M,D:D,"&lt;="&amp;D188,C:C,C188)-SUMIFS(AA:AA,D:D,"&lt;="&amp;D188,C:C,C188)+SUMIFS(N:N,D:D,"&lt;="&amp;D188,C:C,C188)+SUMIFS(P:P,D:D,"&lt;="&amp;D188,C:C,C188))</f>
        <v>0</v>
      </c>
      <c r="AD188" s="98">
        <f t="shared" si="62"/>
        <v>0</v>
      </c>
      <c r="AE188" s="98">
        <f t="shared" si="56"/>
        <v>362024</v>
      </c>
      <c r="AF188" s="205">
        <f t="shared" si="65"/>
        <v>3.7654351805624895</v>
      </c>
      <c r="AG188" s="98">
        <f t="shared" si="63"/>
        <v>0</v>
      </c>
      <c r="AH188" s="97"/>
      <c r="AI188" s="311"/>
      <c r="AJ188" s="98">
        <f t="shared" si="55"/>
        <v>0</v>
      </c>
      <c r="AK188" s="233"/>
      <c r="AL188" s="98">
        <f>IF(SUMIFS('Shipments data'!L:L,'Shipments data'!F:F,'Supply planning data'!C188,'Shipments data'!A:A,'Supply planning data'!A188,'Shipments data'!O:O,"received",'Shipments data'!Q:Q,"&lt;"&amp;'Supply planning data'!D203,'Shipments data'!AC:AC,"&lt;"&amp;'Supply planning data'!D203)-SUMIFS(M:M,D:D,"&lt;="&amp;D188,C:C,C188)-SUMIFS(AJ:AJ,D:D,"&lt;="&amp;D188,C:C,C188)+SUMIFS(N:N,D:D,"&lt;="&amp;D188,C:C,C188)+SUMIFS(P:P,D:D,"&lt;="&amp;D188,C:C,C188)&lt;0,0,SUMIFS('Shipments data'!L:L,'Shipments data'!F:F,'Supply planning data'!C188,'Shipments data'!A:A,'Supply planning data'!A188,'Shipments data'!O:O,"received",'Shipments data'!Q:Q,"&lt;"&amp;'Supply planning data'!D203,'Shipments data'!AC:AC,"&lt;"&amp;'Supply planning data'!D203)-SUMIFS(M:M,D:D,"&lt;="&amp;D188,C:C,C188)-SUMIFS(AJ:AJ,D:D,"&lt;="&amp;D188,C:C,C188)+SUMIFS(N:N,D:D,"&lt;="&amp;D188,C:C,C188)+SUMIFS(P:P,D:D,"&lt;="&amp;D188,C:C,C188))</f>
        <v>0</v>
      </c>
      <c r="AM188" s="98">
        <f t="shared" si="64"/>
        <v>0</v>
      </c>
      <c r="AN188" s="98">
        <f t="shared" si="57"/>
        <v>362024</v>
      </c>
      <c r="AO188" s="203">
        <f t="shared" si="67"/>
        <v>3.7654351805624895</v>
      </c>
    </row>
    <row r="189" spans="1:41" x14ac:dyDescent="0.25">
      <c r="A189" s="95" t="str">
        <f>Start!D$7</f>
        <v>Anyland</v>
      </c>
      <c r="B189" s="96" t="str">
        <f>VLOOKUP(A189,list!B:C,2,FALSE)</f>
        <v>ANY</v>
      </c>
      <c r="C189" s="90" t="str">
        <f>IF(Start!$C$21="","",Start!$C$21)</f>
        <v>Sinovac</v>
      </c>
      <c r="D189" s="296">
        <f t="shared" si="58"/>
        <v>44562</v>
      </c>
      <c r="E189" s="92" t="str">
        <f>IFERROR(VLOOKUP(C189,Start!C$15:D$31,2,FALSE),"No")</f>
        <v>No</v>
      </c>
      <c r="F189" s="92">
        <f t="shared" si="59"/>
        <v>0</v>
      </c>
      <c r="G189" s="91"/>
      <c r="H189" s="97"/>
      <c r="I189" s="97"/>
      <c r="J189" s="98">
        <f t="shared" si="50"/>
        <v>0</v>
      </c>
      <c r="K189" s="97"/>
      <c r="L189" s="175" t="str">
        <f t="shared" si="51"/>
        <v/>
      </c>
      <c r="M189" s="98">
        <f t="shared" si="52"/>
        <v>0</v>
      </c>
      <c r="N189" s="97"/>
      <c r="O189" s="122"/>
      <c r="P189" s="97"/>
      <c r="Q189" s="122"/>
      <c r="R189" s="98">
        <f>SUMIFS('Shipments data'!L:L,'Shipments data'!F:F,'Supply planning data'!C189,'Shipments data'!A:A,'Supply planning data'!A189,'Shipments data'!Y:Y,'Supply planning data'!D189,'Shipments data'!O:O,"received", 'Shipments data'!N:N, "Public")</f>
        <v>0</v>
      </c>
      <c r="S189" s="98">
        <f>SUMIFS('Shipments data'!L:L,'Shipments data'!F:F,'Supply planning data'!C189,'Shipments data'!A:A,'Supply planning data'!A189,'Shipments data'!Y:Y,'Supply planning data'!D189,'Shipments data'!O:O,"ordered", 'Shipments data'!N:N, "Public")</f>
        <v>0</v>
      </c>
      <c r="T189" s="98">
        <f>IF(SUMIFS('Shipments data'!L:L,'Shipments data'!F:F,'Supply planning data'!C189,'Shipments data'!A:A,'Supply planning data'!A189,'Shipments data'!O:O,"received",'Shipments data'!Q:Q,"&lt;"&amp;'Supply planning data'!D204,'Shipments data'!AC:AC,"&lt;"&amp;'Supply planning data'!D204)-SUMIFS(M:M,D:D,"&lt;="&amp;D189,C:C,C189)+SUMIFS(N:N,D:D,"&lt;="&amp;D189,C:C,C189)+SUMIFS(P:P,D:D,"&lt;="&amp;D189,C:C,C189)&lt;0,0,SUMIFS('Shipments data'!L:L,'Shipments data'!F:F,'Supply planning data'!C189,'Shipments data'!A:A,'Supply planning data'!A189,'Shipments data'!O:O,"received",'Shipments data'!Q:Q,"&lt;"&amp;'Supply planning data'!D204,'Shipments data'!AC:AC,"&lt;"&amp;'Supply planning data'!D204)-SUMIFS(M:M,D:D,"&lt;="&amp;D189,C:C,C189)+SUMIFS(N:N,D:D,"&lt;="&amp;D189,C:C,C189)+SUMIFS(P:P,D:D,"&lt;="&amp;D189,C:C,C189))</f>
        <v>0</v>
      </c>
      <c r="U189" s="99">
        <f t="shared" si="60"/>
        <v>0</v>
      </c>
      <c r="V189" s="98">
        <f t="shared" si="69"/>
        <v>0</v>
      </c>
      <c r="W189" s="203" t="str">
        <f t="shared" si="66"/>
        <v/>
      </c>
      <c r="X189" s="98">
        <f t="shared" si="61"/>
        <v>0</v>
      </c>
      <c r="Y189" s="97"/>
      <c r="Z189" s="93"/>
      <c r="AA189" s="98">
        <f t="shared" si="54"/>
        <v>0</v>
      </c>
      <c r="AB189" s="233"/>
      <c r="AC189" s="98">
        <f>IF(SUMIFS('Shipments data'!L:L,'Shipments data'!F:F,'Supply planning data'!C189,'Shipments data'!A:A,'Supply planning data'!A189,'Shipments data'!O:O,"received",'Shipments data'!Q:Q,"&lt;"&amp;'Supply planning data'!D204,'Shipments data'!AC:AC,"&lt;"&amp;'Supply planning data'!D204)-SUMIFS(M:M,D:D,"&lt;="&amp;D189,C:C,C189)-SUMIFS(AA:AA,D:D,"&lt;="&amp;D189,C:C,C189)+SUMIFS(N:N,D:D,"&lt;="&amp;D189,C:C,C189)+SUMIFS(P:P,D:D,"&lt;="&amp;D189,C:C,C189)&lt;0,0,SUMIFS('Shipments data'!L:L,'Shipments data'!F:F,'Supply planning data'!C189,'Shipments data'!A:A,'Supply planning data'!A189,'Shipments data'!O:O,"received",'Shipments data'!Q:Q,"&lt;"&amp;'Supply planning data'!D204,'Shipments data'!AC:AC,"&lt;"&amp;'Supply planning data'!D204)-SUMIFS(M:M,D:D,"&lt;="&amp;D189,C:C,C189)-SUMIFS(AA:AA,D:D,"&lt;="&amp;D189,C:C,C189)+SUMIFS(N:N,D:D,"&lt;="&amp;D189,C:C,C189)+SUMIFS(P:P,D:D,"&lt;="&amp;D189,C:C,C189))</f>
        <v>0</v>
      </c>
      <c r="AD189" s="98">
        <f t="shared" si="62"/>
        <v>0</v>
      </c>
      <c r="AE189" s="98">
        <f t="shared" si="56"/>
        <v>0</v>
      </c>
      <c r="AF189" s="205" t="str">
        <f t="shared" si="65"/>
        <v/>
      </c>
      <c r="AG189" s="98">
        <f t="shared" si="63"/>
        <v>0</v>
      </c>
      <c r="AH189" s="97"/>
      <c r="AI189" s="311"/>
      <c r="AJ189" s="98">
        <f t="shared" si="55"/>
        <v>0</v>
      </c>
      <c r="AK189" s="233"/>
      <c r="AL189" s="98">
        <f>IF(SUMIFS('Shipments data'!L:L,'Shipments data'!F:F,'Supply planning data'!C189,'Shipments data'!A:A,'Supply planning data'!A189,'Shipments data'!O:O,"received",'Shipments data'!Q:Q,"&lt;"&amp;'Supply planning data'!D204,'Shipments data'!AC:AC,"&lt;"&amp;'Supply planning data'!D204)-SUMIFS(M:M,D:D,"&lt;="&amp;D189,C:C,C189)-SUMIFS(AJ:AJ,D:D,"&lt;="&amp;D189,C:C,C189)+SUMIFS(N:N,D:D,"&lt;="&amp;D189,C:C,C189)+SUMIFS(P:P,D:D,"&lt;="&amp;D189,C:C,C189)&lt;0,0,SUMIFS('Shipments data'!L:L,'Shipments data'!F:F,'Supply planning data'!C189,'Shipments data'!A:A,'Supply planning data'!A189,'Shipments data'!O:O,"received",'Shipments data'!Q:Q,"&lt;"&amp;'Supply planning data'!D204,'Shipments data'!AC:AC,"&lt;"&amp;'Supply planning data'!D204)-SUMIFS(M:M,D:D,"&lt;="&amp;D189,C:C,C189)-SUMIFS(AJ:AJ,D:D,"&lt;="&amp;D189,C:C,C189)+SUMIFS(N:N,D:D,"&lt;="&amp;D189,C:C,C189)+SUMIFS(P:P,D:D,"&lt;="&amp;D189,C:C,C189))</f>
        <v>0</v>
      </c>
      <c r="AM189" s="98">
        <f t="shared" si="64"/>
        <v>0</v>
      </c>
      <c r="AN189" s="98">
        <f t="shared" si="57"/>
        <v>0</v>
      </c>
      <c r="AO189" s="203" t="str">
        <f t="shared" si="67"/>
        <v/>
      </c>
    </row>
    <row r="190" spans="1:41" hidden="1" x14ac:dyDescent="0.25">
      <c r="A190" s="95" t="str">
        <f>Start!D$7</f>
        <v>Anyland</v>
      </c>
      <c r="B190" s="96" t="str">
        <f>VLOOKUP(A190,list!B:C,2,FALSE)</f>
        <v>ANY</v>
      </c>
      <c r="C190" s="90" t="str">
        <f>IF(Start!$C$22="","",Start!$C$22)</f>
        <v/>
      </c>
      <c r="D190" s="296">
        <f t="shared" si="58"/>
        <v>44562</v>
      </c>
      <c r="E190" s="92" t="str">
        <f>IFERROR(VLOOKUP(C190,Start!C$15:D$31,2,FALSE),"No")</f>
        <v>No</v>
      </c>
      <c r="F190" s="92">
        <f t="shared" si="59"/>
        <v>0</v>
      </c>
      <c r="G190" s="91"/>
      <c r="H190" s="97"/>
      <c r="I190" s="97"/>
      <c r="J190" s="98">
        <f t="shared" si="50"/>
        <v>0</v>
      </c>
      <c r="K190" s="97"/>
      <c r="L190" s="175" t="str">
        <f t="shared" si="51"/>
        <v/>
      </c>
      <c r="M190" s="98">
        <f t="shared" si="52"/>
        <v>0</v>
      </c>
      <c r="N190" s="97"/>
      <c r="O190" s="122"/>
      <c r="P190" s="97"/>
      <c r="Q190" s="122"/>
      <c r="R190" s="98">
        <f>SUMIFS('Shipments data'!L:L,'Shipments data'!F:F,'Supply planning data'!C190,'Shipments data'!A:A,'Supply planning data'!A190,'Shipments data'!Y:Y,'Supply planning data'!D190,'Shipments data'!O:O,"received", 'Shipments data'!N:N, "Public")</f>
        <v>0</v>
      </c>
      <c r="S190" s="98">
        <f>SUMIFS('Shipments data'!L:L,'Shipments data'!F:F,'Supply planning data'!C190,'Shipments data'!A:A,'Supply planning data'!A190,'Shipments data'!Y:Y,'Supply planning data'!D190,'Shipments data'!O:O,"ordered", 'Shipments data'!N:N, "Public")</f>
        <v>0</v>
      </c>
      <c r="T190" s="98">
        <f>IF(SUMIFS('Shipments data'!L:L,'Shipments data'!F:F,'Supply planning data'!C190,'Shipments data'!A:A,'Supply planning data'!A190,'Shipments data'!O:O,"received",'Shipments data'!Q:Q,"&lt;"&amp;'Supply planning data'!D205,'Shipments data'!AC:AC,"&lt;"&amp;'Supply planning data'!D205)-SUMIFS(M:M,D:D,"&lt;="&amp;D190,C:C,C190)+SUMIFS(N:N,D:D,"&lt;="&amp;D190,C:C,C190)+SUMIFS(P:P,D:D,"&lt;="&amp;D190,C:C,C190)&lt;0,0,SUMIFS('Shipments data'!L:L,'Shipments data'!F:F,'Supply planning data'!C190,'Shipments data'!A:A,'Supply planning data'!A190,'Shipments data'!O:O,"received",'Shipments data'!Q:Q,"&lt;"&amp;'Supply planning data'!D205,'Shipments data'!AC:AC,"&lt;"&amp;'Supply planning data'!D205)-SUMIFS(M:M,D:D,"&lt;="&amp;D190,C:C,C190)+SUMIFS(N:N,D:D,"&lt;="&amp;D190,C:C,C190)+SUMIFS(P:P,D:D,"&lt;="&amp;D190,C:C,C190))</f>
        <v>0</v>
      </c>
      <c r="U190" s="99">
        <f t="shared" si="60"/>
        <v>0</v>
      </c>
      <c r="V190" s="98">
        <f t="shared" si="69"/>
        <v>0</v>
      </c>
      <c r="W190" s="203" t="str">
        <f t="shared" si="66"/>
        <v/>
      </c>
      <c r="X190" s="98">
        <f t="shared" si="61"/>
        <v>0</v>
      </c>
      <c r="Y190" s="97"/>
      <c r="Z190" s="93"/>
      <c r="AA190" s="98">
        <f t="shared" si="54"/>
        <v>0</v>
      </c>
      <c r="AB190" s="233"/>
      <c r="AC190" s="98">
        <f>IF(SUMIFS('Shipments data'!L:L,'Shipments data'!F:F,'Supply planning data'!C190,'Shipments data'!A:A,'Supply planning data'!A190,'Shipments data'!O:O,"received",'Shipments data'!Q:Q,"&lt;"&amp;'Supply planning data'!D205,'Shipments data'!AC:AC,"&lt;"&amp;'Supply planning data'!D205)-SUMIFS(M:M,D:D,"&lt;="&amp;D190,C:C,C190)-SUMIFS(AA:AA,D:D,"&lt;="&amp;D190,C:C,C190)+SUMIFS(N:N,D:D,"&lt;="&amp;D190,C:C,C190)+SUMIFS(P:P,D:D,"&lt;="&amp;D190,C:C,C190)&lt;0,0,SUMIFS('Shipments data'!L:L,'Shipments data'!F:F,'Supply planning data'!C190,'Shipments data'!A:A,'Supply planning data'!A190,'Shipments data'!O:O,"received",'Shipments data'!Q:Q,"&lt;"&amp;'Supply planning data'!D205,'Shipments data'!AC:AC,"&lt;"&amp;'Supply planning data'!D205)-SUMIFS(M:M,D:D,"&lt;="&amp;D190,C:C,C190)-SUMIFS(AA:AA,D:D,"&lt;="&amp;D190,C:C,C190)+SUMIFS(N:N,D:D,"&lt;="&amp;D190,C:C,C190)+SUMIFS(P:P,D:D,"&lt;="&amp;D190,C:C,C190))</f>
        <v>0</v>
      </c>
      <c r="AD190" s="98">
        <f t="shared" si="62"/>
        <v>0</v>
      </c>
      <c r="AE190" s="98">
        <f t="shared" si="56"/>
        <v>0</v>
      </c>
      <c r="AF190" s="205" t="str">
        <f t="shared" si="65"/>
        <v/>
      </c>
      <c r="AG190" s="98">
        <f t="shared" si="63"/>
        <v>0</v>
      </c>
      <c r="AH190" s="97"/>
      <c r="AI190" s="311"/>
      <c r="AJ190" s="98">
        <f t="shared" si="55"/>
        <v>0</v>
      </c>
      <c r="AK190" s="233"/>
      <c r="AL190" s="98">
        <f>IF(SUMIFS('Shipments data'!L:L,'Shipments data'!F:F,'Supply planning data'!C190,'Shipments data'!A:A,'Supply planning data'!A190,'Shipments data'!O:O,"received",'Shipments data'!Q:Q,"&lt;"&amp;'Supply planning data'!D205,'Shipments data'!AC:AC,"&lt;"&amp;'Supply planning data'!D205)-SUMIFS(M:M,D:D,"&lt;="&amp;D190,C:C,C190)-SUMIFS(AJ:AJ,D:D,"&lt;="&amp;D190,C:C,C190)+SUMIFS(N:N,D:D,"&lt;="&amp;D190,C:C,C190)+SUMIFS(P:P,D:D,"&lt;="&amp;D190,C:C,C190)&lt;0,0,SUMIFS('Shipments data'!L:L,'Shipments data'!F:F,'Supply planning data'!C190,'Shipments data'!A:A,'Supply planning data'!A190,'Shipments data'!O:O,"received",'Shipments data'!Q:Q,"&lt;"&amp;'Supply planning data'!D205,'Shipments data'!AC:AC,"&lt;"&amp;'Supply planning data'!D205)-SUMIFS(M:M,D:D,"&lt;="&amp;D190,C:C,C190)-SUMIFS(AJ:AJ,D:D,"&lt;="&amp;D190,C:C,C190)+SUMIFS(N:N,D:D,"&lt;="&amp;D190,C:C,C190)+SUMIFS(P:P,D:D,"&lt;="&amp;D190,C:C,C190))</f>
        <v>0</v>
      </c>
      <c r="AM190" s="98">
        <f t="shared" si="64"/>
        <v>0</v>
      </c>
      <c r="AN190" s="98">
        <f t="shared" si="57"/>
        <v>0</v>
      </c>
      <c r="AO190" s="203" t="str">
        <f t="shared" si="67"/>
        <v/>
      </c>
    </row>
    <row r="191" spans="1:41" hidden="1" x14ac:dyDescent="0.25">
      <c r="A191" s="95" t="str">
        <f>Start!D$7</f>
        <v>Anyland</v>
      </c>
      <c r="B191" s="96" t="str">
        <f>VLOOKUP(A191,list!B:C,2,FALSE)</f>
        <v>ANY</v>
      </c>
      <c r="C191" s="90" t="str">
        <f>IF(Start!$C$23="","",Start!$C$23)</f>
        <v/>
      </c>
      <c r="D191" s="296">
        <f t="shared" si="58"/>
        <v>44562</v>
      </c>
      <c r="E191" s="92" t="str">
        <f>IFERROR(VLOOKUP(C191,Start!C$15:D$31,2,FALSE),"No")</f>
        <v>No</v>
      </c>
      <c r="F191" s="92">
        <f t="shared" si="59"/>
        <v>0</v>
      </c>
      <c r="G191" s="91"/>
      <c r="H191" s="97"/>
      <c r="I191" s="97"/>
      <c r="J191" s="98">
        <f t="shared" si="50"/>
        <v>0</v>
      </c>
      <c r="K191" s="97"/>
      <c r="L191" s="175" t="str">
        <f t="shared" si="51"/>
        <v/>
      </c>
      <c r="M191" s="98">
        <f t="shared" si="52"/>
        <v>0</v>
      </c>
      <c r="N191" s="97"/>
      <c r="O191" s="122"/>
      <c r="P191" s="97"/>
      <c r="Q191" s="122"/>
      <c r="R191" s="98">
        <f>SUMIFS('Shipments data'!L:L,'Shipments data'!F:F,'Supply planning data'!C191,'Shipments data'!A:A,'Supply planning data'!A191,'Shipments data'!Y:Y,'Supply planning data'!D191,'Shipments data'!O:O,"received", 'Shipments data'!N:N, "Public")</f>
        <v>0</v>
      </c>
      <c r="S191" s="98">
        <f>SUMIFS('Shipments data'!L:L,'Shipments data'!F:F,'Supply planning data'!C191,'Shipments data'!A:A,'Supply planning data'!A191,'Shipments data'!Y:Y,'Supply planning data'!D191,'Shipments data'!O:O,"ordered", 'Shipments data'!N:N, "Public")</f>
        <v>0</v>
      </c>
      <c r="T191" s="98">
        <f>IF(SUMIFS('Shipments data'!L:L,'Shipments data'!F:F,'Supply planning data'!C191,'Shipments data'!A:A,'Supply planning data'!A191,'Shipments data'!O:O,"received",'Shipments data'!Q:Q,"&lt;"&amp;'Supply planning data'!D206,'Shipments data'!AC:AC,"&lt;"&amp;'Supply planning data'!D206)-SUMIFS(M:M,D:D,"&lt;="&amp;D191,C:C,C191)+SUMIFS(N:N,D:D,"&lt;="&amp;D191,C:C,C191)+SUMIFS(P:P,D:D,"&lt;="&amp;D191,C:C,C191)&lt;0,0,SUMIFS('Shipments data'!L:L,'Shipments data'!F:F,'Supply planning data'!C191,'Shipments data'!A:A,'Supply planning data'!A191,'Shipments data'!O:O,"received",'Shipments data'!Q:Q,"&lt;"&amp;'Supply planning data'!D206,'Shipments data'!AC:AC,"&lt;"&amp;'Supply planning data'!D206)-SUMIFS(M:M,D:D,"&lt;="&amp;D191,C:C,C191)+SUMIFS(N:N,D:D,"&lt;="&amp;D191,C:C,C191)+SUMIFS(P:P,D:D,"&lt;="&amp;D191,C:C,C191))</f>
        <v>0</v>
      </c>
      <c r="U191" s="99">
        <f t="shared" si="60"/>
        <v>0</v>
      </c>
      <c r="V191" s="98">
        <f t="shared" si="69"/>
        <v>0</v>
      </c>
      <c r="W191" s="203" t="str">
        <f t="shared" si="66"/>
        <v/>
      </c>
      <c r="X191" s="98">
        <f t="shared" si="61"/>
        <v>0</v>
      </c>
      <c r="Y191" s="97"/>
      <c r="Z191" s="93"/>
      <c r="AA191" s="98">
        <f t="shared" si="54"/>
        <v>0</v>
      </c>
      <c r="AB191" s="233"/>
      <c r="AC191" s="98">
        <f>IF(SUMIFS('Shipments data'!L:L,'Shipments data'!F:F,'Supply planning data'!C191,'Shipments data'!A:A,'Supply planning data'!A191,'Shipments data'!O:O,"received",'Shipments data'!Q:Q,"&lt;"&amp;'Supply planning data'!D206,'Shipments data'!AC:AC,"&lt;"&amp;'Supply planning data'!D206)-SUMIFS(M:M,D:D,"&lt;="&amp;D191,C:C,C191)-SUMIFS(AA:AA,D:D,"&lt;="&amp;D191,C:C,C191)+SUMIFS(N:N,D:D,"&lt;="&amp;D191,C:C,C191)+SUMIFS(P:P,D:D,"&lt;="&amp;D191,C:C,C191)&lt;0,0,SUMIFS('Shipments data'!L:L,'Shipments data'!F:F,'Supply planning data'!C191,'Shipments data'!A:A,'Supply planning data'!A191,'Shipments data'!O:O,"received",'Shipments data'!Q:Q,"&lt;"&amp;'Supply planning data'!D206,'Shipments data'!AC:AC,"&lt;"&amp;'Supply planning data'!D206)-SUMIFS(M:M,D:D,"&lt;="&amp;D191,C:C,C191)-SUMIFS(AA:AA,D:D,"&lt;="&amp;D191,C:C,C191)+SUMIFS(N:N,D:D,"&lt;="&amp;D191,C:C,C191)+SUMIFS(P:P,D:D,"&lt;="&amp;D191,C:C,C191))</f>
        <v>0</v>
      </c>
      <c r="AD191" s="98">
        <f t="shared" si="62"/>
        <v>0</v>
      </c>
      <c r="AE191" s="98">
        <f t="shared" si="56"/>
        <v>0</v>
      </c>
      <c r="AF191" s="205" t="str">
        <f t="shared" si="65"/>
        <v/>
      </c>
      <c r="AG191" s="98">
        <f t="shared" si="63"/>
        <v>0</v>
      </c>
      <c r="AH191" s="97"/>
      <c r="AI191" s="311"/>
      <c r="AJ191" s="98">
        <f t="shared" si="55"/>
        <v>0</v>
      </c>
      <c r="AK191" s="233"/>
      <c r="AL191" s="98">
        <f>IF(SUMIFS('Shipments data'!L:L,'Shipments data'!F:F,'Supply planning data'!C191,'Shipments data'!A:A,'Supply planning data'!A191,'Shipments data'!O:O,"received",'Shipments data'!Q:Q,"&lt;"&amp;'Supply planning data'!D206,'Shipments data'!AC:AC,"&lt;"&amp;'Supply planning data'!D206)-SUMIFS(M:M,D:D,"&lt;="&amp;D191,C:C,C191)-SUMIFS(AJ:AJ,D:D,"&lt;="&amp;D191,C:C,C191)+SUMIFS(N:N,D:D,"&lt;="&amp;D191,C:C,C191)+SUMIFS(P:P,D:D,"&lt;="&amp;D191,C:C,C191)&lt;0,0,SUMIFS('Shipments data'!L:L,'Shipments data'!F:F,'Supply planning data'!C191,'Shipments data'!A:A,'Supply planning data'!A191,'Shipments data'!O:O,"received",'Shipments data'!Q:Q,"&lt;"&amp;'Supply planning data'!D206,'Shipments data'!AC:AC,"&lt;"&amp;'Supply planning data'!D206)-SUMIFS(M:M,D:D,"&lt;="&amp;D191,C:C,C191)-SUMIFS(AJ:AJ,D:D,"&lt;="&amp;D191,C:C,C191)+SUMIFS(N:N,D:D,"&lt;="&amp;D191,C:C,C191)+SUMIFS(P:P,D:D,"&lt;="&amp;D191,C:C,C191))</f>
        <v>0</v>
      </c>
      <c r="AM191" s="98">
        <f t="shared" si="64"/>
        <v>0</v>
      </c>
      <c r="AN191" s="98">
        <f t="shared" si="57"/>
        <v>0</v>
      </c>
      <c r="AO191" s="203" t="str">
        <f t="shared" si="67"/>
        <v/>
      </c>
    </row>
    <row r="192" spans="1:41" hidden="1" x14ac:dyDescent="0.25">
      <c r="A192" s="95" t="str">
        <f>Start!D$7</f>
        <v>Anyland</v>
      </c>
      <c r="B192" s="96" t="str">
        <f>VLOOKUP(A192,list!B:C,2,FALSE)</f>
        <v>ANY</v>
      </c>
      <c r="C192" s="90" t="str">
        <f>IF(Start!$C$24="","",Start!$C$24)</f>
        <v/>
      </c>
      <c r="D192" s="296">
        <f t="shared" si="58"/>
        <v>44562</v>
      </c>
      <c r="E192" s="92" t="str">
        <f>IFERROR(VLOOKUP(C192,Start!C$15:D$31,2,FALSE),"No")</f>
        <v>No</v>
      </c>
      <c r="F192" s="92">
        <f t="shared" si="59"/>
        <v>0</v>
      </c>
      <c r="G192" s="91"/>
      <c r="H192" s="97"/>
      <c r="I192" s="97"/>
      <c r="J192" s="98">
        <f t="shared" si="50"/>
        <v>0</v>
      </c>
      <c r="K192" s="97"/>
      <c r="L192" s="175" t="str">
        <f t="shared" si="51"/>
        <v/>
      </c>
      <c r="M192" s="98">
        <f t="shared" si="52"/>
        <v>0</v>
      </c>
      <c r="N192" s="97"/>
      <c r="O192" s="122"/>
      <c r="P192" s="97"/>
      <c r="Q192" s="122"/>
      <c r="R192" s="98">
        <f>SUMIFS('Shipments data'!L:L,'Shipments data'!F:F,'Supply planning data'!C192,'Shipments data'!A:A,'Supply planning data'!A192,'Shipments data'!Y:Y,'Supply planning data'!D192,'Shipments data'!O:O,"received", 'Shipments data'!N:N, "Public")</f>
        <v>0</v>
      </c>
      <c r="S192" s="98">
        <f>SUMIFS('Shipments data'!L:L,'Shipments data'!F:F,'Supply planning data'!C192,'Shipments data'!A:A,'Supply planning data'!A192,'Shipments data'!Y:Y,'Supply planning data'!D192,'Shipments data'!O:O,"ordered", 'Shipments data'!N:N, "Public")</f>
        <v>0</v>
      </c>
      <c r="T192" s="98">
        <f>IF(SUMIFS('Shipments data'!L:L,'Shipments data'!F:F,'Supply planning data'!C192,'Shipments data'!A:A,'Supply planning data'!A192,'Shipments data'!O:O,"received",'Shipments data'!Q:Q,"&lt;"&amp;'Supply planning data'!D207,'Shipments data'!AC:AC,"&lt;"&amp;'Supply planning data'!D207)-SUMIFS(M:M,D:D,"&lt;="&amp;D192,C:C,C192)+SUMIFS(N:N,D:D,"&lt;="&amp;D192,C:C,C192)+SUMIFS(P:P,D:D,"&lt;="&amp;D192,C:C,C192)&lt;0,0,SUMIFS('Shipments data'!L:L,'Shipments data'!F:F,'Supply planning data'!C192,'Shipments data'!A:A,'Supply planning data'!A192,'Shipments data'!O:O,"received",'Shipments data'!Q:Q,"&lt;"&amp;'Supply planning data'!D207,'Shipments data'!AC:AC,"&lt;"&amp;'Supply planning data'!D207)-SUMIFS(M:M,D:D,"&lt;="&amp;D192,C:C,C192)+SUMIFS(N:N,D:D,"&lt;="&amp;D192,C:C,C192)+SUMIFS(P:P,D:D,"&lt;="&amp;D192,C:C,C192))</f>
        <v>0</v>
      </c>
      <c r="U192" s="99">
        <f t="shared" si="60"/>
        <v>0</v>
      </c>
      <c r="V192" s="98">
        <f t="shared" si="69"/>
        <v>0</v>
      </c>
      <c r="W192" s="203" t="str">
        <f t="shared" si="66"/>
        <v/>
      </c>
      <c r="X192" s="98">
        <f t="shared" si="61"/>
        <v>0</v>
      </c>
      <c r="Y192" s="97"/>
      <c r="Z192" s="93"/>
      <c r="AA192" s="98">
        <f t="shared" si="54"/>
        <v>0</v>
      </c>
      <c r="AB192" s="233"/>
      <c r="AC192" s="98">
        <f>IF(SUMIFS('Shipments data'!L:L,'Shipments data'!F:F,'Supply planning data'!C192,'Shipments data'!A:A,'Supply planning data'!A192,'Shipments data'!O:O,"received",'Shipments data'!Q:Q,"&lt;"&amp;'Supply planning data'!D207,'Shipments data'!AC:AC,"&lt;"&amp;'Supply planning data'!D207)-SUMIFS(M:M,D:D,"&lt;="&amp;D192,C:C,C192)-SUMIFS(AA:AA,D:D,"&lt;="&amp;D192,C:C,C192)+SUMIFS(N:N,D:D,"&lt;="&amp;D192,C:C,C192)+SUMIFS(P:P,D:D,"&lt;="&amp;D192,C:C,C192)&lt;0,0,SUMIFS('Shipments data'!L:L,'Shipments data'!F:F,'Supply planning data'!C192,'Shipments data'!A:A,'Supply planning data'!A192,'Shipments data'!O:O,"received",'Shipments data'!Q:Q,"&lt;"&amp;'Supply planning data'!D207,'Shipments data'!AC:AC,"&lt;"&amp;'Supply planning data'!D207)-SUMIFS(M:M,D:D,"&lt;="&amp;D192,C:C,C192)-SUMIFS(AA:AA,D:D,"&lt;="&amp;D192,C:C,C192)+SUMIFS(N:N,D:D,"&lt;="&amp;D192,C:C,C192)+SUMIFS(P:P,D:D,"&lt;="&amp;D192,C:C,C192))</f>
        <v>0</v>
      </c>
      <c r="AD192" s="98">
        <f t="shared" si="62"/>
        <v>0</v>
      </c>
      <c r="AE192" s="98">
        <f t="shared" si="56"/>
        <v>0</v>
      </c>
      <c r="AF192" s="205" t="str">
        <f t="shared" si="65"/>
        <v/>
      </c>
      <c r="AG192" s="98">
        <f t="shared" si="63"/>
        <v>0</v>
      </c>
      <c r="AH192" s="97"/>
      <c r="AI192" s="311"/>
      <c r="AJ192" s="98">
        <f t="shared" si="55"/>
        <v>0</v>
      </c>
      <c r="AK192" s="233"/>
      <c r="AL192" s="98">
        <f>IF(SUMIFS('Shipments data'!L:L,'Shipments data'!F:F,'Supply planning data'!C192,'Shipments data'!A:A,'Supply planning data'!A192,'Shipments data'!O:O,"received",'Shipments data'!Q:Q,"&lt;"&amp;'Supply planning data'!D207,'Shipments data'!AC:AC,"&lt;"&amp;'Supply planning data'!D207)-SUMIFS(M:M,D:D,"&lt;="&amp;D192,C:C,C192)-SUMIFS(AJ:AJ,D:D,"&lt;="&amp;D192,C:C,C192)+SUMIFS(N:N,D:D,"&lt;="&amp;D192,C:C,C192)+SUMIFS(P:P,D:D,"&lt;="&amp;D192,C:C,C192)&lt;0,0,SUMIFS('Shipments data'!L:L,'Shipments data'!F:F,'Supply planning data'!C192,'Shipments data'!A:A,'Supply planning data'!A192,'Shipments data'!O:O,"received",'Shipments data'!Q:Q,"&lt;"&amp;'Supply planning data'!D207,'Shipments data'!AC:AC,"&lt;"&amp;'Supply planning data'!D207)-SUMIFS(M:M,D:D,"&lt;="&amp;D192,C:C,C192)-SUMIFS(AJ:AJ,D:D,"&lt;="&amp;D192,C:C,C192)+SUMIFS(N:N,D:D,"&lt;="&amp;D192,C:C,C192)+SUMIFS(P:P,D:D,"&lt;="&amp;D192,C:C,C192))</f>
        <v>0</v>
      </c>
      <c r="AM192" s="98">
        <f t="shared" si="64"/>
        <v>0</v>
      </c>
      <c r="AN192" s="98">
        <f t="shared" si="57"/>
        <v>0</v>
      </c>
      <c r="AO192" s="203" t="str">
        <f t="shared" si="67"/>
        <v/>
      </c>
    </row>
    <row r="193" spans="1:41" hidden="1" x14ac:dyDescent="0.25">
      <c r="A193" s="95" t="str">
        <f>Start!D$7</f>
        <v>Anyland</v>
      </c>
      <c r="B193" s="96" t="str">
        <f>VLOOKUP(A193,list!B:C,2,FALSE)</f>
        <v>ANY</v>
      </c>
      <c r="C193" s="90" t="str">
        <f>IF(Start!$C$25="","",Start!$C$25)</f>
        <v/>
      </c>
      <c r="D193" s="296">
        <f t="shared" si="58"/>
        <v>44562</v>
      </c>
      <c r="E193" s="92" t="str">
        <f>IFERROR(VLOOKUP(C193,Start!C$15:D$31,2,FALSE),"No")</f>
        <v>No</v>
      </c>
      <c r="F193" s="92">
        <f t="shared" si="59"/>
        <v>0</v>
      </c>
      <c r="G193" s="91"/>
      <c r="H193" s="97"/>
      <c r="I193" s="97"/>
      <c r="J193" s="98">
        <f t="shared" si="50"/>
        <v>0</v>
      </c>
      <c r="K193" s="97"/>
      <c r="L193" s="175" t="str">
        <f t="shared" si="51"/>
        <v/>
      </c>
      <c r="M193" s="98">
        <f t="shared" si="52"/>
        <v>0</v>
      </c>
      <c r="N193" s="97"/>
      <c r="O193" s="122"/>
      <c r="P193" s="97"/>
      <c r="Q193" s="122"/>
      <c r="R193" s="98">
        <f>SUMIFS('Shipments data'!L:L,'Shipments data'!F:F,'Supply planning data'!C193,'Shipments data'!A:A,'Supply planning data'!A193,'Shipments data'!Y:Y,'Supply planning data'!D193,'Shipments data'!O:O,"received", 'Shipments data'!N:N, "Public")</f>
        <v>0</v>
      </c>
      <c r="S193" s="98">
        <f>SUMIFS('Shipments data'!L:L,'Shipments data'!F:F,'Supply planning data'!C193,'Shipments data'!A:A,'Supply planning data'!A193,'Shipments data'!Y:Y,'Supply planning data'!D193,'Shipments data'!O:O,"ordered", 'Shipments data'!N:N, "Public")</f>
        <v>0</v>
      </c>
      <c r="T193" s="98">
        <f>IF(SUMIFS('Shipments data'!L:L,'Shipments data'!F:F,'Supply planning data'!C193,'Shipments data'!A:A,'Supply planning data'!A193,'Shipments data'!O:O,"received",'Shipments data'!Q:Q,"&lt;"&amp;'Supply planning data'!D208,'Shipments data'!AC:AC,"&lt;"&amp;'Supply planning data'!D208)-SUMIFS(M:M,D:D,"&lt;="&amp;D193,C:C,C193)+SUMIFS(N:N,D:D,"&lt;="&amp;D193,C:C,C193)+SUMIFS(P:P,D:D,"&lt;="&amp;D193,C:C,C193)&lt;0,0,SUMIFS('Shipments data'!L:L,'Shipments data'!F:F,'Supply planning data'!C193,'Shipments data'!A:A,'Supply planning data'!A193,'Shipments data'!O:O,"received",'Shipments data'!Q:Q,"&lt;"&amp;'Supply planning data'!D208,'Shipments data'!AC:AC,"&lt;"&amp;'Supply planning data'!D208)-SUMIFS(M:M,D:D,"&lt;="&amp;D193,C:C,C193)+SUMIFS(N:N,D:D,"&lt;="&amp;D193,C:C,C193)+SUMIFS(P:P,D:D,"&lt;="&amp;D193,C:C,C193))</f>
        <v>0</v>
      </c>
      <c r="U193" s="99">
        <f t="shared" si="60"/>
        <v>0</v>
      </c>
      <c r="V193" s="98">
        <f t="shared" si="69"/>
        <v>0</v>
      </c>
      <c r="W193" s="203" t="str">
        <f t="shared" si="66"/>
        <v/>
      </c>
      <c r="X193" s="98">
        <f t="shared" si="61"/>
        <v>0</v>
      </c>
      <c r="Y193" s="97"/>
      <c r="Z193" s="93"/>
      <c r="AA193" s="98">
        <f t="shared" si="54"/>
        <v>0</v>
      </c>
      <c r="AB193" s="233"/>
      <c r="AC193" s="98">
        <f>IF(SUMIFS('Shipments data'!L:L,'Shipments data'!F:F,'Supply planning data'!C193,'Shipments data'!A:A,'Supply planning data'!A193,'Shipments data'!O:O,"received",'Shipments data'!Q:Q,"&lt;"&amp;'Supply planning data'!D208,'Shipments data'!AC:AC,"&lt;"&amp;'Supply planning data'!D208)-SUMIFS(M:M,D:D,"&lt;="&amp;D193,C:C,C193)-SUMIFS(AA:AA,D:D,"&lt;="&amp;D193,C:C,C193)+SUMIFS(N:N,D:D,"&lt;="&amp;D193,C:C,C193)+SUMIFS(P:P,D:D,"&lt;="&amp;D193,C:C,C193)&lt;0,0,SUMIFS('Shipments data'!L:L,'Shipments data'!F:F,'Supply planning data'!C193,'Shipments data'!A:A,'Supply planning data'!A193,'Shipments data'!O:O,"received",'Shipments data'!Q:Q,"&lt;"&amp;'Supply planning data'!D208,'Shipments data'!AC:AC,"&lt;"&amp;'Supply planning data'!D208)-SUMIFS(M:M,D:D,"&lt;="&amp;D193,C:C,C193)-SUMIFS(AA:AA,D:D,"&lt;="&amp;D193,C:C,C193)+SUMIFS(N:N,D:D,"&lt;="&amp;D193,C:C,C193)+SUMIFS(P:P,D:D,"&lt;="&amp;D193,C:C,C193))</f>
        <v>0</v>
      </c>
      <c r="AD193" s="98">
        <f t="shared" si="62"/>
        <v>0</v>
      </c>
      <c r="AE193" s="98">
        <f t="shared" si="56"/>
        <v>0</v>
      </c>
      <c r="AF193" s="205" t="str">
        <f t="shared" si="65"/>
        <v/>
      </c>
      <c r="AG193" s="98">
        <f t="shared" si="63"/>
        <v>0</v>
      </c>
      <c r="AH193" s="97"/>
      <c r="AI193" s="311"/>
      <c r="AJ193" s="98">
        <f t="shared" si="55"/>
        <v>0</v>
      </c>
      <c r="AK193" s="233"/>
      <c r="AL193" s="98">
        <f>IF(SUMIFS('Shipments data'!L:L,'Shipments data'!F:F,'Supply planning data'!C193,'Shipments data'!A:A,'Supply planning data'!A193,'Shipments data'!O:O,"received",'Shipments data'!Q:Q,"&lt;"&amp;'Supply planning data'!D208,'Shipments data'!AC:AC,"&lt;"&amp;'Supply planning data'!D208)-SUMIFS(M:M,D:D,"&lt;="&amp;D193,C:C,C193)-SUMIFS(AJ:AJ,D:D,"&lt;="&amp;D193,C:C,C193)+SUMIFS(N:N,D:D,"&lt;="&amp;D193,C:C,C193)+SUMIFS(P:P,D:D,"&lt;="&amp;D193,C:C,C193)&lt;0,0,SUMIFS('Shipments data'!L:L,'Shipments data'!F:F,'Supply planning data'!C193,'Shipments data'!A:A,'Supply planning data'!A193,'Shipments data'!O:O,"received",'Shipments data'!Q:Q,"&lt;"&amp;'Supply planning data'!D208,'Shipments data'!AC:AC,"&lt;"&amp;'Supply planning data'!D208)-SUMIFS(M:M,D:D,"&lt;="&amp;D193,C:C,C193)-SUMIFS(AJ:AJ,D:D,"&lt;="&amp;D193,C:C,C193)+SUMIFS(N:N,D:D,"&lt;="&amp;D193,C:C,C193)+SUMIFS(P:P,D:D,"&lt;="&amp;D193,C:C,C193))</f>
        <v>0</v>
      </c>
      <c r="AM193" s="98">
        <f t="shared" si="64"/>
        <v>0</v>
      </c>
      <c r="AN193" s="98">
        <f t="shared" si="57"/>
        <v>0</v>
      </c>
      <c r="AO193" s="203" t="str">
        <f t="shared" si="67"/>
        <v/>
      </c>
    </row>
    <row r="194" spans="1:41" hidden="1" x14ac:dyDescent="0.25">
      <c r="A194" s="95" t="str">
        <f>Start!D$7</f>
        <v>Anyland</v>
      </c>
      <c r="B194" s="96" t="str">
        <f>VLOOKUP(A194,list!B:C,2,FALSE)</f>
        <v>ANY</v>
      </c>
      <c r="C194" s="90" t="str">
        <f>IF(Start!$C$26="","",Start!$C$26)</f>
        <v/>
      </c>
      <c r="D194" s="296">
        <f t="shared" si="58"/>
        <v>44562</v>
      </c>
      <c r="E194" s="92" t="str">
        <f>IFERROR(VLOOKUP(C194,Start!C$15:D$31,2,FALSE),"No")</f>
        <v>No</v>
      </c>
      <c r="F194" s="92">
        <f t="shared" si="59"/>
        <v>0</v>
      </c>
      <c r="G194" s="91"/>
      <c r="H194" s="97"/>
      <c r="I194" s="97"/>
      <c r="J194" s="98">
        <f t="shared" si="50"/>
        <v>0</v>
      </c>
      <c r="K194" s="97"/>
      <c r="L194" s="175" t="str">
        <f t="shared" si="51"/>
        <v/>
      </c>
      <c r="M194" s="98">
        <f t="shared" si="52"/>
        <v>0</v>
      </c>
      <c r="N194" s="97"/>
      <c r="O194" s="122"/>
      <c r="P194" s="97"/>
      <c r="Q194" s="122"/>
      <c r="R194" s="98">
        <f>SUMIFS('Shipments data'!L:L,'Shipments data'!F:F,'Supply planning data'!C194,'Shipments data'!A:A,'Supply planning data'!A194,'Shipments data'!Y:Y,'Supply planning data'!D194,'Shipments data'!O:O,"received", 'Shipments data'!N:N, "Public")</f>
        <v>0</v>
      </c>
      <c r="S194" s="98">
        <f>SUMIFS('Shipments data'!L:L,'Shipments data'!F:F,'Supply planning data'!C194,'Shipments data'!A:A,'Supply planning data'!A194,'Shipments data'!Y:Y,'Supply planning data'!D194,'Shipments data'!O:O,"ordered", 'Shipments data'!N:N, "Public")</f>
        <v>0</v>
      </c>
      <c r="T194" s="98">
        <f>IF(SUMIFS('Shipments data'!L:L,'Shipments data'!F:F,'Supply planning data'!C194,'Shipments data'!A:A,'Supply planning data'!A194,'Shipments data'!O:O,"received",'Shipments data'!Q:Q,"&lt;"&amp;'Supply planning data'!D209,'Shipments data'!AC:AC,"&lt;"&amp;'Supply planning data'!D209)-SUMIFS(M:M,D:D,"&lt;="&amp;D194,C:C,C194)+SUMIFS(N:N,D:D,"&lt;="&amp;D194,C:C,C194)+SUMIFS(P:P,D:D,"&lt;="&amp;D194,C:C,C194)&lt;0,0,SUMIFS('Shipments data'!L:L,'Shipments data'!F:F,'Supply planning data'!C194,'Shipments data'!A:A,'Supply planning data'!A194,'Shipments data'!O:O,"received",'Shipments data'!Q:Q,"&lt;"&amp;'Supply planning data'!D209,'Shipments data'!AC:AC,"&lt;"&amp;'Supply planning data'!D209)-SUMIFS(M:M,D:D,"&lt;="&amp;D194,C:C,C194)+SUMIFS(N:N,D:D,"&lt;="&amp;D194,C:C,C194)+SUMIFS(P:P,D:D,"&lt;="&amp;D194,C:C,C194))</f>
        <v>0</v>
      </c>
      <c r="U194" s="99">
        <f t="shared" si="60"/>
        <v>0</v>
      </c>
      <c r="V194" s="98">
        <f t="shared" si="69"/>
        <v>0</v>
      </c>
      <c r="W194" s="203" t="str">
        <f t="shared" si="66"/>
        <v/>
      </c>
      <c r="X194" s="98">
        <f t="shared" si="61"/>
        <v>0</v>
      </c>
      <c r="Y194" s="97"/>
      <c r="Z194" s="93"/>
      <c r="AA194" s="98">
        <f t="shared" si="54"/>
        <v>0</v>
      </c>
      <c r="AB194" s="233"/>
      <c r="AC194" s="98">
        <f>IF(SUMIFS('Shipments data'!L:L,'Shipments data'!F:F,'Supply planning data'!C194,'Shipments data'!A:A,'Supply planning data'!A194,'Shipments data'!O:O,"received",'Shipments data'!Q:Q,"&lt;"&amp;'Supply planning data'!D209,'Shipments data'!AC:AC,"&lt;"&amp;'Supply planning data'!D209)-SUMIFS(M:M,D:D,"&lt;="&amp;D194,C:C,C194)-SUMIFS(AA:AA,D:D,"&lt;="&amp;D194,C:C,C194)+SUMIFS(N:N,D:D,"&lt;="&amp;D194,C:C,C194)+SUMIFS(P:P,D:D,"&lt;="&amp;D194,C:C,C194)&lt;0,0,SUMIFS('Shipments data'!L:L,'Shipments data'!F:F,'Supply planning data'!C194,'Shipments data'!A:A,'Supply planning data'!A194,'Shipments data'!O:O,"received",'Shipments data'!Q:Q,"&lt;"&amp;'Supply planning data'!D209,'Shipments data'!AC:AC,"&lt;"&amp;'Supply planning data'!D209)-SUMIFS(M:M,D:D,"&lt;="&amp;D194,C:C,C194)-SUMIFS(AA:AA,D:D,"&lt;="&amp;D194,C:C,C194)+SUMIFS(N:N,D:D,"&lt;="&amp;D194,C:C,C194)+SUMIFS(P:P,D:D,"&lt;="&amp;D194,C:C,C194))</f>
        <v>0</v>
      </c>
      <c r="AD194" s="98">
        <f t="shared" si="62"/>
        <v>0</v>
      </c>
      <c r="AE194" s="98">
        <f t="shared" si="56"/>
        <v>0</v>
      </c>
      <c r="AF194" s="205" t="str">
        <f t="shared" si="65"/>
        <v/>
      </c>
      <c r="AG194" s="98">
        <f t="shared" si="63"/>
        <v>0</v>
      </c>
      <c r="AH194" s="97"/>
      <c r="AI194" s="311"/>
      <c r="AJ194" s="98">
        <f t="shared" si="55"/>
        <v>0</v>
      </c>
      <c r="AK194" s="233"/>
      <c r="AL194" s="98">
        <f>IF(SUMIFS('Shipments data'!L:L,'Shipments data'!F:F,'Supply planning data'!C194,'Shipments data'!A:A,'Supply planning data'!A194,'Shipments data'!O:O,"received",'Shipments data'!Q:Q,"&lt;"&amp;'Supply planning data'!D209,'Shipments data'!AC:AC,"&lt;"&amp;'Supply planning data'!D209)-SUMIFS(M:M,D:D,"&lt;="&amp;D194,C:C,C194)-SUMIFS(AJ:AJ,D:D,"&lt;="&amp;D194,C:C,C194)+SUMIFS(N:N,D:D,"&lt;="&amp;D194,C:C,C194)+SUMIFS(P:P,D:D,"&lt;="&amp;D194,C:C,C194)&lt;0,0,SUMIFS('Shipments data'!L:L,'Shipments data'!F:F,'Supply planning data'!C194,'Shipments data'!A:A,'Supply planning data'!A194,'Shipments data'!O:O,"received",'Shipments data'!Q:Q,"&lt;"&amp;'Supply planning data'!D209,'Shipments data'!AC:AC,"&lt;"&amp;'Supply planning data'!D209)-SUMIFS(M:M,D:D,"&lt;="&amp;D194,C:C,C194)-SUMIFS(AJ:AJ,D:D,"&lt;="&amp;D194,C:C,C194)+SUMIFS(N:N,D:D,"&lt;="&amp;D194,C:C,C194)+SUMIFS(P:P,D:D,"&lt;="&amp;D194,C:C,C194))</f>
        <v>0</v>
      </c>
      <c r="AM194" s="98">
        <f t="shared" si="64"/>
        <v>0</v>
      </c>
      <c r="AN194" s="98">
        <f t="shared" si="57"/>
        <v>0</v>
      </c>
      <c r="AO194" s="203" t="str">
        <f t="shared" si="67"/>
        <v/>
      </c>
    </row>
    <row r="195" spans="1:41" hidden="1" x14ac:dyDescent="0.25">
      <c r="A195" s="95" t="str">
        <f>Start!D$7</f>
        <v>Anyland</v>
      </c>
      <c r="B195" s="96" t="str">
        <f>VLOOKUP(A195,list!B:C,2,FALSE)</f>
        <v>ANY</v>
      </c>
      <c r="C195" s="90" t="str">
        <f>IF(Start!$C$27="","",Start!$C$27)</f>
        <v/>
      </c>
      <c r="D195" s="296">
        <f t="shared" si="58"/>
        <v>44562</v>
      </c>
      <c r="E195" s="92" t="str">
        <f>IFERROR(VLOOKUP(C195,Start!C$15:D$31,2,FALSE),"No")</f>
        <v>No</v>
      </c>
      <c r="F195" s="92">
        <f t="shared" si="59"/>
        <v>0</v>
      </c>
      <c r="G195" s="91"/>
      <c r="H195" s="97"/>
      <c r="I195" s="97"/>
      <c r="J195" s="98">
        <f t="shared" si="50"/>
        <v>0</v>
      </c>
      <c r="K195" s="97"/>
      <c r="L195" s="175" t="str">
        <f t="shared" si="51"/>
        <v/>
      </c>
      <c r="M195" s="98">
        <f t="shared" si="52"/>
        <v>0</v>
      </c>
      <c r="N195" s="97"/>
      <c r="O195" s="122"/>
      <c r="P195" s="97"/>
      <c r="Q195" s="122"/>
      <c r="R195" s="98">
        <f>SUMIFS('Shipments data'!L:L,'Shipments data'!F:F,'Supply planning data'!C195,'Shipments data'!A:A,'Supply planning data'!A195,'Shipments data'!Y:Y,'Supply planning data'!D195,'Shipments data'!O:O,"received", 'Shipments data'!N:N, "Public")</f>
        <v>0</v>
      </c>
      <c r="S195" s="98">
        <f>SUMIFS('Shipments data'!L:L,'Shipments data'!F:F,'Supply planning data'!C195,'Shipments data'!A:A,'Supply planning data'!A195,'Shipments data'!Y:Y,'Supply planning data'!D195,'Shipments data'!O:O,"ordered", 'Shipments data'!N:N, "Public")</f>
        <v>0</v>
      </c>
      <c r="T195" s="98">
        <f>IF(SUMIFS('Shipments data'!L:L,'Shipments data'!F:F,'Supply planning data'!C195,'Shipments data'!A:A,'Supply planning data'!A195,'Shipments data'!O:O,"received",'Shipments data'!Q:Q,"&lt;"&amp;'Supply planning data'!D210,'Shipments data'!AC:AC,"&lt;"&amp;'Supply planning data'!D210)-SUMIFS(M:M,D:D,"&lt;="&amp;D195,C:C,C195)+SUMIFS(N:N,D:D,"&lt;="&amp;D195,C:C,C195)+SUMIFS(P:P,D:D,"&lt;="&amp;D195,C:C,C195)&lt;0,0,SUMIFS('Shipments data'!L:L,'Shipments data'!F:F,'Supply planning data'!C195,'Shipments data'!A:A,'Supply planning data'!A195,'Shipments data'!O:O,"received",'Shipments data'!Q:Q,"&lt;"&amp;'Supply planning data'!D210,'Shipments data'!AC:AC,"&lt;"&amp;'Supply planning data'!D210)-SUMIFS(M:M,D:D,"&lt;="&amp;D195,C:C,C195)+SUMIFS(N:N,D:D,"&lt;="&amp;D195,C:C,C195)+SUMIFS(P:P,D:D,"&lt;="&amp;D195,C:C,C195))</f>
        <v>0</v>
      </c>
      <c r="U195" s="99">
        <f t="shared" si="60"/>
        <v>0</v>
      </c>
      <c r="V195" s="98">
        <f t="shared" si="69"/>
        <v>0</v>
      </c>
      <c r="W195" s="203" t="str">
        <f t="shared" si="66"/>
        <v/>
      </c>
      <c r="X195" s="98">
        <f t="shared" si="61"/>
        <v>0</v>
      </c>
      <c r="Y195" s="97"/>
      <c r="Z195" s="93"/>
      <c r="AA195" s="98">
        <f t="shared" si="54"/>
        <v>0</v>
      </c>
      <c r="AB195" s="233"/>
      <c r="AC195" s="98">
        <f>IF(SUMIFS('Shipments data'!L:L,'Shipments data'!F:F,'Supply planning data'!C195,'Shipments data'!A:A,'Supply planning data'!A195,'Shipments data'!O:O,"received",'Shipments data'!Q:Q,"&lt;"&amp;'Supply planning data'!D210,'Shipments data'!AC:AC,"&lt;"&amp;'Supply planning data'!D210)-SUMIFS(M:M,D:D,"&lt;="&amp;D195,C:C,C195)-SUMIFS(AA:AA,D:D,"&lt;="&amp;D195,C:C,C195)+SUMIFS(N:N,D:D,"&lt;="&amp;D195,C:C,C195)+SUMIFS(P:P,D:D,"&lt;="&amp;D195,C:C,C195)&lt;0,0,SUMIFS('Shipments data'!L:L,'Shipments data'!F:F,'Supply planning data'!C195,'Shipments data'!A:A,'Supply planning data'!A195,'Shipments data'!O:O,"received",'Shipments data'!Q:Q,"&lt;"&amp;'Supply planning data'!D210,'Shipments data'!AC:AC,"&lt;"&amp;'Supply planning data'!D210)-SUMIFS(M:M,D:D,"&lt;="&amp;D195,C:C,C195)-SUMIFS(AA:AA,D:D,"&lt;="&amp;D195,C:C,C195)+SUMIFS(N:N,D:D,"&lt;="&amp;D195,C:C,C195)+SUMIFS(P:P,D:D,"&lt;="&amp;D195,C:C,C195))</f>
        <v>0</v>
      </c>
      <c r="AD195" s="98">
        <f t="shared" si="62"/>
        <v>0</v>
      </c>
      <c r="AE195" s="98">
        <f t="shared" si="56"/>
        <v>0</v>
      </c>
      <c r="AF195" s="205" t="str">
        <f t="shared" si="65"/>
        <v/>
      </c>
      <c r="AG195" s="98">
        <f t="shared" si="63"/>
        <v>0</v>
      </c>
      <c r="AH195" s="97"/>
      <c r="AI195" s="311"/>
      <c r="AJ195" s="98">
        <f t="shared" si="55"/>
        <v>0</v>
      </c>
      <c r="AK195" s="233"/>
      <c r="AL195" s="98">
        <f>IF(SUMIFS('Shipments data'!L:L,'Shipments data'!F:F,'Supply planning data'!C195,'Shipments data'!A:A,'Supply planning data'!A195,'Shipments data'!O:O,"received",'Shipments data'!Q:Q,"&lt;"&amp;'Supply planning data'!D210,'Shipments data'!AC:AC,"&lt;"&amp;'Supply planning data'!D210)-SUMIFS(M:M,D:D,"&lt;="&amp;D195,C:C,C195)-SUMIFS(AJ:AJ,D:D,"&lt;="&amp;D195,C:C,C195)+SUMIFS(N:N,D:D,"&lt;="&amp;D195,C:C,C195)+SUMIFS(P:P,D:D,"&lt;="&amp;D195,C:C,C195)&lt;0,0,SUMIFS('Shipments data'!L:L,'Shipments data'!F:F,'Supply planning data'!C195,'Shipments data'!A:A,'Supply planning data'!A195,'Shipments data'!O:O,"received",'Shipments data'!Q:Q,"&lt;"&amp;'Supply planning data'!D210,'Shipments data'!AC:AC,"&lt;"&amp;'Supply planning data'!D210)-SUMIFS(M:M,D:D,"&lt;="&amp;D195,C:C,C195)-SUMIFS(AJ:AJ,D:D,"&lt;="&amp;D195,C:C,C195)+SUMIFS(N:N,D:D,"&lt;="&amp;D195,C:C,C195)+SUMIFS(P:P,D:D,"&lt;="&amp;D195,C:C,C195))</f>
        <v>0</v>
      </c>
      <c r="AM195" s="98">
        <f t="shared" si="64"/>
        <v>0</v>
      </c>
      <c r="AN195" s="98">
        <f t="shared" si="57"/>
        <v>0</v>
      </c>
      <c r="AO195" s="203" t="str">
        <f t="shared" si="67"/>
        <v/>
      </c>
    </row>
    <row r="196" spans="1:41" hidden="1" x14ac:dyDescent="0.25">
      <c r="A196" s="95" t="str">
        <f>Start!D$7</f>
        <v>Anyland</v>
      </c>
      <c r="B196" s="96" t="str">
        <f>VLOOKUP(A196,list!B:C,2,FALSE)</f>
        <v>ANY</v>
      </c>
      <c r="C196" s="90" t="str">
        <f>IF(Start!$C$28="","",Start!$C$28)</f>
        <v/>
      </c>
      <c r="D196" s="296">
        <f t="shared" si="58"/>
        <v>44562</v>
      </c>
      <c r="E196" s="92" t="str">
        <f>IFERROR(VLOOKUP(C196,Start!C$15:D$31,2,FALSE),"No")</f>
        <v>No</v>
      </c>
      <c r="F196" s="92">
        <f t="shared" si="59"/>
        <v>0</v>
      </c>
      <c r="G196" s="91"/>
      <c r="H196" s="97"/>
      <c r="I196" s="97"/>
      <c r="J196" s="98">
        <f t="shared" si="50"/>
        <v>0</v>
      </c>
      <c r="K196" s="97"/>
      <c r="L196" s="175" t="str">
        <f t="shared" si="51"/>
        <v/>
      </c>
      <c r="M196" s="98">
        <f t="shared" si="52"/>
        <v>0</v>
      </c>
      <c r="N196" s="97"/>
      <c r="O196" s="122"/>
      <c r="P196" s="97"/>
      <c r="Q196" s="122"/>
      <c r="R196" s="98">
        <f>SUMIFS('Shipments data'!L:L,'Shipments data'!F:F,'Supply planning data'!C196,'Shipments data'!A:A,'Supply planning data'!A196,'Shipments data'!Y:Y,'Supply planning data'!D196,'Shipments data'!O:O,"received", 'Shipments data'!N:N, "Public")</f>
        <v>0</v>
      </c>
      <c r="S196" s="98">
        <f>SUMIFS('Shipments data'!L:L,'Shipments data'!F:F,'Supply planning data'!C196,'Shipments data'!A:A,'Supply planning data'!A196,'Shipments data'!Y:Y,'Supply planning data'!D196,'Shipments data'!O:O,"ordered", 'Shipments data'!N:N, "Public")</f>
        <v>0</v>
      </c>
      <c r="T196" s="98">
        <f>IF(SUMIFS('Shipments data'!L:L,'Shipments data'!F:F,'Supply planning data'!C196,'Shipments data'!A:A,'Supply planning data'!A196,'Shipments data'!O:O,"received",'Shipments data'!Q:Q,"&lt;"&amp;'Supply planning data'!D211,'Shipments data'!AC:AC,"&lt;"&amp;'Supply planning data'!D211)-SUMIFS(M:M,D:D,"&lt;="&amp;D196,C:C,C196)+SUMIFS(N:N,D:D,"&lt;="&amp;D196,C:C,C196)+SUMIFS(P:P,D:D,"&lt;="&amp;D196,C:C,C196)&lt;0,0,SUMIFS('Shipments data'!L:L,'Shipments data'!F:F,'Supply planning data'!C196,'Shipments data'!A:A,'Supply planning data'!A196,'Shipments data'!O:O,"received",'Shipments data'!Q:Q,"&lt;"&amp;'Supply planning data'!D211,'Shipments data'!AC:AC,"&lt;"&amp;'Supply planning data'!D211)-SUMIFS(M:M,D:D,"&lt;="&amp;D196,C:C,C196)+SUMIFS(N:N,D:D,"&lt;="&amp;D196,C:C,C196)+SUMIFS(P:P,D:D,"&lt;="&amp;D196,C:C,C196))</f>
        <v>0</v>
      </c>
      <c r="U196" s="99">
        <f t="shared" si="60"/>
        <v>0</v>
      </c>
      <c r="V196" s="98">
        <f t="shared" si="69"/>
        <v>0</v>
      </c>
      <c r="W196" s="203" t="str">
        <f t="shared" si="66"/>
        <v/>
      </c>
      <c r="X196" s="98">
        <f t="shared" si="61"/>
        <v>0</v>
      </c>
      <c r="Y196" s="97"/>
      <c r="Z196" s="93"/>
      <c r="AA196" s="98">
        <f t="shared" si="54"/>
        <v>0</v>
      </c>
      <c r="AB196" s="233"/>
      <c r="AC196" s="98">
        <f>IF(SUMIFS('Shipments data'!L:L,'Shipments data'!F:F,'Supply planning data'!C196,'Shipments data'!A:A,'Supply planning data'!A196,'Shipments data'!O:O,"received",'Shipments data'!Q:Q,"&lt;"&amp;'Supply planning data'!D211,'Shipments data'!AC:AC,"&lt;"&amp;'Supply planning data'!D211)-SUMIFS(M:M,D:D,"&lt;="&amp;D196,C:C,C196)-SUMIFS(AA:AA,D:D,"&lt;="&amp;D196,C:C,C196)+SUMIFS(N:N,D:D,"&lt;="&amp;D196,C:C,C196)+SUMIFS(P:P,D:D,"&lt;="&amp;D196,C:C,C196)&lt;0,0,SUMIFS('Shipments data'!L:L,'Shipments data'!F:F,'Supply planning data'!C196,'Shipments data'!A:A,'Supply planning data'!A196,'Shipments data'!O:O,"received",'Shipments data'!Q:Q,"&lt;"&amp;'Supply planning data'!D211,'Shipments data'!AC:AC,"&lt;"&amp;'Supply planning data'!D211)-SUMIFS(M:M,D:D,"&lt;="&amp;D196,C:C,C196)-SUMIFS(AA:AA,D:D,"&lt;="&amp;D196,C:C,C196)+SUMIFS(N:N,D:D,"&lt;="&amp;D196,C:C,C196)+SUMIFS(P:P,D:D,"&lt;="&amp;D196,C:C,C196))</f>
        <v>0</v>
      </c>
      <c r="AD196" s="98">
        <f t="shared" si="62"/>
        <v>0</v>
      </c>
      <c r="AE196" s="98">
        <f t="shared" si="56"/>
        <v>0</v>
      </c>
      <c r="AF196" s="205" t="str">
        <f t="shared" si="65"/>
        <v/>
      </c>
      <c r="AG196" s="98">
        <f t="shared" si="63"/>
        <v>0</v>
      </c>
      <c r="AH196" s="97"/>
      <c r="AI196" s="311"/>
      <c r="AJ196" s="98">
        <f t="shared" si="55"/>
        <v>0</v>
      </c>
      <c r="AK196" s="233"/>
      <c r="AL196" s="98">
        <f>IF(SUMIFS('Shipments data'!L:L,'Shipments data'!F:F,'Supply planning data'!C196,'Shipments data'!A:A,'Supply planning data'!A196,'Shipments data'!O:O,"received",'Shipments data'!Q:Q,"&lt;"&amp;'Supply planning data'!D211,'Shipments data'!AC:AC,"&lt;"&amp;'Supply planning data'!D211)-SUMIFS(M:M,D:D,"&lt;="&amp;D196,C:C,C196)-SUMIFS(AJ:AJ,D:D,"&lt;="&amp;D196,C:C,C196)+SUMIFS(N:N,D:D,"&lt;="&amp;D196,C:C,C196)+SUMIFS(P:P,D:D,"&lt;="&amp;D196,C:C,C196)&lt;0,0,SUMIFS('Shipments data'!L:L,'Shipments data'!F:F,'Supply planning data'!C196,'Shipments data'!A:A,'Supply planning data'!A196,'Shipments data'!O:O,"received",'Shipments data'!Q:Q,"&lt;"&amp;'Supply planning data'!D211,'Shipments data'!AC:AC,"&lt;"&amp;'Supply planning data'!D211)-SUMIFS(M:M,D:D,"&lt;="&amp;D196,C:C,C196)-SUMIFS(AJ:AJ,D:D,"&lt;="&amp;D196,C:C,C196)+SUMIFS(N:N,D:D,"&lt;="&amp;D196,C:C,C196)+SUMIFS(P:P,D:D,"&lt;="&amp;D196,C:C,C196))</f>
        <v>0</v>
      </c>
      <c r="AM196" s="98">
        <f t="shared" si="64"/>
        <v>0</v>
      </c>
      <c r="AN196" s="98">
        <f t="shared" si="57"/>
        <v>0</v>
      </c>
      <c r="AO196" s="203" t="str">
        <f t="shared" si="67"/>
        <v/>
      </c>
    </row>
    <row r="197" spans="1:41" hidden="1" x14ac:dyDescent="0.25">
      <c r="A197" s="95" t="str">
        <f>Start!D$7</f>
        <v>Anyland</v>
      </c>
      <c r="B197" s="96" t="str">
        <f>VLOOKUP(A197,list!B:C,2,FALSE)</f>
        <v>ANY</v>
      </c>
      <c r="C197" s="90" t="str">
        <f>IF(Start!$C$29="","",Start!$C$29)</f>
        <v/>
      </c>
      <c r="D197" s="296">
        <f t="shared" si="58"/>
        <v>44562</v>
      </c>
      <c r="E197" s="92" t="str">
        <f>IFERROR(VLOOKUP(C197,Start!C$15:D$31,2,FALSE),"No")</f>
        <v>No</v>
      </c>
      <c r="F197" s="92">
        <f t="shared" si="59"/>
        <v>0</v>
      </c>
      <c r="G197" s="91"/>
      <c r="H197" s="97"/>
      <c r="I197" s="97"/>
      <c r="J197" s="98">
        <f t="shared" ref="J197:J260" si="70">SUM(G197:I197)</f>
        <v>0</v>
      </c>
      <c r="K197" s="97"/>
      <c r="L197" s="175" t="str">
        <f t="shared" ref="L197:L260" si="71">IFERROR(K197/J197, "")</f>
        <v/>
      </c>
      <c r="M197" s="98">
        <f t="shared" ref="M197:M260" si="72">SUM(J197,K197)</f>
        <v>0</v>
      </c>
      <c r="N197" s="97"/>
      <c r="O197" s="122"/>
      <c r="P197" s="97"/>
      <c r="Q197" s="122"/>
      <c r="R197" s="98">
        <f>SUMIFS('Shipments data'!L:L,'Shipments data'!F:F,'Supply planning data'!C197,'Shipments data'!A:A,'Supply planning data'!A197,'Shipments data'!Y:Y,'Supply planning data'!D197,'Shipments data'!O:O,"received", 'Shipments data'!N:N, "Public")</f>
        <v>0</v>
      </c>
      <c r="S197" s="98">
        <f>SUMIFS('Shipments data'!L:L,'Shipments data'!F:F,'Supply planning data'!C197,'Shipments data'!A:A,'Supply planning data'!A197,'Shipments data'!Y:Y,'Supply planning data'!D197,'Shipments data'!O:O,"ordered", 'Shipments data'!N:N, "Public")</f>
        <v>0</v>
      </c>
      <c r="T197" s="98">
        <f>IF(SUMIFS('Shipments data'!L:L,'Shipments data'!F:F,'Supply planning data'!C197,'Shipments data'!A:A,'Supply planning data'!A197,'Shipments data'!O:O,"received",'Shipments data'!Q:Q,"&lt;"&amp;'Supply planning data'!D212,'Shipments data'!AC:AC,"&lt;"&amp;'Supply planning data'!D212)-SUMIFS(M:M,D:D,"&lt;="&amp;D197,C:C,C197)+SUMIFS(N:N,D:D,"&lt;="&amp;D197,C:C,C197)+SUMIFS(P:P,D:D,"&lt;="&amp;D197,C:C,C197)&lt;0,0,SUMIFS('Shipments data'!L:L,'Shipments data'!F:F,'Supply planning data'!C197,'Shipments data'!A:A,'Supply planning data'!A197,'Shipments data'!O:O,"received",'Shipments data'!Q:Q,"&lt;"&amp;'Supply planning data'!D212,'Shipments data'!AC:AC,"&lt;"&amp;'Supply planning data'!D212)-SUMIFS(M:M,D:D,"&lt;="&amp;D197,C:C,C197)+SUMIFS(N:N,D:D,"&lt;="&amp;D197,C:C,C197)+SUMIFS(P:P,D:D,"&lt;="&amp;D197,C:C,C197))</f>
        <v>0</v>
      </c>
      <c r="U197" s="99">
        <f t="shared" si="60"/>
        <v>0</v>
      </c>
      <c r="V197" s="98">
        <f t="shared" si="69"/>
        <v>0</v>
      </c>
      <c r="W197" s="203" t="str">
        <f t="shared" si="66"/>
        <v/>
      </c>
      <c r="X197" s="98">
        <f t="shared" si="61"/>
        <v>0</v>
      </c>
      <c r="Y197" s="97"/>
      <c r="Z197" s="93"/>
      <c r="AA197" s="98">
        <f t="shared" ref="AA197:AA260" si="73">IFERROR(Z197*Y197,0)+Y197</f>
        <v>0</v>
      </c>
      <c r="AB197" s="233"/>
      <c r="AC197" s="98">
        <f>IF(SUMIFS('Shipments data'!L:L,'Shipments data'!F:F,'Supply planning data'!C197,'Shipments data'!A:A,'Supply planning data'!A197,'Shipments data'!O:O,"received",'Shipments data'!Q:Q,"&lt;"&amp;'Supply planning data'!D212,'Shipments data'!AC:AC,"&lt;"&amp;'Supply planning data'!D212)-SUMIFS(M:M,D:D,"&lt;="&amp;D197,C:C,C197)-SUMIFS(AA:AA,D:D,"&lt;="&amp;D197,C:C,C197)+SUMIFS(N:N,D:D,"&lt;="&amp;D197,C:C,C197)+SUMIFS(P:P,D:D,"&lt;="&amp;D197,C:C,C197)&lt;0,0,SUMIFS('Shipments data'!L:L,'Shipments data'!F:F,'Supply planning data'!C197,'Shipments data'!A:A,'Supply planning data'!A197,'Shipments data'!O:O,"received",'Shipments data'!Q:Q,"&lt;"&amp;'Supply planning data'!D212,'Shipments data'!AC:AC,"&lt;"&amp;'Supply planning data'!D212)-SUMIFS(M:M,D:D,"&lt;="&amp;D197,C:C,C197)-SUMIFS(AA:AA,D:D,"&lt;="&amp;D197,C:C,C197)+SUMIFS(N:N,D:D,"&lt;="&amp;D197,C:C,C197)+SUMIFS(P:P,D:D,"&lt;="&amp;D197,C:C,C197))</f>
        <v>0</v>
      </c>
      <c r="AD197" s="98">
        <f t="shared" si="62"/>
        <v>0</v>
      </c>
      <c r="AE197" s="98">
        <f t="shared" si="56"/>
        <v>0</v>
      </c>
      <c r="AF197" s="205" t="str">
        <f t="shared" si="65"/>
        <v/>
      </c>
      <c r="AG197" s="98">
        <f t="shared" si="63"/>
        <v>0</v>
      </c>
      <c r="AH197" s="97"/>
      <c r="AI197" s="311"/>
      <c r="AJ197" s="98">
        <f t="shared" ref="AJ197:AJ260" si="74">IFERROR(AI197*AH197,0)+AH197</f>
        <v>0</v>
      </c>
      <c r="AK197" s="233"/>
      <c r="AL197" s="98">
        <f>IF(SUMIFS('Shipments data'!L:L,'Shipments data'!F:F,'Supply planning data'!C197,'Shipments data'!A:A,'Supply planning data'!A197,'Shipments data'!O:O,"received",'Shipments data'!Q:Q,"&lt;"&amp;'Supply planning data'!D212,'Shipments data'!AC:AC,"&lt;"&amp;'Supply planning data'!D212)-SUMIFS(M:M,D:D,"&lt;="&amp;D197,C:C,C197)-SUMIFS(AJ:AJ,D:D,"&lt;="&amp;D197,C:C,C197)+SUMIFS(N:N,D:D,"&lt;="&amp;D197,C:C,C197)+SUMIFS(P:P,D:D,"&lt;="&amp;D197,C:C,C197)&lt;0,0,SUMIFS('Shipments data'!L:L,'Shipments data'!F:F,'Supply planning data'!C197,'Shipments data'!A:A,'Supply planning data'!A197,'Shipments data'!O:O,"received",'Shipments data'!Q:Q,"&lt;"&amp;'Supply planning data'!D212,'Shipments data'!AC:AC,"&lt;"&amp;'Supply planning data'!D212)-SUMIFS(M:M,D:D,"&lt;="&amp;D197,C:C,C197)-SUMIFS(AJ:AJ,D:D,"&lt;="&amp;D197,C:C,C197)+SUMIFS(N:N,D:D,"&lt;="&amp;D197,C:C,C197)+SUMIFS(P:P,D:D,"&lt;="&amp;D197,C:C,C197))</f>
        <v>0</v>
      </c>
      <c r="AM197" s="98">
        <f t="shared" si="64"/>
        <v>0</v>
      </c>
      <c r="AN197" s="98">
        <f t="shared" si="57"/>
        <v>0</v>
      </c>
      <c r="AO197" s="203" t="str">
        <f t="shared" si="67"/>
        <v/>
      </c>
    </row>
    <row r="198" spans="1:41" hidden="1" x14ac:dyDescent="0.25">
      <c r="A198" s="95" t="str">
        <f>Start!D$7</f>
        <v>Anyland</v>
      </c>
      <c r="B198" s="96" t="str">
        <f>VLOOKUP(A198,list!B:C,2,FALSE)</f>
        <v>ANY</v>
      </c>
      <c r="C198" s="90" t="str">
        <f>IF(Start!$C$30="","",Start!$C$30)</f>
        <v/>
      </c>
      <c r="D198" s="296">
        <f t="shared" si="58"/>
        <v>44562</v>
      </c>
      <c r="E198" s="92" t="str">
        <f>IFERROR(VLOOKUP(C198,Start!C$15:D$31,2,FALSE),"No")</f>
        <v>No</v>
      </c>
      <c r="F198" s="92">
        <f t="shared" si="59"/>
        <v>0</v>
      </c>
      <c r="G198" s="91"/>
      <c r="H198" s="97"/>
      <c r="I198" s="97"/>
      <c r="J198" s="98">
        <f t="shared" si="70"/>
        <v>0</v>
      </c>
      <c r="K198" s="97"/>
      <c r="L198" s="175" t="str">
        <f t="shared" si="71"/>
        <v/>
      </c>
      <c r="M198" s="98">
        <f t="shared" si="72"/>
        <v>0</v>
      </c>
      <c r="N198" s="97"/>
      <c r="O198" s="122"/>
      <c r="P198" s="97"/>
      <c r="Q198" s="122"/>
      <c r="R198" s="98">
        <f>SUMIFS('Shipments data'!L:L,'Shipments data'!F:F,'Supply planning data'!C198,'Shipments data'!A:A,'Supply planning data'!A198,'Shipments data'!Y:Y,'Supply planning data'!D198,'Shipments data'!O:O,"received", 'Shipments data'!N:N, "Public")</f>
        <v>0</v>
      </c>
      <c r="S198" s="98">
        <f>SUMIFS('Shipments data'!L:L,'Shipments data'!F:F,'Supply planning data'!C198,'Shipments data'!A:A,'Supply planning data'!A198,'Shipments data'!Y:Y,'Supply planning data'!D198,'Shipments data'!O:O,"ordered", 'Shipments data'!N:N, "Public")</f>
        <v>0</v>
      </c>
      <c r="T198" s="98">
        <f>IF(SUMIFS('Shipments data'!L:L,'Shipments data'!F:F,'Supply planning data'!C198,'Shipments data'!A:A,'Supply planning data'!A198,'Shipments data'!O:O,"received",'Shipments data'!Q:Q,"&lt;"&amp;'Supply planning data'!D213,'Shipments data'!AC:AC,"&lt;"&amp;'Supply planning data'!D213)-SUMIFS(M:M,D:D,"&lt;="&amp;D198,C:C,C198)+SUMIFS(N:N,D:D,"&lt;="&amp;D198,C:C,C198)+SUMIFS(P:P,D:D,"&lt;="&amp;D198,C:C,C198)&lt;0,0,SUMIFS('Shipments data'!L:L,'Shipments data'!F:F,'Supply planning data'!C198,'Shipments data'!A:A,'Supply planning data'!A198,'Shipments data'!O:O,"received",'Shipments data'!Q:Q,"&lt;"&amp;'Supply planning data'!D213,'Shipments data'!AC:AC,"&lt;"&amp;'Supply planning data'!D213)-SUMIFS(M:M,D:D,"&lt;="&amp;D198,C:C,C198)+SUMIFS(N:N,D:D,"&lt;="&amp;D198,C:C,C198)+SUMIFS(P:P,D:D,"&lt;="&amp;D198,C:C,C198))</f>
        <v>0</v>
      </c>
      <c r="U198" s="99">
        <f t="shared" si="60"/>
        <v>0</v>
      </c>
      <c r="V198" s="98">
        <f t="shared" si="69"/>
        <v>0</v>
      </c>
      <c r="W198" s="203" t="str">
        <f t="shared" si="66"/>
        <v/>
      </c>
      <c r="X198" s="98">
        <f t="shared" si="61"/>
        <v>0</v>
      </c>
      <c r="Y198" s="97"/>
      <c r="Z198" s="93"/>
      <c r="AA198" s="98">
        <f t="shared" si="73"/>
        <v>0</v>
      </c>
      <c r="AB198" s="233"/>
      <c r="AC198" s="98">
        <f>IF(SUMIFS('Shipments data'!L:L,'Shipments data'!F:F,'Supply planning data'!C198,'Shipments data'!A:A,'Supply planning data'!A198,'Shipments data'!O:O,"received",'Shipments data'!Q:Q,"&lt;"&amp;'Supply planning data'!D213,'Shipments data'!AC:AC,"&lt;"&amp;'Supply planning data'!D213)-SUMIFS(M:M,D:D,"&lt;="&amp;D198,C:C,C198)-SUMIFS(AA:AA,D:D,"&lt;="&amp;D198,C:C,C198)+SUMIFS(N:N,D:D,"&lt;="&amp;D198,C:C,C198)+SUMIFS(P:P,D:D,"&lt;="&amp;D198,C:C,C198)&lt;0,0,SUMIFS('Shipments data'!L:L,'Shipments data'!F:F,'Supply planning data'!C198,'Shipments data'!A:A,'Supply planning data'!A198,'Shipments data'!O:O,"received",'Shipments data'!Q:Q,"&lt;"&amp;'Supply planning data'!D213,'Shipments data'!AC:AC,"&lt;"&amp;'Supply planning data'!D213)-SUMIFS(M:M,D:D,"&lt;="&amp;D198,C:C,C198)-SUMIFS(AA:AA,D:D,"&lt;="&amp;D198,C:C,C198)+SUMIFS(N:N,D:D,"&lt;="&amp;D198,C:C,C198)+SUMIFS(P:P,D:D,"&lt;="&amp;D198,C:C,C198))</f>
        <v>0</v>
      </c>
      <c r="AD198" s="98">
        <f t="shared" si="62"/>
        <v>0</v>
      </c>
      <c r="AE198" s="98">
        <f t="shared" ref="AE198:AE261" si="75">IF(X198+R198+S198+AB198+N198+P198-M198-AA198-U198&lt;0,0,X198+R198+S198+AB198+N198+P198-M198-AA198-U198)</f>
        <v>0</v>
      </c>
      <c r="AF198" s="205" t="str">
        <f t="shared" si="65"/>
        <v/>
      </c>
      <c r="AG198" s="98">
        <f t="shared" si="63"/>
        <v>0</v>
      </c>
      <c r="AH198" s="97"/>
      <c r="AI198" s="311"/>
      <c r="AJ198" s="98">
        <f t="shared" si="74"/>
        <v>0</v>
      </c>
      <c r="AK198" s="233"/>
      <c r="AL198" s="98">
        <f>IF(SUMIFS('Shipments data'!L:L,'Shipments data'!F:F,'Supply planning data'!C198,'Shipments data'!A:A,'Supply planning data'!A198,'Shipments data'!O:O,"received",'Shipments data'!Q:Q,"&lt;"&amp;'Supply planning data'!D213,'Shipments data'!AC:AC,"&lt;"&amp;'Supply planning data'!D213)-SUMIFS(M:M,D:D,"&lt;="&amp;D198,C:C,C198)-SUMIFS(AJ:AJ,D:D,"&lt;="&amp;D198,C:C,C198)+SUMIFS(N:N,D:D,"&lt;="&amp;D198,C:C,C198)+SUMIFS(P:P,D:D,"&lt;="&amp;D198,C:C,C198)&lt;0,0,SUMIFS('Shipments data'!L:L,'Shipments data'!F:F,'Supply planning data'!C198,'Shipments data'!A:A,'Supply planning data'!A198,'Shipments data'!O:O,"received",'Shipments data'!Q:Q,"&lt;"&amp;'Supply planning data'!D213,'Shipments data'!AC:AC,"&lt;"&amp;'Supply planning data'!D213)-SUMIFS(M:M,D:D,"&lt;="&amp;D198,C:C,C198)-SUMIFS(AJ:AJ,D:D,"&lt;="&amp;D198,C:C,C198)+SUMIFS(N:N,D:D,"&lt;="&amp;D198,C:C,C198)+SUMIFS(P:P,D:D,"&lt;="&amp;D198,C:C,C198))</f>
        <v>0</v>
      </c>
      <c r="AM198" s="98">
        <f t="shared" si="64"/>
        <v>0</v>
      </c>
      <c r="AN198" s="98">
        <f t="shared" ref="AN198:AN261" si="76">IF(AG198+$R198+$S198+AK198+$N198+$P198-$M198-AJ198-$AM198&lt;0,0,AG198+$R198+$S198+AK198+$N198+$P198-$M198-AJ198-$AM198)</f>
        <v>0</v>
      </c>
      <c r="AO198" s="203" t="str">
        <f t="shared" si="67"/>
        <v/>
      </c>
    </row>
    <row r="199" spans="1:41" hidden="1" x14ac:dyDescent="0.25">
      <c r="A199" s="95" t="str">
        <f>Start!D$7</f>
        <v>Anyland</v>
      </c>
      <c r="B199" s="100" t="str">
        <f>VLOOKUP(A199,list!B:C,2,FALSE)</f>
        <v>ANY</v>
      </c>
      <c r="C199" s="90" t="str">
        <f>IF(Start!$C$31="","",Start!$C$31)</f>
        <v/>
      </c>
      <c r="D199" s="296">
        <f t="shared" si="58"/>
        <v>44562</v>
      </c>
      <c r="E199" s="92" t="str">
        <f>IFERROR(VLOOKUP(C199,Start!C$15:D$31,2,FALSE),"No")</f>
        <v>No</v>
      </c>
      <c r="F199" s="92">
        <f t="shared" si="59"/>
        <v>0</v>
      </c>
      <c r="G199" s="91"/>
      <c r="H199" s="97"/>
      <c r="I199" s="97"/>
      <c r="J199" s="98">
        <f t="shared" si="70"/>
        <v>0</v>
      </c>
      <c r="K199" s="97"/>
      <c r="L199" s="175" t="str">
        <f t="shared" si="71"/>
        <v/>
      </c>
      <c r="M199" s="98">
        <f t="shared" si="72"/>
        <v>0</v>
      </c>
      <c r="N199" s="97"/>
      <c r="O199" s="122"/>
      <c r="P199" s="97"/>
      <c r="Q199" s="122"/>
      <c r="R199" s="98">
        <f>SUMIFS('Shipments data'!L:L,'Shipments data'!F:F,'Supply planning data'!C199,'Shipments data'!A:A,'Supply planning data'!A199,'Shipments data'!Y:Y,'Supply planning data'!D199,'Shipments data'!O:O,"received", 'Shipments data'!N:N, "Public")</f>
        <v>0</v>
      </c>
      <c r="S199" s="98">
        <f>SUMIFS('Shipments data'!L:L,'Shipments data'!F:F,'Supply planning data'!C199,'Shipments data'!A:A,'Supply planning data'!A199,'Shipments data'!Y:Y,'Supply planning data'!D199,'Shipments data'!O:O,"ordered", 'Shipments data'!N:N, "Public")</f>
        <v>0</v>
      </c>
      <c r="T199" s="98">
        <f>IF(SUMIFS('Shipments data'!L:L,'Shipments data'!F:F,'Supply planning data'!C199,'Shipments data'!A:A,'Supply planning data'!A199,'Shipments data'!O:O,"received",'Shipments data'!Q:Q,"&lt;"&amp;'Supply planning data'!D214,'Shipments data'!AC:AC,"&lt;"&amp;'Supply planning data'!D214)-SUMIFS(M:M,D:D,"&lt;="&amp;D199,C:C,C199)+SUMIFS(N:N,D:D,"&lt;="&amp;D199,C:C,C199)+SUMIFS(P:P,D:D,"&lt;="&amp;D199,C:C,C199)&lt;0,0,SUMIFS('Shipments data'!L:L,'Shipments data'!F:F,'Supply planning data'!C199,'Shipments data'!A:A,'Supply planning data'!A199,'Shipments data'!O:O,"received",'Shipments data'!Q:Q,"&lt;"&amp;'Supply planning data'!D214,'Shipments data'!AC:AC,"&lt;"&amp;'Supply planning data'!D214)-SUMIFS(M:M,D:D,"&lt;="&amp;D199,C:C,C199)+SUMIFS(N:N,D:D,"&lt;="&amp;D199,C:C,C199)+SUMIFS(P:P,D:D,"&lt;="&amp;D199,C:C,C199))</f>
        <v>0</v>
      </c>
      <c r="U199" s="99">
        <f t="shared" si="60"/>
        <v>0</v>
      </c>
      <c r="V199" s="98">
        <f t="shared" si="69"/>
        <v>0</v>
      </c>
      <c r="W199" s="203" t="str">
        <f t="shared" si="66"/>
        <v/>
      </c>
      <c r="X199" s="98">
        <f t="shared" si="61"/>
        <v>0</v>
      </c>
      <c r="Y199" s="97"/>
      <c r="Z199" s="93"/>
      <c r="AA199" s="98">
        <f t="shared" si="73"/>
        <v>0</v>
      </c>
      <c r="AB199" s="233"/>
      <c r="AC199" s="98">
        <f>IF(SUMIFS('Shipments data'!L:L,'Shipments data'!F:F,'Supply planning data'!C199,'Shipments data'!A:A,'Supply planning data'!A199,'Shipments data'!O:O,"received",'Shipments data'!Q:Q,"&lt;"&amp;'Supply planning data'!D214,'Shipments data'!AC:AC,"&lt;"&amp;'Supply planning data'!D214)-SUMIFS(M:M,D:D,"&lt;="&amp;D199,C:C,C199)-SUMIFS(AA:AA,D:D,"&lt;="&amp;D199,C:C,C199)+SUMIFS(N:N,D:D,"&lt;="&amp;D199,C:C,C199)+SUMIFS(P:P,D:D,"&lt;="&amp;D199,C:C,C199)&lt;0,0,SUMIFS('Shipments data'!L:L,'Shipments data'!F:F,'Supply planning data'!C199,'Shipments data'!A:A,'Supply planning data'!A199,'Shipments data'!O:O,"received",'Shipments data'!Q:Q,"&lt;"&amp;'Supply planning data'!D214,'Shipments data'!AC:AC,"&lt;"&amp;'Supply planning data'!D214)-SUMIFS(M:M,D:D,"&lt;="&amp;D199,C:C,C199)-SUMIFS(AA:AA,D:D,"&lt;="&amp;D199,C:C,C199)+SUMIFS(N:N,D:D,"&lt;="&amp;D199,C:C,C199)+SUMIFS(P:P,D:D,"&lt;="&amp;D199,C:C,C199))</f>
        <v>0</v>
      </c>
      <c r="AD199" s="98">
        <f t="shared" si="62"/>
        <v>0</v>
      </c>
      <c r="AE199" s="98">
        <f t="shared" si="75"/>
        <v>0</v>
      </c>
      <c r="AF199" s="205" t="str">
        <f t="shared" si="65"/>
        <v/>
      </c>
      <c r="AG199" s="98">
        <f t="shared" si="63"/>
        <v>0</v>
      </c>
      <c r="AH199" s="97"/>
      <c r="AI199" s="311"/>
      <c r="AJ199" s="98">
        <f t="shared" si="74"/>
        <v>0</v>
      </c>
      <c r="AK199" s="233"/>
      <c r="AL199" s="98">
        <f>IF(SUMIFS('Shipments data'!L:L,'Shipments data'!F:F,'Supply planning data'!C199,'Shipments data'!A:A,'Supply planning data'!A199,'Shipments data'!O:O,"received",'Shipments data'!Q:Q,"&lt;"&amp;'Supply planning data'!D214,'Shipments data'!AC:AC,"&lt;"&amp;'Supply planning data'!D214)-SUMIFS(M:M,D:D,"&lt;="&amp;D199,C:C,C199)-SUMIFS(AJ:AJ,D:D,"&lt;="&amp;D199,C:C,C199)+SUMIFS(N:N,D:D,"&lt;="&amp;D199,C:C,C199)+SUMIFS(P:P,D:D,"&lt;="&amp;D199,C:C,C199)&lt;0,0,SUMIFS('Shipments data'!L:L,'Shipments data'!F:F,'Supply planning data'!C199,'Shipments data'!A:A,'Supply planning data'!A199,'Shipments data'!O:O,"received",'Shipments data'!Q:Q,"&lt;"&amp;'Supply planning data'!D214,'Shipments data'!AC:AC,"&lt;"&amp;'Supply planning data'!D214)-SUMIFS(M:M,D:D,"&lt;="&amp;D199,C:C,C199)-SUMIFS(AJ:AJ,D:D,"&lt;="&amp;D199,C:C,C199)+SUMIFS(N:N,D:D,"&lt;="&amp;D199,C:C,C199)+SUMIFS(P:P,D:D,"&lt;="&amp;D199,C:C,C199))</f>
        <v>0</v>
      </c>
      <c r="AM199" s="98">
        <f t="shared" si="64"/>
        <v>0</v>
      </c>
      <c r="AN199" s="98">
        <f t="shared" si="76"/>
        <v>0</v>
      </c>
      <c r="AO199" s="203" t="str">
        <f t="shared" si="67"/>
        <v/>
      </c>
    </row>
    <row r="200" spans="1:41" x14ac:dyDescent="0.25">
      <c r="A200" s="103" t="str">
        <f>Start!D$7</f>
        <v>Anyland</v>
      </c>
      <c r="B200" s="104" t="str">
        <f>VLOOKUP(A200,list!B:C,2,FALSE)</f>
        <v>ANY</v>
      </c>
      <c r="C200" s="104" t="str">
        <f>IF(Start!$C$17="","",Start!$C$17)</f>
        <v>AstraZeneca</v>
      </c>
      <c r="D200" s="298">
        <f t="shared" si="58"/>
        <v>44593</v>
      </c>
      <c r="E200" s="105" t="str">
        <f>IFERROR(VLOOKUP(C200,Start!C$15:D$31,2,FALSE),"No")</f>
        <v>Yes</v>
      </c>
      <c r="F200" s="105">
        <f t="shared" si="59"/>
        <v>113888</v>
      </c>
      <c r="G200" s="106">
        <v>25000</v>
      </c>
      <c r="H200" s="106">
        <v>3600</v>
      </c>
      <c r="I200" s="106"/>
      <c r="J200" s="105">
        <f t="shared" si="70"/>
        <v>28600</v>
      </c>
      <c r="K200" s="106"/>
      <c r="L200" s="177">
        <f t="shared" si="71"/>
        <v>0</v>
      </c>
      <c r="M200" s="105">
        <f t="shared" si="72"/>
        <v>28600</v>
      </c>
      <c r="N200" s="106">
        <v>-128057</v>
      </c>
      <c r="O200" s="123" t="s">
        <v>130</v>
      </c>
      <c r="P200" s="106"/>
      <c r="Q200" s="123"/>
      <c r="R200" s="105">
        <f>SUMIFS('Shipments data'!L:L,'Shipments data'!F:F,'Supply planning data'!C200,'Shipments data'!A:A,'Supply planning data'!A200,'Shipments data'!Y:Y,'Supply planning data'!D200,'Shipments data'!O:O,"received", 'Shipments data'!N:N, "Public")</f>
        <v>0</v>
      </c>
      <c r="S200" s="105">
        <f>SUMIFS('Shipments data'!L:L,'Shipments data'!F:F,'Supply planning data'!C200,'Shipments data'!A:A,'Supply planning data'!A200,'Shipments data'!Y:Y,'Supply planning data'!D200,'Shipments data'!O:O,"ordered", 'Shipments data'!N:N, "Public")</f>
        <v>0</v>
      </c>
      <c r="T200" s="105">
        <f>IF(SUMIFS('Shipments data'!L:L,'Shipments data'!F:F,'Supply planning data'!C200,'Shipments data'!A:A,'Supply planning data'!A200,'Shipments data'!O:O,"received",'Shipments data'!Q:Q,"&lt;"&amp;'Supply planning data'!D215,'Shipments data'!AC:AC,"&lt;"&amp;'Supply planning data'!D215)-SUMIFS(M:M,D:D,"&lt;="&amp;D200,C:C,C200)+SUMIFS(N:N,D:D,"&lt;="&amp;D200,C:C,C200)+SUMIFS(P:P,D:D,"&lt;="&amp;D200,C:C,C200)&lt;0,0,SUMIFS('Shipments data'!L:L,'Shipments data'!F:F,'Supply planning data'!C200,'Shipments data'!A:A,'Supply planning data'!A200,'Shipments data'!O:O,"received",'Shipments data'!Q:Q,"&lt;"&amp;'Supply planning data'!D215,'Shipments data'!AC:AC,"&lt;"&amp;'Supply planning data'!D215)-SUMIFS(M:M,D:D,"&lt;="&amp;D200,C:C,C200)+SUMIFS(N:N,D:D,"&lt;="&amp;D200,C:C,C200)+SUMIFS(P:P,D:D,"&lt;="&amp;D200,C:C,C200))</f>
        <v>0</v>
      </c>
      <c r="U200" s="108">
        <f t="shared" si="60"/>
        <v>0</v>
      </c>
      <c r="V200" s="105">
        <f t="shared" si="69"/>
        <v>0</v>
      </c>
      <c r="W200" s="206">
        <f t="shared" si="66"/>
        <v>0</v>
      </c>
      <c r="X200" s="105">
        <f t="shared" si="61"/>
        <v>904208</v>
      </c>
      <c r="Y200" s="106"/>
      <c r="Z200" s="107"/>
      <c r="AA200" s="105">
        <f t="shared" si="73"/>
        <v>0</v>
      </c>
      <c r="AB200" s="234"/>
      <c r="AC200" s="105">
        <f>IF(SUMIFS('Shipments data'!L:L,'Shipments data'!F:F,'Supply planning data'!C200,'Shipments data'!A:A,'Supply planning data'!A200,'Shipments data'!O:O,"received",'Shipments data'!Q:Q,"&lt;"&amp;'Supply planning data'!D215,'Shipments data'!AC:AC,"&lt;"&amp;'Supply planning data'!D215)-SUMIFS(M:M,D:D,"&lt;="&amp;D200,C:C,C200)-SUMIFS(AA:AA,D:D,"&lt;="&amp;D200,C:C,C200)+SUMIFS(N:N,D:D,"&lt;="&amp;D200,C:C,C200)+SUMIFS(P:P,D:D,"&lt;="&amp;D200,C:C,C200)&lt;0,0,SUMIFS('Shipments data'!L:L,'Shipments data'!F:F,'Supply planning data'!C200,'Shipments data'!A:A,'Supply planning data'!A200,'Shipments data'!O:O,"received",'Shipments data'!Q:Q,"&lt;"&amp;'Supply planning data'!D215,'Shipments data'!AC:AC,"&lt;"&amp;'Supply planning data'!D215)-SUMIFS(M:M,D:D,"&lt;="&amp;D200,C:C,C200)-SUMIFS(AA:AA,D:D,"&lt;="&amp;D200,C:C,C200)+SUMIFS(N:N,D:D,"&lt;="&amp;D200,C:C,C200)+SUMIFS(P:P,D:D,"&lt;="&amp;D200,C:C,C200))</f>
        <v>0</v>
      </c>
      <c r="AD200" s="105">
        <f t="shared" si="62"/>
        <v>0</v>
      </c>
      <c r="AE200" s="105">
        <f t="shared" si="75"/>
        <v>747551</v>
      </c>
      <c r="AF200" s="206">
        <f t="shared" si="65"/>
        <v>36.495573637103341</v>
      </c>
      <c r="AG200" s="105">
        <f t="shared" si="63"/>
        <v>113888</v>
      </c>
      <c r="AH200" s="106"/>
      <c r="AI200" s="312"/>
      <c r="AJ200" s="105">
        <f t="shared" si="74"/>
        <v>0</v>
      </c>
      <c r="AK200" s="234"/>
      <c r="AL200" s="105">
        <f>IF(SUMIFS('Shipments data'!L:L,'Shipments data'!F:F,'Supply planning data'!C200,'Shipments data'!A:A,'Supply planning data'!A200,'Shipments data'!O:O,"received",'Shipments data'!Q:Q,"&lt;"&amp;'Supply planning data'!D215,'Shipments data'!AC:AC,"&lt;"&amp;'Supply planning data'!D215)-SUMIFS(M:M,D:D,"&lt;="&amp;D200,C:C,C200)-SUMIFS(AJ:AJ,D:D,"&lt;="&amp;D200,C:C,C200)+SUMIFS(N:N,D:D,"&lt;="&amp;D200,C:C,C200)+SUMIFS(P:P,D:D,"&lt;="&amp;D200,C:C,C200)&lt;0,0,SUMIFS('Shipments data'!L:L,'Shipments data'!F:F,'Supply planning data'!C200,'Shipments data'!A:A,'Supply planning data'!A200,'Shipments data'!O:O,"received",'Shipments data'!Q:Q,"&lt;"&amp;'Supply planning data'!D215,'Shipments data'!AC:AC,"&lt;"&amp;'Supply planning data'!D215)-SUMIFS(M:M,D:D,"&lt;="&amp;D200,C:C,C200)-SUMIFS(AJ:AJ,D:D,"&lt;="&amp;D200,C:C,C200)+SUMIFS(N:N,D:D,"&lt;="&amp;D200,C:C,C200)+SUMIFS(P:P,D:D,"&lt;="&amp;D200,C:C,C200))</f>
        <v>0</v>
      </c>
      <c r="AM200" s="105">
        <f t="shared" si="64"/>
        <v>0</v>
      </c>
      <c r="AN200" s="105">
        <f t="shared" si="76"/>
        <v>0</v>
      </c>
      <c r="AO200" s="206">
        <f t="shared" si="67"/>
        <v>0</v>
      </c>
    </row>
    <row r="201" spans="1:41" x14ac:dyDescent="0.25">
      <c r="A201" s="103" t="str">
        <f>Start!D$7</f>
        <v>Anyland</v>
      </c>
      <c r="B201" s="109" t="str">
        <f>VLOOKUP(A201,list!B:C,2,FALSE)</f>
        <v>ANY</v>
      </c>
      <c r="C201" s="109" t="str">
        <f>IF(Start!$C$18="","",Start!$C$18)</f>
        <v>Jansen</v>
      </c>
      <c r="D201" s="298">
        <f t="shared" si="58"/>
        <v>44593</v>
      </c>
      <c r="E201" s="105" t="str">
        <f>IFERROR(VLOOKUP(C201,Start!C$15:D$31,2,FALSE),"No")</f>
        <v>Yes</v>
      </c>
      <c r="F201" s="105">
        <f t="shared" si="59"/>
        <v>578008</v>
      </c>
      <c r="G201" s="106">
        <v>246789</v>
      </c>
      <c r="H201" s="106"/>
      <c r="I201" s="106"/>
      <c r="J201" s="105">
        <f t="shared" si="70"/>
        <v>246789</v>
      </c>
      <c r="K201" s="106">
        <v>234</v>
      </c>
      <c r="L201" s="177">
        <f t="shared" si="71"/>
        <v>9.4817840341344223E-4</v>
      </c>
      <c r="M201" s="105">
        <f t="shared" si="72"/>
        <v>247023</v>
      </c>
      <c r="N201" s="110"/>
      <c r="O201" s="124"/>
      <c r="P201" s="110"/>
      <c r="Q201" s="124"/>
      <c r="R201" s="111">
        <f>SUMIFS('Shipments data'!L:L,'Shipments data'!F:F,'Supply planning data'!C201,'Shipments data'!A:A,'Supply planning data'!A201,'Shipments data'!Y:Y,'Supply planning data'!D201,'Shipments data'!O:O,"received", 'Shipments data'!N:N, "Public")</f>
        <v>1309600</v>
      </c>
      <c r="S201" s="111">
        <f>SUMIFS('Shipments data'!L:L,'Shipments data'!F:F,'Supply planning data'!C201,'Shipments data'!A:A,'Supply planning data'!A201,'Shipments data'!Y:Y,'Supply planning data'!D201,'Shipments data'!O:O,"ordered", 'Shipments data'!N:N, "Public")</f>
        <v>0</v>
      </c>
      <c r="T201" s="111">
        <f>IF(SUMIFS('Shipments data'!L:L,'Shipments data'!F:F,'Supply planning data'!C201,'Shipments data'!A:A,'Supply planning data'!A201,'Shipments data'!O:O,"received",'Shipments data'!Q:Q,"&lt;"&amp;'Supply planning data'!D216,'Shipments data'!AC:AC,"&lt;"&amp;'Supply planning data'!D216)-SUMIFS(M:M,D:D,"&lt;="&amp;D201,C:C,C201)+SUMIFS(N:N,D:D,"&lt;="&amp;D201,C:C,C201)+SUMIFS(P:P,D:D,"&lt;="&amp;D201,C:C,C201)&lt;0,0,SUMIFS('Shipments data'!L:L,'Shipments data'!F:F,'Supply planning data'!C201,'Shipments data'!A:A,'Supply planning data'!A201,'Shipments data'!O:O,"received",'Shipments data'!Q:Q,"&lt;"&amp;'Supply planning data'!D216,'Shipments data'!AC:AC,"&lt;"&amp;'Supply planning data'!D216)-SUMIFS(M:M,D:D,"&lt;="&amp;D201,C:C,C201)+SUMIFS(N:N,D:D,"&lt;="&amp;D201,C:C,C201)+SUMIFS(P:P,D:D,"&lt;="&amp;D201,C:C,C201))</f>
        <v>0</v>
      </c>
      <c r="U201" s="112">
        <f t="shared" si="60"/>
        <v>0</v>
      </c>
      <c r="V201" s="111">
        <f t="shared" si="69"/>
        <v>1640585</v>
      </c>
      <c r="W201" s="204">
        <f t="shared" si="66"/>
        <v>6.3060374152928382</v>
      </c>
      <c r="X201" s="111">
        <f t="shared" si="61"/>
        <v>578008</v>
      </c>
      <c r="Y201" s="110"/>
      <c r="Z201" s="107"/>
      <c r="AA201" s="111">
        <f t="shared" si="73"/>
        <v>0</v>
      </c>
      <c r="AB201" s="235"/>
      <c r="AC201" s="111">
        <f>IF(SUMIFS('Shipments data'!L:L,'Shipments data'!F:F,'Supply planning data'!C201,'Shipments data'!A:A,'Supply planning data'!A201,'Shipments data'!O:O,"received",'Shipments data'!Q:Q,"&lt;"&amp;'Supply planning data'!D216,'Shipments data'!AC:AC,"&lt;"&amp;'Supply planning data'!D216)-SUMIFS(M:M,D:D,"&lt;="&amp;D201,C:C,C201)-SUMIFS(AA:AA,D:D,"&lt;="&amp;D201,C:C,C201)+SUMIFS(N:N,D:D,"&lt;="&amp;D201,C:C,C201)+SUMIFS(P:P,D:D,"&lt;="&amp;D201,C:C,C201)&lt;0,0,SUMIFS('Shipments data'!L:L,'Shipments data'!F:F,'Supply planning data'!C201,'Shipments data'!A:A,'Supply planning data'!A201,'Shipments data'!O:O,"received",'Shipments data'!Q:Q,"&lt;"&amp;'Supply planning data'!D216,'Shipments data'!AC:AC,"&lt;"&amp;'Supply planning data'!D216)-SUMIFS(M:M,D:D,"&lt;="&amp;D201,C:C,C201)-SUMIFS(AA:AA,D:D,"&lt;="&amp;D201,C:C,C201)+SUMIFS(N:N,D:D,"&lt;="&amp;D201,C:C,C201)+SUMIFS(P:P,D:D,"&lt;="&amp;D201,C:C,C201))</f>
        <v>0</v>
      </c>
      <c r="AD201" s="111">
        <f t="shared" si="62"/>
        <v>0</v>
      </c>
      <c r="AE201" s="111">
        <f t="shared" si="75"/>
        <v>1640585</v>
      </c>
      <c r="AF201" s="204">
        <f t="shared" si="65"/>
        <v>12.604984876850697</v>
      </c>
      <c r="AG201" s="111">
        <f t="shared" si="63"/>
        <v>578008</v>
      </c>
      <c r="AH201" s="110"/>
      <c r="AI201" s="313"/>
      <c r="AJ201" s="111">
        <f t="shared" si="74"/>
        <v>0</v>
      </c>
      <c r="AK201" s="235"/>
      <c r="AL201" s="111">
        <f>IF(SUMIFS('Shipments data'!L:L,'Shipments data'!F:F,'Supply planning data'!C201,'Shipments data'!A:A,'Supply planning data'!A201,'Shipments data'!O:O,"received",'Shipments data'!Q:Q,"&lt;"&amp;'Supply planning data'!D216,'Shipments data'!AC:AC,"&lt;"&amp;'Supply planning data'!D216)-SUMIFS(M:M,D:D,"&lt;="&amp;D201,C:C,C201)-SUMIFS(AJ:AJ,D:D,"&lt;="&amp;D201,C:C,C201)+SUMIFS(N:N,D:D,"&lt;="&amp;D201,C:C,C201)+SUMIFS(P:P,D:D,"&lt;="&amp;D201,C:C,C201)&lt;0,0,SUMIFS('Shipments data'!L:L,'Shipments data'!F:F,'Supply planning data'!C201,'Shipments data'!A:A,'Supply planning data'!A201,'Shipments data'!O:O,"received",'Shipments data'!Q:Q,"&lt;"&amp;'Supply planning data'!D216,'Shipments data'!AC:AC,"&lt;"&amp;'Supply planning data'!D216)-SUMIFS(M:M,D:D,"&lt;="&amp;D201,C:C,C201)-SUMIFS(AJ:AJ,D:D,"&lt;="&amp;D201,C:C,C201)+SUMIFS(N:N,D:D,"&lt;="&amp;D201,C:C,C201)+SUMIFS(P:P,D:D,"&lt;="&amp;D201,C:C,C201))</f>
        <v>0</v>
      </c>
      <c r="AM201" s="111">
        <f t="shared" si="64"/>
        <v>0</v>
      </c>
      <c r="AN201" s="111">
        <f t="shared" si="76"/>
        <v>1640585</v>
      </c>
      <c r="AO201" s="204">
        <f t="shared" si="67"/>
        <v>12.604984876850697</v>
      </c>
    </row>
    <row r="202" spans="1:41" x14ac:dyDescent="0.25">
      <c r="A202" s="103" t="str">
        <f>Start!D$7</f>
        <v>Anyland</v>
      </c>
      <c r="B202" s="109" t="str">
        <f>VLOOKUP(A202,list!B:C,2,FALSE)</f>
        <v>ANY</v>
      </c>
      <c r="C202" s="104" t="str">
        <f>IF(Start!$C$19="","",Start!$C$19)</f>
        <v>Moderna</v>
      </c>
      <c r="D202" s="298">
        <f t="shared" si="58"/>
        <v>44593</v>
      </c>
      <c r="E202" s="105" t="str">
        <f>IFERROR(VLOOKUP(C202,Start!C$15:D$31,2,FALSE),"No")</f>
        <v>No</v>
      </c>
      <c r="F202" s="105">
        <f t="shared" si="59"/>
        <v>0</v>
      </c>
      <c r="G202" s="106"/>
      <c r="H202" s="106"/>
      <c r="I202" s="106"/>
      <c r="J202" s="105">
        <f t="shared" si="70"/>
        <v>0</v>
      </c>
      <c r="K202" s="106"/>
      <c r="L202" s="177" t="str">
        <f t="shared" si="71"/>
        <v/>
      </c>
      <c r="M202" s="105">
        <f t="shared" si="72"/>
        <v>0</v>
      </c>
      <c r="N202" s="110"/>
      <c r="O202" s="124"/>
      <c r="P202" s="110"/>
      <c r="Q202" s="124"/>
      <c r="R202" s="111">
        <f>SUMIFS('Shipments data'!L:L,'Shipments data'!F:F,'Supply planning data'!C202,'Shipments data'!A:A,'Supply planning data'!A202,'Shipments data'!Y:Y,'Supply planning data'!D202,'Shipments data'!O:O,"received", 'Shipments data'!N:N, "Public")</f>
        <v>0</v>
      </c>
      <c r="S202" s="111">
        <f>SUMIFS('Shipments data'!L:L,'Shipments data'!F:F,'Supply planning data'!C202,'Shipments data'!A:A,'Supply planning data'!A202,'Shipments data'!Y:Y,'Supply planning data'!D202,'Shipments data'!O:O,"ordered", 'Shipments data'!N:N, "Public")</f>
        <v>0</v>
      </c>
      <c r="T202" s="111">
        <f>IF(SUMIFS('Shipments data'!L:L,'Shipments data'!F:F,'Supply planning data'!C202,'Shipments data'!A:A,'Supply planning data'!A202,'Shipments data'!O:O,"received",'Shipments data'!Q:Q,"&lt;"&amp;'Supply planning data'!D217,'Shipments data'!AC:AC,"&lt;"&amp;'Supply planning data'!D217)-SUMIFS(M:M,D:D,"&lt;="&amp;D202,C:C,C202)+SUMIFS(N:N,D:D,"&lt;="&amp;D202,C:C,C202)+SUMIFS(P:P,D:D,"&lt;="&amp;D202,C:C,C202)&lt;0,0,SUMIFS('Shipments data'!L:L,'Shipments data'!F:F,'Supply planning data'!C202,'Shipments data'!A:A,'Supply planning data'!A202,'Shipments data'!O:O,"received",'Shipments data'!Q:Q,"&lt;"&amp;'Supply planning data'!D217,'Shipments data'!AC:AC,"&lt;"&amp;'Supply planning data'!D217)-SUMIFS(M:M,D:D,"&lt;="&amp;D202,C:C,C202)+SUMIFS(N:N,D:D,"&lt;="&amp;D202,C:C,C202)+SUMIFS(P:P,D:D,"&lt;="&amp;D202,C:C,C202))</f>
        <v>0</v>
      </c>
      <c r="U202" s="112">
        <f t="shared" si="60"/>
        <v>0</v>
      </c>
      <c r="V202" s="111">
        <f t="shared" si="69"/>
        <v>0</v>
      </c>
      <c r="W202" s="204" t="str">
        <f t="shared" si="66"/>
        <v/>
      </c>
      <c r="X202" s="111">
        <f t="shared" si="61"/>
        <v>0</v>
      </c>
      <c r="Y202" s="110"/>
      <c r="Z202" s="107"/>
      <c r="AA202" s="111">
        <f t="shared" si="73"/>
        <v>0</v>
      </c>
      <c r="AB202" s="235"/>
      <c r="AC202" s="111">
        <f>IF(SUMIFS('Shipments data'!L:L,'Shipments data'!F:F,'Supply planning data'!C202,'Shipments data'!A:A,'Supply planning data'!A202,'Shipments data'!O:O,"received",'Shipments data'!Q:Q,"&lt;"&amp;'Supply planning data'!D217,'Shipments data'!AC:AC,"&lt;"&amp;'Supply planning data'!D217)-SUMIFS(M:M,D:D,"&lt;="&amp;D202,C:C,C202)-SUMIFS(AA:AA,D:D,"&lt;="&amp;D202,C:C,C202)+SUMIFS(N:N,D:D,"&lt;="&amp;D202,C:C,C202)+SUMIFS(P:P,D:D,"&lt;="&amp;D202,C:C,C202)&lt;0,0,SUMIFS('Shipments data'!L:L,'Shipments data'!F:F,'Supply planning data'!C202,'Shipments data'!A:A,'Supply planning data'!A202,'Shipments data'!O:O,"received",'Shipments data'!Q:Q,"&lt;"&amp;'Supply planning data'!D217,'Shipments data'!AC:AC,"&lt;"&amp;'Supply planning data'!D217)-SUMIFS(M:M,D:D,"&lt;="&amp;D202,C:C,C202)-SUMIFS(AA:AA,D:D,"&lt;="&amp;D202,C:C,C202)+SUMIFS(N:N,D:D,"&lt;="&amp;D202,C:C,C202)+SUMIFS(P:P,D:D,"&lt;="&amp;D202,C:C,C202))</f>
        <v>0</v>
      </c>
      <c r="AD202" s="111">
        <f t="shared" si="62"/>
        <v>0</v>
      </c>
      <c r="AE202" s="111">
        <f t="shared" si="75"/>
        <v>0</v>
      </c>
      <c r="AF202" s="204" t="str">
        <f t="shared" si="65"/>
        <v/>
      </c>
      <c r="AG202" s="111">
        <f t="shared" si="63"/>
        <v>0</v>
      </c>
      <c r="AH202" s="110"/>
      <c r="AI202" s="313"/>
      <c r="AJ202" s="111">
        <f t="shared" si="74"/>
        <v>0</v>
      </c>
      <c r="AK202" s="235"/>
      <c r="AL202" s="111">
        <f>IF(SUMIFS('Shipments data'!L:L,'Shipments data'!F:F,'Supply planning data'!C202,'Shipments data'!A:A,'Supply planning data'!A202,'Shipments data'!O:O,"received",'Shipments data'!Q:Q,"&lt;"&amp;'Supply planning data'!D217,'Shipments data'!AC:AC,"&lt;"&amp;'Supply planning data'!D217)-SUMIFS(M:M,D:D,"&lt;="&amp;D202,C:C,C202)-SUMIFS(AJ:AJ,D:D,"&lt;="&amp;D202,C:C,C202)+SUMIFS(N:N,D:D,"&lt;="&amp;D202,C:C,C202)+SUMIFS(P:P,D:D,"&lt;="&amp;D202,C:C,C202)&lt;0,0,SUMIFS('Shipments data'!L:L,'Shipments data'!F:F,'Supply planning data'!C202,'Shipments data'!A:A,'Supply planning data'!A202,'Shipments data'!O:O,"received",'Shipments data'!Q:Q,"&lt;"&amp;'Supply planning data'!D217,'Shipments data'!AC:AC,"&lt;"&amp;'Supply planning data'!D217)-SUMIFS(M:M,D:D,"&lt;="&amp;D202,C:C,C202)-SUMIFS(AJ:AJ,D:D,"&lt;="&amp;D202,C:C,C202)+SUMIFS(N:N,D:D,"&lt;="&amp;D202,C:C,C202)+SUMIFS(P:P,D:D,"&lt;="&amp;D202,C:C,C202))</f>
        <v>0</v>
      </c>
      <c r="AM202" s="111">
        <f t="shared" si="64"/>
        <v>0</v>
      </c>
      <c r="AN202" s="111">
        <f t="shared" si="76"/>
        <v>0</v>
      </c>
      <c r="AO202" s="204" t="str">
        <f t="shared" si="67"/>
        <v/>
      </c>
    </row>
    <row r="203" spans="1:41" x14ac:dyDescent="0.25">
      <c r="A203" s="103" t="str">
        <f>Start!D$7</f>
        <v>Anyland</v>
      </c>
      <c r="B203" s="109" t="str">
        <f>VLOOKUP(A203,list!B:C,2,FALSE)</f>
        <v>ANY</v>
      </c>
      <c r="C203" s="109" t="str">
        <f>IF(Start!$C$20="","",Start!$C$20)</f>
        <v>Pfizer</v>
      </c>
      <c r="D203" s="298">
        <f t="shared" si="58"/>
        <v>44593</v>
      </c>
      <c r="E203" s="105" t="str">
        <f>IFERROR(VLOOKUP(C203,Start!C$15:D$31,2,FALSE),"No")</f>
        <v>Yes</v>
      </c>
      <c r="F203" s="105">
        <f t="shared" si="59"/>
        <v>362024</v>
      </c>
      <c r="G203" s="106">
        <v>131844</v>
      </c>
      <c r="H203" s="106">
        <v>89193</v>
      </c>
      <c r="I203" s="106"/>
      <c r="J203" s="105">
        <f t="shared" si="70"/>
        <v>221037</v>
      </c>
      <c r="K203" s="106">
        <v>3008</v>
      </c>
      <c r="L203" s="177">
        <f t="shared" si="71"/>
        <v>1.3608581368730123E-2</v>
      </c>
      <c r="M203" s="105">
        <f t="shared" si="72"/>
        <v>224045</v>
      </c>
      <c r="N203" s="110"/>
      <c r="O203" s="124"/>
      <c r="P203" s="110"/>
      <c r="Q203" s="124"/>
      <c r="R203" s="111">
        <f>SUMIFS('Shipments data'!L:L,'Shipments data'!F:F,'Supply planning data'!C203,'Shipments data'!A:A,'Supply planning data'!A203,'Shipments data'!Y:Y,'Supply planning data'!D203,'Shipments data'!O:O,"received", 'Shipments data'!N:N, "Public")</f>
        <v>0</v>
      </c>
      <c r="S203" s="111">
        <f>SUMIFS('Shipments data'!L:L,'Shipments data'!F:F,'Supply planning data'!C203,'Shipments data'!A:A,'Supply planning data'!A203,'Shipments data'!Y:Y,'Supply planning data'!D203,'Shipments data'!O:O,"ordered", 'Shipments data'!N:N, "Public")</f>
        <v>0</v>
      </c>
      <c r="T203" s="111">
        <f>IF(SUMIFS('Shipments data'!L:L,'Shipments data'!F:F,'Supply planning data'!C203,'Shipments data'!A:A,'Supply planning data'!A203,'Shipments data'!O:O,"received",'Shipments data'!Q:Q,"&lt;"&amp;'Supply planning data'!D218,'Shipments data'!AC:AC,"&lt;"&amp;'Supply planning data'!D218)-SUMIFS(M:M,D:D,"&lt;="&amp;D203,C:C,C203)+SUMIFS(N:N,D:D,"&lt;="&amp;D203,C:C,C203)+SUMIFS(P:P,D:D,"&lt;="&amp;D203,C:C,C203)&lt;0,0,SUMIFS('Shipments data'!L:L,'Shipments data'!F:F,'Supply planning data'!C203,'Shipments data'!A:A,'Supply planning data'!A203,'Shipments data'!O:O,"received",'Shipments data'!Q:Q,"&lt;"&amp;'Supply planning data'!D218,'Shipments data'!AC:AC,"&lt;"&amp;'Supply planning data'!D218)-SUMIFS(M:M,D:D,"&lt;="&amp;D203,C:C,C203)+SUMIFS(N:N,D:D,"&lt;="&amp;D203,C:C,C203)+SUMIFS(P:P,D:D,"&lt;="&amp;D203,C:C,C203))</f>
        <v>0</v>
      </c>
      <c r="U203" s="112">
        <f t="shared" si="60"/>
        <v>0</v>
      </c>
      <c r="V203" s="111">
        <f t="shared" si="69"/>
        <v>137979</v>
      </c>
      <c r="W203" s="204">
        <f t="shared" si="66"/>
        <v>1.5860202075933654</v>
      </c>
      <c r="X203" s="111">
        <f t="shared" si="61"/>
        <v>362024</v>
      </c>
      <c r="Y203" s="110"/>
      <c r="Z203" s="107"/>
      <c r="AA203" s="111">
        <f t="shared" si="73"/>
        <v>0</v>
      </c>
      <c r="AB203" s="235"/>
      <c r="AC203" s="111">
        <f>IF(SUMIFS('Shipments data'!L:L,'Shipments data'!F:F,'Supply planning data'!C203,'Shipments data'!A:A,'Supply planning data'!A203,'Shipments data'!O:O,"received",'Shipments data'!Q:Q,"&lt;"&amp;'Supply planning data'!D218,'Shipments data'!AC:AC,"&lt;"&amp;'Supply planning data'!D218)-SUMIFS(M:M,D:D,"&lt;="&amp;D203,C:C,C203)-SUMIFS(AA:AA,D:D,"&lt;="&amp;D203,C:C,C203)+SUMIFS(N:N,D:D,"&lt;="&amp;D203,C:C,C203)+SUMIFS(P:P,D:D,"&lt;="&amp;D203,C:C,C203)&lt;0,0,SUMIFS('Shipments data'!L:L,'Shipments data'!F:F,'Supply planning data'!C203,'Shipments data'!A:A,'Supply planning data'!A203,'Shipments data'!O:O,"received",'Shipments data'!Q:Q,"&lt;"&amp;'Supply planning data'!D218,'Shipments data'!AC:AC,"&lt;"&amp;'Supply planning data'!D218)-SUMIFS(M:M,D:D,"&lt;="&amp;D203,C:C,C203)-SUMIFS(AA:AA,D:D,"&lt;="&amp;D203,C:C,C203)+SUMIFS(N:N,D:D,"&lt;="&amp;D203,C:C,C203)+SUMIFS(P:P,D:D,"&lt;="&amp;D203,C:C,C203))</f>
        <v>0</v>
      </c>
      <c r="AD203" s="111">
        <f t="shared" si="62"/>
        <v>0</v>
      </c>
      <c r="AE203" s="111">
        <f t="shared" si="75"/>
        <v>137979</v>
      </c>
      <c r="AF203" s="204">
        <f t="shared" si="65"/>
        <v>1.6459643876796322</v>
      </c>
      <c r="AG203" s="111">
        <f t="shared" si="63"/>
        <v>362024</v>
      </c>
      <c r="AH203" s="110"/>
      <c r="AI203" s="313"/>
      <c r="AJ203" s="111">
        <f t="shared" si="74"/>
        <v>0</v>
      </c>
      <c r="AK203" s="235"/>
      <c r="AL203" s="111">
        <f>IF(SUMIFS('Shipments data'!L:L,'Shipments data'!F:F,'Supply planning data'!C203,'Shipments data'!A:A,'Supply planning data'!A203,'Shipments data'!O:O,"received",'Shipments data'!Q:Q,"&lt;"&amp;'Supply planning data'!D218,'Shipments data'!AC:AC,"&lt;"&amp;'Supply planning data'!D218)-SUMIFS(M:M,D:D,"&lt;="&amp;D203,C:C,C203)-SUMIFS(AJ:AJ,D:D,"&lt;="&amp;D203,C:C,C203)+SUMIFS(N:N,D:D,"&lt;="&amp;D203,C:C,C203)+SUMIFS(P:P,D:D,"&lt;="&amp;D203,C:C,C203)&lt;0,0,SUMIFS('Shipments data'!L:L,'Shipments data'!F:F,'Supply planning data'!C203,'Shipments data'!A:A,'Supply planning data'!A203,'Shipments data'!O:O,"received",'Shipments data'!Q:Q,"&lt;"&amp;'Supply planning data'!D218,'Shipments data'!AC:AC,"&lt;"&amp;'Supply planning data'!D218)-SUMIFS(M:M,D:D,"&lt;="&amp;D203,C:C,C203)-SUMIFS(AJ:AJ,D:D,"&lt;="&amp;D203,C:C,C203)+SUMIFS(N:N,D:D,"&lt;="&amp;D203,C:C,C203)+SUMIFS(P:P,D:D,"&lt;="&amp;D203,C:C,C203))</f>
        <v>0</v>
      </c>
      <c r="AM203" s="111">
        <f t="shared" si="64"/>
        <v>0</v>
      </c>
      <c r="AN203" s="111">
        <f t="shared" si="76"/>
        <v>137979</v>
      </c>
      <c r="AO203" s="204">
        <f t="shared" si="67"/>
        <v>1.6459643876796322</v>
      </c>
    </row>
    <row r="204" spans="1:41" x14ac:dyDescent="0.25">
      <c r="A204" s="103" t="str">
        <f>Start!D$7</f>
        <v>Anyland</v>
      </c>
      <c r="B204" s="109" t="str">
        <f>VLOOKUP(A204,list!B:C,2,FALSE)</f>
        <v>ANY</v>
      </c>
      <c r="C204" s="104" t="str">
        <f>IF(Start!$C$21="","",Start!$C$21)</f>
        <v>Sinovac</v>
      </c>
      <c r="D204" s="298">
        <f t="shared" si="58"/>
        <v>44593</v>
      </c>
      <c r="E204" s="105" t="str">
        <f>IFERROR(VLOOKUP(C204,Start!C$15:D$31,2,FALSE),"No")</f>
        <v>No</v>
      </c>
      <c r="F204" s="105">
        <f t="shared" si="59"/>
        <v>0</v>
      </c>
      <c r="G204" s="106"/>
      <c r="H204" s="106"/>
      <c r="I204" s="106"/>
      <c r="J204" s="105">
        <f t="shared" si="70"/>
        <v>0</v>
      </c>
      <c r="K204" s="106"/>
      <c r="L204" s="177" t="str">
        <f t="shared" si="71"/>
        <v/>
      </c>
      <c r="M204" s="105">
        <f t="shared" si="72"/>
        <v>0</v>
      </c>
      <c r="N204" s="110"/>
      <c r="O204" s="124"/>
      <c r="P204" s="110"/>
      <c r="Q204" s="124"/>
      <c r="R204" s="111">
        <f>SUMIFS('Shipments data'!L:L,'Shipments data'!F:F,'Supply planning data'!C204,'Shipments data'!A:A,'Supply planning data'!A204,'Shipments data'!Y:Y,'Supply planning data'!D204,'Shipments data'!O:O,"received", 'Shipments data'!N:N, "Public")</f>
        <v>0</v>
      </c>
      <c r="S204" s="111">
        <f>SUMIFS('Shipments data'!L:L,'Shipments data'!F:F,'Supply planning data'!C204,'Shipments data'!A:A,'Supply planning data'!A204,'Shipments data'!Y:Y,'Supply planning data'!D204,'Shipments data'!O:O,"ordered", 'Shipments data'!N:N, "Public")</f>
        <v>0</v>
      </c>
      <c r="T204" s="111">
        <f>IF(SUMIFS('Shipments data'!L:L,'Shipments data'!F:F,'Supply planning data'!C204,'Shipments data'!A:A,'Supply planning data'!A204,'Shipments data'!O:O,"received",'Shipments data'!Q:Q,"&lt;"&amp;'Supply planning data'!D219,'Shipments data'!AC:AC,"&lt;"&amp;'Supply planning data'!D219)-SUMIFS(M:M,D:D,"&lt;="&amp;D204,C:C,C204)+SUMIFS(N:N,D:D,"&lt;="&amp;D204,C:C,C204)+SUMIFS(P:P,D:D,"&lt;="&amp;D204,C:C,C204)&lt;0,0,SUMIFS('Shipments data'!L:L,'Shipments data'!F:F,'Supply planning data'!C204,'Shipments data'!A:A,'Supply planning data'!A204,'Shipments data'!O:O,"received",'Shipments data'!Q:Q,"&lt;"&amp;'Supply planning data'!D219,'Shipments data'!AC:AC,"&lt;"&amp;'Supply planning data'!D219)-SUMIFS(M:M,D:D,"&lt;="&amp;D204,C:C,C204)+SUMIFS(N:N,D:D,"&lt;="&amp;D204,C:C,C204)+SUMIFS(P:P,D:D,"&lt;="&amp;D204,C:C,C204))</f>
        <v>0</v>
      </c>
      <c r="U204" s="112">
        <f t="shared" si="60"/>
        <v>0</v>
      </c>
      <c r="V204" s="111">
        <f t="shared" si="69"/>
        <v>0</v>
      </c>
      <c r="W204" s="204" t="str">
        <f t="shared" si="66"/>
        <v/>
      </c>
      <c r="X204" s="111">
        <f t="shared" si="61"/>
        <v>0</v>
      </c>
      <c r="Y204" s="110"/>
      <c r="Z204" s="107"/>
      <c r="AA204" s="111">
        <f t="shared" si="73"/>
        <v>0</v>
      </c>
      <c r="AB204" s="235"/>
      <c r="AC204" s="111">
        <f>IF(SUMIFS('Shipments data'!L:L,'Shipments data'!F:F,'Supply planning data'!C204,'Shipments data'!A:A,'Supply planning data'!A204,'Shipments data'!O:O,"received",'Shipments data'!Q:Q,"&lt;"&amp;'Supply planning data'!D219,'Shipments data'!AC:AC,"&lt;"&amp;'Supply planning data'!D219)-SUMIFS(M:M,D:D,"&lt;="&amp;D204,C:C,C204)-SUMIFS(AA:AA,D:D,"&lt;="&amp;D204,C:C,C204)+SUMIFS(N:N,D:D,"&lt;="&amp;D204,C:C,C204)+SUMIFS(P:P,D:D,"&lt;="&amp;D204,C:C,C204)&lt;0,0,SUMIFS('Shipments data'!L:L,'Shipments data'!F:F,'Supply planning data'!C204,'Shipments data'!A:A,'Supply planning data'!A204,'Shipments data'!O:O,"received",'Shipments data'!Q:Q,"&lt;"&amp;'Supply planning data'!D219,'Shipments data'!AC:AC,"&lt;"&amp;'Supply planning data'!D219)-SUMIFS(M:M,D:D,"&lt;="&amp;D204,C:C,C204)-SUMIFS(AA:AA,D:D,"&lt;="&amp;D204,C:C,C204)+SUMIFS(N:N,D:D,"&lt;="&amp;D204,C:C,C204)+SUMIFS(P:P,D:D,"&lt;="&amp;D204,C:C,C204))</f>
        <v>0</v>
      </c>
      <c r="AD204" s="111">
        <f t="shared" si="62"/>
        <v>0</v>
      </c>
      <c r="AE204" s="111">
        <f t="shared" si="75"/>
        <v>0</v>
      </c>
      <c r="AF204" s="204" t="str">
        <f t="shared" si="65"/>
        <v/>
      </c>
      <c r="AG204" s="111">
        <f t="shared" si="63"/>
        <v>0</v>
      </c>
      <c r="AH204" s="110"/>
      <c r="AI204" s="313"/>
      <c r="AJ204" s="111">
        <f t="shared" si="74"/>
        <v>0</v>
      </c>
      <c r="AK204" s="235"/>
      <c r="AL204" s="111">
        <f>IF(SUMIFS('Shipments data'!L:L,'Shipments data'!F:F,'Supply planning data'!C204,'Shipments data'!A:A,'Supply planning data'!A204,'Shipments data'!O:O,"received",'Shipments data'!Q:Q,"&lt;"&amp;'Supply planning data'!D219,'Shipments data'!AC:AC,"&lt;"&amp;'Supply planning data'!D219)-SUMIFS(M:M,D:D,"&lt;="&amp;D204,C:C,C204)-SUMIFS(AJ:AJ,D:D,"&lt;="&amp;D204,C:C,C204)+SUMIFS(N:N,D:D,"&lt;="&amp;D204,C:C,C204)+SUMIFS(P:P,D:D,"&lt;="&amp;D204,C:C,C204)&lt;0,0,SUMIFS('Shipments data'!L:L,'Shipments data'!F:F,'Supply planning data'!C204,'Shipments data'!A:A,'Supply planning data'!A204,'Shipments data'!O:O,"received",'Shipments data'!Q:Q,"&lt;"&amp;'Supply planning data'!D219,'Shipments data'!AC:AC,"&lt;"&amp;'Supply planning data'!D219)-SUMIFS(M:M,D:D,"&lt;="&amp;D204,C:C,C204)-SUMIFS(AJ:AJ,D:D,"&lt;="&amp;D204,C:C,C204)+SUMIFS(N:N,D:D,"&lt;="&amp;D204,C:C,C204)+SUMIFS(P:P,D:D,"&lt;="&amp;D204,C:C,C204))</f>
        <v>0</v>
      </c>
      <c r="AM204" s="111">
        <f t="shared" si="64"/>
        <v>0</v>
      </c>
      <c r="AN204" s="111">
        <f t="shared" si="76"/>
        <v>0</v>
      </c>
      <c r="AO204" s="204" t="str">
        <f t="shared" si="67"/>
        <v/>
      </c>
    </row>
    <row r="205" spans="1:41" hidden="1" x14ac:dyDescent="0.25">
      <c r="A205" s="103" t="str">
        <f>Start!D$7</f>
        <v>Anyland</v>
      </c>
      <c r="B205" s="109" t="str">
        <f>VLOOKUP(A205,list!B:C,2,FALSE)</f>
        <v>ANY</v>
      </c>
      <c r="C205" s="109" t="str">
        <f>IF(Start!$C$22="","",Start!$C$22)</f>
        <v/>
      </c>
      <c r="D205" s="298">
        <f t="shared" si="58"/>
        <v>44593</v>
      </c>
      <c r="E205" s="105" t="str">
        <f>IFERROR(VLOOKUP(C205,Start!C$15:D$31,2,FALSE),"No")</f>
        <v>No</v>
      </c>
      <c r="F205" s="105">
        <f t="shared" si="59"/>
        <v>0</v>
      </c>
      <c r="G205" s="106"/>
      <c r="H205" s="106"/>
      <c r="I205" s="106"/>
      <c r="J205" s="105">
        <f t="shared" si="70"/>
        <v>0</v>
      </c>
      <c r="K205" s="106"/>
      <c r="L205" s="177" t="str">
        <f t="shared" si="71"/>
        <v/>
      </c>
      <c r="M205" s="105">
        <f t="shared" si="72"/>
        <v>0</v>
      </c>
      <c r="N205" s="110"/>
      <c r="O205" s="124"/>
      <c r="P205" s="110"/>
      <c r="Q205" s="124"/>
      <c r="R205" s="111">
        <f>SUMIFS('Shipments data'!L:L,'Shipments data'!F:F,'Supply planning data'!C205,'Shipments data'!A:A,'Supply planning data'!A205,'Shipments data'!Y:Y,'Supply planning data'!D205,'Shipments data'!O:O,"received", 'Shipments data'!N:N, "Public")</f>
        <v>0</v>
      </c>
      <c r="S205" s="111">
        <f>SUMIFS('Shipments data'!L:L,'Shipments data'!F:F,'Supply planning data'!C205,'Shipments data'!A:A,'Supply planning data'!A205,'Shipments data'!Y:Y,'Supply planning data'!D205,'Shipments data'!O:O,"ordered", 'Shipments data'!N:N, "Public")</f>
        <v>0</v>
      </c>
      <c r="T205" s="111">
        <f>IF(SUMIFS('Shipments data'!L:L,'Shipments data'!F:F,'Supply planning data'!C205,'Shipments data'!A:A,'Supply planning data'!A205,'Shipments data'!O:O,"received",'Shipments data'!Q:Q,"&lt;"&amp;'Supply planning data'!D220,'Shipments data'!AC:AC,"&lt;"&amp;'Supply planning data'!D220)-SUMIFS(M:M,D:D,"&lt;="&amp;D205,C:C,C205)+SUMIFS(N:N,D:D,"&lt;="&amp;D205,C:C,C205)+SUMIFS(P:P,D:D,"&lt;="&amp;D205,C:C,C205)&lt;0,0,SUMIFS('Shipments data'!L:L,'Shipments data'!F:F,'Supply planning data'!C205,'Shipments data'!A:A,'Supply planning data'!A205,'Shipments data'!O:O,"received",'Shipments data'!Q:Q,"&lt;"&amp;'Supply planning data'!D220,'Shipments data'!AC:AC,"&lt;"&amp;'Supply planning data'!D220)-SUMIFS(M:M,D:D,"&lt;="&amp;D205,C:C,C205)+SUMIFS(N:N,D:D,"&lt;="&amp;D205,C:C,C205)+SUMIFS(P:P,D:D,"&lt;="&amp;D205,C:C,C205))</f>
        <v>0</v>
      </c>
      <c r="U205" s="112">
        <f t="shared" si="60"/>
        <v>0</v>
      </c>
      <c r="V205" s="111">
        <f t="shared" si="69"/>
        <v>0</v>
      </c>
      <c r="W205" s="204" t="str">
        <f t="shared" si="66"/>
        <v/>
      </c>
      <c r="X205" s="111">
        <f t="shared" si="61"/>
        <v>0</v>
      </c>
      <c r="Y205" s="110"/>
      <c r="Z205" s="107"/>
      <c r="AA205" s="111">
        <f t="shared" si="73"/>
        <v>0</v>
      </c>
      <c r="AB205" s="235"/>
      <c r="AC205" s="111">
        <f>IF(SUMIFS('Shipments data'!L:L,'Shipments data'!F:F,'Supply planning data'!C205,'Shipments data'!A:A,'Supply planning data'!A205,'Shipments data'!O:O,"received",'Shipments data'!Q:Q,"&lt;"&amp;'Supply planning data'!D220,'Shipments data'!AC:AC,"&lt;"&amp;'Supply planning data'!D220)-SUMIFS(M:M,D:D,"&lt;="&amp;D205,C:C,C205)-SUMIFS(AA:AA,D:D,"&lt;="&amp;D205,C:C,C205)+SUMIFS(N:N,D:D,"&lt;="&amp;D205,C:C,C205)+SUMIFS(P:P,D:D,"&lt;="&amp;D205,C:C,C205)&lt;0,0,SUMIFS('Shipments data'!L:L,'Shipments data'!F:F,'Supply planning data'!C205,'Shipments data'!A:A,'Supply planning data'!A205,'Shipments data'!O:O,"received",'Shipments data'!Q:Q,"&lt;"&amp;'Supply planning data'!D220,'Shipments data'!AC:AC,"&lt;"&amp;'Supply planning data'!D220)-SUMIFS(M:M,D:D,"&lt;="&amp;D205,C:C,C205)-SUMIFS(AA:AA,D:D,"&lt;="&amp;D205,C:C,C205)+SUMIFS(N:N,D:D,"&lt;="&amp;D205,C:C,C205)+SUMIFS(P:P,D:D,"&lt;="&amp;D205,C:C,C205))</f>
        <v>0</v>
      </c>
      <c r="AD205" s="111">
        <f t="shared" si="62"/>
        <v>0</v>
      </c>
      <c r="AE205" s="111">
        <f t="shared" si="75"/>
        <v>0</v>
      </c>
      <c r="AF205" s="204" t="str">
        <f t="shared" si="65"/>
        <v/>
      </c>
      <c r="AG205" s="111">
        <f t="shared" si="63"/>
        <v>0</v>
      </c>
      <c r="AH205" s="110"/>
      <c r="AI205" s="313"/>
      <c r="AJ205" s="111">
        <f t="shared" si="74"/>
        <v>0</v>
      </c>
      <c r="AK205" s="235"/>
      <c r="AL205" s="111">
        <f>IF(SUMIFS('Shipments data'!L:L,'Shipments data'!F:F,'Supply planning data'!C205,'Shipments data'!A:A,'Supply planning data'!A205,'Shipments data'!O:O,"received",'Shipments data'!Q:Q,"&lt;"&amp;'Supply planning data'!D220,'Shipments data'!AC:AC,"&lt;"&amp;'Supply planning data'!D220)-SUMIFS(M:M,D:D,"&lt;="&amp;D205,C:C,C205)-SUMIFS(AJ:AJ,D:D,"&lt;="&amp;D205,C:C,C205)+SUMIFS(N:N,D:D,"&lt;="&amp;D205,C:C,C205)+SUMIFS(P:P,D:D,"&lt;="&amp;D205,C:C,C205)&lt;0,0,SUMIFS('Shipments data'!L:L,'Shipments data'!F:F,'Supply planning data'!C205,'Shipments data'!A:A,'Supply planning data'!A205,'Shipments data'!O:O,"received",'Shipments data'!Q:Q,"&lt;"&amp;'Supply planning data'!D220,'Shipments data'!AC:AC,"&lt;"&amp;'Supply planning data'!D220)-SUMIFS(M:M,D:D,"&lt;="&amp;D205,C:C,C205)-SUMIFS(AJ:AJ,D:D,"&lt;="&amp;D205,C:C,C205)+SUMIFS(N:N,D:D,"&lt;="&amp;D205,C:C,C205)+SUMIFS(P:P,D:D,"&lt;="&amp;D205,C:C,C205))</f>
        <v>0</v>
      </c>
      <c r="AM205" s="111">
        <f t="shared" si="64"/>
        <v>0</v>
      </c>
      <c r="AN205" s="111">
        <f t="shared" si="76"/>
        <v>0</v>
      </c>
      <c r="AO205" s="204" t="str">
        <f t="shared" si="67"/>
        <v/>
      </c>
    </row>
    <row r="206" spans="1:41" hidden="1" x14ac:dyDescent="0.25">
      <c r="A206" s="103" t="str">
        <f>Start!D$7</f>
        <v>Anyland</v>
      </c>
      <c r="B206" s="109" t="str">
        <f>VLOOKUP(A206,list!B:C,2,FALSE)</f>
        <v>ANY</v>
      </c>
      <c r="C206" s="104" t="str">
        <f>IF(Start!$C$23="","",Start!$C$23)</f>
        <v/>
      </c>
      <c r="D206" s="298">
        <f t="shared" si="58"/>
        <v>44593</v>
      </c>
      <c r="E206" s="105" t="str">
        <f>IFERROR(VLOOKUP(C206,Start!C$15:D$31,2,FALSE),"No")</f>
        <v>No</v>
      </c>
      <c r="F206" s="105">
        <f t="shared" si="59"/>
        <v>0</v>
      </c>
      <c r="G206" s="106"/>
      <c r="H206" s="106"/>
      <c r="I206" s="106"/>
      <c r="J206" s="105">
        <f t="shared" si="70"/>
        <v>0</v>
      </c>
      <c r="K206" s="106"/>
      <c r="L206" s="177" t="str">
        <f t="shared" si="71"/>
        <v/>
      </c>
      <c r="M206" s="105">
        <f t="shared" si="72"/>
        <v>0</v>
      </c>
      <c r="N206" s="110"/>
      <c r="O206" s="124"/>
      <c r="P206" s="110"/>
      <c r="Q206" s="124"/>
      <c r="R206" s="111">
        <f>SUMIFS('Shipments data'!L:L,'Shipments data'!F:F,'Supply planning data'!C206,'Shipments data'!A:A,'Supply planning data'!A206,'Shipments data'!Y:Y,'Supply planning data'!D206,'Shipments data'!O:O,"received", 'Shipments data'!N:N, "Public")</f>
        <v>0</v>
      </c>
      <c r="S206" s="111">
        <f>SUMIFS('Shipments data'!L:L,'Shipments data'!F:F,'Supply planning data'!C206,'Shipments data'!A:A,'Supply planning data'!A206,'Shipments data'!Y:Y,'Supply planning data'!D206,'Shipments data'!O:O,"ordered", 'Shipments data'!N:N, "Public")</f>
        <v>0</v>
      </c>
      <c r="T206" s="111">
        <f>IF(SUMIFS('Shipments data'!L:L,'Shipments data'!F:F,'Supply planning data'!C206,'Shipments data'!A:A,'Supply planning data'!A206,'Shipments data'!O:O,"received",'Shipments data'!Q:Q,"&lt;"&amp;'Supply planning data'!D221,'Shipments data'!AC:AC,"&lt;"&amp;'Supply planning data'!D221)-SUMIFS(M:M,D:D,"&lt;="&amp;D206,C:C,C206)+SUMIFS(N:N,D:D,"&lt;="&amp;D206,C:C,C206)+SUMIFS(P:P,D:D,"&lt;="&amp;D206,C:C,C206)&lt;0,0,SUMIFS('Shipments data'!L:L,'Shipments data'!F:F,'Supply planning data'!C206,'Shipments data'!A:A,'Supply planning data'!A206,'Shipments data'!O:O,"received",'Shipments data'!Q:Q,"&lt;"&amp;'Supply planning data'!D221,'Shipments data'!AC:AC,"&lt;"&amp;'Supply planning data'!D221)-SUMIFS(M:M,D:D,"&lt;="&amp;D206,C:C,C206)+SUMIFS(N:N,D:D,"&lt;="&amp;D206,C:C,C206)+SUMIFS(P:P,D:D,"&lt;="&amp;D206,C:C,C206))</f>
        <v>0</v>
      </c>
      <c r="U206" s="112">
        <f t="shared" si="60"/>
        <v>0</v>
      </c>
      <c r="V206" s="111">
        <f t="shared" si="69"/>
        <v>0</v>
      </c>
      <c r="W206" s="204" t="str">
        <f t="shared" si="66"/>
        <v/>
      </c>
      <c r="X206" s="111">
        <f t="shared" si="61"/>
        <v>0</v>
      </c>
      <c r="Y206" s="110"/>
      <c r="Z206" s="107"/>
      <c r="AA206" s="111">
        <f t="shared" si="73"/>
        <v>0</v>
      </c>
      <c r="AB206" s="235"/>
      <c r="AC206" s="111">
        <f>IF(SUMIFS('Shipments data'!L:L,'Shipments data'!F:F,'Supply planning data'!C206,'Shipments data'!A:A,'Supply planning data'!A206,'Shipments data'!O:O,"received",'Shipments data'!Q:Q,"&lt;"&amp;'Supply planning data'!D221,'Shipments data'!AC:AC,"&lt;"&amp;'Supply planning data'!D221)-SUMIFS(M:M,D:D,"&lt;="&amp;D206,C:C,C206)-SUMIFS(AA:AA,D:D,"&lt;="&amp;D206,C:C,C206)+SUMIFS(N:N,D:D,"&lt;="&amp;D206,C:C,C206)+SUMIFS(P:P,D:D,"&lt;="&amp;D206,C:C,C206)&lt;0,0,SUMIFS('Shipments data'!L:L,'Shipments data'!F:F,'Supply planning data'!C206,'Shipments data'!A:A,'Supply planning data'!A206,'Shipments data'!O:O,"received",'Shipments data'!Q:Q,"&lt;"&amp;'Supply planning data'!D221,'Shipments data'!AC:AC,"&lt;"&amp;'Supply planning data'!D221)-SUMIFS(M:M,D:D,"&lt;="&amp;D206,C:C,C206)-SUMIFS(AA:AA,D:D,"&lt;="&amp;D206,C:C,C206)+SUMIFS(N:N,D:D,"&lt;="&amp;D206,C:C,C206)+SUMIFS(P:P,D:D,"&lt;="&amp;D206,C:C,C206))</f>
        <v>0</v>
      </c>
      <c r="AD206" s="111">
        <f t="shared" si="62"/>
        <v>0</v>
      </c>
      <c r="AE206" s="111">
        <f t="shared" si="75"/>
        <v>0</v>
      </c>
      <c r="AF206" s="204" t="str">
        <f t="shared" si="65"/>
        <v/>
      </c>
      <c r="AG206" s="111">
        <f t="shared" si="63"/>
        <v>0</v>
      </c>
      <c r="AH206" s="110"/>
      <c r="AI206" s="313"/>
      <c r="AJ206" s="111">
        <f t="shared" si="74"/>
        <v>0</v>
      </c>
      <c r="AK206" s="235"/>
      <c r="AL206" s="111">
        <f>IF(SUMIFS('Shipments data'!L:L,'Shipments data'!F:F,'Supply planning data'!C206,'Shipments data'!A:A,'Supply planning data'!A206,'Shipments data'!O:O,"received",'Shipments data'!Q:Q,"&lt;"&amp;'Supply planning data'!D221,'Shipments data'!AC:AC,"&lt;"&amp;'Supply planning data'!D221)-SUMIFS(M:M,D:D,"&lt;="&amp;D206,C:C,C206)-SUMIFS(AJ:AJ,D:D,"&lt;="&amp;D206,C:C,C206)+SUMIFS(N:N,D:D,"&lt;="&amp;D206,C:C,C206)+SUMIFS(P:P,D:D,"&lt;="&amp;D206,C:C,C206)&lt;0,0,SUMIFS('Shipments data'!L:L,'Shipments data'!F:F,'Supply planning data'!C206,'Shipments data'!A:A,'Supply planning data'!A206,'Shipments data'!O:O,"received",'Shipments data'!Q:Q,"&lt;"&amp;'Supply planning data'!D221,'Shipments data'!AC:AC,"&lt;"&amp;'Supply planning data'!D221)-SUMIFS(M:M,D:D,"&lt;="&amp;D206,C:C,C206)-SUMIFS(AJ:AJ,D:D,"&lt;="&amp;D206,C:C,C206)+SUMIFS(N:N,D:D,"&lt;="&amp;D206,C:C,C206)+SUMIFS(P:P,D:D,"&lt;="&amp;D206,C:C,C206))</f>
        <v>0</v>
      </c>
      <c r="AM206" s="111">
        <f t="shared" si="64"/>
        <v>0</v>
      </c>
      <c r="AN206" s="111">
        <f t="shared" si="76"/>
        <v>0</v>
      </c>
      <c r="AO206" s="204" t="str">
        <f t="shared" si="67"/>
        <v/>
      </c>
    </row>
    <row r="207" spans="1:41" hidden="1" x14ac:dyDescent="0.25">
      <c r="A207" s="103" t="str">
        <f>Start!D$7</f>
        <v>Anyland</v>
      </c>
      <c r="B207" s="109" t="str">
        <f>VLOOKUP(A207,list!B:C,2,FALSE)</f>
        <v>ANY</v>
      </c>
      <c r="C207" s="109" t="str">
        <f>IF(Start!$C$24="","",Start!$C$24)</f>
        <v/>
      </c>
      <c r="D207" s="298">
        <f t="shared" si="58"/>
        <v>44593</v>
      </c>
      <c r="E207" s="105" t="str">
        <f>IFERROR(VLOOKUP(C207,Start!C$15:D$31,2,FALSE),"No")</f>
        <v>No</v>
      </c>
      <c r="F207" s="105">
        <f t="shared" si="59"/>
        <v>0</v>
      </c>
      <c r="G207" s="106"/>
      <c r="H207" s="106"/>
      <c r="I207" s="106"/>
      <c r="J207" s="105">
        <f t="shared" si="70"/>
        <v>0</v>
      </c>
      <c r="K207" s="106"/>
      <c r="L207" s="177" t="str">
        <f t="shared" si="71"/>
        <v/>
      </c>
      <c r="M207" s="105">
        <f t="shared" si="72"/>
        <v>0</v>
      </c>
      <c r="N207" s="110"/>
      <c r="O207" s="124"/>
      <c r="P207" s="110"/>
      <c r="Q207" s="124"/>
      <c r="R207" s="111">
        <f>SUMIFS('Shipments data'!L:L,'Shipments data'!F:F,'Supply planning data'!C207,'Shipments data'!A:A,'Supply planning data'!A207,'Shipments data'!Y:Y,'Supply planning data'!D207,'Shipments data'!O:O,"received", 'Shipments data'!N:N, "Public")</f>
        <v>0</v>
      </c>
      <c r="S207" s="111">
        <f>SUMIFS('Shipments data'!L:L,'Shipments data'!F:F,'Supply planning data'!C207,'Shipments data'!A:A,'Supply planning data'!A207,'Shipments data'!Y:Y,'Supply planning data'!D207,'Shipments data'!O:O,"ordered", 'Shipments data'!N:N, "Public")</f>
        <v>0</v>
      </c>
      <c r="T207" s="111">
        <f>IF(SUMIFS('Shipments data'!L:L,'Shipments data'!F:F,'Supply planning data'!C207,'Shipments data'!A:A,'Supply planning data'!A207,'Shipments data'!O:O,"received",'Shipments data'!Q:Q,"&lt;"&amp;'Supply planning data'!D222,'Shipments data'!AC:AC,"&lt;"&amp;'Supply planning data'!D222)-SUMIFS(M:M,D:D,"&lt;="&amp;D207,C:C,C207)+SUMIFS(N:N,D:D,"&lt;="&amp;D207,C:C,C207)+SUMIFS(P:P,D:D,"&lt;="&amp;D207,C:C,C207)&lt;0,0,SUMIFS('Shipments data'!L:L,'Shipments data'!F:F,'Supply planning data'!C207,'Shipments data'!A:A,'Supply planning data'!A207,'Shipments data'!O:O,"received",'Shipments data'!Q:Q,"&lt;"&amp;'Supply planning data'!D222,'Shipments data'!AC:AC,"&lt;"&amp;'Supply planning data'!D222)-SUMIFS(M:M,D:D,"&lt;="&amp;D207,C:C,C207)+SUMIFS(N:N,D:D,"&lt;="&amp;D207,C:C,C207)+SUMIFS(P:P,D:D,"&lt;="&amp;D207,C:C,C207))</f>
        <v>0</v>
      </c>
      <c r="U207" s="112">
        <f t="shared" si="60"/>
        <v>0</v>
      </c>
      <c r="V207" s="111">
        <f t="shared" si="69"/>
        <v>0</v>
      </c>
      <c r="W207" s="204" t="str">
        <f t="shared" si="66"/>
        <v/>
      </c>
      <c r="X207" s="111">
        <f t="shared" si="61"/>
        <v>0</v>
      </c>
      <c r="Y207" s="110"/>
      <c r="Z207" s="107"/>
      <c r="AA207" s="111">
        <f t="shared" si="73"/>
        <v>0</v>
      </c>
      <c r="AB207" s="235"/>
      <c r="AC207" s="111">
        <f>IF(SUMIFS('Shipments data'!L:L,'Shipments data'!F:F,'Supply planning data'!C207,'Shipments data'!A:A,'Supply planning data'!A207,'Shipments data'!O:O,"received",'Shipments data'!Q:Q,"&lt;"&amp;'Supply planning data'!D222,'Shipments data'!AC:AC,"&lt;"&amp;'Supply planning data'!D222)-SUMIFS(M:M,D:D,"&lt;="&amp;D207,C:C,C207)-SUMIFS(AA:AA,D:D,"&lt;="&amp;D207,C:C,C207)+SUMIFS(N:N,D:D,"&lt;="&amp;D207,C:C,C207)+SUMIFS(P:P,D:D,"&lt;="&amp;D207,C:C,C207)&lt;0,0,SUMIFS('Shipments data'!L:L,'Shipments data'!F:F,'Supply planning data'!C207,'Shipments data'!A:A,'Supply planning data'!A207,'Shipments data'!O:O,"received",'Shipments data'!Q:Q,"&lt;"&amp;'Supply planning data'!D222,'Shipments data'!AC:AC,"&lt;"&amp;'Supply planning data'!D222)-SUMIFS(M:M,D:D,"&lt;="&amp;D207,C:C,C207)-SUMIFS(AA:AA,D:D,"&lt;="&amp;D207,C:C,C207)+SUMIFS(N:N,D:D,"&lt;="&amp;D207,C:C,C207)+SUMIFS(P:P,D:D,"&lt;="&amp;D207,C:C,C207))</f>
        <v>0</v>
      </c>
      <c r="AD207" s="111">
        <f t="shared" si="62"/>
        <v>0</v>
      </c>
      <c r="AE207" s="111">
        <f t="shared" si="75"/>
        <v>0</v>
      </c>
      <c r="AF207" s="204" t="str">
        <f t="shared" si="65"/>
        <v/>
      </c>
      <c r="AG207" s="111">
        <f t="shared" si="63"/>
        <v>0</v>
      </c>
      <c r="AH207" s="110"/>
      <c r="AI207" s="313"/>
      <c r="AJ207" s="111">
        <f t="shared" si="74"/>
        <v>0</v>
      </c>
      <c r="AK207" s="235"/>
      <c r="AL207" s="111">
        <f>IF(SUMIFS('Shipments data'!L:L,'Shipments data'!F:F,'Supply planning data'!C207,'Shipments data'!A:A,'Supply planning data'!A207,'Shipments data'!O:O,"received",'Shipments data'!Q:Q,"&lt;"&amp;'Supply planning data'!D222,'Shipments data'!AC:AC,"&lt;"&amp;'Supply planning data'!D222)-SUMIFS(M:M,D:D,"&lt;="&amp;D207,C:C,C207)-SUMIFS(AJ:AJ,D:D,"&lt;="&amp;D207,C:C,C207)+SUMIFS(N:N,D:D,"&lt;="&amp;D207,C:C,C207)+SUMIFS(P:P,D:D,"&lt;="&amp;D207,C:C,C207)&lt;0,0,SUMIFS('Shipments data'!L:L,'Shipments data'!F:F,'Supply planning data'!C207,'Shipments data'!A:A,'Supply planning data'!A207,'Shipments data'!O:O,"received",'Shipments data'!Q:Q,"&lt;"&amp;'Supply planning data'!D222,'Shipments data'!AC:AC,"&lt;"&amp;'Supply planning data'!D222)-SUMIFS(M:M,D:D,"&lt;="&amp;D207,C:C,C207)-SUMIFS(AJ:AJ,D:D,"&lt;="&amp;D207,C:C,C207)+SUMIFS(N:N,D:D,"&lt;="&amp;D207,C:C,C207)+SUMIFS(P:P,D:D,"&lt;="&amp;D207,C:C,C207))</f>
        <v>0</v>
      </c>
      <c r="AM207" s="111">
        <f t="shared" si="64"/>
        <v>0</v>
      </c>
      <c r="AN207" s="111">
        <f t="shared" si="76"/>
        <v>0</v>
      </c>
      <c r="AO207" s="204" t="str">
        <f t="shared" si="67"/>
        <v/>
      </c>
    </row>
    <row r="208" spans="1:41" hidden="1" x14ac:dyDescent="0.25">
      <c r="A208" s="103" t="str">
        <f>Start!D$7</f>
        <v>Anyland</v>
      </c>
      <c r="B208" s="109" t="str">
        <f>VLOOKUP(A208,list!B:C,2,FALSE)</f>
        <v>ANY</v>
      </c>
      <c r="C208" s="104" t="str">
        <f>IF(Start!$C$25="","",Start!$C$25)</f>
        <v/>
      </c>
      <c r="D208" s="298">
        <f t="shared" si="58"/>
        <v>44593</v>
      </c>
      <c r="E208" s="105" t="str">
        <f>IFERROR(VLOOKUP(C208,Start!C$15:D$31,2,FALSE),"No")</f>
        <v>No</v>
      </c>
      <c r="F208" s="105">
        <f t="shared" si="59"/>
        <v>0</v>
      </c>
      <c r="G208" s="106"/>
      <c r="H208" s="106"/>
      <c r="I208" s="106"/>
      <c r="J208" s="105">
        <f t="shared" si="70"/>
        <v>0</v>
      </c>
      <c r="K208" s="106"/>
      <c r="L208" s="177" t="str">
        <f t="shared" si="71"/>
        <v/>
      </c>
      <c r="M208" s="105">
        <f t="shared" si="72"/>
        <v>0</v>
      </c>
      <c r="N208" s="110"/>
      <c r="O208" s="124"/>
      <c r="P208" s="110"/>
      <c r="Q208" s="124"/>
      <c r="R208" s="111">
        <f>SUMIFS('Shipments data'!L:L,'Shipments data'!F:F,'Supply planning data'!C208,'Shipments data'!A:A,'Supply planning data'!A208,'Shipments data'!Y:Y,'Supply planning data'!D208,'Shipments data'!O:O,"received", 'Shipments data'!N:N, "Public")</f>
        <v>0</v>
      </c>
      <c r="S208" s="111">
        <f>SUMIFS('Shipments data'!L:L,'Shipments data'!F:F,'Supply planning data'!C208,'Shipments data'!A:A,'Supply planning data'!A208,'Shipments data'!Y:Y,'Supply planning data'!D208,'Shipments data'!O:O,"ordered", 'Shipments data'!N:N, "Public")</f>
        <v>0</v>
      </c>
      <c r="T208" s="111">
        <f>IF(SUMIFS('Shipments data'!L:L,'Shipments data'!F:F,'Supply planning data'!C208,'Shipments data'!A:A,'Supply planning data'!A208,'Shipments data'!O:O,"received",'Shipments data'!Q:Q,"&lt;"&amp;'Supply planning data'!D223,'Shipments data'!AC:AC,"&lt;"&amp;'Supply planning data'!D223)-SUMIFS(M:M,D:D,"&lt;="&amp;D208,C:C,C208)+SUMIFS(N:N,D:D,"&lt;="&amp;D208,C:C,C208)+SUMIFS(P:P,D:D,"&lt;="&amp;D208,C:C,C208)&lt;0,0,SUMIFS('Shipments data'!L:L,'Shipments data'!F:F,'Supply planning data'!C208,'Shipments data'!A:A,'Supply planning data'!A208,'Shipments data'!O:O,"received",'Shipments data'!Q:Q,"&lt;"&amp;'Supply planning data'!D223,'Shipments data'!AC:AC,"&lt;"&amp;'Supply planning data'!D223)-SUMIFS(M:M,D:D,"&lt;="&amp;D208,C:C,C208)+SUMIFS(N:N,D:D,"&lt;="&amp;D208,C:C,C208)+SUMIFS(P:P,D:D,"&lt;="&amp;D208,C:C,C208))</f>
        <v>0</v>
      </c>
      <c r="U208" s="112">
        <f t="shared" si="60"/>
        <v>0</v>
      </c>
      <c r="V208" s="111">
        <f t="shared" si="69"/>
        <v>0</v>
      </c>
      <c r="W208" s="204" t="str">
        <f t="shared" si="66"/>
        <v/>
      </c>
      <c r="X208" s="111">
        <f t="shared" si="61"/>
        <v>0</v>
      </c>
      <c r="Y208" s="110"/>
      <c r="Z208" s="107"/>
      <c r="AA208" s="111">
        <f t="shared" si="73"/>
        <v>0</v>
      </c>
      <c r="AB208" s="235"/>
      <c r="AC208" s="111">
        <f>IF(SUMIFS('Shipments data'!L:L,'Shipments data'!F:F,'Supply planning data'!C208,'Shipments data'!A:A,'Supply planning data'!A208,'Shipments data'!O:O,"received",'Shipments data'!Q:Q,"&lt;"&amp;'Supply planning data'!D223,'Shipments data'!AC:AC,"&lt;"&amp;'Supply planning data'!D223)-SUMIFS(M:M,D:D,"&lt;="&amp;D208,C:C,C208)-SUMIFS(AA:AA,D:D,"&lt;="&amp;D208,C:C,C208)+SUMIFS(N:N,D:D,"&lt;="&amp;D208,C:C,C208)+SUMIFS(P:P,D:D,"&lt;="&amp;D208,C:C,C208)&lt;0,0,SUMIFS('Shipments data'!L:L,'Shipments data'!F:F,'Supply planning data'!C208,'Shipments data'!A:A,'Supply planning data'!A208,'Shipments data'!O:O,"received",'Shipments data'!Q:Q,"&lt;"&amp;'Supply planning data'!D223,'Shipments data'!AC:AC,"&lt;"&amp;'Supply planning data'!D223)-SUMIFS(M:M,D:D,"&lt;="&amp;D208,C:C,C208)-SUMIFS(AA:AA,D:D,"&lt;="&amp;D208,C:C,C208)+SUMIFS(N:N,D:D,"&lt;="&amp;D208,C:C,C208)+SUMIFS(P:P,D:D,"&lt;="&amp;D208,C:C,C208))</f>
        <v>0</v>
      </c>
      <c r="AD208" s="111">
        <f t="shared" si="62"/>
        <v>0</v>
      </c>
      <c r="AE208" s="111">
        <f t="shared" si="75"/>
        <v>0</v>
      </c>
      <c r="AF208" s="204" t="str">
        <f t="shared" si="65"/>
        <v/>
      </c>
      <c r="AG208" s="111">
        <f t="shared" si="63"/>
        <v>0</v>
      </c>
      <c r="AH208" s="110"/>
      <c r="AI208" s="313"/>
      <c r="AJ208" s="111">
        <f t="shared" si="74"/>
        <v>0</v>
      </c>
      <c r="AK208" s="235"/>
      <c r="AL208" s="111">
        <f>IF(SUMIFS('Shipments data'!L:L,'Shipments data'!F:F,'Supply planning data'!C208,'Shipments data'!A:A,'Supply planning data'!A208,'Shipments data'!O:O,"received",'Shipments data'!Q:Q,"&lt;"&amp;'Supply planning data'!D223,'Shipments data'!AC:AC,"&lt;"&amp;'Supply planning data'!D223)-SUMIFS(M:M,D:D,"&lt;="&amp;D208,C:C,C208)-SUMIFS(AJ:AJ,D:D,"&lt;="&amp;D208,C:C,C208)+SUMIFS(N:N,D:D,"&lt;="&amp;D208,C:C,C208)+SUMIFS(P:P,D:D,"&lt;="&amp;D208,C:C,C208)&lt;0,0,SUMIFS('Shipments data'!L:L,'Shipments data'!F:F,'Supply planning data'!C208,'Shipments data'!A:A,'Supply planning data'!A208,'Shipments data'!O:O,"received",'Shipments data'!Q:Q,"&lt;"&amp;'Supply planning data'!D223,'Shipments data'!AC:AC,"&lt;"&amp;'Supply planning data'!D223)-SUMIFS(M:M,D:D,"&lt;="&amp;D208,C:C,C208)-SUMIFS(AJ:AJ,D:D,"&lt;="&amp;D208,C:C,C208)+SUMIFS(N:N,D:D,"&lt;="&amp;D208,C:C,C208)+SUMIFS(P:P,D:D,"&lt;="&amp;D208,C:C,C208))</f>
        <v>0</v>
      </c>
      <c r="AM208" s="111">
        <f t="shared" si="64"/>
        <v>0</v>
      </c>
      <c r="AN208" s="111">
        <f t="shared" si="76"/>
        <v>0</v>
      </c>
      <c r="AO208" s="204" t="str">
        <f t="shared" si="67"/>
        <v/>
      </c>
    </row>
    <row r="209" spans="1:41" hidden="1" x14ac:dyDescent="0.25">
      <c r="A209" s="103" t="str">
        <f>Start!D$7</f>
        <v>Anyland</v>
      </c>
      <c r="B209" s="109" t="str">
        <f>VLOOKUP(A209,list!B:C,2,FALSE)</f>
        <v>ANY</v>
      </c>
      <c r="C209" s="109" t="str">
        <f>IF(Start!$C$26="","",Start!$C$26)</f>
        <v/>
      </c>
      <c r="D209" s="298">
        <f t="shared" si="58"/>
        <v>44593</v>
      </c>
      <c r="E209" s="105" t="str">
        <f>IFERROR(VLOOKUP(C209,Start!C$15:D$31,2,FALSE),"No")</f>
        <v>No</v>
      </c>
      <c r="F209" s="105">
        <f t="shared" si="59"/>
        <v>0</v>
      </c>
      <c r="G209" s="106"/>
      <c r="H209" s="106"/>
      <c r="I209" s="106"/>
      <c r="J209" s="105">
        <f t="shared" si="70"/>
        <v>0</v>
      </c>
      <c r="K209" s="106"/>
      <c r="L209" s="177" t="str">
        <f t="shared" si="71"/>
        <v/>
      </c>
      <c r="M209" s="105">
        <f t="shared" si="72"/>
        <v>0</v>
      </c>
      <c r="N209" s="110"/>
      <c r="O209" s="124"/>
      <c r="P209" s="110"/>
      <c r="Q209" s="124"/>
      <c r="R209" s="111">
        <f>SUMIFS('Shipments data'!L:L,'Shipments data'!F:F,'Supply planning data'!C209,'Shipments data'!A:A,'Supply planning data'!A209,'Shipments data'!Y:Y,'Supply planning data'!D209,'Shipments data'!O:O,"received", 'Shipments data'!N:N, "Public")</f>
        <v>0</v>
      </c>
      <c r="S209" s="111">
        <f>SUMIFS('Shipments data'!L:L,'Shipments data'!F:F,'Supply planning data'!C209,'Shipments data'!A:A,'Supply planning data'!A209,'Shipments data'!Y:Y,'Supply planning data'!D209,'Shipments data'!O:O,"ordered", 'Shipments data'!N:N, "Public")</f>
        <v>0</v>
      </c>
      <c r="T209" s="111">
        <f>IF(SUMIFS('Shipments data'!L:L,'Shipments data'!F:F,'Supply planning data'!C209,'Shipments data'!A:A,'Supply planning data'!A209,'Shipments data'!O:O,"received",'Shipments data'!Q:Q,"&lt;"&amp;'Supply planning data'!D224,'Shipments data'!AC:AC,"&lt;"&amp;'Supply planning data'!D224)-SUMIFS(M:M,D:D,"&lt;="&amp;D209,C:C,C209)+SUMIFS(N:N,D:D,"&lt;="&amp;D209,C:C,C209)+SUMIFS(P:P,D:D,"&lt;="&amp;D209,C:C,C209)&lt;0,0,SUMIFS('Shipments data'!L:L,'Shipments data'!F:F,'Supply planning data'!C209,'Shipments data'!A:A,'Supply planning data'!A209,'Shipments data'!O:O,"received",'Shipments data'!Q:Q,"&lt;"&amp;'Supply planning data'!D224,'Shipments data'!AC:AC,"&lt;"&amp;'Supply planning data'!D224)-SUMIFS(M:M,D:D,"&lt;="&amp;D209,C:C,C209)+SUMIFS(N:N,D:D,"&lt;="&amp;D209,C:C,C209)+SUMIFS(P:P,D:D,"&lt;="&amp;D209,C:C,C209))</f>
        <v>0</v>
      </c>
      <c r="U209" s="112">
        <f t="shared" si="60"/>
        <v>0</v>
      </c>
      <c r="V209" s="111">
        <f t="shared" si="69"/>
        <v>0</v>
      </c>
      <c r="W209" s="204" t="str">
        <f t="shared" si="66"/>
        <v/>
      </c>
      <c r="X209" s="111">
        <f t="shared" si="61"/>
        <v>0</v>
      </c>
      <c r="Y209" s="110"/>
      <c r="Z209" s="107"/>
      <c r="AA209" s="111">
        <f t="shared" si="73"/>
        <v>0</v>
      </c>
      <c r="AB209" s="235"/>
      <c r="AC209" s="111">
        <f>IF(SUMIFS('Shipments data'!L:L,'Shipments data'!F:F,'Supply planning data'!C209,'Shipments data'!A:A,'Supply planning data'!A209,'Shipments data'!O:O,"received",'Shipments data'!Q:Q,"&lt;"&amp;'Supply planning data'!D224,'Shipments data'!AC:AC,"&lt;"&amp;'Supply planning data'!D224)-SUMIFS(M:M,D:D,"&lt;="&amp;D209,C:C,C209)-SUMIFS(AA:AA,D:D,"&lt;="&amp;D209,C:C,C209)+SUMIFS(N:N,D:D,"&lt;="&amp;D209,C:C,C209)+SUMIFS(P:P,D:D,"&lt;="&amp;D209,C:C,C209)&lt;0,0,SUMIFS('Shipments data'!L:L,'Shipments data'!F:F,'Supply planning data'!C209,'Shipments data'!A:A,'Supply planning data'!A209,'Shipments data'!O:O,"received",'Shipments data'!Q:Q,"&lt;"&amp;'Supply planning data'!D224,'Shipments data'!AC:AC,"&lt;"&amp;'Supply planning data'!D224)-SUMIFS(M:M,D:D,"&lt;="&amp;D209,C:C,C209)-SUMIFS(AA:AA,D:D,"&lt;="&amp;D209,C:C,C209)+SUMIFS(N:N,D:D,"&lt;="&amp;D209,C:C,C209)+SUMIFS(P:P,D:D,"&lt;="&amp;D209,C:C,C209))</f>
        <v>0</v>
      </c>
      <c r="AD209" s="111">
        <f t="shared" si="62"/>
        <v>0</v>
      </c>
      <c r="AE209" s="111">
        <f t="shared" si="75"/>
        <v>0</v>
      </c>
      <c r="AF209" s="204" t="str">
        <f t="shared" si="65"/>
        <v/>
      </c>
      <c r="AG209" s="111">
        <f t="shared" si="63"/>
        <v>0</v>
      </c>
      <c r="AH209" s="110"/>
      <c r="AI209" s="313"/>
      <c r="AJ209" s="111">
        <f t="shared" si="74"/>
        <v>0</v>
      </c>
      <c r="AK209" s="235"/>
      <c r="AL209" s="111">
        <f>IF(SUMIFS('Shipments data'!L:L,'Shipments data'!F:F,'Supply planning data'!C209,'Shipments data'!A:A,'Supply planning data'!A209,'Shipments data'!O:O,"received",'Shipments data'!Q:Q,"&lt;"&amp;'Supply planning data'!D224,'Shipments data'!AC:AC,"&lt;"&amp;'Supply planning data'!D224)-SUMIFS(M:M,D:D,"&lt;="&amp;D209,C:C,C209)-SUMIFS(AJ:AJ,D:D,"&lt;="&amp;D209,C:C,C209)+SUMIFS(N:N,D:D,"&lt;="&amp;D209,C:C,C209)+SUMIFS(P:P,D:D,"&lt;="&amp;D209,C:C,C209)&lt;0,0,SUMIFS('Shipments data'!L:L,'Shipments data'!F:F,'Supply planning data'!C209,'Shipments data'!A:A,'Supply planning data'!A209,'Shipments data'!O:O,"received",'Shipments data'!Q:Q,"&lt;"&amp;'Supply planning data'!D224,'Shipments data'!AC:AC,"&lt;"&amp;'Supply planning data'!D224)-SUMIFS(M:M,D:D,"&lt;="&amp;D209,C:C,C209)-SUMIFS(AJ:AJ,D:D,"&lt;="&amp;D209,C:C,C209)+SUMIFS(N:N,D:D,"&lt;="&amp;D209,C:C,C209)+SUMIFS(P:P,D:D,"&lt;="&amp;D209,C:C,C209))</f>
        <v>0</v>
      </c>
      <c r="AM209" s="111">
        <f t="shared" si="64"/>
        <v>0</v>
      </c>
      <c r="AN209" s="111">
        <f t="shared" si="76"/>
        <v>0</v>
      </c>
      <c r="AO209" s="204" t="str">
        <f t="shared" si="67"/>
        <v/>
      </c>
    </row>
    <row r="210" spans="1:41" hidden="1" x14ac:dyDescent="0.25">
      <c r="A210" s="103" t="str">
        <f>Start!D$7</f>
        <v>Anyland</v>
      </c>
      <c r="B210" s="109" t="str">
        <f>VLOOKUP(A210,list!B:C,2,FALSE)</f>
        <v>ANY</v>
      </c>
      <c r="C210" s="104" t="str">
        <f>IF(Start!$C$27="","",Start!$C$27)</f>
        <v/>
      </c>
      <c r="D210" s="298">
        <f t="shared" si="58"/>
        <v>44593</v>
      </c>
      <c r="E210" s="105" t="str">
        <f>IFERROR(VLOOKUP(C210,Start!C$15:D$31,2,FALSE),"No")</f>
        <v>No</v>
      </c>
      <c r="F210" s="105">
        <f t="shared" si="59"/>
        <v>0</v>
      </c>
      <c r="G210" s="106"/>
      <c r="H210" s="106"/>
      <c r="I210" s="106"/>
      <c r="J210" s="105">
        <f t="shared" si="70"/>
        <v>0</v>
      </c>
      <c r="K210" s="106"/>
      <c r="L210" s="177" t="str">
        <f t="shared" si="71"/>
        <v/>
      </c>
      <c r="M210" s="105">
        <f t="shared" si="72"/>
        <v>0</v>
      </c>
      <c r="N210" s="110"/>
      <c r="O210" s="124"/>
      <c r="P210" s="110"/>
      <c r="Q210" s="124"/>
      <c r="R210" s="111">
        <f>SUMIFS('Shipments data'!L:L,'Shipments data'!F:F,'Supply planning data'!C210,'Shipments data'!A:A,'Supply planning data'!A210,'Shipments data'!Y:Y,'Supply planning data'!D210,'Shipments data'!O:O,"received", 'Shipments data'!N:N, "Public")</f>
        <v>0</v>
      </c>
      <c r="S210" s="111">
        <f>SUMIFS('Shipments data'!L:L,'Shipments data'!F:F,'Supply planning data'!C210,'Shipments data'!A:A,'Supply planning data'!A210,'Shipments data'!Y:Y,'Supply planning data'!D210,'Shipments data'!O:O,"ordered", 'Shipments data'!N:N, "Public")</f>
        <v>0</v>
      </c>
      <c r="T210" s="111">
        <f>IF(SUMIFS('Shipments data'!L:L,'Shipments data'!F:F,'Supply planning data'!C210,'Shipments data'!A:A,'Supply planning data'!A210,'Shipments data'!O:O,"received",'Shipments data'!Q:Q,"&lt;"&amp;'Supply planning data'!D225,'Shipments data'!AC:AC,"&lt;"&amp;'Supply planning data'!D225)-SUMIFS(M:M,D:D,"&lt;="&amp;D210,C:C,C210)+SUMIFS(N:N,D:D,"&lt;="&amp;D210,C:C,C210)+SUMIFS(P:P,D:D,"&lt;="&amp;D210,C:C,C210)&lt;0,0,SUMIFS('Shipments data'!L:L,'Shipments data'!F:F,'Supply planning data'!C210,'Shipments data'!A:A,'Supply planning data'!A210,'Shipments data'!O:O,"received",'Shipments data'!Q:Q,"&lt;"&amp;'Supply planning data'!D225,'Shipments data'!AC:AC,"&lt;"&amp;'Supply planning data'!D225)-SUMIFS(M:M,D:D,"&lt;="&amp;D210,C:C,C210)+SUMIFS(N:N,D:D,"&lt;="&amp;D210,C:C,C210)+SUMIFS(P:P,D:D,"&lt;="&amp;D210,C:C,C210))</f>
        <v>0</v>
      </c>
      <c r="U210" s="112">
        <f t="shared" si="60"/>
        <v>0</v>
      </c>
      <c r="V210" s="111">
        <f t="shared" si="69"/>
        <v>0</v>
      </c>
      <c r="W210" s="204" t="str">
        <f t="shared" si="66"/>
        <v/>
      </c>
      <c r="X210" s="111">
        <f t="shared" si="61"/>
        <v>0</v>
      </c>
      <c r="Y210" s="110"/>
      <c r="Z210" s="107"/>
      <c r="AA210" s="111">
        <f t="shared" si="73"/>
        <v>0</v>
      </c>
      <c r="AB210" s="235"/>
      <c r="AC210" s="111">
        <f>IF(SUMIFS('Shipments data'!L:L,'Shipments data'!F:F,'Supply planning data'!C210,'Shipments data'!A:A,'Supply planning data'!A210,'Shipments data'!O:O,"received",'Shipments data'!Q:Q,"&lt;"&amp;'Supply planning data'!D225,'Shipments data'!AC:AC,"&lt;"&amp;'Supply planning data'!D225)-SUMIFS(M:M,D:D,"&lt;="&amp;D210,C:C,C210)-SUMIFS(AA:AA,D:D,"&lt;="&amp;D210,C:C,C210)+SUMIFS(N:N,D:D,"&lt;="&amp;D210,C:C,C210)+SUMIFS(P:P,D:D,"&lt;="&amp;D210,C:C,C210)&lt;0,0,SUMIFS('Shipments data'!L:L,'Shipments data'!F:F,'Supply planning data'!C210,'Shipments data'!A:A,'Supply planning data'!A210,'Shipments data'!O:O,"received",'Shipments data'!Q:Q,"&lt;"&amp;'Supply planning data'!D225,'Shipments data'!AC:AC,"&lt;"&amp;'Supply planning data'!D225)-SUMIFS(M:M,D:D,"&lt;="&amp;D210,C:C,C210)-SUMIFS(AA:AA,D:D,"&lt;="&amp;D210,C:C,C210)+SUMIFS(N:N,D:D,"&lt;="&amp;D210,C:C,C210)+SUMIFS(P:P,D:D,"&lt;="&amp;D210,C:C,C210))</f>
        <v>0</v>
      </c>
      <c r="AD210" s="111">
        <f t="shared" si="62"/>
        <v>0</v>
      </c>
      <c r="AE210" s="111">
        <f t="shared" si="75"/>
        <v>0</v>
      </c>
      <c r="AF210" s="204" t="str">
        <f t="shared" si="65"/>
        <v/>
      </c>
      <c r="AG210" s="111">
        <f t="shared" si="63"/>
        <v>0</v>
      </c>
      <c r="AH210" s="110"/>
      <c r="AI210" s="313"/>
      <c r="AJ210" s="111">
        <f t="shared" si="74"/>
        <v>0</v>
      </c>
      <c r="AK210" s="235"/>
      <c r="AL210" s="111">
        <f>IF(SUMIFS('Shipments data'!L:L,'Shipments data'!F:F,'Supply planning data'!C210,'Shipments data'!A:A,'Supply planning data'!A210,'Shipments data'!O:O,"received",'Shipments data'!Q:Q,"&lt;"&amp;'Supply planning data'!D225,'Shipments data'!AC:AC,"&lt;"&amp;'Supply planning data'!D225)-SUMIFS(M:M,D:D,"&lt;="&amp;D210,C:C,C210)-SUMIFS(AJ:AJ,D:D,"&lt;="&amp;D210,C:C,C210)+SUMIFS(N:N,D:D,"&lt;="&amp;D210,C:C,C210)+SUMIFS(P:P,D:D,"&lt;="&amp;D210,C:C,C210)&lt;0,0,SUMIFS('Shipments data'!L:L,'Shipments data'!F:F,'Supply planning data'!C210,'Shipments data'!A:A,'Supply planning data'!A210,'Shipments data'!O:O,"received",'Shipments data'!Q:Q,"&lt;"&amp;'Supply planning data'!D225,'Shipments data'!AC:AC,"&lt;"&amp;'Supply planning data'!D225)-SUMIFS(M:M,D:D,"&lt;="&amp;D210,C:C,C210)-SUMIFS(AJ:AJ,D:D,"&lt;="&amp;D210,C:C,C210)+SUMIFS(N:N,D:D,"&lt;="&amp;D210,C:C,C210)+SUMIFS(P:P,D:D,"&lt;="&amp;D210,C:C,C210))</f>
        <v>0</v>
      </c>
      <c r="AM210" s="111">
        <f t="shared" si="64"/>
        <v>0</v>
      </c>
      <c r="AN210" s="111">
        <f t="shared" si="76"/>
        <v>0</v>
      </c>
      <c r="AO210" s="204" t="str">
        <f t="shared" si="67"/>
        <v/>
      </c>
    </row>
    <row r="211" spans="1:41" hidden="1" x14ac:dyDescent="0.25">
      <c r="A211" s="103" t="str">
        <f>Start!D$7</f>
        <v>Anyland</v>
      </c>
      <c r="B211" s="109" t="str">
        <f>VLOOKUP(A211,list!B:C,2,FALSE)</f>
        <v>ANY</v>
      </c>
      <c r="C211" s="109" t="str">
        <f>IF(Start!$C$28="","",Start!$C$28)</f>
        <v/>
      </c>
      <c r="D211" s="298">
        <f t="shared" si="58"/>
        <v>44593</v>
      </c>
      <c r="E211" s="105" t="str">
        <f>IFERROR(VLOOKUP(C211,Start!C$15:D$31,2,FALSE),"No")</f>
        <v>No</v>
      </c>
      <c r="F211" s="105">
        <f t="shared" si="59"/>
        <v>0</v>
      </c>
      <c r="G211" s="106"/>
      <c r="H211" s="106"/>
      <c r="I211" s="106"/>
      <c r="J211" s="105">
        <f t="shared" si="70"/>
        <v>0</v>
      </c>
      <c r="K211" s="106"/>
      <c r="L211" s="177" t="str">
        <f t="shared" si="71"/>
        <v/>
      </c>
      <c r="M211" s="105">
        <f t="shared" si="72"/>
        <v>0</v>
      </c>
      <c r="N211" s="110"/>
      <c r="O211" s="124"/>
      <c r="P211" s="110"/>
      <c r="Q211" s="124"/>
      <c r="R211" s="111">
        <f>SUMIFS('Shipments data'!L:L,'Shipments data'!F:F,'Supply planning data'!C211,'Shipments data'!A:A,'Supply planning data'!A211,'Shipments data'!Y:Y,'Supply planning data'!D211,'Shipments data'!O:O,"received", 'Shipments data'!N:N, "Public")</f>
        <v>0</v>
      </c>
      <c r="S211" s="111">
        <f>SUMIFS('Shipments data'!L:L,'Shipments data'!F:F,'Supply planning data'!C211,'Shipments data'!A:A,'Supply planning data'!A211,'Shipments data'!Y:Y,'Supply planning data'!D211,'Shipments data'!O:O,"ordered", 'Shipments data'!N:N, "Public")</f>
        <v>0</v>
      </c>
      <c r="T211" s="111">
        <f>IF(SUMIFS('Shipments data'!L:L,'Shipments data'!F:F,'Supply planning data'!C211,'Shipments data'!A:A,'Supply planning data'!A211,'Shipments data'!O:O,"received",'Shipments data'!Q:Q,"&lt;"&amp;'Supply planning data'!D226,'Shipments data'!AC:AC,"&lt;"&amp;'Supply planning data'!D226)-SUMIFS(M:M,D:D,"&lt;="&amp;D211,C:C,C211)+SUMIFS(N:N,D:D,"&lt;="&amp;D211,C:C,C211)+SUMIFS(P:P,D:D,"&lt;="&amp;D211,C:C,C211)&lt;0,0,SUMIFS('Shipments data'!L:L,'Shipments data'!F:F,'Supply planning data'!C211,'Shipments data'!A:A,'Supply planning data'!A211,'Shipments data'!O:O,"received",'Shipments data'!Q:Q,"&lt;"&amp;'Supply planning data'!D226,'Shipments data'!AC:AC,"&lt;"&amp;'Supply planning data'!D226)-SUMIFS(M:M,D:D,"&lt;="&amp;D211,C:C,C211)+SUMIFS(N:N,D:D,"&lt;="&amp;D211,C:C,C211)+SUMIFS(P:P,D:D,"&lt;="&amp;D211,C:C,C211))</f>
        <v>0</v>
      </c>
      <c r="U211" s="112">
        <f t="shared" si="60"/>
        <v>0</v>
      </c>
      <c r="V211" s="111">
        <f t="shared" si="69"/>
        <v>0</v>
      </c>
      <c r="W211" s="204" t="str">
        <f t="shared" si="66"/>
        <v/>
      </c>
      <c r="X211" s="111">
        <f t="shared" si="61"/>
        <v>0</v>
      </c>
      <c r="Y211" s="110"/>
      <c r="Z211" s="107"/>
      <c r="AA211" s="111">
        <f t="shared" si="73"/>
        <v>0</v>
      </c>
      <c r="AB211" s="235"/>
      <c r="AC211" s="111">
        <f>IF(SUMIFS('Shipments data'!L:L,'Shipments data'!F:F,'Supply planning data'!C211,'Shipments data'!A:A,'Supply planning data'!A211,'Shipments data'!O:O,"received",'Shipments data'!Q:Q,"&lt;"&amp;'Supply planning data'!D226,'Shipments data'!AC:AC,"&lt;"&amp;'Supply planning data'!D226)-SUMIFS(M:M,D:D,"&lt;="&amp;D211,C:C,C211)-SUMIFS(AA:AA,D:D,"&lt;="&amp;D211,C:C,C211)+SUMIFS(N:N,D:D,"&lt;="&amp;D211,C:C,C211)+SUMIFS(P:P,D:D,"&lt;="&amp;D211,C:C,C211)&lt;0,0,SUMIFS('Shipments data'!L:L,'Shipments data'!F:F,'Supply planning data'!C211,'Shipments data'!A:A,'Supply planning data'!A211,'Shipments data'!O:O,"received",'Shipments data'!Q:Q,"&lt;"&amp;'Supply planning data'!D226,'Shipments data'!AC:AC,"&lt;"&amp;'Supply planning data'!D226)-SUMIFS(M:M,D:D,"&lt;="&amp;D211,C:C,C211)-SUMIFS(AA:AA,D:D,"&lt;="&amp;D211,C:C,C211)+SUMIFS(N:N,D:D,"&lt;="&amp;D211,C:C,C211)+SUMIFS(P:P,D:D,"&lt;="&amp;D211,C:C,C211))</f>
        <v>0</v>
      </c>
      <c r="AD211" s="111">
        <f t="shared" si="62"/>
        <v>0</v>
      </c>
      <c r="AE211" s="111">
        <f t="shared" si="75"/>
        <v>0</v>
      </c>
      <c r="AF211" s="204" t="str">
        <f t="shared" si="65"/>
        <v/>
      </c>
      <c r="AG211" s="111">
        <f t="shared" si="63"/>
        <v>0</v>
      </c>
      <c r="AH211" s="110"/>
      <c r="AI211" s="313"/>
      <c r="AJ211" s="111">
        <f t="shared" si="74"/>
        <v>0</v>
      </c>
      <c r="AK211" s="235"/>
      <c r="AL211" s="111">
        <f>IF(SUMIFS('Shipments data'!L:L,'Shipments data'!F:F,'Supply planning data'!C211,'Shipments data'!A:A,'Supply planning data'!A211,'Shipments data'!O:O,"received",'Shipments data'!Q:Q,"&lt;"&amp;'Supply planning data'!D226,'Shipments data'!AC:AC,"&lt;"&amp;'Supply planning data'!D226)-SUMIFS(M:M,D:D,"&lt;="&amp;D211,C:C,C211)-SUMIFS(AJ:AJ,D:D,"&lt;="&amp;D211,C:C,C211)+SUMIFS(N:N,D:D,"&lt;="&amp;D211,C:C,C211)+SUMIFS(P:P,D:D,"&lt;="&amp;D211,C:C,C211)&lt;0,0,SUMIFS('Shipments data'!L:L,'Shipments data'!F:F,'Supply planning data'!C211,'Shipments data'!A:A,'Supply planning data'!A211,'Shipments data'!O:O,"received",'Shipments data'!Q:Q,"&lt;"&amp;'Supply planning data'!D226,'Shipments data'!AC:AC,"&lt;"&amp;'Supply planning data'!D226)-SUMIFS(M:M,D:D,"&lt;="&amp;D211,C:C,C211)-SUMIFS(AJ:AJ,D:D,"&lt;="&amp;D211,C:C,C211)+SUMIFS(N:N,D:D,"&lt;="&amp;D211,C:C,C211)+SUMIFS(P:P,D:D,"&lt;="&amp;D211,C:C,C211))</f>
        <v>0</v>
      </c>
      <c r="AM211" s="111">
        <f t="shared" si="64"/>
        <v>0</v>
      </c>
      <c r="AN211" s="111">
        <f t="shared" si="76"/>
        <v>0</v>
      </c>
      <c r="AO211" s="204" t="str">
        <f t="shared" si="67"/>
        <v/>
      </c>
    </row>
    <row r="212" spans="1:41" hidden="1" x14ac:dyDescent="0.25">
      <c r="A212" s="103" t="str">
        <f>Start!D$7</f>
        <v>Anyland</v>
      </c>
      <c r="B212" s="109" t="str">
        <f>VLOOKUP(A212,list!B:C,2,FALSE)</f>
        <v>ANY</v>
      </c>
      <c r="C212" s="104" t="str">
        <f>IF(Start!$C$29="","",Start!$C$29)</f>
        <v/>
      </c>
      <c r="D212" s="298">
        <f t="shared" ref="D212:D275" si="77">DATE(YEAR(D197),MONTH(D197)+1,1)</f>
        <v>44593</v>
      </c>
      <c r="E212" s="105" t="str">
        <f>IFERROR(VLOOKUP(C212,Start!C$15:D$31,2,FALSE),"No")</f>
        <v>No</v>
      </c>
      <c r="F212" s="105">
        <f t="shared" ref="F212:F275" si="78">V197</f>
        <v>0</v>
      </c>
      <c r="G212" s="106"/>
      <c r="H212" s="106"/>
      <c r="I212" s="106"/>
      <c r="J212" s="105">
        <f t="shared" si="70"/>
        <v>0</v>
      </c>
      <c r="K212" s="106"/>
      <c r="L212" s="177" t="str">
        <f t="shared" si="71"/>
        <v/>
      </c>
      <c r="M212" s="105">
        <f t="shared" si="72"/>
        <v>0</v>
      </c>
      <c r="N212" s="110"/>
      <c r="O212" s="124"/>
      <c r="P212" s="110"/>
      <c r="Q212" s="124"/>
      <c r="R212" s="111">
        <f>SUMIFS('Shipments data'!L:L,'Shipments data'!F:F,'Supply planning data'!C212,'Shipments data'!A:A,'Supply planning data'!A212,'Shipments data'!Y:Y,'Supply planning data'!D212,'Shipments data'!O:O,"received", 'Shipments data'!N:N, "Public")</f>
        <v>0</v>
      </c>
      <c r="S212" s="111">
        <f>SUMIFS('Shipments data'!L:L,'Shipments data'!F:F,'Supply planning data'!C212,'Shipments data'!A:A,'Supply planning data'!A212,'Shipments data'!Y:Y,'Supply planning data'!D212,'Shipments data'!O:O,"ordered", 'Shipments data'!N:N, "Public")</f>
        <v>0</v>
      </c>
      <c r="T212" s="111">
        <f>IF(SUMIFS('Shipments data'!L:L,'Shipments data'!F:F,'Supply planning data'!C212,'Shipments data'!A:A,'Supply planning data'!A212,'Shipments data'!O:O,"received",'Shipments data'!Q:Q,"&lt;"&amp;'Supply planning data'!D227,'Shipments data'!AC:AC,"&lt;"&amp;'Supply planning data'!D227)-SUMIFS(M:M,D:D,"&lt;="&amp;D212,C:C,C212)+SUMIFS(N:N,D:D,"&lt;="&amp;D212,C:C,C212)+SUMIFS(P:P,D:D,"&lt;="&amp;D212,C:C,C212)&lt;0,0,SUMIFS('Shipments data'!L:L,'Shipments data'!F:F,'Supply planning data'!C212,'Shipments data'!A:A,'Supply planning data'!A212,'Shipments data'!O:O,"received",'Shipments data'!Q:Q,"&lt;"&amp;'Supply planning data'!D227,'Shipments data'!AC:AC,"&lt;"&amp;'Supply planning data'!D227)-SUMIFS(M:M,D:D,"&lt;="&amp;D212,C:C,C212)+SUMIFS(N:N,D:D,"&lt;="&amp;D212,C:C,C212)+SUMIFS(P:P,D:D,"&lt;="&amp;D212,C:C,C212))</f>
        <v>0</v>
      </c>
      <c r="U212" s="112">
        <f t="shared" ref="U212:U275" si="79">IF(T212-T197&lt;0,0,T212-T197)</f>
        <v>0</v>
      </c>
      <c r="V212" s="111">
        <f t="shared" si="69"/>
        <v>0</v>
      </c>
      <c r="W212" s="204" t="str">
        <f t="shared" si="66"/>
        <v/>
      </c>
      <c r="X212" s="111">
        <f t="shared" ref="X212:X275" si="80">AE197</f>
        <v>0</v>
      </c>
      <c r="Y212" s="110"/>
      <c r="Z212" s="107"/>
      <c r="AA212" s="111">
        <f t="shared" si="73"/>
        <v>0</v>
      </c>
      <c r="AB212" s="235"/>
      <c r="AC212" s="111">
        <f>IF(SUMIFS('Shipments data'!L:L,'Shipments data'!F:F,'Supply planning data'!C212,'Shipments data'!A:A,'Supply planning data'!A212,'Shipments data'!O:O,"received",'Shipments data'!Q:Q,"&lt;"&amp;'Supply planning data'!D227,'Shipments data'!AC:AC,"&lt;"&amp;'Supply planning data'!D227)-SUMIFS(M:M,D:D,"&lt;="&amp;D212,C:C,C212)-SUMIFS(AA:AA,D:D,"&lt;="&amp;D212,C:C,C212)+SUMIFS(N:N,D:D,"&lt;="&amp;D212,C:C,C212)+SUMIFS(P:P,D:D,"&lt;="&amp;D212,C:C,C212)&lt;0,0,SUMIFS('Shipments data'!L:L,'Shipments data'!F:F,'Supply planning data'!C212,'Shipments data'!A:A,'Supply planning data'!A212,'Shipments data'!O:O,"received",'Shipments data'!Q:Q,"&lt;"&amp;'Supply planning data'!D227,'Shipments data'!AC:AC,"&lt;"&amp;'Supply planning data'!D227)-SUMIFS(M:M,D:D,"&lt;="&amp;D212,C:C,C212)-SUMIFS(AA:AA,D:D,"&lt;="&amp;D212,C:C,C212)+SUMIFS(N:N,D:D,"&lt;="&amp;D212,C:C,C212)+SUMIFS(P:P,D:D,"&lt;="&amp;D212,C:C,C212))</f>
        <v>0</v>
      </c>
      <c r="AD212" s="111">
        <f t="shared" ref="AD212:AD275" si="81">IF(AC212-AC197&lt;0,0,AC212-AC197)</f>
        <v>0</v>
      </c>
      <c r="AE212" s="111">
        <f t="shared" si="75"/>
        <v>0</v>
      </c>
      <c r="AF212" s="204" t="str">
        <f t="shared" si="65"/>
        <v/>
      </c>
      <c r="AG212" s="111">
        <f t="shared" ref="AG212:AG275" si="82">AN197</f>
        <v>0</v>
      </c>
      <c r="AH212" s="110"/>
      <c r="AI212" s="313"/>
      <c r="AJ212" s="111">
        <f t="shared" si="74"/>
        <v>0</v>
      </c>
      <c r="AK212" s="235"/>
      <c r="AL212" s="111">
        <f>IF(SUMIFS('Shipments data'!L:L,'Shipments data'!F:F,'Supply planning data'!C212,'Shipments data'!A:A,'Supply planning data'!A212,'Shipments data'!O:O,"received",'Shipments data'!Q:Q,"&lt;"&amp;'Supply planning data'!D227,'Shipments data'!AC:AC,"&lt;"&amp;'Supply planning data'!D227)-SUMIFS(M:M,D:D,"&lt;="&amp;D212,C:C,C212)-SUMIFS(AJ:AJ,D:D,"&lt;="&amp;D212,C:C,C212)+SUMIFS(N:N,D:D,"&lt;="&amp;D212,C:C,C212)+SUMIFS(P:P,D:D,"&lt;="&amp;D212,C:C,C212)&lt;0,0,SUMIFS('Shipments data'!L:L,'Shipments data'!F:F,'Supply planning data'!C212,'Shipments data'!A:A,'Supply planning data'!A212,'Shipments data'!O:O,"received",'Shipments data'!Q:Q,"&lt;"&amp;'Supply planning data'!D227,'Shipments data'!AC:AC,"&lt;"&amp;'Supply planning data'!D227)-SUMIFS(M:M,D:D,"&lt;="&amp;D212,C:C,C212)-SUMIFS(AJ:AJ,D:D,"&lt;="&amp;D212,C:C,C212)+SUMIFS(N:N,D:D,"&lt;="&amp;D212,C:C,C212)+SUMIFS(P:P,D:D,"&lt;="&amp;D212,C:C,C212))</f>
        <v>0</v>
      </c>
      <c r="AM212" s="111">
        <f t="shared" ref="AM212:AM275" si="83">IF(AL212-AL197&lt;0,0,AL212-AL197)</f>
        <v>0</v>
      </c>
      <c r="AN212" s="111">
        <f t="shared" si="76"/>
        <v>0</v>
      </c>
      <c r="AO212" s="204" t="str">
        <f t="shared" si="67"/>
        <v/>
      </c>
    </row>
    <row r="213" spans="1:41" hidden="1" x14ac:dyDescent="0.25">
      <c r="A213" s="103" t="str">
        <f>Start!D$7</f>
        <v>Anyland</v>
      </c>
      <c r="B213" s="109" t="str">
        <f>VLOOKUP(A213,list!B:C,2,FALSE)</f>
        <v>ANY</v>
      </c>
      <c r="C213" s="109" t="str">
        <f>IF(Start!$C$30="","",Start!$C$30)</f>
        <v/>
      </c>
      <c r="D213" s="298">
        <f t="shared" si="77"/>
        <v>44593</v>
      </c>
      <c r="E213" s="105" t="str">
        <f>IFERROR(VLOOKUP(C213,Start!C$15:D$31,2,FALSE),"No")</f>
        <v>No</v>
      </c>
      <c r="F213" s="105">
        <f t="shared" si="78"/>
        <v>0</v>
      </c>
      <c r="G213" s="106"/>
      <c r="H213" s="106"/>
      <c r="I213" s="106"/>
      <c r="J213" s="105">
        <f t="shared" si="70"/>
        <v>0</v>
      </c>
      <c r="K213" s="106"/>
      <c r="L213" s="177" t="str">
        <f t="shared" si="71"/>
        <v/>
      </c>
      <c r="M213" s="105">
        <f t="shared" si="72"/>
        <v>0</v>
      </c>
      <c r="N213" s="110"/>
      <c r="O213" s="124"/>
      <c r="P213" s="110"/>
      <c r="Q213" s="124"/>
      <c r="R213" s="111">
        <f>SUMIFS('Shipments data'!L:L,'Shipments data'!F:F,'Supply planning data'!C213,'Shipments data'!A:A,'Supply planning data'!A213,'Shipments data'!Y:Y,'Supply planning data'!D213,'Shipments data'!O:O,"received", 'Shipments data'!N:N, "Public")</f>
        <v>0</v>
      </c>
      <c r="S213" s="111">
        <f>SUMIFS('Shipments data'!L:L,'Shipments data'!F:F,'Supply planning data'!C213,'Shipments data'!A:A,'Supply planning data'!A213,'Shipments data'!Y:Y,'Supply planning data'!D213,'Shipments data'!O:O,"ordered", 'Shipments data'!N:N, "Public")</f>
        <v>0</v>
      </c>
      <c r="T213" s="111">
        <f>IF(SUMIFS('Shipments data'!L:L,'Shipments data'!F:F,'Supply planning data'!C213,'Shipments data'!A:A,'Supply planning data'!A213,'Shipments data'!O:O,"received",'Shipments data'!Q:Q,"&lt;"&amp;'Supply planning data'!D228,'Shipments data'!AC:AC,"&lt;"&amp;'Supply planning data'!D228)-SUMIFS(M:M,D:D,"&lt;="&amp;D213,C:C,C213)+SUMIFS(N:N,D:D,"&lt;="&amp;D213,C:C,C213)+SUMIFS(P:P,D:D,"&lt;="&amp;D213,C:C,C213)&lt;0,0,SUMIFS('Shipments data'!L:L,'Shipments data'!F:F,'Supply planning data'!C213,'Shipments data'!A:A,'Supply planning data'!A213,'Shipments data'!O:O,"received",'Shipments data'!Q:Q,"&lt;"&amp;'Supply planning data'!D228,'Shipments data'!AC:AC,"&lt;"&amp;'Supply planning data'!D228)-SUMIFS(M:M,D:D,"&lt;="&amp;D213,C:C,C213)+SUMIFS(N:N,D:D,"&lt;="&amp;D213,C:C,C213)+SUMIFS(P:P,D:D,"&lt;="&amp;D213,C:C,C213))</f>
        <v>0</v>
      </c>
      <c r="U213" s="112">
        <f t="shared" si="79"/>
        <v>0</v>
      </c>
      <c r="V213" s="111">
        <f t="shared" si="69"/>
        <v>0</v>
      </c>
      <c r="W213" s="204" t="str">
        <f t="shared" si="66"/>
        <v/>
      </c>
      <c r="X213" s="111">
        <f t="shared" si="80"/>
        <v>0</v>
      </c>
      <c r="Y213" s="110"/>
      <c r="Z213" s="107"/>
      <c r="AA213" s="111">
        <f t="shared" si="73"/>
        <v>0</v>
      </c>
      <c r="AB213" s="235"/>
      <c r="AC213" s="111">
        <f>IF(SUMIFS('Shipments data'!L:L,'Shipments data'!F:F,'Supply planning data'!C213,'Shipments data'!A:A,'Supply planning data'!A213,'Shipments data'!O:O,"received",'Shipments data'!Q:Q,"&lt;"&amp;'Supply planning data'!D228,'Shipments data'!AC:AC,"&lt;"&amp;'Supply planning data'!D228)-SUMIFS(M:M,D:D,"&lt;="&amp;D213,C:C,C213)-SUMIFS(AA:AA,D:D,"&lt;="&amp;D213,C:C,C213)+SUMIFS(N:N,D:D,"&lt;="&amp;D213,C:C,C213)+SUMIFS(P:P,D:D,"&lt;="&amp;D213,C:C,C213)&lt;0,0,SUMIFS('Shipments data'!L:L,'Shipments data'!F:F,'Supply planning data'!C213,'Shipments data'!A:A,'Supply planning data'!A213,'Shipments data'!O:O,"received",'Shipments data'!Q:Q,"&lt;"&amp;'Supply planning data'!D228,'Shipments data'!AC:AC,"&lt;"&amp;'Supply planning data'!D228)-SUMIFS(M:M,D:D,"&lt;="&amp;D213,C:C,C213)-SUMIFS(AA:AA,D:D,"&lt;="&amp;D213,C:C,C213)+SUMIFS(N:N,D:D,"&lt;="&amp;D213,C:C,C213)+SUMIFS(P:P,D:D,"&lt;="&amp;D213,C:C,C213))</f>
        <v>0</v>
      </c>
      <c r="AD213" s="111">
        <f t="shared" si="81"/>
        <v>0</v>
      </c>
      <c r="AE213" s="111">
        <f t="shared" si="75"/>
        <v>0</v>
      </c>
      <c r="AF213" s="204" t="str">
        <f t="shared" si="65"/>
        <v/>
      </c>
      <c r="AG213" s="111">
        <f t="shared" si="82"/>
        <v>0</v>
      </c>
      <c r="AH213" s="110"/>
      <c r="AI213" s="313"/>
      <c r="AJ213" s="111">
        <f t="shared" si="74"/>
        <v>0</v>
      </c>
      <c r="AK213" s="235"/>
      <c r="AL213" s="111">
        <f>IF(SUMIFS('Shipments data'!L:L,'Shipments data'!F:F,'Supply planning data'!C213,'Shipments data'!A:A,'Supply planning data'!A213,'Shipments data'!O:O,"received",'Shipments data'!Q:Q,"&lt;"&amp;'Supply planning data'!D228,'Shipments data'!AC:AC,"&lt;"&amp;'Supply planning data'!D228)-SUMIFS(M:M,D:D,"&lt;="&amp;D213,C:C,C213)-SUMIFS(AJ:AJ,D:D,"&lt;="&amp;D213,C:C,C213)+SUMIFS(N:N,D:D,"&lt;="&amp;D213,C:C,C213)+SUMIFS(P:P,D:D,"&lt;="&amp;D213,C:C,C213)&lt;0,0,SUMIFS('Shipments data'!L:L,'Shipments data'!F:F,'Supply planning data'!C213,'Shipments data'!A:A,'Supply planning data'!A213,'Shipments data'!O:O,"received",'Shipments data'!Q:Q,"&lt;"&amp;'Supply planning data'!D228,'Shipments data'!AC:AC,"&lt;"&amp;'Supply planning data'!D228)-SUMIFS(M:M,D:D,"&lt;="&amp;D213,C:C,C213)-SUMIFS(AJ:AJ,D:D,"&lt;="&amp;D213,C:C,C213)+SUMIFS(N:N,D:D,"&lt;="&amp;D213,C:C,C213)+SUMIFS(P:P,D:D,"&lt;="&amp;D213,C:C,C213))</f>
        <v>0</v>
      </c>
      <c r="AM213" s="111">
        <f t="shared" si="83"/>
        <v>0</v>
      </c>
      <c r="AN213" s="111">
        <f t="shared" si="76"/>
        <v>0</v>
      </c>
      <c r="AO213" s="204" t="str">
        <f t="shared" si="67"/>
        <v/>
      </c>
    </row>
    <row r="214" spans="1:41" hidden="1" x14ac:dyDescent="0.25">
      <c r="A214" s="113" t="str">
        <f>Start!D$7</f>
        <v>Anyland</v>
      </c>
      <c r="B214" s="114" t="str">
        <f>VLOOKUP(A214,list!B:C,2,FALSE)</f>
        <v>ANY</v>
      </c>
      <c r="C214" s="104" t="str">
        <f>IF(Start!$C$31="","",Start!$C$31)</f>
        <v/>
      </c>
      <c r="D214" s="298">
        <f t="shared" si="77"/>
        <v>44593</v>
      </c>
      <c r="E214" s="105" t="str">
        <f>IFERROR(VLOOKUP(C214,Start!C$15:D$31,2,FALSE),"No")</f>
        <v>No</v>
      </c>
      <c r="F214" s="105">
        <f t="shared" si="78"/>
        <v>0</v>
      </c>
      <c r="G214" s="106"/>
      <c r="H214" s="106"/>
      <c r="I214" s="106"/>
      <c r="J214" s="105">
        <f t="shared" si="70"/>
        <v>0</v>
      </c>
      <c r="K214" s="106"/>
      <c r="L214" s="177" t="str">
        <f t="shared" si="71"/>
        <v/>
      </c>
      <c r="M214" s="105">
        <f t="shared" si="72"/>
        <v>0</v>
      </c>
      <c r="N214" s="110"/>
      <c r="O214" s="124"/>
      <c r="P214" s="110"/>
      <c r="Q214" s="124"/>
      <c r="R214" s="111">
        <f>SUMIFS('Shipments data'!L:L,'Shipments data'!F:F,'Supply planning data'!C214,'Shipments data'!A:A,'Supply planning data'!A214,'Shipments data'!Y:Y,'Supply planning data'!D214,'Shipments data'!O:O,"received", 'Shipments data'!N:N, "Public")</f>
        <v>0</v>
      </c>
      <c r="S214" s="111">
        <f>SUMIFS('Shipments data'!L:L,'Shipments data'!F:F,'Supply planning data'!C214,'Shipments data'!A:A,'Supply planning data'!A214,'Shipments data'!Y:Y,'Supply planning data'!D214,'Shipments data'!O:O,"ordered", 'Shipments data'!N:N, "Public")</f>
        <v>0</v>
      </c>
      <c r="T214" s="111">
        <f>IF(SUMIFS('Shipments data'!L:L,'Shipments data'!F:F,'Supply planning data'!C214,'Shipments data'!A:A,'Supply planning data'!A214,'Shipments data'!O:O,"received",'Shipments data'!Q:Q,"&lt;"&amp;'Supply planning data'!D229,'Shipments data'!AC:AC,"&lt;"&amp;'Supply planning data'!D229)-SUMIFS(M:M,D:D,"&lt;="&amp;D214,C:C,C214)+SUMIFS(N:N,D:D,"&lt;="&amp;D214,C:C,C214)+SUMIFS(P:P,D:D,"&lt;="&amp;D214,C:C,C214)&lt;0,0,SUMIFS('Shipments data'!L:L,'Shipments data'!F:F,'Supply planning data'!C214,'Shipments data'!A:A,'Supply planning data'!A214,'Shipments data'!O:O,"received",'Shipments data'!Q:Q,"&lt;"&amp;'Supply planning data'!D229,'Shipments data'!AC:AC,"&lt;"&amp;'Supply planning data'!D229)-SUMIFS(M:M,D:D,"&lt;="&amp;D214,C:C,C214)+SUMIFS(N:N,D:D,"&lt;="&amp;D214,C:C,C214)+SUMIFS(P:P,D:D,"&lt;="&amp;D214,C:C,C214))</f>
        <v>0</v>
      </c>
      <c r="U214" s="112">
        <f t="shared" si="79"/>
        <v>0</v>
      </c>
      <c r="V214" s="111">
        <f t="shared" si="69"/>
        <v>0</v>
      </c>
      <c r="W214" s="204" t="str">
        <f t="shared" si="66"/>
        <v/>
      </c>
      <c r="X214" s="111">
        <f t="shared" si="80"/>
        <v>0</v>
      </c>
      <c r="Y214" s="110"/>
      <c r="Z214" s="107"/>
      <c r="AA214" s="111">
        <f t="shared" si="73"/>
        <v>0</v>
      </c>
      <c r="AB214" s="235"/>
      <c r="AC214" s="111">
        <f>IF(SUMIFS('Shipments data'!L:L,'Shipments data'!F:F,'Supply planning data'!C214,'Shipments data'!A:A,'Supply planning data'!A214,'Shipments data'!O:O,"received",'Shipments data'!Q:Q,"&lt;"&amp;'Supply planning data'!D229,'Shipments data'!AC:AC,"&lt;"&amp;'Supply planning data'!D229)-SUMIFS(M:M,D:D,"&lt;="&amp;D214,C:C,C214)-SUMIFS(AA:AA,D:D,"&lt;="&amp;D214,C:C,C214)+SUMIFS(N:N,D:D,"&lt;="&amp;D214,C:C,C214)+SUMIFS(P:P,D:D,"&lt;="&amp;D214,C:C,C214)&lt;0,0,SUMIFS('Shipments data'!L:L,'Shipments data'!F:F,'Supply planning data'!C214,'Shipments data'!A:A,'Supply planning data'!A214,'Shipments data'!O:O,"received",'Shipments data'!Q:Q,"&lt;"&amp;'Supply planning data'!D229,'Shipments data'!AC:AC,"&lt;"&amp;'Supply planning data'!D229)-SUMIFS(M:M,D:D,"&lt;="&amp;D214,C:C,C214)-SUMIFS(AA:AA,D:D,"&lt;="&amp;D214,C:C,C214)+SUMIFS(N:N,D:D,"&lt;="&amp;D214,C:C,C214)+SUMIFS(P:P,D:D,"&lt;="&amp;D214,C:C,C214))</f>
        <v>0</v>
      </c>
      <c r="AD214" s="111">
        <f t="shared" si="81"/>
        <v>0</v>
      </c>
      <c r="AE214" s="111">
        <f t="shared" si="75"/>
        <v>0</v>
      </c>
      <c r="AF214" s="204" t="str">
        <f t="shared" si="65"/>
        <v/>
      </c>
      <c r="AG214" s="111">
        <f t="shared" si="82"/>
        <v>0</v>
      </c>
      <c r="AH214" s="110"/>
      <c r="AI214" s="313"/>
      <c r="AJ214" s="111">
        <f t="shared" si="74"/>
        <v>0</v>
      </c>
      <c r="AK214" s="235"/>
      <c r="AL214" s="111">
        <f>IF(SUMIFS('Shipments data'!L:L,'Shipments data'!F:F,'Supply planning data'!C214,'Shipments data'!A:A,'Supply planning data'!A214,'Shipments data'!O:O,"received",'Shipments data'!Q:Q,"&lt;"&amp;'Supply planning data'!D229,'Shipments data'!AC:AC,"&lt;"&amp;'Supply planning data'!D229)-SUMIFS(M:M,D:D,"&lt;="&amp;D214,C:C,C214)-SUMIFS(AJ:AJ,D:D,"&lt;="&amp;D214,C:C,C214)+SUMIFS(N:N,D:D,"&lt;="&amp;D214,C:C,C214)+SUMIFS(P:P,D:D,"&lt;="&amp;D214,C:C,C214)&lt;0,0,SUMIFS('Shipments data'!L:L,'Shipments data'!F:F,'Supply planning data'!C214,'Shipments data'!A:A,'Supply planning data'!A214,'Shipments data'!O:O,"received",'Shipments data'!Q:Q,"&lt;"&amp;'Supply planning data'!D229,'Shipments data'!AC:AC,"&lt;"&amp;'Supply planning data'!D229)-SUMIFS(M:M,D:D,"&lt;="&amp;D214,C:C,C214)-SUMIFS(AJ:AJ,D:D,"&lt;="&amp;D214,C:C,C214)+SUMIFS(N:N,D:D,"&lt;="&amp;D214,C:C,C214)+SUMIFS(P:P,D:D,"&lt;="&amp;D214,C:C,C214))</f>
        <v>0</v>
      </c>
      <c r="AM214" s="111">
        <f t="shared" si="83"/>
        <v>0</v>
      </c>
      <c r="AN214" s="111">
        <f t="shared" si="76"/>
        <v>0</v>
      </c>
      <c r="AO214" s="204" t="str">
        <f t="shared" si="67"/>
        <v/>
      </c>
    </row>
    <row r="215" spans="1:41" x14ac:dyDescent="0.25">
      <c r="A215" s="89" t="str">
        <f>Start!D$7</f>
        <v>Anyland</v>
      </c>
      <c r="B215" s="90" t="str">
        <f>VLOOKUP(A215,list!B:C,2,FALSE)</f>
        <v>ANY</v>
      </c>
      <c r="C215" s="90" t="str">
        <f>IF(Start!$C$17="","",Start!$C$17)</f>
        <v>AstraZeneca</v>
      </c>
      <c r="D215" s="296">
        <f t="shared" si="77"/>
        <v>44621</v>
      </c>
      <c r="E215" s="92" t="str">
        <f>IFERROR(VLOOKUP(C215,Start!C$15:D$31,2,FALSE),"No")</f>
        <v>Yes</v>
      </c>
      <c r="F215" s="92">
        <f t="shared" si="78"/>
        <v>0</v>
      </c>
      <c r="G215" s="91">
        <v>25000</v>
      </c>
      <c r="H215" s="91">
        <v>3600</v>
      </c>
      <c r="I215" s="91"/>
      <c r="J215" s="92">
        <f t="shared" si="70"/>
        <v>28600</v>
      </c>
      <c r="K215" s="91">
        <v>4250</v>
      </c>
      <c r="L215" s="174">
        <f t="shared" si="71"/>
        <v>0.14860139860139859</v>
      </c>
      <c r="M215" s="92">
        <f t="shared" si="72"/>
        <v>32850</v>
      </c>
      <c r="N215" s="91"/>
      <c r="O215" s="121"/>
      <c r="P215" s="91"/>
      <c r="Q215" s="121"/>
      <c r="R215" s="92">
        <f>SUMIFS('Shipments data'!L:L,'Shipments data'!F:F,'Supply planning data'!C215,'Shipments data'!A:A,'Supply planning data'!A215,'Shipments data'!Y:Y,'Supply planning data'!D215,'Shipments data'!O:O,"received", 'Shipments data'!N:N, "Public")</f>
        <v>0</v>
      </c>
      <c r="S215" s="92">
        <f>SUMIFS('Shipments data'!L:L,'Shipments data'!F:F,'Supply planning data'!C215,'Shipments data'!A:A,'Supply planning data'!A215,'Shipments data'!Y:Y,'Supply planning data'!D215,'Shipments data'!O:O,"ordered", 'Shipments data'!N:N, "Public")</f>
        <v>0</v>
      </c>
      <c r="T215" s="92">
        <f>IF(SUMIFS('Shipments data'!L:L,'Shipments data'!F:F,'Supply planning data'!C215,'Shipments data'!A:A,'Supply planning data'!A215,'Shipments data'!O:O,"received",'Shipments data'!Q:Q,"&lt;"&amp;'Supply planning data'!D230,'Shipments data'!AC:AC,"&lt;"&amp;'Supply planning data'!D230)-SUMIFS(M:M,D:D,"&lt;="&amp;D215,C:C,C215)+SUMIFS(N:N,D:D,"&lt;="&amp;D215,C:C,C215)+SUMIFS(P:P,D:D,"&lt;="&amp;D215,C:C,C215)&lt;0,0,SUMIFS('Shipments data'!L:L,'Shipments data'!F:F,'Supply planning data'!C215,'Shipments data'!A:A,'Supply planning data'!A215,'Shipments data'!O:O,"received",'Shipments data'!Q:Q,"&lt;"&amp;'Supply planning data'!D230,'Shipments data'!AC:AC,"&lt;"&amp;'Supply planning data'!D230)-SUMIFS(M:M,D:D,"&lt;="&amp;D215,C:C,C215)+SUMIFS(N:N,D:D,"&lt;="&amp;D215,C:C,C215)+SUMIFS(P:P,D:D,"&lt;="&amp;D215,C:C,C215))</f>
        <v>0</v>
      </c>
      <c r="U215" s="94">
        <f t="shared" si="79"/>
        <v>0</v>
      </c>
      <c r="V215" s="92">
        <f t="shared" si="69"/>
        <v>0</v>
      </c>
      <c r="W215" s="205">
        <f t="shared" si="66"/>
        <v>0</v>
      </c>
      <c r="X215" s="92">
        <f t="shared" si="80"/>
        <v>747551</v>
      </c>
      <c r="Y215" s="91"/>
      <c r="Z215" s="93"/>
      <c r="AA215" s="92">
        <f t="shared" si="73"/>
        <v>0</v>
      </c>
      <c r="AB215" s="232"/>
      <c r="AC215" s="92">
        <f>IF(SUMIFS('Shipments data'!L:L,'Shipments data'!F:F,'Supply planning data'!C215,'Shipments data'!A:A,'Supply planning data'!A215,'Shipments data'!O:O,"received",'Shipments data'!Q:Q,"&lt;"&amp;'Supply planning data'!D230,'Shipments data'!AC:AC,"&lt;"&amp;'Supply planning data'!D230)-SUMIFS(M:M,D:D,"&lt;="&amp;D215,C:C,C215)-SUMIFS(AA:AA,D:D,"&lt;="&amp;D215,C:C,C215)+SUMIFS(N:N,D:D,"&lt;="&amp;D215,C:C,C215)+SUMIFS(P:P,D:D,"&lt;="&amp;D215,C:C,C215)&lt;0,0,SUMIFS('Shipments data'!L:L,'Shipments data'!F:F,'Supply planning data'!C215,'Shipments data'!A:A,'Supply planning data'!A215,'Shipments data'!O:O,"received",'Shipments data'!Q:Q,"&lt;"&amp;'Supply planning data'!D230,'Shipments data'!AC:AC,"&lt;"&amp;'Supply planning data'!D230)-SUMIFS(M:M,D:D,"&lt;="&amp;D215,C:C,C215)-SUMIFS(AA:AA,D:D,"&lt;="&amp;D215,C:C,C215)+SUMIFS(N:N,D:D,"&lt;="&amp;D215,C:C,C215)+SUMIFS(P:P,D:D,"&lt;="&amp;D215,C:C,C215))</f>
        <v>0</v>
      </c>
      <c r="AD215" s="92">
        <f t="shared" si="81"/>
        <v>0</v>
      </c>
      <c r="AE215" s="92">
        <f t="shared" si="75"/>
        <v>714701</v>
      </c>
      <c r="AF215" s="205">
        <f t="shared" si="65"/>
        <v>18.999583517944174</v>
      </c>
      <c r="AG215" s="92">
        <f t="shared" si="82"/>
        <v>0</v>
      </c>
      <c r="AH215" s="91"/>
      <c r="AI215" s="310"/>
      <c r="AJ215" s="92">
        <f t="shared" si="74"/>
        <v>0</v>
      </c>
      <c r="AK215" s="232"/>
      <c r="AL215" s="92">
        <f>IF(SUMIFS('Shipments data'!L:L,'Shipments data'!F:F,'Supply planning data'!C215,'Shipments data'!A:A,'Supply planning data'!A215,'Shipments data'!O:O,"received",'Shipments data'!Q:Q,"&lt;"&amp;'Supply planning data'!D230,'Shipments data'!AC:AC,"&lt;"&amp;'Supply planning data'!D230)-SUMIFS(M:M,D:D,"&lt;="&amp;D215,C:C,C215)-SUMIFS(AJ:AJ,D:D,"&lt;="&amp;D215,C:C,C215)+SUMIFS(N:N,D:D,"&lt;="&amp;D215,C:C,C215)+SUMIFS(P:P,D:D,"&lt;="&amp;D215,C:C,C215)&lt;0,0,SUMIFS('Shipments data'!L:L,'Shipments data'!F:F,'Supply planning data'!C215,'Shipments data'!A:A,'Supply planning data'!A215,'Shipments data'!O:O,"received",'Shipments data'!Q:Q,"&lt;"&amp;'Supply planning data'!D230,'Shipments data'!AC:AC,"&lt;"&amp;'Supply planning data'!D230)-SUMIFS(M:M,D:D,"&lt;="&amp;D215,C:C,C215)-SUMIFS(AJ:AJ,D:D,"&lt;="&amp;D215,C:C,C215)+SUMIFS(N:N,D:D,"&lt;="&amp;D215,C:C,C215)+SUMIFS(P:P,D:D,"&lt;="&amp;D215,C:C,C215))</f>
        <v>0</v>
      </c>
      <c r="AM215" s="92">
        <f t="shared" si="83"/>
        <v>0</v>
      </c>
      <c r="AN215" s="92">
        <f t="shared" si="76"/>
        <v>0</v>
      </c>
      <c r="AO215" s="205">
        <f t="shared" si="67"/>
        <v>0</v>
      </c>
    </row>
    <row r="216" spans="1:41" x14ac:dyDescent="0.25">
      <c r="A216" s="95" t="str">
        <f>Start!D$7</f>
        <v>Anyland</v>
      </c>
      <c r="B216" s="96" t="str">
        <f>VLOOKUP(A216,list!B:C,2,FALSE)</f>
        <v>ANY</v>
      </c>
      <c r="C216" s="90" t="str">
        <f>IF(Start!$C$18="","",Start!$C$18)</f>
        <v>Jansen</v>
      </c>
      <c r="D216" s="296">
        <f t="shared" si="77"/>
        <v>44621</v>
      </c>
      <c r="E216" s="92" t="str">
        <f>IFERROR(VLOOKUP(C216,Start!C$15:D$31,2,FALSE),"No")</f>
        <v>Yes</v>
      </c>
      <c r="F216" s="92">
        <f t="shared" si="78"/>
        <v>1640585</v>
      </c>
      <c r="G216" s="91">
        <v>133978</v>
      </c>
      <c r="H216" s="97">
        <v>8900</v>
      </c>
      <c r="I216" s="97"/>
      <c r="J216" s="98">
        <f t="shared" si="70"/>
        <v>142878</v>
      </c>
      <c r="K216" s="97">
        <v>560</v>
      </c>
      <c r="L216" s="175">
        <f t="shared" si="71"/>
        <v>3.9194277635465225E-3</v>
      </c>
      <c r="M216" s="98">
        <f t="shared" si="72"/>
        <v>143438</v>
      </c>
      <c r="N216" s="97"/>
      <c r="O216" s="122"/>
      <c r="P216" s="97"/>
      <c r="Q216" s="122"/>
      <c r="R216" s="98">
        <f>SUMIFS('Shipments data'!L:L,'Shipments data'!F:F,'Supply planning data'!C216,'Shipments data'!A:A,'Supply planning data'!A216,'Shipments data'!Y:Y,'Supply planning data'!D216,'Shipments data'!O:O,"received", 'Shipments data'!N:N, "Public")</f>
        <v>561600</v>
      </c>
      <c r="S216" s="98">
        <f>SUMIFS('Shipments data'!L:L,'Shipments data'!F:F,'Supply planning data'!C216,'Shipments data'!A:A,'Supply planning data'!A216,'Shipments data'!Y:Y,'Supply planning data'!D216,'Shipments data'!O:O,"ordered", 'Shipments data'!N:N, "Public")</f>
        <v>0</v>
      </c>
      <c r="T216" s="98">
        <f>IF(SUMIFS('Shipments data'!L:L,'Shipments data'!F:F,'Supply planning data'!C216,'Shipments data'!A:A,'Supply planning data'!A216,'Shipments data'!O:O,"received",'Shipments data'!Q:Q,"&lt;"&amp;'Supply planning data'!D231,'Shipments data'!AC:AC,"&lt;"&amp;'Supply planning data'!D231)-SUMIFS(M:M,D:D,"&lt;="&amp;D216,C:C,C216)+SUMIFS(N:N,D:D,"&lt;="&amp;D216,C:C,C216)+SUMIFS(P:P,D:D,"&lt;="&amp;D216,C:C,C216)&lt;0,0,SUMIFS('Shipments data'!L:L,'Shipments data'!F:F,'Supply planning data'!C216,'Shipments data'!A:A,'Supply planning data'!A216,'Shipments data'!O:O,"received",'Shipments data'!Q:Q,"&lt;"&amp;'Supply planning data'!D231,'Shipments data'!AC:AC,"&lt;"&amp;'Supply planning data'!D231)-SUMIFS(M:M,D:D,"&lt;="&amp;D216,C:C,C216)+SUMIFS(N:N,D:D,"&lt;="&amp;D216,C:C,C216)+SUMIFS(P:P,D:D,"&lt;="&amp;D216,C:C,C216))</f>
        <v>0</v>
      </c>
      <c r="U216" s="99">
        <f t="shared" si="79"/>
        <v>0</v>
      </c>
      <c r="V216" s="98">
        <f t="shared" si="69"/>
        <v>2058747</v>
      </c>
      <c r="W216" s="203">
        <f t="shared" si="66"/>
        <v>11.724427848985544</v>
      </c>
      <c r="X216" s="98">
        <f t="shared" si="80"/>
        <v>1640585</v>
      </c>
      <c r="Y216" s="97"/>
      <c r="Z216" s="93"/>
      <c r="AA216" s="98">
        <f t="shared" si="73"/>
        <v>0</v>
      </c>
      <c r="AB216" s="233"/>
      <c r="AC216" s="98">
        <f>IF(SUMIFS('Shipments data'!L:L,'Shipments data'!F:F,'Supply planning data'!C216,'Shipments data'!A:A,'Supply planning data'!A216,'Shipments data'!O:O,"received",'Shipments data'!Q:Q,"&lt;"&amp;'Supply planning data'!D231,'Shipments data'!AC:AC,"&lt;"&amp;'Supply planning data'!D231)-SUMIFS(M:M,D:D,"&lt;="&amp;D216,C:C,C216)-SUMIFS(AA:AA,D:D,"&lt;="&amp;D216,C:C,C216)+SUMIFS(N:N,D:D,"&lt;="&amp;D216,C:C,C216)+SUMIFS(P:P,D:D,"&lt;="&amp;D216,C:C,C216)&lt;0,0,SUMIFS('Shipments data'!L:L,'Shipments data'!F:F,'Supply planning data'!C216,'Shipments data'!A:A,'Supply planning data'!A216,'Shipments data'!O:O,"received",'Shipments data'!Q:Q,"&lt;"&amp;'Supply planning data'!D231,'Shipments data'!AC:AC,"&lt;"&amp;'Supply planning data'!D231)-SUMIFS(M:M,D:D,"&lt;="&amp;D216,C:C,C216)-SUMIFS(AA:AA,D:D,"&lt;="&amp;D216,C:C,C216)+SUMIFS(N:N,D:D,"&lt;="&amp;D216,C:C,C216)+SUMIFS(P:P,D:D,"&lt;="&amp;D216,C:C,C216))</f>
        <v>0</v>
      </c>
      <c r="AD216" s="98">
        <f t="shared" si="81"/>
        <v>0</v>
      </c>
      <c r="AE216" s="98">
        <f t="shared" si="75"/>
        <v>2058747</v>
      </c>
      <c r="AF216" s="205">
        <f t="shared" si="65"/>
        <v>27.641855906336435</v>
      </c>
      <c r="AG216" s="98">
        <f t="shared" si="82"/>
        <v>1640585</v>
      </c>
      <c r="AH216" s="97"/>
      <c r="AI216" s="311"/>
      <c r="AJ216" s="98">
        <f t="shared" si="74"/>
        <v>0</v>
      </c>
      <c r="AK216" s="233"/>
      <c r="AL216" s="98">
        <f>IF(SUMIFS('Shipments data'!L:L,'Shipments data'!F:F,'Supply planning data'!C216,'Shipments data'!A:A,'Supply planning data'!A216,'Shipments data'!O:O,"received",'Shipments data'!Q:Q,"&lt;"&amp;'Supply planning data'!D231,'Shipments data'!AC:AC,"&lt;"&amp;'Supply planning data'!D231)-SUMIFS(M:M,D:D,"&lt;="&amp;D216,C:C,C216)-SUMIFS(AJ:AJ,D:D,"&lt;="&amp;D216,C:C,C216)+SUMIFS(N:N,D:D,"&lt;="&amp;D216,C:C,C216)+SUMIFS(P:P,D:D,"&lt;="&amp;D216,C:C,C216)&lt;0,0,SUMIFS('Shipments data'!L:L,'Shipments data'!F:F,'Supply planning data'!C216,'Shipments data'!A:A,'Supply planning data'!A216,'Shipments data'!O:O,"received",'Shipments data'!Q:Q,"&lt;"&amp;'Supply planning data'!D231,'Shipments data'!AC:AC,"&lt;"&amp;'Supply planning data'!D231)-SUMIFS(M:M,D:D,"&lt;="&amp;D216,C:C,C216)-SUMIFS(AJ:AJ,D:D,"&lt;="&amp;D216,C:C,C216)+SUMIFS(N:N,D:D,"&lt;="&amp;D216,C:C,C216)+SUMIFS(P:P,D:D,"&lt;="&amp;D216,C:C,C216))</f>
        <v>0</v>
      </c>
      <c r="AM216" s="98">
        <f t="shared" si="83"/>
        <v>0</v>
      </c>
      <c r="AN216" s="98">
        <f t="shared" si="76"/>
        <v>2058747</v>
      </c>
      <c r="AO216" s="203">
        <f t="shared" si="67"/>
        <v>43.058610688938778</v>
      </c>
    </row>
    <row r="217" spans="1:41" x14ac:dyDescent="0.25">
      <c r="A217" s="95" t="str">
        <f>Start!D$7</f>
        <v>Anyland</v>
      </c>
      <c r="B217" s="96" t="str">
        <f>VLOOKUP(A217,list!B:C,2,FALSE)</f>
        <v>ANY</v>
      </c>
      <c r="C217" s="90" t="str">
        <f>IF(Start!$C$19="","",Start!$C$19)</f>
        <v>Moderna</v>
      </c>
      <c r="D217" s="296">
        <f t="shared" si="77"/>
        <v>44621</v>
      </c>
      <c r="E217" s="92" t="str">
        <f>IFERROR(VLOOKUP(C217,Start!C$15:D$31,2,FALSE),"No")</f>
        <v>No</v>
      </c>
      <c r="F217" s="92">
        <f t="shared" si="78"/>
        <v>0</v>
      </c>
      <c r="G217" s="91"/>
      <c r="H217" s="97"/>
      <c r="I217" s="97"/>
      <c r="J217" s="98">
        <f t="shared" si="70"/>
        <v>0</v>
      </c>
      <c r="K217" s="97"/>
      <c r="L217" s="175" t="str">
        <f t="shared" si="71"/>
        <v/>
      </c>
      <c r="M217" s="98">
        <f t="shared" si="72"/>
        <v>0</v>
      </c>
      <c r="N217" s="97"/>
      <c r="O217" s="122"/>
      <c r="P217" s="97"/>
      <c r="Q217" s="122"/>
      <c r="R217" s="98">
        <f>SUMIFS('Shipments data'!L:L,'Shipments data'!F:F,'Supply planning data'!C217,'Shipments data'!A:A,'Supply planning data'!A217,'Shipments data'!Y:Y,'Supply planning data'!D217,'Shipments data'!O:O,"received", 'Shipments data'!N:N, "Public")</f>
        <v>0</v>
      </c>
      <c r="S217" s="98">
        <f>SUMIFS('Shipments data'!L:L,'Shipments data'!F:F,'Supply planning data'!C217,'Shipments data'!A:A,'Supply planning data'!A217,'Shipments data'!Y:Y,'Supply planning data'!D217,'Shipments data'!O:O,"ordered", 'Shipments data'!N:N, "Public")</f>
        <v>0</v>
      </c>
      <c r="T217" s="98">
        <f>IF(SUMIFS('Shipments data'!L:L,'Shipments data'!F:F,'Supply planning data'!C217,'Shipments data'!A:A,'Supply planning data'!A217,'Shipments data'!O:O,"received",'Shipments data'!Q:Q,"&lt;"&amp;'Supply planning data'!D232,'Shipments data'!AC:AC,"&lt;"&amp;'Supply planning data'!D232)-SUMIFS(M:M,D:D,"&lt;="&amp;D217,C:C,C217)+SUMIFS(N:N,D:D,"&lt;="&amp;D217,C:C,C217)+SUMIFS(P:P,D:D,"&lt;="&amp;D217,C:C,C217)&lt;0,0,SUMIFS('Shipments data'!L:L,'Shipments data'!F:F,'Supply planning data'!C217,'Shipments data'!A:A,'Supply planning data'!A217,'Shipments data'!O:O,"received",'Shipments data'!Q:Q,"&lt;"&amp;'Supply planning data'!D232,'Shipments data'!AC:AC,"&lt;"&amp;'Supply planning data'!D232)-SUMIFS(M:M,D:D,"&lt;="&amp;D217,C:C,C217)+SUMIFS(N:N,D:D,"&lt;="&amp;D217,C:C,C217)+SUMIFS(P:P,D:D,"&lt;="&amp;D217,C:C,C217))</f>
        <v>0</v>
      </c>
      <c r="U217" s="99">
        <f t="shared" si="79"/>
        <v>0</v>
      </c>
      <c r="V217" s="98">
        <f t="shared" si="69"/>
        <v>0</v>
      </c>
      <c r="W217" s="203" t="str">
        <f t="shared" si="66"/>
        <v/>
      </c>
      <c r="X217" s="98">
        <f t="shared" si="80"/>
        <v>0</v>
      </c>
      <c r="Y217" s="97"/>
      <c r="Z217" s="93"/>
      <c r="AA217" s="98">
        <f t="shared" si="73"/>
        <v>0</v>
      </c>
      <c r="AB217" s="233"/>
      <c r="AC217" s="98">
        <f>IF(SUMIFS('Shipments data'!L:L,'Shipments data'!F:F,'Supply planning data'!C217,'Shipments data'!A:A,'Supply planning data'!A217,'Shipments data'!O:O,"received",'Shipments data'!Q:Q,"&lt;"&amp;'Supply planning data'!D232,'Shipments data'!AC:AC,"&lt;"&amp;'Supply planning data'!D232)-SUMIFS(M:M,D:D,"&lt;="&amp;D217,C:C,C217)-SUMIFS(AA:AA,D:D,"&lt;="&amp;D217,C:C,C217)+SUMIFS(N:N,D:D,"&lt;="&amp;D217,C:C,C217)+SUMIFS(P:P,D:D,"&lt;="&amp;D217,C:C,C217)&lt;0,0,SUMIFS('Shipments data'!L:L,'Shipments data'!F:F,'Supply planning data'!C217,'Shipments data'!A:A,'Supply planning data'!A217,'Shipments data'!O:O,"received",'Shipments data'!Q:Q,"&lt;"&amp;'Supply planning data'!D232,'Shipments data'!AC:AC,"&lt;"&amp;'Supply planning data'!D232)-SUMIFS(M:M,D:D,"&lt;="&amp;D217,C:C,C217)-SUMIFS(AA:AA,D:D,"&lt;="&amp;D217,C:C,C217)+SUMIFS(N:N,D:D,"&lt;="&amp;D217,C:C,C217)+SUMIFS(P:P,D:D,"&lt;="&amp;D217,C:C,C217))</f>
        <v>0</v>
      </c>
      <c r="AD217" s="98">
        <f t="shared" si="81"/>
        <v>0</v>
      </c>
      <c r="AE217" s="98">
        <f t="shared" si="75"/>
        <v>0</v>
      </c>
      <c r="AF217" s="205" t="str">
        <f t="shared" si="65"/>
        <v/>
      </c>
      <c r="AG217" s="98">
        <f t="shared" si="82"/>
        <v>0</v>
      </c>
      <c r="AH217" s="97"/>
      <c r="AI217" s="311"/>
      <c r="AJ217" s="98">
        <f t="shared" si="74"/>
        <v>0</v>
      </c>
      <c r="AK217" s="233"/>
      <c r="AL217" s="98">
        <f>IF(SUMIFS('Shipments data'!L:L,'Shipments data'!F:F,'Supply planning data'!C217,'Shipments data'!A:A,'Supply planning data'!A217,'Shipments data'!O:O,"received",'Shipments data'!Q:Q,"&lt;"&amp;'Supply planning data'!D232,'Shipments data'!AC:AC,"&lt;"&amp;'Supply planning data'!D232)-SUMIFS(M:M,D:D,"&lt;="&amp;D217,C:C,C217)-SUMIFS(AJ:AJ,D:D,"&lt;="&amp;D217,C:C,C217)+SUMIFS(N:N,D:D,"&lt;="&amp;D217,C:C,C217)+SUMIFS(P:P,D:D,"&lt;="&amp;D217,C:C,C217)&lt;0,0,SUMIFS('Shipments data'!L:L,'Shipments data'!F:F,'Supply planning data'!C217,'Shipments data'!A:A,'Supply planning data'!A217,'Shipments data'!O:O,"received",'Shipments data'!Q:Q,"&lt;"&amp;'Supply planning data'!D232,'Shipments data'!AC:AC,"&lt;"&amp;'Supply planning data'!D232)-SUMIFS(M:M,D:D,"&lt;="&amp;D217,C:C,C217)-SUMIFS(AJ:AJ,D:D,"&lt;="&amp;D217,C:C,C217)+SUMIFS(N:N,D:D,"&lt;="&amp;D217,C:C,C217)+SUMIFS(P:P,D:D,"&lt;="&amp;D217,C:C,C217))</f>
        <v>0</v>
      </c>
      <c r="AM217" s="98">
        <f t="shared" si="83"/>
        <v>0</v>
      </c>
      <c r="AN217" s="98">
        <f t="shared" si="76"/>
        <v>0</v>
      </c>
      <c r="AO217" s="203" t="str">
        <f t="shared" si="67"/>
        <v/>
      </c>
    </row>
    <row r="218" spans="1:41" x14ac:dyDescent="0.25">
      <c r="A218" s="95" t="str">
        <f>Start!D$7</f>
        <v>Anyland</v>
      </c>
      <c r="B218" s="96" t="str">
        <f>VLOOKUP(A218,list!B:C,2,FALSE)</f>
        <v>ANY</v>
      </c>
      <c r="C218" s="90" t="str">
        <f>IF(Start!$C$20="","",Start!$C$20)</f>
        <v>Pfizer</v>
      </c>
      <c r="D218" s="296">
        <f t="shared" si="77"/>
        <v>44621</v>
      </c>
      <c r="E218" s="92" t="str">
        <f>IFERROR(VLOOKUP(C218,Start!C$15:D$31,2,FALSE),"No")</f>
        <v>Yes</v>
      </c>
      <c r="F218" s="92">
        <f t="shared" si="78"/>
        <v>137979</v>
      </c>
      <c r="G218" s="91">
        <v>14983</v>
      </c>
      <c r="H218" s="97">
        <v>4815</v>
      </c>
      <c r="I218" s="97"/>
      <c r="J218" s="98">
        <f t="shared" si="70"/>
        <v>19798</v>
      </c>
      <c r="K218" s="97">
        <v>7643</v>
      </c>
      <c r="L218" s="175">
        <f t="shared" si="71"/>
        <v>0.38604909586826952</v>
      </c>
      <c r="M218" s="98">
        <f t="shared" si="72"/>
        <v>27441</v>
      </c>
      <c r="N218" s="97"/>
      <c r="O218" s="122"/>
      <c r="P218" s="97"/>
      <c r="Q218" s="122"/>
      <c r="R218" s="98">
        <f>SUMIFS('Shipments data'!L:L,'Shipments data'!F:F,'Supply planning data'!C218,'Shipments data'!A:A,'Supply planning data'!A218,'Shipments data'!Y:Y,'Supply planning data'!D218,'Shipments data'!O:O,"received", 'Shipments data'!N:N, "Public")</f>
        <v>0</v>
      </c>
      <c r="S218" s="98">
        <f>SUMIFS('Shipments data'!L:L,'Shipments data'!F:F,'Supply planning data'!C218,'Shipments data'!A:A,'Supply planning data'!A218,'Shipments data'!Y:Y,'Supply planning data'!D218,'Shipments data'!O:O,"ordered", 'Shipments data'!N:N, "Public")</f>
        <v>0</v>
      </c>
      <c r="T218" s="98">
        <f>IF(SUMIFS('Shipments data'!L:L,'Shipments data'!F:F,'Supply planning data'!C218,'Shipments data'!A:A,'Supply planning data'!A218,'Shipments data'!O:O,"received",'Shipments data'!Q:Q,"&lt;"&amp;'Supply planning data'!D233,'Shipments data'!AC:AC,"&lt;"&amp;'Supply planning data'!D233)-SUMIFS(M:M,D:D,"&lt;="&amp;D218,C:C,C218)+SUMIFS(N:N,D:D,"&lt;="&amp;D218,C:C,C218)+SUMIFS(P:P,D:D,"&lt;="&amp;D218,C:C,C218)&lt;0,0,SUMIFS('Shipments data'!L:L,'Shipments data'!F:F,'Supply planning data'!C218,'Shipments data'!A:A,'Supply planning data'!A218,'Shipments data'!O:O,"received",'Shipments data'!Q:Q,"&lt;"&amp;'Supply planning data'!D233,'Shipments data'!AC:AC,"&lt;"&amp;'Supply planning data'!D233)-SUMIFS(M:M,D:D,"&lt;="&amp;D218,C:C,C218)+SUMIFS(N:N,D:D,"&lt;="&amp;D218,C:C,C218)+SUMIFS(P:P,D:D,"&lt;="&amp;D218,C:C,C218))</f>
        <v>0</v>
      </c>
      <c r="U218" s="99">
        <f t="shared" si="79"/>
        <v>0</v>
      </c>
      <c r="V218" s="98">
        <f t="shared" si="69"/>
        <v>110538</v>
      </c>
      <c r="W218" s="203">
        <f t="shared" si="66"/>
        <v>1.1497129306040939</v>
      </c>
      <c r="X218" s="98">
        <f t="shared" si="80"/>
        <v>137979</v>
      </c>
      <c r="Y218" s="97"/>
      <c r="Z218" s="93"/>
      <c r="AA218" s="98">
        <f t="shared" si="73"/>
        <v>0</v>
      </c>
      <c r="AB218" s="233"/>
      <c r="AC218" s="98">
        <f>IF(SUMIFS('Shipments data'!L:L,'Shipments data'!F:F,'Supply planning data'!C218,'Shipments data'!A:A,'Supply planning data'!A218,'Shipments data'!O:O,"received",'Shipments data'!Q:Q,"&lt;"&amp;'Supply planning data'!D233,'Shipments data'!AC:AC,"&lt;"&amp;'Supply planning data'!D233)-SUMIFS(M:M,D:D,"&lt;="&amp;D218,C:C,C218)-SUMIFS(AA:AA,D:D,"&lt;="&amp;D218,C:C,C218)+SUMIFS(N:N,D:D,"&lt;="&amp;D218,C:C,C218)+SUMIFS(P:P,D:D,"&lt;="&amp;D218,C:C,C218)&lt;0,0,SUMIFS('Shipments data'!L:L,'Shipments data'!F:F,'Supply planning data'!C218,'Shipments data'!A:A,'Supply planning data'!A218,'Shipments data'!O:O,"received",'Shipments data'!Q:Q,"&lt;"&amp;'Supply planning data'!D233,'Shipments data'!AC:AC,"&lt;"&amp;'Supply planning data'!D233)-SUMIFS(M:M,D:D,"&lt;="&amp;D218,C:C,C218)-SUMIFS(AA:AA,D:D,"&lt;="&amp;D218,C:C,C218)+SUMIFS(N:N,D:D,"&lt;="&amp;D218,C:C,C218)+SUMIFS(P:P,D:D,"&lt;="&amp;D218,C:C,C218))</f>
        <v>0</v>
      </c>
      <c r="AD218" s="98">
        <f t="shared" si="81"/>
        <v>0</v>
      </c>
      <c r="AE218" s="98">
        <f t="shared" si="75"/>
        <v>110538</v>
      </c>
      <c r="AF218" s="205">
        <f t="shared" si="65"/>
        <v>3.0864753678763228</v>
      </c>
      <c r="AG218" s="98">
        <f t="shared" si="82"/>
        <v>137979</v>
      </c>
      <c r="AH218" s="97"/>
      <c r="AI218" s="311"/>
      <c r="AJ218" s="98">
        <f t="shared" si="74"/>
        <v>0</v>
      </c>
      <c r="AK218" s="233"/>
      <c r="AL218" s="98">
        <f>IF(SUMIFS('Shipments data'!L:L,'Shipments data'!F:F,'Supply planning data'!C218,'Shipments data'!A:A,'Supply planning data'!A218,'Shipments data'!O:O,"received",'Shipments data'!Q:Q,"&lt;"&amp;'Supply planning data'!D233,'Shipments data'!AC:AC,"&lt;"&amp;'Supply planning data'!D233)-SUMIFS(M:M,D:D,"&lt;="&amp;D218,C:C,C218)-SUMIFS(AJ:AJ,D:D,"&lt;="&amp;D218,C:C,C218)+SUMIFS(N:N,D:D,"&lt;="&amp;D218,C:C,C218)+SUMIFS(P:P,D:D,"&lt;="&amp;D218,C:C,C218)&lt;0,0,SUMIFS('Shipments data'!L:L,'Shipments data'!F:F,'Supply planning data'!C218,'Shipments data'!A:A,'Supply planning data'!A218,'Shipments data'!O:O,"received",'Shipments data'!Q:Q,"&lt;"&amp;'Supply planning data'!D233,'Shipments data'!AC:AC,"&lt;"&amp;'Supply planning data'!D233)-SUMIFS(M:M,D:D,"&lt;="&amp;D218,C:C,C218)-SUMIFS(AJ:AJ,D:D,"&lt;="&amp;D218,C:C,C218)+SUMIFS(N:N,D:D,"&lt;="&amp;D218,C:C,C218)+SUMIFS(P:P,D:D,"&lt;="&amp;D218,C:C,C218))</f>
        <v>0</v>
      </c>
      <c r="AM218" s="98">
        <f t="shared" si="83"/>
        <v>0</v>
      </c>
      <c r="AN218" s="98">
        <f t="shared" si="76"/>
        <v>110538</v>
      </c>
      <c r="AO218" s="203">
        <f t="shared" si="67"/>
        <v>12.08461790751066</v>
      </c>
    </row>
    <row r="219" spans="1:41" x14ac:dyDescent="0.25">
      <c r="A219" s="95" t="str">
        <f>Start!D$7</f>
        <v>Anyland</v>
      </c>
      <c r="B219" s="96" t="str">
        <f>VLOOKUP(A219,list!B:C,2,FALSE)</f>
        <v>ANY</v>
      </c>
      <c r="C219" s="90" t="str">
        <f>IF(Start!$C$21="","",Start!$C$21)</f>
        <v>Sinovac</v>
      </c>
      <c r="D219" s="296">
        <f t="shared" si="77"/>
        <v>44621</v>
      </c>
      <c r="E219" s="92" t="str">
        <f>IFERROR(VLOOKUP(C219,Start!C$15:D$31,2,FALSE),"No")</f>
        <v>No</v>
      </c>
      <c r="F219" s="92">
        <f t="shared" si="78"/>
        <v>0</v>
      </c>
      <c r="G219" s="91"/>
      <c r="H219" s="97"/>
      <c r="I219" s="97"/>
      <c r="J219" s="98">
        <f t="shared" si="70"/>
        <v>0</v>
      </c>
      <c r="K219" s="97"/>
      <c r="L219" s="175" t="str">
        <f t="shared" si="71"/>
        <v/>
      </c>
      <c r="M219" s="98">
        <f t="shared" si="72"/>
        <v>0</v>
      </c>
      <c r="N219" s="97"/>
      <c r="O219" s="122"/>
      <c r="P219" s="97"/>
      <c r="Q219" s="122"/>
      <c r="R219" s="98">
        <f>SUMIFS('Shipments data'!L:L,'Shipments data'!F:F,'Supply planning data'!C219,'Shipments data'!A:A,'Supply planning data'!A219,'Shipments data'!Y:Y,'Supply planning data'!D219,'Shipments data'!O:O,"received", 'Shipments data'!N:N, "Public")</f>
        <v>0</v>
      </c>
      <c r="S219" s="98">
        <f>SUMIFS('Shipments data'!L:L,'Shipments data'!F:F,'Supply planning data'!C219,'Shipments data'!A:A,'Supply planning data'!A219,'Shipments data'!Y:Y,'Supply planning data'!D219,'Shipments data'!O:O,"ordered", 'Shipments data'!N:N, "Public")</f>
        <v>0</v>
      </c>
      <c r="T219" s="98">
        <f>IF(SUMIFS('Shipments data'!L:L,'Shipments data'!F:F,'Supply planning data'!C219,'Shipments data'!A:A,'Supply planning data'!A219,'Shipments data'!O:O,"received",'Shipments data'!Q:Q,"&lt;"&amp;'Supply planning data'!D234,'Shipments data'!AC:AC,"&lt;"&amp;'Supply planning data'!D234)-SUMIFS(M:M,D:D,"&lt;="&amp;D219,C:C,C219)+SUMIFS(N:N,D:D,"&lt;="&amp;D219,C:C,C219)+SUMIFS(P:P,D:D,"&lt;="&amp;D219,C:C,C219)&lt;0,0,SUMIFS('Shipments data'!L:L,'Shipments data'!F:F,'Supply planning data'!C219,'Shipments data'!A:A,'Supply planning data'!A219,'Shipments data'!O:O,"received",'Shipments data'!Q:Q,"&lt;"&amp;'Supply planning data'!D234,'Shipments data'!AC:AC,"&lt;"&amp;'Supply planning data'!D234)-SUMIFS(M:M,D:D,"&lt;="&amp;D219,C:C,C219)+SUMIFS(N:N,D:D,"&lt;="&amp;D219,C:C,C219)+SUMIFS(P:P,D:D,"&lt;="&amp;D219,C:C,C219))</f>
        <v>0</v>
      </c>
      <c r="U219" s="99">
        <f t="shared" si="79"/>
        <v>0</v>
      </c>
      <c r="V219" s="98">
        <f t="shared" si="69"/>
        <v>0</v>
      </c>
      <c r="W219" s="203" t="str">
        <f t="shared" si="66"/>
        <v/>
      </c>
      <c r="X219" s="98">
        <f t="shared" si="80"/>
        <v>0</v>
      </c>
      <c r="Y219" s="97"/>
      <c r="Z219" s="93"/>
      <c r="AA219" s="98">
        <f t="shared" si="73"/>
        <v>0</v>
      </c>
      <c r="AB219" s="233"/>
      <c r="AC219" s="98">
        <f>IF(SUMIFS('Shipments data'!L:L,'Shipments data'!F:F,'Supply planning data'!C219,'Shipments data'!A:A,'Supply planning data'!A219,'Shipments data'!O:O,"received",'Shipments data'!Q:Q,"&lt;"&amp;'Supply planning data'!D234,'Shipments data'!AC:AC,"&lt;"&amp;'Supply planning data'!D234)-SUMIFS(M:M,D:D,"&lt;="&amp;D219,C:C,C219)-SUMIFS(AA:AA,D:D,"&lt;="&amp;D219,C:C,C219)+SUMIFS(N:N,D:D,"&lt;="&amp;D219,C:C,C219)+SUMIFS(P:P,D:D,"&lt;="&amp;D219,C:C,C219)&lt;0,0,SUMIFS('Shipments data'!L:L,'Shipments data'!F:F,'Supply planning data'!C219,'Shipments data'!A:A,'Supply planning data'!A219,'Shipments data'!O:O,"received",'Shipments data'!Q:Q,"&lt;"&amp;'Supply planning data'!D234,'Shipments data'!AC:AC,"&lt;"&amp;'Supply planning data'!D234)-SUMIFS(M:M,D:D,"&lt;="&amp;D219,C:C,C219)-SUMIFS(AA:AA,D:D,"&lt;="&amp;D219,C:C,C219)+SUMIFS(N:N,D:D,"&lt;="&amp;D219,C:C,C219)+SUMIFS(P:P,D:D,"&lt;="&amp;D219,C:C,C219))</f>
        <v>0</v>
      </c>
      <c r="AD219" s="98">
        <f t="shared" si="81"/>
        <v>0</v>
      </c>
      <c r="AE219" s="98">
        <f t="shared" si="75"/>
        <v>0</v>
      </c>
      <c r="AF219" s="205" t="str">
        <f t="shared" si="65"/>
        <v/>
      </c>
      <c r="AG219" s="98">
        <f t="shared" si="82"/>
        <v>0</v>
      </c>
      <c r="AH219" s="97"/>
      <c r="AI219" s="311"/>
      <c r="AJ219" s="98">
        <f t="shared" si="74"/>
        <v>0</v>
      </c>
      <c r="AK219" s="233"/>
      <c r="AL219" s="98">
        <f>IF(SUMIFS('Shipments data'!L:L,'Shipments data'!F:F,'Supply planning data'!C219,'Shipments data'!A:A,'Supply planning data'!A219,'Shipments data'!O:O,"received",'Shipments data'!Q:Q,"&lt;"&amp;'Supply planning data'!D234,'Shipments data'!AC:AC,"&lt;"&amp;'Supply planning data'!D234)-SUMIFS(M:M,D:D,"&lt;="&amp;D219,C:C,C219)-SUMIFS(AJ:AJ,D:D,"&lt;="&amp;D219,C:C,C219)+SUMIFS(N:N,D:D,"&lt;="&amp;D219,C:C,C219)+SUMIFS(P:P,D:D,"&lt;="&amp;D219,C:C,C219)&lt;0,0,SUMIFS('Shipments data'!L:L,'Shipments data'!F:F,'Supply planning data'!C219,'Shipments data'!A:A,'Supply planning data'!A219,'Shipments data'!O:O,"received",'Shipments data'!Q:Q,"&lt;"&amp;'Supply planning data'!D234,'Shipments data'!AC:AC,"&lt;"&amp;'Supply planning data'!D234)-SUMIFS(M:M,D:D,"&lt;="&amp;D219,C:C,C219)-SUMIFS(AJ:AJ,D:D,"&lt;="&amp;D219,C:C,C219)+SUMIFS(N:N,D:D,"&lt;="&amp;D219,C:C,C219)+SUMIFS(P:P,D:D,"&lt;="&amp;D219,C:C,C219))</f>
        <v>0</v>
      </c>
      <c r="AM219" s="98">
        <f t="shared" si="83"/>
        <v>0</v>
      </c>
      <c r="AN219" s="98">
        <f t="shared" si="76"/>
        <v>0</v>
      </c>
      <c r="AO219" s="203" t="str">
        <f t="shared" si="67"/>
        <v/>
      </c>
    </row>
    <row r="220" spans="1:41" hidden="1" x14ac:dyDescent="0.25">
      <c r="A220" s="95" t="str">
        <f>Start!D$7</f>
        <v>Anyland</v>
      </c>
      <c r="B220" s="96" t="str">
        <f>VLOOKUP(A220,list!B:C,2,FALSE)</f>
        <v>ANY</v>
      </c>
      <c r="C220" s="90" t="str">
        <f>IF(Start!$C$22="","",Start!$C$22)</f>
        <v/>
      </c>
      <c r="D220" s="296">
        <f t="shared" si="77"/>
        <v>44621</v>
      </c>
      <c r="E220" s="92" t="str">
        <f>IFERROR(VLOOKUP(C220,Start!C$15:D$31,2,FALSE),"No")</f>
        <v>No</v>
      </c>
      <c r="F220" s="92">
        <f t="shared" si="78"/>
        <v>0</v>
      </c>
      <c r="G220" s="91"/>
      <c r="H220" s="97"/>
      <c r="I220" s="97"/>
      <c r="J220" s="98">
        <f t="shared" si="70"/>
        <v>0</v>
      </c>
      <c r="K220" s="97"/>
      <c r="L220" s="175" t="str">
        <f t="shared" si="71"/>
        <v/>
      </c>
      <c r="M220" s="98">
        <f t="shared" si="72"/>
        <v>0</v>
      </c>
      <c r="N220" s="97"/>
      <c r="O220" s="122"/>
      <c r="P220" s="97"/>
      <c r="Q220" s="122"/>
      <c r="R220" s="98">
        <f>SUMIFS('Shipments data'!L:L,'Shipments data'!F:F,'Supply planning data'!C220,'Shipments data'!A:A,'Supply planning data'!A220,'Shipments data'!Y:Y,'Supply planning data'!D220,'Shipments data'!O:O,"received", 'Shipments data'!N:N, "Public")</f>
        <v>0</v>
      </c>
      <c r="S220" s="98">
        <f>SUMIFS('Shipments data'!L:L,'Shipments data'!F:F,'Supply planning data'!C220,'Shipments data'!A:A,'Supply planning data'!A220,'Shipments data'!Y:Y,'Supply planning data'!D220,'Shipments data'!O:O,"ordered", 'Shipments data'!N:N, "Public")</f>
        <v>0</v>
      </c>
      <c r="T220" s="98">
        <f>IF(SUMIFS('Shipments data'!L:L,'Shipments data'!F:F,'Supply planning data'!C220,'Shipments data'!A:A,'Supply planning data'!A220,'Shipments data'!O:O,"received",'Shipments data'!Q:Q,"&lt;"&amp;'Supply planning data'!D235,'Shipments data'!AC:AC,"&lt;"&amp;'Supply planning data'!D235)-SUMIFS(M:M,D:D,"&lt;="&amp;D220,C:C,C220)+SUMIFS(N:N,D:D,"&lt;="&amp;D220,C:C,C220)+SUMIFS(P:P,D:D,"&lt;="&amp;D220,C:C,C220)&lt;0,0,SUMIFS('Shipments data'!L:L,'Shipments data'!F:F,'Supply planning data'!C220,'Shipments data'!A:A,'Supply planning data'!A220,'Shipments data'!O:O,"received",'Shipments data'!Q:Q,"&lt;"&amp;'Supply planning data'!D235,'Shipments data'!AC:AC,"&lt;"&amp;'Supply planning data'!D235)-SUMIFS(M:M,D:D,"&lt;="&amp;D220,C:C,C220)+SUMIFS(N:N,D:D,"&lt;="&amp;D220,C:C,C220)+SUMIFS(P:P,D:D,"&lt;="&amp;D220,C:C,C220))</f>
        <v>0</v>
      </c>
      <c r="U220" s="99">
        <f t="shared" si="79"/>
        <v>0</v>
      </c>
      <c r="V220" s="98">
        <f t="shared" si="69"/>
        <v>0</v>
      </c>
      <c r="W220" s="203" t="str">
        <f t="shared" si="66"/>
        <v/>
      </c>
      <c r="X220" s="98">
        <f t="shared" si="80"/>
        <v>0</v>
      </c>
      <c r="Y220" s="97"/>
      <c r="Z220" s="93"/>
      <c r="AA220" s="98">
        <f t="shared" si="73"/>
        <v>0</v>
      </c>
      <c r="AB220" s="233"/>
      <c r="AC220" s="98">
        <f>IF(SUMIFS('Shipments data'!L:L,'Shipments data'!F:F,'Supply planning data'!C220,'Shipments data'!A:A,'Supply planning data'!A220,'Shipments data'!O:O,"received",'Shipments data'!Q:Q,"&lt;"&amp;'Supply planning data'!D235,'Shipments data'!AC:AC,"&lt;"&amp;'Supply planning data'!D235)-SUMIFS(M:M,D:D,"&lt;="&amp;D220,C:C,C220)-SUMIFS(AA:AA,D:D,"&lt;="&amp;D220,C:C,C220)+SUMIFS(N:N,D:D,"&lt;="&amp;D220,C:C,C220)+SUMIFS(P:P,D:D,"&lt;="&amp;D220,C:C,C220)&lt;0,0,SUMIFS('Shipments data'!L:L,'Shipments data'!F:F,'Supply planning data'!C220,'Shipments data'!A:A,'Supply planning data'!A220,'Shipments data'!O:O,"received",'Shipments data'!Q:Q,"&lt;"&amp;'Supply planning data'!D235,'Shipments data'!AC:AC,"&lt;"&amp;'Supply planning data'!D235)-SUMIFS(M:M,D:D,"&lt;="&amp;D220,C:C,C220)-SUMIFS(AA:AA,D:D,"&lt;="&amp;D220,C:C,C220)+SUMIFS(N:N,D:D,"&lt;="&amp;D220,C:C,C220)+SUMIFS(P:P,D:D,"&lt;="&amp;D220,C:C,C220))</f>
        <v>0</v>
      </c>
      <c r="AD220" s="98">
        <f t="shared" si="81"/>
        <v>0</v>
      </c>
      <c r="AE220" s="98">
        <f t="shared" si="75"/>
        <v>0</v>
      </c>
      <c r="AF220" s="205" t="str">
        <f t="shared" si="65"/>
        <v/>
      </c>
      <c r="AG220" s="98">
        <f t="shared" si="82"/>
        <v>0</v>
      </c>
      <c r="AH220" s="97"/>
      <c r="AI220" s="311"/>
      <c r="AJ220" s="98">
        <f t="shared" si="74"/>
        <v>0</v>
      </c>
      <c r="AK220" s="233"/>
      <c r="AL220" s="98">
        <f>IF(SUMIFS('Shipments data'!L:L,'Shipments data'!F:F,'Supply planning data'!C220,'Shipments data'!A:A,'Supply planning data'!A220,'Shipments data'!O:O,"received",'Shipments data'!Q:Q,"&lt;"&amp;'Supply planning data'!D235,'Shipments data'!AC:AC,"&lt;"&amp;'Supply planning data'!D235)-SUMIFS(M:M,D:D,"&lt;="&amp;D220,C:C,C220)-SUMIFS(AJ:AJ,D:D,"&lt;="&amp;D220,C:C,C220)+SUMIFS(N:N,D:D,"&lt;="&amp;D220,C:C,C220)+SUMIFS(P:P,D:D,"&lt;="&amp;D220,C:C,C220)&lt;0,0,SUMIFS('Shipments data'!L:L,'Shipments data'!F:F,'Supply planning data'!C220,'Shipments data'!A:A,'Supply planning data'!A220,'Shipments data'!O:O,"received",'Shipments data'!Q:Q,"&lt;"&amp;'Supply planning data'!D235,'Shipments data'!AC:AC,"&lt;"&amp;'Supply planning data'!D235)-SUMIFS(M:M,D:D,"&lt;="&amp;D220,C:C,C220)-SUMIFS(AJ:AJ,D:D,"&lt;="&amp;D220,C:C,C220)+SUMIFS(N:N,D:D,"&lt;="&amp;D220,C:C,C220)+SUMIFS(P:P,D:D,"&lt;="&amp;D220,C:C,C220))</f>
        <v>0</v>
      </c>
      <c r="AM220" s="98">
        <f t="shared" si="83"/>
        <v>0</v>
      </c>
      <c r="AN220" s="98">
        <f t="shared" si="76"/>
        <v>0</v>
      </c>
      <c r="AO220" s="203" t="str">
        <f t="shared" si="67"/>
        <v/>
      </c>
    </row>
    <row r="221" spans="1:41" hidden="1" x14ac:dyDescent="0.25">
      <c r="A221" s="95" t="str">
        <f>Start!D$7</f>
        <v>Anyland</v>
      </c>
      <c r="B221" s="96" t="str">
        <f>VLOOKUP(A221,list!B:C,2,FALSE)</f>
        <v>ANY</v>
      </c>
      <c r="C221" s="90" t="str">
        <f>IF(Start!$C$23="","",Start!$C$23)</f>
        <v/>
      </c>
      <c r="D221" s="296">
        <f t="shared" si="77"/>
        <v>44621</v>
      </c>
      <c r="E221" s="92" t="str">
        <f>IFERROR(VLOOKUP(C221,Start!C$15:D$31,2,FALSE),"No")</f>
        <v>No</v>
      </c>
      <c r="F221" s="92">
        <f t="shared" si="78"/>
        <v>0</v>
      </c>
      <c r="G221" s="91"/>
      <c r="H221" s="97"/>
      <c r="I221" s="97"/>
      <c r="J221" s="98">
        <f t="shared" si="70"/>
        <v>0</v>
      </c>
      <c r="K221" s="97"/>
      <c r="L221" s="175" t="str">
        <f t="shared" si="71"/>
        <v/>
      </c>
      <c r="M221" s="98">
        <f t="shared" si="72"/>
        <v>0</v>
      </c>
      <c r="N221" s="97"/>
      <c r="O221" s="122"/>
      <c r="P221" s="97"/>
      <c r="Q221" s="122"/>
      <c r="R221" s="98">
        <f>SUMIFS('Shipments data'!L:L,'Shipments data'!F:F,'Supply planning data'!C221,'Shipments data'!A:A,'Supply planning data'!A221,'Shipments data'!Y:Y,'Supply planning data'!D221,'Shipments data'!O:O,"received", 'Shipments data'!N:N, "Public")</f>
        <v>0</v>
      </c>
      <c r="S221" s="98">
        <f>SUMIFS('Shipments data'!L:L,'Shipments data'!F:F,'Supply planning data'!C221,'Shipments data'!A:A,'Supply planning data'!A221,'Shipments data'!Y:Y,'Supply planning data'!D221,'Shipments data'!O:O,"ordered", 'Shipments data'!N:N, "Public")</f>
        <v>0</v>
      </c>
      <c r="T221" s="98">
        <f>IF(SUMIFS('Shipments data'!L:L,'Shipments data'!F:F,'Supply planning data'!C221,'Shipments data'!A:A,'Supply planning data'!A221,'Shipments data'!O:O,"received",'Shipments data'!Q:Q,"&lt;"&amp;'Supply planning data'!D236,'Shipments data'!AC:AC,"&lt;"&amp;'Supply planning data'!D236)-SUMIFS(M:M,D:D,"&lt;="&amp;D221,C:C,C221)+SUMIFS(N:N,D:D,"&lt;="&amp;D221,C:C,C221)+SUMIFS(P:P,D:D,"&lt;="&amp;D221,C:C,C221)&lt;0,0,SUMIFS('Shipments data'!L:L,'Shipments data'!F:F,'Supply planning data'!C221,'Shipments data'!A:A,'Supply planning data'!A221,'Shipments data'!O:O,"received",'Shipments data'!Q:Q,"&lt;"&amp;'Supply planning data'!D236,'Shipments data'!AC:AC,"&lt;"&amp;'Supply planning data'!D236)-SUMIFS(M:M,D:D,"&lt;="&amp;D221,C:C,C221)+SUMIFS(N:N,D:D,"&lt;="&amp;D221,C:C,C221)+SUMIFS(P:P,D:D,"&lt;="&amp;D221,C:C,C221))</f>
        <v>0</v>
      </c>
      <c r="U221" s="99">
        <f t="shared" si="79"/>
        <v>0</v>
      </c>
      <c r="V221" s="98">
        <f t="shared" si="69"/>
        <v>0</v>
      </c>
      <c r="W221" s="203" t="str">
        <f t="shared" si="66"/>
        <v/>
      </c>
      <c r="X221" s="98">
        <f t="shared" si="80"/>
        <v>0</v>
      </c>
      <c r="Y221" s="97"/>
      <c r="Z221" s="93"/>
      <c r="AA221" s="98">
        <f t="shared" si="73"/>
        <v>0</v>
      </c>
      <c r="AB221" s="233"/>
      <c r="AC221" s="98">
        <f>IF(SUMIFS('Shipments data'!L:L,'Shipments data'!F:F,'Supply planning data'!C221,'Shipments data'!A:A,'Supply planning data'!A221,'Shipments data'!O:O,"received",'Shipments data'!Q:Q,"&lt;"&amp;'Supply planning data'!D236,'Shipments data'!AC:AC,"&lt;"&amp;'Supply planning data'!D236)-SUMIFS(M:M,D:D,"&lt;="&amp;D221,C:C,C221)-SUMIFS(AA:AA,D:D,"&lt;="&amp;D221,C:C,C221)+SUMIFS(N:N,D:D,"&lt;="&amp;D221,C:C,C221)+SUMIFS(P:P,D:D,"&lt;="&amp;D221,C:C,C221)&lt;0,0,SUMIFS('Shipments data'!L:L,'Shipments data'!F:F,'Supply planning data'!C221,'Shipments data'!A:A,'Supply planning data'!A221,'Shipments data'!O:O,"received",'Shipments data'!Q:Q,"&lt;"&amp;'Supply planning data'!D236,'Shipments data'!AC:AC,"&lt;"&amp;'Supply planning data'!D236)-SUMIFS(M:M,D:D,"&lt;="&amp;D221,C:C,C221)-SUMIFS(AA:AA,D:D,"&lt;="&amp;D221,C:C,C221)+SUMIFS(N:N,D:D,"&lt;="&amp;D221,C:C,C221)+SUMIFS(P:P,D:D,"&lt;="&amp;D221,C:C,C221))</f>
        <v>0</v>
      </c>
      <c r="AD221" s="98">
        <f t="shared" si="81"/>
        <v>0</v>
      </c>
      <c r="AE221" s="98">
        <f t="shared" si="75"/>
        <v>0</v>
      </c>
      <c r="AF221" s="205" t="str">
        <f t="shared" si="65"/>
        <v/>
      </c>
      <c r="AG221" s="98">
        <f t="shared" si="82"/>
        <v>0</v>
      </c>
      <c r="AH221" s="97"/>
      <c r="AI221" s="311"/>
      <c r="AJ221" s="98">
        <f t="shared" si="74"/>
        <v>0</v>
      </c>
      <c r="AK221" s="233"/>
      <c r="AL221" s="98">
        <f>IF(SUMIFS('Shipments data'!L:L,'Shipments data'!F:F,'Supply planning data'!C221,'Shipments data'!A:A,'Supply planning data'!A221,'Shipments data'!O:O,"received",'Shipments data'!Q:Q,"&lt;"&amp;'Supply planning data'!D236,'Shipments data'!AC:AC,"&lt;"&amp;'Supply planning data'!D236)-SUMIFS(M:M,D:D,"&lt;="&amp;D221,C:C,C221)-SUMIFS(AJ:AJ,D:D,"&lt;="&amp;D221,C:C,C221)+SUMIFS(N:N,D:D,"&lt;="&amp;D221,C:C,C221)+SUMIFS(P:P,D:D,"&lt;="&amp;D221,C:C,C221)&lt;0,0,SUMIFS('Shipments data'!L:L,'Shipments data'!F:F,'Supply planning data'!C221,'Shipments data'!A:A,'Supply planning data'!A221,'Shipments data'!O:O,"received",'Shipments data'!Q:Q,"&lt;"&amp;'Supply planning data'!D236,'Shipments data'!AC:AC,"&lt;"&amp;'Supply planning data'!D236)-SUMIFS(M:M,D:D,"&lt;="&amp;D221,C:C,C221)-SUMIFS(AJ:AJ,D:D,"&lt;="&amp;D221,C:C,C221)+SUMIFS(N:N,D:D,"&lt;="&amp;D221,C:C,C221)+SUMIFS(P:P,D:D,"&lt;="&amp;D221,C:C,C221))</f>
        <v>0</v>
      </c>
      <c r="AM221" s="98">
        <f t="shared" si="83"/>
        <v>0</v>
      </c>
      <c r="AN221" s="98">
        <f t="shared" si="76"/>
        <v>0</v>
      </c>
      <c r="AO221" s="203" t="str">
        <f t="shared" si="67"/>
        <v/>
      </c>
    </row>
    <row r="222" spans="1:41" hidden="1" x14ac:dyDescent="0.25">
      <c r="A222" s="95" t="str">
        <f>Start!D$7</f>
        <v>Anyland</v>
      </c>
      <c r="B222" s="96" t="str">
        <f>VLOOKUP(A222,list!B:C,2,FALSE)</f>
        <v>ANY</v>
      </c>
      <c r="C222" s="90" t="str">
        <f>IF(Start!$C$24="","",Start!$C$24)</f>
        <v/>
      </c>
      <c r="D222" s="296">
        <f t="shared" si="77"/>
        <v>44621</v>
      </c>
      <c r="E222" s="92" t="str">
        <f>IFERROR(VLOOKUP(C222,Start!C$15:D$31,2,FALSE),"No")</f>
        <v>No</v>
      </c>
      <c r="F222" s="92">
        <f t="shared" si="78"/>
        <v>0</v>
      </c>
      <c r="G222" s="91"/>
      <c r="H222" s="97"/>
      <c r="I222" s="97"/>
      <c r="J222" s="98">
        <f t="shared" si="70"/>
        <v>0</v>
      </c>
      <c r="K222" s="97"/>
      <c r="L222" s="175" t="str">
        <f t="shared" si="71"/>
        <v/>
      </c>
      <c r="M222" s="98">
        <f t="shared" si="72"/>
        <v>0</v>
      </c>
      <c r="N222" s="97"/>
      <c r="O222" s="122"/>
      <c r="P222" s="97"/>
      <c r="Q222" s="122"/>
      <c r="R222" s="98">
        <f>SUMIFS('Shipments data'!L:L,'Shipments data'!F:F,'Supply planning data'!C222,'Shipments data'!A:A,'Supply planning data'!A222,'Shipments data'!Y:Y,'Supply planning data'!D222,'Shipments data'!O:O,"received", 'Shipments data'!N:N, "Public")</f>
        <v>0</v>
      </c>
      <c r="S222" s="98">
        <f>SUMIFS('Shipments data'!L:L,'Shipments data'!F:F,'Supply planning data'!C222,'Shipments data'!A:A,'Supply planning data'!A222,'Shipments data'!Y:Y,'Supply planning data'!D222,'Shipments data'!O:O,"ordered", 'Shipments data'!N:N, "Public")</f>
        <v>0</v>
      </c>
      <c r="T222" s="98">
        <f>IF(SUMIFS('Shipments data'!L:L,'Shipments data'!F:F,'Supply planning data'!C222,'Shipments data'!A:A,'Supply planning data'!A222,'Shipments data'!O:O,"received",'Shipments data'!Q:Q,"&lt;"&amp;'Supply planning data'!D237,'Shipments data'!AC:AC,"&lt;"&amp;'Supply planning data'!D237)-SUMIFS(M:M,D:D,"&lt;="&amp;D222,C:C,C222)+SUMIFS(N:N,D:D,"&lt;="&amp;D222,C:C,C222)+SUMIFS(P:P,D:D,"&lt;="&amp;D222,C:C,C222)&lt;0,0,SUMIFS('Shipments data'!L:L,'Shipments data'!F:F,'Supply planning data'!C222,'Shipments data'!A:A,'Supply planning data'!A222,'Shipments data'!O:O,"received",'Shipments data'!Q:Q,"&lt;"&amp;'Supply planning data'!D237,'Shipments data'!AC:AC,"&lt;"&amp;'Supply planning data'!D237)-SUMIFS(M:M,D:D,"&lt;="&amp;D222,C:C,C222)+SUMIFS(N:N,D:D,"&lt;="&amp;D222,C:C,C222)+SUMIFS(P:P,D:D,"&lt;="&amp;D222,C:C,C222))</f>
        <v>0</v>
      </c>
      <c r="U222" s="99">
        <f t="shared" si="79"/>
        <v>0</v>
      </c>
      <c r="V222" s="98">
        <f t="shared" si="69"/>
        <v>0</v>
      </c>
      <c r="W222" s="203" t="str">
        <f t="shared" si="66"/>
        <v/>
      </c>
      <c r="X222" s="98">
        <f t="shared" si="80"/>
        <v>0</v>
      </c>
      <c r="Y222" s="97"/>
      <c r="Z222" s="93"/>
      <c r="AA222" s="98">
        <f t="shared" si="73"/>
        <v>0</v>
      </c>
      <c r="AB222" s="233"/>
      <c r="AC222" s="98">
        <f>IF(SUMIFS('Shipments data'!L:L,'Shipments data'!F:F,'Supply planning data'!C222,'Shipments data'!A:A,'Supply planning data'!A222,'Shipments data'!O:O,"received",'Shipments data'!Q:Q,"&lt;"&amp;'Supply planning data'!D237,'Shipments data'!AC:AC,"&lt;"&amp;'Supply planning data'!D237)-SUMIFS(M:M,D:D,"&lt;="&amp;D222,C:C,C222)-SUMIFS(AA:AA,D:D,"&lt;="&amp;D222,C:C,C222)+SUMIFS(N:N,D:D,"&lt;="&amp;D222,C:C,C222)+SUMIFS(P:P,D:D,"&lt;="&amp;D222,C:C,C222)&lt;0,0,SUMIFS('Shipments data'!L:L,'Shipments data'!F:F,'Supply planning data'!C222,'Shipments data'!A:A,'Supply planning data'!A222,'Shipments data'!O:O,"received",'Shipments data'!Q:Q,"&lt;"&amp;'Supply planning data'!D237,'Shipments data'!AC:AC,"&lt;"&amp;'Supply planning data'!D237)-SUMIFS(M:M,D:D,"&lt;="&amp;D222,C:C,C222)-SUMIFS(AA:AA,D:D,"&lt;="&amp;D222,C:C,C222)+SUMIFS(N:N,D:D,"&lt;="&amp;D222,C:C,C222)+SUMIFS(P:P,D:D,"&lt;="&amp;D222,C:C,C222))</f>
        <v>0</v>
      </c>
      <c r="AD222" s="98">
        <f t="shared" si="81"/>
        <v>0</v>
      </c>
      <c r="AE222" s="98">
        <f t="shared" si="75"/>
        <v>0</v>
      </c>
      <c r="AF222" s="205" t="str">
        <f t="shared" si="65"/>
        <v/>
      </c>
      <c r="AG222" s="98">
        <f t="shared" si="82"/>
        <v>0</v>
      </c>
      <c r="AH222" s="97"/>
      <c r="AI222" s="311"/>
      <c r="AJ222" s="98">
        <f t="shared" si="74"/>
        <v>0</v>
      </c>
      <c r="AK222" s="233"/>
      <c r="AL222" s="98">
        <f>IF(SUMIFS('Shipments data'!L:L,'Shipments data'!F:F,'Supply planning data'!C222,'Shipments data'!A:A,'Supply planning data'!A222,'Shipments data'!O:O,"received",'Shipments data'!Q:Q,"&lt;"&amp;'Supply planning data'!D237,'Shipments data'!AC:AC,"&lt;"&amp;'Supply planning data'!D237)-SUMIFS(M:M,D:D,"&lt;="&amp;D222,C:C,C222)-SUMIFS(AJ:AJ,D:D,"&lt;="&amp;D222,C:C,C222)+SUMIFS(N:N,D:D,"&lt;="&amp;D222,C:C,C222)+SUMIFS(P:P,D:D,"&lt;="&amp;D222,C:C,C222)&lt;0,0,SUMIFS('Shipments data'!L:L,'Shipments data'!F:F,'Supply planning data'!C222,'Shipments data'!A:A,'Supply planning data'!A222,'Shipments data'!O:O,"received",'Shipments data'!Q:Q,"&lt;"&amp;'Supply planning data'!D237,'Shipments data'!AC:AC,"&lt;"&amp;'Supply planning data'!D237)-SUMIFS(M:M,D:D,"&lt;="&amp;D222,C:C,C222)-SUMIFS(AJ:AJ,D:D,"&lt;="&amp;D222,C:C,C222)+SUMIFS(N:N,D:D,"&lt;="&amp;D222,C:C,C222)+SUMIFS(P:P,D:D,"&lt;="&amp;D222,C:C,C222))</f>
        <v>0</v>
      </c>
      <c r="AM222" s="98">
        <f t="shared" si="83"/>
        <v>0</v>
      </c>
      <c r="AN222" s="98">
        <f t="shared" si="76"/>
        <v>0</v>
      </c>
      <c r="AO222" s="203" t="str">
        <f t="shared" si="67"/>
        <v/>
      </c>
    </row>
    <row r="223" spans="1:41" hidden="1" x14ac:dyDescent="0.25">
      <c r="A223" s="95" t="str">
        <f>Start!D$7</f>
        <v>Anyland</v>
      </c>
      <c r="B223" s="96" t="str">
        <f>VLOOKUP(A223,list!B:C,2,FALSE)</f>
        <v>ANY</v>
      </c>
      <c r="C223" s="90" t="str">
        <f>IF(Start!$C$25="","",Start!$C$25)</f>
        <v/>
      </c>
      <c r="D223" s="296">
        <f t="shared" si="77"/>
        <v>44621</v>
      </c>
      <c r="E223" s="92" t="str">
        <f>IFERROR(VLOOKUP(C223,Start!C$15:D$31,2,FALSE),"No")</f>
        <v>No</v>
      </c>
      <c r="F223" s="92">
        <f t="shared" si="78"/>
        <v>0</v>
      </c>
      <c r="G223" s="91"/>
      <c r="H223" s="97"/>
      <c r="I223" s="97"/>
      <c r="J223" s="98">
        <f t="shared" si="70"/>
        <v>0</v>
      </c>
      <c r="K223" s="97"/>
      <c r="L223" s="175" t="str">
        <f t="shared" si="71"/>
        <v/>
      </c>
      <c r="M223" s="98">
        <f t="shared" si="72"/>
        <v>0</v>
      </c>
      <c r="N223" s="97"/>
      <c r="O223" s="122"/>
      <c r="P223" s="97"/>
      <c r="Q223" s="122"/>
      <c r="R223" s="98">
        <f>SUMIFS('Shipments data'!L:L,'Shipments data'!F:F,'Supply planning data'!C223,'Shipments data'!A:A,'Supply planning data'!A223,'Shipments data'!Y:Y,'Supply planning data'!D223,'Shipments data'!O:O,"received", 'Shipments data'!N:N, "Public")</f>
        <v>0</v>
      </c>
      <c r="S223" s="98">
        <f>SUMIFS('Shipments data'!L:L,'Shipments data'!F:F,'Supply planning data'!C223,'Shipments data'!A:A,'Supply planning data'!A223,'Shipments data'!Y:Y,'Supply planning data'!D223,'Shipments data'!O:O,"ordered", 'Shipments data'!N:N, "Public")</f>
        <v>0</v>
      </c>
      <c r="T223" s="98">
        <f>IF(SUMIFS('Shipments data'!L:L,'Shipments data'!F:F,'Supply planning data'!C223,'Shipments data'!A:A,'Supply planning data'!A223,'Shipments data'!O:O,"received",'Shipments data'!Q:Q,"&lt;"&amp;'Supply planning data'!D238,'Shipments data'!AC:AC,"&lt;"&amp;'Supply planning data'!D238)-SUMIFS(M:M,D:D,"&lt;="&amp;D223,C:C,C223)+SUMIFS(N:N,D:D,"&lt;="&amp;D223,C:C,C223)+SUMIFS(P:P,D:D,"&lt;="&amp;D223,C:C,C223)&lt;0,0,SUMIFS('Shipments data'!L:L,'Shipments data'!F:F,'Supply planning data'!C223,'Shipments data'!A:A,'Supply planning data'!A223,'Shipments data'!O:O,"received",'Shipments data'!Q:Q,"&lt;"&amp;'Supply planning data'!D238,'Shipments data'!AC:AC,"&lt;"&amp;'Supply planning data'!D238)-SUMIFS(M:M,D:D,"&lt;="&amp;D223,C:C,C223)+SUMIFS(N:N,D:D,"&lt;="&amp;D223,C:C,C223)+SUMIFS(P:P,D:D,"&lt;="&amp;D223,C:C,C223))</f>
        <v>0</v>
      </c>
      <c r="U223" s="99">
        <f t="shared" si="79"/>
        <v>0</v>
      </c>
      <c r="V223" s="98">
        <f t="shared" si="69"/>
        <v>0</v>
      </c>
      <c r="W223" s="203" t="str">
        <f t="shared" si="66"/>
        <v/>
      </c>
      <c r="X223" s="98">
        <f t="shared" si="80"/>
        <v>0</v>
      </c>
      <c r="Y223" s="97"/>
      <c r="Z223" s="93"/>
      <c r="AA223" s="98">
        <f t="shared" si="73"/>
        <v>0</v>
      </c>
      <c r="AB223" s="233"/>
      <c r="AC223" s="98">
        <f>IF(SUMIFS('Shipments data'!L:L,'Shipments data'!F:F,'Supply planning data'!C223,'Shipments data'!A:A,'Supply planning data'!A223,'Shipments data'!O:O,"received",'Shipments data'!Q:Q,"&lt;"&amp;'Supply planning data'!D238,'Shipments data'!AC:AC,"&lt;"&amp;'Supply planning data'!D238)-SUMIFS(M:M,D:D,"&lt;="&amp;D223,C:C,C223)-SUMIFS(AA:AA,D:D,"&lt;="&amp;D223,C:C,C223)+SUMIFS(N:N,D:D,"&lt;="&amp;D223,C:C,C223)+SUMIFS(P:P,D:D,"&lt;="&amp;D223,C:C,C223)&lt;0,0,SUMIFS('Shipments data'!L:L,'Shipments data'!F:F,'Supply planning data'!C223,'Shipments data'!A:A,'Supply planning data'!A223,'Shipments data'!O:O,"received",'Shipments data'!Q:Q,"&lt;"&amp;'Supply planning data'!D238,'Shipments data'!AC:AC,"&lt;"&amp;'Supply planning data'!D238)-SUMIFS(M:M,D:D,"&lt;="&amp;D223,C:C,C223)-SUMIFS(AA:AA,D:D,"&lt;="&amp;D223,C:C,C223)+SUMIFS(N:N,D:D,"&lt;="&amp;D223,C:C,C223)+SUMIFS(P:P,D:D,"&lt;="&amp;D223,C:C,C223))</f>
        <v>0</v>
      </c>
      <c r="AD223" s="98">
        <f t="shared" si="81"/>
        <v>0</v>
      </c>
      <c r="AE223" s="98">
        <f t="shared" si="75"/>
        <v>0</v>
      </c>
      <c r="AF223" s="205" t="str">
        <f t="shared" ref="AF223:AF286" si="84">IF(M223+AA223&lt;=0,"",IFERROR(AE223/(SUM(M223,M253,M238,AA223,AA253,AA238)/3),""))</f>
        <v/>
      </c>
      <c r="AG223" s="98">
        <f t="shared" si="82"/>
        <v>0</v>
      </c>
      <c r="AH223" s="97"/>
      <c r="AI223" s="311"/>
      <c r="AJ223" s="98">
        <f t="shared" si="74"/>
        <v>0</v>
      </c>
      <c r="AK223" s="233"/>
      <c r="AL223" s="98">
        <f>IF(SUMIFS('Shipments data'!L:L,'Shipments data'!F:F,'Supply planning data'!C223,'Shipments data'!A:A,'Supply planning data'!A223,'Shipments data'!O:O,"received",'Shipments data'!Q:Q,"&lt;"&amp;'Supply planning data'!D238,'Shipments data'!AC:AC,"&lt;"&amp;'Supply planning data'!D238)-SUMIFS(M:M,D:D,"&lt;="&amp;D223,C:C,C223)-SUMIFS(AJ:AJ,D:D,"&lt;="&amp;D223,C:C,C223)+SUMIFS(N:N,D:D,"&lt;="&amp;D223,C:C,C223)+SUMIFS(P:P,D:D,"&lt;="&amp;D223,C:C,C223)&lt;0,0,SUMIFS('Shipments data'!L:L,'Shipments data'!F:F,'Supply planning data'!C223,'Shipments data'!A:A,'Supply planning data'!A223,'Shipments data'!O:O,"received",'Shipments data'!Q:Q,"&lt;"&amp;'Supply planning data'!D238,'Shipments data'!AC:AC,"&lt;"&amp;'Supply planning data'!D238)-SUMIFS(M:M,D:D,"&lt;="&amp;D223,C:C,C223)-SUMIFS(AJ:AJ,D:D,"&lt;="&amp;D223,C:C,C223)+SUMIFS(N:N,D:D,"&lt;="&amp;D223,C:C,C223)+SUMIFS(P:P,D:D,"&lt;="&amp;D223,C:C,C223))</f>
        <v>0</v>
      </c>
      <c r="AM223" s="98">
        <f t="shared" si="83"/>
        <v>0</v>
      </c>
      <c r="AN223" s="98">
        <f t="shared" si="76"/>
        <v>0</v>
      </c>
      <c r="AO223" s="203" t="str">
        <f t="shared" si="67"/>
        <v/>
      </c>
    </row>
    <row r="224" spans="1:41" hidden="1" x14ac:dyDescent="0.25">
      <c r="A224" s="95" t="str">
        <f>Start!D$7</f>
        <v>Anyland</v>
      </c>
      <c r="B224" s="96" t="str">
        <f>VLOOKUP(A224,list!B:C,2,FALSE)</f>
        <v>ANY</v>
      </c>
      <c r="C224" s="90" t="str">
        <f>IF(Start!$C$26="","",Start!$C$26)</f>
        <v/>
      </c>
      <c r="D224" s="296">
        <f t="shared" si="77"/>
        <v>44621</v>
      </c>
      <c r="E224" s="92" t="str">
        <f>IFERROR(VLOOKUP(C224,Start!C$15:D$31,2,FALSE),"No")</f>
        <v>No</v>
      </c>
      <c r="F224" s="92">
        <f t="shared" si="78"/>
        <v>0</v>
      </c>
      <c r="G224" s="91"/>
      <c r="H224" s="97"/>
      <c r="I224" s="97"/>
      <c r="J224" s="98">
        <f t="shared" si="70"/>
        <v>0</v>
      </c>
      <c r="K224" s="97"/>
      <c r="L224" s="175" t="str">
        <f t="shared" si="71"/>
        <v/>
      </c>
      <c r="M224" s="98">
        <f t="shared" si="72"/>
        <v>0</v>
      </c>
      <c r="N224" s="97"/>
      <c r="O224" s="122"/>
      <c r="P224" s="97"/>
      <c r="Q224" s="122"/>
      <c r="R224" s="98">
        <f>SUMIFS('Shipments data'!L:L,'Shipments data'!F:F,'Supply planning data'!C224,'Shipments data'!A:A,'Supply planning data'!A224,'Shipments data'!Y:Y,'Supply planning data'!D224,'Shipments data'!O:O,"received", 'Shipments data'!N:N, "Public")</f>
        <v>0</v>
      </c>
      <c r="S224" s="98">
        <f>SUMIFS('Shipments data'!L:L,'Shipments data'!F:F,'Supply planning data'!C224,'Shipments data'!A:A,'Supply planning data'!A224,'Shipments data'!Y:Y,'Supply planning data'!D224,'Shipments data'!O:O,"ordered", 'Shipments data'!N:N, "Public")</f>
        <v>0</v>
      </c>
      <c r="T224" s="98">
        <f>IF(SUMIFS('Shipments data'!L:L,'Shipments data'!F:F,'Supply planning data'!C224,'Shipments data'!A:A,'Supply planning data'!A224,'Shipments data'!O:O,"received",'Shipments data'!Q:Q,"&lt;"&amp;'Supply planning data'!D239,'Shipments data'!AC:AC,"&lt;"&amp;'Supply planning data'!D239)-SUMIFS(M:M,D:D,"&lt;="&amp;D224,C:C,C224)+SUMIFS(N:N,D:D,"&lt;="&amp;D224,C:C,C224)+SUMIFS(P:P,D:D,"&lt;="&amp;D224,C:C,C224)&lt;0,0,SUMIFS('Shipments data'!L:L,'Shipments data'!F:F,'Supply planning data'!C224,'Shipments data'!A:A,'Supply planning data'!A224,'Shipments data'!O:O,"received",'Shipments data'!Q:Q,"&lt;"&amp;'Supply planning data'!D239,'Shipments data'!AC:AC,"&lt;"&amp;'Supply planning data'!D239)-SUMIFS(M:M,D:D,"&lt;="&amp;D224,C:C,C224)+SUMIFS(N:N,D:D,"&lt;="&amp;D224,C:C,C224)+SUMIFS(P:P,D:D,"&lt;="&amp;D224,C:C,C224))</f>
        <v>0</v>
      </c>
      <c r="U224" s="99">
        <f t="shared" si="79"/>
        <v>0</v>
      </c>
      <c r="V224" s="98">
        <f t="shared" si="69"/>
        <v>0</v>
      </c>
      <c r="W224" s="203" t="str">
        <f t="shared" si="66"/>
        <v/>
      </c>
      <c r="X224" s="98">
        <f t="shared" si="80"/>
        <v>0</v>
      </c>
      <c r="Y224" s="97"/>
      <c r="Z224" s="93"/>
      <c r="AA224" s="98">
        <f t="shared" si="73"/>
        <v>0</v>
      </c>
      <c r="AB224" s="233"/>
      <c r="AC224" s="98">
        <f>IF(SUMIFS('Shipments data'!L:L,'Shipments data'!F:F,'Supply planning data'!C224,'Shipments data'!A:A,'Supply planning data'!A224,'Shipments data'!O:O,"received",'Shipments data'!Q:Q,"&lt;"&amp;'Supply planning data'!D239,'Shipments data'!AC:AC,"&lt;"&amp;'Supply planning data'!D239)-SUMIFS(M:M,D:D,"&lt;="&amp;D224,C:C,C224)-SUMIFS(AA:AA,D:D,"&lt;="&amp;D224,C:C,C224)+SUMIFS(N:N,D:D,"&lt;="&amp;D224,C:C,C224)+SUMIFS(P:P,D:D,"&lt;="&amp;D224,C:C,C224)&lt;0,0,SUMIFS('Shipments data'!L:L,'Shipments data'!F:F,'Supply planning data'!C224,'Shipments data'!A:A,'Supply planning data'!A224,'Shipments data'!O:O,"received",'Shipments data'!Q:Q,"&lt;"&amp;'Supply planning data'!D239,'Shipments data'!AC:AC,"&lt;"&amp;'Supply planning data'!D239)-SUMIFS(M:M,D:D,"&lt;="&amp;D224,C:C,C224)-SUMIFS(AA:AA,D:D,"&lt;="&amp;D224,C:C,C224)+SUMIFS(N:N,D:D,"&lt;="&amp;D224,C:C,C224)+SUMIFS(P:P,D:D,"&lt;="&amp;D224,C:C,C224))</f>
        <v>0</v>
      </c>
      <c r="AD224" s="98">
        <f t="shared" si="81"/>
        <v>0</v>
      </c>
      <c r="AE224" s="98">
        <f t="shared" si="75"/>
        <v>0</v>
      </c>
      <c r="AF224" s="205" t="str">
        <f t="shared" si="84"/>
        <v/>
      </c>
      <c r="AG224" s="98">
        <f t="shared" si="82"/>
        <v>0</v>
      </c>
      <c r="AH224" s="97"/>
      <c r="AI224" s="311"/>
      <c r="AJ224" s="98">
        <f t="shared" si="74"/>
        <v>0</v>
      </c>
      <c r="AK224" s="233"/>
      <c r="AL224" s="98">
        <f>IF(SUMIFS('Shipments data'!L:L,'Shipments data'!F:F,'Supply planning data'!C224,'Shipments data'!A:A,'Supply planning data'!A224,'Shipments data'!O:O,"received",'Shipments data'!Q:Q,"&lt;"&amp;'Supply planning data'!D239,'Shipments data'!AC:AC,"&lt;"&amp;'Supply planning data'!D239)-SUMIFS(M:M,D:D,"&lt;="&amp;D224,C:C,C224)-SUMIFS(AJ:AJ,D:D,"&lt;="&amp;D224,C:C,C224)+SUMIFS(N:N,D:D,"&lt;="&amp;D224,C:C,C224)+SUMIFS(P:P,D:D,"&lt;="&amp;D224,C:C,C224)&lt;0,0,SUMIFS('Shipments data'!L:L,'Shipments data'!F:F,'Supply planning data'!C224,'Shipments data'!A:A,'Supply planning data'!A224,'Shipments data'!O:O,"received",'Shipments data'!Q:Q,"&lt;"&amp;'Supply planning data'!D239,'Shipments data'!AC:AC,"&lt;"&amp;'Supply planning data'!D239)-SUMIFS(M:M,D:D,"&lt;="&amp;D224,C:C,C224)-SUMIFS(AJ:AJ,D:D,"&lt;="&amp;D224,C:C,C224)+SUMIFS(N:N,D:D,"&lt;="&amp;D224,C:C,C224)+SUMIFS(P:P,D:D,"&lt;="&amp;D224,C:C,C224))</f>
        <v>0</v>
      </c>
      <c r="AM224" s="98">
        <f t="shared" si="83"/>
        <v>0</v>
      </c>
      <c r="AN224" s="98">
        <f t="shared" si="76"/>
        <v>0</v>
      </c>
      <c r="AO224" s="203" t="str">
        <f t="shared" si="67"/>
        <v/>
      </c>
    </row>
    <row r="225" spans="1:41" hidden="1" x14ac:dyDescent="0.25">
      <c r="A225" s="95" t="str">
        <f>Start!D$7</f>
        <v>Anyland</v>
      </c>
      <c r="B225" s="96" t="str">
        <f>VLOOKUP(A225,list!B:C,2,FALSE)</f>
        <v>ANY</v>
      </c>
      <c r="C225" s="90" t="str">
        <f>IF(Start!$C$27="","",Start!$C$27)</f>
        <v/>
      </c>
      <c r="D225" s="296">
        <f t="shared" si="77"/>
        <v>44621</v>
      </c>
      <c r="E225" s="92" t="str">
        <f>IFERROR(VLOOKUP(C225,Start!C$15:D$31,2,FALSE),"No")</f>
        <v>No</v>
      </c>
      <c r="F225" s="92">
        <f t="shared" si="78"/>
        <v>0</v>
      </c>
      <c r="G225" s="91"/>
      <c r="H225" s="97"/>
      <c r="I225" s="97"/>
      <c r="J225" s="98">
        <f t="shared" si="70"/>
        <v>0</v>
      </c>
      <c r="K225" s="97"/>
      <c r="L225" s="175" t="str">
        <f t="shared" si="71"/>
        <v/>
      </c>
      <c r="M225" s="98">
        <f t="shared" si="72"/>
        <v>0</v>
      </c>
      <c r="N225" s="97"/>
      <c r="O225" s="122"/>
      <c r="P225" s="97"/>
      <c r="Q225" s="122"/>
      <c r="R225" s="98">
        <f>SUMIFS('Shipments data'!L:L,'Shipments data'!F:F,'Supply planning data'!C225,'Shipments data'!A:A,'Supply planning data'!A225,'Shipments data'!Y:Y,'Supply planning data'!D225,'Shipments data'!O:O,"received", 'Shipments data'!N:N, "Public")</f>
        <v>0</v>
      </c>
      <c r="S225" s="98">
        <f>SUMIFS('Shipments data'!L:L,'Shipments data'!F:F,'Supply planning data'!C225,'Shipments data'!A:A,'Supply planning data'!A225,'Shipments data'!Y:Y,'Supply planning data'!D225,'Shipments data'!O:O,"ordered", 'Shipments data'!N:N, "Public")</f>
        <v>0</v>
      </c>
      <c r="T225" s="98">
        <f>IF(SUMIFS('Shipments data'!L:L,'Shipments data'!F:F,'Supply planning data'!C225,'Shipments data'!A:A,'Supply planning data'!A225,'Shipments data'!O:O,"received",'Shipments data'!Q:Q,"&lt;"&amp;'Supply planning data'!D240,'Shipments data'!AC:AC,"&lt;"&amp;'Supply planning data'!D240)-SUMIFS(M:M,D:D,"&lt;="&amp;D225,C:C,C225)+SUMIFS(N:N,D:D,"&lt;="&amp;D225,C:C,C225)+SUMIFS(P:P,D:D,"&lt;="&amp;D225,C:C,C225)&lt;0,0,SUMIFS('Shipments data'!L:L,'Shipments data'!F:F,'Supply planning data'!C225,'Shipments data'!A:A,'Supply planning data'!A225,'Shipments data'!O:O,"received",'Shipments data'!Q:Q,"&lt;"&amp;'Supply planning data'!D240,'Shipments data'!AC:AC,"&lt;"&amp;'Supply planning data'!D240)-SUMIFS(M:M,D:D,"&lt;="&amp;D225,C:C,C225)+SUMIFS(N:N,D:D,"&lt;="&amp;D225,C:C,C225)+SUMIFS(P:P,D:D,"&lt;="&amp;D225,C:C,C225))</f>
        <v>0</v>
      </c>
      <c r="U225" s="99">
        <f t="shared" si="79"/>
        <v>0</v>
      </c>
      <c r="V225" s="98">
        <f t="shared" si="69"/>
        <v>0</v>
      </c>
      <c r="W225" s="203" t="str">
        <f t="shared" si="66"/>
        <v/>
      </c>
      <c r="X225" s="98">
        <f t="shared" si="80"/>
        <v>0</v>
      </c>
      <c r="Y225" s="97"/>
      <c r="Z225" s="93"/>
      <c r="AA225" s="98">
        <f t="shared" si="73"/>
        <v>0</v>
      </c>
      <c r="AB225" s="233"/>
      <c r="AC225" s="98">
        <f>IF(SUMIFS('Shipments data'!L:L,'Shipments data'!F:F,'Supply planning data'!C225,'Shipments data'!A:A,'Supply planning data'!A225,'Shipments data'!O:O,"received",'Shipments data'!Q:Q,"&lt;"&amp;'Supply planning data'!D240,'Shipments data'!AC:AC,"&lt;"&amp;'Supply planning data'!D240)-SUMIFS(M:M,D:D,"&lt;="&amp;D225,C:C,C225)-SUMIFS(AA:AA,D:D,"&lt;="&amp;D225,C:C,C225)+SUMIFS(N:N,D:D,"&lt;="&amp;D225,C:C,C225)+SUMIFS(P:P,D:D,"&lt;="&amp;D225,C:C,C225)&lt;0,0,SUMIFS('Shipments data'!L:L,'Shipments data'!F:F,'Supply planning data'!C225,'Shipments data'!A:A,'Supply planning data'!A225,'Shipments data'!O:O,"received",'Shipments data'!Q:Q,"&lt;"&amp;'Supply planning data'!D240,'Shipments data'!AC:AC,"&lt;"&amp;'Supply planning data'!D240)-SUMIFS(M:M,D:D,"&lt;="&amp;D225,C:C,C225)-SUMIFS(AA:AA,D:D,"&lt;="&amp;D225,C:C,C225)+SUMIFS(N:N,D:D,"&lt;="&amp;D225,C:C,C225)+SUMIFS(P:P,D:D,"&lt;="&amp;D225,C:C,C225))</f>
        <v>0</v>
      </c>
      <c r="AD225" s="98">
        <f t="shared" si="81"/>
        <v>0</v>
      </c>
      <c r="AE225" s="98">
        <f t="shared" si="75"/>
        <v>0</v>
      </c>
      <c r="AF225" s="205" t="str">
        <f t="shared" si="84"/>
        <v/>
      </c>
      <c r="AG225" s="98">
        <f t="shared" si="82"/>
        <v>0</v>
      </c>
      <c r="AH225" s="97"/>
      <c r="AI225" s="311"/>
      <c r="AJ225" s="98">
        <f t="shared" si="74"/>
        <v>0</v>
      </c>
      <c r="AK225" s="233"/>
      <c r="AL225" s="98">
        <f>IF(SUMIFS('Shipments data'!L:L,'Shipments data'!F:F,'Supply planning data'!C225,'Shipments data'!A:A,'Supply planning data'!A225,'Shipments data'!O:O,"received",'Shipments data'!Q:Q,"&lt;"&amp;'Supply planning data'!D240,'Shipments data'!AC:AC,"&lt;"&amp;'Supply planning data'!D240)-SUMIFS(M:M,D:D,"&lt;="&amp;D225,C:C,C225)-SUMIFS(AJ:AJ,D:D,"&lt;="&amp;D225,C:C,C225)+SUMIFS(N:N,D:D,"&lt;="&amp;D225,C:C,C225)+SUMIFS(P:P,D:D,"&lt;="&amp;D225,C:C,C225)&lt;0,0,SUMIFS('Shipments data'!L:L,'Shipments data'!F:F,'Supply planning data'!C225,'Shipments data'!A:A,'Supply planning data'!A225,'Shipments data'!O:O,"received",'Shipments data'!Q:Q,"&lt;"&amp;'Supply planning data'!D240,'Shipments data'!AC:AC,"&lt;"&amp;'Supply planning data'!D240)-SUMIFS(M:M,D:D,"&lt;="&amp;D225,C:C,C225)-SUMIFS(AJ:AJ,D:D,"&lt;="&amp;D225,C:C,C225)+SUMIFS(N:N,D:D,"&lt;="&amp;D225,C:C,C225)+SUMIFS(P:P,D:D,"&lt;="&amp;D225,C:C,C225))</f>
        <v>0</v>
      </c>
      <c r="AM225" s="98">
        <f t="shared" si="83"/>
        <v>0</v>
      </c>
      <c r="AN225" s="98">
        <f t="shared" si="76"/>
        <v>0</v>
      </c>
      <c r="AO225" s="203" t="str">
        <f t="shared" si="67"/>
        <v/>
      </c>
    </row>
    <row r="226" spans="1:41" hidden="1" x14ac:dyDescent="0.25">
      <c r="A226" s="95" t="str">
        <f>Start!D$7</f>
        <v>Anyland</v>
      </c>
      <c r="B226" s="96" t="str">
        <f>VLOOKUP(A226,list!B:C,2,FALSE)</f>
        <v>ANY</v>
      </c>
      <c r="C226" s="90" t="str">
        <f>IF(Start!$C$28="","",Start!$C$28)</f>
        <v/>
      </c>
      <c r="D226" s="296">
        <f t="shared" si="77"/>
        <v>44621</v>
      </c>
      <c r="E226" s="92" t="str">
        <f>IFERROR(VLOOKUP(C226,Start!C$15:D$31,2,FALSE),"No")</f>
        <v>No</v>
      </c>
      <c r="F226" s="92">
        <f t="shared" si="78"/>
        <v>0</v>
      </c>
      <c r="G226" s="91"/>
      <c r="H226" s="97"/>
      <c r="I226" s="97"/>
      <c r="J226" s="98">
        <f t="shared" si="70"/>
        <v>0</v>
      </c>
      <c r="K226" s="97"/>
      <c r="L226" s="175" t="str">
        <f t="shared" si="71"/>
        <v/>
      </c>
      <c r="M226" s="98">
        <f t="shared" si="72"/>
        <v>0</v>
      </c>
      <c r="N226" s="97"/>
      <c r="O226" s="122"/>
      <c r="P226" s="97"/>
      <c r="Q226" s="122"/>
      <c r="R226" s="98">
        <f>SUMIFS('Shipments data'!L:L,'Shipments data'!F:F,'Supply planning data'!C226,'Shipments data'!A:A,'Supply planning data'!A226,'Shipments data'!Y:Y,'Supply planning data'!D226,'Shipments data'!O:O,"received", 'Shipments data'!N:N, "Public")</f>
        <v>0</v>
      </c>
      <c r="S226" s="98">
        <f>SUMIFS('Shipments data'!L:L,'Shipments data'!F:F,'Supply planning data'!C226,'Shipments data'!A:A,'Supply planning data'!A226,'Shipments data'!Y:Y,'Supply planning data'!D226,'Shipments data'!O:O,"ordered", 'Shipments data'!N:N, "Public")</f>
        <v>0</v>
      </c>
      <c r="T226" s="98">
        <f>IF(SUMIFS('Shipments data'!L:L,'Shipments data'!F:F,'Supply planning data'!C226,'Shipments data'!A:A,'Supply planning data'!A226,'Shipments data'!O:O,"received",'Shipments data'!Q:Q,"&lt;"&amp;'Supply planning data'!D241,'Shipments data'!AC:AC,"&lt;"&amp;'Supply planning data'!D241)-SUMIFS(M:M,D:D,"&lt;="&amp;D226,C:C,C226)+SUMIFS(N:N,D:D,"&lt;="&amp;D226,C:C,C226)+SUMIFS(P:P,D:D,"&lt;="&amp;D226,C:C,C226)&lt;0,0,SUMIFS('Shipments data'!L:L,'Shipments data'!F:F,'Supply planning data'!C226,'Shipments data'!A:A,'Supply planning data'!A226,'Shipments data'!O:O,"received",'Shipments data'!Q:Q,"&lt;"&amp;'Supply planning data'!D241,'Shipments data'!AC:AC,"&lt;"&amp;'Supply planning data'!D241)-SUMIFS(M:M,D:D,"&lt;="&amp;D226,C:C,C226)+SUMIFS(N:N,D:D,"&lt;="&amp;D226,C:C,C226)+SUMIFS(P:P,D:D,"&lt;="&amp;D226,C:C,C226))</f>
        <v>0</v>
      </c>
      <c r="U226" s="99">
        <f t="shared" si="79"/>
        <v>0</v>
      </c>
      <c r="V226" s="98">
        <f t="shared" si="69"/>
        <v>0</v>
      </c>
      <c r="W226" s="203" t="str">
        <f t="shared" si="66"/>
        <v/>
      </c>
      <c r="X226" s="98">
        <f t="shared" si="80"/>
        <v>0</v>
      </c>
      <c r="Y226" s="97"/>
      <c r="Z226" s="93"/>
      <c r="AA226" s="98">
        <f t="shared" si="73"/>
        <v>0</v>
      </c>
      <c r="AB226" s="233"/>
      <c r="AC226" s="98">
        <f>IF(SUMIFS('Shipments data'!L:L,'Shipments data'!F:F,'Supply planning data'!C226,'Shipments data'!A:A,'Supply planning data'!A226,'Shipments data'!O:O,"received",'Shipments data'!Q:Q,"&lt;"&amp;'Supply planning data'!D241,'Shipments data'!AC:AC,"&lt;"&amp;'Supply planning data'!D241)-SUMIFS(M:M,D:D,"&lt;="&amp;D226,C:C,C226)-SUMIFS(AA:AA,D:D,"&lt;="&amp;D226,C:C,C226)+SUMIFS(N:N,D:D,"&lt;="&amp;D226,C:C,C226)+SUMIFS(P:P,D:D,"&lt;="&amp;D226,C:C,C226)&lt;0,0,SUMIFS('Shipments data'!L:L,'Shipments data'!F:F,'Supply planning data'!C226,'Shipments data'!A:A,'Supply planning data'!A226,'Shipments data'!O:O,"received",'Shipments data'!Q:Q,"&lt;"&amp;'Supply planning data'!D241,'Shipments data'!AC:AC,"&lt;"&amp;'Supply planning data'!D241)-SUMIFS(M:M,D:D,"&lt;="&amp;D226,C:C,C226)-SUMIFS(AA:AA,D:D,"&lt;="&amp;D226,C:C,C226)+SUMIFS(N:N,D:D,"&lt;="&amp;D226,C:C,C226)+SUMIFS(P:P,D:D,"&lt;="&amp;D226,C:C,C226))</f>
        <v>0</v>
      </c>
      <c r="AD226" s="98">
        <f t="shared" si="81"/>
        <v>0</v>
      </c>
      <c r="AE226" s="98">
        <f t="shared" si="75"/>
        <v>0</v>
      </c>
      <c r="AF226" s="205" t="str">
        <f t="shared" si="84"/>
        <v/>
      </c>
      <c r="AG226" s="98">
        <f t="shared" si="82"/>
        <v>0</v>
      </c>
      <c r="AH226" s="97"/>
      <c r="AI226" s="311"/>
      <c r="AJ226" s="98">
        <f t="shared" si="74"/>
        <v>0</v>
      </c>
      <c r="AK226" s="233"/>
      <c r="AL226" s="98">
        <f>IF(SUMIFS('Shipments data'!L:L,'Shipments data'!F:F,'Supply planning data'!C226,'Shipments data'!A:A,'Supply planning data'!A226,'Shipments data'!O:O,"received",'Shipments data'!Q:Q,"&lt;"&amp;'Supply planning data'!D241,'Shipments data'!AC:AC,"&lt;"&amp;'Supply planning data'!D241)-SUMIFS(M:M,D:D,"&lt;="&amp;D226,C:C,C226)-SUMIFS(AJ:AJ,D:D,"&lt;="&amp;D226,C:C,C226)+SUMIFS(N:N,D:D,"&lt;="&amp;D226,C:C,C226)+SUMIFS(P:P,D:D,"&lt;="&amp;D226,C:C,C226)&lt;0,0,SUMIFS('Shipments data'!L:L,'Shipments data'!F:F,'Supply planning data'!C226,'Shipments data'!A:A,'Supply planning data'!A226,'Shipments data'!O:O,"received",'Shipments data'!Q:Q,"&lt;"&amp;'Supply planning data'!D241,'Shipments data'!AC:AC,"&lt;"&amp;'Supply planning data'!D241)-SUMIFS(M:M,D:D,"&lt;="&amp;D226,C:C,C226)-SUMIFS(AJ:AJ,D:D,"&lt;="&amp;D226,C:C,C226)+SUMIFS(N:N,D:D,"&lt;="&amp;D226,C:C,C226)+SUMIFS(P:P,D:D,"&lt;="&amp;D226,C:C,C226))</f>
        <v>0</v>
      </c>
      <c r="AM226" s="98">
        <f t="shared" si="83"/>
        <v>0</v>
      </c>
      <c r="AN226" s="98">
        <f t="shared" si="76"/>
        <v>0</v>
      </c>
      <c r="AO226" s="203" t="str">
        <f t="shared" si="67"/>
        <v/>
      </c>
    </row>
    <row r="227" spans="1:41" hidden="1" x14ac:dyDescent="0.25">
      <c r="A227" s="95" t="str">
        <f>Start!D$7</f>
        <v>Anyland</v>
      </c>
      <c r="B227" s="96" t="str">
        <f>VLOOKUP(A227,list!B:C,2,FALSE)</f>
        <v>ANY</v>
      </c>
      <c r="C227" s="90" t="str">
        <f>IF(Start!$C$29="","",Start!$C$29)</f>
        <v/>
      </c>
      <c r="D227" s="296">
        <f t="shared" si="77"/>
        <v>44621</v>
      </c>
      <c r="E227" s="92" t="str">
        <f>IFERROR(VLOOKUP(C227,Start!C$15:D$31,2,FALSE),"No")</f>
        <v>No</v>
      </c>
      <c r="F227" s="92">
        <f t="shared" si="78"/>
        <v>0</v>
      </c>
      <c r="G227" s="91"/>
      <c r="H227" s="97"/>
      <c r="I227" s="97"/>
      <c r="J227" s="98">
        <f t="shared" si="70"/>
        <v>0</v>
      </c>
      <c r="K227" s="97"/>
      <c r="L227" s="175" t="str">
        <f t="shared" si="71"/>
        <v/>
      </c>
      <c r="M227" s="98">
        <f t="shared" si="72"/>
        <v>0</v>
      </c>
      <c r="N227" s="97"/>
      <c r="O227" s="122"/>
      <c r="P227" s="97"/>
      <c r="Q227" s="122"/>
      <c r="R227" s="98">
        <f>SUMIFS('Shipments data'!L:L,'Shipments data'!F:F,'Supply planning data'!C227,'Shipments data'!A:A,'Supply planning data'!A227,'Shipments data'!Y:Y,'Supply planning data'!D227,'Shipments data'!O:O,"received", 'Shipments data'!N:N, "Public")</f>
        <v>0</v>
      </c>
      <c r="S227" s="98">
        <f>SUMIFS('Shipments data'!L:L,'Shipments data'!F:F,'Supply planning data'!C227,'Shipments data'!A:A,'Supply planning data'!A227,'Shipments data'!Y:Y,'Supply planning data'!D227,'Shipments data'!O:O,"ordered", 'Shipments data'!N:N, "Public")</f>
        <v>0</v>
      </c>
      <c r="T227" s="98">
        <f>IF(SUMIFS('Shipments data'!L:L,'Shipments data'!F:F,'Supply planning data'!C227,'Shipments data'!A:A,'Supply planning data'!A227,'Shipments data'!O:O,"received",'Shipments data'!Q:Q,"&lt;"&amp;'Supply planning data'!D242,'Shipments data'!AC:AC,"&lt;"&amp;'Supply planning data'!D242)-SUMIFS(M:M,D:D,"&lt;="&amp;D227,C:C,C227)+SUMIFS(N:N,D:D,"&lt;="&amp;D227,C:C,C227)+SUMIFS(P:P,D:D,"&lt;="&amp;D227,C:C,C227)&lt;0,0,SUMIFS('Shipments data'!L:L,'Shipments data'!F:F,'Supply planning data'!C227,'Shipments data'!A:A,'Supply planning data'!A227,'Shipments data'!O:O,"received",'Shipments data'!Q:Q,"&lt;"&amp;'Supply planning data'!D242,'Shipments data'!AC:AC,"&lt;"&amp;'Supply planning data'!D242)-SUMIFS(M:M,D:D,"&lt;="&amp;D227,C:C,C227)+SUMIFS(N:N,D:D,"&lt;="&amp;D227,C:C,C227)+SUMIFS(P:P,D:D,"&lt;="&amp;D227,C:C,C227))</f>
        <v>0</v>
      </c>
      <c r="U227" s="99">
        <f t="shared" si="79"/>
        <v>0</v>
      </c>
      <c r="V227" s="98">
        <f t="shared" si="69"/>
        <v>0</v>
      </c>
      <c r="W227" s="203" t="str">
        <f t="shared" si="66"/>
        <v/>
      </c>
      <c r="X227" s="98">
        <f t="shared" si="80"/>
        <v>0</v>
      </c>
      <c r="Y227" s="97"/>
      <c r="Z227" s="93"/>
      <c r="AA227" s="98">
        <f t="shared" si="73"/>
        <v>0</v>
      </c>
      <c r="AB227" s="233"/>
      <c r="AC227" s="98">
        <f>IF(SUMIFS('Shipments data'!L:L,'Shipments data'!F:F,'Supply planning data'!C227,'Shipments data'!A:A,'Supply planning data'!A227,'Shipments data'!O:O,"received",'Shipments data'!Q:Q,"&lt;"&amp;'Supply planning data'!D242,'Shipments data'!AC:AC,"&lt;"&amp;'Supply planning data'!D242)-SUMIFS(M:M,D:D,"&lt;="&amp;D227,C:C,C227)-SUMIFS(AA:AA,D:D,"&lt;="&amp;D227,C:C,C227)+SUMIFS(N:N,D:D,"&lt;="&amp;D227,C:C,C227)+SUMIFS(P:P,D:D,"&lt;="&amp;D227,C:C,C227)&lt;0,0,SUMIFS('Shipments data'!L:L,'Shipments data'!F:F,'Supply planning data'!C227,'Shipments data'!A:A,'Supply planning data'!A227,'Shipments data'!O:O,"received",'Shipments data'!Q:Q,"&lt;"&amp;'Supply planning data'!D242,'Shipments data'!AC:AC,"&lt;"&amp;'Supply planning data'!D242)-SUMIFS(M:M,D:D,"&lt;="&amp;D227,C:C,C227)-SUMIFS(AA:AA,D:D,"&lt;="&amp;D227,C:C,C227)+SUMIFS(N:N,D:D,"&lt;="&amp;D227,C:C,C227)+SUMIFS(P:P,D:D,"&lt;="&amp;D227,C:C,C227))</f>
        <v>0</v>
      </c>
      <c r="AD227" s="98">
        <f t="shared" si="81"/>
        <v>0</v>
      </c>
      <c r="AE227" s="98">
        <f t="shared" si="75"/>
        <v>0</v>
      </c>
      <c r="AF227" s="205" t="str">
        <f t="shared" si="84"/>
        <v/>
      </c>
      <c r="AG227" s="98">
        <f t="shared" si="82"/>
        <v>0</v>
      </c>
      <c r="AH227" s="97"/>
      <c r="AI227" s="311"/>
      <c r="AJ227" s="98">
        <f t="shared" si="74"/>
        <v>0</v>
      </c>
      <c r="AK227" s="233"/>
      <c r="AL227" s="98">
        <f>IF(SUMIFS('Shipments data'!L:L,'Shipments data'!F:F,'Supply planning data'!C227,'Shipments data'!A:A,'Supply planning data'!A227,'Shipments data'!O:O,"received",'Shipments data'!Q:Q,"&lt;"&amp;'Supply planning data'!D242,'Shipments data'!AC:AC,"&lt;"&amp;'Supply planning data'!D242)-SUMIFS(M:M,D:D,"&lt;="&amp;D227,C:C,C227)-SUMIFS(AJ:AJ,D:D,"&lt;="&amp;D227,C:C,C227)+SUMIFS(N:N,D:D,"&lt;="&amp;D227,C:C,C227)+SUMIFS(P:P,D:D,"&lt;="&amp;D227,C:C,C227)&lt;0,0,SUMIFS('Shipments data'!L:L,'Shipments data'!F:F,'Supply planning data'!C227,'Shipments data'!A:A,'Supply planning data'!A227,'Shipments data'!O:O,"received",'Shipments data'!Q:Q,"&lt;"&amp;'Supply planning data'!D242,'Shipments data'!AC:AC,"&lt;"&amp;'Supply planning data'!D242)-SUMIFS(M:M,D:D,"&lt;="&amp;D227,C:C,C227)-SUMIFS(AJ:AJ,D:D,"&lt;="&amp;D227,C:C,C227)+SUMIFS(N:N,D:D,"&lt;="&amp;D227,C:C,C227)+SUMIFS(P:P,D:D,"&lt;="&amp;D227,C:C,C227))</f>
        <v>0</v>
      </c>
      <c r="AM227" s="98">
        <f t="shared" si="83"/>
        <v>0</v>
      </c>
      <c r="AN227" s="98">
        <f t="shared" si="76"/>
        <v>0</v>
      </c>
      <c r="AO227" s="203" t="str">
        <f t="shared" si="67"/>
        <v/>
      </c>
    </row>
    <row r="228" spans="1:41" hidden="1" x14ac:dyDescent="0.25">
      <c r="A228" s="95" t="str">
        <f>Start!D$7</f>
        <v>Anyland</v>
      </c>
      <c r="B228" s="96" t="str">
        <f>VLOOKUP(A228,list!B:C,2,FALSE)</f>
        <v>ANY</v>
      </c>
      <c r="C228" s="90" t="str">
        <f>IF(Start!$C$30="","",Start!$C$30)</f>
        <v/>
      </c>
      <c r="D228" s="296">
        <f t="shared" si="77"/>
        <v>44621</v>
      </c>
      <c r="E228" s="92" t="str">
        <f>IFERROR(VLOOKUP(C228,Start!C$15:D$31,2,FALSE),"No")</f>
        <v>No</v>
      </c>
      <c r="F228" s="92">
        <f t="shared" si="78"/>
        <v>0</v>
      </c>
      <c r="G228" s="91"/>
      <c r="H228" s="97"/>
      <c r="I228" s="97"/>
      <c r="J228" s="98">
        <f t="shared" si="70"/>
        <v>0</v>
      </c>
      <c r="K228" s="97"/>
      <c r="L228" s="175" t="str">
        <f t="shared" si="71"/>
        <v/>
      </c>
      <c r="M228" s="98">
        <f t="shared" si="72"/>
        <v>0</v>
      </c>
      <c r="N228" s="97"/>
      <c r="O228" s="122"/>
      <c r="P228" s="97"/>
      <c r="Q228" s="122"/>
      <c r="R228" s="98">
        <f>SUMIFS('Shipments data'!L:L,'Shipments data'!F:F,'Supply planning data'!C228,'Shipments data'!A:A,'Supply planning data'!A228,'Shipments data'!Y:Y,'Supply planning data'!D228,'Shipments data'!O:O,"received", 'Shipments data'!N:N, "Public")</f>
        <v>0</v>
      </c>
      <c r="S228" s="98">
        <f>SUMIFS('Shipments data'!L:L,'Shipments data'!F:F,'Supply planning data'!C228,'Shipments data'!A:A,'Supply planning data'!A228,'Shipments data'!Y:Y,'Supply planning data'!D228,'Shipments data'!O:O,"ordered", 'Shipments data'!N:N, "Public")</f>
        <v>0</v>
      </c>
      <c r="T228" s="98">
        <f>IF(SUMIFS('Shipments data'!L:L,'Shipments data'!F:F,'Supply planning data'!C228,'Shipments data'!A:A,'Supply planning data'!A228,'Shipments data'!O:O,"received",'Shipments data'!Q:Q,"&lt;"&amp;'Supply planning data'!D243,'Shipments data'!AC:AC,"&lt;"&amp;'Supply planning data'!D243)-SUMIFS(M:M,D:D,"&lt;="&amp;D228,C:C,C228)+SUMIFS(N:N,D:D,"&lt;="&amp;D228,C:C,C228)+SUMIFS(P:P,D:D,"&lt;="&amp;D228,C:C,C228)&lt;0,0,SUMIFS('Shipments data'!L:L,'Shipments data'!F:F,'Supply planning data'!C228,'Shipments data'!A:A,'Supply planning data'!A228,'Shipments data'!O:O,"received",'Shipments data'!Q:Q,"&lt;"&amp;'Supply planning data'!D243,'Shipments data'!AC:AC,"&lt;"&amp;'Supply planning data'!D243)-SUMIFS(M:M,D:D,"&lt;="&amp;D228,C:C,C228)+SUMIFS(N:N,D:D,"&lt;="&amp;D228,C:C,C228)+SUMIFS(P:P,D:D,"&lt;="&amp;D228,C:C,C228))</f>
        <v>0</v>
      </c>
      <c r="U228" s="99">
        <f t="shared" si="79"/>
        <v>0</v>
      </c>
      <c r="V228" s="98">
        <f t="shared" si="69"/>
        <v>0</v>
      </c>
      <c r="W228" s="203" t="str">
        <f t="shared" ref="W228:W291" si="85">IF(M228&lt;=0,"",IFERROR(V228/(SUM(M228,M213,M198)/3),""))</f>
        <v/>
      </c>
      <c r="X228" s="98">
        <f t="shared" si="80"/>
        <v>0</v>
      </c>
      <c r="Y228" s="97"/>
      <c r="Z228" s="93"/>
      <c r="AA228" s="98">
        <f t="shared" si="73"/>
        <v>0</v>
      </c>
      <c r="AB228" s="233"/>
      <c r="AC228" s="98">
        <f>IF(SUMIFS('Shipments data'!L:L,'Shipments data'!F:F,'Supply planning data'!C228,'Shipments data'!A:A,'Supply planning data'!A228,'Shipments data'!O:O,"received",'Shipments data'!Q:Q,"&lt;"&amp;'Supply planning data'!D243,'Shipments data'!AC:AC,"&lt;"&amp;'Supply planning data'!D243)-SUMIFS(M:M,D:D,"&lt;="&amp;D228,C:C,C228)-SUMIFS(AA:AA,D:D,"&lt;="&amp;D228,C:C,C228)+SUMIFS(N:N,D:D,"&lt;="&amp;D228,C:C,C228)+SUMIFS(P:P,D:D,"&lt;="&amp;D228,C:C,C228)&lt;0,0,SUMIFS('Shipments data'!L:L,'Shipments data'!F:F,'Supply planning data'!C228,'Shipments data'!A:A,'Supply planning data'!A228,'Shipments data'!O:O,"received",'Shipments data'!Q:Q,"&lt;"&amp;'Supply planning data'!D243,'Shipments data'!AC:AC,"&lt;"&amp;'Supply planning data'!D243)-SUMIFS(M:M,D:D,"&lt;="&amp;D228,C:C,C228)-SUMIFS(AA:AA,D:D,"&lt;="&amp;D228,C:C,C228)+SUMIFS(N:N,D:D,"&lt;="&amp;D228,C:C,C228)+SUMIFS(P:P,D:D,"&lt;="&amp;D228,C:C,C228))</f>
        <v>0</v>
      </c>
      <c r="AD228" s="98">
        <f t="shared" si="81"/>
        <v>0</v>
      </c>
      <c r="AE228" s="98">
        <f t="shared" si="75"/>
        <v>0</v>
      </c>
      <c r="AF228" s="205" t="str">
        <f t="shared" si="84"/>
        <v/>
      </c>
      <c r="AG228" s="98">
        <f t="shared" si="82"/>
        <v>0</v>
      </c>
      <c r="AH228" s="97"/>
      <c r="AI228" s="311"/>
      <c r="AJ228" s="98">
        <f t="shared" si="74"/>
        <v>0</v>
      </c>
      <c r="AK228" s="233"/>
      <c r="AL228" s="98">
        <f>IF(SUMIFS('Shipments data'!L:L,'Shipments data'!F:F,'Supply planning data'!C228,'Shipments data'!A:A,'Supply planning data'!A228,'Shipments data'!O:O,"received",'Shipments data'!Q:Q,"&lt;"&amp;'Supply planning data'!D243,'Shipments data'!AC:AC,"&lt;"&amp;'Supply planning data'!D243)-SUMIFS(M:M,D:D,"&lt;="&amp;D228,C:C,C228)-SUMIFS(AJ:AJ,D:D,"&lt;="&amp;D228,C:C,C228)+SUMIFS(N:N,D:D,"&lt;="&amp;D228,C:C,C228)+SUMIFS(P:P,D:D,"&lt;="&amp;D228,C:C,C228)&lt;0,0,SUMIFS('Shipments data'!L:L,'Shipments data'!F:F,'Supply planning data'!C228,'Shipments data'!A:A,'Supply planning data'!A228,'Shipments data'!O:O,"received",'Shipments data'!Q:Q,"&lt;"&amp;'Supply planning data'!D243,'Shipments data'!AC:AC,"&lt;"&amp;'Supply planning data'!D243)-SUMIFS(M:M,D:D,"&lt;="&amp;D228,C:C,C228)-SUMIFS(AJ:AJ,D:D,"&lt;="&amp;D228,C:C,C228)+SUMIFS(N:N,D:D,"&lt;="&amp;D228,C:C,C228)+SUMIFS(P:P,D:D,"&lt;="&amp;D228,C:C,C228))</f>
        <v>0</v>
      </c>
      <c r="AM228" s="98">
        <f t="shared" si="83"/>
        <v>0</v>
      </c>
      <c r="AN228" s="98">
        <f t="shared" si="76"/>
        <v>0</v>
      </c>
      <c r="AO228" s="203" t="str">
        <f t="shared" ref="AO228:AO291" si="86">IF(M228+AJ228&lt;=0,"",IFERROR(AN228/(SUM(M228,M258,M243,AJ228,AJ258,AJ243)/3),""))</f>
        <v/>
      </c>
    </row>
    <row r="229" spans="1:41" hidden="1" x14ac:dyDescent="0.25">
      <c r="A229" s="95" t="str">
        <f>Start!D$7</f>
        <v>Anyland</v>
      </c>
      <c r="B229" s="100" t="str">
        <f>VLOOKUP(A229,list!B:C,2,FALSE)</f>
        <v>ANY</v>
      </c>
      <c r="C229" s="90" t="str">
        <f>IF(Start!$C$31="","",Start!$C$31)</f>
        <v/>
      </c>
      <c r="D229" s="296">
        <f t="shared" si="77"/>
        <v>44621</v>
      </c>
      <c r="E229" s="92" t="str">
        <f>IFERROR(VLOOKUP(C229,Start!C$15:D$31,2,FALSE),"No")</f>
        <v>No</v>
      </c>
      <c r="F229" s="92">
        <f t="shared" si="78"/>
        <v>0</v>
      </c>
      <c r="G229" s="91"/>
      <c r="H229" s="97"/>
      <c r="I229" s="97"/>
      <c r="J229" s="98">
        <f t="shared" si="70"/>
        <v>0</v>
      </c>
      <c r="K229" s="97"/>
      <c r="L229" s="175" t="str">
        <f t="shared" si="71"/>
        <v/>
      </c>
      <c r="M229" s="98">
        <f t="shared" si="72"/>
        <v>0</v>
      </c>
      <c r="N229" s="97"/>
      <c r="O229" s="122"/>
      <c r="P229" s="97"/>
      <c r="Q229" s="122"/>
      <c r="R229" s="98">
        <f>SUMIFS('Shipments data'!L:L,'Shipments data'!F:F,'Supply planning data'!C229,'Shipments data'!A:A,'Supply planning data'!A229,'Shipments data'!Y:Y,'Supply planning data'!D229,'Shipments data'!O:O,"received", 'Shipments data'!N:N, "Public")</f>
        <v>0</v>
      </c>
      <c r="S229" s="98">
        <f>SUMIFS('Shipments data'!L:L,'Shipments data'!F:F,'Supply planning data'!C229,'Shipments data'!A:A,'Supply planning data'!A229,'Shipments data'!Y:Y,'Supply planning data'!D229,'Shipments data'!O:O,"ordered", 'Shipments data'!N:N, "Public")</f>
        <v>0</v>
      </c>
      <c r="T229" s="98">
        <f>IF(SUMIFS('Shipments data'!L:L,'Shipments data'!F:F,'Supply planning data'!C229,'Shipments data'!A:A,'Supply planning data'!A229,'Shipments data'!O:O,"received",'Shipments data'!Q:Q,"&lt;"&amp;'Supply planning data'!D244,'Shipments data'!AC:AC,"&lt;"&amp;'Supply planning data'!D244)-SUMIFS(M:M,D:D,"&lt;="&amp;D229,C:C,C229)+SUMIFS(N:N,D:D,"&lt;="&amp;D229,C:C,C229)+SUMIFS(P:P,D:D,"&lt;="&amp;D229,C:C,C229)&lt;0,0,SUMIFS('Shipments data'!L:L,'Shipments data'!F:F,'Supply planning data'!C229,'Shipments data'!A:A,'Supply planning data'!A229,'Shipments data'!O:O,"received",'Shipments data'!Q:Q,"&lt;"&amp;'Supply planning data'!D244,'Shipments data'!AC:AC,"&lt;"&amp;'Supply planning data'!D244)-SUMIFS(M:M,D:D,"&lt;="&amp;D229,C:C,C229)+SUMIFS(N:N,D:D,"&lt;="&amp;D229,C:C,C229)+SUMIFS(P:P,D:D,"&lt;="&amp;D229,C:C,C229))</f>
        <v>0</v>
      </c>
      <c r="U229" s="99">
        <f t="shared" si="79"/>
        <v>0</v>
      </c>
      <c r="V229" s="98">
        <f t="shared" si="69"/>
        <v>0</v>
      </c>
      <c r="W229" s="203" t="str">
        <f t="shared" si="85"/>
        <v/>
      </c>
      <c r="X229" s="98">
        <f t="shared" si="80"/>
        <v>0</v>
      </c>
      <c r="Y229" s="97"/>
      <c r="Z229" s="93"/>
      <c r="AA229" s="98">
        <f t="shared" si="73"/>
        <v>0</v>
      </c>
      <c r="AB229" s="233"/>
      <c r="AC229" s="98">
        <f>IF(SUMIFS('Shipments data'!L:L,'Shipments data'!F:F,'Supply planning data'!C229,'Shipments data'!A:A,'Supply planning data'!A229,'Shipments data'!O:O,"received",'Shipments data'!Q:Q,"&lt;"&amp;'Supply planning data'!D244,'Shipments data'!AC:AC,"&lt;"&amp;'Supply planning data'!D244)-SUMIFS(M:M,D:D,"&lt;="&amp;D229,C:C,C229)-SUMIFS(AA:AA,D:D,"&lt;="&amp;D229,C:C,C229)+SUMIFS(N:N,D:D,"&lt;="&amp;D229,C:C,C229)+SUMIFS(P:P,D:D,"&lt;="&amp;D229,C:C,C229)&lt;0,0,SUMIFS('Shipments data'!L:L,'Shipments data'!F:F,'Supply planning data'!C229,'Shipments data'!A:A,'Supply planning data'!A229,'Shipments data'!O:O,"received",'Shipments data'!Q:Q,"&lt;"&amp;'Supply planning data'!D244,'Shipments data'!AC:AC,"&lt;"&amp;'Supply planning data'!D244)-SUMIFS(M:M,D:D,"&lt;="&amp;D229,C:C,C229)-SUMIFS(AA:AA,D:D,"&lt;="&amp;D229,C:C,C229)+SUMIFS(N:N,D:D,"&lt;="&amp;D229,C:C,C229)+SUMIFS(P:P,D:D,"&lt;="&amp;D229,C:C,C229))</f>
        <v>0</v>
      </c>
      <c r="AD229" s="98">
        <f t="shared" si="81"/>
        <v>0</v>
      </c>
      <c r="AE229" s="98">
        <f t="shared" si="75"/>
        <v>0</v>
      </c>
      <c r="AF229" s="205" t="str">
        <f t="shared" si="84"/>
        <v/>
      </c>
      <c r="AG229" s="98">
        <f t="shared" si="82"/>
        <v>0</v>
      </c>
      <c r="AH229" s="97"/>
      <c r="AI229" s="311"/>
      <c r="AJ229" s="98">
        <f t="shared" si="74"/>
        <v>0</v>
      </c>
      <c r="AK229" s="233"/>
      <c r="AL229" s="98">
        <f>IF(SUMIFS('Shipments data'!L:L,'Shipments data'!F:F,'Supply planning data'!C229,'Shipments data'!A:A,'Supply planning data'!A229,'Shipments data'!O:O,"received",'Shipments data'!Q:Q,"&lt;"&amp;'Supply planning data'!D244,'Shipments data'!AC:AC,"&lt;"&amp;'Supply planning data'!D244)-SUMIFS(M:M,D:D,"&lt;="&amp;D229,C:C,C229)-SUMIFS(AJ:AJ,D:D,"&lt;="&amp;D229,C:C,C229)+SUMIFS(N:N,D:D,"&lt;="&amp;D229,C:C,C229)+SUMIFS(P:P,D:D,"&lt;="&amp;D229,C:C,C229)&lt;0,0,SUMIFS('Shipments data'!L:L,'Shipments data'!F:F,'Supply planning data'!C229,'Shipments data'!A:A,'Supply planning data'!A229,'Shipments data'!O:O,"received",'Shipments data'!Q:Q,"&lt;"&amp;'Supply planning data'!D244,'Shipments data'!AC:AC,"&lt;"&amp;'Supply planning data'!D244)-SUMIFS(M:M,D:D,"&lt;="&amp;D229,C:C,C229)-SUMIFS(AJ:AJ,D:D,"&lt;="&amp;D229,C:C,C229)+SUMIFS(N:N,D:D,"&lt;="&amp;D229,C:C,C229)+SUMIFS(P:P,D:D,"&lt;="&amp;D229,C:C,C229))</f>
        <v>0</v>
      </c>
      <c r="AM229" s="98">
        <f t="shared" si="83"/>
        <v>0</v>
      </c>
      <c r="AN229" s="98">
        <f t="shared" si="76"/>
        <v>0</v>
      </c>
      <c r="AO229" s="203" t="str">
        <f t="shared" si="86"/>
        <v/>
      </c>
    </row>
    <row r="230" spans="1:41" x14ac:dyDescent="0.25">
      <c r="A230" s="103" t="str">
        <f>Start!D$7</f>
        <v>Anyland</v>
      </c>
      <c r="B230" s="104" t="str">
        <f>VLOOKUP(A230,list!B:C,2,FALSE)</f>
        <v>ANY</v>
      </c>
      <c r="C230" s="104" t="str">
        <f>IF(Start!$C$17="","",Start!$C$17)</f>
        <v>AstraZeneca</v>
      </c>
      <c r="D230" s="298">
        <f t="shared" si="77"/>
        <v>44652</v>
      </c>
      <c r="E230" s="105" t="str">
        <f>IFERROR(VLOOKUP(C230,Start!C$15:D$31,2,FALSE),"No")</f>
        <v>Yes</v>
      </c>
      <c r="F230" s="105">
        <f t="shared" si="78"/>
        <v>0</v>
      </c>
      <c r="G230" s="106"/>
      <c r="H230" s="106"/>
      <c r="I230" s="106"/>
      <c r="J230" s="105">
        <f t="shared" si="70"/>
        <v>0</v>
      </c>
      <c r="K230" s="106"/>
      <c r="L230" s="177" t="str">
        <f t="shared" si="71"/>
        <v/>
      </c>
      <c r="M230" s="105">
        <f t="shared" si="72"/>
        <v>0</v>
      </c>
      <c r="N230" s="106"/>
      <c r="O230" s="123"/>
      <c r="P230" s="106"/>
      <c r="Q230" s="123"/>
      <c r="R230" s="105">
        <f>SUMIFS('Shipments data'!L:L,'Shipments data'!F:F,'Supply planning data'!C230,'Shipments data'!A:A,'Supply planning data'!A230,'Shipments data'!Y:Y,'Supply planning data'!D230,'Shipments data'!O:O,"received", 'Shipments data'!N:N, "Public")</f>
        <v>0</v>
      </c>
      <c r="S230" s="105">
        <f>SUMIFS('Shipments data'!L:L,'Shipments data'!F:F,'Supply planning data'!C230,'Shipments data'!A:A,'Supply planning data'!A230,'Shipments data'!Y:Y,'Supply planning data'!D230,'Shipments data'!O:O,"ordered", 'Shipments data'!N:N, "Public")</f>
        <v>0</v>
      </c>
      <c r="T230" s="105">
        <f>IF(SUMIFS('Shipments data'!L:L,'Shipments data'!F:F,'Supply planning data'!C230,'Shipments data'!A:A,'Supply planning data'!A230,'Shipments data'!O:O,"received",'Shipments data'!Q:Q,"&lt;"&amp;'Supply planning data'!D245,'Shipments data'!AC:AC,"&lt;"&amp;'Supply planning data'!D245)-SUMIFS(M:M,D:D,"&lt;="&amp;D230,C:C,C230)+SUMIFS(N:N,D:D,"&lt;="&amp;D230,C:C,C230)+SUMIFS(P:P,D:D,"&lt;="&amp;D230,C:C,C230)&lt;0,0,SUMIFS('Shipments data'!L:L,'Shipments data'!F:F,'Supply planning data'!C230,'Shipments data'!A:A,'Supply planning data'!A230,'Shipments data'!O:O,"received",'Shipments data'!Q:Q,"&lt;"&amp;'Supply planning data'!D245,'Shipments data'!AC:AC,"&lt;"&amp;'Supply planning data'!D245)-SUMIFS(M:M,D:D,"&lt;="&amp;D230,C:C,C230)+SUMIFS(N:N,D:D,"&lt;="&amp;D230,C:C,C230)+SUMIFS(P:P,D:D,"&lt;="&amp;D230,C:C,C230))</f>
        <v>0</v>
      </c>
      <c r="U230" s="108">
        <f t="shared" si="79"/>
        <v>0</v>
      </c>
      <c r="V230" s="105">
        <f t="shared" si="69"/>
        <v>0</v>
      </c>
      <c r="W230" s="206" t="str">
        <f t="shared" si="85"/>
        <v/>
      </c>
      <c r="X230" s="105">
        <f t="shared" si="80"/>
        <v>714701</v>
      </c>
      <c r="Y230" s="106"/>
      <c r="Z230" s="107"/>
      <c r="AA230" s="105">
        <f t="shared" si="73"/>
        <v>0</v>
      </c>
      <c r="AB230" s="234"/>
      <c r="AC230" s="105">
        <f>IF(SUMIFS('Shipments data'!L:L,'Shipments data'!F:F,'Supply planning data'!C230,'Shipments data'!A:A,'Supply planning data'!A230,'Shipments data'!O:O,"received",'Shipments data'!Q:Q,"&lt;"&amp;'Supply planning data'!D245,'Shipments data'!AC:AC,"&lt;"&amp;'Supply planning data'!D245)-SUMIFS(M:M,D:D,"&lt;="&amp;D230,C:C,C230)-SUMIFS(AA:AA,D:D,"&lt;="&amp;D230,C:C,C230)+SUMIFS(N:N,D:D,"&lt;="&amp;D230,C:C,C230)+SUMIFS(P:P,D:D,"&lt;="&amp;D230,C:C,C230)&lt;0,0,SUMIFS('Shipments data'!L:L,'Shipments data'!F:F,'Supply planning data'!C230,'Shipments data'!A:A,'Supply planning data'!A230,'Shipments data'!O:O,"received",'Shipments data'!Q:Q,"&lt;"&amp;'Supply planning data'!D245,'Shipments data'!AC:AC,"&lt;"&amp;'Supply planning data'!D245)-SUMIFS(M:M,D:D,"&lt;="&amp;D230,C:C,C230)-SUMIFS(AA:AA,D:D,"&lt;="&amp;D230,C:C,C230)+SUMIFS(N:N,D:D,"&lt;="&amp;D230,C:C,C230)+SUMIFS(P:P,D:D,"&lt;="&amp;D230,C:C,C230))</f>
        <v>0</v>
      </c>
      <c r="AD230" s="105">
        <f t="shared" si="81"/>
        <v>0</v>
      </c>
      <c r="AE230" s="105">
        <f t="shared" si="75"/>
        <v>714701</v>
      </c>
      <c r="AF230" s="206" t="str">
        <f t="shared" si="84"/>
        <v/>
      </c>
      <c r="AG230" s="105">
        <f t="shared" si="82"/>
        <v>0</v>
      </c>
      <c r="AH230" s="106"/>
      <c r="AI230" s="312"/>
      <c r="AJ230" s="105">
        <f t="shared" si="74"/>
        <v>0</v>
      </c>
      <c r="AK230" s="234"/>
      <c r="AL230" s="105">
        <f>IF(SUMIFS('Shipments data'!L:L,'Shipments data'!F:F,'Supply planning data'!C230,'Shipments data'!A:A,'Supply planning data'!A230,'Shipments data'!O:O,"received",'Shipments data'!Q:Q,"&lt;"&amp;'Supply planning data'!D245,'Shipments data'!AC:AC,"&lt;"&amp;'Supply planning data'!D245)-SUMIFS(M:M,D:D,"&lt;="&amp;D230,C:C,C230)-SUMIFS(AJ:AJ,D:D,"&lt;="&amp;D230,C:C,C230)+SUMIFS(N:N,D:D,"&lt;="&amp;D230,C:C,C230)+SUMIFS(P:P,D:D,"&lt;="&amp;D230,C:C,C230)&lt;0,0,SUMIFS('Shipments data'!L:L,'Shipments data'!F:F,'Supply planning data'!C230,'Shipments data'!A:A,'Supply planning data'!A230,'Shipments data'!O:O,"received",'Shipments data'!Q:Q,"&lt;"&amp;'Supply planning data'!D245,'Shipments data'!AC:AC,"&lt;"&amp;'Supply planning data'!D245)-SUMIFS(M:M,D:D,"&lt;="&amp;D230,C:C,C230)-SUMIFS(AJ:AJ,D:D,"&lt;="&amp;D230,C:C,C230)+SUMIFS(N:N,D:D,"&lt;="&amp;D230,C:C,C230)+SUMIFS(P:P,D:D,"&lt;="&amp;D230,C:C,C230))</f>
        <v>0</v>
      </c>
      <c r="AM230" s="105">
        <f t="shared" si="83"/>
        <v>0</v>
      </c>
      <c r="AN230" s="105">
        <f t="shared" si="76"/>
        <v>0</v>
      </c>
      <c r="AO230" s="206" t="str">
        <f t="shared" si="86"/>
        <v/>
      </c>
    </row>
    <row r="231" spans="1:41" x14ac:dyDescent="0.25">
      <c r="A231" s="103" t="str">
        <f>Start!D$7</f>
        <v>Anyland</v>
      </c>
      <c r="B231" s="109" t="str">
        <f>VLOOKUP(A231,list!B:C,2,FALSE)</f>
        <v>ANY</v>
      </c>
      <c r="C231" s="109" t="str">
        <f>IF(Start!$C$18="","",Start!$C$18)</f>
        <v>Jansen</v>
      </c>
      <c r="D231" s="298">
        <f t="shared" si="77"/>
        <v>44652</v>
      </c>
      <c r="E231" s="105" t="str">
        <f>IFERROR(VLOOKUP(C231,Start!C$15:D$31,2,FALSE),"No")</f>
        <v>Yes</v>
      </c>
      <c r="F231" s="105">
        <f t="shared" si="78"/>
        <v>2058747</v>
      </c>
      <c r="G231" s="106"/>
      <c r="H231" s="106"/>
      <c r="I231" s="106"/>
      <c r="J231" s="105">
        <f t="shared" si="70"/>
        <v>0</v>
      </c>
      <c r="K231" s="106"/>
      <c r="L231" s="177" t="str">
        <f t="shared" si="71"/>
        <v/>
      </c>
      <c r="M231" s="105">
        <f t="shared" si="72"/>
        <v>0</v>
      </c>
      <c r="N231" s="110"/>
      <c r="O231" s="124"/>
      <c r="P231" s="110"/>
      <c r="Q231" s="124"/>
      <c r="R231" s="111">
        <f>SUMIFS('Shipments data'!L:L,'Shipments data'!F:F,'Supply planning data'!C231,'Shipments data'!A:A,'Supply planning data'!A231,'Shipments data'!Y:Y,'Supply planning data'!D231,'Shipments data'!O:O,"received", 'Shipments data'!N:N, "Public")</f>
        <v>0</v>
      </c>
      <c r="S231" s="111">
        <f>SUMIFS('Shipments data'!L:L,'Shipments data'!F:F,'Supply planning data'!C231,'Shipments data'!A:A,'Supply planning data'!A231,'Shipments data'!Y:Y,'Supply planning data'!D231,'Shipments data'!O:O,"ordered", 'Shipments data'!N:N, "Public")</f>
        <v>0</v>
      </c>
      <c r="T231" s="111">
        <f>IF(SUMIFS('Shipments data'!L:L,'Shipments data'!F:F,'Supply planning data'!C231,'Shipments data'!A:A,'Supply planning data'!A231,'Shipments data'!O:O,"received",'Shipments data'!Q:Q,"&lt;"&amp;'Supply planning data'!D246,'Shipments data'!AC:AC,"&lt;"&amp;'Supply planning data'!D246)-SUMIFS(M:M,D:D,"&lt;="&amp;D231,C:C,C231)+SUMIFS(N:N,D:D,"&lt;="&amp;D231,C:C,C231)+SUMIFS(P:P,D:D,"&lt;="&amp;D231,C:C,C231)&lt;0,0,SUMIFS('Shipments data'!L:L,'Shipments data'!F:F,'Supply planning data'!C231,'Shipments data'!A:A,'Supply planning data'!A231,'Shipments data'!O:O,"received",'Shipments data'!Q:Q,"&lt;"&amp;'Supply planning data'!D246,'Shipments data'!AC:AC,"&lt;"&amp;'Supply planning data'!D246)-SUMIFS(M:M,D:D,"&lt;="&amp;D231,C:C,C231)+SUMIFS(N:N,D:D,"&lt;="&amp;D231,C:C,C231)+SUMIFS(P:P,D:D,"&lt;="&amp;D231,C:C,C231))</f>
        <v>0</v>
      </c>
      <c r="U231" s="112">
        <f t="shared" si="79"/>
        <v>0</v>
      </c>
      <c r="V231" s="111">
        <f t="shared" si="69"/>
        <v>2058747</v>
      </c>
      <c r="W231" s="204" t="str">
        <f t="shared" si="85"/>
        <v/>
      </c>
      <c r="X231" s="111">
        <f t="shared" si="80"/>
        <v>2058747</v>
      </c>
      <c r="Y231" s="110"/>
      <c r="Z231" s="107"/>
      <c r="AA231" s="111">
        <f t="shared" si="73"/>
        <v>0</v>
      </c>
      <c r="AB231" s="235"/>
      <c r="AC231" s="111">
        <f>IF(SUMIFS('Shipments data'!L:L,'Shipments data'!F:F,'Supply planning data'!C231,'Shipments data'!A:A,'Supply planning data'!A231,'Shipments data'!O:O,"received",'Shipments data'!Q:Q,"&lt;"&amp;'Supply planning data'!D246,'Shipments data'!AC:AC,"&lt;"&amp;'Supply planning data'!D246)-SUMIFS(M:M,D:D,"&lt;="&amp;D231,C:C,C231)-SUMIFS(AA:AA,D:D,"&lt;="&amp;D231,C:C,C231)+SUMIFS(N:N,D:D,"&lt;="&amp;D231,C:C,C231)+SUMIFS(P:P,D:D,"&lt;="&amp;D231,C:C,C231)&lt;0,0,SUMIFS('Shipments data'!L:L,'Shipments data'!F:F,'Supply planning data'!C231,'Shipments data'!A:A,'Supply planning data'!A231,'Shipments data'!O:O,"received",'Shipments data'!Q:Q,"&lt;"&amp;'Supply planning data'!D246,'Shipments data'!AC:AC,"&lt;"&amp;'Supply planning data'!D246)-SUMIFS(M:M,D:D,"&lt;="&amp;D231,C:C,C231)-SUMIFS(AA:AA,D:D,"&lt;="&amp;D231,C:C,C231)+SUMIFS(N:N,D:D,"&lt;="&amp;D231,C:C,C231)+SUMIFS(P:P,D:D,"&lt;="&amp;D231,C:C,C231))</f>
        <v>0</v>
      </c>
      <c r="AD231" s="111">
        <f t="shared" si="81"/>
        <v>0</v>
      </c>
      <c r="AE231" s="111">
        <f t="shared" si="75"/>
        <v>2058747</v>
      </c>
      <c r="AF231" s="204" t="str">
        <f t="shared" si="84"/>
        <v/>
      </c>
      <c r="AG231" s="111">
        <f t="shared" si="82"/>
        <v>2058747</v>
      </c>
      <c r="AH231" s="110"/>
      <c r="AI231" s="313"/>
      <c r="AJ231" s="111">
        <f t="shared" si="74"/>
        <v>0</v>
      </c>
      <c r="AK231" s="235"/>
      <c r="AL231" s="111">
        <f>IF(SUMIFS('Shipments data'!L:L,'Shipments data'!F:F,'Supply planning data'!C231,'Shipments data'!A:A,'Supply planning data'!A231,'Shipments data'!O:O,"received",'Shipments data'!Q:Q,"&lt;"&amp;'Supply planning data'!D246,'Shipments data'!AC:AC,"&lt;"&amp;'Supply planning data'!D246)-SUMIFS(M:M,D:D,"&lt;="&amp;D231,C:C,C231)-SUMIFS(AJ:AJ,D:D,"&lt;="&amp;D231,C:C,C231)+SUMIFS(N:N,D:D,"&lt;="&amp;D231,C:C,C231)+SUMIFS(P:P,D:D,"&lt;="&amp;D231,C:C,C231)&lt;0,0,SUMIFS('Shipments data'!L:L,'Shipments data'!F:F,'Supply planning data'!C231,'Shipments data'!A:A,'Supply planning data'!A231,'Shipments data'!O:O,"received",'Shipments data'!Q:Q,"&lt;"&amp;'Supply planning data'!D246,'Shipments data'!AC:AC,"&lt;"&amp;'Supply planning data'!D246)-SUMIFS(M:M,D:D,"&lt;="&amp;D231,C:C,C231)-SUMIFS(AJ:AJ,D:D,"&lt;="&amp;D231,C:C,C231)+SUMIFS(N:N,D:D,"&lt;="&amp;D231,C:C,C231)+SUMIFS(P:P,D:D,"&lt;="&amp;D231,C:C,C231))</f>
        <v>0</v>
      </c>
      <c r="AM231" s="111">
        <f t="shared" si="83"/>
        <v>0</v>
      </c>
      <c r="AN231" s="111">
        <f t="shared" si="76"/>
        <v>2058747</v>
      </c>
      <c r="AO231" s="204" t="str">
        <f t="shared" si="86"/>
        <v/>
      </c>
    </row>
    <row r="232" spans="1:41" x14ac:dyDescent="0.25">
      <c r="A232" s="103" t="str">
        <f>Start!D$7</f>
        <v>Anyland</v>
      </c>
      <c r="B232" s="109" t="str">
        <f>VLOOKUP(A232,list!B:C,2,FALSE)</f>
        <v>ANY</v>
      </c>
      <c r="C232" s="104" t="str">
        <f>IF(Start!$C$19="","",Start!$C$19)</f>
        <v>Moderna</v>
      </c>
      <c r="D232" s="298">
        <f t="shared" si="77"/>
        <v>44652</v>
      </c>
      <c r="E232" s="105" t="str">
        <f>IFERROR(VLOOKUP(C232,Start!C$15:D$31,2,FALSE),"No")</f>
        <v>No</v>
      </c>
      <c r="F232" s="105">
        <f t="shared" si="78"/>
        <v>0</v>
      </c>
      <c r="G232" s="106"/>
      <c r="H232" s="106"/>
      <c r="I232" s="106"/>
      <c r="J232" s="105">
        <f t="shared" si="70"/>
        <v>0</v>
      </c>
      <c r="K232" s="106"/>
      <c r="L232" s="177" t="str">
        <f t="shared" si="71"/>
        <v/>
      </c>
      <c r="M232" s="105">
        <f t="shared" si="72"/>
        <v>0</v>
      </c>
      <c r="N232" s="110"/>
      <c r="O232" s="124"/>
      <c r="P232" s="110"/>
      <c r="Q232" s="124"/>
      <c r="R232" s="111">
        <f>SUMIFS('Shipments data'!L:L,'Shipments data'!F:F,'Supply planning data'!C232,'Shipments data'!A:A,'Supply planning data'!A232,'Shipments data'!Y:Y,'Supply planning data'!D232,'Shipments data'!O:O,"received", 'Shipments data'!N:N, "Public")</f>
        <v>0</v>
      </c>
      <c r="S232" s="111">
        <f>SUMIFS('Shipments data'!L:L,'Shipments data'!F:F,'Supply planning data'!C232,'Shipments data'!A:A,'Supply planning data'!A232,'Shipments data'!Y:Y,'Supply planning data'!D232,'Shipments data'!O:O,"ordered", 'Shipments data'!N:N, "Public")</f>
        <v>0</v>
      </c>
      <c r="T232" s="111">
        <f>IF(SUMIFS('Shipments data'!L:L,'Shipments data'!F:F,'Supply planning data'!C232,'Shipments data'!A:A,'Supply planning data'!A232,'Shipments data'!O:O,"received",'Shipments data'!Q:Q,"&lt;"&amp;'Supply planning data'!D247,'Shipments data'!AC:AC,"&lt;"&amp;'Supply planning data'!D247)-SUMIFS(M:M,D:D,"&lt;="&amp;D232,C:C,C232)+SUMIFS(N:N,D:D,"&lt;="&amp;D232,C:C,C232)+SUMIFS(P:P,D:D,"&lt;="&amp;D232,C:C,C232)&lt;0,0,SUMIFS('Shipments data'!L:L,'Shipments data'!F:F,'Supply planning data'!C232,'Shipments data'!A:A,'Supply planning data'!A232,'Shipments data'!O:O,"received",'Shipments data'!Q:Q,"&lt;"&amp;'Supply planning data'!D247,'Shipments data'!AC:AC,"&lt;"&amp;'Supply planning data'!D247)-SUMIFS(M:M,D:D,"&lt;="&amp;D232,C:C,C232)+SUMIFS(N:N,D:D,"&lt;="&amp;D232,C:C,C232)+SUMIFS(P:P,D:D,"&lt;="&amp;D232,C:C,C232))</f>
        <v>0</v>
      </c>
      <c r="U232" s="112">
        <f t="shared" si="79"/>
        <v>0</v>
      </c>
      <c r="V232" s="111">
        <f t="shared" si="69"/>
        <v>0</v>
      </c>
      <c r="W232" s="204" t="str">
        <f t="shared" si="85"/>
        <v/>
      </c>
      <c r="X232" s="111">
        <f t="shared" si="80"/>
        <v>0</v>
      </c>
      <c r="Y232" s="110"/>
      <c r="Z232" s="107"/>
      <c r="AA232" s="111">
        <f t="shared" si="73"/>
        <v>0</v>
      </c>
      <c r="AB232" s="235"/>
      <c r="AC232" s="111">
        <f>IF(SUMIFS('Shipments data'!L:L,'Shipments data'!F:F,'Supply planning data'!C232,'Shipments data'!A:A,'Supply planning data'!A232,'Shipments data'!O:O,"received",'Shipments data'!Q:Q,"&lt;"&amp;'Supply planning data'!D247,'Shipments data'!AC:AC,"&lt;"&amp;'Supply planning data'!D247)-SUMIFS(M:M,D:D,"&lt;="&amp;D232,C:C,C232)-SUMIFS(AA:AA,D:D,"&lt;="&amp;D232,C:C,C232)+SUMIFS(N:N,D:D,"&lt;="&amp;D232,C:C,C232)+SUMIFS(P:P,D:D,"&lt;="&amp;D232,C:C,C232)&lt;0,0,SUMIFS('Shipments data'!L:L,'Shipments data'!F:F,'Supply planning data'!C232,'Shipments data'!A:A,'Supply planning data'!A232,'Shipments data'!O:O,"received",'Shipments data'!Q:Q,"&lt;"&amp;'Supply planning data'!D247,'Shipments data'!AC:AC,"&lt;"&amp;'Supply planning data'!D247)-SUMIFS(M:M,D:D,"&lt;="&amp;D232,C:C,C232)-SUMIFS(AA:AA,D:D,"&lt;="&amp;D232,C:C,C232)+SUMIFS(N:N,D:D,"&lt;="&amp;D232,C:C,C232)+SUMIFS(P:P,D:D,"&lt;="&amp;D232,C:C,C232))</f>
        <v>0</v>
      </c>
      <c r="AD232" s="111">
        <f t="shared" si="81"/>
        <v>0</v>
      </c>
      <c r="AE232" s="111">
        <f t="shared" si="75"/>
        <v>0</v>
      </c>
      <c r="AF232" s="204" t="str">
        <f t="shared" si="84"/>
        <v/>
      </c>
      <c r="AG232" s="111">
        <f t="shared" si="82"/>
        <v>0</v>
      </c>
      <c r="AH232" s="110"/>
      <c r="AI232" s="313"/>
      <c r="AJ232" s="111">
        <f t="shared" si="74"/>
        <v>0</v>
      </c>
      <c r="AK232" s="235"/>
      <c r="AL232" s="111">
        <f>IF(SUMIFS('Shipments data'!L:L,'Shipments data'!F:F,'Supply planning data'!C232,'Shipments data'!A:A,'Supply planning data'!A232,'Shipments data'!O:O,"received",'Shipments data'!Q:Q,"&lt;"&amp;'Supply planning data'!D247,'Shipments data'!AC:AC,"&lt;"&amp;'Supply planning data'!D247)-SUMIFS(M:M,D:D,"&lt;="&amp;D232,C:C,C232)-SUMIFS(AJ:AJ,D:D,"&lt;="&amp;D232,C:C,C232)+SUMIFS(N:N,D:D,"&lt;="&amp;D232,C:C,C232)+SUMIFS(P:P,D:D,"&lt;="&amp;D232,C:C,C232)&lt;0,0,SUMIFS('Shipments data'!L:L,'Shipments data'!F:F,'Supply planning data'!C232,'Shipments data'!A:A,'Supply planning data'!A232,'Shipments data'!O:O,"received",'Shipments data'!Q:Q,"&lt;"&amp;'Supply planning data'!D247,'Shipments data'!AC:AC,"&lt;"&amp;'Supply planning data'!D247)-SUMIFS(M:M,D:D,"&lt;="&amp;D232,C:C,C232)-SUMIFS(AJ:AJ,D:D,"&lt;="&amp;D232,C:C,C232)+SUMIFS(N:N,D:D,"&lt;="&amp;D232,C:C,C232)+SUMIFS(P:P,D:D,"&lt;="&amp;D232,C:C,C232))</f>
        <v>0</v>
      </c>
      <c r="AM232" s="111">
        <f t="shared" si="83"/>
        <v>0</v>
      </c>
      <c r="AN232" s="111">
        <f t="shared" si="76"/>
        <v>0</v>
      </c>
      <c r="AO232" s="204" t="str">
        <f t="shared" si="86"/>
        <v/>
      </c>
    </row>
    <row r="233" spans="1:41" x14ac:dyDescent="0.25">
      <c r="A233" s="103" t="str">
        <f>Start!D$7</f>
        <v>Anyland</v>
      </c>
      <c r="B233" s="109" t="str">
        <f>VLOOKUP(A233,list!B:C,2,FALSE)</f>
        <v>ANY</v>
      </c>
      <c r="C233" s="109" t="str">
        <f>IF(Start!$C$20="","",Start!$C$20)</f>
        <v>Pfizer</v>
      </c>
      <c r="D233" s="298">
        <f t="shared" si="77"/>
        <v>44652</v>
      </c>
      <c r="E233" s="105" t="str">
        <f>IFERROR(VLOOKUP(C233,Start!C$15:D$31,2,FALSE),"No")</f>
        <v>Yes</v>
      </c>
      <c r="F233" s="105">
        <f t="shared" si="78"/>
        <v>110538</v>
      </c>
      <c r="G233" s="106"/>
      <c r="H233" s="106"/>
      <c r="I233" s="106"/>
      <c r="J233" s="105">
        <f t="shared" si="70"/>
        <v>0</v>
      </c>
      <c r="K233" s="106"/>
      <c r="L233" s="177" t="str">
        <f t="shared" si="71"/>
        <v/>
      </c>
      <c r="M233" s="105">
        <f t="shared" si="72"/>
        <v>0</v>
      </c>
      <c r="N233" s="110"/>
      <c r="O233" s="124"/>
      <c r="P233" s="110"/>
      <c r="Q233" s="124"/>
      <c r="R233" s="111">
        <f>SUMIFS('Shipments data'!L:L,'Shipments data'!F:F,'Supply planning data'!C233,'Shipments data'!A:A,'Supply planning data'!A233,'Shipments data'!Y:Y,'Supply planning data'!D233,'Shipments data'!O:O,"received", 'Shipments data'!N:N, "Public")</f>
        <v>0</v>
      </c>
      <c r="S233" s="111">
        <f>SUMIFS('Shipments data'!L:L,'Shipments data'!F:F,'Supply planning data'!C233,'Shipments data'!A:A,'Supply planning data'!A233,'Shipments data'!Y:Y,'Supply planning data'!D233,'Shipments data'!O:O,"ordered", 'Shipments data'!N:N, "Public")</f>
        <v>0</v>
      </c>
      <c r="T233" s="111">
        <f>IF(SUMIFS('Shipments data'!L:L,'Shipments data'!F:F,'Supply planning data'!C233,'Shipments data'!A:A,'Supply planning data'!A233,'Shipments data'!O:O,"received",'Shipments data'!Q:Q,"&lt;"&amp;'Supply planning data'!D248,'Shipments data'!AC:AC,"&lt;"&amp;'Supply planning data'!D248)-SUMIFS(M:M,D:D,"&lt;="&amp;D233,C:C,C233)+SUMIFS(N:N,D:D,"&lt;="&amp;D233,C:C,C233)+SUMIFS(P:P,D:D,"&lt;="&amp;D233,C:C,C233)&lt;0,0,SUMIFS('Shipments data'!L:L,'Shipments data'!F:F,'Supply planning data'!C233,'Shipments data'!A:A,'Supply planning data'!A233,'Shipments data'!O:O,"received",'Shipments data'!Q:Q,"&lt;"&amp;'Supply planning data'!D248,'Shipments data'!AC:AC,"&lt;"&amp;'Supply planning data'!D248)-SUMIFS(M:M,D:D,"&lt;="&amp;D233,C:C,C233)+SUMIFS(N:N,D:D,"&lt;="&amp;D233,C:C,C233)+SUMIFS(P:P,D:D,"&lt;="&amp;D233,C:C,C233))</f>
        <v>0</v>
      </c>
      <c r="U233" s="112">
        <f t="shared" si="79"/>
        <v>0</v>
      </c>
      <c r="V233" s="111">
        <f t="shared" si="69"/>
        <v>110538</v>
      </c>
      <c r="W233" s="204" t="str">
        <f t="shared" si="85"/>
        <v/>
      </c>
      <c r="X233" s="111">
        <f t="shared" si="80"/>
        <v>110538</v>
      </c>
      <c r="Y233" s="110"/>
      <c r="Z233" s="107"/>
      <c r="AA233" s="111">
        <f t="shared" si="73"/>
        <v>0</v>
      </c>
      <c r="AB233" s="235"/>
      <c r="AC233" s="111">
        <f>IF(SUMIFS('Shipments data'!L:L,'Shipments data'!F:F,'Supply planning data'!C233,'Shipments data'!A:A,'Supply planning data'!A233,'Shipments data'!O:O,"received",'Shipments data'!Q:Q,"&lt;"&amp;'Supply planning data'!D248,'Shipments data'!AC:AC,"&lt;"&amp;'Supply planning data'!D248)-SUMIFS(M:M,D:D,"&lt;="&amp;D233,C:C,C233)-SUMIFS(AA:AA,D:D,"&lt;="&amp;D233,C:C,C233)+SUMIFS(N:N,D:D,"&lt;="&amp;D233,C:C,C233)+SUMIFS(P:P,D:D,"&lt;="&amp;D233,C:C,C233)&lt;0,0,SUMIFS('Shipments data'!L:L,'Shipments data'!F:F,'Supply planning data'!C233,'Shipments data'!A:A,'Supply planning data'!A233,'Shipments data'!O:O,"received",'Shipments data'!Q:Q,"&lt;"&amp;'Supply planning data'!D248,'Shipments data'!AC:AC,"&lt;"&amp;'Supply planning data'!D248)-SUMIFS(M:M,D:D,"&lt;="&amp;D233,C:C,C233)-SUMIFS(AA:AA,D:D,"&lt;="&amp;D233,C:C,C233)+SUMIFS(N:N,D:D,"&lt;="&amp;D233,C:C,C233)+SUMIFS(P:P,D:D,"&lt;="&amp;D233,C:C,C233))</f>
        <v>0</v>
      </c>
      <c r="AD233" s="111">
        <f t="shared" si="81"/>
        <v>0</v>
      </c>
      <c r="AE233" s="111">
        <f t="shared" si="75"/>
        <v>110538</v>
      </c>
      <c r="AF233" s="204" t="str">
        <f t="shared" si="84"/>
        <v/>
      </c>
      <c r="AG233" s="111">
        <f t="shared" si="82"/>
        <v>110538</v>
      </c>
      <c r="AH233" s="110"/>
      <c r="AI233" s="313"/>
      <c r="AJ233" s="111">
        <f t="shared" si="74"/>
        <v>0</v>
      </c>
      <c r="AK233" s="235"/>
      <c r="AL233" s="111">
        <f>IF(SUMIFS('Shipments data'!L:L,'Shipments data'!F:F,'Supply planning data'!C233,'Shipments data'!A:A,'Supply planning data'!A233,'Shipments data'!O:O,"received",'Shipments data'!Q:Q,"&lt;"&amp;'Supply planning data'!D248,'Shipments data'!AC:AC,"&lt;"&amp;'Supply planning data'!D248)-SUMIFS(M:M,D:D,"&lt;="&amp;D233,C:C,C233)-SUMIFS(AJ:AJ,D:D,"&lt;="&amp;D233,C:C,C233)+SUMIFS(N:N,D:D,"&lt;="&amp;D233,C:C,C233)+SUMIFS(P:P,D:D,"&lt;="&amp;D233,C:C,C233)&lt;0,0,SUMIFS('Shipments data'!L:L,'Shipments data'!F:F,'Supply planning data'!C233,'Shipments data'!A:A,'Supply planning data'!A233,'Shipments data'!O:O,"received",'Shipments data'!Q:Q,"&lt;"&amp;'Supply planning data'!D248,'Shipments data'!AC:AC,"&lt;"&amp;'Supply planning data'!D248)-SUMIFS(M:M,D:D,"&lt;="&amp;D233,C:C,C233)-SUMIFS(AJ:AJ,D:D,"&lt;="&amp;D233,C:C,C233)+SUMIFS(N:N,D:D,"&lt;="&amp;D233,C:C,C233)+SUMIFS(P:P,D:D,"&lt;="&amp;D233,C:C,C233))</f>
        <v>0</v>
      </c>
      <c r="AM233" s="111">
        <f t="shared" si="83"/>
        <v>0</v>
      </c>
      <c r="AN233" s="111">
        <f t="shared" si="76"/>
        <v>110538</v>
      </c>
      <c r="AO233" s="204" t="str">
        <f t="shared" si="86"/>
        <v/>
      </c>
    </row>
    <row r="234" spans="1:41" x14ac:dyDescent="0.25">
      <c r="A234" s="103" t="str">
        <f>Start!D$7</f>
        <v>Anyland</v>
      </c>
      <c r="B234" s="109" t="str">
        <f>VLOOKUP(A234,list!B:C,2,FALSE)</f>
        <v>ANY</v>
      </c>
      <c r="C234" s="104" t="str">
        <f>IF(Start!$C$21="","",Start!$C$21)</f>
        <v>Sinovac</v>
      </c>
      <c r="D234" s="298">
        <f t="shared" si="77"/>
        <v>44652</v>
      </c>
      <c r="E234" s="105" t="str">
        <f>IFERROR(VLOOKUP(C234,Start!C$15:D$31,2,FALSE),"No")</f>
        <v>No</v>
      </c>
      <c r="F234" s="105">
        <f t="shared" si="78"/>
        <v>0</v>
      </c>
      <c r="G234" s="106"/>
      <c r="H234" s="106"/>
      <c r="I234" s="106"/>
      <c r="J234" s="105">
        <f t="shared" si="70"/>
        <v>0</v>
      </c>
      <c r="K234" s="106"/>
      <c r="L234" s="177" t="str">
        <f t="shared" si="71"/>
        <v/>
      </c>
      <c r="M234" s="105">
        <f t="shared" si="72"/>
        <v>0</v>
      </c>
      <c r="N234" s="110"/>
      <c r="O234" s="124"/>
      <c r="P234" s="110"/>
      <c r="Q234" s="124"/>
      <c r="R234" s="111">
        <f>SUMIFS('Shipments data'!L:L,'Shipments data'!F:F,'Supply planning data'!C234,'Shipments data'!A:A,'Supply planning data'!A234,'Shipments data'!Y:Y,'Supply planning data'!D234,'Shipments data'!O:O,"received", 'Shipments data'!N:N, "Public")</f>
        <v>0</v>
      </c>
      <c r="S234" s="111">
        <f>SUMIFS('Shipments data'!L:L,'Shipments data'!F:F,'Supply planning data'!C234,'Shipments data'!A:A,'Supply planning data'!A234,'Shipments data'!Y:Y,'Supply planning data'!D234,'Shipments data'!O:O,"ordered", 'Shipments data'!N:N, "Public")</f>
        <v>0</v>
      </c>
      <c r="T234" s="111">
        <f>IF(SUMIFS('Shipments data'!L:L,'Shipments data'!F:F,'Supply planning data'!C234,'Shipments data'!A:A,'Supply planning data'!A234,'Shipments data'!O:O,"received",'Shipments data'!Q:Q,"&lt;"&amp;'Supply planning data'!D249,'Shipments data'!AC:AC,"&lt;"&amp;'Supply planning data'!D249)-SUMIFS(M:M,D:D,"&lt;="&amp;D234,C:C,C234)+SUMIFS(N:N,D:D,"&lt;="&amp;D234,C:C,C234)+SUMIFS(P:P,D:D,"&lt;="&amp;D234,C:C,C234)&lt;0,0,SUMIFS('Shipments data'!L:L,'Shipments data'!F:F,'Supply planning data'!C234,'Shipments data'!A:A,'Supply planning data'!A234,'Shipments data'!O:O,"received",'Shipments data'!Q:Q,"&lt;"&amp;'Supply planning data'!D249,'Shipments data'!AC:AC,"&lt;"&amp;'Supply planning data'!D249)-SUMIFS(M:M,D:D,"&lt;="&amp;D234,C:C,C234)+SUMIFS(N:N,D:D,"&lt;="&amp;D234,C:C,C234)+SUMIFS(P:P,D:D,"&lt;="&amp;D234,C:C,C234))</f>
        <v>0</v>
      </c>
      <c r="U234" s="112">
        <f t="shared" si="79"/>
        <v>0</v>
      </c>
      <c r="V234" s="111">
        <f t="shared" si="69"/>
        <v>0</v>
      </c>
      <c r="W234" s="204" t="str">
        <f t="shared" si="85"/>
        <v/>
      </c>
      <c r="X234" s="111">
        <f t="shared" si="80"/>
        <v>0</v>
      </c>
      <c r="Y234" s="110"/>
      <c r="Z234" s="107"/>
      <c r="AA234" s="111">
        <f t="shared" si="73"/>
        <v>0</v>
      </c>
      <c r="AB234" s="235"/>
      <c r="AC234" s="111">
        <f>IF(SUMIFS('Shipments data'!L:L,'Shipments data'!F:F,'Supply planning data'!C234,'Shipments data'!A:A,'Supply planning data'!A234,'Shipments data'!O:O,"received",'Shipments data'!Q:Q,"&lt;"&amp;'Supply planning data'!D249,'Shipments data'!AC:AC,"&lt;"&amp;'Supply planning data'!D249)-SUMIFS(M:M,D:D,"&lt;="&amp;D234,C:C,C234)-SUMIFS(AA:AA,D:D,"&lt;="&amp;D234,C:C,C234)+SUMIFS(N:N,D:D,"&lt;="&amp;D234,C:C,C234)+SUMIFS(P:P,D:D,"&lt;="&amp;D234,C:C,C234)&lt;0,0,SUMIFS('Shipments data'!L:L,'Shipments data'!F:F,'Supply planning data'!C234,'Shipments data'!A:A,'Supply planning data'!A234,'Shipments data'!O:O,"received",'Shipments data'!Q:Q,"&lt;"&amp;'Supply planning data'!D249,'Shipments data'!AC:AC,"&lt;"&amp;'Supply planning data'!D249)-SUMIFS(M:M,D:D,"&lt;="&amp;D234,C:C,C234)-SUMIFS(AA:AA,D:D,"&lt;="&amp;D234,C:C,C234)+SUMIFS(N:N,D:D,"&lt;="&amp;D234,C:C,C234)+SUMIFS(P:P,D:D,"&lt;="&amp;D234,C:C,C234))</f>
        <v>0</v>
      </c>
      <c r="AD234" s="111">
        <f t="shared" si="81"/>
        <v>0</v>
      </c>
      <c r="AE234" s="111">
        <f t="shared" si="75"/>
        <v>0</v>
      </c>
      <c r="AF234" s="204" t="str">
        <f t="shared" si="84"/>
        <v/>
      </c>
      <c r="AG234" s="111">
        <f t="shared" si="82"/>
        <v>0</v>
      </c>
      <c r="AH234" s="110"/>
      <c r="AI234" s="313"/>
      <c r="AJ234" s="111">
        <f t="shared" si="74"/>
        <v>0</v>
      </c>
      <c r="AK234" s="235"/>
      <c r="AL234" s="111">
        <f>IF(SUMIFS('Shipments data'!L:L,'Shipments data'!F:F,'Supply planning data'!C234,'Shipments data'!A:A,'Supply planning data'!A234,'Shipments data'!O:O,"received",'Shipments data'!Q:Q,"&lt;"&amp;'Supply planning data'!D249,'Shipments data'!AC:AC,"&lt;"&amp;'Supply planning data'!D249)-SUMIFS(M:M,D:D,"&lt;="&amp;D234,C:C,C234)-SUMIFS(AJ:AJ,D:D,"&lt;="&amp;D234,C:C,C234)+SUMIFS(N:N,D:D,"&lt;="&amp;D234,C:C,C234)+SUMIFS(P:P,D:D,"&lt;="&amp;D234,C:C,C234)&lt;0,0,SUMIFS('Shipments data'!L:L,'Shipments data'!F:F,'Supply planning data'!C234,'Shipments data'!A:A,'Supply planning data'!A234,'Shipments data'!O:O,"received",'Shipments data'!Q:Q,"&lt;"&amp;'Supply planning data'!D249,'Shipments data'!AC:AC,"&lt;"&amp;'Supply planning data'!D249)-SUMIFS(M:M,D:D,"&lt;="&amp;D234,C:C,C234)-SUMIFS(AJ:AJ,D:D,"&lt;="&amp;D234,C:C,C234)+SUMIFS(N:N,D:D,"&lt;="&amp;D234,C:C,C234)+SUMIFS(P:P,D:D,"&lt;="&amp;D234,C:C,C234))</f>
        <v>0</v>
      </c>
      <c r="AM234" s="111">
        <f t="shared" si="83"/>
        <v>0</v>
      </c>
      <c r="AN234" s="111">
        <f t="shared" si="76"/>
        <v>0</v>
      </c>
      <c r="AO234" s="204" t="str">
        <f t="shared" si="86"/>
        <v/>
      </c>
    </row>
    <row r="235" spans="1:41" hidden="1" x14ac:dyDescent="0.25">
      <c r="A235" s="103" t="str">
        <f>Start!D$7</f>
        <v>Anyland</v>
      </c>
      <c r="B235" s="109" t="str">
        <f>VLOOKUP(A235,list!B:C,2,FALSE)</f>
        <v>ANY</v>
      </c>
      <c r="C235" s="109" t="str">
        <f>IF(Start!$C$22="","",Start!$C$22)</f>
        <v/>
      </c>
      <c r="D235" s="298">
        <f t="shared" si="77"/>
        <v>44652</v>
      </c>
      <c r="E235" s="105" t="str">
        <f>IFERROR(VLOOKUP(C235,Start!C$15:D$31,2,FALSE),"No")</f>
        <v>No</v>
      </c>
      <c r="F235" s="105">
        <f t="shared" si="78"/>
        <v>0</v>
      </c>
      <c r="G235" s="106"/>
      <c r="H235" s="106"/>
      <c r="I235" s="106"/>
      <c r="J235" s="105">
        <f t="shared" si="70"/>
        <v>0</v>
      </c>
      <c r="K235" s="106"/>
      <c r="L235" s="177" t="str">
        <f t="shared" si="71"/>
        <v/>
      </c>
      <c r="M235" s="105">
        <f t="shared" si="72"/>
        <v>0</v>
      </c>
      <c r="N235" s="110"/>
      <c r="O235" s="124"/>
      <c r="P235" s="110"/>
      <c r="Q235" s="124"/>
      <c r="R235" s="111">
        <f>SUMIFS('Shipments data'!L:L,'Shipments data'!F:F,'Supply planning data'!C235,'Shipments data'!A:A,'Supply planning data'!A235,'Shipments data'!Y:Y,'Supply planning data'!D235,'Shipments data'!O:O,"received", 'Shipments data'!N:N, "Public")</f>
        <v>0</v>
      </c>
      <c r="S235" s="111">
        <f>SUMIFS('Shipments data'!L:L,'Shipments data'!F:F,'Supply planning data'!C235,'Shipments data'!A:A,'Supply planning data'!A235,'Shipments data'!Y:Y,'Supply planning data'!D235,'Shipments data'!O:O,"ordered", 'Shipments data'!N:N, "Public")</f>
        <v>0</v>
      </c>
      <c r="T235" s="111">
        <f>IF(SUMIFS('Shipments data'!L:L,'Shipments data'!F:F,'Supply planning data'!C235,'Shipments data'!A:A,'Supply planning data'!A235,'Shipments data'!O:O,"received",'Shipments data'!Q:Q,"&lt;"&amp;'Supply planning data'!D250,'Shipments data'!AC:AC,"&lt;"&amp;'Supply planning data'!D250)-SUMIFS(M:M,D:D,"&lt;="&amp;D235,C:C,C235)+SUMIFS(N:N,D:D,"&lt;="&amp;D235,C:C,C235)+SUMIFS(P:P,D:D,"&lt;="&amp;D235,C:C,C235)&lt;0,0,SUMIFS('Shipments data'!L:L,'Shipments data'!F:F,'Supply planning data'!C235,'Shipments data'!A:A,'Supply planning data'!A235,'Shipments data'!O:O,"received",'Shipments data'!Q:Q,"&lt;"&amp;'Supply planning data'!D250,'Shipments data'!AC:AC,"&lt;"&amp;'Supply planning data'!D250)-SUMIFS(M:M,D:D,"&lt;="&amp;D235,C:C,C235)+SUMIFS(N:N,D:D,"&lt;="&amp;D235,C:C,C235)+SUMIFS(P:P,D:D,"&lt;="&amp;D235,C:C,C235))</f>
        <v>0</v>
      </c>
      <c r="U235" s="112">
        <f t="shared" si="79"/>
        <v>0</v>
      </c>
      <c r="V235" s="111">
        <f t="shared" si="69"/>
        <v>0</v>
      </c>
      <c r="W235" s="204" t="str">
        <f t="shared" si="85"/>
        <v/>
      </c>
      <c r="X235" s="111">
        <f t="shared" si="80"/>
        <v>0</v>
      </c>
      <c r="Y235" s="110"/>
      <c r="Z235" s="107"/>
      <c r="AA235" s="111">
        <f t="shared" si="73"/>
        <v>0</v>
      </c>
      <c r="AB235" s="235"/>
      <c r="AC235" s="111">
        <f>IF(SUMIFS('Shipments data'!L:L,'Shipments data'!F:F,'Supply planning data'!C235,'Shipments data'!A:A,'Supply planning data'!A235,'Shipments data'!O:O,"received",'Shipments data'!Q:Q,"&lt;"&amp;'Supply planning data'!D250,'Shipments data'!AC:AC,"&lt;"&amp;'Supply planning data'!D250)-SUMIFS(M:M,D:D,"&lt;="&amp;D235,C:C,C235)-SUMIFS(AA:AA,D:D,"&lt;="&amp;D235,C:C,C235)+SUMIFS(N:N,D:D,"&lt;="&amp;D235,C:C,C235)+SUMIFS(P:P,D:D,"&lt;="&amp;D235,C:C,C235)&lt;0,0,SUMIFS('Shipments data'!L:L,'Shipments data'!F:F,'Supply planning data'!C235,'Shipments data'!A:A,'Supply planning data'!A235,'Shipments data'!O:O,"received",'Shipments data'!Q:Q,"&lt;"&amp;'Supply planning data'!D250,'Shipments data'!AC:AC,"&lt;"&amp;'Supply planning data'!D250)-SUMIFS(M:M,D:D,"&lt;="&amp;D235,C:C,C235)-SUMIFS(AA:AA,D:D,"&lt;="&amp;D235,C:C,C235)+SUMIFS(N:N,D:D,"&lt;="&amp;D235,C:C,C235)+SUMIFS(P:P,D:D,"&lt;="&amp;D235,C:C,C235))</f>
        <v>0</v>
      </c>
      <c r="AD235" s="111">
        <f t="shared" si="81"/>
        <v>0</v>
      </c>
      <c r="AE235" s="111">
        <f t="shared" si="75"/>
        <v>0</v>
      </c>
      <c r="AF235" s="204" t="str">
        <f t="shared" si="84"/>
        <v/>
      </c>
      <c r="AG235" s="111">
        <f t="shared" si="82"/>
        <v>0</v>
      </c>
      <c r="AH235" s="110"/>
      <c r="AI235" s="313"/>
      <c r="AJ235" s="111">
        <f t="shared" si="74"/>
        <v>0</v>
      </c>
      <c r="AK235" s="235"/>
      <c r="AL235" s="111">
        <f>IF(SUMIFS('Shipments data'!L:L,'Shipments data'!F:F,'Supply planning data'!C235,'Shipments data'!A:A,'Supply planning data'!A235,'Shipments data'!O:O,"received",'Shipments data'!Q:Q,"&lt;"&amp;'Supply planning data'!D250,'Shipments data'!AC:AC,"&lt;"&amp;'Supply planning data'!D250)-SUMIFS(M:M,D:D,"&lt;="&amp;D235,C:C,C235)-SUMIFS(AJ:AJ,D:D,"&lt;="&amp;D235,C:C,C235)+SUMIFS(N:N,D:D,"&lt;="&amp;D235,C:C,C235)+SUMIFS(P:P,D:D,"&lt;="&amp;D235,C:C,C235)&lt;0,0,SUMIFS('Shipments data'!L:L,'Shipments data'!F:F,'Supply planning data'!C235,'Shipments data'!A:A,'Supply planning data'!A235,'Shipments data'!O:O,"received",'Shipments data'!Q:Q,"&lt;"&amp;'Supply planning data'!D250,'Shipments data'!AC:AC,"&lt;"&amp;'Supply planning data'!D250)-SUMIFS(M:M,D:D,"&lt;="&amp;D235,C:C,C235)-SUMIFS(AJ:AJ,D:D,"&lt;="&amp;D235,C:C,C235)+SUMIFS(N:N,D:D,"&lt;="&amp;D235,C:C,C235)+SUMIFS(P:P,D:D,"&lt;="&amp;D235,C:C,C235))</f>
        <v>0</v>
      </c>
      <c r="AM235" s="111">
        <f t="shared" si="83"/>
        <v>0</v>
      </c>
      <c r="AN235" s="111">
        <f t="shared" si="76"/>
        <v>0</v>
      </c>
      <c r="AO235" s="204" t="str">
        <f t="shared" si="86"/>
        <v/>
      </c>
    </row>
    <row r="236" spans="1:41" hidden="1" x14ac:dyDescent="0.25">
      <c r="A236" s="103" t="str">
        <f>Start!D$7</f>
        <v>Anyland</v>
      </c>
      <c r="B236" s="109" t="str">
        <f>VLOOKUP(A236,list!B:C,2,FALSE)</f>
        <v>ANY</v>
      </c>
      <c r="C236" s="104" t="str">
        <f>IF(Start!$C$23="","",Start!$C$23)</f>
        <v/>
      </c>
      <c r="D236" s="298">
        <f t="shared" si="77"/>
        <v>44652</v>
      </c>
      <c r="E236" s="105" t="str">
        <f>IFERROR(VLOOKUP(C236,Start!C$15:D$31,2,FALSE),"No")</f>
        <v>No</v>
      </c>
      <c r="F236" s="105">
        <f t="shared" si="78"/>
        <v>0</v>
      </c>
      <c r="G236" s="106"/>
      <c r="H236" s="106"/>
      <c r="I236" s="106"/>
      <c r="J236" s="105">
        <f t="shared" si="70"/>
        <v>0</v>
      </c>
      <c r="K236" s="106"/>
      <c r="L236" s="177" t="str">
        <f t="shared" si="71"/>
        <v/>
      </c>
      <c r="M236" s="105">
        <f t="shared" si="72"/>
        <v>0</v>
      </c>
      <c r="N236" s="110"/>
      <c r="O236" s="124"/>
      <c r="P236" s="110"/>
      <c r="Q236" s="124"/>
      <c r="R236" s="111">
        <f>SUMIFS('Shipments data'!L:L,'Shipments data'!F:F,'Supply planning data'!C236,'Shipments data'!A:A,'Supply planning data'!A236,'Shipments data'!Y:Y,'Supply planning data'!D236,'Shipments data'!O:O,"received", 'Shipments data'!N:N, "Public")</f>
        <v>0</v>
      </c>
      <c r="S236" s="111">
        <f>SUMIFS('Shipments data'!L:L,'Shipments data'!F:F,'Supply planning data'!C236,'Shipments data'!A:A,'Supply planning data'!A236,'Shipments data'!Y:Y,'Supply planning data'!D236,'Shipments data'!O:O,"ordered", 'Shipments data'!N:N, "Public")</f>
        <v>0</v>
      </c>
      <c r="T236" s="111">
        <f>IF(SUMIFS('Shipments data'!L:L,'Shipments data'!F:F,'Supply planning data'!C236,'Shipments data'!A:A,'Supply planning data'!A236,'Shipments data'!O:O,"received",'Shipments data'!Q:Q,"&lt;"&amp;'Supply planning data'!D251,'Shipments data'!AC:AC,"&lt;"&amp;'Supply planning data'!D251)-SUMIFS(M:M,D:D,"&lt;="&amp;D236,C:C,C236)+SUMIFS(N:N,D:D,"&lt;="&amp;D236,C:C,C236)+SUMIFS(P:P,D:D,"&lt;="&amp;D236,C:C,C236)&lt;0,0,SUMIFS('Shipments data'!L:L,'Shipments data'!F:F,'Supply planning data'!C236,'Shipments data'!A:A,'Supply planning data'!A236,'Shipments data'!O:O,"received",'Shipments data'!Q:Q,"&lt;"&amp;'Supply planning data'!D251,'Shipments data'!AC:AC,"&lt;"&amp;'Supply planning data'!D251)-SUMIFS(M:M,D:D,"&lt;="&amp;D236,C:C,C236)+SUMIFS(N:N,D:D,"&lt;="&amp;D236,C:C,C236)+SUMIFS(P:P,D:D,"&lt;="&amp;D236,C:C,C236))</f>
        <v>0</v>
      </c>
      <c r="U236" s="112">
        <f t="shared" si="79"/>
        <v>0</v>
      </c>
      <c r="V236" s="111">
        <f t="shared" si="69"/>
        <v>0</v>
      </c>
      <c r="W236" s="204" t="str">
        <f t="shared" si="85"/>
        <v/>
      </c>
      <c r="X236" s="111">
        <f t="shared" si="80"/>
        <v>0</v>
      </c>
      <c r="Y236" s="110"/>
      <c r="Z236" s="107"/>
      <c r="AA236" s="111">
        <f t="shared" si="73"/>
        <v>0</v>
      </c>
      <c r="AB236" s="235"/>
      <c r="AC236" s="111">
        <f>IF(SUMIFS('Shipments data'!L:L,'Shipments data'!F:F,'Supply planning data'!C236,'Shipments data'!A:A,'Supply planning data'!A236,'Shipments data'!O:O,"received",'Shipments data'!Q:Q,"&lt;"&amp;'Supply planning data'!D251,'Shipments data'!AC:AC,"&lt;"&amp;'Supply planning data'!D251)-SUMIFS(M:M,D:D,"&lt;="&amp;D236,C:C,C236)-SUMIFS(AA:AA,D:D,"&lt;="&amp;D236,C:C,C236)+SUMIFS(N:N,D:D,"&lt;="&amp;D236,C:C,C236)+SUMIFS(P:P,D:D,"&lt;="&amp;D236,C:C,C236)&lt;0,0,SUMIFS('Shipments data'!L:L,'Shipments data'!F:F,'Supply planning data'!C236,'Shipments data'!A:A,'Supply planning data'!A236,'Shipments data'!O:O,"received",'Shipments data'!Q:Q,"&lt;"&amp;'Supply planning data'!D251,'Shipments data'!AC:AC,"&lt;"&amp;'Supply planning data'!D251)-SUMIFS(M:M,D:D,"&lt;="&amp;D236,C:C,C236)-SUMIFS(AA:AA,D:D,"&lt;="&amp;D236,C:C,C236)+SUMIFS(N:N,D:D,"&lt;="&amp;D236,C:C,C236)+SUMIFS(P:P,D:D,"&lt;="&amp;D236,C:C,C236))</f>
        <v>0</v>
      </c>
      <c r="AD236" s="111">
        <f t="shared" si="81"/>
        <v>0</v>
      </c>
      <c r="AE236" s="111">
        <f t="shared" si="75"/>
        <v>0</v>
      </c>
      <c r="AF236" s="204" t="str">
        <f t="shared" si="84"/>
        <v/>
      </c>
      <c r="AG236" s="111">
        <f t="shared" si="82"/>
        <v>0</v>
      </c>
      <c r="AH236" s="110"/>
      <c r="AI236" s="313"/>
      <c r="AJ236" s="111">
        <f t="shared" si="74"/>
        <v>0</v>
      </c>
      <c r="AK236" s="235"/>
      <c r="AL236" s="111">
        <f>IF(SUMIFS('Shipments data'!L:L,'Shipments data'!F:F,'Supply planning data'!C236,'Shipments data'!A:A,'Supply planning data'!A236,'Shipments data'!O:O,"received",'Shipments data'!Q:Q,"&lt;"&amp;'Supply planning data'!D251,'Shipments data'!AC:AC,"&lt;"&amp;'Supply planning data'!D251)-SUMIFS(M:M,D:D,"&lt;="&amp;D236,C:C,C236)-SUMIFS(AJ:AJ,D:D,"&lt;="&amp;D236,C:C,C236)+SUMIFS(N:N,D:D,"&lt;="&amp;D236,C:C,C236)+SUMIFS(P:P,D:D,"&lt;="&amp;D236,C:C,C236)&lt;0,0,SUMIFS('Shipments data'!L:L,'Shipments data'!F:F,'Supply planning data'!C236,'Shipments data'!A:A,'Supply planning data'!A236,'Shipments data'!O:O,"received",'Shipments data'!Q:Q,"&lt;"&amp;'Supply planning data'!D251,'Shipments data'!AC:AC,"&lt;"&amp;'Supply planning data'!D251)-SUMIFS(M:M,D:D,"&lt;="&amp;D236,C:C,C236)-SUMIFS(AJ:AJ,D:D,"&lt;="&amp;D236,C:C,C236)+SUMIFS(N:N,D:D,"&lt;="&amp;D236,C:C,C236)+SUMIFS(P:P,D:D,"&lt;="&amp;D236,C:C,C236))</f>
        <v>0</v>
      </c>
      <c r="AM236" s="111">
        <f t="shared" si="83"/>
        <v>0</v>
      </c>
      <c r="AN236" s="111">
        <f t="shared" si="76"/>
        <v>0</v>
      </c>
      <c r="AO236" s="204" t="str">
        <f t="shared" si="86"/>
        <v/>
      </c>
    </row>
    <row r="237" spans="1:41" hidden="1" x14ac:dyDescent="0.25">
      <c r="A237" s="103" t="str">
        <f>Start!D$7</f>
        <v>Anyland</v>
      </c>
      <c r="B237" s="109" t="str">
        <f>VLOOKUP(A237,list!B:C,2,FALSE)</f>
        <v>ANY</v>
      </c>
      <c r="C237" s="109" t="str">
        <f>IF(Start!$C$24="","",Start!$C$24)</f>
        <v/>
      </c>
      <c r="D237" s="298">
        <f t="shared" si="77"/>
        <v>44652</v>
      </c>
      <c r="E237" s="105" t="str">
        <f>IFERROR(VLOOKUP(C237,Start!C$15:D$31,2,FALSE),"No")</f>
        <v>No</v>
      </c>
      <c r="F237" s="105">
        <f t="shared" si="78"/>
        <v>0</v>
      </c>
      <c r="G237" s="106"/>
      <c r="H237" s="106"/>
      <c r="I237" s="106"/>
      <c r="J237" s="105">
        <f t="shared" si="70"/>
        <v>0</v>
      </c>
      <c r="K237" s="106"/>
      <c r="L237" s="177" t="str">
        <f t="shared" si="71"/>
        <v/>
      </c>
      <c r="M237" s="105">
        <f t="shared" si="72"/>
        <v>0</v>
      </c>
      <c r="N237" s="110"/>
      <c r="O237" s="124"/>
      <c r="P237" s="110"/>
      <c r="Q237" s="124"/>
      <c r="R237" s="111">
        <f>SUMIFS('Shipments data'!L:L,'Shipments data'!F:F,'Supply planning data'!C237,'Shipments data'!A:A,'Supply planning data'!A237,'Shipments data'!Y:Y,'Supply planning data'!D237,'Shipments data'!O:O,"received", 'Shipments data'!N:N, "Public")</f>
        <v>0</v>
      </c>
      <c r="S237" s="111">
        <f>SUMIFS('Shipments data'!L:L,'Shipments data'!F:F,'Supply planning data'!C237,'Shipments data'!A:A,'Supply planning data'!A237,'Shipments data'!Y:Y,'Supply planning data'!D237,'Shipments data'!O:O,"ordered", 'Shipments data'!N:N, "Public")</f>
        <v>0</v>
      </c>
      <c r="T237" s="111">
        <f>IF(SUMIFS('Shipments data'!L:L,'Shipments data'!F:F,'Supply planning data'!C237,'Shipments data'!A:A,'Supply planning data'!A237,'Shipments data'!O:O,"received",'Shipments data'!Q:Q,"&lt;"&amp;'Supply planning data'!D252,'Shipments data'!AC:AC,"&lt;"&amp;'Supply planning data'!D252)-SUMIFS(M:M,D:D,"&lt;="&amp;D237,C:C,C237)+SUMIFS(N:N,D:D,"&lt;="&amp;D237,C:C,C237)+SUMIFS(P:P,D:D,"&lt;="&amp;D237,C:C,C237)&lt;0,0,SUMIFS('Shipments data'!L:L,'Shipments data'!F:F,'Supply planning data'!C237,'Shipments data'!A:A,'Supply planning data'!A237,'Shipments data'!O:O,"received",'Shipments data'!Q:Q,"&lt;"&amp;'Supply planning data'!D252,'Shipments data'!AC:AC,"&lt;"&amp;'Supply planning data'!D252)-SUMIFS(M:M,D:D,"&lt;="&amp;D237,C:C,C237)+SUMIFS(N:N,D:D,"&lt;="&amp;D237,C:C,C237)+SUMIFS(P:P,D:D,"&lt;="&amp;D237,C:C,C237))</f>
        <v>0</v>
      </c>
      <c r="U237" s="112">
        <f t="shared" si="79"/>
        <v>0</v>
      </c>
      <c r="V237" s="111">
        <f t="shared" si="69"/>
        <v>0</v>
      </c>
      <c r="W237" s="204" t="str">
        <f t="shared" si="85"/>
        <v/>
      </c>
      <c r="X237" s="111">
        <f t="shared" si="80"/>
        <v>0</v>
      </c>
      <c r="Y237" s="110"/>
      <c r="Z237" s="107"/>
      <c r="AA237" s="111">
        <f t="shared" si="73"/>
        <v>0</v>
      </c>
      <c r="AB237" s="235"/>
      <c r="AC237" s="111">
        <f>IF(SUMIFS('Shipments data'!L:L,'Shipments data'!F:F,'Supply planning data'!C237,'Shipments data'!A:A,'Supply planning data'!A237,'Shipments data'!O:O,"received",'Shipments data'!Q:Q,"&lt;"&amp;'Supply planning data'!D252,'Shipments data'!AC:AC,"&lt;"&amp;'Supply planning data'!D252)-SUMIFS(M:M,D:D,"&lt;="&amp;D237,C:C,C237)-SUMIFS(AA:AA,D:D,"&lt;="&amp;D237,C:C,C237)+SUMIFS(N:N,D:D,"&lt;="&amp;D237,C:C,C237)+SUMIFS(P:P,D:D,"&lt;="&amp;D237,C:C,C237)&lt;0,0,SUMIFS('Shipments data'!L:L,'Shipments data'!F:F,'Supply planning data'!C237,'Shipments data'!A:A,'Supply planning data'!A237,'Shipments data'!O:O,"received",'Shipments data'!Q:Q,"&lt;"&amp;'Supply planning data'!D252,'Shipments data'!AC:AC,"&lt;"&amp;'Supply planning data'!D252)-SUMIFS(M:M,D:D,"&lt;="&amp;D237,C:C,C237)-SUMIFS(AA:AA,D:D,"&lt;="&amp;D237,C:C,C237)+SUMIFS(N:N,D:D,"&lt;="&amp;D237,C:C,C237)+SUMIFS(P:P,D:D,"&lt;="&amp;D237,C:C,C237))</f>
        <v>0</v>
      </c>
      <c r="AD237" s="111">
        <f t="shared" si="81"/>
        <v>0</v>
      </c>
      <c r="AE237" s="111">
        <f t="shared" si="75"/>
        <v>0</v>
      </c>
      <c r="AF237" s="204" t="str">
        <f t="shared" si="84"/>
        <v/>
      </c>
      <c r="AG237" s="111">
        <f t="shared" si="82"/>
        <v>0</v>
      </c>
      <c r="AH237" s="110"/>
      <c r="AI237" s="313"/>
      <c r="AJ237" s="111">
        <f t="shared" si="74"/>
        <v>0</v>
      </c>
      <c r="AK237" s="235"/>
      <c r="AL237" s="111">
        <f>IF(SUMIFS('Shipments data'!L:L,'Shipments data'!F:F,'Supply planning data'!C237,'Shipments data'!A:A,'Supply planning data'!A237,'Shipments data'!O:O,"received",'Shipments data'!Q:Q,"&lt;"&amp;'Supply planning data'!D252,'Shipments data'!AC:AC,"&lt;"&amp;'Supply planning data'!D252)-SUMIFS(M:M,D:D,"&lt;="&amp;D237,C:C,C237)-SUMIFS(AJ:AJ,D:D,"&lt;="&amp;D237,C:C,C237)+SUMIFS(N:N,D:D,"&lt;="&amp;D237,C:C,C237)+SUMIFS(P:P,D:D,"&lt;="&amp;D237,C:C,C237)&lt;0,0,SUMIFS('Shipments data'!L:L,'Shipments data'!F:F,'Supply planning data'!C237,'Shipments data'!A:A,'Supply planning data'!A237,'Shipments data'!O:O,"received",'Shipments data'!Q:Q,"&lt;"&amp;'Supply planning data'!D252,'Shipments data'!AC:AC,"&lt;"&amp;'Supply planning data'!D252)-SUMIFS(M:M,D:D,"&lt;="&amp;D237,C:C,C237)-SUMIFS(AJ:AJ,D:D,"&lt;="&amp;D237,C:C,C237)+SUMIFS(N:N,D:D,"&lt;="&amp;D237,C:C,C237)+SUMIFS(P:P,D:D,"&lt;="&amp;D237,C:C,C237))</f>
        <v>0</v>
      </c>
      <c r="AM237" s="111">
        <f t="shared" si="83"/>
        <v>0</v>
      </c>
      <c r="AN237" s="111">
        <f t="shared" si="76"/>
        <v>0</v>
      </c>
      <c r="AO237" s="204" t="str">
        <f t="shared" si="86"/>
        <v/>
      </c>
    </row>
    <row r="238" spans="1:41" hidden="1" x14ac:dyDescent="0.25">
      <c r="A238" s="103" t="str">
        <f>Start!D$7</f>
        <v>Anyland</v>
      </c>
      <c r="B238" s="109" t="str">
        <f>VLOOKUP(A238,list!B:C,2,FALSE)</f>
        <v>ANY</v>
      </c>
      <c r="C238" s="104" t="str">
        <f>IF(Start!$C$25="","",Start!$C$25)</f>
        <v/>
      </c>
      <c r="D238" s="298">
        <f t="shared" si="77"/>
        <v>44652</v>
      </c>
      <c r="E238" s="105" t="str">
        <f>IFERROR(VLOOKUP(C238,Start!C$15:D$31,2,FALSE),"No")</f>
        <v>No</v>
      </c>
      <c r="F238" s="105">
        <f t="shared" si="78"/>
        <v>0</v>
      </c>
      <c r="G238" s="106"/>
      <c r="H238" s="106"/>
      <c r="I238" s="106"/>
      <c r="J238" s="105">
        <f t="shared" si="70"/>
        <v>0</v>
      </c>
      <c r="K238" s="106"/>
      <c r="L238" s="177" t="str">
        <f t="shared" si="71"/>
        <v/>
      </c>
      <c r="M238" s="105">
        <f t="shared" si="72"/>
        <v>0</v>
      </c>
      <c r="N238" s="110"/>
      <c r="O238" s="124"/>
      <c r="P238" s="110"/>
      <c r="Q238" s="124"/>
      <c r="R238" s="111">
        <f>SUMIFS('Shipments data'!L:L,'Shipments data'!F:F,'Supply planning data'!C238,'Shipments data'!A:A,'Supply planning data'!A238,'Shipments data'!Y:Y,'Supply planning data'!D238,'Shipments data'!O:O,"received", 'Shipments data'!N:N, "Public")</f>
        <v>0</v>
      </c>
      <c r="S238" s="111">
        <f>SUMIFS('Shipments data'!L:L,'Shipments data'!F:F,'Supply planning data'!C238,'Shipments data'!A:A,'Supply planning data'!A238,'Shipments data'!Y:Y,'Supply planning data'!D238,'Shipments data'!O:O,"ordered", 'Shipments data'!N:N, "Public")</f>
        <v>0</v>
      </c>
      <c r="T238" s="111">
        <f>IF(SUMIFS('Shipments data'!L:L,'Shipments data'!F:F,'Supply planning data'!C238,'Shipments data'!A:A,'Supply planning data'!A238,'Shipments data'!O:O,"received",'Shipments data'!Q:Q,"&lt;"&amp;'Supply planning data'!D253,'Shipments data'!AC:AC,"&lt;"&amp;'Supply planning data'!D253)-SUMIFS(M:M,D:D,"&lt;="&amp;D238,C:C,C238)+SUMIFS(N:N,D:D,"&lt;="&amp;D238,C:C,C238)+SUMIFS(P:P,D:D,"&lt;="&amp;D238,C:C,C238)&lt;0,0,SUMIFS('Shipments data'!L:L,'Shipments data'!F:F,'Supply planning data'!C238,'Shipments data'!A:A,'Supply planning data'!A238,'Shipments data'!O:O,"received",'Shipments data'!Q:Q,"&lt;"&amp;'Supply planning data'!D253,'Shipments data'!AC:AC,"&lt;"&amp;'Supply planning data'!D253)-SUMIFS(M:M,D:D,"&lt;="&amp;D238,C:C,C238)+SUMIFS(N:N,D:D,"&lt;="&amp;D238,C:C,C238)+SUMIFS(P:P,D:D,"&lt;="&amp;D238,C:C,C238))</f>
        <v>0</v>
      </c>
      <c r="U238" s="112">
        <f t="shared" si="79"/>
        <v>0</v>
      </c>
      <c r="V238" s="111">
        <f t="shared" si="69"/>
        <v>0</v>
      </c>
      <c r="W238" s="204" t="str">
        <f t="shared" si="85"/>
        <v/>
      </c>
      <c r="X238" s="111">
        <f t="shared" si="80"/>
        <v>0</v>
      </c>
      <c r="Y238" s="110"/>
      <c r="Z238" s="107"/>
      <c r="AA238" s="111">
        <f t="shared" si="73"/>
        <v>0</v>
      </c>
      <c r="AB238" s="235"/>
      <c r="AC238" s="111">
        <f>IF(SUMIFS('Shipments data'!L:L,'Shipments data'!F:F,'Supply planning data'!C238,'Shipments data'!A:A,'Supply planning data'!A238,'Shipments data'!O:O,"received",'Shipments data'!Q:Q,"&lt;"&amp;'Supply planning data'!D253,'Shipments data'!AC:AC,"&lt;"&amp;'Supply planning data'!D253)-SUMIFS(M:M,D:D,"&lt;="&amp;D238,C:C,C238)-SUMIFS(AA:AA,D:D,"&lt;="&amp;D238,C:C,C238)+SUMIFS(N:N,D:D,"&lt;="&amp;D238,C:C,C238)+SUMIFS(P:P,D:D,"&lt;="&amp;D238,C:C,C238)&lt;0,0,SUMIFS('Shipments data'!L:L,'Shipments data'!F:F,'Supply planning data'!C238,'Shipments data'!A:A,'Supply planning data'!A238,'Shipments data'!O:O,"received",'Shipments data'!Q:Q,"&lt;"&amp;'Supply planning data'!D253,'Shipments data'!AC:AC,"&lt;"&amp;'Supply planning data'!D253)-SUMIFS(M:M,D:D,"&lt;="&amp;D238,C:C,C238)-SUMIFS(AA:AA,D:D,"&lt;="&amp;D238,C:C,C238)+SUMIFS(N:N,D:D,"&lt;="&amp;D238,C:C,C238)+SUMIFS(P:P,D:D,"&lt;="&amp;D238,C:C,C238))</f>
        <v>0</v>
      </c>
      <c r="AD238" s="111">
        <f t="shared" si="81"/>
        <v>0</v>
      </c>
      <c r="AE238" s="111">
        <f t="shared" si="75"/>
        <v>0</v>
      </c>
      <c r="AF238" s="204" t="str">
        <f t="shared" si="84"/>
        <v/>
      </c>
      <c r="AG238" s="111">
        <f t="shared" si="82"/>
        <v>0</v>
      </c>
      <c r="AH238" s="110"/>
      <c r="AI238" s="313"/>
      <c r="AJ238" s="111">
        <f t="shared" si="74"/>
        <v>0</v>
      </c>
      <c r="AK238" s="235"/>
      <c r="AL238" s="111">
        <f>IF(SUMIFS('Shipments data'!L:L,'Shipments data'!F:F,'Supply planning data'!C238,'Shipments data'!A:A,'Supply planning data'!A238,'Shipments data'!O:O,"received",'Shipments data'!Q:Q,"&lt;"&amp;'Supply planning data'!D253,'Shipments data'!AC:AC,"&lt;"&amp;'Supply planning data'!D253)-SUMIFS(M:M,D:D,"&lt;="&amp;D238,C:C,C238)-SUMIFS(AJ:AJ,D:D,"&lt;="&amp;D238,C:C,C238)+SUMIFS(N:N,D:D,"&lt;="&amp;D238,C:C,C238)+SUMIFS(P:P,D:D,"&lt;="&amp;D238,C:C,C238)&lt;0,0,SUMIFS('Shipments data'!L:L,'Shipments data'!F:F,'Supply planning data'!C238,'Shipments data'!A:A,'Supply planning data'!A238,'Shipments data'!O:O,"received",'Shipments data'!Q:Q,"&lt;"&amp;'Supply planning data'!D253,'Shipments data'!AC:AC,"&lt;"&amp;'Supply planning data'!D253)-SUMIFS(M:M,D:D,"&lt;="&amp;D238,C:C,C238)-SUMIFS(AJ:AJ,D:D,"&lt;="&amp;D238,C:C,C238)+SUMIFS(N:N,D:D,"&lt;="&amp;D238,C:C,C238)+SUMIFS(P:P,D:D,"&lt;="&amp;D238,C:C,C238))</f>
        <v>0</v>
      </c>
      <c r="AM238" s="111">
        <f t="shared" si="83"/>
        <v>0</v>
      </c>
      <c r="AN238" s="111">
        <f t="shared" si="76"/>
        <v>0</v>
      </c>
      <c r="AO238" s="204" t="str">
        <f t="shared" si="86"/>
        <v/>
      </c>
    </row>
    <row r="239" spans="1:41" hidden="1" x14ac:dyDescent="0.25">
      <c r="A239" s="103" t="str">
        <f>Start!D$7</f>
        <v>Anyland</v>
      </c>
      <c r="B239" s="109" t="str">
        <f>VLOOKUP(A239,list!B:C,2,FALSE)</f>
        <v>ANY</v>
      </c>
      <c r="C239" s="109" t="str">
        <f>IF(Start!$C$26="","",Start!$C$26)</f>
        <v/>
      </c>
      <c r="D239" s="298">
        <f t="shared" si="77"/>
        <v>44652</v>
      </c>
      <c r="E239" s="105" t="str">
        <f>IFERROR(VLOOKUP(C239,Start!C$15:D$31,2,FALSE),"No")</f>
        <v>No</v>
      </c>
      <c r="F239" s="105">
        <f t="shared" si="78"/>
        <v>0</v>
      </c>
      <c r="G239" s="106"/>
      <c r="H239" s="106"/>
      <c r="I239" s="106"/>
      <c r="J239" s="105">
        <f t="shared" si="70"/>
        <v>0</v>
      </c>
      <c r="K239" s="106"/>
      <c r="L239" s="177" t="str">
        <f t="shared" si="71"/>
        <v/>
      </c>
      <c r="M239" s="105">
        <f t="shared" si="72"/>
        <v>0</v>
      </c>
      <c r="N239" s="110"/>
      <c r="O239" s="124"/>
      <c r="P239" s="110"/>
      <c r="Q239" s="124"/>
      <c r="R239" s="111">
        <f>SUMIFS('Shipments data'!L:L,'Shipments data'!F:F,'Supply planning data'!C239,'Shipments data'!A:A,'Supply planning data'!A239,'Shipments data'!Y:Y,'Supply planning data'!D239,'Shipments data'!O:O,"received", 'Shipments data'!N:N, "Public")</f>
        <v>0</v>
      </c>
      <c r="S239" s="111">
        <f>SUMIFS('Shipments data'!L:L,'Shipments data'!F:F,'Supply planning data'!C239,'Shipments data'!A:A,'Supply planning data'!A239,'Shipments data'!Y:Y,'Supply planning data'!D239,'Shipments data'!O:O,"ordered", 'Shipments data'!N:N, "Public")</f>
        <v>0</v>
      </c>
      <c r="T239" s="111">
        <f>IF(SUMIFS('Shipments data'!L:L,'Shipments data'!F:F,'Supply planning data'!C239,'Shipments data'!A:A,'Supply planning data'!A239,'Shipments data'!O:O,"received",'Shipments data'!Q:Q,"&lt;"&amp;'Supply planning data'!D254,'Shipments data'!AC:AC,"&lt;"&amp;'Supply planning data'!D254)-SUMIFS(M:M,D:D,"&lt;="&amp;D239,C:C,C239)+SUMIFS(N:N,D:D,"&lt;="&amp;D239,C:C,C239)+SUMIFS(P:P,D:D,"&lt;="&amp;D239,C:C,C239)&lt;0,0,SUMIFS('Shipments data'!L:L,'Shipments data'!F:F,'Supply planning data'!C239,'Shipments data'!A:A,'Supply planning data'!A239,'Shipments data'!O:O,"received",'Shipments data'!Q:Q,"&lt;"&amp;'Supply planning data'!D254,'Shipments data'!AC:AC,"&lt;"&amp;'Supply planning data'!D254)-SUMIFS(M:M,D:D,"&lt;="&amp;D239,C:C,C239)+SUMIFS(N:N,D:D,"&lt;="&amp;D239,C:C,C239)+SUMIFS(P:P,D:D,"&lt;="&amp;D239,C:C,C239))</f>
        <v>0</v>
      </c>
      <c r="U239" s="112">
        <f t="shared" si="79"/>
        <v>0</v>
      </c>
      <c r="V239" s="111">
        <f t="shared" si="69"/>
        <v>0</v>
      </c>
      <c r="W239" s="204" t="str">
        <f t="shared" si="85"/>
        <v/>
      </c>
      <c r="X239" s="111">
        <f t="shared" si="80"/>
        <v>0</v>
      </c>
      <c r="Y239" s="110"/>
      <c r="Z239" s="107"/>
      <c r="AA239" s="111">
        <f t="shared" si="73"/>
        <v>0</v>
      </c>
      <c r="AB239" s="235"/>
      <c r="AC239" s="111">
        <f>IF(SUMIFS('Shipments data'!L:L,'Shipments data'!F:F,'Supply planning data'!C239,'Shipments data'!A:A,'Supply planning data'!A239,'Shipments data'!O:O,"received",'Shipments data'!Q:Q,"&lt;"&amp;'Supply planning data'!D254,'Shipments data'!AC:AC,"&lt;"&amp;'Supply planning data'!D254)-SUMIFS(M:M,D:D,"&lt;="&amp;D239,C:C,C239)-SUMIFS(AA:AA,D:D,"&lt;="&amp;D239,C:C,C239)+SUMIFS(N:N,D:D,"&lt;="&amp;D239,C:C,C239)+SUMIFS(P:P,D:D,"&lt;="&amp;D239,C:C,C239)&lt;0,0,SUMIFS('Shipments data'!L:L,'Shipments data'!F:F,'Supply planning data'!C239,'Shipments data'!A:A,'Supply planning data'!A239,'Shipments data'!O:O,"received",'Shipments data'!Q:Q,"&lt;"&amp;'Supply planning data'!D254,'Shipments data'!AC:AC,"&lt;"&amp;'Supply planning data'!D254)-SUMIFS(M:M,D:D,"&lt;="&amp;D239,C:C,C239)-SUMIFS(AA:AA,D:D,"&lt;="&amp;D239,C:C,C239)+SUMIFS(N:N,D:D,"&lt;="&amp;D239,C:C,C239)+SUMIFS(P:P,D:D,"&lt;="&amp;D239,C:C,C239))</f>
        <v>0</v>
      </c>
      <c r="AD239" s="111">
        <f t="shared" si="81"/>
        <v>0</v>
      </c>
      <c r="AE239" s="111">
        <f t="shared" si="75"/>
        <v>0</v>
      </c>
      <c r="AF239" s="204" t="str">
        <f t="shared" si="84"/>
        <v/>
      </c>
      <c r="AG239" s="111">
        <f t="shared" si="82"/>
        <v>0</v>
      </c>
      <c r="AH239" s="110"/>
      <c r="AI239" s="313"/>
      <c r="AJ239" s="111">
        <f t="shared" si="74"/>
        <v>0</v>
      </c>
      <c r="AK239" s="235"/>
      <c r="AL239" s="111">
        <f>IF(SUMIFS('Shipments data'!L:L,'Shipments data'!F:F,'Supply planning data'!C239,'Shipments data'!A:A,'Supply planning data'!A239,'Shipments data'!O:O,"received",'Shipments data'!Q:Q,"&lt;"&amp;'Supply planning data'!D254,'Shipments data'!AC:AC,"&lt;"&amp;'Supply planning data'!D254)-SUMIFS(M:M,D:D,"&lt;="&amp;D239,C:C,C239)-SUMIFS(AJ:AJ,D:D,"&lt;="&amp;D239,C:C,C239)+SUMIFS(N:N,D:D,"&lt;="&amp;D239,C:C,C239)+SUMIFS(P:P,D:D,"&lt;="&amp;D239,C:C,C239)&lt;0,0,SUMIFS('Shipments data'!L:L,'Shipments data'!F:F,'Supply planning data'!C239,'Shipments data'!A:A,'Supply planning data'!A239,'Shipments data'!O:O,"received",'Shipments data'!Q:Q,"&lt;"&amp;'Supply planning data'!D254,'Shipments data'!AC:AC,"&lt;"&amp;'Supply planning data'!D254)-SUMIFS(M:M,D:D,"&lt;="&amp;D239,C:C,C239)-SUMIFS(AJ:AJ,D:D,"&lt;="&amp;D239,C:C,C239)+SUMIFS(N:N,D:D,"&lt;="&amp;D239,C:C,C239)+SUMIFS(P:P,D:D,"&lt;="&amp;D239,C:C,C239))</f>
        <v>0</v>
      </c>
      <c r="AM239" s="111">
        <f t="shared" si="83"/>
        <v>0</v>
      </c>
      <c r="AN239" s="111">
        <f t="shared" si="76"/>
        <v>0</v>
      </c>
      <c r="AO239" s="204" t="str">
        <f t="shared" si="86"/>
        <v/>
      </c>
    </row>
    <row r="240" spans="1:41" hidden="1" x14ac:dyDescent="0.25">
      <c r="A240" s="103" t="str">
        <f>Start!D$7</f>
        <v>Anyland</v>
      </c>
      <c r="B240" s="109" t="str">
        <f>VLOOKUP(A240,list!B:C,2,FALSE)</f>
        <v>ANY</v>
      </c>
      <c r="C240" s="104" t="str">
        <f>IF(Start!$C$27="","",Start!$C$27)</f>
        <v/>
      </c>
      <c r="D240" s="298">
        <f t="shared" si="77"/>
        <v>44652</v>
      </c>
      <c r="E240" s="105" t="str">
        <f>IFERROR(VLOOKUP(C240,Start!C$15:D$31,2,FALSE),"No")</f>
        <v>No</v>
      </c>
      <c r="F240" s="105">
        <f t="shared" si="78"/>
        <v>0</v>
      </c>
      <c r="G240" s="106"/>
      <c r="H240" s="106"/>
      <c r="I240" s="106"/>
      <c r="J240" s="105">
        <f t="shared" si="70"/>
        <v>0</v>
      </c>
      <c r="K240" s="106"/>
      <c r="L240" s="177" t="str">
        <f t="shared" si="71"/>
        <v/>
      </c>
      <c r="M240" s="105">
        <f t="shared" si="72"/>
        <v>0</v>
      </c>
      <c r="N240" s="110"/>
      <c r="O240" s="124"/>
      <c r="P240" s="110"/>
      <c r="Q240" s="124"/>
      <c r="R240" s="111">
        <f>SUMIFS('Shipments data'!L:L,'Shipments data'!F:F,'Supply planning data'!C240,'Shipments data'!A:A,'Supply planning data'!A240,'Shipments data'!Y:Y,'Supply planning data'!D240,'Shipments data'!O:O,"received", 'Shipments data'!N:N, "Public")</f>
        <v>0</v>
      </c>
      <c r="S240" s="111">
        <f>SUMIFS('Shipments data'!L:L,'Shipments data'!F:F,'Supply planning data'!C240,'Shipments data'!A:A,'Supply planning data'!A240,'Shipments data'!Y:Y,'Supply planning data'!D240,'Shipments data'!O:O,"ordered", 'Shipments data'!N:N, "Public")</f>
        <v>0</v>
      </c>
      <c r="T240" s="111">
        <f>IF(SUMIFS('Shipments data'!L:L,'Shipments data'!F:F,'Supply planning data'!C240,'Shipments data'!A:A,'Supply planning data'!A240,'Shipments data'!O:O,"received",'Shipments data'!Q:Q,"&lt;"&amp;'Supply planning data'!D255,'Shipments data'!AC:AC,"&lt;"&amp;'Supply planning data'!D255)-SUMIFS(M:M,D:D,"&lt;="&amp;D240,C:C,C240)+SUMIFS(N:N,D:D,"&lt;="&amp;D240,C:C,C240)+SUMIFS(P:P,D:D,"&lt;="&amp;D240,C:C,C240)&lt;0,0,SUMIFS('Shipments data'!L:L,'Shipments data'!F:F,'Supply planning data'!C240,'Shipments data'!A:A,'Supply planning data'!A240,'Shipments data'!O:O,"received",'Shipments data'!Q:Q,"&lt;"&amp;'Supply planning data'!D255,'Shipments data'!AC:AC,"&lt;"&amp;'Supply planning data'!D255)-SUMIFS(M:M,D:D,"&lt;="&amp;D240,C:C,C240)+SUMIFS(N:N,D:D,"&lt;="&amp;D240,C:C,C240)+SUMIFS(P:P,D:D,"&lt;="&amp;D240,C:C,C240))</f>
        <v>0</v>
      </c>
      <c r="U240" s="112">
        <f t="shared" si="79"/>
        <v>0</v>
      </c>
      <c r="V240" s="111">
        <f t="shared" si="69"/>
        <v>0</v>
      </c>
      <c r="W240" s="204" t="str">
        <f t="shared" si="85"/>
        <v/>
      </c>
      <c r="X240" s="111">
        <f t="shared" si="80"/>
        <v>0</v>
      </c>
      <c r="Y240" s="110"/>
      <c r="Z240" s="107"/>
      <c r="AA240" s="111">
        <f t="shared" si="73"/>
        <v>0</v>
      </c>
      <c r="AB240" s="235"/>
      <c r="AC240" s="111">
        <f>IF(SUMIFS('Shipments data'!L:L,'Shipments data'!F:F,'Supply planning data'!C240,'Shipments data'!A:A,'Supply planning data'!A240,'Shipments data'!O:O,"received",'Shipments data'!Q:Q,"&lt;"&amp;'Supply planning data'!D255,'Shipments data'!AC:AC,"&lt;"&amp;'Supply planning data'!D255)-SUMIFS(M:M,D:D,"&lt;="&amp;D240,C:C,C240)-SUMIFS(AA:AA,D:D,"&lt;="&amp;D240,C:C,C240)+SUMIFS(N:N,D:D,"&lt;="&amp;D240,C:C,C240)+SUMIFS(P:P,D:D,"&lt;="&amp;D240,C:C,C240)&lt;0,0,SUMIFS('Shipments data'!L:L,'Shipments data'!F:F,'Supply planning data'!C240,'Shipments data'!A:A,'Supply planning data'!A240,'Shipments data'!O:O,"received",'Shipments data'!Q:Q,"&lt;"&amp;'Supply planning data'!D255,'Shipments data'!AC:AC,"&lt;"&amp;'Supply planning data'!D255)-SUMIFS(M:M,D:D,"&lt;="&amp;D240,C:C,C240)-SUMIFS(AA:AA,D:D,"&lt;="&amp;D240,C:C,C240)+SUMIFS(N:N,D:D,"&lt;="&amp;D240,C:C,C240)+SUMIFS(P:P,D:D,"&lt;="&amp;D240,C:C,C240))</f>
        <v>0</v>
      </c>
      <c r="AD240" s="111">
        <f t="shared" si="81"/>
        <v>0</v>
      </c>
      <c r="AE240" s="111">
        <f t="shared" si="75"/>
        <v>0</v>
      </c>
      <c r="AF240" s="204" t="str">
        <f t="shared" si="84"/>
        <v/>
      </c>
      <c r="AG240" s="111">
        <f t="shared" si="82"/>
        <v>0</v>
      </c>
      <c r="AH240" s="110"/>
      <c r="AI240" s="313"/>
      <c r="AJ240" s="111">
        <f t="shared" si="74"/>
        <v>0</v>
      </c>
      <c r="AK240" s="235"/>
      <c r="AL240" s="111">
        <f>IF(SUMIFS('Shipments data'!L:L,'Shipments data'!F:F,'Supply planning data'!C240,'Shipments data'!A:A,'Supply planning data'!A240,'Shipments data'!O:O,"received",'Shipments data'!Q:Q,"&lt;"&amp;'Supply planning data'!D255,'Shipments data'!AC:AC,"&lt;"&amp;'Supply planning data'!D255)-SUMIFS(M:M,D:D,"&lt;="&amp;D240,C:C,C240)-SUMIFS(AJ:AJ,D:D,"&lt;="&amp;D240,C:C,C240)+SUMIFS(N:N,D:D,"&lt;="&amp;D240,C:C,C240)+SUMIFS(P:P,D:D,"&lt;="&amp;D240,C:C,C240)&lt;0,0,SUMIFS('Shipments data'!L:L,'Shipments data'!F:F,'Supply planning data'!C240,'Shipments data'!A:A,'Supply planning data'!A240,'Shipments data'!O:O,"received",'Shipments data'!Q:Q,"&lt;"&amp;'Supply planning data'!D255,'Shipments data'!AC:AC,"&lt;"&amp;'Supply planning data'!D255)-SUMIFS(M:M,D:D,"&lt;="&amp;D240,C:C,C240)-SUMIFS(AJ:AJ,D:D,"&lt;="&amp;D240,C:C,C240)+SUMIFS(N:N,D:D,"&lt;="&amp;D240,C:C,C240)+SUMIFS(P:P,D:D,"&lt;="&amp;D240,C:C,C240))</f>
        <v>0</v>
      </c>
      <c r="AM240" s="111">
        <f t="shared" si="83"/>
        <v>0</v>
      </c>
      <c r="AN240" s="111">
        <f t="shared" si="76"/>
        <v>0</v>
      </c>
      <c r="AO240" s="204" t="str">
        <f t="shared" si="86"/>
        <v/>
      </c>
    </row>
    <row r="241" spans="1:41" hidden="1" x14ac:dyDescent="0.25">
      <c r="A241" s="103" t="str">
        <f>Start!D$7</f>
        <v>Anyland</v>
      </c>
      <c r="B241" s="109" t="str">
        <f>VLOOKUP(A241,list!B:C,2,FALSE)</f>
        <v>ANY</v>
      </c>
      <c r="C241" s="109" t="str">
        <f>IF(Start!$C$28="","",Start!$C$28)</f>
        <v/>
      </c>
      <c r="D241" s="298">
        <f t="shared" si="77"/>
        <v>44652</v>
      </c>
      <c r="E241" s="105" t="str">
        <f>IFERROR(VLOOKUP(C241,Start!C$15:D$31,2,FALSE),"No")</f>
        <v>No</v>
      </c>
      <c r="F241" s="105">
        <f t="shared" si="78"/>
        <v>0</v>
      </c>
      <c r="G241" s="106"/>
      <c r="H241" s="106"/>
      <c r="I241" s="106"/>
      <c r="J241" s="105">
        <f t="shared" si="70"/>
        <v>0</v>
      </c>
      <c r="K241" s="106"/>
      <c r="L241" s="177" t="str">
        <f t="shared" si="71"/>
        <v/>
      </c>
      <c r="M241" s="105">
        <f t="shared" si="72"/>
        <v>0</v>
      </c>
      <c r="N241" s="110"/>
      <c r="O241" s="124"/>
      <c r="P241" s="110"/>
      <c r="Q241" s="124"/>
      <c r="R241" s="111">
        <f>SUMIFS('Shipments data'!L:L,'Shipments data'!F:F,'Supply planning data'!C241,'Shipments data'!A:A,'Supply planning data'!A241,'Shipments data'!Y:Y,'Supply planning data'!D241,'Shipments data'!O:O,"received", 'Shipments data'!N:N, "Public")</f>
        <v>0</v>
      </c>
      <c r="S241" s="111">
        <f>SUMIFS('Shipments data'!L:L,'Shipments data'!F:F,'Supply planning data'!C241,'Shipments data'!A:A,'Supply planning data'!A241,'Shipments data'!Y:Y,'Supply planning data'!D241,'Shipments data'!O:O,"ordered", 'Shipments data'!N:N, "Public")</f>
        <v>0</v>
      </c>
      <c r="T241" s="111">
        <f>IF(SUMIFS('Shipments data'!L:L,'Shipments data'!F:F,'Supply planning data'!C241,'Shipments data'!A:A,'Supply planning data'!A241,'Shipments data'!O:O,"received",'Shipments data'!Q:Q,"&lt;"&amp;'Supply planning data'!D256,'Shipments data'!AC:AC,"&lt;"&amp;'Supply planning data'!D256)-SUMIFS(M:M,D:D,"&lt;="&amp;D241,C:C,C241)+SUMIFS(N:N,D:D,"&lt;="&amp;D241,C:C,C241)+SUMIFS(P:P,D:D,"&lt;="&amp;D241,C:C,C241)&lt;0,0,SUMIFS('Shipments data'!L:L,'Shipments data'!F:F,'Supply planning data'!C241,'Shipments data'!A:A,'Supply planning data'!A241,'Shipments data'!O:O,"received",'Shipments data'!Q:Q,"&lt;"&amp;'Supply planning data'!D256,'Shipments data'!AC:AC,"&lt;"&amp;'Supply planning data'!D256)-SUMIFS(M:M,D:D,"&lt;="&amp;D241,C:C,C241)+SUMIFS(N:N,D:D,"&lt;="&amp;D241,C:C,C241)+SUMIFS(P:P,D:D,"&lt;="&amp;D241,C:C,C241))</f>
        <v>0</v>
      </c>
      <c r="U241" s="112">
        <f t="shared" si="79"/>
        <v>0</v>
      </c>
      <c r="V241" s="111">
        <f t="shared" si="69"/>
        <v>0</v>
      </c>
      <c r="W241" s="204" t="str">
        <f t="shared" si="85"/>
        <v/>
      </c>
      <c r="X241" s="111">
        <f t="shared" si="80"/>
        <v>0</v>
      </c>
      <c r="Y241" s="110"/>
      <c r="Z241" s="107"/>
      <c r="AA241" s="111">
        <f t="shared" si="73"/>
        <v>0</v>
      </c>
      <c r="AB241" s="235"/>
      <c r="AC241" s="111">
        <f>IF(SUMIFS('Shipments data'!L:L,'Shipments data'!F:F,'Supply planning data'!C241,'Shipments data'!A:A,'Supply planning data'!A241,'Shipments data'!O:O,"received",'Shipments data'!Q:Q,"&lt;"&amp;'Supply planning data'!D256,'Shipments data'!AC:AC,"&lt;"&amp;'Supply planning data'!D256)-SUMIFS(M:M,D:D,"&lt;="&amp;D241,C:C,C241)-SUMIFS(AA:AA,D:D,"&lt;="&amp;D241,C:C,C241)+SUMIFS(N:N,D:D,"&lt;="&amp;D241,C:C,C241)+SUMIFS(P:P,D:D,"&lt;="&amp;D241,C:C,C241)&lt;0,0,SUMIFS('Shipments data'!L:L,'Shipments data'!F:F,'Supply planning data'!C241,'Shipments data'!A:A,'Supply planning data'!A241,'Shipments data'!O:O,"received",'Shipments data'!Q:Q,"&lt;"&amp;'Supply planning data'!D256,'Shipments data'!AC:AC,"&lt;"&amp;'Supply planning data'!D256)-SUMIFS(M:M,D:D,"&lt;="&amp;D241,C:C,C241)-SUMIFS(AA:AA,D:D,"&lt;="&amp;D241,C:C,C241)+SUMIFS(N:N,D:D,"&lt;="&amp;D241,C:C,C241)+SUMIFS(P:P,D:D,"&lt;="&amp;D241,C:C,C241))</f>
        <v>0</v>
      </c>
      <c r="AD241" s="111">
        <f t="shared" si="81"/>
        <v>0</v>
      </c>
      <c r="AE241" s="111">
        <f t="shared" si="75"/>
        <v>0</v>
      </c>
      <c r="AF241" s="204" t="str">
        <f t="shared" si="84"/>
        <v/>
      </c>
      <c r="AG241" s="111">
        <f t="shared" si="82"/>
        <v>0</v>
      </c>
      <c r="AH241" s="110"/>
      <c r="AI241" s="313"/>
      <c r="AJ241" s="111">
        <f t="shared" si="74"/>
        <v>0</v>
      </c>
      <c r="AK241" s="235"/>
      <c r="AL241" s="111">
        <f>IF(SUMIFS('Shipments data'!L:L,'Shipments data'!F:F,'Supply planning data'!C241,'Shipments data'!A:A,'Supply planning data'!A241,'Shipments data'!O:O,"received",'Shipments data'!Q:Q,"&lt;"&amp;'Supply planning data'!D256,'Shipments data'!AC:AC,"&lt;"&amp;'Supply planning data'!D256)-SUMIFS(M:M,D:D,"&lt;="&amp;D241,C:C,C241)-SUMIFS(AJ:AJ,D:D,"&lt;="&amp;D241,C:C,C241)+SUMIFS(N:N,D:D,"&lt;="&amp;D241,C:C,C241)+SUMIFS(P:P,D:D,"&lt;="&amp;D241,C:C,C241)&lt;0,0,SUMIFS('Shipments data'!L:L,'Shipments data'!F:F,'Supply planning data'!C241,'Shipments data'!A:A,'Supply planning data'!A241,'Shipments data'!O:O,"received",'Shipments data'!Q:Q,"&lt;"&amp;'Supply planning data'!D256,'Shipments data'!AC:AC,"&lt;"&amp;'Supply planning data'!D256)-SUMIFS(M:M,D:D,"&lt;="&amp;D241,C:C,C241)-SUMIFS(AJ:AJ,D:D,"&lt;="&amp;D241,C:C,C241)+SUMIFS(N:N,D:D,"&lt;="&amp;D241,C:C,C241)+SUMIFS(P:P,D:D,"&lt;="&amp;D241,C:C,C241))</f>
        <v>0</v>
      </c>
      <c r="AM241" s="111">
        <f t="shared" si="83"/>
        <v>0</v>
      </c>
      <c r="AN241" s="111">
        <f t="shared" si="76"/>
        <v>0</v>
      </c>
      <c r="AO241" s="204" t="str">
        <f t="shared" si="86"/>
        <v/>
      </c>
    </row>
    <row r="242" spans="1:41" hidden="1" x14ac:dyDescent="0.25">
      <c r="A242" s="103" t="str">
        <f>Start!D$7</f>
        <v>Anyland</v>
      </c>
      <c r="B242" s="109" t="str">
        <f>VLOOKUP(A242,list!B:C,2,FALSE)</f>
        <v>ANY</v>
      </c>
      <c r="C242" s="104" t="str">
        <f>IF(Start!$C$29="","",Start!$C$29)</f>
        <v/>
      </c>
      <c r="D242" s="298">
        <f t="shared" si="77"/>
        <v>44652</v>
      </c>
      <c r="E242" s="105" t="str">
        <f>IFERROR(VLOOKUP(C242,Start!C$15:D$31,2,FALSE),"No")</f>
        <v>No</v>
      </c>
      <c r="F242" s="105">
        <f t="shared" si="78"/>
        <v>0</v>
      </c>
      <c r="G242" s="106"/>
      <c r="H242" s="106"/>
      <c r="I242" s="106"/>
      <c r="J242" s="105">
        <f t="shared" si="70"/>
        <v>0</v>
      </c>
      <c r="K242" s="106"/>
      <c r="L242" s="177" t="str">
        <f t="shared" si="71"/>
        <v/>
      </c>
      <c r="M242" s="105">
        <f t="shared" si="72"/>
        <v>0</v>
      </c>
      <c r="N242" s="110"/>
      <c r="O242" s="124"/>
      <c r="P242" s="110"/>
      <c r="Q242" s="124"/>
      <c r="R242" s="111">
        <f>SUMIFS('Shipments data'!L:L,'Shipments data'!F:F,'Supply planning data'!C242,'Shipments data'!A:A,'Supply planning data'!A242,'Shipments data'!Y:Y,'Supply planning data'!D242,'Shipments data'!O:O,"received", 'Shipments data'!N:N, "Public")</f>
        <v>0</v>
      </c>
      <c r="S242" s="111">
        <f>SUMIFS('Shipments data'!L:L,'Shipments data'!F:F,'Supply planning data'!C242,'Shipments data'!A:A,'Supply planning data'!A242,'Shipments data'!Y:Y,'Supply planning data'!D242,'Shipments data'!O:O,"ordered", 'Shipments data'!N:N, "Public")</f>
        <v>0</v>
      </c>
      <c r="T242" s="111">
        <f>IF(SUMIFS('Shipments data'!L:L,'Shipments data'!F:F,'Supply planning data'!C242,'Shipments data'!A:A,'Supply planning data'!A242,'Shipments data'!O:O,"received",'Shipments data'!Q:Q,"&lt;"&amp;'Supply planning data'!D257,'Shipments data'!AC:AC,"&lt;"&amp;'Supply planning data'!D257)-SUMIFS(M:M,D:D,"&lt;="&amp;D242,C:C,C242)+SUMIFS(N:N,D:D,"&lt;="&amp;D242,C:C,C242)+SUMIFS(P:P,D:D,"&lt;="&amp;D242,C:C,C242)&lt;0,0,SUMIFS('Shipments data'!L:L,'Shipments data'!F:F,'Supply planning data'!C242,'Shipments data'!A:A,'Supply planning data'!A242,'Shipments data'!O:O,"received",'Shipments data'!Q:Q,"&lt;"&amp;'Supply planning data'!D257,'Shipments data'!AC:AC,"&lt;"&amp;'Supply planning data'!D257)-SUMIFS(M:M,D:D,"&lt;="&amp;D242,C:C,C242)+SUMIFS(N:N,D:D,"&lt;="&amp;D242,C:C,C242)+SUMIFS(P:P,D:D,"&lt;="&amp;D242,C:C,C242))</f>
        <v>0</v>
      </c>
      <c r="U242" s="112">
        <f t="shared" si="79"/>
        <v>0</v>
      </c>
      <c r="V242" s="111">
        <f t="shared" si="69"/>
        <v>0</v>
      </c>
      <c r="W242" s="204" t="str">
        <f t="shared" si="85"/>
        <v/>
      </c>
      <c r="X242" s="111">
        <f t="shared" si="80"/>
        <v>0</v>
      </c>
      <c r="Y242" s="110"/>
      <c r="Z242" s="107"/>
      <c r="AA242" s="111">
        <f t="shared" si="73"/>
        <v>0</v>
      </c>
      <c r="AB242" s="235"/>
      <c r="AC242" s="111">
        <f>IF(SUMIFS('Shipments data'!L:L,'Shipments data'!F:F,'Supply planning data'!C242,'Shipments data'!A:A,'Supply planning data'!A242,'Shipments data'!O:O,"received",'Shipments data'!Q:Q,"&lt;"&amp;'Supply planning data'!D257,'Shipments data'!AC:AC,"&lt;"&amp;'Supply planning data'!D257)-SUMIFS(M:M,D:D,"&lt;="&amp;D242,C:C,C242)-SUMIFS(AA:AA,D:D,"&lt;="&amp;D242,C:C,C242)+SUMIFS(N:N,D:D,"&lt;="&amp;D242,C:C,C242)+SUMIFS(P:P,D:D,"&lt;="&amp;D242,C:C,C242)&lt;0,0,SUMIFS('Shipments data'!L:L,'Shipments data'!F:F,'Supply planning data'!C242,'Shipments data'!A:A,'Supply planning data'!A242,'Shipments data'!O:O,"received",'Shipments data'!Q:Q,"&lt;"&amp;'Supply planning data'!D257,'Shipments data'!AC:AC,"&lt;"&amp;'Supply planning data'!D257)-SUMIFS(M:M,D:D,"&lt;="&amp;D242,C:C,C242)-SUMIFS(AA:AA,D:D,"&lt;="&amp;D242,C:C,C242)+SUMIFS(N:N,D:D,"&lt;="&amp;D242,C:C,C242)+SUMIFS(P:P,D:D,"&lt;="&amp;D242,C:C,C242))</f>
        <v>0</v>
      </c>
      <c r="AD242" s="111">
        <f t="shared" si="81"/>
        <v>0</v>
      </c>
      <c r="AE242" s="111">
        <f t="shared" si="75"/>
        <v>0</v>
      </c>
      <c r="AF242" s="204" t="str">
        <f t="shared" si="84"/>
        <v/>
      </c>
      <c r="AG242" s="111">
        <f t="shared" si="82"/>
        <v>0</v>
      </c>
      <c r="AH242" s="110"/>
      <c r="AI242" s="313"/>
      <c r="AJ242" s="111">
        <f t="shared" si="74"/>
        <v>0</v>
      </c>
      <c r="AK242" s="235"/>
      <c r="AL242" s="111">
        <f>IF(SUMIFS('Shipments data'!L:L,'Shipments data'!F:F,'Supply planning data'!C242,'Shipments data'!A:A,'Supply planning data'!A242,'Shipments data'!O:O,"received",'Shipments data'!Q:Q,"&lt;"&amp;'Supply planning data'!D257,'Shipments data'!AC:AC,"&lt;"&amp;'Supply planning data'!D257)-SUMIFS(M:M,D:D,"&lt;="&amp;D242,C:C,C242)-SUMIFS(AJ:AJ,D:D,"&lt;="&amp;D242,C:C,C242)+SUMIFS(N:N,D:D,"&lt;="&amp;D242,C:C,C242)+SUMIFS(P:P,D:D,"&lt;="&amp;D242,C:C,C242)&lt;0,0,SUMIFS('Shipments data'!L:L,'Shipments data'!F:F,'Supply planning data'!C242,'Shipments data'!A:A,'Supply planning data'!A242,'Shipments data'!O:O,"received",'Shipments data'!Q:Q,"&lt;"&amp;'Supply planning data'!D257,'Shipments data'!AC:AC,"&lt;"&amp;'Supply planning data'!D257)-SUMIFS(M:M,D:D,"&lt;="&amp;D242,C:C,C242)-SUMIFS(AJ:AJ,D:D,"&lt;="&amp;D242,C:C,C242)+SUMIFS(N:N,D:D,"&lt;="&amp;D242,C:C,C242)+SUMIFS(P:P,D:D,"&lt;="&amp;D242,C:C,C242))</f>
        <v>0</v>
      </c>
      <c r="AM242" s="111">
        <f t="shared" si="83"/>
        <v>0</v>
      </c>
      <c r="AN242" s="111">
        <f t="shared" si="76"/>
        <v>0</v>
      </c>
      <c r="AO242" s="204" t="str">
        <f t="shared" si="86"/>
        <v/>
      </c>
    </row>
    <row r="243" spans="1:41" hidden="1" x14ac:dyDescent="0.25">
      <c r="A243" s="103" t="str">
        <f>Start!D$7</f>
        <v>Anyland</v>
      </c>
      <c r="B243" s="109" t="str">
        <f>VLOOKUP(A243,list!B:C,2,FALSE)</f>
        <v>ANY</v>
      </c>
      <c r="C243" s="109" t="str">
        <f>IF(Start!$C$30="","",Start!$C$30)</f>
        <v/>
      </c>
      <c r="D243" s="298">
        <f t="shared" si="77"/>
        <v>44652</v>
      </c>
      <c r="E243" s="105" t="str">
        <f>IFERROR(VLOOKUP(C243,Start!C$15:D$31,2,FALSE),"No")</f>
        <v>No</v>
      </c>
      <c r="F243" s="105">
        <f t="shared" si="78"/>
        <v>0</v>
      </c>
      <c r="G243" s="106"/>
      <c r="H243" s="106"/>
      <c r="I243" s="106"/>
      <c r="J243" s="105">
        <f t="shared" si="70"/>
        <v>0</v>
      </c>
      <c r="K243" s="106"/>
      <c r="L243" s="177" t="str">
        <f t="shared" si="71"/>
        <v/>
      </c>
      <c r="M243" s="105">
        <f t="shared" si="72"/>
        <v>0</v>
      </c>
      <c r="N243" s="110"/>
      <c r="O243" s="124"/>
      <c r="P243" s="110"/>
      <c r="Q243" s="124"/>
      <c r="R243" s="111">
        <f>SUMIFS('Shipments data'!L:L,'Shipments data'!F:F,'Supply planning data'!C243,'Shipments data'!A:A,'Supply planning data'!A243,'Shipments data'!Y:Y,'Supply planning data'!D243,'Shipments data'!O:O,"received", 'Shipments data'!N:N, "Public")</f>
        <v>0</v>
      </c>
      <c r="S243" s="111">
        <f>SUMIFS('Shipments data'!L:L,'Shipments data'!F:F,'Supply planning data'!C243,'Shipments data'!A:A,'Supply planning data'!A243,'Shipments data'!Y:Y,'Supply planning data'!D243,'Shipments data'!O:O,"ordered", 'Shipments data'!N:N, "Public")</f>
        <v>0</v>
      </c>
      <c r="T243" s="111">
        <f>IF(SUMIFS('Shipments data'!L:L,'Shipments data'!F:F,'Supply planning data'!C243,'Shipments data'!A:A,'Supply planning data'!A243,'Shipments data'!O:O,"received",'Shipments data'!Q:Q,"&lt;"&amp;'Supply planning data'!D258,'Shipments data'!AC:AC,"&lt;"&amp;'Supply planning data'!D258)-SUMIFS(M:M,D:D,"&lt;="&amp;D243,C:C,C243)+SUMIFS(N:N,D:D,"&lt;="&amp;D243,C:C,C243)+SUMIFS(P:P,D:D,"&lt;="&amp;D243,C:C,C243)&lt;0,0,SUMIFS('Shipments data'!L:L,'Shipments data'!F:F,'Supply planning data'!C243,'Shipments data'!A:A,'Supply planning data'!A243,'Shipments data'!O:O,"received",'Shipments data'!Q:Q,"&lt;"&amp;'Supply planning data'!D258,'Shipments data'!AC:AC,"&lt;"&amp;'Supply planning data'!D258)-SUMIFS(M:M,D:D,"&lt;="&amp;D243,C:C,C243)+SUMIFS(N:N,D:D,"&lt;="&amp;D243,C:C,C243)+SUMIFS(P:P,D:D,"&lt;="&amp;D243,C:C,C243))</f>
        <v>0</v>
      </c>
      <c r="U243" s="112">
        <f t="shared" si="79"/>
        <v>0</v>
      </c>
      <c r="V243" s="111">
        <f t="shared" ref="V243:V306" si="87">IF(F243-M243+N243+P243+R243+S243-U243&lt;0,0,F243-M243+N243+P243+R243+S243-U243)</f>
        <v>0</v>
      </c>
      <c r="W243" s="204" t="str">
        <f t="shared" si="85"/>
        <v/>
      </c>
      <c r="X243" s="111">
        <f t="shared" si="80"/>
        <v>0</v>
      </c>
      <c r="Y243" s="110"/>
      <c r="Z243" s="107"/>
      <c r="AA243" s="111">
        <f t="shared" si="73"/>
        <v>0</v>
      </c>
      <c r="AB243" s="235"/>
      <c r="AC243" s="111">
        <f>IF(SUMIFS('Shipments data'!L:L,'Shipments data'!F:F,'Supply planning data'!C243,'Shipments data'!A:A,'Supply planning data'!A243,'Shipments data'!O:O,"received",'Shipments data'!Q:Q,"&lt;"&amp;'Supply planning data'!D258,'Shipments data'!AC:AC,"&lt;"&amp;'Supply planning data'!D258)-SUMIFS(M:M,D:D,"&lt;="&amp;D243,C:C,C243)-SUMIFS(AA:AA,D:D,"&lt;="&amp;D243,C:C,C243)+SUMIFS(N:N,D:D,"&lt;="&amp;D243,C:C,C243)+SUMIFS(P:P,D:D,"&lt;="&amp;D243,C:C,C243)&lt;0,0,SUMIFS('Shipments data'!L:L,'Shipments data'!F:F,'Supply planning data'!C243,'Shipments data'!A:A,'Supply planning data'!A243,'Shipments data'!O:O,"received",'Shipments data'!Q:Q,"&lt;"&amp;'Supply planning data'!D258,'Shipments data'!AC:AC,"&lt;"&amp;'Supply planning data'!D258)-SUMIFS(M:M,D:D,"&lt;="&amp;D243,C:C,C243)-SUMIFS(AA:AA,D:D,"&lt;="&amp;D243,C:C,C243)+SUMIFS(N:N,D:D,"&lt;="&amp;D243,C:C,C243)+SUMIFS(P:P,D:D,"&lt;="&amp;D243,C:C,C243))</f>
        <v>0</v>
      </c>
      <c r="AD243" s="111">
        <f t="shared" si="81"/>
        <v>0</v>
      </c>
      <c r="AE243" s="111">
        <f t="shared" si="75"/>
        <v>0</v>
      </c>
      <c r="AF243" s="204" t="str">
        <f t="shared" si="84"/>
        <v/>
      </c>
      <c r="AG243" s="111">
        <f t="shared" si="82"/>
        <v>0</v>
      </c>
      <c r="AH243" s="110"/>
      <c r="AI243" s="313"/>
      <c r="AJ243" s="111">
        <f t="shared" si="74"/>
        <v>0</v>
      </c>
      <c r="AK243" s="235"/>
      <c r="AL243" s="111">
        <f>IF(SUMIFS('Shipments data'!L:L,'Shipments data'!F:F,'Supply planning data'!C243,'Shipments data'!A:A,'Supply planning data'!A243,'Shipments data'!O:O,"received",'Shipments data'!Q:Q,"&lt;"&amp;'Supply planning data'!D258,'Shipments data'!AC:AC,"&lt;"&amp;'Supply planning data'!D258)-SUMIFS(M:M,D:D,"&lt;="&amp;D243,C:C,C243)-SUMIFS(AJ:AJ,D:D,"&lt;="&amp;D243,C:C,C243)+SUMIFS(N:N,D:D,"&lt;="&amp;D243,C:C,C243)+SUMIFS(P:P,D:D,"&lt;="&amp;D243,C:C,C243)&lt;0,0,SUMIFS('Shipments data'!L:L,'Shipments data'!F:F,'Supply planning data'!C243,'Shipments data'!A:A,'Supply planning data'!A243,'Shipments data'!O:O,"received",'Shipments data'!Q:Q,"&lt;"&amp;'Supply planning data'!D258,'Shipments data'!AC:AC,"&lt;"&amp;'Supply planning data'!D258)-SUMIFS(M:M,D:D,"&lt;="&amp;D243,C:C,C243)-SUMIFS(AJ:AJ,D:D,"&lt;="&amp;D243,C:C,C243)+SUMIFS(N:N,D:D,"&lt;="&amp;D243,C:C,C243)+SUMIFS(P:P,D:D,"&lt;="&amp;D243,C:C,C243))</f>
        <v>0</v>
      </c>
      <c r="AM243" s="111">
        <f t="shared" si="83"/>
        <v>0</v>
      </c>
      <c r="AN243" s="111">
        <f t="shared" si="76"/>
        <v>0</v>
      </c>
      <c r="AO243" s="204" t="str">
        <f t="shared" si="86"/>
        <v/>
      </c>
    </row>
    <row r="244" spans="1:41" hidden="1" x14ac:dyDescent="0.25">
      <c r="A244" s="113" t="str">
        <f>Start!D$7</f>
        <v>Anyland</v>
      </c>
      <c r="B244" s="114" t="str">
        <f>VLOOKUP(A244,list!B:C,2,FALSE)</f>
        <v>ANY</v>
      </c>
      <c r="C244" s="104" t="str">
        <f>IF(Start!$C$31="","",Start!$C$31)</f>
        <v/>
      </c>
      <c r="D244" s="298">
        <f t="shared" si="77"/>
        <v>44652</v>
      </c>
      <c r="E244" s="105" t="str">
        <f>IFERROR(VLOOKUP(C244,Start!C$15:D$31,2,FALSE),"No")</f>
        <v>No</v>
      </c>
      <c r="F244" s="105">
        <f t="shared" si="78"/>
        <v>0</v>
      </c>
      <c r="G244" s="106"/>
      <c r="H244" s="106"/>
      <c r="I244" s="106"/>
      <c r="J244" s="105">
        <f t="shared" si="70"/>
        <v>0</v>
      </c>
      <c r="K244" s="106"/>
      <c r="L244" s="177" t="str">
        <f t="shared" si="71"/>
        <v/>
      </c>
      <c r="M244" s="105">
        <f t="shared" si="72"/>
        <v>0</v>
      </c>
      <c r="N244" s="110"/>
      <c r="O244" s="124"/>
      <c r="P244" s="110"/>
      <c r="Q244" s="124"/>
      <c r="R244" s="111">
        <f>SUMIFS('Shipments data'!L:L,'Shipments data'!F:F,'Supply planning data'!C244,'Shipments data'!A:A,'Supply planning data'!A244,'Shipments data'!Y:Y,'Supply planning data'!D244,'Shipments data'!O:O,"received", 'Shipments data'!N:N, "Public")</f>
        <v>0</v>
      </c>
      <c r="S244" s="111">
        <f>SUMIFS('Shipments data'!L:L,'Shipments data'!F:F,'Supply planning data'!C244,'Shipments data'!A:A,'Supply planning data'!A244,'Shipments data'!Y:Y,'Supply planning data'!D244,'Shipments data'!O:O,"ordered", 'Shipments data'!N:N, "Public")</f>
        <v>0</v>
      </c>
      <c r="T244" s="111">
        <f>IF(SUMIFS('Shipments data'!L:L,'Shipments data'!F:F,'Supply planning data'!C244,'Shipments data'!A:A,'Supply planning data'!A244,'Shipments data'!O:O,"received",'Shipments data'!Q:Q,"&lt;"&amp;'Supply planning data'!D259,'Shipments data'!AC:AC,"&lt;"&amp;'Supply planning data'!D259)-SUMIFS(M:M,D:D,"&lt;="&amp;D244,C:C,C244)+SUMIFS(N:N,D:D,"&lt;="&amp;D244,C:C,C244)+SUMIFS(P:P,D:D,"&lt;="&amp;D244,C:C,C244)&lt;0,0,SUMIFS('Shipments data'!L:L,'Shipments data'!F:F,'Supply planning data'!C244,'Shipments data'!A:A,'Supply planning data'!A244,'Shipments data'!O:O,"received",'Shipments data'!Q:Q,"&lt;"&amp;'Supply planning data'!D259,'Shipments data'!AC:AC,"&lt;"&amp;'Supply planning data'!D259)-SUMIFS(M:M,D:D,"&lt;="&amp;D244,C:C,C244)+SUMIFS(N:N,D:D,"&lt;="&amp;D244,C:C,C244)+SUMIFS(P:P,D:D,"&lt;="&amp;D244,C:C,C244))</f>
        <v>0</v>
      </c>
      <c r="U244" s="112">
        <f t="shared" si="79"/>
        <v>0</v>
      </c>
      <c r="V244" s="111">
        <f t="shared" si="87"/>
        <v>0</v>
      </c>
      <c r="W244" s="204" t="str">
        <f t="shared" si="85"/>
        <v/>
      </c>
      <c r="X244" s="111">
        <f t="shared" si="80"/>
        <v>0</v>
      </c>
      <c r="Y244" s="110"/>
      <c r="Z244" s="107"/>
      <c r="AA244" s="111">
        <f t="shared" si="73"/>
        <v>0</v>
      </c>
      <c r="AB244" s="235"/>
      <c r="AC244" s="111">
        <f>IF(SUMIFS('Shipments data'!L:L,'Shipments data'!F:F,'Supply planning data'!C244,'Shipments data'!A:A,'Supply planning data'!A244,'Shipments data'!O:O,"received",'Shipments data'!Q:Q,"&lt;"&amp;'Supply planning data'!D259,'Shipments data'!AC:AC,"&lt;"&amp;'Supply planning data'!D259)-SUMIFS(M:M,D:D,"&lt;="&amp;D244,C:C,C244)-SUMIFS(AA:AA,D:D,"&lt;="&amp;D244,C:C,C244)+SUMIFS(N:N,D:D,"&lt;="&amp;D244,C:C,C244)+SUMIFS(P:P,D:D,"&lt;="&amp;D244,C:C,C244)&lt;0,0,SUMIFS('Shipments data'!L:L,'Shipments data'!F:F,'Supply planning data'!C244,'Shipments data'!A:A,'Supply planning data'!A244,'Shipments data'!O:O,"received",'Shipments data'!Q:Q,"&lt;"&amp;'Supply planning data'!D259,'Shipments data'!AC:AC,"&lt;"&amp;'Supply planning data'!D259)-SUMIFS(M:M,D:D,"&lt;="&amp;D244,C:C,C244)-SUMIFS(AA:AA,D:D,"&lt;="&amp;D244,C:C,C244)+SUMIFS(N:N,D:D,"&lt;="&amp;D244,C:C,C244)+SUMIFS(P:P,D:D,"&lt;="&amp;D244,C:C,C244))</f>
        <v>0</v>
      </c>
      <c r="AD244" s="111">
        <f t="shared" si="81"/>
        <v>0</v>
      </c>
      <c r="AE244" s="111">
        <f t="shared" si="75"/>
        <v>0</v>
      </c>
      <c r="AF244" s="204" t="str">
        <f t="shared" si="84"/>
        <v/>
      </c>
      <c r="AG244" s="111">
        <f t="shared" si="82"/>
        <v>0</v>
      </c>
      <c r="AH244" s="110"/>
      <c r="AI244" s="313"/>
      <c r="AJ244" s="111">
        <f t="shared" si="74"/>
        <v>0</v>
      </c>
      <c r="AK244" s="235"/>
      <c r="AL244" s="111">
        <f>IF(SUMIFS('Shipments data'!L:L,'Shipments data'!F:F,'Supply planning data'!C244,'Shipments data'!A:A,'Supply planning data'!A244,'Shipments data'!O:O,"received",'Shipments data'!Q:Q,"&lt;"&amp;'Supply planning data'!D259,'Shipments data'!AC:AC,"&lt;"&amp;'Supply planning data'!D259)-SUMIFS(M:M,D:D,"&lt;="&amp;D244,C:C,C244)-SUMIFS(AJ:AJ,D:D,"&lt;="&amp;D244,C:C,C244)+SUMIFS(N:N,D:D,"&lt;="&amp;D244,C:C,C244)+SUMIFS(P:P,D:D,"&lt;="&amp;D244,C:C,C244)&lt;0,0,SUMIFS('Shipments data'!L:L,'Shipments data'!F:F,'Supply planning data'!C244,'Shipments data'!A:A,'Supply planning data'!A244,'Shipments data'!O:O,"received",'Shipments data'!Q:Q,"&lt;"&amp;'Supply planning data'!D259,'Shipments data'!AC:AC,"&lt;"&amp;'Supply planning data'!D259)-SUMIFS(M:M,D:D,"&lt;="&amp;D244,C:C,C244)-SUMIFS(AJ:AJ,D:D,"&lt;="&amp;D244,C:C,C244)+SUMIFS(N:N,D:D,"&lt;="&amp;D244,C:C,C244)+SUMIFS(P:P,D:D,"&lt;="&amp;D244,C:C,C244))</f>
        <v>0</v>
      </c>
      <c r="AM244" s="111">
        <f t="shared" si="83"/>
        <v>0</v>
      </c>
      <c r="AN244" s="111">
        <f t="shared" si="76"/>
        <v>0</v>
      </c>
      <c r="AO244" s="204" t="str">
        <f t="shared" si="86"/>
        <v/>
      </c>
    </row>
    <row r="245" spans="1:41" x14ac:dyDescent="0.25">
      <c r="A245" s="89" t="str">
        <f>Start!D$7</f>
        <v>Anyland</v>
      </c>
      <c r="B245" s="90" t="str">
        <f>VLOOKUP(A245,list!B:C,2,FALSE)</f>
        <v>ANY</v>
      </c>
      <c r="C245" s="90" t="str">
        <f>IF(Start!$C$17="","",Start!$C$17)</f>
        <v>AstraZeneca</v>
      </c>
      <c r="D245" s="296">
        <f t="shared" si="77"/>
        <v>44682</v>
      </c>
      <c r="E245" s="92" t="str">
        <f>IFERROR(VLOOKUP(C245,Start!C$15:D$31,2,FALSE),"No")</f>
        <v>Yes</v>
      </c>
      <c r="F245" s="92">
        <f t="shared" si="78"/>
        <v>0</v>
      </c>
      <c r="G245" s="91"/>
      <c r="H245" s="91"/>
      <c r="I245" s="91"/>
      <c r="J245" s="92">
        <f t="shared" si="70"/>
        <v>0</v>
      </c>
      <c r="K245" s="91"/>
      <c r="L245" s="174" t="str">
        <f t="shared" si="71"/>
        <v/>
      </c>
      <c r="M245" s="92">
        <f t="shared" si="72"/>
        <v>0</v>
      </c>
      <c r="N245" s="91"/>
      <c r="O245" s="121"/>
      <c r="P245" s="91"/>
      <c r="Q245" s="121"/>
      <c r="R245" s="92">
        <f>SUMIFS('Shipments data'!L:L,'Shipments data'!F:F,'Supply planning data'!C245,'Shipments data'!A:A,'Supply planning data'!A245,'Shipments data'!Y:Y,'Supply planning data'!D245,'Shipments data'!O:O,"received", 'Shipments data'!N:N, "Public")</f>
        <v>0</v>
      </c>
      <c r="S245" s="92">
        <f>SUMIFS('Shipments data'!L:L,'Shipments data'!F:F,'Supply planning data'!C245,'Shipments data'!A:A,'Supply planning data'!A245,'Shipments data'!Y:Y,'Supply planning data'!D245,'Shipments data'!O:O,"ordered", 'Shipments data'!N:N, "Public")</f>
        <v>0</v>
      </c>
      <c r="T245" s="92">
        <f>IF(SUMIFS('Shipments data'!L:L,'Shipments data'!F:F,'Supply planning data'!C245,'Shipments data'!A:A,'Supply planning data'!A245,'Shipments data'!O:O,"received",'Shipments data'!Q:Q,"&lt;"&amp;'Supply planning data'!D260,'Shipments data'!AC:AC,"&lt;"&amp;'Supply planning data'!D260)-SUMIFS(M:M,D:D,"&lt;="&amp;D245,C:C,C245)+SUMIFS(N:N,D:D,"&lt;="&amp;D245,C:C,C245)+SUMIFS(P:P,D:D,"&lt;="&amp;D245,C:C,C245)&lt;0,0,SUMIFS('Shipments data'!L:L,'Shipments data'!F:F,'Supply planning data'!C245,'Shipments data'!A:A,'Supply planning data'!A245,'Shipments data'!O:O,"received",'Shipments data'!Q:Q,"&lt;"&amp;'Supply planning data'!D260,'Shipments data'!AC:AC,"&lt;"&amp;'Supply planning data'!D260)-SUMIFS(M:M,D:D,"&lt;="&amp;D245,C:C,C245)+SUMIFS(N:N,D:D,"&lt;="&amp;D245,C:C,C245)+SUMIFS(P:P,D:D,"&lt;="&amp;D245,C:C,C245))</f>
        <v>0</v>
      </c>
      <c r="U245" s="94">
        <f t="shared" si="79"/>
        <v>0</v>
      </c>
      <c r="V245" s="92">
        <f t="shared" si="87"/>
        <v>0</v>
      </c>
      <c r="W245" s="205" t="str">
        <f t="shared" si="85"/>
        <v/>
      </c>
      <c r="X245" s="92">
        <f t="shared" si="80"/>
        <v>714701</v>
      </c>
      <c r="Y245" s="91">
        <f t="shared" ref="Y245:Y249" si="88">400000/5</f>
        <v>80000</v>
      </c>
      <c r="Z245" s="93"/>
      <c r="AA245" s="92">
        <f t="shared" si="73"/>
        <v>80000</v>
      </c>
      <c r="AB245" s="232"/>
      <c r="AC245" s="92">
        <f>IF(SUMIFS('Shipments data'!L:L,'Shipments data'!F:F,'Supply planning data'!C245,'Shipments data'!A:A,'Supply planning data'!A245,'Shipments data'!O:O,"received",'Shipments data'!Q:Q,"&lt;"&amp;'Supply planning data'!D260,'Shipments data'!AC:AC,"&lt;"&amp;'Supply planning data'!D260)-SUMIFS(M:M,D:D,"&lt;="&amp;D245,C:C,C245)-SUMIFS(AA:AA,D:D,"&lt;="&amp;D245,C:C,C245)+SUMIFS(N:N,D:D,"&lt;="&amp;D245,C:C,C245)+SUMIFS(P:P,D:D,"&lt;="&amp;D245,C:C,C245)&lt;0,0,SUMIFS('Shipments data'!L:L,'Shipments data'!F:F,'Supply planning data'!C245,'Shipments data'!A:A,'Supply planning data'!A245,'Shipments data'!O:O,"received",'Shipments data'!Q:Q,"&lt;"&amp;'Supply planning data'!D260,'Shipments data'!AC:AC,"&lt;"&amp;'Supply planning data'!D260)-SUMIFS(M:M,D:D,"&lt;="&amp;D245,C:C,C245)-SUMIFS(AA:AA,D:D,"&lt;="&amp;D245,C:C,C245)+SUMIFS(N:N,D:D,"&lt;="&amp;D245,C:C,C245)+SUMIFS(P:P,D:D,"&lt;="&amp;D245,C:C,C245))</f>
        <v>0</v>
      </c>
      <c r="AD245" s="92">
        <f t="shared" si="81"/>
        <v>0</v>
      </c>
      <c r="AE245" s="92">
        <f t="shared" si="75"/>
        <v>634701</v>
      </c>
      <c r="AF245" s="205">
        <f t="shared" si="84"/>
        <v>7.9337625000000003</v>
      </c>
      <c r="AG245" s="92">
        <f t="shared" si="82"/>
        <v>0</v>
      </c>
      <c r="AH245" s="91"/>
      <c r="AI245" s="310"/>
      <c r="AJ245" s="92">
        <f t="shared" si="74"/>
        <v>0</v>
      </c>
      <c r="AK245" s="232"/>
      <c r="AL245" s="92">
        <f>IF(SUMIFS('Shipments data'!L:L,'Shipments data'!F:F,'Supply planning data'!C245,'Shipments data'!A:A,'Supply planning data'!A245,'Shipments data'!O:O,"received",'Shipments data'!Q:Q,"&lt;"&amp;'Supply planning data'!D260,'Shipments data'!AC:AC,"&lt;"&amp;'Supply planning data'!D260)-SUMIFS(M:M,D:D,"&lt;="&amp;D245,C:C,C245)-SUMIFS(AJ:AJ,D:D,"&lt;="&amp;D245,C:C,C245)+SUMIFS(N:N,D:D,"&lt;="&amp;D245,C:C,C245)+SUMIFS(P:P,D:D,"&lt;="&amp;D245,C:C,C245)&lt;0,0,SUMIFS('Shipments data'!L:L,'Shipments data'!F:F,'Supply planning data'!C245,'Shipments data'!A:A,'Supply planning data'!A245,'Shipments data'!O:O,"received",'Shipments data'!Q:Q,"&lt;"&amp;'Supply planning data'!D260,'Shipments data'!AC:AC,"&lt;"&amp;'Supply planning data'!D260)-SUMIFS(M:M,D:D,"&lt;="&amp;D245,C:C,C245)-SUMIFS(AJ:AJ,D:D,"&lt;="&amp;D245,C:C,C245)+SUMIFS(N:N,D:D,"&lt;="&amp;D245,C:C,C245)+SUMIFS(P:P,D:D,"&lt;="&amp;D245,C:C,C245))</f>
        <v>0</v>
      </c>
      <c r="AM245" s="92">
        <f t="shared" si="83"/>
        <v>0</v>
      </c>
      <c r="AN245" s="92">
        <f t="shared" si="76"/>
        <v>0</v>
      </c>
      <c r="AO245" s="205" t="str">
        <f t="shared" si="86"/>
        <v/>
      </c>
    </row>
    <row r="246" spans="1:41" x14ac:dyDescent="0.25">
      <c r="A246" s="95" t="str">
        <f>Start!D$7</f>
        <v>Anyland</v>
      </c>
      <c r="B246" s="96" t="str">
        <f>VLOOKUP(A246,list!B:C,2,FALSE)</f>
        <v>ANY</v>
      </c>
      <c r="C246" s="90" t="str">
        <f>IF(Start!$C$18="","",Start!$C$18)</f>
        <v>Jansen</v>
      </c>
      <c r="D246" s="296">
        <f t="shared" si="77"/>
        <v>44682</v>
      </c>
      <c r="E246" s="92" t="str">
        <f>IFERROR(VLOOKUP(C246,Start!C$15:D$31,2,FALSE),"No")</f>
        <v>Yes</v>
      </c>
      <c r="F246" s="92">
        <f t="shared" si="78"/>
        <v>2058747</v>
      </c>
      <c r="G246" s="91"/>
      <c r="H246" s="97"/>
      <c r="I246" s="97"/>
      <c r="J246" s="98">
        <f t="shared" si="70"/>
        <v>0</v>
      </c>
      <c r="K246" s="97"/>
      <c r="L246" s="175" t="str">
        <f t="shared" si="71"/>
        <v/>
      </c>
      <c r="M246" s="98">
        <f t="shared" si="72"/>
        <v>0</v>
      </c>
      <c r="N246" s="97"/>
      <c r="O246" s="122"/>
      <c r="P246" s="97"/>
      <c r="Q246" s="122"/>
      <c r="R246" s="98">
        <f>SUMIFS('Shipments data'!L:L,'Shipments data'!F:F,'Supply planning data'!C246,'Shipments data'!A:A,'Supply planning data'!A246,'Shipments data'!Y:Y,'Supply planning data'!D246,'Shipments data'!O:O,"received", 'Shipments data'!N:N, "Public")</f>
        <v>0</v>
      </c>
      <c r="S246" s="98">
        <f>SUMIFS('Shipments data'!L:L,'Shipments data'!F:F,'Supply planning data'!C246,'Shipments data'!A:A,'Supply planning data'!A246,'Shipments data'!Y:Y,'Supply planning data'!D246,'Shipments data'!O:O,"ordered", 'Shipments data'!N:N, "Public")</f>
        <v>0</v>
      </c>
      <c r="T246" s="98">
        <f>IF(SUMIFS('Shipments data'!L:L,'Shipments data'!F:F,'Supply planning data'!C246,'Shipments data'!A:A,'Supply planning data'!A246,'Shipments data'!O:O,"received",'Shipments data'!Q:Q,"&lt;"&amp;'Supply planning data'!D261,'Shipments data'!AC:AC,"&lt;"&amp;'Supply planning data'!D261)-SUMIFS(M:M,D:D,"&lt;="&amp;D246,C:C,C246)+SUMIFS(N:N,D:D,"&lt;="&amp;D246,C:C,C246)+SUMIFS(P:P,D:D,"&lt;="&amp;D246,C:C,C246)&lt;0,0,SUMIFS('Shipments data'!L:L,'Shipments data'!F:F,'Supply planning data'!C246,'Shipments data'!A:A,'Supply planning data'!A246,'Shipments data'!O:O,"received",'Shipments data'!Q:Q,"&lt;"&amp;'Supply planning data'!D261,'Shipments data'!AC:AC,"&lt;"&amp;'Supply planning data'!D261)-SUMIFS(M:M,D:D,"&lt;="&amp;D246,C:C,C246)+SUMIFS(N:N,D:D,"&lt;="&amp;D246,C:C,C246)+SUMIFS(P:P,D:D,"&lt;="&amp;D246,C:C,C246))</f>
        <v>0</v>
      </c>
      <c r="U246" s="99">
        <f t="shared" si="79"/>
        <v>0</v>
      </c>
      <c r="V246" s="98">
        <f t="shared" si="87"/>
        <v>2058747</v>
      </c>
      <c r="W246" s="203" t="str">
        <f t="shared" si="85"/>
        <v/>
      </c>
      <c r="X246" s="98">
        <f t="shared" si="80"/>
        <v>2058747</v>
      </c>
      <c r="Y246" s="97">
        <f t="shared" si="88"/>
        <v>80000</v>
      </c>
      <c r="Z246" s="93"/>
      <c r="AA246" s="98">
        <f t="shared" si="73"/>
        <v>80000</v>
      </c>
      <c r="AB246" s="233"/>
      <c r="AC246" s="98">
        <f>IF(SUMIFS('Shipments data'!L:L,'Shipments data'!F:F,'Supply planning data'!C246,'Shipments data'!A:A,'Supply planning data'!A246,'Shipments data'!O:O,"received",'Shipments data'!Q:Q,"&lt;"&amp;'Supply planning data'!D261,'Shipments data'!AC:AC,"&lt;"&amp;'Supply planning data'!D261)-SUMIFS(M:M,D:D,"&lt;="&amp;D246,C:C,C246)-SUMIFS(AA:AA,D:D,"&lt;="&amp;D246,C:C,C246)+SUMIFS(N:N,D:D,"&lt;="&amp;D246,C:C,C246)+SUMIFS(P:P,D:D,"&lt;="&amp;D246,C:C,C246)&lt;0,0,SUMIFS('Shipments data'!L:L,'Shipments data'!F:F,'Supply planning data'!C246,'Shipments data'!A:A,'Supply planning data'!A246,'Shipments data'!O:O,"received",'Shipments data'!Q:Q,"&lt;"&amp;'Supply planning data'!D261,'Shipments data'!AC:AC,"&lt;"&amp;'Supply planning data'!D261)-SUMIFS(M:M,D:D,"&lt;="&amp;D246,C:C,C246)-SUMIFS(AA:AA,D:D,"&lt;="&amp;D246,C:C,C246)+SUMIFS(N:N,D:D,"&lt;="&amp;D246,C:C,C246)+SUMIFS(P:P,D:D,"&lt;="&amp;D246,C:C,C246))</f>
        <v>0</v>
      </c>
      <c r="AD246" s="98">
        <f t="shared" si="81"/>
        <v>0</v>
      </c>
      <c r="AE246" s="98">
        <f t="shared" si="75"/>
        <v>1978747</v>
      </c>
      <c r="AF246" s="205">
        <f t="shared" si="84"/>
        <v>24.734337499999999</v>
      </c>
      <c r="AG246" s="98">
        <f t="shared" si="82"/>
        <v>2058747</v>
      </c>
      <c r="AH246" s="97"/>
      <c r="AI246" s="311"/>
      <c r="AJ246" s="98">
        <f t="shared" si="74"/>
        <v>0</v>
      </c>
      <c r="AK246" s="233"/>
      <c r="AL246" s="98">
        <f>IF(SUMIFS('Shipments data'!L:L,'Shipments data'!F:F,'Supply planning data'!C246,'Shipments data'!A:A,'Supply planning data'!A246,'Shipments data'!O:O,"received",'Shipments data'!Q:Q,"&lt;"&amp;'Supply planning data'!D261,'Shipments data'!AC:AC,"&lt;"&amp;'Supply planning data'!D261)-SUMIFS(M:M,D:D,"&lt;="&amp;D246,C:C,C246)-SUMIFS(AJ:AJ,D:D,"&lt;="&amp;D246,C:C,C246)+SUMIFS(N:N,D:D,"&lt;="&amp;D246,C:C,C246)+SUMIFS(P:P,D:D,"&lt;="&amp;D246,C:C,C246)&lt;0,0,SUMIFS('Shipments data'!L:L,'Shipments data'!F:F,'Supply planning data'!C246,'Shipments data'!A:A,'Supply planning data'!A246,'Shipments data'!O:O,"received",'Shipments data'!Q:Q,"&lt;"&amp;'Supply planning data'!D261,'Shipments data'!AC:AC,"&lt;"&amp;'Supply planning data'!D261)-SUMIFS(M:M,D:D,"&lt;="&amp;D246,C:C,C246)-SUMIFS(AJ:AJ,D:D,"&lt;="&amp;D246,C:C,C246)+SUMIFS(N:N,D:D,"&lt;="&amp;D246,C:C,C246)+SUMIFS(P:P,D:D,"&lt;="&amp;D246,C:C,C246))</f>
        <v>0</v>
      </c>
      <c r="AM246" s="98">
        <f t="shared" si="83"/>
        <v>0</v>
      </c>
      <c r="AN246" s="98">
        <f t="shared" si="76"/>
        <v>2058747</v>
      </c>
      <c r="AO246" s="203" t="str">
        <f t="shared" si="86"/>
        <v/>
      </c>
    </row>
    <row r="247" spans="1:41" x14ac:dyDescent="0.25">
      <c r="A247" s="95" t="str">
        <f>Start!D$7</f>
        <v>Anyland</v>
      </c>
      <c r="B247" s="96" t="str">
        <f>VLOOKUP(A247,list!B:C,2,FALSE)</f>
        <v>ANY</v>
      </c>
      <c r="C247" s="90" t="str">
        <f>IF(Start!$C$19="","",Start!$C$19)</f>
        <v>Moderna</v>
      </c>
      <c r="D247" s="296">
        <f t="shared" si="77"/>
        <v>44682</v>
      </c>
      <c r="E247" s="92" t="str">
        <f>IFERROR(VLOOKUP(C247,Start!C$15:D$31,2,FALSE),"No")</f>
        <v>No</v>
      </c>
      <c r="F247" s="92">
        <f t="shared" si="78"/>
        <v>0</v>
      </c>
      <c r="G247" s="91"/>
      <c r="H247" s="97"/>
      <c r="I247" s="97"/>
      <c r="J247" s="98">
        <f t="shared" si="70"/>
        <v>0</v>
      </c>
      <c r="K247" s="97"/>
      <c r="L247" s="175" t="str">
        <f t="shared" si="71"/>
        <v/>
      </c>
      <c r="M247" s="98">
        <f t="shared" si="72"/>
        <v>0</v>
      </c>
      <c r="N247" s="97"/>
      <c r="O247" s="122"/>
      <c r="P247" s="97"/>
      <c r="Q247" s="122"/>
      <c r="R247" s="98">
        <f>SUMIFS('Shipments data'!L:L,'Shipments data'!F:F,'Supply planning data'!C247,'Shipments data'!A:A,'Supply planning data'!A247,'Shipments data'!Y:Y,'Supply planning data'!D247,'Shipments data'!O:O,"received", 'Shipments data'!N:N, "Public")</f>
        <v>0</v>
      </c>
      <c r="S247" s="98">
        <f>SUMIFS('Shipments data'!L:L,'Shipments data'!F:F,'Supply planning data'!C247,'Shipments data'!A:A,'Supply planning data'!A247,'Shipments data'!Y:Y,'Supply planning data'!D247,'Shipments data'!O:O,"ordered", 'Shipments data'!N:N, "Public")</f>
        <v>0</v>
      </c>
      <c r="T247" s="98">
        <f>IF(SUMIFS('Shipments data'!L:L,'Shipments data'!F:F,'Supply planning data'!C247,'Shipments data'!A:A,'Supply planning data'!A247,'Shipments data'!O:O,"received",'Shipments data'!Q:Q,"&lt;"&amp;'Supply planning data'!D262,'Shipments data'!AC:AC,"&lt;"&amp;'Supply planning data'!D262)-SUMIFS(M:M,D:D,"&lt;="&amp;D247,C:C,C247)+SUMIFS(N:N,D:D,"&lt;="&amp;D247,C:C,C247)+SUMIFS(P:P,D:D,"&lt;="&amp;D247,C:C,C247)&lt;0,0,SUMIFS('Shipments data'!L:L,'Shipments data'!F:F,'Supply planning data'!C247,'Shipments data'!A:A,'Supply planning data'!A247,'Shipments data'!O:O,"received",'Shipments data'!Q:Q,"&lt;"&amp;'Supply planning data'!D262,'Shipments data'!AC:AC,"&lt;"&amp;'Supply planning data'!D262)-SUMIFS(M:M,D:D,"&lt;="&amp;D247,C:C,C247)+SUMIFS(N:N,D:D,"&lt;="&amp;D247,C:C,C247)+SUMIFS(P:P,D:D,"&lt;="&amp;D247,C:C,C247))</f>
        <v>0</v>
      </c>
      <c r="U247" s="99">
        <f t="shared" si="79"/>
        <v>0</v>
      </c>
      <c r="V247" s="98">
        <f t="shared" si="87"/>
        <v>0</v>
      </c>
      <c r="W247" s="203" t="str">
        <f t="shared" si="85"/>
        <v/>
      </c>
      <c r="X247" s="98">
        <f t="shared" si="80"/>
        <v>0</v>
      </c>
      <c r="Y247" s="97">
        <f t="shared" si="88"/>
        <v>80000</v>
      </c>
      <c r="Z247" s="93"/>
      <c r="AA247" s="98">
        <f t="shared" si="73"/>
        <v>80000</v>
      </c>
      <c r="AB247" s="233"/>
      <c r="AC247" s="98">
        <f>IF(SUMIFS('Shipments data'!L:L,'Shipments data'!F:F,'Supply planning data'!C247,'Shipments data'!A:A,'Supply planning data'!A247,'Shipments data'!O:O,"received",'Shipments data'!Q:Q,"&lt;"&amp;'Supply planning data'!D262,'Shipments data'!AC:AC,"&lt;"&amp;'Supply planning data'!D262)-SUMIFS(M:M,D:D,"&lt;="&amp;D247,C:C,C247)-SUMIFS(AA:AA,D:D,"&lt;="&amp;D247,C:C,C247)+SUMIFS(N:N,D:D,"&lt;="&amp;D247,C:C,C247)+SUMIFS(P:P,D:D,"&lt;="&amp;D247,C:C,C247)&lt;0,0,SUMIFS('Shipments data'!L:L,'Shipments data'!F:F,'Supply planning data'!C247,'Shipments data'!A:A,'Supply planning data'!A247,'Shipments data'!O:O,"received",'Shipments data'!Q:Q,"&lt;"&amp;'Supply planning data'!D262,'Shipments data'!AC:AC,"&lt;"&amp;'Supply planning data'!D262)-SUMIFS(M:M,D:D,"&lt;="&amp;D247,C:C,C247)-SUMIFS(AA:AA,D:D,"&lt;="&amp;D247,C:C,C247)+SUMIFS(N:N,D:D,"&lt;="&amp;D247,C:C,C247)+SUMIFS(P:P,D:D,"&lt;="&amp;D247,C:C,C247))</f>
        <v>0</v>
      </c>
      <c r="AD247" s="98">
        <f t="shared" si="81"/>
        <v>0</v>
      </c>
      <c r="AE247" s="98">
        <f t="shared" si="75"/>
        <v>0</v>
      </c>
      <c r="AF247" s="205">
        <f t="shared" si="84"/>
        <v>0</v>
      </c>
      <c r="AG247" s="98">
        <f t="shared" si="82"/>
        <v>0</v>
      </c>
      <c r="AH247" s="97"/>
      <c r="AI247" s="311"/>
      <c r="AJ247" s="98">
        <f t="shared" si="74"/>
        <v>0</v>
      </c>
      <c r="AK247" s="233"/>
      <c r="AL247" s="98">
        <f>IF(SUMIFS('Shipments data'!L:L,'Shipments data'!F:F,'Supply planning data'!C247,'Shipments data'!A:A,'Supply planning data'!A247,'Shipments data'!O:O,"received",'Shipments data'!Q:Q,"&lt;"&amp;'Supply planning data'!D262,'Shipments data'!AC:AC,"&lt;"&amp;'Supply planning data'!D262)-SUMIFS(M:M,D:D,"&lt;="&amp;D247,C:C,C247)-SUMIFS(AJ:AJ,D:D,"&lt;="&amp;D247,C:C,C247)+SUMIFS(N:N,D:D,"&lt;="&amp;D247,C:C,C247)+SUMIFS(P:P,D:D,"&lt;="&amp;D247,C:C,C247)&lt;0,0,SUMIFS('Shipments data'!L:L,'Shipments data'!F:F,'Supply planning data'!C247,'Shipments data'!A:A,'Supply planning data'!A247,'Shipments data'!O:O,"received",'Shipments data'!Q:Q,"&lt;"&amp;'Supply planning data'!D262,'Shipments data'!AC:AC,"&lt;"&amp;'Supply planning data'!D262)-SUMIFS(M:M,D:D,"&lt;="&amp;D247,C:C,C247)-SUMIFS(AJ:AJ,D:D,"&lt;="&amp;D247,C:C,C247)+SUMIFS(N:N,D:D,"&lt;="&amp;D247,C:C,C247)+SUMIFS(P:P,D:D,"&lt;="&amp;D247,C:C,C247))</f>
        <v>0</v>
      </c>
      <c r="AM247" s="98">
        <f t="shared" si="83"/>
        <v>0</v>
      </c>
      <c r="AN247" s="98">
        <f t="shared" si="76"/>
        <v>0</v>
      </c>
      <c r="AO247" s="203" t="str">
        <f t="shared" si="86"/>
        <v/>
      </c>
    </row>
    <row r="248" spans="1:41" x14ac:dyDescent="0.25">
      <c r="A248" s="95" t="str">
        <f>Start!D$7</f>
        <v>Anyland</v>
      </c>
      <c r="B248" s="96" t="str">
        <f>VLOOKUP(A248,list!B:C,2,FALSE)</f>
        <v>ANY</v>
      </c>
      <c r="C248" s="90" t="str">
        <f>IF(Start!$C$20="","",Start!$C$20)</f>
        <v>Pfizer</v>
      </c>
      <c r="D248" s="296">
        <f t="shared" si="77"/>
        <v>44682</v>
      </c>
      <c r="E248" s="92" t="str">
        <f>IFERROR(VLOOKUP(C248,Start!C$15:D$31,2,FALSE),"No")</f>
        <v>Yes</v>
      </c>
      <c r="F248" s="92">
        <f t="shared" si="78"/>
        <v>110538</v>
      </c>
      <c r="G248" s="91"/>
      <c r="H248" s="97"/>
      <c r="I248" s="97"/>
      <c r="J248" s="98">
        <f t="shared" si="70"/>
        <v>0</v>
      </c>
      <c r="K248" s="97"/>
      <c r="L248" s="175" t="str">
        <f t="shared" si="71"/>
        <v/>
      </c>
      <c r="M248" s="98">
        <f t="shared" si="72"/>
        <v>0</v>
      </c>
      <c r="N248" s="97"/>
      <c r="O248" s="122"/>
      <c r="P248" s="97"/>
      <c r="Q248" s="122"/>
      <c r="R248" s="98">
        <f>SUMIFS('Shipments data'!L:L,'Shipments data'!F:F,'Supply planning data'!C248,'Shipments data'!A:A,'Supply planning data'!A248,'Shipments data'!Y:Y,'Supply planning data'!D248,'Shipments data'!O:O,"received", 'Shipments data'!N:N, "Public")</f>
        <v>0</v>
      </c>
      <c r="S248" s="98">
        <f>SUMIFS('Shipments data'!L:L,'Shipments data'!F:F,'Supply planning data'!C248,'Shipments data'!A:A,'Supply planning data'!A248,'Shipments data'!Y:Y,'Supply planning data'!D248,'Shipments data'!O:O,"ordered", 'Shipments data'!N:N, "Public")</f>
        <v>0</v>
      </c>
      <c r="T248" s="98">
        <f>IF(SUMIFS('Shipments data'!L:L,'Shipments data'!F:F,'Supply planning data'!C248,'Shipments data'!A:A,'Supply planning data'!A248,'Shipments data'!O:O,"received",'Shipments data'!Q:Q,"&lt;"&amp;'Supply planning data'!D263,'Shipments data'!AC:AC,"&lt;"&amp;'Supply planning data'!D263)-SUMIFS(M:M,D:D,"&lt;="&amp;D248,C:C,C248)+SUMIFS(N:N,D:D,"&lt;="&amp;D248,C:C,C248)+SUMIFS(P:P,D:D,"&lt;="&amp;D248,C:C,C248)&lt;0,0,SUMIFS('Shipments data'!L:L,'Shipments data'!F:F,'Supply planning data'!C248,'Shipments data'!A:A,'Supply planning data'!A248,'Shipments data'!O:O,"received",'Shipments data'!Q:Q,"&lt;"&amp;'Supply planning data'!D263,'Shipments data'!AC:AC,"&lt;"&amp;'Supply planning data'!D263)-SUMIFS(M:M,D:D,"&lt;="&amp;D248,C:C,C248)+SUMIFS(N:N,D:D,"&lt;="&amp;D248,C:C,C248)+SUMIFS(P:P,D:D,"&lt;="&amp;D248,C:C,C248))</f>
        <v>0</v>
      </c>
      <c r="U248" s="99">
        <f t="shared" si="79"/>
        <v>0</v>
      </c>
      <c r="V248" s="98">
        <f t="shared" si="87"/>
        <v>110538</v>
      </c>
      <c r="W248" s="203" t="str">
        <f t="shared" si="85"/>
        <v/>
      </c>
      <c r="X248" s="98">
        <f t="shared" si="80"/>
        <v>110538</v>
      </c>
      <c r="Y248" s="97">
        <f t="shared" si="88"/>
        <v>80000</v>
      </c>
      <c r="Z248" s="93"/>
      <c r="AA248" s="98">
        <f t="shared" si="73"/>
        <v>80000</v>
      </c>
      <c r="AB248" s="233"/>
      <c r="AC248" s="98">
        <f>IF(SUMIFS('Shipments data'!L:L,'Shipments data'!F:F,'Supply planning data'!C248,'Shipments data'!A:A,'Supply planning data'!A248,'Shipments data'!O:O,"received",'Shipments data'!Q:Q,"&lt;"&amp;'Supply planning data'!D263,'Shipments data'!AC:AC,"&lt;"&amp;'Supply planning data'!D263)-SUMIFS(M:M,D:D,"&lt;="&amp;D248,C:C,C248)-SUMIFS(AA:AA,D:D,"&lt;="&amp;D248,C:C,C248)+SUMIFS(N:N,D:D,"&lt;="&amp;D248,C:C,C248)+SUMIFS(P:P,D:D,"&lt;="&amp;D248,C:C,C248)&lt;0,0,SUMIFS('Shipments data'!L:L,'Shipments data'!F:F,'Supply planning data'!C248,'Shipments data'!A:A,'Supply planning data'!A248,'Shipments data'!O:O,"received",'Shipments data'!Q:Q,"&lt;"&amp;'Supply planning data'!D263,'Shipments data'!AC:AC,"&lt;"&amp;'Supply planning data'!D263)-SUMIFS(M:M,D:D,"&lt;="&amp;D248,C:C,C248)-SUMIFS(AA:AA,D:D,"&lt;="&amp;D248,C:C,C248)+SUMIFS(N:N,D:D,"&lt;="&amp;D248,C:C,C248)+SUMIFS(P:P,D:D,"&lt;="&amp;D248,C:C,C248))</f>
        <v>0</v>
      </c>
      <c r="AD248" s="98">
        <f>IF(AC248-AC233&lt;0,0,AC248-AC233)</f>
        <v>0</v>
      </c>
      <c r="AE248" s="98">
        <f t="shared" si="75"/>
        <v>30538</v>
      </c>
      <c r="AF248" s="205">
        <f t="shared" si="84"/>
        <v>0.38172499999999998</v>
      </c>
      <c r="AG248" s="98">
        <f t="shared" si="82"/>
        <v>110538</v>
      </c>
      <c r="AH248" s="97"/>
      <c r="AI248" s="311"/>
      <c r="AJ248" s="98">
        <f t="shared" si="74"/>
        <v>0</v>
      </c>
      <c r="AK248" s="233"/>
      <c r="AL248" s="98">
        <f>IF(SUMIFS('Shipments data'!L:L,'Shipments data'!F:F,'Supply planning data'!C248,'Shipments data'!A:A,'Supply planning data'!A248,'Shipments data'!O:O,"received",'Shipments data'!Q:Q,"&lt;"&amp;'Supply planning data'!D263,'Shipments data'!AC:AC,"&lt;"&amp;'Supply planning data'!D263)-SUMIFS(M:M,D:D,"&lt;="&amp;D248,C:C,C248)-SUMIFS(AJ:AJ,D:D,"&lt;="&amp;D248,C:C,C248)+SUMIFS(N:N,D:D,"&lt;="&amp;D248,C:C,C248)+SUMIFS(P:P,D:D,"&lt;="&amp;D248,C:C,C248)&lt;0,0,SUMIFS('Shipments data'!L:L,'Shipments data'!F:F,'Supply planning data'!C248,'Shipments data'!A:A,'Supply planning data'!A248,'Shipments data'!O:O,"received",'Shipments data'!Q:Q,"&lt;"&amp;'Supply planning data'!D263,'Shipments data'!AC:AC,"&lt;"&amp;'Supply planning data'!D263)-SUMIFS(M:M,D:D,"&lt;="&amp;D248,C:C,C248)-SUMIFS(AJ:AJ,D:D,"&lt;="&amp;D248,C:C,C248)+SUMIFS(N:N,D:D,"&lt;="&amp;D248,C:C,C248)+SUMIFS(P:P,D:D,"&lt;="&amp;D248,C:C,C248))</f>
        <v>0</v>
      </c>
      <c r="AM248" s="98">
        <f>IF(AL248-AL233&lt;0,0,AL248-AL233)</f>
        <v>0</v>
      </c>
      <c r="AN248" s="98">
        <f t="shared" si="76"/>
        <v>110538</v>
      </c>
      <c r="AO248" s="203" t="str">
        <f t="shared" si="86"/>
        <v/>
      </c>
    </row>
    <row r="249" spans="1:41" x14ac:dyDescent="0.25">
      <c r="A249" s="95" t="str">
        <f>Start!D$7</f>
        <v>Anyland</v>
      </c>
      <c r="B249" s="96" t="str">
        <f>VLOOKUP(A249,list!B:C,2,FALSE)</f>
        <v>ANY</v>
      </c>
      <c r="C249" s="90" t="str">
        <f>IF(Start!$C$21="","",Start!$C$21)</f>
        <v>Sinovac</v>
      </c>
      <c r="D249" s="296">
        <f t="shared" si="77"/>
        <v>44682</v>
      </c>
      <c r="E249" s="92" t="str">
        <f>IFERROR(VLOOKUP(C249,Start!C$15:D$31,2,FALSE),"No")</f>
        <v>No</v>
      </c>
      <c r="F249" s="92">
        <f t="shared" si="78"/>
        <v>0</v>
      </c>
      <c r="G249" s="91"/>
      <c r="H249" s="97"/>
      <c r="I249" s="97"/>
      <c r="J249" s="98">
        <f t="shared" si="70"/>
        <v>0</v>
      </c>
      <c r="K249" s="97"/>
      <c r="L249" s="175" t="str">
        <f t="shared" si="71"/>
        <v/>
      </c>
      <c r="M249" s="98">
        <f t="shared" si="72"/>
        <v>0</v>
      </c>
      <c r="N249" s="97"/>
      <c r="O249" s="122"/>
      <c r="P249" s="97"/>
      <c r="Q249" s="122"/>
      <c r="R249" s="98">
        <f>SUMIFS('Shipments data'!L:L,'Shipments data'!F:F,'Supply planning data'!C249,'Shipments data'!A:A,'Supply planning data'!A249,'Shipments data'!Y:Y,'Supply planning data'!D249,'Shipments data'!O:O,"received", 'Shipments data'!N:N, "Public")</f>
        <v>0</v>
      </c>
      <c r="S249" s="98">
        <f>SUMIFS('Shipments data'!L:L,'Shipments data'!F:F,'Supply planning data'!C249,'Shipments data'!A:A,'Supply planning data'!A249,'Shipments data'!Y:Y,'Supply planning data'!D249,'Shipments data'!O:O,"ordered", 'Shipments data'!N:N, "Public")</f>
        <v>0</v>
      </c>
      <c r="T249" s="98">
        <f>IF(SUMIFS('Shipments data'!L:L,'Shipments data'!F:F,'Supply planning data'!C249,'Shipments data'!A:A,'Supply planning data'!A249,'Shipments data'!O:O,"received",'Shipments data'!Q:Q,"&lt;"&amp;'Supply planning data'!D264,'Shipments data'!AC:AC,"&lt;"&amp;'Supply planning data'!D264)-SUMIFS(M:M,D:D,"&lt;="&amp;D249,C:C,C249)+SUMIFS(N:N,D:D,"&lt;="&amp;D249,C:C,C249)+SUMIFS(P:P,D:D,"&lt;="&amp;D249,C:C,C249)&lt;0,0,SUMIFS('Shipments data'!L:L,'Shipments data'!F:F,'Supply planning data'!C249,'Shipments data'!A:A,'Supply planning data'!A249,'Shipments data'!O:O,"received",'Shipments data'!Q:Q,"&lt;"&amp;'Supply planning data'!D264,'Shipments data'!AC:AC,"&lt;"&amp;'Supply planning data'!D264)-SUMIFS(M:M,D:D,"&lt;="&amp;D249,C:C,C249)+SUMIFS(N:N,D:D,"&lt;="&amp;D249,C:C,C249)+SUMIFS(P:P,D:D,"&lt;="&amp;D249,C:C,C249))</f>
        <v>0</v>
      </c>
      <c r="U249" s="99">
        <f t="shared" si="79"/>
        <v>0</v>
      </c>
      <c r="V249" s="98">
        <f t="shared" si="87"/>
        <v>0</v>
      </c>
      <c r="W249" s="203" t="str">
        <f t="shared" si="85"/>
        <v/>
      </c>
      <c r="X249" s="98">
        <f t="shared" si="80"/>
        <v>0</v>
      </c>
      <c r="Y249" s="97">
        <f t="shared" si="88"/>
        <v>80000</v>
      </c>
      <c r="Z249" s="93"/>
      <c r="AA249" s="98">
        <f t="shared" si="73"/>
        <v>80000</v>
      </c>
      <c r="AB249" s="233"/>
      <c r="AC249" s="98">
        <f>IF(SUMIFS('Shipments data'!L:L,'Shipments data'!F:F,'Supply planning data'!C249,'Shipments data'!A:A,'Supply planning data'!A249,'Shipments data'!O:O,"received",'Shipments data'!Q:Q,"&lt;"&amp;'Supply planning data'!D264,'Shipments data'!AC:AC,"&lt;"&amp;'Supply planning data'!D264)-SUMIFS(M:M,D:D,"&lt;="&amp;D249,C:C,C249)-SUMIFS(AA:AA,D:D,"&lt;="&amp;D249,C:C,C249)+SUMIFS(N:N,D:D,"&lt;="&amp;D249,C:C,C249)+SUMIFS(P:P,D:D,"&lt;="&amp;D249,C:C,C249)&lt;0,0,SUMIFS('Shipments data'!L:L,'Shipments data'!F:F,'Supply planning data'!C249,'Shipments data'!A:A,'Supply planning data'!A249,'Shipments data'!O:O,"received",'Shipments data'!Q:Q,"&lt;"&amp;'Supply planning data'!D264,'Shipments data'!AC:AC,"&lt;"&amp;'Supply planning data'!D264)-SUMIFS(M:M,D:D,"&lt;="&amp;D249,C:C,C249)-SUMIFS(AA:AA,D:D,"&lt;="&amp;D249,C:C,C249)+SUMIFS(N:N,D:D,"&lt;="&amp;D249,C:C,C249)+SUMIFS(P:P,D:D,"&lt;="&amp;D249,C:C,C249))</f>
        <v>0</v>
      </c>
      <c r="AD249" s="98">
        <f t="shared" si="81"/>
        <v>0</v>
      </c>
      <c r="AE249" s="98">
        <f t="shared" si="75"/>
        <v>0</v>
      </c>
      <c r="AF249" s="205">
        <f t="shared" si="84"/>
        <v>0</v>
      </c>
      <c r="AG249" s="98">
        <f t="shared" si="82"/>
        <v>0</v>
      </c>
      <c r="AH249" s="97"/>
      <c r="AI249" s="311"/>
      <c r="AJ249" s="98">
        <f t="shared" si="74"/>
        <v>0</v>
      </c>
      <c r="AK249" s="233"/>
      <c r="AL249" s="98">
        <f>IF(SUMIFS('Shipments data'!L:L,'Shipments data'!F:F,'Supply planning data'!C249,'Shipments data'!A:A,'Supply planning data'!A249,'Shipments data'!O:O,"received",'Shipments data'!Q:Q,"&lt;"&amp;'Supply planning data'!D264,'Shipments data'!AC:AC,"&lt;"&amp;'Supply planning data'!D264)-SUMIFS(M:M,D:D,"&lt;="&amp;D249,C:C,C249)-SUMIFS(AJ:AJ,D:D,"&lt;="&amp;D249,C:C,C249)+SUMIFS(N:N,D:D,"&lt;="&amp;D249,C:C,C249)+SUMIFS(P:P,D:D,"&lt;="&amp;D249,C:C,C249)&lt;0,0,SUMIFS('Shipments data'!L:L,'Shipments data'!F:F,'Supply planning data'!C249,'Shipments data'!A:A,'Supply planning data'!A249,'Shipments data'!O:O,"received",'Shipments data'!Q:Q,"&lt;"&amp;'Supply planning data'!D264,'Shipments data'!AC:AC,"&lt;"&amp;'Supply planning data'!D264)-SUMIFS(M:M,D:D,"&lt;="&amp;D249,C:C,C249)-SUMIFS(AJ:AJ,D:D,"&lt;="&amp;D249,C:C,C249)+SUMIFS(N:N,D:D,"&lt;="&amp;D249,C:C,C249)+SUMIFS(P:P,D:D,"&lt;="&amp;D249,C:C,C249))</f>
        <v>0</v>
      </c>
      <c r="AM249" s="98">
        <f t="shared" si="83"/>
        <v>0</v>
      </c>
      <c r="AN249" s="98">
        <f t="shared" si="76"/>
        <v>0</v>
      </c>
      <c r="AO249" s="203" t="str">
        <f t="shared" si="86"/>
        <v/>
      </c>
    </row>
    <row r="250" spans="1:41" hidden="1" x14ac:dyDescent="0.25">
      <c r="A250" s="95" t="str">
        <f>Start!D$7</f>
        <v>Anyland</v>
      </c>
      <c r="B250" s="96" t="str">
        <f>VLOOKUP(A250,list!B:C,2,FALSE)</f>
        <v>ANY</v>
      </c>
      <c r="C250" s="90" t="str">
        <f>IF(Start!$C$22="","",Start!$C$22)</f>
        <v/>
      </c>
      <c r="D250" s="296">
        <f t="shared" si="77"/>
        <v>44682</v>
      </c>
      <c r="E250" s="92" t="str">
        <f>IFERROR(VLOOKUP(C250,Start!C$15:D$31,2,FALSE),"No")</f>
        <v>No</v>
      </c>
      <c r="F250" s="92">
        <f t="shared" si="78"/>
        <v>0</v>
      </c>
      <c r="G250" s="91"/>
      <c r="H250" s="97"/>
      <c r="I250" s="97"/>
      <c r="J250" s="98">
        <f t="shared" si="70"/>
        <v>0</v>
      </c>
      <c r="K250" s="97"/>
      <c r="L250" s="175" t="str">
        <f t="shared" si="71"/>
        <v/>
      </c>
      <c r="M250" s="98">
        <f t="shared" si="72"/>
        <v>0</v>
      </c>
      <c r="N250" s="97"/>
      <c r="O250" s="122"/>
      <c r="P250" s="97"/>
      <c r="Q250" s="122"/>
      <c r="R250" s="98">
        <f>SUMIFS('Shipments data'!L:L,'Shipments data'!F:F,'Supply planning data'!C250,'Shipments data'!A:A,'Supply planning data'!A250,'Shipments data'!Y:Y,'Supply planning data'!D250,'Shipments data'!O:O,"received", 'Shipments data'!N:N, "Public")</f>
        <v>0</v>
      </c>
      <c r="S250" s="98">
        <f>SUMIFS('Shipments data'!L:L,'Shipments data'!F:F,'Supply planning data'!C250,'Shipments data'!A:A,'Supply planning data'!A250,'Shipments data'!Y:Y,'Supply planning data'!D250,'Shipments data'!O:O,"ordered", 'Shipments data'!N:N, "Public")</f>
        <v>0</v>
      </c>
      <c r="T250" s="98">
        <f>IF(SUMIFS('Shipments data'!L:L,'Shipments data'!F:F,'Supply planning data'!C250,'Shipments data'!A:A,'Supply planning data'!A250,'Shipments data'!O:O,"received",'Shipments data'!Q:Q,"&lt;"&amp;'Supply planning data'!D265,'Shipments data'!AC:AC,"&lt;"&amp;'Supply planning data'!D265)-SUMIFS(M:M,D:D,"&lt;="&amp;D250,C:C,C250)+SUMIFS(N:N,D:D,"&lt;="&amp;D250,C:C,C250)+SUMIFS(P:P,D:D,"&lt;="&amp;D250,C:C,C250)&lt;0,0,SUMIFS('Shipments data'!L:L,'Shipments data'!F:F,'Supply planning data'!C250,'Shipments data'!A:A,'Supply planning data'!A250,'Shipments data'!O:O,"received",'Shipments data'!Q:Q,"&lt;"&amp;'Supply planning data'!D265,'Shipments data'!AC:AC,"&lt;"&amp;'Supply planning data'!D265)-SUMIFS(M:M,D:D,"&lt;="&amp;D250,C:C,C250)+SUMIFS(N:N,D:D,"&lt;="&amp;D250,C:C,C250)+SUMIFS(P:P,D:D,"&lt;="&amp;D250,C:C,C250))</f>
        <v>0</v>
      </c>
      <c r="U250" s="99">
        <f t="shared" si="79"/>
        <v>0</v>
      </c>
      <c r="V250" s="98">
        <f t="shared" si="87"/>
        <v>0</v>
      </c>
      <c r="W250" s="203" t="str">
        <f t="shared" si="85"/>
        <v/>
      </c>
      <c r="X250" s="98">
        <f t="shared" si="80"/>
        <v>0</v>
      </c>
      <c r="Y250" s="97"/>
      <c r="Z250" s="93"/>
      <c r="AA250" s="98">
        <f t="shared" si="73"/>
        <v>0</v>
      </c>
      <c r="AB250" s="233"/>
      <c r="AC250" s="98">
        <f>IF(SUMIFS('Shipments data'!L:L,'Shipments data'!F:F,'Supply planning data'!C250,'Shipments data'!A:A,'Supply planning data'!A250,'Shipments data'!O:O,"received",'Shipments data'!Q:Q,"&lt;"&amp;'Supply planning data'!D265,'Shipments data'!AC:AC,"&lt;"&amp;'Supply planning data'!D265)-SUMIFS(M:M,D:D,"&lt;="&amp;D250,C:C,C250)-SUMIFS(AA:AA,D:D,"&lt;="&amp;D250,C:C,C250)+SUMIFS(N:N,D:D,"&lt;="&amp;D250,C:C,C250)+SUMIFS(P:P,D:D,"&lt;="&amp;D250,C:C,C250)&lt;0,0,SUMIFS('Shipments data'!L:L,'Shipments data'!F:F,'Supply planning data'!C250,'Shipments data'!A:A,'Supply planning data'!A250,'Shipments data'!O:O,"received",'Shipments data'!Q:Q,"&lt;"&amp;'Supply planning data'!D265,'Shipments data'!AC:AC,"&lt;"&amp;'Supply planning data'!D265)-SUMIFS(M:M,D:D,"&lt;="&amp;D250,C:C,C250)-SUMIFS(AA:AA,D:D,"&lt;="&amp;D250,C:C,C250)+SUMIFS(N:N,D:D,"&lt;="&amp;D250,C:C,C250)+SUMIFS(P:P,D:D,"&lt;="&amp;D250,C:C,C250))</f>
        <v>0</v>
      </c>
      <c r="AD250" s="98">
        <f t="shared" si="81"/>
        <v>0</v>
      </c>
      <c r="AE250" s="98">
        <f t="shared" si="75"/>
        <v>0</v>
      </c>
      <c r="AF250" s="205" t="str">
        <f t="shared" si="84"/>
        <v/>
      </c>
      <c r="AG250" s="98">
        <f t="shared" si="82"/>
        <v>0</v>
      </c>
      <c r="AH250" s="97"/>
      <c r="AI250" s="311"/>
      <c r="AJ250" s="98">
        <f t="shared" si="74"/>
        <v>0</v>
      </c>
      <c r="AK250" s="233"/>
      <c r="AL250" s="98">
        <f>IF(SUMIFS('Shipments data'!L:L,'Shipments data'!F:F,'Supply planning data'!C250,'Shipments data'!A:A,'Supply planning data'!A250,'Shipments data'!O:O,"received",'Shipments data'!Q:Q,"&lt;"&amp;'Supply planning data'!D265,'Shipments data'!AC:AC,"&lt;"&amp;'Supply planning data'!D265)-SUMIFS(M:M,D:D,"&lt;="&amp;D250,C:C,C250)-SUMIFS(AJ:AJ,D:D,"&lt;="&amp;D250,C:C,C250)+SUMIFS(N:N,D:D,"&lt;="&amp;D250,C:C,C250)+SUMIFS(P:P,D:D,"&lt;="&amp;D250,C:C,C250)&lt;0,0,SUMIFS('Shipments data'!L:L,'Shipments data'!F:F,'Supply planning data'!C250,'Shipments data'!A:A,'Supply planning data'!A250,'Shipments data'!O:O,"received",'Shipments data'!Q:Q,"&lt;"&amp;'Supply planning data'!D265,'Shipments data'!AC:AC,"&lt;"&amp;'Supply planning data'!D265)-SUMIFS(M:M,D:D,"&lt;="&amp;D250,C:C,C250)-SUMIFS(AJ:AJ,D:D,"&lt;="&amp;D250,C:C,C250)+SUMIFS(N:N,D:D,"&lt;="&amp;D250,C:C,C250)+SUMIFS(P:P,D:D,"&lt;="&amp;D250,C:C,C250))</f>
        <v>0</v>
      </c>
      <c r="AM250" s="98">
        <f t="shared" si="83"/>
        <v>0</v>
      </c>
      <c r="AN250" s="98">
        <f t="shared" si="76"/>
        <v>0</v>
      </c>
      <c r="AO250" s="203" t="str">
        <f t="shared" si="86"/>
        <v/>
      </c>
    </row>
    <row r="251" spans="1:41" hidden="1" x14ac:dyDescent="0.25">
      <c r="A251" s="95" t="str">
        <f>Start!D$7</f>
        <v>Anyland</v>
      </c>
      <c r="B251" s="96" t="str">
        <f>VLOOKUP(A251,list!B:C,2,FALSE)</f>
        <v>ANY</v>
      </c>
      <c r="C251" s="90" t="str">
        <f>IF(Start!$C$23="","",Start!$C$23)</f>
        <v/>
      </c>
      <c r="D251" s="296">
        <f t="shared" si="77"/>
        <v>44682</v>
      </c>
      <c r="E251" s="92" t="str">
        <f>IFERROR(VLOOKUP(C251,Start!C$15:D$31,2,FALSE),"No")</f>
        <v>No</v>
      </c>
      <c r="F251" s="92">
        <f t="shared" si="78"/>
        <v>0</v>
      </c>
      <c r="G251" s="91"/>
      <c r="H251" s="97"/>
      <c r="I251" s="97"/>
      <c r="J251" s="98">
        <f t="shared" si="70"/>
        <v>0</v>
      </c>
      <c r="K251" s="97"/>
      <c r="L251" s="175" t="str">
        <f t="shared" si="71"/>
        <v/>
      </c>
      <c r="M251" s="98">
        <f t="shared" si="72"/>
        <v>0</v>
      </c>
      <c r="N251" s="97"/>
      <c r="O251" s="122"/>
      <c r="P251" s="97"/>
      <c r="Q251" s="122"/>
      <c r="R251" s="98">
        <f>SUMIFS('Shipments data'!L:L,'Shipments data'!F:F,'Supply planning data'!C251,'Shipments data'!A:A,'Supply planning data'!A251,'Shipments data'!Y:Y,'Supply planning data'!D251,'Shipments data'!O:O,"received", 'Shipments data'!N:N, "Public")</f>
        <v>0</v>
      </c>
      <c r="S251" s="98">
        <f>SUMIFS('Shipments data'!L:L,'Shipments data'!F:F,'Supply planning data'!C251,'Shipments data'!A:A,'Supply planning data'!A251,'Shipments data'!Y:Y,'Supply planning data'!D251,'Shipments data'!O:O,"ordered", 'Shipments data'!N:N, "Public")</f>
        <v>0</v>
      </c>
      <c r="T251" s="98">
        <f>IF(SUMIFS('Shipments data'!L:L,'Shipments data'!F:F,'Supply planning data'!C251,'Shipments data'!A:A,'Supply planning data'!A251,'Shipments data'!O:O,"received",'Shipments data'!Q:Q,"&lt;"&amp;'Supply planning data'!D266,'Shipments data'!AC:AC,"&lt;"&amp;'Supply planning data'!D266)-SUMIFS(M:M,D:D,"&lt;="&amp;D251,C:C,C251)+SUMIFS(N:N,D:D,"&lt;="&amp;D251,C:C,C251)+SUMIFS(P:P,D:D,"&lt;="&amp;D251,C:C,C251)&lt;0,0,SUMIFS('Shipments data'!L:L,'Shipments data'!F:F,'Supply planning data'!C251,'Shipments data'!A:A,'Supply planning data'!A251,'Shipments data'!O:O,"received",'Shipments data'!Q:Q,"&lt;"&amp;'Supply planning data'!D266,'Shipments data'!AC:AC,"&lt;"&amp;'Supply planning data'!D266)-SUMIFS(M:M,D:D,"&lt;="&amp;D251,C:C,C251)+SUMIFS(N:N,D:D,"&lt;="&amp;D251,C:C,C251)+SUMIFS(P:P,D:D,"&lt;="&amp;D251,C:C,C251))</f>
        <v>0</v>
      </c>
      <c r="U251" s="99">
        <f t="shared" si="79"/>
        <v>0</v>
      </c>
      <c r="V251" s="98">
        <f t="shared" si="87"/>
        <v>0</v>
      </c>
      <c r="W251" s="203" t="str">
        <f t="shared" si="85"/>
        <v/>
      </c>
      <c r="X251" s="98">
        <f t="shared" si="80"/>
        <v>0</v>
      </c>
      <c r="Y251" s="97"/>
      <c r="Z251" s="93"/>
      <c r="AA251" s="98">
        <f t="shared" si="73"/>
        <v>0</v>
      </c>
      <c r="AB251" s="233"/>
      <c r="AC251" s="98">
        <f>IF(SUMIFS('Shipments data'!L:L,'Shipments data'!F:F,'Supply planning data'!C251,'Shipments data'!A:A,'Supply planning data'!A251,'Shipments data'!O:O,"received",'Shipments data'!Q:Q,"&lt;"&amp;'Supply planning data'!D266,'Shipments data'!AC:AC,"&lt;"&amp;'Supply planning data'!D266)-SUMIFS(M:M,D:D,"&lt;="&amp;D251,C:C,C251)-SUMIFS(AA:AA,D:D,"&lt;="&amp;D251,C:C,C251)+SUMIFS(N:N,D:D,"&lt;="&amp;D251,C:C,C251)+SUMIFS(P:P,D:D,"&lt;="&amp;D251,C:C,C251)&lt;0,0,SUMIFS('Shipments data'!L:L,'Shipments data'!F:F,'Supply planning data'!C251,'Shipments data'!A:A,'Supply planning data'!A251,'Shipments data'!O:O,"received",'Shipments data'!Q:Q,"&lt;"&amp;'Supply planning data'!D266,'Shipments data'!AC:AC,"&lt;"&amp;'Supply planning data'!D266)-SUMIFS(M:M,D:D,"&lt;="&amp;D251,C:C,C251)-SUMIFS(AA:AA,D:D,"&lt;="&amp;D251,C:C,C251)+SUMIFS(N:N,D:D,"&lt;="&amp;D251,C:C,C251)+SUMIFS(P:P,D:D,"&lt;="&amp;D251,C:C,C251))</f>
        <v>0</v>
      </c>
      <c r="AD251" s="98">
        <f t="shared" si="81"/>
        <v>0</v>
      </c>
      <c r="AE251" s="98">
        <f t="shared" si="75"/>
        <v>0</v>
      </c>
      <c r="AF251" s="205" t="str">
        <f t="shared" si="84"/>
        <v/>
      </c>
      <c r="AG251" s="98">
        <f t="shared" si="82"/>
        <v>0</v>
      </c>
      <c r="AH251" s="97"/>
      <c r="AI251" s="311"/>
      <c r="AJ251" s="98">
        <f t="shared" si="74"/>
        <v>0</v>
      </c>
      <c r="AK251" s="233"/>
      <c r="AL251" s="98">
        <f>IF(SUMIFS('Shipments data'!L:L,'Shipments data'!F:F,'Supply planning data'!C251,'Shipments data'!A:A,'Supply planning data'!A251,'Shipments data'!O:O,"received",'Shipments data'!Q:Q,"&lt;"&amp;'Supply planning data'!D266,'Shipments data'!AC:AC,"&lt;"&amp;'Supply planning data'!D266)-SUMIFS(M:M,D:D,"&lt;="&amp;D251,C:C,C251)-SUMIFS(AJ:AJ,D:D,"&lt;="&amp;D251,C:C,C251)+SUMIFS(N:N,D:D,"&lt;="&amp;D251,C:C,C251)+SUMIFS(P:P,D:D,"&lt;="&amp;D251,C:C,C251)&lt;0,0,SUMIFS('Shipments data'!L:L,'Shipments data'!F:F,'Supply planning data'!C251,'Shipments data'!A:A,'Supply planning data'!A251,'Shipments data'!O:O,"received",'Shipments data'!Q:Q,"&lt;"&amp;'Supply planning data'!D266,'Shipments data'!AC:AC,"&lt;"&amp;'Supply planning data'!D266)-SUMIFS(M:M,D:D,"&lt;="&amp;D251,C:C,C251)-SUMIFS(AJ:AJ,D:D,"&lt;="&amp;D251,C:C,C251)+SUMIFS(N:N,D:D,"&lt;="&amp;D251,C:C,C251)+SUMIFS(P:P,D:D,"&lt;="&amp;D251,C:C,C251))</f>
        <v>0</v>
      </c>
      <c r="AM251" s="98">
        <f t="shared" si="83"/>
        <v>0</v>
      </c>
      <c r="AN251" s="98">
        <f t="shared" si="76"/>
        <v>0</v>
      </c>
      <c r="AO251" s="203" t="str">
        <f t="shared" si="86"/>
        <v/>
      </c>
    </row>
    <row r="252" spans="1:41" hidden="1" x14ac:dyDescent="0.25">
      <c r="A252" s="95" t="str">
        <f>Start!D$7</f>
        <v>Anyland</v>
      </c>
      <c r="B252" s="96" t="str">
        <f>VLOOKUP(A252,list!B:C,2,FALSE)</f>
        <v>ANY</v>
      </c>
      <c r="C252" s="90" t="str">
        <f>IF(Start!$C$24="","",Start!$C$24)</f>
        <v/>
      </c>
      <c r="D252" s="296">
        <f t="shared" si="77"/>
        <v>44682</v>
      </c>
      <c r="E252" s="92" t="str">
        <f>IFERROR(VLOOKUP(C252,Start!C$15:D$31,2,FALSE),"No")</f>
        <v>No</v>
      </c>
      <c r="F252" s="92">
        <f t="shared" si="78"/>
        <v>0</v>
      </c>
      <c r="G252" s="91"/>
      <c r="H252" s="97"/>
      <c r="I252" s="97"/>
      <c r="J252" s="98">
        <f t="shared" si="70"/>
        <v>0</v>
      </c>
      <c r="K252" s="97"/>
      <c r="L252" s="175" t="str">
        <f t="shared" si="71"/>
        <v/>
      </c>
      <c r="M252" s="98">
        <f t="shared" si="72"/>
        <v>0</v>
      </c>
      <c r="N252" s="97"/>
      <c r="O252" s="122"/>
      <c r="P252" s="97"/>
      <c r="Q252" s="122"/>
      <c r="R252" s="98">
        <f>SUMIFS('Shipments data'!L:L,'Shipments data'!F:F,'Supply planning data'!C252,'Shipments data'!A:A,'Supply planning data'!A252,'Shipments data'!Y:Y,'Supply planning data'!D252,'Shipments data'!O:O,"received", 'Shipments data'!N:N, "Public")</f>
        <v>0</v>
      </c>
      <c r="S252" s="98">
        <f>SUMIFS('Shipments data'!L:L,'Shipments data'!F:F,'Supply planning data'!C252,'Shipments data'!A:A,'Supply planning data'!A252,'Shipments data'!Y:Y,'Supply planning data'!D252,'Shipments data'!O:O,"ordered", 'Shipments data'!N:N, "Public")</f>
        <v>0</v>
      </c>
      <c r="T252" s="98">
        <f>IF(SUMIFS('Shipments data'!L:L,'Shipments data'!F:F,'Supply planning data'!C252,'Shipments data'!A:A,'Supply planning data'!A252,'Shipments data'!O:O,"received",'Shipments data'!Q:Q,"&lt;"&amp;'Supply planning data'!D267,'Shipments data'!AC:AC,"&lt;"&amp;'Supply planning data'!D267)-SUMIFS(M:M,D:D,"&lt;="&amp;D252,C:C,C252)+SUMIFS(N:N,D:D,"&lt;="&amp;D252,C:C,C252)+SUMIFS(P:P,D:D,"&lt;="&amp;D252,C:C,C252)&lt;0,0,SUMIFS('Shipments data'!L:L,'Shipments data'!F:F,'Supply planning data'!C252,'Shipments data'!A:A,'Supply planning data'!A252,'Shipments data'!O:O,"received",'Shipments data'!Q:Q,"&lt;"&amp;'Supply planning data'!D267,'Shipments data'!AC:AC,"&lt;"&amp;'Supply planning data'!D267)-SUMIFS(M:M,D:D,"&lt;="&amp;D252,C:C,C252)+SUMIFS(N:N,D:D,"&lt;="&amp;D252,C:C,C252)+SUMIFS(P:P,D:D,"&lt;="&amp;D252,C:C,C252))</f>
        <v>0</v>
      </c>
      <c r="U252" s="99">
        <f t="shared" si="79"/>
        <v>0</v>
      </c>
      <c r="V252" s="98">
        <f t="shared" si="87"/>
        <v>0</v>
      </c>
      <c r="W252" s="203" t="str">
        <f t="shared" si="85"/>
        <v/>
      </c>
      <c r="X252" s="98">
        <f t="shared" si="80"/>
        <v>0</v>
      </c>
      <c r="Y252" s="97"/>
      <c r="Z252" s="93"/>
      <c r="AA252" s="98">
        <f t="shared" si="73"/>
        <v>0</v>
      </c>
      <c r="AB252" s="233"/>
      <c r="AC252" s="98">
        <f>IF(SUMIFS('Shipments data'!L:L,'Shipments data'!F:F,'Supply planning data'!C252,'Shipments data'!A:A,'Supply planning data'!A252,'Shipments data'!O:O,"received",'Shipments data'!Q:Q,"&lt;"&amp;'Supply planning data'!D267,'Shipments data'!AC:AC,"&lt;"&amp;'Supply planning data'!D267)-SUMIFS(M:M,D:D,"&lt;="&amp;D252,C:C,C252)-SUMIFS(AA:AA,D:D,"&lt;="&amp;D252,C:C,C252)+SUMIFS(N:N,D:D,"&lt;="&amp;D252,C:C,C252)+SUMIFS(P:P,D:D,"&lt;="&amp;D252,C:C,C252)&lt;0,0,SUMIFS('Shipments data'!L:L,'Shipments data'!F:F,'Supply planning data'!C252,'Shipments data'!A:A,'Supply planning data'!A252,'Shipments data'!O:O,"received",'Shipments data'!Q:Q,"&lt;"&amp;'Supply planning data'!D267,'Shipments data'!AC:AC,"&lt;"&amp;'Supply planning data'!D267)-SUMIFS(M:M,D:D,"&lt;="&amp;D252,C:C,C252)-SUMIFS(AA:AA,D:D,"&lt;="&amp;D252,C:C,C252)+SUMIFS(N:N,D:D,"&lt;="&amp;D252,C:C,C252)+SUMIFS(P:P,D:D,"&lt;="&amp;D252,C:C,C252))</f>
        <v>0</v>
      </c>
      <c r="AD252" s="98">
        <f t="shared" si="81"/>
        <v>0</v>
      </c>
      <c r="AE252" s="98">
        <f t="shared" si="75"/>
        <v>0</v>
      </c>
      <c r="AF252" s="205" t="str">
        <f t="shared" si="84"/>
        <v/>
      </c>
      <c r="AG252" s="98">
        <f t="shared" si="82"/>
        <v>0</v>
      </c>
      <c r="AH252" s="97"/>
      <c r="AI252" s="311"/>
      <c r="AJ252" s="98">
        <f t="shared" si="74"/>
        <v>0</v>
      </c>
      <c r="AK252" s="233"/>
      <c r="AL252" s="98">
        <f>IF(SUMIFS('Shipments data'!L:L,'Shipments data'!F:F,'Supply planning data'!C252,'Shipments data'!A:A,'Supply planning data'!A252,'Shipments data'!O:O,"received",'Shipments data'!Q:Q,"&lt;"&amp;'Supply planning data'!D267,'Shipments data'!AC:AC,"&lt;"&amp;'Supply planning data'!D267)-SUMIFS(M:M,D:D,"&lt;="&amp;D252,C:C,C252)-SUMIFS(AJ:AJ,D:D,"&lt;="&amp;D252,C:C,C252)+SUMIFS(N:N,D:D,"&lt;="&amp;D252,C:C,C252)+SUMIFS(P:P,D:D,"&lt;="&amp;D252,C:C,C252)&lt;0,0,SUMIFS('Shipments data'!L:L,'Shipments data'!F:F,'Supply planning data'!C252,'Shipments data'!A:A,'Supply planning data'!A252,'Shipments data'!O:O,"received",'Shipments data'!Q:Q,"&lt;"&amp;'Supply planning data'!D267,'Shipments data'!AC:AC,"&lt;"&amp;'Supply planning data'!D267)-SUMIFS(M:M,D:D,"&lt;="&amp;D252,C:C,C252)-SUMIFS(AJ:AJ,D:D,"&lt;="&amp;D252,C:C,C252)+SUMIFS(N:N,D:D,"&lt;="&amp;D252,C:C,C252)+SUMIFS(P:P,D:D,"&lt;="&amp;D252,C:C,C252))</f>
        <v>0</v>
      </c>
      <c r="AM252" s="98">
        <f t="shared" si="83"/>
        <v>0</v>
      </c>
      <c r="AN252" s="98">
        <f t="shared" si="76"/>
        <v>0</v>
      </c>
      <c r="AO252" s="203" t="str">
        <f t="shared" si="86"/>
        <v/>
      </c>
    </row>
    <row r="253" spans="1:41" hidden="1" x14ac:dyDescent="0.25">
      <c r="A253" s="95" t="str">
        <f>Start!D$7</f>
        <v>Anyland</v>
      </c>
      <c r="B253" s="96" t="str">
        <f>VLOOKUP(A253,list!B:C,2,FALSE)</f>
        <v>ANY</v>
      </c>
      <c r="C253" s="90" t="str">
        <f>IF(Start!$C$25="","",Start!$C$25)</f>
        <v/>
      </c>
      <c r="D253" s="296">
        <f t="shared" si="77"/>
        <v>44682</v>
      </c>
      <c r="E253" s="92" t="str">
        <f>IFERROR(VLOOKUP(C253,Start!C$15:D$31,2,FALSE),"No")</f>
        <v>No</v>
      </c>
      <c r="F253" s="92">
        <f t="shared" si="78"/>
        <v>0</v>
      </c>
      <c r="G253" s="91"/>
      <c r="H253" s="97"/>
      <c r="I253" s="97"/>
      <c r="J253" s="98">
        <f t="shared" si="70"/>
        <v>0</v>
      </c>
      <c r="K253" s="97"/>
      <c r="L253" s="175" t="str">
        <f t="shared" si="71"/>
        <v/>
      </c>
      <c r="M253" s="98">
        <f t="shared" si="72"/>
        <v>0</v>
      </c>
      <c r="N253" s="97"/>
      <c r="O253" s="122"/>
      <c r="P253" s="97"/>
      <c r="Q253" s="122"/>
      <c r="R253" s="98">
        <f>SUMIFS('Shipments data'!L:L,'Shipments data'!F:F,'Supply planning data'!C253,'Shipments data'!A:A,'Supply planning data'!A253,'Shipments data'!Y:Y,'Supply planning data'!D253,'Shipments data'!O:O,"received", 'Shipments data'!N:N, "Public")</f>
        <v>0</v>
      </c>
      <c r="S253" s="98">
        <f>SUMIFS('Shipments data'!L:L,'Shipments data'!F:F,'Supply planning data'!C253,'Shipments data'!A:A,'Supply planning data'!A253,'Shipments data'!Y:Y,'Supply planning data'!D253,'Shipments data'!O:O,"ordered", 'Shipments data'!N:N, "Public")</f>
        <v>0</v>
      </c>
      <c r="T253" s="98">
        <f>IF(SUMIFS('Shipments data'!L:L,'Shipments data'!F:F,'Supply planning data'!C253,'Shipments data'!A:A,'Supply planning data'!A253,'Shipments data'!O:O,"received",'Shipments data'!Q:Q,"&lt;"&amp;'Supply planning data'!D268,'Shipments data'!AC:AC,"&lt;"&amp;'Supply planning data'!D268)-SUMIFS(M:M,D:D,"&lt;="&amp;D253,C:C,C253)+SUMIFS(N:N,D:D,"&lt;="&amp;D253,C:C,C253)+SUMIFS(P:P,D:D,"&lt;="&amp;D253,C:C,C253)&lt;0,0,SUMIFS('Shipments data'!L:L,'Shipments data'!F:F,'Supply planning data'!C253,'Shipments data'!A:A,'Supply planning data'!A253,'Shipments data'!O:O,"received",'Shipments data'!Q:Q,"&lt;"&amp;'Supply planning data'!D268,'Shipments data'!AC:AC,"&lt;"&amp;'Supply planning data'!D268)-SUMIFS(M:M,D:D,"&lt;="&amp;D253,C:C,C253)+SUMIFS(N:N,D:D,"&lt;="&amp;D253,C:C,C253)+SUMIFS(P:P,D:D,"&lt;="&amp;D253,C:C,C253))</f>
        <v>0</v>
      </c>
      <c r="U253" s="99">
        <f t="shared" si="79"/>
        <v>0</v>
      </c>
      <c r="V253" s="98">
        <f t="shared" si="87"/>
        <v>0</v>
      </c>
      <c r="W253" s="203" t="str">
        <f t="shared" si="85"/>
        <v/>
      </c>
      <c r="X253" s="98">
        <f t="shared" si="80"/>
        <v>0</v>
      </c>
      <c r="Y253" s="97"/>
      <c r="Z253" s="93"/>
      <c r="AA253" s="98">
        <f t="shared" si="73"/>
        <v>0</v>
      </c>
      <c r="AB253" s="233"/>
      <c r="AC253" s="98">
        <f>IF(SUMIFS('Shipments data'!L:L,'Shipments data'!F:F,'Supply planning data'!C253,'Shipments data'!A:A,'Supply planning data'!A253,'Shipments data'!O:O,"received",'Shipments data'!Q:Q,"&lt;"&amp;'Supply planning data'!D268,'Shipments data'!AC:AC,"&lt;"&amp;'Supply planning data'!D268)-SUMIFS(M:M,D:D,"&lt;="&amp;D253,C:C,C253)-SUMIFS(AA:AA,D:D,"&lt;="&amp;D253,C:C,C253)+SUMIFS(N:N,D:D,"&lt;="&amp;D253,C:C,C253)+SUMIFS(P:P,D:D,"&lt;="&amp;D253,C:C,C253)&lt;0,0,SUMIFS('Shipments data'!L:L,'Shipments data'!F:F,'Supply planning data'!C253,'Shipments data'!A:A,'Supply planning data'!A253,'Shipments data'!O:O,"received",'Shipments data'!Q:Q,"&lt;"&amp;'Supply planning data'!D268,'Shipments data'!AC:AC,"&lt;"&amp;'Supply planning data'!D268)-SUMIFS(M:M,D:D,"&lt;="&amp;D253,C:C,C253)-SUMIFS(AA:AA,D:D,"&lt;="&amp;D253,C:C,C253)+SUMIFS(N:N,D:D,"&lt;="&amp;D253,C:C,C253)+SUMIFS(P:P,D:D,"&lt;="&amp;D253,C:C,C253))</f>
        <v>0</v>
      </c>
      <c r="AD253" s="98">
        <f t="shared" si="81"/>
        <v>0</v>
      </c>
      <c r="AE253" s="98">
        <f t="shared" si="75"/>
        <v>0</v>
      </c>
      <c r="AF253" s="205" t="str">
        <f t="shared" si="84"/>
        <v/>
      </c>
      <c r="AG253" s="98">
        <f t="shared" si="82"/>
        <v>0</v>
      </c>
      <c r="AH253" s="97"/>
      <c r="AI253" s="311"/>
      <c r="AJ253" s="98">
        <f t="shared" si="74"/>
        <v>0</v>
      </c>
      <c r="AK253" s="233"/>
      <c r="AL253" s="98">
        <f>IF(SUMIFS('Shipments data'!L:L,'Shipments data'!F:F,'Supply planning data'!C253,'Shipments data'!A:A,'Supply planning data'!A253,'Shipments data'!O:O,"received",'Shipments data'!Q:Q,"&lt;"&amp;'Supply planning data'!D268,'Shipments data'!AC:AC,"&lt;"&amp;'Supply planning data'!D268)-SUMIFS(M:M,D:D,"&lt;="&amp;D253,C:C,C253)-SUMIFS(AJ:AJ,D:D,"&lt;="&amp;D253,C:C,C253)+SUMIFS(N:N,D:D,"&lt;="&amp;D253,C:C,C253)+SUMIFS(P:P,D:D,"&lt;="&amp;D253,C:C,C253)&lt;0,0,SUMIFS('Shipments data'!L:L,'Shipments data'!F:F,'Supply planning data'!C253,'Shipments data'!A:A,'Supply planning data'!A253,'Shipments data'!O:O,"received",'Shipments data'!Q:Q,"&lt;"&amp;'Supply planning data'!D268,'Shipments data'!AC:AC,"&lt;"&amp;'Supply planning data'!D268)-SUMIFS(M:M,D:D,"&lt;="&amp;D253,C:C,C253)-SUMIFS(AJ:AJ,D:D,"&lt;="&amp;D253,C:C,C253)+SUMIFS(N:N,D:D,"&lt;="&amp;D253,C:C,C253)+SUMIFS(P:P,D:D,"&lt;="&amp;D253,C:C,C253))</f>
        <v>0</v>
      </c>
      <c r="AM253" s="98">
        <f t="shared" si="83"/>
        <v>0</v>
      </c>
      <c r="AN253" s="98">
        <f t="shared" si="76"/>
        <v>0</v>
      </c>
      <c r="AO253" s="203" t="str">
        <f t="shared" si="86"/>
        <v/>
      </c>
    </row>
    <row r="254" spans="1:41" hidden="1" x14ac:dyDescent="0.25">
      <c r="A254" s="95" t="str">
        <f>Start!D$7</f>
        <v>Anyland</v>
      </c>
      <c r="B254" s="96" t="str">
        <f>VLOOKUP(A254,list!B:C,2,FALSE)</f>
        <v>ANY</v>
      </c>
      <c r="C254" s="90" t="str">
        <f>IF(Start!$C$26="","",Start!$C$26)</f>
        <v/>
      </c>
      <c r="D254" s="296">
        <f t="shared" si="77"/>
        <v>44682</v>
      </c>
      <c r="E254" s="92" t="str">
        <f>IFERROR(VLOOKUP(C254,Start!C$15:D$31,2,FALSE),"No")</f>
        <v>No</v>
      </c>
      <c r="F254" s="92">
        <f t="shared" si="78"/>
        <v>0</v>
      </c>
      <c r="G254" s="91"/>
      <c r="H254" s="97"/>
      <c r="I254" s="97"/>
      <c r="J254" s="98">
        <f t="shared" si="70"/>
        <v>0</v>
      </c>
      <c r="K254" s="97"/>
      <c r="L254" s="175" t="str">
        <f t="shared" si="71"/>
        <v/>
      </c>
      <c r="M254" s="98">
        <f t="shared" si="72"/>
        <v>0</v>
      </c>
      <c r="N254" s="97"/>
      <c r="O254" s="122"/>
      <c r="P254" s="97"/>
      <c r="Q254" s="122"/>
      <c r="R254" s="98">
        <f>SUMIFS('Shipments data'!L:L,'Shipments data'!F:F,'Supply planning data'!C254,'Shipments data'!A:A,'Supply planning data'!A254,'Shipments data'!Y:Y,'Supply planning data'!D254,'Shipments data'!O:O,"received", 'Shipments data'!N:N, "Public")</f>
        <v>0</v>
      </c>
      <c r="S254" s="98">
        <f>SUMIFS('Shipments data'!L:L,'Shipments data'!F:F,'Supply planning data'!C254,'Shipments data'!A:A,'Supply planning data'!A254,'Shipments data'!Y:Y,'Supply planning data'!D254,'Shipments data'!O:O,"ordered", 'Shipments data'!N:N, "Public")</f>
        <v>0</v>
      </c>
      <c r="T254" s="98">
        <f>IF(SUMIFS('Shipments data'!L:L,'Shipments data'!F:F,'Supply planning data'!C254,'Shipments data'!A:A,'Supply planning data'!A254,'Shipments data'!O:O,"received",'Shipments data'!Q:Q,"&lt;"&amp;'Supply planning data'!D269,'Shipments data'!AC:AC,"&lt;"&amp;'Supply planning data'!D269)-SUMIFS(M:M,D:D,"&lt;="&amp;D254,C:C,C254)+SUMIFS(N:N,D:D,"&lt;="&amp;D254,C:C,C254)+SUMIFS(P:P,D:D,"&lt;="&amp;D254,C:C,C254)&lt;0,0,SUMIFS('Shipments data'!L:L,'Shipments data'!F:F,'Supply planning data'!C254,'Shipments data'!A:A,'Supply planning data'!A254,'Shipments data'!O:O,"received",'Shipments data'!Q:Q,"&lt;"&amp;'Supply planning data'!D269,'Shipments data'!AC:AC,"&lt;"&amp;'Supply planning data'!D269)-SUMIFS(M:M,D:D,"&lt;="&amp;D254,C:C,C254)+SUMIFS(N:N,D:D,"&lt;="&amp;D254,C:C,C254)+SUMIFS(P:P,D:D,"&lt;="&amp;D254,C:C,C254))</f>
        <v>0</v>
      </c>
      <c r="U254" s="99">
        <f t="shared" si="79"/>
        <v>0</v>
      </c>
      <c r="V254" s="98">
        <f t="shared" si="87"/>
        <v>0</v>
      </c>
      <c r="W254" s="203" t="str">
        <f t="shared" si="85"/>
        <v/>
      </c>
      <c r="X254" s="98">
        <f t="shared" si="80"/>
        <v>0</v>
      </c>
      <c r="Y254" s="97"/>
      <c r="Z254" s="93"/>
      <c r="AA254" s="98">
        <f t="shared" si="73"/>
        <v>0</v>
      </c>
      <c r="AB254" s="233"/>
      <c r="AC254" s="98">
        <f>IF(SUMIFS('Shipments data'!L:L,'Shipments data'!F:F,'Supply planning data'!C254,'Shipments data'!A:A,'Supply planning data'!A254,'Shipments data'!O:O,"received",'Shipments data'!Q:Q,"&lt;"&amp;'Supply planning data'!D269,'Shipments data'!AC:AC,"&lt;"&amp;'Supply planning data'!D269)-SUMIFS(M:M,D:D,"&lt;="&amp;D254,C:C,C254)-SUMIFS(AA:AA,D:D,"&lt;="&amp;D254,C:C,C254)+SUMIFS(N:N,D:D,"&lt;="&amp;D254,C:C,C254)+SUMIFS(P:P,D:D,"&lt;="&amp;D254,C:C,C254)&lt;0,0,SUMIFS('Shipments data'!L:L,'Shipments data'!F:F,'Supply planning data'!C254,'Shipments data'!A:A,'Supply planning data'!A254,'Shipments data'!O:O,"received",'Shipments data'!Q:Q,"&lt;"&amp;'Supply planning data'!D269,'Shipments data'!AC:AC,"&lt;"&amp;'Supply planning data'!D269)-SUMIFS(M:M,D:D,"&lt;="&amp;D254,C:C,C254)-SUMIFS(AA:AA,D:D,"&lt;="&amp;D254,C:C,C254)+SUMIFS(N:N,D:D,"&lt;="&amp;D254,C:C,C254)+SUMIFS(P:P,D:D,"&lt;="&amp;D254,C:C,C254))</f>
        <v>0</v>
      </c>
      <c r="AD254" s="98">
        <f t="shared" si="81"/>
        <v>0</v>
      </c>
      <c r="AE254" s="98">
        <f t="shared" si="75"/>
        <v>0</v>
      </c>
      <c r="AF254" s="205" t="str">
        <f t="shared" si="84"/>
        <v/>
      </c>
      <c r="AG254" s="98">
        <f t="shared" si="82"/>
        <v>0</v>
      </c>
      <c r="AH254" s="97"/>
      <c r="AI254" s="311"/>
      <c r="AJ254" s="98">
        <f t="shared" si="74"/>
        <v>0</v>
      </c>
      <c r="AK254" s="233"/>
      <c r="AL254" s="98">
        <f>IF(SUMIFS('Shipments data'!L:L,'Shipments data'!F:F,'Supply planning data'!C254,'Shipments data'!A:A,'Supply planning data'!A254,'Shipments data'!O:O,"received",'Shipments data'!Q:Q,"&lt;"&amp;'Supply planning data'!D269,'Shipments data'!AC:AC,"&lt;"&amp;'Supply planning data'!D269)-SUMIFS(M:M,D:D,"&lt;="&amp;D254,C:C,C254)-SUMIFS(AJ:AJ,D:D,"&lt;="&amp;D254,C:C,C254)+SUMIFS(N:N,D:D,"&lt;="&amp;D254,C:C,C254)+SUMIFS(P:P,D:D,"&lt;="&amp;D254,C:C,C254)&lt;0,0,SUMIFS('Shipments data'!L:L,'Shipments data'!F:F,'Supply planning data'!C254,'Shipments data'!A:A,'Supply planning data'!A254,'Shipments data'!O:O,"received",'Shipments data'!Q:Q,"&lt;"&amp;'Supply planning data'!D269,'Shipments data'!AC:AC,"&lt;"&amp;'Supply planning data'!D269)-SUMIFS(M:M,D:D,"&lt;="&amp;D254,C:C,C254)-SUMIFS(AJ:AJ,D:D,"&lt;="&amp;D254,C:C,C254)+SUMIFS(N:N,D:D,"&lt;="&amp;D254,C:C,C254)+SUMIFS(P:P,D:D,"&lt;="&amp;D254,C:C,C254))</f>
        <v>0</v>
      </c>
      <c r="AM254" s="98">
        <f t="shared" si="83"/>
        <v>0</v>
      </c>
      <c r="AN254" s="98">
        <f t="shared" si="76"/>
        <v>0</v>
      </c>
      <c r="AO254" s="203" t="str">
        <f t="shared" si="86"/>
        <v/>
      </c>
    </row>
    <row r="255" spans="1:41" hidden="1" x14ac:dyDescent="0.25">
      <c r="A255" s="95" t="str">
        <f>Start!D$7</f>
        <v>Anyland</v>
      </c>
      <c r="B255" s="96" t="str">
        <f>VLOOKUP(A255,list!B:C,2,FALSE)</f>
        <v>ANY</v>
      </c>
      <c r="C255" s="90" t="str">
        <f>IF(Start!$C$27="","",Start!$C$27)</f>
        <v/>
      </c>
      <c r="D255" s="296">
        <f t="shared" si="77"/>
        <v>44682</v>
      </c>
      <c r="E255" s="92" t="str">
        <f>IFERROR(VLOOKUP(C255,Start!C$15:D$31,2,FALSE),"No")</f>
        <v>No</v>
      </c>
      <c r="F255" s="92">
        <f t="shared" si="78"/>
        <v>0</v>
      </c>
      <c r="G255" s="91"/>
      <c r="H255" s="97"/>
      <c r="I255" s="97"/>
      <c r="J255" s="98">
        <f t="shared" si="70"/>
        <v>0</v>
      </c>
      <c r="K255" s="97"/>
      <c r="L255" s="175" t="str">
        <f t="shared" si="71"/>
        <v/>
      </c>
      <c r="M255" s="98">
        <f t="shared" si="72"/>
        <v>0</v>
      </c>
      <c r="N255" s="97"/>
      <c r="O255" s="122"/>
      <c r="P255" s="97"/>
      <c r="Q255" s="122"/>
      <c r="R255" s="98">
        <f>SUMIFS('Shipments data'!L:L,'Shipments data'!F:F,'Supply planning data'!C255,'Shipments data'!A:A,'Supply planning data'!A255,'Shipments data'!Y:Y,'Supply planning data'!D255,'Shipments data'!O:O,"received", 'Shipments data'!N:N, "Public")</f>
        <v>0</v>
      </c>
      <c r="S255" s="98">
        <f>SUMIFS('Shipments data'!L:L,'Shipments data'!F:F,'Supply planning data'!C255,'Shipments data'!A:A,'Supply planning data'!A255,'Shipments data'!Y:Y,'Supply planning data'!D255,'Shipments data'!O:O,"ordered", 'Shipments data'!N:N, "Public")</f>
        <v>0</v>
      </c>
      <c r="T255" s="98">
        <f>IF(SUMIFS('Shipments data'!L:L,'Shipments data'!F:F,'Supply planning data'!C255,'Shipments data'!A:A,'Supply planning data'!A255,'Shipments data'!O:O,"received",'Shipments data'!Q:Q,"&lt;"&amp;'Supply planning data'!D270,'Shipments data'!AC:AC,"&lt;"&amp;'Supply planning data'!D270)-SUMIFS(M:M,D:D,"&lt;="&amp;D255,C:C,C255)+SUMIFS(N:N,D:D,"&lt;="&amp;D255,C:C,C255)+SUMIFS(P:P,D:D,"&lt;="&amp;D255,C:C,C255)&lt;0,0,SUMIFS('Shipments data'!L:L,'Shipments data'!F:F,'Supply planning data'!C255,'Shipments data'!A:A,'Supply planning data'!A255,'Shipments data'!O:O,"received",'Shipments data'!Q:Q,"&lt;"&amp;'Supply planning data'!D270,'Shipments data'!AC:AC,"&lt;"&amp;'Supply planning data'!D270)-SUMIFS(M:M,D:D,"&lt;="&amp;D255,C:C,C255)+SUMIFS(N:N,D:D,"&lt;="&amp;D255,C:C,C255)+SUMIFS(P:P,D:D,"&lt;="&amp;D255,C:C,C255))</f>
        <v>0</v>
      </c>
      <c r="U255" s="99">
        <f t="shared" si="79"/>
        <v>0</v>
      </c>
      <c r="V255" s="98">
        <f t="shared" si="87"/>
        <v>0</v>
      </c>
      <c r="W255" s="203" t="str">
        <f t="shared" si="85"/>
        <v/>
      </c>
      <c r="X255" s="98">
        <f t="shared" si="80"/>
        <v>0</v>
      </c>
      <c r="Y255" s="97"/>
      <c r="Z255" s="93"/>
      <c r="AA255" s="98">
        <f t="shared" si="73"/>
        <v>0</v>
      </c>
      <c r="AB255" s="233"/>
      <c r="AC255" s="98">
        <f>IF(SUMIFS('Shipments data'!L:L,'Shipments data'!F:F,'Supply planning data'!C255,'Shipments data'!A:A,'Supply planning data'!A255,'Shipments data'!O:O,"received",'Shipments data'!Q:Q,"&lt;"&amp;'Supply planning data'!D270,'Shipments data'!AC:AC,"&lt;"&amp;'Supply planning data'!D270)-SUMIFS(M:M,D:D,"&lt;="&amp;D255,C:C,C255)-SUMIFS(AA:AA,D:D,"&lt;="&amp;D255,C:C,C255)+SUMIFS(N:N,D:D,"&lt;="&amp;D255,C:C,C255)+SUMIFS(P:P,D:D,"&lt;="&amp;D255,C:C,C255)&lt;0,0,SUMIFS('Shipments data'!L:L,'Shipments data'!F:F,'Supply planning data'!C255,'Shipments data'!A:A,'Supply planning data'!A255,'Shipments data'!O:O,"received",'Shipments data'!Q:Q,"&lt;"&amp;'Supply planning data'!D270,'Shipments data'!AC:AC,"&lt;"&amp;'Supply planning data'!D270)-SUMIFS(M:M,D:D,"&lt;="&amp;D255,C:C,C255)-SUMIFS(AA:AA,D:D,"&lt;="&amp;D255,C:C,C255)+SUMIFS(N:N,D:D,"&lt;="&amp;D255,C:C,C255)+SUMIFS(P:P,D:D,"&lt;="&amp;D255,C:C,C255))</f>
        <v>0</v>
      </c>
      <c r="AD255" s="98">
        <f t="shared" si="81"/>
        <v>0</v>
      </c>
      <c r="AE255" s="98">
        <f t="shared" si="75"/>
        <v>0</v>
      </c>
      <c r="AF255" s="205" t="str">
        <f t="shared" si="84"/>
        <v/>
      </c>
      <c r="AG255" s="98">
        <f t="shared" si="82"/>
        <v>0</v>
      </c>
      <c r="AH255" s="97"/>
      <c r="AI255" s="311"/>
      <c r="AJ255" s="98">
        <f t="shared" si="74"/>
        <v>0</v>
      </c>
      <c r="AK255" s="233"/>
      <c r="AL255" s="98">
        <f>IF(SUMIFS('Shipments data'!L:L,'Shipments data'!F:F,'Supply planning data'!C255,'Shipments data'!A:A,'Supply planning data'!A255,'Shipments data'!O:O,"received",'Shipments data'!Q:Q,"&lt;"&amp;'Supply planning data'!D270,'Shipments data'!AC:AC,"&lt;"&amp;'Supply planning data'!D270)-SUMIFS(M:M,D:D,"&lt;="&amp;D255,C:C,C255)-SUMIFS(AJ:AJ,D:D,"&lt;="&amp;D255,C:C,C255)+SUMIFS(N:N,D:D,"&lt;="&amp;D255,C:C,C255)+SUMIFS(P:P,D:D,"&lt;="&amp;D255,C:C,C255)&lt;0,0,SUMIFS('Shipments data'!L:L,'Shipments data'!F:F,'Supply planning data'!C255,'Shipments data'!A:A,'Supply planning data'!A255,'Shipments data'!O:O,"received",'Shipments data'!Q:Q,"&lt;"&amp;'Supply planning data'!D270,'Shipments data'!AC:AC,"&lt;"&amp;'Supply planning data'!D270)-SUMIFS(M:M,D:D,"&lt;="&amp;D255,C:C,C255)-SUMIFS(AJ:AJ,D:D,"&lt;="&amp;D255,C:C,C255)+SUMIFS(N:N,D:D,"&lt;="&amp;D255,C:C,C255)+SUMIFS(P:P,D:D,"&lt;="&amp;D255,C:C,C255))</f>
        <v>0</v>
      </c>
      <c r="AM255" s="98">
        <f t="shared" si="83"/>
        <v>0</v>
      </c>
      <c r="AN255" s="98">
        <f t="shared" si="76"/>
        <v>0</v>
      </c>
      <c r="AO255" s="203" t="str">
        <f t="shared" si="86"/>
        <v/>
      </c>
    </row>
    <row r="256" spans="1:41" hidden="1" x14ac:dyDescent="0.25">
      <c r="A256" s="95" t="str">
        <f>Start!D$7</f>
        <v>Anyland</v>
      </c>
      <c r="B256" s="96" t="str">
        <f>VLOOKUP(A256,list!B:C,2,FALSE)</f>
        <v>ANY</v>
      </c>
      <c r="C256" s="90" t="str">
        <f>IF(Start!$C$28="","",Start!$C$28)</f>
        <v/>
      </c>
      <c r="D256" s="296">
        <f t="shared" si="77"/>
        <v>44682</v>
      </c>
      <c r="E256" s="92" t="str">
        <f>IFERROR(VLOOKUP(C256,Start!C$15:D$31,2,FALSE),"No")</f>
        <v>No</v>
      </c>
      <c r="F256" s="92">
        <f t="shared" si="78"/>
        <v>0</v>
      </c>
      <c r="G256" s="91"/>
      <c r="H256" s="97"/>
      <c r="I256" s="97"/>
      <c r="J256" s="98">
        <f t="shared" si="70"/>
        <v>0</v>
      </c>
      <c r="K256" s="97"/>
      <c r="L256" s="175" t="str">
        <f t="shared" si="71"/>
        <v/>
      </c>
      <c r="M256" s="98">
        <f t="shared" si="72"/>
        <v>0</v>
      </c>
      <c r="N256" s="97"/>
      <c r="O256" s="122"/>
      <c r="P256" s="97"/>
      <c r="Q256" s="122"/>
      <c r="R256" s="98">
        <f>SUMIFS('Shipments data'!L:L,'Shipments data'!F:F,'Supply planning data'!C256,'Shipments data'!A:A,'Supply planning data'!A256,'Shipments data'!Y:Y,'Supply planning data'!D256,'Shipments data'!O:O,"received", 'Shipments data'!N:N, "Public")</f>
        <v>0</v>
      </c>
      <c r="S256" s="98">
        <f>SUMIFS('Shipments data'!L:L,'Shipments data'!F:F,'Supply planning data'!C256,'Shipments data'!A:A,'Supply planning data'!A256,'Shipments data'!Y:Y,'Supply planning data'!D256,'Shipments data'!O:O,"ordered", 'Shipments data'!N:N, "Public")</f>
        <v>0</v>
      </c>
      <c r="T256" s="98">
        <f>IF(SUMIFS('Shipments data'!L:L,'Shipments data'!F:F,'Supply planning data'!C256,'Shipments data'!A:A,'Supply planning data'!A256,'Shipments data'!O:O,"received",'Shipments data'!Q:Q,"&lt;"&amp;'Supply planning data'!D271,'Shipments data'!AC:AC,"&lt;"&amp;'Supply planning data'!D271)-SUMIFS(M:M,D:D,"&lt;="&amp;D256,C:C,C256)+SUMIFS(N:N,D:D,"&lt;="&amp;D256,C:C,C256)+SUMIFS(P:P,D:D,"&lt;="&amp;D256,C:C,C256)&lt;0,0,SUMIFS('Shipments data'!L:L,'Shipments data'!F:F,'Supply planning data'!C256,'Shipments data'!A:A,'Supply planning data'!A256,'Shipments data'!O:O,"received",'Shipments data'!Q:Q,"&lt;"&amp;'Supply planning data'!D271,'Shipments data'!AC:AC,"&lt;"&amp;'Supply planning data'!D271)-SUMIFS(M:M,D:D,"&lt;="&amp;D256,C:C,C256)+SUMIFS(N:N,D:D,"&lt;="&amp;D256,C:C,C256)+SUMIFS(P:P,D:D,"&lt;="&amp;D256,C:C,C256))</f>
        <v>0</v>
      </c>
      <c r="U256" s="99">
        <f t="shared" si="79"/>
        <v>0</v>
      </c>
      <c r="V256" s="98">
        <f t="shared" si="87"/>
        <v>0</v>
      </c>
      <c r="W256" s="203" t="str">
        <f t="shared" si="85"/>
        <v/>
      </c>
      <c r="X256" s="98">
        <f t="shared" si="80"/>
        <v>0</v>
      </c>
      <c r="Y256" s="97"/>
      <c r="Z256" s="93"/>
      <c r="AA256" s="98">
        <f t="shared" si="73"/>
        <v>0</v>
      </c>
      <c r="AB256" s="233"/>
      <c r="AC256" s="98">
        <f>IF(SUMIFS('Shipments data'!L:L,'Shipments data'!F:F,'Supply planning data'!C256,'Shipments data'!A:A,'Supply planning data'!A256,'Shipments data'!O:O,"received",'Shipments data'!Q:Q,"&lt;"&amp;'Supply planning data'!D271,'Shipments data'!AC:AC,"&lt;"&amp;'Supply planning data'!D271)-SUMIFS(M:M,D:D,"&lt;="&amp;D256,C:C,C256)-SUMIFS(AA:AA,D:D,"&lt;="&amp;D256,C:C,C256)+SUMIFS(N:N,D:D,"&lt;="&amp;D256,C:C,C256)+SUMIFS(P:P,D:D,"&lt;="&amp;D256,C:C,C256)&lt;0,0,SUMIFS('Shipments data'!L:L,'Shipments data'!F:F,'Supply planning data'!C256,'Shipments data'!A:A,'Supply planning data'!A256,'Shipments data'!O:O,"received",'Shipments data'!Q:Q,"&lt;"&amp;'Supply planning data'!D271,'Shipments data'!AC:AC,"&lt;"&amp;'Supply planning data'!D271)-SUMIFS(M:M,D:D,"&lt;="&amp;D256,C:C,C256)-SUMIFS(AA:AA,D:D,"&lt;="&amp;D256,C:C,C256)+SUMIFS(N:N,D:D,"&lt;="&amp;D256,C:C,C256)+SUMIFS(P:P,D:D,"&lt;="&amp;D256,C:C,C256))</f>
        <v>0</v>
      </c>
      <c r="AD256" s="98">
        <f t="shared" si="81"/>
        <v>0</v>
      </c>
      <c r="AE256" s="98">
        <f t="shared" si="75"/>
        <v>0</v>
      </c>
      <c r="AF256" s="205" t="str">
        <f t="shared" si="84"/>
        <v/>
      </c>
      <c r="AG256" s="98">
        <f t="shared" si="82"/>
        <v>0</v>
      </c>
      <c r="AH256" s="97"/>
      <c r="AI256" s="311"/>
      <c r="AJ256" s="98">
        <f t="shared" si="74"/>
        <v>0</v>
      </c>
      <c r="AK256" s="233"/>
      <c r="AL256" s="98">
        <f>IF(SUMIFS('Shipments data'!L:L,'Shipments data'!F:F,'Supply planning data'!C256,'Shipments data'!A:A,'Supply planning data'!A256,'Shipments data'!O:O,"received",'Shipments data'!Q:Q,"&lt;"&amp;'Supply planning data'!D271,'Shipments data'!AC:AC,"&lt;"&amp;'Supply planning data'!D271)-SUMIFS(M:M,D:D,"&lt;="&amp;D256,C:C,C256)-SUMIFS(AJ:AJ,D:D,"&lt;="&amp;D256,C:C,C256)+SUMIFS(N:N,D:D,"&lt;="&amp;D256,C:C,C256)+SUMIFS(P:P,D:D,"&lt;="&amp;D256,C:C,C256)&lt;0,0,SUMIFS('Shipments data'!L:L,'Shipments data'!F:F,'Supply planning data'!C256,'Shipments data'!A:A,'Supply planning data'!A256,'Shipments data'!O:O,"received",'Shipments data'!Q:Q,"&lt;"&amp;'Supply planning data'!D271,'Shipments data'!AC:AC,"&lt;"&amp;'Supply planning data'!D271)-SUMIFS(M:M,D:D,"&lt;="&amp;D256,C:C,C256)-SUMIFS(AJ:AJ,D:D,"&lt;="&amp;D256,C:C,C256)+SUMIFS(N:N,D:D,"&lt;="&amp;D256,C:C,C256)+SUMIFS(P:P,D:D,"&lt;="&amp;D256,C:C,C256))</f>
        <v>0</v>
      </c>
      <c r="AM256" s="98">
        <f t="shared" si="83"/>
        <v>0</v>
      </c>
      <c r="AN256" s="98">
        <f t="shared" si="76"/>
        <v>0</v>
      </c>
      <c r="AO256" s="203" t="str">
        <f t="shared" si="86"/>
        <v/>
      </c>
    </row>
    <row r="257" spans="1:41" hidden="1" x14ac:dyDescent="0.25">
      <c r="A257" s="95" t="str">
        <f>Start!D$7</f>
        <v>Anyland</v>
      </c>
      <c r="B257" s="96" t="str">
        <f>VLOOKUP(A257,list!B:C,2,FALSE)</f>
        <v>ANY</v>
      </c>
      <c r="C257" s="90" t="str">
        <f>IF(Start!$C$29="","",Start!$C$29)</f>
        <v/>
      </c>
      <c r="D257" s="296">
        <f t="shared" si="77"/>
        <v>44682</v>
      </c>
      <c r="E257" s="92" t="str">
        <f>IFERROR(VLOOKUP(C257,Start!C$15:D$31,2,FALSE),"No")</f>
        <v>No</v>
      </c>
      <c r="F257" s="92">
        <f t="shared" si="78"/>
        <v>0</v>
      </c>
      <c r="G257" s="91"/>
      <c r="H257" s="97"/>
      <c r="I257" s="97"/>
      <c r="J257" s="98">
        <f t="shared" si="70"/>
        <v>0</v>
      </c>
      <c r="K257" s="97"/>
      <c r="L257" s="175" t="str">
        <f t="shared" si="71"/>
        <v/>
      </c>
      <c r="M257" s="98">
        <f t="shared" si="72"/>
        <v>0</v>
      </c>
      <c r="N257" s="97"/>
      <c r="O257" s="122"/>
      <c r="P257" s="97"/>
      <c r="Q257" s="122"/>
      <c r="R257" s="98">
        <f>SUMIFS('Shipments data'!L:L,'Shipments data'!F:F,'Supply planning data'!C257,'Shipments data'!A:A,'Supply planning data'!A257,'Shipments data'!Y:Y,'Supply planning data'!D257,'Shipments data'!O:O,"received", 'Shipments data'!N:N, "Public")</f>
        <v>0</v>
      </c>
      <c r="S257" s="98">
        <f>SUMIFS('Shipments data'!L:L,'Shipments data'!F:F,'Supply planning data'!C257,'Shipments data'!A:A,'Supply planning data'!A257,'Shipments data'!Y:Y,'Supply planning data'!D257,'Shipments data'!O:O,"ordered", 'Shipments data'!N:N, "Public")</f>
        <v>0</v>
      </c>
      <c r="T257" s="98">
        <f>IF(SUMIFS('Shipments data'!L:L,'Shipments data'!F:F,'Supply planning data'!C257,'Shipments data'!A:A,'Supply planning data'!A257,'Shipments data'!O:O,"received",'Shipments data'!Q:Q,"&lt;"&amp;'Supply planning data'!D272,'Shipments data'!AC:AC,"&lt;"&amp;'Supply planning data'!D272)-SUMIFS(M:M,D:D,"&lt;="&amp;D257,C:C,C257)+SUMIFS(N:N,D:D,"&lt;="&amp;D257,C:C,C257)+SUMIFS(P:P,D:D,"&lt;="&amp;D257,C:C,C257)&lt;0,0,SUMIFS('Shipments data'!L:L,'Shipments data'!F:F,'Supply planning data'!C257,'Shipments data'!A:A,'Supply planning data'!A257,'Shipments data'!O:O,"received",'Shipments data'!Q:Q,"&lt;"&amp;'Supply planning data'!D272,'Shipments data'!AC:AC,"&lt;"&amp;'Supply planning data'!D272)-SUMIFS(M:M,D:D,"&lt;="&amp;D257,C:C,C257)+SUMIFS(N:N,D:D,"&lt;="&amp;D257,C:C,C257)+SUMIFS(P:P,D:D,"&lt;="&amp;D257,C:C,C257))</f>
        <v>0</v>
      </c>
      <c r="U257" s="99">
        <f t="shared" si="79"/>
        <v>0</v>
      </c>
      <c r="V257" s="98">
        <f t="shared" si="87"/>
        <v>0</v>
      </c>
      <c r="W257" s="203" t="str">
        <f t="shared" si="85"/>
        <v/>
      </c>
      <c r="X257" s="98">
        <f t="shared" si="80"/>
        <v>0</v>
      </c>
      <c r="Y257" s="97"/>
      <c r="Z257" s="93"/>
      <c r="AA257" s="98">
        <f t="shared" si="73"/>
        <v>0</v>
      </c>
      <c r="AB257" s="233"/>
      <c r="AC257" s="98">
        <f>IF(SUMIFS('Shipments data'!L:L,'Shipments data'!F:F,'Supply planning data'!C257,'Shipments data'!A:A,'Supply planning data'!A257,'Shipments data'!O:O,"received",'Shipments data'!Q:Q,"&lt;"&amp;'Supply planning data'!D272,'Shipments data'!AC:AC,"&lt;"&amp;'Supply planning data'!D272)-SUMIFS(M:M,D:D,"&lt;="&amp;D257,C:C,C257)-SUMIFS(AA:AA,D:D,"&lt;="&amp;D257,C:C,C257)+SUMIFS(N:N,D:D,"&lt;="&amp;D257,C:C,C257)+SUMIFS(P:P,D:D,"&lt;="&amp;D257,C:C,C257)&lt;0,0,SUMIFS('Shipments data'!L:L,'Shipments data'!F:F,'Supply planning data'!C257,'Shipments data'!A:A,'Supply planning data'!A257,'Shipments data'!O:O,"received",'Shipments data'!Q:Q,"&lt;"&amp;'Supply planning data'!D272,'Shipments data'!AC:AC,"&lt;"&amp;'Supply planning data'!D272)-SUMIFS(M:M,D:D,"&lt;="&amp;D257,C:C,C257)-SUMIFS(AA:AA,D:D,"&lt;="&amp;D257,C:C,C257)+SUMIFS(N:N,D:D,"&lt;="&amp;D257,C:C,C257)+SUMIFS(P:P,D:D,"&lt;="&amp;D257,C:C,C257))</f>
        <v>0</v>
      </c>
      <c r="AD257" s="98">
        <f t="shared" si="81"/>
        <v>0</v>
      </c>
      <c r="AE257" s="98">
        <f t="shared" si="75"/>
        <v>0</v>
      </c>
      <c r="AF257" s="205" t="str">
        <f t="shared" si="84"/>
        <v/>
      </c>
      <c r="AG257" s="98">
        <f t="shared" si="82"/>
        <v>0</v>
      </c>
      <c r="AH257" s="97"/>
      <c r="AI257" s="311"/>
      <c r="AJ257" s="98">
        <f t="shared" si="74"/>
        <v>0</v>
      </c>
      <c r="AK257" s="233"/>
      <c r="AL257" s="98">
        <f>IF(SUMIFS('Shipments data'!L:L,'Shipments data'!F:F,'Supply planning data'!C257,'Shipments data'!A:A,'Supply planning data'!A257,'Shipments data'!O:O,"received",'Shipments data'!Q:Q,"&lt;"&amp;'Supply planning data'!D272,'Shipments data'!AC:AC,"&lt;"&amp;'Supply planning data'!D272)-SUMIFS(M:M,D:D,"&lt;="&amp;D257,C:C,C257)-SUMIFS(AJ:AJ,D:D,"&lt;="&amp;D257,C:C,C257)+SUMIFS(N:N,D:D,"&lt;="&amp;D257,C:C,C257)+SUMIFS(P:P,D:D,"&lt;="&amp;D257,C:C,C257)&lt;0,0,SUMIFS('Shipments data'!L:L,'Shipments data'!F:F,'Supply planning data'!C257,'Shipments data'!A:A,'Supply planning data'!A257,'Shipments data'!O:O,"received",'Shipments data'!Q:Q,"&lt;"&amp;'Supply planning data'!D272,'Shipments data'!AC:AC,"&lt;"&amp;'Supply planning data'!D272)-SUMIFS(M:M,D:D,"&lt;="&amp;D257,C:C,C257)-SUMIFS(AJ:AJ,D:D,"&lt;="&amp;D257,C:C,C257)+SUMIFS(N:N,D:D,"&lt;="&amp;D257,C:C,C257)+SUMIFS(P:P,D:D,"&lt;="&amp;D257,C:C,C257))</f>
        <v>0</v>
      </c>
      <c r="AM257" s="98">
        <f t="shared" si="83"/>
        <v>0</v>
      </c>
      <c r="AN257" s="98">
        <f t="shared" si="76"/>
        <v>0</v>
      </c>
      <c r="AO257" s="203" t="str">
        <f t="shared" si="86"/>
        <v/>
      </c>
    </row>
    <row r="258" spans="1:41" hidden="1" x14ac:dyDescent="0.25">
      <c r="A258" s="95" t="str">
        <f>Start!D$7</f>
        <v>Anyland</v>
      </c>
      <c r="B258" s="96" t="str">
        <f>VLOOKUP(A258,list!B:C,2,FALSE)</f>
        <v>ANY</v>
      </c>
      <c r="C258" s="90" t="str">
        <f>IF(Start!$C$30="","",Start!$C$30)</f>
        <v/>
      </c>
      <c r="D258" s="296">
        <f t="shared" si="77"/>
        <v>44682</v>
      </c>
      <c r="E258" s="92" t="str">
        <f>IFERROR(VLOOKUP(C258,Start!C$15:D$31,2,FALSE),"No")</f>
        <v>No</v>
      </c>
      <c r="F258" s="92">
        <f t="shared" si="78"/>
        <v>0</v>
      </c>
      <c r="G258" s="91"/>
      <c r="H258" s="97"/>
      <c r="I258" s="97"/>
      <c r="J258" s="98">
        <f t="shared" si="70"/>
        <v>0</v>
      </c>
      <c r="K258" s="97"/>
      <c r="L258" s="175" t="str">
        <f t="shared" si="71"/>
        <v/>
      </c>
      <c r="M258" s="98">
        <f t="shared" si="72"/>
        <v>0</v>
      </c>
      <c r="N258" s="97"/>
      <c r="O258" s="122"/>
      <c r="P258" s="97"/>
      <c r="Q258" s="122"/>
      <c r="R258" s="98">
        <f>SUMIFS('Shipments data'!L:L,'Shipments data'!F:F,'Supply planning data'!C258,'Shipments data'!A:A,'Supply planning data'!A258,'Shipments data'!Y:Y,'Supply planning data'!D258,'Shipments data'!O:O,"received", 'Shipments data'!N:N, "Public")</f>
        <v>0</v>
      </c>
      <c r="S258" s="98">
        <f>SUMIFS('Shipments data'!L:L,'Shipments data'!F:F,'Supply planning data'!C258,'Shipments data'!A:A,'Supply planning data'!A258,'Shipments data'!Y:Y,'Supply planning data'!D258,'Shipments data'!O:O,"ordered", 'Shipments data'!N:N, "Public")</f>
        <v>0</v>
      </c>
      <c r="T258" s="98">
        <f>IF(SUMIFS('Shipments data'!L:L,'Shipments data'!F:F,'Supply planning data'!C258,'Shipments data'!A:A,'Supply planning data'!A258,'Shipments data'!O:O,"received",'Shipments data'!Q:Q,"&lt;"&amp;'Supply planning data'!D273,'Shipments data'!AC:AC,"&lt;"&amp;'Supply planning data'!D273)-SUMIFS(M:M,D:D,"&lt;="&amp;D258,C:C,C258)+SUMIFS(N:N,D:D,"&lt;="&amp;D258,C:C,C258)+SUMIFS(P:P,D:D,"&lt;="&amp;D258,C:C,C258)&lt;0,0,SUMIFS('Shipments data'!L:L,'Shipments data'!F:F,'Supply planning data'!C258,'Shipments data'!A:A,'Supply planning data'!A258,'Shipments data'!O:O,"received",'Shipments data'!Q:Q,"&lt;"&amp;'Supply planning data'!D273,'Shipments data'!AC:AC,"&lt;"&amp;'Supply planning data'!D273)-SUMIFS(M:M,D:D,"&lt;="&amp;D258,C:C,C258)+SUMIFS(N:N,D:D,"&lt;="&amp;D258,C:C,C258)+SUMIFS(P:P,D:D,"&lt;="&amp;D258,C:C,C258))</f>
        <v>0</v>
      </c>
      <c r="U258" s="99">
        <f t="shared" si="79"/>
        <v>0</v>
      </c>
      <c r="V258" s="98">
        <f t="shared" si="87"/>
        <v>0</v>
      </c>
      <c r="W258" s="203" t="str">
        <f t="shared" si="85"/>
        <v/>
      </c>
      <c r="X258" s="98">
        <f t="shared" si="80"/>
        <v>0</v>
      </c>
      <c r="Y258" s="97"/>
      <c r="Z258" s="93"/>
      <c r="AA258" s="98">
        <f t="shared" si="73"/>
        <v>0</v>
      </c>
      <c r="AB258" s="233"/>
      <c r="AC258" s="98">
        <f>IF(SUMIFS('Shipments data'!L:L,'Shipments data'!F:F,'Supply planning data'!C258,'Shipments data'!A:A,'Supply planning data'!A258,'Shipments data'!O:O,"received",'Shipments data'!Q:Q,"&lt;"&amp;'Supply planning data'!D273,'Shipments data'!AC:AC,"&lt;"&amp;'Supply planning data'!D273)-SUMIFS(M:M,D:D,"&lt;="&amp;D258,C:C,C258)-SUMIFS(AA:AA,D:D,"&lt;="&amp;D258,C:C,C258)+SUMIFS(N:N,D:D,"&lt;="&amp;D258,C:C,C258)+SUMIFS(P:P,D:D,"&lt;="&amp;D258,C:C,C258)&lt;0,0,SUMIFS('Shipments data'!L:L,'Shipments data'!F:F,'Supply planning data'!C258,'Shipments data'!A:A,'Supply planning data'!A258,'Shipments data'!O:O,"received",'Shipments data'!Q:Q,"&lt;"&amp;'Supply planning data'!D273,'Shipments data'!AC:AC,"&lt;"&amp;'Supply planning data'!D273)-SUMIFS(M:M,D:D,"&lt;="&amp;D258,C:C,C258)-SUMIFS(AA:AA,D:D,"&lt;="&amp;D258,C:C,C258)+SUMIFS(N:N,D:D,"&lt;="&amp;D258,C:C,C258)+SUMIFS(P:P,D:D,"&lt;="&amp;D258,C:C,C258))</f>
        <v>0</v>
      </c>
      <c r="AD258" s="98">
        <f t="shared" si="81"/>
        <v>0</v>
      </c>
      <c r="AE258" s="98">
        <f t="shared" si="75"/>
        <v>0</v>
      </c>
      <c r="AF258" s="205" t="str">
        <f t="shared" si="84"/>
        <v/>
      </c>
      <c r="AG258" s="98">
        <f t="shared" si="82"/>
        <v>0</v>
      </c>
      <c r="AH258" s="97"/>
      <c r="AI258" s="311"/>
      <c r="AJ258" s="98">
        <f t="shared" si="74"/>
        <v>0</v>
      </c>
      <c r="AK258" s="233"/>
      <c r="AL258" s="98">
        <f>IF(SUMIFS('Shipments data'!L:L,'Shipments data'!F:F,'Supply planning data'!C258,'Shipments data'!A:A,'Supply planning data'!A258,'Shipments data'!O:O,"received",'Shipments data'!Q:Q,"&lt;"&amp;'Supply planning data'!D273,'Shipments data'!AC:AC,"&lt;"&amp;'Supply planning data'!D273)-SUMIFS(M:M,D:D,"&lt;="&amp;D258,C:C,C258)-SUMIFS(AJ:AJ,D:D,"&lt;="&amp;D258,C:C,C258)+SUMIFS(N:N,D:D,"&lt;="&amp;D258,C:C,C258)+SUMIFS(P:P,D:D,"&lt;="&amp;D258,C:C,C258)&lt;0,0,SUMIFS('Shipments data'!L:L,'Shipments data'!F:F,'Supply planning data'!C258,'Shipments data'!A:A,'Supply planning data'!A258,'Shipments data'!O:O,"received",'Shipments data'!Q:Q,"&lt;"&amp;'Supply planning data'!D273,'Shipments data'!AC:AC,"&lt;"&amp;'Supply planning data'!D273)-SUMIFS(M:M,D:D,"&lt;="&amp;D258,C:C,C258)-SUMIFS(AJ:AJ,D:D,"&lt;="&amp;D258,C:C,C258)+SUMIFS(N:N,D:D,"&lt;="&amp;D258,C:C,C258)+SUMIFS(P:P,D:D,"&lt;="&amp;D258,C:C,C258))</f>
        <v>0</v>
      </c>
      <c r="AM258" s="98">
        <f t="shared" si="83"/>
        <v>0</v>
      </c>
      <c r="AN258" s="98">
        <f t="shared" si="76"/>
        <v>0</v>
      </c>
      <c r="AO258" s="203" t="str">
        <f t="shared" si="86"/>
        <v/>
      </c>
    </row>
    <row r="259" spans="1:41" hidden="1" x14ac:dyDescent="0.25">
      <c r="A259" s="95" t="str">
        <f>Start!D$7</f>
        <v>Anyland</v>
      </c>
      <c r="B259" s="100" t="str">
        <f>VLOOKUP(A259,list!B:C,2,FALSE)</f>
        <v>ANY</v>
      </c>
      <c r="C259" s="90" t="str">
        <f>IF(Start!$C$31="","",Start!$C$31)</f>
        <v/>
      </c>
      <c r="D259" s="296">
        <f t="shared" si="77"/>
        <v>44682</v>
      </c>
      <c r="E259" s="92" t="str">
        <f>IFERROR(VLOOKUP(C259,Start!C$15:D$31,2,FALSE),"No")</f>
        <v>No</v>
      </c>
      <c r="F259" s="92">
        <f t="shared" si="78"/>
        <v>0</v>
      </c>
      <c r="G259" s="91"/>
      <c r="H259" s="97"/>
      <c r="I259" s="97"/>
      <c r="J259" s="98">
        <f t="shared" si="70"/>
        <v>0</v>
      </c>
      <c r="K259" s="97"/>
      <c r="L259" s="175" t="str">
        <f t="shared" si="71"/>
        <v/>
      </c>
      <c r="M259" s="98">
        <f t="shared" si="72"/>
        <v>0</v>
      </c>
      <c r="N259" s="97"/>
      <c r="O259" s="122"/>
      <c r="P259" s="97"/>
      <c r="Q259" s="122"/>
      <c r="R259" s="98">
        <f>SUMIFS('Shipments data'!L:L,'Shipments data'!F:F,'Supply planning data'!C259,'Shipments data'!A:A,'Supply planning data'!A259,'Shipments data'!Y:Y,'Supply planning data'!D259,'Shipments data'!O:O,"received", 'Shipments data'!N:N, "Public")</f>
        <v>0</v>
      </c>
      <c r="S259" s="98">
        <f>SUMIFS('Shipments data'!L:L,'Shipments data'!F:F,'Supply planning data'!C259,'Shipments data'!A:A,'Supply planning data'!A259,'Shipments data'!Y:Y,'Supply planning data'!D259,'Shipments data'!O:O,"ordered", 'Shipments data'!N:N, "Public")</f>
        <v>0</v>
      </c>
      <c r="T259" s="98">
        <f>IF(SUMIFS('Shipments data'!L:L,'Shipments data'!F:F,'Supply planning data'!C259,'Shipments data'!A:A,'Supply planning data'!A259,'Shipments data'!O:O,"received",'Shipments data'!Q:Q,"&lt;"&amp;'Supply planning data'!D274,'Shipments data'!AC:AC,"&lt;"&amp;'Supply planning data'!D274)-SUMIFS(M:M,D:D,"&lt;="&amp;D259,C:C,C259)+SUMIFS(N:N,D:D,"&lt;="&amp;D259,C:C,C259)+SUMIFS(P:P,D:D,"&lt;="&amp;D259,C:C,C259)&lt;0,0,SUMIFS('Shipments data'!L:L,'Shipments data'!F:F,'Supply planning data'!C259,'Shipments data'!A:A,'Supply planning data'!A259,'Shipments data'!O:O,"received",'Shipments data'!Q:Q,"&lt;"&amp;'Supply planning data'!D274,'Shipments data'!AC:AC,"&lt;"&amp;'Supply planning data'!D274)-SUMIFS(M:M,D:D,"&lt;="&amp;D259,C:C,C259)+SUMIFS(N:N,D:D,"&lt;="&amp;D259,C:C,C259)+SUMIFS(P:P,D:D,"&lt;="&amp;D259,C:C,C259))</f>
        <v>0</v>
      </c>
      <c r="U259" s="99">
        <f t="shared" si="79"/>
        <v>0</v>
      </c>
      <c r="V259" s="98">
        <f t="shared" si="87"/>
        <v>0</v>
      </c>
      <c r="W259" s="203" t="str">
        <f t="shared" si="85"/>
        <v/>
      </c>
      <c r="X259" s="98">
        <f t="shared" si="80"/>
        <v>0</v>
      </c>
      <c r="Y259" s="97"/>
      <c r="Z259" s="93"/>
      <c r="AA259" s="98">
        <f t="shared" si="73"/>
        <v>0</v>
      </c>
      <c r="AB259" s="233"/>
      <c r="AC259" s="98">
        <f>IF(SUMIFS('Shipments data'!L:L,'Shipments data'!F:F,'Supply planning data'!C259,'Shipments data'!A:A,'Supply planning data'!A259,'Shipments data'!O:O,"received",'Shipments data'!Q:Q,"&lt;"&amp;'Supply planning data'!D274,'Shipments data'!AC:AC,"&lt;"&amp;'Supply planning data'!D274)-SUMIFS(M:M,D:D,"&lt;="&amp;D259,C:C,C259)-SUMIFS(AA:AA,D:D,"&lt;="&amp;D259,C:C,C259)+SUMIFS(N:N,D:D,"&lt;="&amp;D259,C:C,C259)+SUMIFS(P:P,D:D,"&lt;="&amp;D259,C:C,C259)&lt;0,0,SUMIFS('Shipments data'!L:L,'Shipments data'!F:F,'Supply planning data'!C259,'Shipments data'!A:A,'Supply planning data'!A259,'Shipments data'!O:O,"received",'Shipments data'!Q:Q,"&lt;"&amp;'Supply planning data'!D274,'Shipments data'!AC:AC,"&lt;"&amp;'Supply planning data'!D274)-SUMIFS(M:M,D:D,"&lt;="&amp;D259,C:C,C259)-SUMIFS(AA:AA,D:D,"&lt;="&amp;D259,C:C,C259)+SUMIFS(N:N,D:D,"&lt;="&amp;D259,C:C,C259)+SUMIFS(P:P,D:D,"&lt;="&amp;D259,C:C,C259))</f>
        <v>0</v>
      </c>
      <c r="AD259" s="98">
        <f t="shared" si="81"/>
        <v>0</v>
      </c>
      <c r="AE259" s="98">
        <f t="shared" si="75"/>
        <v>0</v>
      </c>
      <c r="AF259" s="205" t="str">
        <f t="shared" si="84"/>
        <v/>
      </c>
      <c r="AG259" s="98">
        <f t="shared" si="82"/>
        <v>0</v>
      </c>
      <c r="AH259" s="97"/>
      <c r="AI259" s="311"/>
      <c r="AJ259" s="98">
        <f t="shared" si="74"/>
        <v>0</v>
      </c>
      <c r="AK259" s="233"/>
      <c r="AL259" s="98">
        <f>IF(SUMIFS('Shipments data'!L:L,'Shipments data'!F:F,'Supply planning data'!C259,'Shipments data'!A:A,'Supply planning data'!A259,'Shipments data'!O:O,"received",'Shipments data'!Q:Q,"&lt;"&amp;'Supply planning data'!D274,'Shipments data'!AC:AC,"&lt;"&amp;'Supply planning data'!D274)-SUMIFS(M:M,D:D,"&lt;="&amp;D259,C:C,C259)-SUMIFS(AJ:AJ,D:D,"&lt;="&amp;D259,C:C,C259)+SUMIFS(N:N,D:D,"&lt;="&amp;D259,C:C,C259)+SUMIFS(P:P,D:D,"&lt;="&amp;D259,C:C,C259)&lt;0,0,SUMIFS('Shipments data'!L:L,'Shipments data'!F:F,'Supply planning data'!C259,'Shipments data'!A:A,'Supply planning data'!A259,'Shipments data'!O:O,"received",'Shipments data'!Q:Q,"&lt;"&amp;'Supply planning data'!D274,'Shipments data'!AC:AC,"&lt;"&amp;'Supply planning data'!D274)-SUMIFS(M:M,D:D,"&lt;="&amp;D259,C:C,C259)-SUMIFS(AJ:AJ,D:D,"&lt;="&amp;D259,C:C,C259)+SUMIFS(N:N,D:D,"&lt;="&amp;D259,C:C,C259)+SUMIFS(P:P,D:D,"&lt;="&amp;D259,C:C,C259))</f>
        <v>0</v>
      </c>
      <c r="AM259" s="98">
        <f t="shared" si="83"/>
        <v>0</v>
      </c>
      <c r="AN259" s="98">
        <f t="shared" si="76"/>
        <v>0</v>
      </c>
      <c r="AO259" s="203" t="str">
        <f t="shared" si="86"/>
        <v/>
      </c>
    </row>
    <row r="260" spans="1:41" x14ac:dyDescent="0.25">
      <c r="A260" s="103" t="str">
        <f>Start!D$7</f>
        <v>Anyland</v>
      </c>
      <c r="B260" s="104" t="str">
        <f>VLOOKUP(A260,list!B:C,2,FALSE)</f>
        <v>ANY</v>
      </c>
      <c r="C260" s="104" t="str">
        <f>IF(Start!$C$17="","",Start!$C$17)</f>
        <v>AstraZeneca</v>
      </c>
      <c r="D260" s="298">
        <f t="shared" si="77"/>
        <v>44713</v>
      </c>
      <c r="E260" s="105" t="str">
        <f>IFERROR(VLOOKUP(C260,Start!C$15:D$31,2,FALSE),"No")</f>
        <v>Yes</v>
      </c>
      <c r="F260" s="105">
        <f t="shared" si="78"/>
        <v>0</v>
      </c>
      <c r="G260" s="106"/>
      <c r="H260" s="106"/>
      <c r="I260" s="106"/>
      <c r="J260" s="105">
        <f t="shared" si="70"/>
        <v>0</v>
      </c>
      <c r="K260" s="106"/>
      <c r="L260" s="177" t="str">
        <f t="shared" si="71"/>
        <v/>
      </c>
      <c r="M260" s="105">
        <f t="shared" si="72"/>
        <v>0</v>
      </c>
      <c r="N260" s="106"/>
      <c r="O260" s="123"/>
      <c r="P260" s="106"/>
      <c r="Q260" s="123"/>
      <c r="R260" s="105">
        <f>SUMIFS('Shipments data'!L:L,'Shipments data'!F:F,'Supply planning data'!C260,'Shipments data'!A:A,'Supply planning data'!A260,'Shipments data'!Y:Y,'Supply planning data'!D260,'Shipments data'!O:O,"received", 'Shipments data'!N:N, "Public")</f>
        <v>0</v>
      </c>
      <c r="S260" s="105">
        <f>SUMIFS('Shipments data'!L:L,'Shipments data'!F:F,'Supply planning data'!C260,'Shipments data'!A:A,'Supply planning data'!A260,'Shipments data'!Y:Y,'Supply planning data'!D260,'Shipments data'!O:O,"ordered", 'Shipments data'!N:N, "Public")</f>
        <v>0</v>
      </c>
      <c r="T260" s="105">
        <f>IF(SUMIFS('Shipments data'!L:L,'Shipments data'!F:F,'Supply planning data'!C260,'Shipments data'!A:A,'Supply planning data'!A260,'Shipments data'!O:O,"received",'Shipments data'!Q:Q,"&lt;"&amp;'Supply planning data'!D275,'Shipments data'!AC:AC,"&lt;"&amp;'Supply planning data'!D275)-SUMIFS(M:M,D:D,"&lt;="&amp;D260,C:C,C260)+SUMIFS(N:N,D:D,"&lt;="&amp;D260,C:C,C260)+SUMIFS(P:P,D:D,"&lt;="&amp;D260,C:C,C260)&lt;0,0,SUMIFS('Shipments data'!L:L,'Shipments data'!F:F,'Supply planning data'!C260,'Shipments data'!A:A,'Supply planning data'!A260,'Shipments data'!O:O,"received",'Shipments data'!Q:Q,"&lt;"&amp;'Supply planning data'!D275,'Shipments data'!AC:AC,"&lt;"&amp;'Supply planning data'!D275)-SUMIFS(M:M,D:D,"&lt;="&amp;D260,C:C,C260)+SUMIFS(N:N,D:D,"&lt;="&amp;D260,C:C,C260)+SUMIFS(P:P,D:D,"&lt;="&amp;D260,C:C,C260))</f>
        <v>0</v>
      </c>
      <c r="U260" s="108">
        <f t="shared" si="79"/>
        <v>0</v>
      </c>
      <c r="V260" s="105">
        <f t="shared" si="87"/>
        <v>0</v>
      </c>
      <c r="W260" s="206" t="str">
        <f t="shared" si="85"/>
        <v/>
      </c>
      <c r="X260" s="105">
        <f t="shared" si="80"/>
        <v>634701</v>
      </c>
      <c r="Y260" s="106">
        <v>80000</v>
      </c>
      <c r="Z260" s="107"/>
      <c r="AA260" s="105">
        <f t="shared" si="73"/>
        <v>80000</v>
      </c>
      <c r="AB260" s="234"/>
      <c r="AC260" s="105">
        <f>IF(SUMIFS('Shipments data'!L:L,'Shipments data'!F:F,'Supply planning data'!C260,'Shipments data'!A:A,'Supply planning data'!A260,'Shipments data'!O:O,"received",'Shipments data'!Q:Q,"&lt;"&amp;'Supply planning data'!D275,'Shipments data'!AC:AC,"&lt;"&amp;'Supply planning data'!D275)-SUMIFS(M:M,D:D,"&lt;="&amp;D260,C:C,C260)-SUMIFS(AA:AA,D:D,"&lt;="&amp;D260,C:C,C260)+SUMIFS(N:N,D:D,"&lt;="&amp;D260,C:C,C260)+SUMIFS(P:P,D:D,"&lt;="&amp;D260,C:C,C260)&lt;0,0,SUMIFS('Shipments data'!L:L,'Shipments data'!F:F,'Supply planning data'!C260,'Shipments data'!A:A,'Supply planning data'!A260,'Shipments data'!O:O,"received",'Shipments data'!Q:Q,"&lt;"&amp;'Supply planning data'!D275,'Shipments data'!AC:AC,"&lt;"&amp;'Supply planning data'!D275)-SUMIFS(M:M,D:D,"&lt;="&amp;D260,C:C,C260)-SUMIFS(AA:AA,D:D,"&lt;="&amp;D260,C:C,C260)+SUMIFS(N:N,D:D,"&lt;="&amp;D260,C:C,C260)+SUMIFS(P:P,D:D,"&lt;="&amp;D260,C:C,C260))</f>
        <v>0</v>
      </c>
      <c r="AD260" s="105">
        <f t="shared" si="81"/>
        <v>0</v>
      </c>
      <c r="AE260" s="105">
        <f t="shared" si="75"/>
        <v>554701</v>
      </c>
      <c r="AF260" s="206">
        <f t="shared" si="84"/>
        <v>6.9337625000000003</v>
      </c>
      <c r="AG260" s="105">
        <f t="shared" si="82"/>
        <v>0</v>
      </c>
      <c r="AH260" s="106"/>
      <c r="AI260" s="312"/>
      <c r="AJ260" s="105">
        <f t="shared" si="74"/>
        <v>0</v>
      </c>
      <c r="AK260" s="234"/>
      <c r="AL260" s="105">
        <f>IF(SUMIFS('Shipments data'!L:L,'Shipments data'!F:F,'Supply planning data'!C260,'Shipments data'!A:A,'Supply planning data'!A260,'Shipments data'!O:O,"received",'Shipments data'!Q:Q,"&lt;"&amp;'Supply planning data'!D275,'Shipments data'!AC:AC,"&lt;"&amp;'Supply planning data'!D275)-SUMIFS(M:M,D:D,"&lt;="&amp;D260,C:C,C260)-SUMIFS(AJ:AJ,D:D,"&lt;="&amp;D260,C:C,C260)+SUMIFS(N:N,D:D,"&lt;="&amp;D260,C:C,C260)+SUMIFS(P:P,D:D,"&lt;="&amp;D260,C:C,C260)&lt;0,0,SUMIFS('Shipments data'!L:L,'Shipments data'!F:F,'Supply planning data'!C260,'Shipments data'!A:A,'Supply planning data'!A260,'Shipments data'!O:O,"received",'Shipments data'!Q:Q,"&lt;"&amp;'Supply planning data'!D275,'Shipments data'!AC:AC,"&lt;"&amp;'Supply planning data'!D275)-SUMIFS(M:M,D:D,"&lt;="&amp;D260,C:C,C260)-SUMIFS(AJ:AJ,D:D,"&lt;="&amp;D260,C:C,C260)+SUMIFS(N:N,D:D,"&lt;="&amp;D260,C:C,C260)+SUMIFS(P:P,D:D,"&lt;="&amp;D260,C:C,C260))</f>
        <v>0</v>
      </c>
      <c r="AM260" s="105">
        <f t="shared" si="83"/>
        <v>0</v>
      </c>
      <c r="AN260" s="105">
        <f t="shared" si="76"/>
        <v>0</v>
      </c>
      <c r="AO260" s="206" t="str">
        <f t="shared" si="86"/>
        <v/>
      </c>
    </row>
    <row r="261" spans="1:41" x14ac:dyDescent="0.25">
      <c r="A261" s="103" t="str">
        <f>Start!D$7</f>
        <v>Anyland</v>
      </c>
      <c r="B261" s="109" t="str">
        <f>VLOOKUP(A261,list!B:C,2,FALSE)</f>
        <v>ANY</v>
      </c>
      <c r="C261" s="109" t="str">
        <f>IF(Start!$C$18="","",Start!$C$18)</f>
        <v>Jansen</v>
      </c>
      <c r="D261" s="298">
        <f t="shared" si="77"/>
        <v>44713</v>
      </c>
      <c r="E261" s="105" t="str">
        <f>IFERROR(VLOOKUP(C261,Start!C$15:D$31,2,FALSE),"No")</f>
        <v>Yes</v>
      </c>
      <c r="F261" s="105">
        <f t="shared" si="78"/>
        <v>2058747</v>
      </c>
      <c r="G261" s="106"/>
      <c r="H261" s="106"/>
      <c r="I261" s="106"/>
      <c r="J261" s="105">
        <f t="shared" ref="J261:J324" si="89">SUM(G261:I261)</f>
        <v>0</v>
      </c>
      <c r="K261" s="106"/>
      <c r="L261" s="177" t="str">
        <f t="shared" ref="L261:L324" si="90">IFERROR(K261/J261, "")</f>
        <v/>
      </c>
      <c r="M261" s="105">
        <f t="shared" ref="M261:M324" si="91">SUM(J261,K261)</f>
        <v>0</v>
      </c>
      <c r="N261" s="110"/>
      <c r="O261" s="124"/>
      <c r="P261" s="110"/>
      <c r="Q261" s="124"/>
      <c r="R261" s="111">
        <f>SUMIFS('Shipments data'!L:L,'Shipments data'!F:F,'Supply planning data'!C261,'Shipments data'!A:A,'Supply planning data'!A261,'Shipments data'!Y:Y,'Supply planning data'!D261,'Shipments data'!O:O,"received", 'Shipments data'!N:N, "Public")</f>
        <v>0</v>
      </c>
      <c r="S261" s="111">
        <f>SUMIFS('Shipments data'!L:L,'Shipments data'!F:F,'Supply planning data'!C261,'Shipments data'!A:A,'Supply planning data'!A261,'Shipments data'!Y:Y,'Supply planning data'!D261,'Shipments data'!O:O,"ordered", 'Shipments data'!N:N, "Public")</f>
        <v>0</v>
      </c>
      <c r="T261" s="111">
        <f>IF(SUMIFS('Shipments data'!L:L,'Shipments data'!F:F,'Supply planning data'!C261,'Shipments data'!A:A,'Supply planning data'!A261,'Shipments data'!O:O,"received",'Shipments data'!Q:Q,"&lt;"&amp;'Supply planning data'!D276,'Shipments data'!AC:AC,"&lt;"&amp;'Supply planning data'!D276)-SUMIFS(M:M,D:D,"&lt;="&amp;D261,C:C,C261)+SUMIFS(N:N,D:D,"&lt;="&amp;D261,C:C,C261)+SUMIFS(P:P,D:D,"&lt;="&amp;D261,C:C,C261)&lt;0,0,SUMIFS('Shipments data'!L:L,'Shipments data'!F:F,'Supply planning data'!C261,'Shipments data'!A:A,'Supply planning data'!A261,'Shipments data'!O:O,"received",'Shipments data'!Q:Q,"&lt;"&amp;'Supply planning data'!D276,'Shipments data'!AC:AC,"&lt;"&amp;'Supply planning data'!D276)-SUMIFS(M:M,D:D,"&lt;="&amp;D261,C:C,C261)+SUMIFS(N:N,D:D,"&lt;="&amp;D261,C:C,C261)+SUMIFS(P:P,D:D,"&lt;="&amp;D261,C:C,C261))</f>
        <v>0</v>
      </c>
      <c r="U261" s="112">
        <f t="shared" si="79"/>
        <v>0</v>
      </c>
      <c r="V261" s="111">
        <f t="shared" si="87"/>
        <v>2058747</v>
      </c>
      <c r="W261" s="204" t="str">
        <f t="shared" si="85"/>
        <v/>
      </c>
      <c r="X261" s="111">
        <f t="shared" si="80"/>
        <v>1978747</v>
      </c>
      <c r="Y261" s="110">
        <v>80000</v>
      </c>
      <c r="Z261" s="107"/>
      <c r="AA261" s="111">
        <f t="shared" ref="AA261:AA324" si="92">IFERROR(Z261*Y261,0)+Y261</f>
        <v>80000</v>
      </c>
      <c r="AB261" s="235"/>
      <c r="AC261" s="111">
        <f>IF(SUMIFS('Shipments data'!L:L,'Shipments data'!F:F,'Supply planning data'!C261,'Shipments data'!A:A,'Supply planning data'!A261,'Shipments data'!O:O,"received",'Shipments data'!Q:Q,"&lt;"&amp;'Supply planning data'!D276,'Shipments data'!AC:AC,"&lt;"&amp;'Supply planning data'!D276)-SUMIFS(M:M,D:D,"&lt;="&amp;D261,C:C,C261)-SUMIFS(AA:AA,D:D,"&lt;="&amp;D261,C:C,C261)+SUMIFS(N:N,D:D,"&lt;="&amp;D261,C:C,C261)+SUMIFS(P:P,D:D,"&lt;="&amp;D261,C:C,C261)&lt;0,0,SUMIFS('Shipments data'!L:L,'Shipments data'!F:F,'Supply planning data'!C261,'Shipments data'!A:A,'Supply planning data'!A261,'Shipments data'!O:O,"received",'Shipments data'!Q:Q,"&lt;"&amp;'Supply planning data'!D276,'Shipments data'!AC:AC,"&lt;"&amp;'Supply planning data'!D276)-SUMIFS(M:M,D:D,"&lt;="&amp;D261,C:C,C261)-SUMIFS(AA:AA,D:D,"&lt;="&amp;D261,C:C,C261)+SUMIFS(N:N,D:D,"&lt;="&amp;D261,C:C,C261)+SUMIFS(P:P,D:D,"&lt;="&amp;D261,C:C,C261))</f>
        <v>0</v>
      </c>
      <c r="AD261" s="111">
        <f t="shared" si="81"/>
        <v>0</v>
      </c>
      <c r="AE261" s="111">
        <f t="shared" si="75"/>
        <v>1898747</v>
      </c>
      <c r="AF261" s="204">
        <f t="shared" si="84"/>
        <v>23.734337499999999</v>
      </c>
      <c r="AG261" s="111">
        <f t="shared" si="82"/>
        <v>2058747</v>
      </c>
      <c r="AH261" s="110"/>
      <c r="AI261" s="313"/>
      <c r="AJ261" s="111">
        <f t="shared" ref="AJ261:AJ324" si="93">IFERROR(AI261*AH261,0)+AH261</f>
        <v>0</v>
      </c>
      <c r="AK261" s="235"/>
      <c r="AL261" s="111">
        <f>IF(SUMIFS('Shipments data'!L:L,'Shipments data'!F:F,'Supply planning data'!C261,'Shipments data'!A:A,'Supply planning data'!A261,'Shipments data'!O:O,"received",'Shipments data'!Q:Q,"&lt;"&amp;'Supply planning data'!D276,'Shipments data'!AC:AC,"&lt;"&amp;'Supply planning data'!D276)-SUMIFS(M:M,D:D,"&lt;="&amp;D261,C:C,C261)-SUMIFS(AJ:AJ,D:D,"&lt;="&amp;D261,C:C,C261)+SUMIFS(N:N,D:D,"&lt;="&amp;D261,C:C,C261)+SUMIFS(P:P,D:D,"&lt;="&amp;D261,C:C,C261)&lt;0,0,SUMIFS('Shipments data'!L:L,'Shipments data'!F:F,'Supply planning data'!C261,'Shipments data'!A:A,'Supply planning data'!A261,'Shipments data'!O:O,"received",'Shipments data'!Q:Q,"&lt;"&amp;'Supply planning data'!D276,'Shipments data'!AC:AC,"&lt;"&amp;'Supply planning data'!D276)-SUMIFS(M:M,D:D,"&lt;="&amp;D261,C:C,C261)-SUMIFS(AJ:AJ,D:D,"&lt;="&amp;D261,C:C,C261)+SUMIFS(N:N,D:D,"&lt;="&amp;D261,C:C,C261)+SUMIFS(P:P,D:D,"&lt;="&amp;D261,C:C,C261))</f>
        <v>0</v>
      </c>
      <c r="AM261" s="111">
        <f t="shared" si="83"/>
        <v>0</v>
      </c>
      <c r="AN261" s="111">
        <f t="shared" si="76"/>
        <v>2058747</v>
      </c>
      <c r="AO261" s="204" t="str">
        <f t="shared" si="86"/>
        <v/>
      </c>
    </row>
    <row r="262" spans="1:41" x14ac:dyDescent="0.25">
      <c r="A262" s="103" t="str">
        <f>Start!D$7</f>
        <v>Anyland</v>
      </c>
      <c r="B262" s="109" t="str">
        <f>VLOOKUP(A262,list!B:C,2,FALSE)</f>
        <v>ANY</v>
      </c>
      <c r="C262" s="104" t="str">
        <f>IF(Start!$C$19="","",Start!$C$19)</f>
        <v>Moderna</v>
      </c>
      <c r="D262" s="298">
        <f t="shared" si="77"/>
        <v>44713</v>
      </c>
      <c r="E262" s="105" t="str">
        <f>IFERROR(VLOOKUP(C262,Start!C$15:D$31,2,FALSE),"No")</f>
        <v>No</v>
      </c>
      <c r="F262" s="105">
        <f t="shared" si="78"/>
        <v>0</v>
      </c>
      <c r="G262" s="106"/>
      <c r="H262" s="106"/>
      <c r="I262" s="106"/>
      <c r="J262" s="105">
        <f t="shared" si="89"/>
        <v>0</v>
      </c>
      <c r="K262" s="106"/>
      <c r="L262" s="177" t="str">
        <f t="shared" si="90"/>
        <v/>
      </c>
      <c r="M262" s="105">
        <f t="shared" si="91"/>
        <v>0</v>
      </c>
      <c r="N262" s="110"/>
      <c r="O262" s="124"/>
      <c r="P262" s="110"/>
      <c r="Q262" s="124"/>
      <c r="R262" s="111">
        <f>SUMIFS('Shipments data'!L:L,'Shipments data'!F:F,'Supply planning data'!C262,'Shipments data'!A:A,'Supply planning data'!A262,'Shipments data'!Y:Y,'Supply planning data'!D262,'Shipments data'!O:O,"received", 'Shipments data'!N:N, "Public")</f>
        <v>0</v>
      </c>
      <c r="S262" s="111">
        <f>SUMIFS('Shipments data'!L:L,'Shipments data'!F:F,'Supply planning data'!C262,'Shipments data'!A:A,'Supply planning data'!A262,'Shipments data'!Y:Y,'Supply planning data'!D262,'Shipments data'!O:O,"ordered", 'Shipments data'!N:N, "Public")</f>
        <v>0</v>
      </c>
      <c r="T262" s="111">
        <f>IF(SUMIFS('Shipments data'!L:L,'Shipments data'!F:F,'Supply planning data'!C262,'Shipments data'!A:A,'Supply planning data'!A262,'Shipments data'!O:O,"received",'Shipments data'!Q:Q,"&lt;"&amp;'Supply planning data'!D277,'Shipments data'!AC:AC,"&lt;"&amp;'Supply planning data'!D277)-SUMIFS(M:M,D:D,"&lt;="&amp;D262,C:C,C262)+SUMIFS(N:N,D:D,"&lt;="&amp;D262,C:C,C262)+SUMIFS(P:P,D:D,"&lt;="&amp;D262,C:C,C262)&lt;0,0,SUMIFS('Shipments data'!L:L,'Shipments data'!F:F,'Supply planning data'!C262,'Shipments data'!A:A,'Supply planning data'!A262,'Shipments data'!O:O,"received",'Shipments data'!Q:Q,"&lt;"&amp;'Supply planning data'!D277,'Shipments data'!AC:AC,"&lt;"&amp;'Supply planning data'!D277)-SUMIFS(M:M,D:D,"&lt;="&amp;D262,C:C,C262)+SUMIFS(N:N,D:D,"&lt;="&amp;D262,C:C,C262)+SUMIFS(P:P,D:D,"&lt;="&amp;D262,C:C,C262))</f>
        <v>0</v>
      </c>
      <c r="U262" s="112">
        <f t="shared" si="79"/>
        <v>0</v>
      </c>
      <c r="V262" s="111">
        <f t="shared" si="87"/>
        <v>0</v>
      </c>
      <c r="W262" s="204" t="str">
        <f t="shared" si="85"/>
        <v/>
      </c>
      <c r="X262" s="111">
        <f t="shared" si="80"/>
        <v>0</v>
      </c>
      <c r="Y262" s="110">
        <v>80000</v>
      </c>
      <c r="Z262" s="107"/>
      <c r="AA262" s="111">
        <f t="shared" si="92"/>
        <v>80000</v>
      </c>
      <c r="AB262" s="235"/>
      <c r="AC262" s="111">
        <f>IF(SUMIFS('Shipments data'!L:L,'Shipments data'!F:F,'Supply planning data'!C262,'Shipments data'!A:A,'Supply planning data'!A262,'Shipments data'!O:O,"received",'Shipments data'!Q:Q,"&lt;"&amp;'Supply planning data'!D277,'Shipments data'!AC:AC,"&lt;"&amp;'Supply planning data'!D277)-SUMIFS(M:M,D:D,"&lt;="&amp;D262,C:C,C262)-SUMIFS(AA:AA,D:D,"&lt;="&amp;D262,C:C,C262)+SUMIFS(N:N,D:D,"&lt;="&amp;D262,C:C,C262)+SUMIFS(P:P,D:D,"&lt;="&amp;D262,C:C,C262)&lt;0,0,SUMIFS('Shipments data'!L:L,'Shipments data'!F:F,'Supply planning data'!C262,'Shipments data'!A:A,'Supply planning data'!A262,'Shipments data'!O:O,"received",'Shipments data'!Q:Q,"&lt;"&amp;'Supply planning data'!D277,'Shipments data'!AC:AC,"&lt;"&amp;'Supply planning data'!D277)-SUMIFS(M:M,D:D,"&lt;="&amp;D262,C:C,C262)-SUMIFS(AA:AA,D:D,"&lt;="&amp;D262,C:C,C262)+SUMIFS(N:N,D:D,"&lt;="&amp;D262,C:C,C262)+SUMIFS(P:P,D:D,"&lt;="&amp;D262,C:C,C262))</f>
        <v>0</v>
      </c>
      <c r="AD262" s="111">
        <f t="shared" si="81"/>
        <v>0</v>
      </c>
      <c r="AE262" s="111">
        <f t="shared" ref="AE262:AE325" si="94">IF(X262+R262+S262+AB262+N262+P262-M262-AA262-U262&lt;0,0,X262+R262+S262+AB262+N262+P262-M262-AA262-U262)</f>
        <v>0</v>
      </c>
      <c r="AF262" s="204">
        <f t="shared" si="84"/>
        <v>0</v>
      </c>
      <c r="AG262" s="111">
        <f t="shared" si="82"/>
        <v>0</v>
      </c>
      <c r="AH262" s="110"/>
      <c r="AI262" s="313"/>
      <c r="AJ262" s="111">
        <f t="shared" si="93"/>
        <v>0</v>
      </c>
      <c r="AK262" s="235"/>
      <c r="AL262" s="111">
        <f>IF(SUMIFS('Shipments data'!L:L,'Shipments data'!F:F,'Supply planning data'!C262,'Shipments data'!A:A,'Supply planning data'!A262,'Shipments data'!O:O,"received",'Shipments data'!Q:Q,"&lt;"&amp;'Supply planning data'!D277,'Shipments data'!AC:AC,"&lt;"&amp;'Supply planning data'!D277)-SUMIFS(M:M,D:D,"&lt;="&amp;D262,C:C,C262)-SUMIFS(AJ:AJ,D:D,"&lt;="&amp;D262,C:C,C262)+SUMIFS(N:N,D:D,"&lt;="&amp;D262,C:C,C262)+SUMIFS(P:P,D:D,"&lt;="&amp;D262,C:C,C262)&lt;0,0,SUMIFS('Shipments data'!L:L,'Shipments data'!F:F,'Supply planning data'!C262,'Shipments data'!A:A,'Supply planning data'!A262,'Shipments data'!O:O,"received",'Shipments data'!Q:Q,"&lt;"&amp;'Supply planning data'!D277,'Shipments data'!AC:AC,"&lt;"&amp;'Supply planning data'!D277)-SUMIFS(M:M,D:D,"&lt;="&amp;D262,C:C,C262)-SUMIFS(AJ:AJ,D:D,"&lt;="&amp;D262,C:C,C262)+SUMIFS(N:N,D:D,"&lt;="&amp;D262,C:C,C262)+SUMIFS(P:P,D:D,"&lt;="&amp;D262,C:C,C262))</f>
        <v>0</v>
      </c>
      <c r="AM262" s="111">
        <f t="shared" si="83"/>
        <v>0</v>
      </c>
      <c r="AN262" s="111">
        <f t="shared" ref="AN262:AN325" si="95">IF(AG262+$R262+$S262+AK262+$N262+$P262-$M262-AJ262-$AM262&lt;0,0,AG262+$R262+$S262+AK262+$N262+$P262-$M262-AJ262-$AM262)</f>
        <v>0</v>
      </c>
      <c r="AO262" s="204" t="str">
        <f t="shared" si="86"/>
        <v/>
      </c>
    </row>
    <row r="263" spans="1:41" x14ac:dyDescent="0.25">
      <c r="A263" s="103" t="str">
        <f>Start!D$7</f>
        <v>Anyland</v>
      </c>
      <c r="B263" s="109" t="str">
        <f>VLOOKUP(A263,list!B:C,2,FALSE)</f>
        <v>ANY</v>
      </c>
      <c r="C263" s="109" t="str">
        <f>IF(Start!$C$20="","",Start!$C$20)</f>
        <v>Pfizer</v>
      </c>
      <c r="D263" s="298">
        <f t="shared" si="77"/>
        <v>44713</v>
      </c>
      <c r="E263" s="105" t="str">
        <f>IFERROR(VLOOKUP(C263,Start!C$15:D$31,2,FALSE),"No")</f>
        <v>Yes</v>
      </c>
      <c r="F263" s="105">
        <f t="shared" si="78"/>
        <v>110538</v>
      </c>
      <c r="G263" s="106"/>
      <c r="H263" s="106"/>
      <c r="I263" s="106"/>
      <c r="J263" s="105">
        <f t="shared" si="89"/>
        <v>0</v>
      </c>
      <c r="K263" s="106"/>
      <c r="L263" s="177" t="str">
        <f t="shared" si="90"/>
        <v/>
      </c>
      <c r="M263" s="105">
        <f t="shared" si="91"/>
        <v>0</v>
      </c>
      <c r="N263" s="110"/>
      <c r="O263" s="124"/>
      <c r="P263" s="110"/>
      <c r="Q263" s="124"/>
      <c r="R263" s="111">
        <f>SUMIFS('Shipments data'!L:L,'Shipments data'!F:F,'Supply planning data'!C263,'Shipments data'!A:A,'Supply planning data'!A263,'Shipments data'!Y:Y,'Supply planning data'!D263,'Shipments data'!O:O,"received", 'Shipments data'!N:N, "Public")</f>
        <v>0</v>
      </c>
      <c r="S263" s="111">
        <f>SUMIFS('Shipments data'!L:L,'Shipments data'!F:F,'Supply planning data'!C263,'Shipments data'!A:A,'Supply planning data'!A263,'Shipments data'!Y:Y,'Supply planning data'!D263,'Shipments data'!O:O,"ordered", 'Shipments data'!N:N, "Public")</f>
        <v>1000000</v>
      </c>
      <c r="T263" s="111">
        <f>IF(SUMIFS('Shipments data'!L:L,'Shipments data'!F:F,'Supply planning data'!C263,'Shipments data'!A:A,'Supply planning data'!A263,'Shipments data'!O:O,"received",'Shipments data'!Q:Q,"&lt;"&amp;'Supply planning data'!D278,'Shipments data'!AC:AC,"&lt;"&amp;'Supply planning data'!D278)-SUMIFS(M:M,D:D,"&lt;="&amp;D263,C:C,C263)+SUMIFS(N:N,D:D,"&lt;="&amp;D263,C:C,C263)+SUMIFS(P:P,D:D,"&lt;="&amp;D263,C:C,C263)&lt;0,0,SUMIFS('Shipments data'!L:L,'Shipments data'!F:F,'Supply planning data'!C263,'Shipments data'!A:A,'Supply planning data'!A263,'Shipments data'!O:O,"received",'Shipments data'!Q:Q,"&lt;"&amp;'Supply planning data'!D278,'Shipments data'!AC:AC,"&lt;"&amp;'Supply planning data'!D278)-SUMIFS(M:M,D:D,"&lt;="&amp;D263,C:C,C263)+SUMIFS(N:N,D:D,"&lt;="&amp;D263,C:C,C263)+SUMIFS(P:P,D:D,"&lt;="&amp;D263,C:C,C263))</f>
        <v>0</v>
      </c>
      <c r="U263" s="112">
        <f t="shared" si="79"/>
        <v>0</v>
      </c>
      <c r="V263" s="111">
        <f t="shared" si="87"/>
        <v>1110538</v>
      </c>
      <c r="W263" s="204" t="str">
        <f t="shared" si="85"/>
        <v/>
      </c>
      <c r="X263" s="111">
        <f t="shared" si="80"/>
        <v>30538</v>
      </c>
      <c r="Y263" s="110">
        <v>80000</v>
      </c>
      <c r="Z263" s="107"/>
      <c r="AA263" s="111">
        <f t="shared" si="92"/>
        <v>80000</v>
      </c>
      <c r="AB263" s="235"/>
      <c r="AC263" s="111">
        <f>IF(SUMIFS('Shipments data'!L:L,'Shipments data'!F:F,'Supply planning data'!C263,'Shipments data'!A:A,'Supply planning data'!A263,'Shipments data'!O:O,"received",'Shipments data'!Q:Q,"&lt;"&amp;'Supply planning data'!D278,'Shipments data'!AC:AC,"&lt;"&amp;'Supply planning data'!D278)-SUMIFS(M:M,D:D,"&lt;="&amp;D263,C:C,C263)-SUMIFS(AA:AA,D:D,"&lt;="&amp;D263,C:C,C263)+SUMIFS(N:N,D:D,"&lt;="&amp;D263,C:C,C263)+SUMIFS(P:P,D:D,"&lt;="&amp;D263,C:C,C263)&lt;0,0,SUMIFS('Shipments data'!L:L,'Shipments data'!F:F,'Supply planning data'!C263,'Shipments data'!A:A,'Supply planning data'!A263,'Shipments data'!O:O,"received",'Shipments data'!Q:Q,"&lt;"&amp;'Supply planning data'!D278,'Shipments data'!AC:AC,"&lt;"&amp;'Supply planning data'!D278)-SUMIFS(M:M,D:D,"&lt;="&amp;D263,C:C,C263)-SUMIFS(AA:AA,D:D,"&lt;="&amp;D263,C:C,C263)+SUMIFS(N:N,D:D,"&lt;="&amp;D263,C:C,C263)+SUMIFS(P:P,D:D,"&lt;="&amp;D263,C:C,C263))</f>
        <v>0</v>
      </c>
      <c r="AD263" s="111">
        <f t="shared" si="81"/>
        <v>0</v>
      </c>
      <c r="AE263" s="111">
        <f t="shared" si="94"/>
        <v>950538</v>
      </c>
      <c r="AF263" s="204">
        <f t="shared" si="84"/>
        <v>11.881724999999999</v>
      </c>
      <c r="AG263" s="111">
        <f t="shared" si="82"/>
        <v>110538</v>
      </c>
      <c r="AH263" s="110"/>
      <c r="AI263" s="313"/>
      <c r="AJ263" s="111">
        <f t="shared" si="93"/>
        <v>0</v>
      </c>
      <c r="AK263" s="235"/>
      <c r="AL263" s="111">
        <f>IF(SUMIFS('Shipments data'!L:L,'Shipments data'!F:F,'Supply planning data'!C263,'Shipments data'!A:A,'Supply planning data'!A263,'Shipments data'!O:O,"received",'Shipments data'!Q:Q,"&lt;"&amp;'Supply planning data'!D278,'Shipments data'!AC:AC,"&lt;"&amp;'Supply planning data'!D278)-SUMIFS(M:M,D:D,"&lt;="&amp;D263,C:C,C263)-SUMIFS(AJ:AJ,D:D,"&lt;="&amp;D263,C:C,C263)+SUMIFS(N:N,D:D,"&lt;="&amp;D263,C:C,C263)+SUMIFS(P:P,D:D,"&lt;="&amp;D263,C:C,C263)&lt;0,0,SUMIFS('Shipments data'!L:L,'Shipments data'!F:F,'Supply planning data'!C263,'Shipments data'!A:A,'Supply planning data'!A263,'Shipments data'!O:O,"received",'Shipments data'!Q:Q,"&lt;"&amp;'Supply planning data'!D278,'Shipments data'!AC:AC,"&lt;"&amp;'Supply planning data'!D278)-SUMIFS(M:M,D:D,"&lt;="&amp;D263,C:C,C263)-SUMIFS(AJ:AJ,D:D,"&lt;="&amp;D263,C:C,C263)+SUMIFS(N:N,D:D,"&lt;="&amp;D263,C:C,C263)+SUMIFS(P:P,D:D,"&lt;="&amp;D263,C:C,C263))</f>
        <v>0</v>
      </c>
      <c r="AM263" s="111">
        <f t="shared" si="83"/>
        <v>0</v>
      </c>
      <c r="AN263" s="111">
        <f t="shared" si="95"/>
        <v>1110538</v>
      </c>
      <c r="AO263" s="204" t="str">
        <f t="shared" si="86"/>
        <v/>
      </c>
    </row>
    <row r="264" spans="1:41" x14ac:dyDescent="0.25">
      <c r="A264" s="103" t="str">
        <f>Start!D$7</f>
        <v>Anyland</v>
      </c>
      <c r="B264" s="109" t="str">
        <f>VLOOKUP(A264,list!B:C,2,FALSE)</f>
        <v>ANY</v>
      </c>
      <c r="C264" s="104" t="str">
        <f>IF(Start!$C$21="","",Start!$C$21)</f>
        <v>Sinovac</v>
      </c>
      <c r="D264" s="298">
        <f t="shared" si="77"/>
        <v>44713</v>
      </c>
      <c r="E264" s="105" t="str">
        <f>IFERROR(VLOOKUP(C264,Start!C$15:D$31,2,FALSE),"No")</f>
        <v>No</v>
      </c>
      <c r="F264" s="105">
        <f t="shared" si="78"/>
        <v>0</v>
      </c>
      <c r="G264" s="106"/>
      <c r="H264" s="106"/>
      <c r="I264" s="106"/>
      <c r="J264" s="105">
        <f t="shared" si="89"/>
        <v>0</v>
      </c>
      <c r="K264" s="106"/>
      <c r="L264" s="177" t="str">
        <f t="shared" si="90"/>
        <v/>
      </c>
      <c r="M264" s="105">
        <f t="shared" si="91"/>
        <v>0</v>
      </c>
      <c r="N264" s="110"/>
      <c r="O264" s="124"/>
      <c r="P264" s="110"/>
      <c r="Q264" s="124"/>
      <c r="R264" s="111">
        <f>SUMIFS('Shipments data'!L:L,'Shipments data'!F:F,'Supply planning data'!C264,'Shipments data'!A:A,'Supply planning data'!A264,'Shipments data'!Y:Y,'Supply planning data'!D264,'Shipments data'!O:O,"received", 'Shipments data'!N:N, "Public")</f>
        <v>0</v>
      </c>
      <c r="S264" s="111">
        <f>SUMIFS('Shipments data'!L:L,'Shipments data'!F:F,'Supply planning data'!C264,'Shipments data'!A:A,'Supply planning data'!A264,'Shipments data'!Y:Y,'Supply planning data'!D264,'Shipments data'!O:O,"ordered", 'Shipments data'!N:N, "Public")</f>
        <v>0</v>
      </c>
      <c r="T264" s="111">
        <f>IF(SUMIFS('Shipments data'!L:L,'Shipments data'!F:F,'Supply planning data'!C264,'Shipments data'!A:A,'Supply planning data'!A264,'Shipments data'!O:O,"received",'Shipments data'!Q:Q,"&lt;"&amp;'Supply planning data'!D279,'Shipments data'!AC:AC,"&lt;"&amp;'Supply planning data'!D279)-SUMIFS(M:M,D:D,"&lt;="&amp;D264,C:C,C264)+SUMIFS(N:N,D:D,"&lt;="&amp;D264,C:C,C264)+SUMIFS(P:P,D:D,"&lt;="&amp;D264,C:C,C264)&lt;0,0,SUMIFS('Shipments data'!L:L,'Shipments data'!F:F,'Supply planning data'!C264,'Shipments data'!A:A,'Supply planning data'!A264,'Shipments data'!O:O,"received",'Shipments data'!Q:Q,"&lt;"&amp;'Supply planning data'!D279,'Shipments data'!AC:AC,"&lt;"&amp;'Supply planning data'!D279)-SUMIFS(M:M,D:D,"&lt;="&amp;D264,C:C,C264)+SUMIFS(N:N,D:D,"&lt;="&amp;D264,C:C,C264)+SUMIFS(P:P,D:D,"&lt;="&amp;D264,C:C,C264))</f>
        <v>0</v>
      </c>
      <c r="U264" s="112">
        <f t="shared" si="79"/>
        <v>0</v>
      </c>
      <c r="V264" s="111">
        <f t="shared" si="87"/>
        <v>0</v>
      </c>
      <c r="W264" s="204" t="str">
        <f t="shared" si="85"/>
        <v/>
      </c>
      <c r="X264" s="111">
        <f t="shared" si="80"/>
        <v>0</v>
      </c>
      <c r="Y264" s="110">
        <v>80000</v>
      </c>
      <c r="Z264" s="107"/>
      <c r="AA264" s="111">
        <f t="shared" si="92"/>
        <v>80000</v>
      </c>
      <c r="AB264" s="235"/>
      <c r="AC264" s="111">
        <f>IF(SUMIFS('Shipments data'!L:L,'Shipments data'!F:F,'Supply planning data'!C264,'Shipments data'!A:A,'Supply planning data'!A264,'Shipments data'!O:O,"received",'Shipments data'!Q:Q,"&lt;"&amp;'Supply planning data'!D279,'Shipments data'!AC:AC,"&lt;"&amp;'Supply planning data'!D279)-SUMIFS(M:M,D:D,"&lt;="&amp;D264,C:C,C264)-SUMIFS(AA:AA,D:D,"&lt;="&amp;D264,C:C,C264)+SUMIFS(N:N,D:D,"&lt;="&amp;D264,C:C,C264)+SUMIFS(P:P,D:D,"&lt;="&amp;D264,C:C,C264)&lt;0,0,SUMIFS('Shipments data'!L:L,'Shipments data'!F:F,'Supply planning data'!C264,'Shipments data'!A:A,'Supply planning data'!A264,'Shipments data'!O:O,"received",'Shipments data'!Q:Q,"&lt;"&amp;'Supply planning data'!D279,'Shipments data'!AC:AC,"&lt;"&amp;'Supply planning data'!D279)-SUMIFS(M:M,D:D,"&lt;="&amp;D264,C:C,C264)-SUMIFS(AA:AA,D:D,"&lt;="&amp;D264,C:C,C264)+SUMIFS(N:N,D:D,"&lt;="&amp;D264,C:C,C264)+SUMIFS(P:P,D:D,"&lt;="&amp;D264,C:C,C264))</f>
        <v>0</v>
      </c>
      <c r="AD264" s="111">
        <f t="shared" si="81"/>
        <v>0</v>
      </c>
      <c r="AE264" s="111">
        <f t="shared" si="94"/>
        <v>0</v>
      </c>
      <c r="AF264" s="204">
        <f t="shared" si="84"/>
        <v>0</v>
      </c>
      <c r="AG264" s="111">
        <f t="shared" si="82"/>
        <v>0</v>
      </c>
      <c r="AH264" s="110"/>
      <c r="AI264" s="313"/>
      <c r="AJ264" s="111">
        <f t="shared" si="93"/>
        <v>0</v>
      </c>
      <c r="AK264" s="235"/>
      <c r="AL264" s="111">
        <f>IF(SUMIFS('Shipments data'!L:L,'Shipments data'!F:F,'Supply planning data'!C264,'Shipments data'!A:A,'Supply planning data'!A264,'Shipments data'!O:O,"received",'Shipments data'!Q:Q,"&lt;"&amp;'Supply planning data'!D279,'Shipments data'!AC:AC,"&lt;"&amp;'Supply planning data'!D279)-SUMIFS(M:M,D:D,"&lt;="&amp;D264,C:C,C264)-SUMIFS(AJ:AJ,D:D,"&lt;="&amp;D264,C:C,C264)+SUMIFS(N:N,D:D,"&lt;="&amp;D264,C:C,C264)+SUMIFS(P:P,D:D,"&lt;="&amp;D264,C:C,C264)&lt;0,0,SUMIFS('Shipments data'!L:L,'Shipments data'!F:F,'Supply planning data'!C264,'Shipments data'!A:A,'Supply planning data'!A264,'Shipments data'!O:O,"received",'Shipments data'!Q:Q,"&lt;"&amp;'Supply planning data'!D279,'Shipments data'!AC:AC,"&lt;"&amp;'Supply planning data'!D279)-SUMIFS(M:M,D:D,"&lt;="&amp;D264,C:C,C264)-SUMIFS(AJ:AJ,D:D,"&lt;="&amp;D264,C:C,C264)+SUMIFS(N:N,D:D,"&lt;="&amp;D264,C:C,C264)+SUMIFS(P:P,D:D,"&lt;="&amp;D264,C:C,C264))</f>
        <v>0</v>
      </c>
      <c r="AM264" s="111">
        <f t="shared" si="83"/>
        <v>0</v>
      </c>
      <c r="AN264" s="111">
        <f t="shared" si="95"/>
        <v>0</v>
      </c>
      <c r="AO264" s="204" t="str">
        <f t="shared" si="86"/>
        <v/>
      </c>
    </row>
    <row r="265" spans="1:41" hidden="1" x14ac:dyDescent="0.25">
      <c r="A265" s="103" t="str">
        <f>Start!D$7</f>
        <v>Anyland</v>
      </c>
      <c r="B265" s="109" t="str">
        <f>VLOOKUP(A265,list!B:C,2,FALSE)</f>
        <v>ANY</v>
      </c>
      <c r="C265" s="109" t="str">
        <f>IF(Start!$C$22="","",Start!$C$22)</f>
        <v/>
      </c>
      <c r="D265" s="298">
        <f t="shared" si="77"/>
        <v>44713</v>
      </c>
      <c r="E265" s="105" t="str">
        <f>IFERROR(VLOOKUP(C265,Start!C$15:D$31,2,FALSE),"No")</f>
        <v>No</v>
      </c>
      <c r="F265" s="105">
        <f t="shared" si="78"/>
        <v>0</v>
      </c>
      <c r="G265" s="106"/>
      <c r="H265" s="106"/>
      <c r="I265" s="106"/>
      <c r="J265" s="105">
        <f t="shared" si="89"/>
        <v>0</v>
      </c>
      <c r="K265" s="106"/>
      <c r="L265" s="177" t="str">
        <f t="shared" si="90"/>
        <v/>
      </c>
      <c r="M265" s="105">
        <f t="shared" si="91"/>
        <v>0</v>
      </c>
      <c r="N265" s="110"/>
      <c r="O265" s="124"/>
      <c r="P265" s="110"/>
      <c r="Q265" s="124"/>
      <c r="R265" s="111">
        <f>SUMIFS('Shipments data'!L:L,'Shipments data'!F:F,'Supply planning data'!C265,'Shipments data'!A:A,'Supply planning data'!A265,'Shipments data'!Y:Y,'Supply planning data'!D265,'Shipments data'!O:O,"received", 'Shipments data'!N:N, "Public")</f>
        <v>0</v>
      </c>
      <c r="S265" s="111">
        <f>SUMIFS('Shipments data'!L:L,'Shipments data'!F:F,'Supply planning data'!C265,'Shipments data'!A:A,'Supply planning data'!A265,'Shipments data'!Y:Y,'Supply planning data'!D265,'Shipments data'!O:O,"ordered", 'Shipments data'!N:N, "Public")</f>
        <v>0</v>
      </c>
      <c r="T265" s="111">
        <f>IF(SUMIFS('Shipments data'!L:L,'Shipments data'!F:F,'Supply planning data'!C265,'Shipments data'!A:A,'Supply planning data'!A265,'Shipments data'!O:O,"received",'Shipments data'!Q:Q,"&lt;"&amp;'Supply planning data'!D280,'Shipments data'!AC:AC,"&lt;"&amp;'Supply planning data'!D280)-SUMIFS(M:M,D:D,"&lt;="&amp;D265,C:C,C265)+SUMIFS(N:N,D:D,"&lt;="&amp;D265,C:C,C265)+SUMIFS(P:P,D:D,"&lt;="&amp;D265,C:C,C265)&lt;0,0,SUMIFS('Shipments data'!L:L,'Shipments data'!F:F,'Supply planning data'!C265,'Shipments data'!A:A,'Supply planning data'!A265,'Shipments data'!O:O,"received",'Shipments data'!Q:Q,"&lt;"&amp;'Supply planning data'!D280,'Shipments data'!AC:AC,"&lt;"&amp;'Supply planning data'!D280)-SUMIFS(M:M,D:D,"&lt;="&amp;D265,C:C,C265)+SUMIFS(N:N,D:D,"&lt;="&amp;D265,C:C,C265)+SUMIFS(P:P,D:D,"&lt;="&amp;D265,C:C,C265))</f>
        <v>0</v>
      </c>
      <c r="U265" s="112">
        <f t="shared" si="79"/>
        <v>0</v>
      </c>
      <c r="V265" s="111">
        <f t="shared" si="87"/>
        <v>0</v>
      </c>
      <c r="W265" s="204" t="str">
        <f t="shared" si="85"/>
        <v/>
      </c>
      <c r="X265" s="111">
        <f t="shared" si="80"/>
        <v>0</v>
      </c>
      <c r="Y265" s="110"/>
      <c r="Z265" s="107"/>
      <c r="AA265" s="111">
        <f t="shared" si="92"/>
        <v>0</v>
      </c>
      <c r="AB265" s="235"/>
      <c r="AC265" s="111">
        <f>IF(SUMIFS('Shipments data'!L:L,'Shipments data'!F:F,'Supply planning data'!C265,'Shipments data'!A:A,'Supply planning data'!A265,'Shipments data'!O:O,"received",'Shipments data'!Q:Q,"&lt;"&amp;'Supply planning data'!D280,'Shipments data'!AC:AC,"&lt;"&amp;'Supply planning data'!D280)-SUMIFS(M:M,D:D,"&lt;="&amp;D265,C:C,C265)-SUMIFS(AA:AA,D:D,"&lt;="&amp;D265,C:C,C265)+SUMIFS(N:N,D:D,"&lt;="&amp;D265,C:C,C265)+SUMIFS(P:P,D:D,"&lt;="&amp;D265,C:C,C265)&lt;0,0,SUMIFS('Shipments data'!L:L,'Shipments data'!F:F,'Supply planning data'!C265,'Shipments data'!A:A,'Supply planning data'!A265,'Shipments data'!O:O,"received",'Shipments data'!Q:Q,"&lt;"&amp;'Supply planning data'!D280,'Shipments data'!AC:AC,"&lt;"&amp;'Supply planning data'!D280)-SUMIFS(M:M,D:D,"&lt;="&amp;D265,C:C,C265)-SUMIFS(AA:AA,D:D,"&lt;="&amp;D265,C:C,C265)+SUMIFS(N:N,D:D,"&lt;="&amp;D265,C:C,C265)+SUMIFS(P:P,D:D,"&lt;="&amp;D265,C:C,C265))</f>
        <v>0</v>
      </c>
      <c r="AD265" s="111">
        <f t="shared" si="81"/>
        <v>0</v>
      </c>
      <c r="AE265" s="111">
        <f t="shared" si="94"/>
        <v>0</v>
      </c>
      <c r="AF265" s="204" t="str">
        <f t="shared" si="84"/>
        <v/>
      </c>
      <c r="AG265" s="111">
        <f t="shared" si="82"/>
        <v>0</v>
      </c>
      <c r="AH265" s="110"/>
      <c r="AI265" s="313"/>
      <c r="AJ265" s="111">
        <f t="shared" si="93"/>
        <v>0</v>
      </c>
      <c r="AK265" s="235"/>
      <c r="AL265" s="111">
        <f>IF(SUMIFS('Shipments data'!L:L,'Shipments data'!F:F,'Supply planning data'!C265,'Shipments data'!A:A,'Supply planning data'!A265,'Shipments data'!O:O,"received",'Shipments data'!Q:Q,"&lt;"&amp;'Supply planning data'!D280,'Shipments data'!AC:AC,"&lt;"&amp;'Supply planning data'!D280)-SUMIFS(M:M,D:D,"&lt;="&amp;D265,C:C,C265)-SUMIFS(AJ:AJ,D:D,"&lt;="&amp;D265,C:C,C265)+SUMIFS(N:N,D:D,"&lt;="&amp;D265,C:C,C265)+SUMIFS(P:P,D:D,"&lt;="&amp;D265,C:C,C265)&lt;0,0,SUMIFS('Shipments data'!L:L,'Shipments data'!F:F,'Supply planning data'!C265,'Shipments data'!A:A,'Supply planning data'!A265,'Shipments data'!O:O,"received",'Shipments data'!Q:Q,"&lt;"&amp;'Supply planning data'!D280,'Shipments data'!AC:AC,"&lt;"&amp;'Supply planning data'!D280)-SUMIFS(M:M,D:D,"&lt;="&amp;D265,C:C,C265)-SUMIFS(AJ:AJ,D:D,"&lt;="&amp;D265,C:C,C265)+SUMIFS(N:N,D:D,"&lt;="&amp;D265,C:C,C265)+SUMIFS(P:P,D:D,"&lt;="&amp;D265,C:C,C265))</f>
        <v>0</v>
      </c>
      <c r="AM265" s="111">
        <f t="shared" si="83"/>
        <v>0</v>
      </c>
      <c r="AN265" s="111">
        <f t="shared" si="95"/>
        <v>0</v>
      </c>
      <c r="AO265" s="204" t="str">
        <f t="shared" si="86"/>
        <v/>
      </c>
    </row>
    <row r="266" spans="1:41" hidden="1" x14ac:dyDescent="0.25">
      <c r="A266" s="103" t="str">
        <f>Start!D$7</f>
        <v>Anyland</v>
      </c>
      <c r="B266" s="109" t="str">
        <f>VLOOKUP(A266,list!B:C,2,FALSE)</f>
        <v>ANY</v>
      </c>
      <c r="C266" s="104" t="str">
        <f>IF(Start!$C$23="","",Start!$C$23)</f>
        <v/>
      </c>
      <c r="D266" s="298">
        <f t="shared" si="77"/>
        <v>44713</v>
      </c>
      <c r="E266" s="105" t="str">
        <f>IFERROR(VLOOKUP(C266,Start!C$15:D$31,2,FALSE),"No")</f>
        <v>No</v>
      </c>
      <c r="F266" s="105">
        <f t="shared" si="78"/>
        <v>0</v>
      </c>
      <c r="G266" s="106"/>
      <c r="H266" s="106"/>
      <c r="I266" s="106"/>
      <c r="J266" s="105">
        <f t="shared" si="89"/>
        <v>0</v>
      </c>
      <c r="K266" s="106"/>
      <c r="L266" s="177" t="str">
        <f t="shared" si="90"/>
        <v/>
      </c>
      <c r="M266" s="105">
        <f t="shared" si="91"/>
        <v>0</v>
      </c>
      <c r="N266" s="110"/>
      <c r="O266" s="124"/>
      <c r="P266" s="110"/>
      <c r="Q266" s="124"/>
      <c r="R266" s="111">
        <f>SUMIFS('Shipments data'!L:L,'Shipments data'!F:F,'Supply planning data'!C266,'Shipments data'!A:A,'Supply planning data'!A266,'Shipments data'!Y:Y,'Supply planning data'!D266,'Shipments data'!O:O,"received", 'Shipments data'!N:N, "Public")</f>
        <v>0</v>
      </c>
      <c r="S266" s="111">
        <f>SUMIFS('Shipments data'!L:L,'Shipments data'!F:F,'Supply planning data'!C266,'Shipments data'!A:A,'Supply planning data'!A266,'Shipments data'!Y:Y,'Supply planning data'!D266,'Shipments data'!O:O,"ordered", 'Shipments data'!N:N, "Public")</f>
        <v>0</v>
      </c>
      <c r="T266" s="111">
        <f>IF(SUMIFS('Shipments data'!L:L,'Shipments data'!F:F,'Supply planning data'!C266,'Shipments data'!A:A,'Supply planning data'!A266,'Shipments data'!O:O,"received",'Shipments data'!Q:Q,"&lt;"&amp;'Supply planning data'!D281,'Shipments data'!AC:AC,"&lt;"&amp;'Supply planning data'!D281)-SUMIFS(M:M,D:D,"&lt;="&amp;D266,C:C,C266)+SUMIFS(N:N,D:D,"&lt;="&amp;D266,C:C,C266)+SUMIFS(P:P,D:D,"&lt;="&amp;D266,C:C,C266)&lt;0,0,SUMIFS('Shipments data'!L:L,'Shipments data'!F:F,'Supply planning data'!C266,'Shipments data'!A:A,'Supply planning data'!A266,'Shipments data'!O:O,"received",'Shipments data'!Q:Q,"&lt;"&amp;'Supply planning data'!D281,'Shipments data'!AC:AC,"&lt;"&amp;'Supply planning data'!D281)-SUMIFS(M:M,D:D,"&lt;="&amp;D266,C:C,C266)+SUMIFS(N:N,D:D,"&lt;="&amp;D266,C:C,C266)+SUMIFS(P:P,D:D,"&lt;="&amp;D266,C:C,C266))</f>
        <v>0</v>
      </c>
      <c r="U266" s="112">
        <f t="shared" si="79"/>
        <v>0</v>
      </c>
      <c r="V266" s="111">
        <f t="shared" si="87"/>
        <v>0</v>
      </c>
      <c r="W266" s="204" t="str">
        <f t="shared" si="85"/>
        <v/>
      </c>
      <c r="X266" s="111">
        <f t="shared" si="80"/>
        <v>0</v>
      </c>
      <c r="Y266" s="110"/>
      <c r="Z266" s="107"/>
      <c r="AA266" s="111">
        <f t="shared" si="92"/>
        <v>0</v>
      </c>
      <c r="AB266" s="235"/>
      <c r="AC266" s="111">
        <f>IF(SUMIFS('Shipments data'!L:L,'Shipments data'!F:F,'Supply planning data'!C266,'Shipments data'!A:A,'Supply planning data'!A266,'Shipments data'!O:O,"received",'Shipments data'!Q:Q,"&lt;"&amp;'Supply planning data'!D281,'Shipments data'!AC:AC,"&lt;"&amp;'Supply planning data'!D281)-SUMIFS(M:M,D:D,"&lt;="&amp;D266,C:C,C266)-SUMIFS(AA:AA,D:D,"&lt;="&amp;D266,C:C,C266)+SUMIFS(N:N,D:D,"&lt;="&amp;D266,C:C,C266)+SUMIFS(P:P,D:D,"&lt;="&amp;D266,C:C,C266)&lt;0,0,SUMIFS('Shipments data'!L:L,'Shipments data'!F:F,'Supply planning data'!C266,'Shipments data'!A:A,'Supply planning data'!A266,'Shipments data'!O:O,"received",'Shipments data'!Q:Q,"&lt;"&amp;'Supply planning data'!D281,'Shipments data'!AC:AC,"&lt;"&amp;'Supply planning data'!D281)-SUMIFS(M:M,D:D,"&lt;="&amp;D266,C:C,C266)-SUMIFS(AA:AA,D:D,"&lt;="&amp;D266,C:C,C266)+SUMIFS(N:N,D:D,"&lt;="&amp;D266,C:C,C266)+SUMIFS(P:P,D:D,"&lt;="&amp;D266,C:C,C266))</f>
        <v>0</v>
      </c>
      <c r="AD266" s="111">
        <f t="shared" si="81"/>
        <v>0</v>
      </c>
      <c r="AE266" s="111">
        <f t="shared" si="94"/>
        <v>0</v>
      </c>
      <c r="AF266" s="204" t="str">
        <f t="shared" si="84"/>
        <v/>
      </c>
      <c r="AG266" s="111">
        <f t="shared" si="82"/>
        <v>0</v>
      </c>
      <c r="AH266" s="110"/>
      <c r="AI266" s="313"/>
      <c r="AJ266" s="111">
        <f t="shared" si="93"/>
        <v>0</v>
      </c>
      <c r="AK266" s="235"/>
      <c r="AL266" s="111">
        <f>IF(SUMIFS('Shipments data'!L:L,'Shipments data'!F:F,'Supply planning data'!C266,'Shipments data'!A:A,'Supply planning data'!A266,'Shipments data'!O:O,"received",'Shipments data'!Q:Q,"&lt;"&amp;'Supply planning data'!D281,'Shipments data'!AC:AC,"&lt;"&amp;'Supply planning data'!D281)-SUMIFS(M:M,D:D,"&lt;="&amp;D266,C:C,C266)-SUMIFS(AJ:AJ,D:D,"&lt;="&amp;D266,C:C,C266)+SUMIFS(N:N,D:D,"&lt;="&amp;D266,C:C,C266)+SUMIFS(P:P,D:D,"&lt;="&amp;D266,C:C,C266)&lt;0,0,SUMIFS('Shipments data'!L:L,'Shipments data'!F:F,'Supply planning data'!C266,'Shipments data'!A:A,'Supply planning data'!A266,'Shipments data'!O:O,"received",'Shipments data'!Q:Q,"&lt;"&amp;'Supply planning data'!D281,'Shipments data'!AC:AC,"&lt;"&amp;'Supply planning data'!D281)-SUMIFS(M:M,D:D,"&lt;="&amp;D266,C:C,C266)-SUMIFS(AJ:AJ,D:D,"&lt;="&amp;D266,C:C,C266)+SUMIFS(N:N,D:D,"&lt;="&amp;D266,C:C,C266)+SUMIFS(P:P,D:D,"&lt;="&amp;D266,C:C,C266))</f>
        <v>0</v>
      </c>
      <c r="AM266" s="111">
        <f t="shared" si="83"/>
        <v>0</v>
      </c>
      <c r="AN266" s="111">
        <f t="shared" si="95"/>
        <v>0</v>
      </c>
      <c r="AO266" s="204" t="str">
        <f t="shared" si="86"/>
        <v/>
      </c>
    </row>
    <row r="267" spans="1:41" hidden="1" x14ac:dyDescent="0.25">
      <c r="A267" s="103" t="str">
        <f>Start!D$7</f>
        <v>Anyland</v>
      </c>
      <c r="B267" s="109" t="str">
        <f>VLOOKUP(A267,list!B:C,2,FALSE)</f>
        <v>ANY</v>
      </c>
      <c r="C267" s="109" t="str">
        <f>IF(Start!$C$24="","",Start!$C$24)</f>
        <v/>
      </c>
      <c r="D267" s="298">
        <f t="shared" si="77"/>
        <v>44713</v>
      </c>
      <c r="E267" s="105" t="str">
        <f>IFERROR(VLOOKUP(C267,Start!C$15:D$31,2,FALSE),"No")</f>
        <v>No</v>
      </c>
      <c r="F267" s="105">
        <f t="shared" si="78"/>
        <v>0</v>
      </c>
      <c r="G267" s="106"/>
      <c r="H267" s="106"/>
      <c r="I267" s="106"/>
      <c r="J267" s="105">
        <f t="shared" si="89"/>
        <v>0</v>
      </c>
      <c r="K267" s="106"/>
      <c r="L267" s="177" t="str">
        <f t="shared" si="90"/>
        <v/>
      </c>
      <c r="M267" s="105">
        <f t="shared" si="91"/>
        <v>0</v>
      </c>
      <c r="N267" s="110"/>
      <c r="O267" s="124"/>
      <c r="P267" s="110"/>
      <c r="Q267" s="124"/>
      <c r="R267" s="111">
        <f>SUMIFS('Shipments data'!L:L,'Shipments data'!F:F,'Supply planning data'!C267,'Shipments data'!A:A,'Supply planning data'!A267,'Shipments data'!Y:Y,'Supply planning data'!D267,'Shipments data'!O:O,"received", 'Shipments data'!N:N, "Public")</f>
        <v>0</v>
      </c>
      <c r="S267" s="111">
        <f>SUMIFS('Shipments data'!L:L,'Shipments data'!F:F,'Supply planning data'!C267,'Shipments data'!A:A,'Supply planning data'!A267,'Shipments data'!Y:Y,'Supply planning data'!D267,'Shipments data'!O:O,"ordered", 'Shipments data'!N:N, "Public")</f>
        <v>0</v>
      </c>
      <c r="T267" s="111">
        <f>IF(SUMIFS('Shipments data'!L:L,'Shipments data'!F:F,'Supply planning data'!C267,'Shipments data'!A:A,'Supply planning data'!A267,'Shipments data'!O:O,"received",'Shipments data'!Q:Q,"&lt;"&amp;'Supply planning data'!D282,'Shipments data'!AC:AC,"&lt;"&amp;'Supply planning data'!D282)-SUMIFS(M:M,D:D,"&lt;="&amp;D267,C:C,C267)+SUMIFS(N:N,D:D,"&lt;="&amp;D267,C:C,C267)+SUMIFS(P:P,D:D,"&lt;="&amp;D267,C:C,C267)&lt;0,0,SUMIFS('Shipments data'!L:L,'Shipments data'!F:F,'Supply planning data'!C267,'Shipments data'!A:A,'Supply planning data'!A267,'Shipments data'!O:O,"received",'Shipments data'!Q:Q,"&lt;"&amp;'Supply planning data'!D282,'Shipments data'!AC:AC,"&lt;"&amp;'Supply planning data'!D282)-SUMIFS(M:M,D:D,"&lt;="&amp;D267,C:C,C267)+SUMIFS(N:N,D:D,"&lt;="&amp;D267,C:C,C267)+SUMIFS(P:P,D:D,"&lt;="&amp;D267,C:C,C267))</f>
        <v>0</v>
      </c>
      <c r="U267" s="112">
        <f t="shared" si="79"/>
        <v>0</v>
      </c>
      <c r="V267" s="111">
        <f t="shared" si="87"/>
        <v>0</v>
      </c>
      <c r="W267" s="204" t="str">
        <f t="shared" si="85"/>
        <v/>
      </c>
      <c r="X267" s="111">
        <f t="shared" si="80"/>
        <v>0</v>
      </c>
      <c r="Y267" s="110"/>
      <c r="Z267" s="107"/>
      <c r="AA267" s="111">
        <f t="shared" si="92"/>
        <v>0</v>
      </c>
      <c r="AB267" s="235"/>
      <c r="AC267" s="111">
        <f>IF(SUMIFS('Shipments data'!L:L,'Shipments data'!F:F,'Supply planning data'!C267,'Shipments data'!A:A,'Supply planning data'!A267,'Shipments data'!O:O,"received",'Shipments data'!Q:Q,"&lt;"&amp;'Supply planning data'!D282,'Shipments data'!AC:AC,"&lt;"&amp;'Supply planning data'!D282)-SUMIFS(M:M,D:D,"&lt;="&amp;D267,C:C,C267)-SUMIFS(AA:AA,D:D,"&lt;="&amp;D267,C:C,C267)+SUMIFS(N:N,D:D,"&lt;="&amp;D267,C:C,C267)+SUMIFS(P:P,D:D,"&lt;="&amp;D267,C:C,C267)&lt;0,0,SUMIFS('Shipments data'!L:L,'Shipments data'!F:F,'Supply planning data'!C267,'Shipments data'!A:A,'Supply planning data'!A267,'Shipments data'!O:O,"received",'Shipments data'!Q:Q,"&lt;"&amp;'Supply planning data'!D282,'Shipments data'!AC:AC,"&lt;"&amp;'Supply planning data'!D282)-SUMIFS(M:M,D:D,"&lt;="&amp;D267,C:C,C267)-SUMIFS(AA:AA,D:D,"&lt;="&amp;D267,C:C,C267)+SUMIFS(N:N,D:D,"&lt;="&amp;D267,C:C,C267)+SUMIFS(P:P,D:D,"&lt;="&amp;D267,C:C,C267))</f>
        <v>0</v>
      </c>
      <c r="AD267" s="111">
        <f t="shared" si="81"/>
        <v>0</v>
      </c>
      <c r="AE267" s="111">
        <f t="shared" si="94"/>
        <v>0</v>
      </c>
      <c r="AF267" s="204" t="str">
        <f t="shared" si="84"/>
        <v/>
      </c>
      <c r="AG267" s="111">
        <f t="shared" si="82"/>
        <v>0</v>
      </c>
      <c r="AH267" s="110"/>
      <c r="AI267" s="313"/>
      <c r="AJ267" s="111">
        <f t="shared" si="93"/>
        <v>0</v>
      </c>
      <c r="AK267" s="235"/>
      <c r="AL267" s="111">
        <f>IF(SUMIFS('Shipments data'!L:L,'Shipments data'!F:F,'Supply planning data'!C267,'Shipments data'!A:A,'Supply planning data'!A267,'Shipments data'!O:O,"received",'Shipments data'!Q:Q,"&lt;"&amp;'Supply planning data'!D282,'Shipments data'!AC:AC,"&lt;"&amp;'Supply planning data'!D282)-SUMIFS(M:M,D:D,"&lt;="&amp;D267,C:C,C267)-SUMIFS(AJ:AJ,D:D,"&lt;="&amp;D267,C:C,C267)+SUMIFS(N:N,D:D,"&lt;="&amp;D267,C:C,C267)+SUMIFS(P:P,D:D,"&lt;="&amp;D267,C:C,C267)&lt;0,0,SUMIFS('Shipments data'!L:L,'Shipments data'!F:F,'Supply planning data'!C267,'Shipments data'!A:A,'Supply planning data'!A267,'Shipments data'!O:O,"received",'Shipments data'!Q:Q,"&lt;"&amp;'Supply planning data'!D282,'Shipments data'!AC:AC,"&lt;"&amp;'Supply planning data'!D282)-SUMIFS(M:M,D:D,"&lt;="&amp;D267,C:C,C267)-SUMIFS(AJ:AJ,D:D,"&lt;="&amp;D267,C:C,C267)+SUMIFS(N:N,D:D,"&lt;="&amp;D267,C:C,C267)+SUMIFS(P:P,D:D,"&lt;="&amp;D267,C:C,C267))</f>
        <v>0</v>
      </c>
      <c r="AM267" s="111">
        <f t="shared" si="83"/>
        <v>0</v>
      </c>
      <c r="AN267" s="111">
        <f t="shared" si="95"/>
        <v>0</v>
      </c>
      <c r="AO267" s="204" t="str">
        <f t="shared" si="86"/>
        <v/>
      </c>
    </row>
    <row r="268" spans="1:41" hidden="1" x14ac:dyDescent="0.25">
      <c r="A268" s="103" t="str">
        <f>Start!D$7</f>
        <v>Anyland</v>
      </c>
      <c r="B268" s="109" t="str">
        <f>VLOOKUP(A268,list!B:C,2,FALSE)</f>
        <v>ANY</v>
      </c>
      <c r="C268" s="104" t="str">
        <f>IF(Start!$C$25="","",Start!$C$25)</f>
        <v/>
      </c>
      <c r="D268" s="298">
        <f t="shared" si="77"/>
        <v>44713</v>
      </c>
      <c r="E268" s="105" t="str">
        <f>IFERROR(VLOOKUP(C268,Start!C$15:D$31,2,FALSE),"No")</f>
        <v>No</v>
      </c>
      <c r="F268" s="105">
        <f t="shared" si="78"/>
        <v>0</v>
      </c>
      <c r="G268" s="106"/>
      <c r="H268" s="106"/>
      <c r="I268" s="106"/>
      <c r="J268" s="105">
        <f t="shared" si="89"/>
        <v>0</v>
      </c>
      <c r="K268" s="106"/>
      <c r="L268" s="177" t="str">
        <f t="shared" si="90"/>
        <v/>
      </c>
      <c r="M268" s="105">
        <f t="shared" si="91"/>
        <v>0</v>
      </c>
      <c r="N268" s="110"/>
      <c r="O268" s="124"/>
      <c r="P268" s="110"/>
      <c r="Q268" s="124"/>
      <c r="R268" s="111">
        <f>SUMIFS('Shipments data'!L:L,'Shipments data'!F:F,'Supply planning data'!C268,'Shipments data'!A:A,'Supply planning data'!A268,'Shipments data'!Y:Y,'Supply planning data'!D268,'Shipments data'!O:O,"received", 'Shipments data'!N:N, "Public")</f>
        <v>0</v>
      </c>
      <c r="S268" s="111">
        <f>SUMIFS('Shipments data'!L:L,'Shipments data'!F:F,'Supply planning data'!C268,'Shipments data'!A:A,'Supply planning data'!A268,'Shipments data'!Y:Y,'Supply planning data'!D268,'Shipments data'!O:O,"ordered", 'Shipments data'!N:N, "Public")</f>
        <v>0</v>
      </c>
      <c r="T268" s="111">
        <f>IF(SUMIFS('Shipments data'!L:L,'Shipments data'!F:F,'Supply planning data'!C268,'Shipments data'!A:A,'Supply planning data'!A268,'Shipments data'!O:O,"received",'Shipments data'!Q:Q,"&lt;"&amp;'Supply planning data'!D283,'Shipments data'!AC:AC,"&lt;"&amp;'Supply planning data'!D283)-SUMIFS(M:M,D:D,"&lt;="&amp;D268,C:C,C268)+SUMIFS(N:N,D:D,"&lt;="&amp;D268,C:C,C268)+SUMIFS(P:P,D:D,"&lt;="&amp;D268,C:C,C268)&lt;0,0,SUMIFS('Shipments data'!L:L,'Shipments data'!F:F,'Supply planning data'!C268,'Shipments data'!A:A,'Supply planning data'!A268,'Shipments data'!O:O,"received",'Shipments data'!Q:Q,"&lt;"&amp;'Supply planning data'!D283,'Shipments data'!AC:AC,"&lt;"&amp;'Supply planning data'!D283)-SUMIFS(M:M,D:D,"&lt;="&amp;D268,C:C,C268)+SUMIFS(N:N,D:D,"&lt;="&amp;D268,C:C,C268)+SUMIFS(P:P,D:D,"&lt;="&amp;D268,C:C,C268))</f>
        <v>0</v>
      </c>
      <c r="U268" s="112">
        <f t="shared" si="79"/>
        <v>0</v>
      </c>
      <c r="V268" s="111">
        <f t="shared" si="87"/>
        <v>0</v>
      </c>
      <c r="W268" s="204" t="str">
        <f t="shared" si="85"/>
        <v/>
      </c>
      <c r="X268" s="111">
        <f t="shared" si="80"/>
        <v>0</v>
      </c>
      <c r="Y268" s="110"/>
      <c r="Z268" s="107"/>
      <c r="AA268" s="111">
        <f t="shared" si="92"/>
        <v>0</v>
      </c>
      <c r="AB268" s="235"/>
      <c r="AC268" s="111">
        <f>IF(SUMIFS('Shipments data'!L:L,'Shipments data'!F:F,'Supply planning data'!C268,'Shipments data'!A:A,'Supply planning data'!A268,'Shipments data'!O:O,"received",'Shipments data'!Q:Q,"&lt;"&amp;'Supply planning data'!D283,'Shipments data'!AC:AC,"&lt;"&amp;'Supply planning data'!D283)-SUMIFS(M:M,D:D,"&lt;="&amp;D268,C:C,C268)-SUMIFS(AA:AA,D:D,"&lt;="&amp;D268,C:C,C268)+SUMIFS(N:N,D:D,"&lt;="&amp;D268,C:C,C268)+SUMIFS(P:P,D:D,"&lt;="&amp;D268,C:C,C268)&lt;0,0,SUMIFS('Shipments data'!L:L,'Shipments data'!F:F,'Supply planning data'!C268,'Shipments data'!A:A,'Supply planning data'!A268,'Shipments data'!O:O,"received",'Shipments data'!Q:Q,"&lt;"&amp;'Supply planning data'!D283,'Shipments data'!AC:AC,"&lt;"&amp;'Supply planning data'!D283)-SUMIFS(M:M,D:D,"&lt;="&amp;D268,C:C,C268)-SUMIFS(AA:AA,D:D,"&lt;="&amp;D268,C:C,C268)+SUMIFS(N:N,D:D,"&lt;="&amp;D268,C:C,C268)+SUMIFS(P:P,D:D,"&lt;="&amp;D268,C:C,C268))</f>
        <v>0</v>
      </c>
      <c r="AD268" s="111">
        <f t="shared" si="81"/>
        <v>0</v>
      </c>
      <c r="AE268" s="111">
        <f t="shared" si="94"/>
        <v>0</v>
      </c>
      <c r="AF268" s="204" t="str">
        <f t="shared" si="84"/>
        <v/>
      </c>
      <c r="AG268" s="111">
        <f t="shared" si="82"/>
        <v>0</v>
      </c>
      <c r="AH268" s="110"/>
      <c r="AI268" s="313"/>
      <c r="AJ268" s="111">
        <f t="shared" si="93"/>
        <v>0</v>
      </c>
      <c r="AK268" s="235"/>
      <c r="AL268" s="111">
        <f>IF(SUMIFS('Shipments data'!L:L,'Shipments data'!F:F,'Supply planning data'!C268,'Shipments data'!A:A,'Supply planning data'!A268,'Shipments data'!O:O,"received",'Shipments data'!Q:Q,"&lt;"&amp;'Supply planning data'!D283,'Shipments data'!AC:AC,"&lt;"&amp;'Supply planning data'!D283)-SUMIFS(M:M,D:D,"&lt;="&amp;D268,C:C,C268)-SUMIFS(AJ:AJ,D:D,"&lt;="&amp;D268,C:C,C268)+SUMIFS(N:N,D:D,"&lt;="&amp;D268,C:C,C268)+SUMIFS(P:P,D:D,"&lt;="&amp;D268,C:C,C268)&lt;0,0,SUMIFS('Shipments data'!L:L,'Shipments data'!F:F,'Supply planning data'!C268,'Shipments data'!A:A,'Supply planning data'!A268,'Shipments data'!O:O,"received",'Shipments data'!Q:Q,"&lt;"&amp;'Supply planning data'!D283,'Shipments data'!AC:AC,"&lt;"&amp;'Supply planning data'!D283)-SUMIFS(M:M,D:D,"&lt;="&amp;D268,C:C,C268)-SUMIFS(AJ:AJ,D:D,"&lt;="&amp;D268,C:C,C268)+SUMIFS(N:N,D:D,"&lt;="&amp;D268,C:C,C268)+SUMIFS(P:P,D:D,"&lt;="&amp;D268,C:C,C268))</f>
        <v>0</v>
      </c>
      <c r="AM268" s="111">
        <f t="shared" si="83"/>
        <v>0</v>
      </c>
      <c r="AN268" s="111">
        <f t="shared" si="95"/>
        <v>0</v>
      </c>
      <c r="AO268" s="204" t="str">
        <f t="shared" si="86"/>
        <v/>
      </c>
    </row>
    <row r="269" spans="1:41" hidden="1" x14ac:dyDescent="0.25">
      <c r="A269" s="103" t="str">
        <f>Start!D$7</f>
        <v>Anyland</v>
      </c>
      <c r="B269" s="109" t="str">
        <f>VLOOKUP(A269,list!B:C,2,FALSE)</f>
        <v>ANY</v>
      </c>
      <c r="C269" s="109" t="str">
        <f>IF(Start!$C$26="","",Start!$C$26)</f>
        <v/>
      </c>
      <c r="D269" s="298">
        <f t="shared" si="77"/>
        <v>44713</v>
      </c>
      <c r="E269" s="105" t="str">
        <f>IFERROR(VLOOKUP(C269,Start!C$15:D$31,2,FALSE),"No")</f>
        <v>No</v>
      </c>
      <c r="F269" s="105">
        <f t="shared" si="78"/>
        <v>0</v>
      </c>
      <c r="G269" s="106"/>
      <c r="H269" s="106"/>
      <c r="I269" s="106"/>
      <c r="J269" s="105">
        <f t="shared" si="89"/>
        <v>0</v>
      </c>
      <c r="K269" s="106"/>
      <c r="L269" s="177" t="str">
        <f t="shared" si="90"/>
        <v/>
      </c>
      <c r="M269" s="105">
        <f t="shared" si="91"/>
        <v>0</v>
      </c>
      <c r="N269" s="110"/>
      <c r="O269" s="124"/>
      <c r="P269" s="110"/>
      <c r="Q269" s="124"/>
      <c r="R269" s="111">
        <f>SUMIFS('Shipments data'!L:L,'Shipments data'!F:F,'Supply planning data'!C269,'Shipments data'!A:A,'Supply planning data'!A269,'Shipments data'!Y:Y,'Supply planning data'!D269,'Shipments data'!O:O,"received", 'Shipments data'!N:N, "Public")</f>
        <v>0</v>
      </c>
      <c r="S269" s="111">
        <f>SUMIFS('Shipments data'!L:L,'Shipments data'!F:F,'Supply planning data'!C269,'Shipments data'!A:A,'Supply planning data'!A269,'Shipments data'!Y:Y,'Supply planning data'!D269,'Shipments data'!O:O,"ordered", 'Shipments data'!N:N, "Public")</f>
        <v>0</v>
      </c>
      <c r="T269" s="111">
        <f>IF(SUMIFS('Shipments data'!L:L,'Shipments data'!F:F,'Supply planning data'!C269,'Shipments data'!A:A,'Supply planning data'!A269,'Shipments data'!O:O,"received",'Shipments data'!Q:Q,"&lt;"&amp;'Supply planning data'!D284,'Shipments data'!AC:AC,"&lt;"&amp;'Supply planning data'!D284)-SUMIFS(M:M,D:D,"&lt;="&amp;D269,C:C,C269)+SUMIFS(N:N,D:D,"&lt;="&amp;D269,C:C,C269)+SUMIFS(P:P,D:D,"&lt;="&amp;D269,C:C,C269)&lt;0,0,SUMIFS('Shipments data'!L:L,'Shipments data'!F:F,'Supply planning data'!C269,'Shipments data'!A:A,'Supply planning data'!A269,'Shipments data'!O:O,"received",'Shipments data'!Q:Q,"&lt;"&amp;'Supply planning data'!D284,'Shipments data'!AC:AC,"&lt;"&amp;'Supply planning data'!D284)-SUMIFS(M:M,D:D,"&lt;="&amp;D269,C:C,C269)+SUMIFS(N:N,D:D,"&lt;="&amp;D269,C:C,C269)+SUMIFS(P:P,D:D,"&lt;="&amp;D269,C:C,C269))</f>
        <v>0</v>
      </c>
      <c r="U269" s="112">
        <f t="shared" si="79"/>
        <v>0</v>
      </c>
      <c r="V269" s="111">
        <f t="shared" si="87"/>
        <v>0</v>
      </c>
      <c r="W269" s="204" t="str">
        <f t="shared" si="85"/>
        <v/>
      </c>
      <c r="X269" s="111">
        <f t="shared" si="80"/>
        <v>0</v>
      </c>
      <c r="Y269" s="110"/>
      <c r="Z269" s="107"/>
      <c r="AA269" s="111">
        <f t="shared" si="92"/>
        <v>0</v>
      </c>
      <c r="AB269" s="235"/>
      <c r="AC269" s="111">
        <f>IF(SUMIFS('Shipments data'!L:L,'Shipments data'!F:F,'Supply planning data'!C269,'Shipments data'!A:A,'Supply planning data'!A269,'Shipments data'!O:O,"received",'Shipments data'!Q:Q,"&lt;"&amp;'Supply planning data'!D284,'Shipments data'!AC:AC,"&lt;"&amp;'Supply planning data'!D284)-SUMIFS(M:M,D:D,"&lt;="&amp;D269,C:C,C269)-SUMIFS(AA:AA,D:D,"&lt;="&amp;D269,C:C,C269)+SUMIFS(N:N,D:D,"&lt;="&amp;D269,C:C,C269)+SUMIFS(P:P,D:D,"&lt;="&amp;D269,C:C,C269)&lt;0,0,SUMIFS('Shipments data'!L:L,'Shipments data'!F:F,'Supply planning data'!C269,'Shipments data'!A:A,'Supply planning data'!A269,'Shipments data'!O:O,"received",'Shipments data'!Q:Q,"&lt;"&amp;'Supply planning data'!D284,'Shipments data'!AC:AC,"&lt;"&amp;'Supply planning data'!D284)-SUMIFS(M:M,D:D,"&lt;="&amp;D269,C:C,C269)-SUMIFS(AA:AA,D:D,"&lt;="&amp;D269,C:C,C269)+SUMIFS(N:N,D:D,"&lt;="&amp;D269,C:C,C269)+SUMIFS(P:P,D:D,"&lt;="&amp;D269,C:C,C269))</f>
        <v>0</v>
      </c>
      <c r="AD269" s="111">
        <f t="shared" si="81"/>
        <v>0</v>
      </c>
      <c r="AE269" s="111">
        <f t="shared" si="94"/>
        <v>0</v>
      </c>
      <c r="AF269" s="204" t="str">
        <f t="shared" si="84"/>
        <v/>
      </c>
      <c r="AG269" s="111">
        <f t="shared" si="82"/>
        <v>0</v>
      </c>
      <c r="AH269" s="110"/>
      <c r="AI269" s="313"/>
      <c r="AJ269" s="111">
        <f t="shared" si="93"/>
        <v>0</v>
      </c>
      <c r="AK269" s="235"/>
      <c r="AL269" s="111">
        <f>IF(SUMIFS('Shipments data'!L:L,'Shipments data'!F:F,'Supply planning data'!C269,'Shipments data'!A:A,'Supply planning data'!A269,'Shipments data'!O:O,"received",'Shipments data'!Q:Q,"&lt;"&amp;'Supply planning data'!D284,'Shipments data'!AC:AC,"&lt;"&amp;'Supply planning data'!D284)-SUMIFS(M:M,D:D,"&lt;="&amp;D269,C:C,C269)-SUMIFS(AJ:AJ,D:D,"&lt;="&amp;D269,C:C,C269)+SUMIFS(N:N,D:D,"&lt;="&amp;D269,C:C,C269)+SUMIFS(P:P,D:D,"&lt;="&amp;D269,C:C,C269)&lt;0,0,SUMIFS('Shipments data'!L:L,'Shipments data'!F:F,'Supply planning data'!C269,'Shipments data'!A:A,'Supply planning data'!A269,'Shipments data'!O:O,"received",'Shipments data'!Q:Q,"&lt;"&amp;'Supply planning data'!D284,'Shipments data'!AC:AC,"&lt;"&amp;'Supply planning data'!D284)-SUMIFS(M:M,D:D,"&lt;="&amp;D269,C:C,C269)-SUMIFS(AJ:AJ,D:D,"&lt;="&amp;D269,C:C,C269)+SUMIFS(N:N,D:D,"&lt;="&amp;D269,C:C,C269)+SUMIFS(P:P,D:D,"&lt;="&amp;D269,C:C,C269))</f>
        <v>0</v>
      </c>
      <c r="AM269" s="111">
        <f t="shared" si="83"/>
        <v>0</v>
      </c>
      <c r="AN269" s="111">
        <f t="shared" si="95"/>
        <v>0</v>
      </c>
      <c r="AO269" s="204" t="str">
        <f t="shared" si="86"/>
        <v/>
      </c>
    </row>
    <row r="270" spans="1:41" hidden="1" x14ac:dyDescent="0.25">
      <c r="A270" s="103" t="str">
        <f>Start!D$7</f>
        <v>Anyland</v>
      </c>
      <c r="B270" s="109" t="str">
        <f>VLOOKUP(A270,list!B:C,2,FALSE)</f>
        <v>ANY</v>
      </c>
      <c r="C270" s="104" t="str">
        <f>IF(Start!$C$27="","",Start!$C$27)</f>
        <v/>
      </c>
      <c r="D270" s="298">
        <f t="shared" si="77"/>
        <v>44713</v>
      </c>
      <c r="E270" s="105" t="str">
        <f>IFERROR(VLOOKUP(C270,Start!C$15:D$31,2,FALSE),"No")</f>
        <v>No</v>
      </c>
      <c r="F270" s="105">
        <f t="shared" si="78"/>
        <v>0</v>
      </c>
      <c r="G270" s="106"/>
      <c r="H270" s="106"/>
      <c r="I270" s="106"/>
      <c r="J270" s="105">
        <f t="shared" si="89"/>
        <v>0</v>
      </c>
      <c r="K270" s="106"/>
      <c r="L270" s="177" t="str">
        <f t="shared" si="90"/>
        <v/>
      </c>
      <c r="M270" s="105">
        <f t="shared" si="91"/>
        <v>0</v>
      </c>
      <c r="N270" s="110"/>
      <c r="O270" s="124"/>
      <c r="P270" s="110"/>
      <c r="Q270" s="124"/>
      <c r="R270" s="111">
        <f>SUMIFS('Shipments data'!L:L,'Shipments data'!F:F,'Supply planning data'!C270,'Shipments data'!A:A,'Supply planning data'!A270,'Shipments data'!Y:Y,'Supply planning data'!D270,'Shipments data'!O:O,"received", 'Shipments data'!N:N, "Public")</f>
        <v>0</v>
      </c>
      <c r="S270" s="111">
        <f>SUMIFS('Shipments data'!L:L,'Shipments data'!F:F,'Supply planning data'!C270,'Shipments data'!A:A,'Supply planning data'!A270,'Shipments data'!Y:Y,'Supply planning data'!D270,'Shipments data'!O:O,"ordered", 'Shipments data'!N:N, "Public")</f>
        <v>0</v>
      </c>
      <c r="T270" s="111">
        <f>IF(SUMIFS('Shipments data'!L:L,'Shipments data'!F:F,'Supply planning data'!C270,'Shipments data'!A:A,'Supply planning data'!A270,'Shipments data'!O:O,"received",'Shipments data'!Q:Q,"&lt;"&amp;'Supply planning data'!D285,'Shipments data'!AC:AC,"&lt;"&amp;'Supply planning data'!D285)-SUMIFS(M:M,D:D,"&lt;="&amp;D270,C:C,C270)+SUMIFS(N:N,D:D,"&lt;="&amp;D270,C:C,C270)+SUMIFS(P:P,D:D,"&lt;="&amp;D270,C:C,C270)&lt;0,0,SUMIFS('Shipments data'!L:L,'Shipments data'!F:F,'Supply planning data'!C270,'Shipments data'!A:A,'Supply planning data'!A270,'Shipments data'!O:O,"received",'Shipments data'!Q:Q,"&lt;"&amp;'Supply planning data'!D285,'Shipments data'!AC:AC,"&lt;"&amp;'Supply planning data'!D285)-SUMIFS(M:M,D:D,"&lt;="&amp;D270,C:C,C270)+SUMIFS(N:N,D:D,"&lt;="&amp;D270,C:C,C270)+SUMIFS(P:P,D:D,"&lt;="&amp;D270,C:C,C270))</f>
        <v>0</v>
      </c>
      <c r="U270" s="112">
        <f t="shared" si="79"/>
        <v>0</v>
      </c>
      <c r="V270" s="111">
        <f t="shared" si="87"/>
        <v>0</v>
      </c>
      <c r="W270" s="204" t="str">
        <f t="shared" si="85"/>
        <v/>
      </c>
      <c r="X270" s="111">
        <f t="shared" si="80"/>
        <v>0</v>
      </c>
      <c r="Y270" s="110"/>
      <c r="Z270" s="107"/>
      <c r="AA270" s="111">
        <f t="shared" si="92"/>
        <v>0</v>
      </c>
      <c r="AB270" s="235"/>
      <c r="AC270" s="111">
        <f>IF(SUMIFS('Shipments data'!L:L,'Shipments data'!F:F,'Supply planning data'!C270,'Shipments data'!A:A,'Supply planning data'!A270,'Shipments data'!O:O,"received",'Shipments data'!Q:Q,"&lt;"&amp;'Supply planning data'!D285,'Shipments data'!AC:AC,"&lt;"&amp;'Supply planning data'!D285)-SUMIFS(M:M,D:D,"&lt;="&amp;D270,C:C,C270)-SUMIFS(AA:AA,D:D,"&lt;="&amp;D270,C:C,C270)+SUMIFS(N:N,D:D,"&lt;="&amp;D270,C:C,C270)+SUMIFS(P:P,D:D,"&lt;="&amp;D270,C:C,C270)&lt;0,0,SUMIFS('Shipments data'!L:L,'Shipments data'!F:F,'Supply planning data'!C270,'Shipments data'!A:A,'Supply planning data'!A270,'Shipments data'!O:O,"received",'Shipments data'!Q:Q,"&lt;"&amp;'Supply planning data'!D285,'Shipments data'!AC:AC,"&lt;"&amp;'Supply planning data'!D285)-SUMIFS(M:M,D:D,"&lt;="&amp;D270,C:C,C270)-SUMIFS(AA:AA,D:D,"&lt;="&amp;D270,C:C,C270)+SUMIFS(N:N,D:D,"&lt;="&amp;D270,C:C,C270)+SUMIFS(P:P,D:D,"&lt;="&amp;D270,C:C,C270))</f>
        <v>0</v>
      </c>
      <c r="AD270" s="111">
        <f t="shared" si="81"/>
        <v>0</v>
      </c>
      <c r="AE270" s="111">
        <f t="shared" si="94"/>
        <v>0</v>
      </c>
      <c r="AF270" s="204" t="str">
        <f t="shared" si="84"/>
        <v/>
      </c>
      <c r="AG270" s="111">
        <f t="shared" si="82"/>
        <v>0</v>
      </c>
      <c r="AH270" s="110"/>
      <c r="AI270" s="313"/>
      <c r="AJ270" s="111">
        <f t="shared" si="93"/>
        <v>0</v>
      </c>
      <c r="AK270" s="235"/>
      <c r="AL270" s="111">
        <f>IF(SUMIFS('Shipments data'!L:L,'Shipments data'!F:F,'Supply planning data'!C270,'Shipments data'!A:A,'Supply planning data'!A270,'Shipments data'!O:O,"received",'Shipments data'!Q:Q,"&lt;"&amp;'Supply planning data'!D285,'Shipments data'!AC:AC,"&lt;"&amp;'Supply planning data'!D285)-SUMIFS(M:M,D:D,"&lt;="&amp;D270,C:C,C270)-SUMIFS(AJ:AJ,D:D,"&lt;="&amp;D270,C:C,C270)+SUMIFS(N:N,D:D,"&lt;="&amp;D270,C:C,C270)+SUMIFS(P:P,D:D,"&lt;="&amp;D270,C:C,C270)&lt;0,0,SUMIFS('Shipments data'!L:L,'Shipments data'!F:F,'Supply planning data'!C270,'Shipments data'!A:A,'Supply planning data'!A270,'Shipments data'!O:O,"received",'Shipments data'!Q:Q,"&lt;"&amp;'Supply planning data'!D285,'Shipments data'!AC:AC,"&lt;"&amp;'Supply planning data'!D285)-SUMIFS(M:M,D:D,"&lt;="&amp;D270,C:C,C270)-SUMIFS(AJ:AJ,D:D,"&lt;="&amp;D270,C:C,C270)+SUMIFS(N:N,D:D,"&lt;="&amp;D270,C:C,C270)+SUMIFS(P:P,D:D,"&lt;="&amp;D270,C:C,C270))</f>
        <v>0</v>
      </c>
      <c r="AM270" s="111">
        <f t="shared" si="83"/>
        <v>0</v>
      </c>
      <c r="AN270" s="111">
        <f t="shared" si="95"/>
        <v>0</v>
      </c>
      <c r="AO270" s="204" t="str">
        <f t="shared" si="86"/>
        <v/>
      </c>
    </row>
    <row r="271" spans="1:41" hidden="1" x14ac:dyDescent="0.25">
      <c r="A271" s="103" t="str">
        <f>Start!D$7</f>
        <v>Anyland</v>
      </c>
      <c r="B271" s="109" t="str">
        <f>VLOOKUP(A271,list!B:C,2,FALSE)</f>
        <v>ANY</v>
      </c>
      <c r="C271" s="109" t="str">
        <f>IF(Start!$C$28="","",Start!$C$28)</f>
        <v/>
      </c>
      <c r="D271" s="298">
        <f t="shared" si="77"/>
        <v>44713</v>
      </c>
      <c r="E271" s="105" t="str">
        <f>IFERROR(VLOOKUP(C271,Start!C$15:D$31,2,FALSE),"No")</f>
        <v>No</v>
      </c>
      <c r="F271" s="105">
        <f t="shared" si="78"/>
        <v>0</v>
      </c>
      <c r="G271" s="106"/>
      <c r="H271" s="106"/>
      <c r="I271" s="106"/>
      <c r="J271" s="105">
        <f t="shared" si="89"/>
        <v>0</v>
      </c>
      <c r="K271" s="106"/>
      <c r="L271" s="177" t="str">
        <f t="shared" si="90"/>
        <v/>
      </c>
      <c r="M271" s="105">
        <f t="shared" si="91"/>
        <v>0</v>
      </c>
      <c r="N271" s="110"/>
      <c r="O271" s="124"/>
      <c r="P271" s="110"/>
      <c r="Q271" s="124"/>
      <c r="R271" s="111">
        <f>SUMIFS('Shipments data'!L:L,'Shipments data'!F:F,'Supply planning data'!C271,'Shipments data'!A:A,'Supply planning data'!A271,'Shipments data'!Y:Y,'Supply planning data'!D271,'Shipments data'!O:O,"received", 'Shipments data'!N:N, "Public")</f>
        <v>0</v>
      </c>
      <c r="S271" s="111">
        <f>SUMIFS('Shipments data'!L:L,'Shipments data'!F:F,'Supply planning data'!C271,'Shipments data'!A:A,'Supply planning data'!A271,'Shipments data'!Y:Y,'Supply planning data'!D271,'Shipments data'!O:O,"ordered", 'Shipments data'!N:N, "Public")</f>
        <v>0</v>
      </c>
      <c r="T271" s="111">
        <f>IF(SUMIFS('Shipments data'!L:L,'Shipments data'!F:F,'Supply planning data'!C271,'Shipments data'!A:A,'Supply planning data'!A271,'Shipments data'!O:O,"received",'Shipments data'!Q:Q,"&lt;"&amp;'Supply planning data'!D286,'Shipments data'!AC:AC,"&lt;"&amp;'Supply planning data'!D286)-SUMIFS(M:M,D:D,"&lt;="&amp;D271,C:C,C271)+SUMIFS(N:N,D:D,"&lt;="&amp;D271,C:C,C271)+SUMIFS(P:P,D:D,"&lt;="&amp;D271,C:C,C271)&lt;0,0,SUMIFS('Shipments data'!L:L,'Shipments data'!F:F,'Supply planning data'!C271,'Shipments data'!A:A,'Supply planning data'!A271,'Shipments data'!O:O,"received",'Shipments data'!Q:Q,"&lt;"&amp;'Supply planning data'!D286,'Shipments data'!AC:AC,"&lt;"&amp;'Supply planning data'!D286)-SUMIFS(M:M,D:D,"&lt;="&amp;D271,C:C,C271)+SUMIFS(N:N,D:D,"&lt;="&amp;D271,C:C,C271)+SUMIFS(P:P,D:D,"&lt;="&amp;D271,C:C,C271))</f>
        <v>0</v>
      </c>
      <c r="U271" s="112">
        <f t="shared" si="79"/>
        <v>0</v>
      </c>
      <c r="V271" s="111">
        <f t="shared" si="87"/>
        <v>0</v>
      </c>
      <c r="W271" s="204" t="str">
        <f t="shared" si="85"/>
        <v/>
      </c>
      <c r="X271" s="111">
        <f t="shared" si="80"/>
        <v>0</v>
      </c>
      <c r="Y271" s="110"/>
      <c r="Z271" s="107"/>
      <c r="AA271" s="111">
        <f t="shared" si="92"/>
        <v>0</v>
      </c>
      <c r="AB271" s="235"/>
      <c r="AC271" s="111">
        <f>IF(SUMIFS('Shipments data'!L:L,'Shipments data'!F:F,'Supply planning data'!C271,'Shipments data'!A:A,'Supply planning data'!A271,'Shipments data'!O:O,"received",'Shipments data'!Q:Q,"&lt;"&amp;'Supply planning data'!D286,'Shipments data'!AC:AC,"&lt;"&amp;'Supply planning data'!D286)-SUMIFS(M:M,D:D,"&lt;="&amp;D271,C:C,C271)-SUMIFS(AA:AA,D:D,"&lt;="&amp;D271,C:C,C271)+SUMIFS(N:N,D:D,"&lt;="&amp;D271,C:C,C271)+SUMIFS(P:P,D:D,"&lt;="&amp;D271,C:C,C271)&lt;0,0,SUMIFS('Shipments data'!L:L,'Shipments data'!F:F,'Supply planning data'!C271,'Shipments data'!A:A,'Supply planning data'!A271,'Shipments data'!O:O,"received",'Shipments data'!Q:Q,"&lt;"&amp;'Supply planning data'!D286,'Shipments data'!AC:AC,"&lt;"&amp;'Supply planning data'!D286)-SUMIFS(M:M,D:D,"&lt;="&amp;D271,C:C,C271)-SUMIFS(AA:AA,D:D,"&lt;="&amp;D271,C:C,C271)+SUMIFS(N:N,D:D,"&lt;="&amp;D271,C:C,C271)+SUMIFS(P:P,D:D,"&lt;="&amp;D271,C:C,C271))</f>
        <v>0</v>
      </c>
      <c r="AD271" s="111">
        <f t="shared" si="81"/>
        <v>0</v>
      </c>
      <c r="AE271" s="111">
        <f t="shared" si="94"/>
        <v>0</v>
      </c>
      <c r="AF271" s="204" t="str">
        <f t="shared" si="84"/>
        <v/>
      </c>
      <c r="AG271" s="111">
        <f t="shared" si="82"/>
        <v>0</v>
      </c>
      <c r="AH271" s="110"/>
      <c r="AI271" s="313"/>
      <c r="AJ271" s="111">
        <f t="shared" si="93"/>
        <v>0</v>
      </c>
      <c r="AK271" s="235"/>
      <c r="AL271" s="111">
        <f>IF(SUMIFS('Shipments data'!L:L,'Shipments data'!F:F,'Supply planning data'!C271,'Shipments data'!A:A,'Supply planning data'!A271,'Shipments data'!O:O,"received",'Shipments data'!Q:Q,"&lt;"&amp;'Supply planning data'!D286,'Shipments data'!AC:AC,"&lt;"&amp;'Supply planning data'!D286)-SUMIFS(M:M,D:D,"&lt;="&amp;D271,C:C,C271)-SUMIFS(AJ:AJ,D:D,"&lt;="&amp;D271,C:C,C271)+SUMIFS(N:N,D:D,"&lt;="&amp;D271,C:C,C271)+SUMIFS(P:P,D:D,"&lt;="&amp;D271,C:C,C271)&lt;0,0,SUMIFS('Shipments data'!L:L,'Shipments data'!F:F,'Supply planning data'!C271,'Shipments data'!A:A,'Supply planning data'!A271,'Shipments data'!O:O,"received",'Shipments data'!Q:Q,"&lt;"&amp;'Supply planning data'!D286,'Shipments data'!AC:AC,"&lt;"&amp;'Supply planning data'!D286)-SUMIFS(M:M,D:D,"&lt;="&amp;D271,C:C,C271)-SUMIFS(AJ:AJ,D:D,"&lt;="&amp;D271,C:C,C271)+SUMIFS(N:N,D:D,"&lt;="&amp;D271,C:C,C271)+SUMIFS(P:P,D:D,"&lt;="&amp;D271,C:C,C271))</f>
        <v>0</v>
      </c>
      <c r="AM271" s="111">
        <f t="shared" si="83"/>
        <v>0</v>
      </c>
      <c r="AN271" s="111">
        <f t="shared" si="95"/>
        <v>0</v>
      </c>
      <c r="AO271" s="204" t="str">
        <f t="shared" si="86"/>
        <v/>
      </c>
    </row>
    <row r="272" spans="1:41" hidden="1" x14ac:dyDescent="0.25">
      <c r="A272" s="103" t="str">
        <f>Start!D$7</f>
        <v>Anyland</v>
      </c>
      <c r="B272" s="109" t="str">
        <f>VLOOKUP(A272,list!B:C,2,FALSE)</f>
        <v>ANY</v>
      </c>
      <c r="C272" s="104" t="str">
        <f>IF(Start!$C$29="","",Start!$C$29)</f>
        <v/>
      </c>
      <c r="D272" s="298">
        <f t="shared" si="77"/>
        <v>44713</v>
      </c>
      <c r="E272" s="105" t="str">
        <f>IFERROR(VLOOKUP(C272,Start!C$15:D$31,2,FALSE),"No")</f>
        <v>No</v>
      </c>
      <c r="F272" s="105">
        <f t="shared" si="78"/>
        <v>0</v>
      </c>
      <c r="G272" s="106"/>
      <c r="H272" s="106"/>
      <c r="I272" s="106"/>
      <c r="J272" s="105">
        <f t="shared" si="89"/>
        <v>0</v>
      </c>
      <c r="K272" s="106"/>
      <c r="L272" s="177" t="str">
        <f t="shared" si="90"/>
        <v/>
      </c>
      <c r="M272" s="105">
        <f t="shared" si="91"/>
        <v>0</v>
      </c>
      <c r="N272" s="110"/>
      <c r="O272" s="124"/>
      <c r="P272" s="110"/>
      <c r="Q272" s="124"/>
      <c r="R272" s="111">
        <f>SUMIFS('Shipments data'!L:L,'Shipments data'!F:F,'Supply planning data'!C272,'Shipments data'!A:A,'Supply planning data'!A272,'Shipments data'!Y:Y,'Supply planning data'!D272,'Shipments data'!O:O,"received", 'Shipments data'!N:N, "Public")</f>
        <v>0</v>
      </c>
      <c r="S272" s="111">
        <f>SUMIFS('Shipments data'!L:L,'Shipments data'!F:F,'Supply planning data'!C272,'Shipments data'!A:A,'Supply planning data'!A272,'Shipments data'!Y:Y,'Supply planning data'!D272,'Shipments data'!O:O,"ordered", 'Shipments data'!N:N, "Public")</f>
        <v>0</v>
      </c>
      <c r="T272" s="111">
        <f>IF(SUMIFS('Shipments data'!L:L,'Shipments data'!F:F,'Supply planning data'!C272,'Shipments data'!A:A,'Supply planning data'!A272,'Shipments data'!O:O,"received",'Shipments data'!Q:Q,"&lt;"&amp;'Supply planning data'!D287,'Shipments data'!AC:AC,"&lt;"&amp;'Supply planning data'!D287)-SUMIFS(M:M,D:D,"&lt;="&amp;D272,C:C,C272)+SUMIFS(N:N,D:D,"&lt;="&amp;D272,C:C,C272)+SUMIFS(P:P,D:D,"&lt;="&amp;D272,C:C,C272)&lt;0,0,SUMIFS('Shipments data'!L:L,'Shipments data'!F:F,'Supply planning data'!C272,'Shipments data'!A:A,'Supply planning data'!A272,'Shipments data'!O:O,"received",'Shipments data'!Q:Q,"&lt;"&amp;'Supply planning data'!D287,'Shipments data'!AC:AC,"&lt;"&amp;'Supply planning data'!D287)-SUMIFS(M:M,D:D,"&lt;="&amp;D272,C:C,C272)+SUMIFS(N:N,D:D,"&lt;="&amp;D272,C:C,C272)+SUMIFS(P:P,D:D,"&lt;="&amp;D272,C:C,C272))</f>
        <v>0</v>
      </c>
      <c r="U272" s="112">
        <f t="shared" si="79"/>
        <v>0</v>
      </c>
      <c r="V272" s="111">
        <f t="shared" si="87"/>
        <v>0</v>
      </c>
      <c r="W272" s="204" t="str">
        <f t="shared" si="85"/>
        <v/>
      </c>
      <c r="X272" s="111">
        <f t="shared" si="80"/>
        <v>0</v>
      </c>
      <c r="Y272" s="110"/>
      <c r="Z272" s="107"/>
      <c r="AA272" s="111">
        <f t="shared" si="92"/>
        <v>0</v>
      </c>
      <c r="AB272" s="235"/>
      <c r="AC272" s="111">
        <f>IF(SUMIFS('Shipments data'!L:L,'Shipments data'!F:F,'Supply planning data'!C272,'Shipments data'!A:A,'Supply planning data'!A272,'Shipments data'!O:O,"received",'Shipments data'!Q:Q,"&lt;"&amp;'Supply planning data'!D287,'Shipments data'!AC:AC,"&lt;"&amp;'Supply planning data'!D287)-SUMIFS(M:M,D:D,"&lt;="&amp;D272,C:C,C272)-SUMIFS(AA:AA,D:D,"&lt;="&amp;D272,C:C,C272)+SUMIFS(N:N,D:D,"&lt;="&amp;D272,C:C,C272)+SUMIFS(P:P,D:D,"&lt;="&amp;D272,C:C,C272)&lt;0,0,SUMIFS('Shipments data'!L:L,'Shipments data'!F:F,'Supply planning data'!C272,'Shipments data'!A:A,'Supply planning data'!A272,'Shipments data'!O:O,"received",'Shipments data'!Q:Q,"&lt;"&amp;'Supply planning data'!D287,'Shipments data'!AC:AC,"&lt;"&amp;'Supply planning data'!D287)-SUMIFS(M:M,D:D,"&lt;="&amp;D272,C:C,C272)-SUMIFS(AA:AA,D:D,"&lt;="&amp;D272,C:C,C272)+SUMIFS(N:N,D:D,"&lt;="&amp;D272,C:C,C272)+SUMIFS(P:P,D:D,"&lt;="&amp;D272,C:C,C272))</f>
        <v>0</v>
      </c>
      <c r="AD272" s="111">
        <f t="shared" si="81"/>
        <v>0</v>
      </c>
      <c r="AE272" s="111">
        <f t="shared" si="94"/>
        <v>0</v>
      </c>
      <c r="AF272" s="204" t="str">
        <f t="shared" si="84"/>
        <v/>
      </c>
      <c r="AG272" s="111">
        <f t="shared" si="82"/>
        <v>0</v>
      </c>
      <c r="AH272" s="110"/>
      <c r="AI272" s="313"/>
      <c r="AJ272" s="111">
        <f t="shared" si="93"/>
        <v>0</v>
      </c>
      <c r="AK272" s="235"/>
      <c r="AL272" s="111">
        <f>IF(SUMIFS('Shipments data'!L:L,'Shipments data'!F:F,'Supply planning data'!C272,'Shipments data'!A:A,'Supply planning data'!A272,'Shipments data'!O:O,"received",'Shipments data'!Q:Q,"&lt;"&amp;'Supply planning data'!D287,'Shipments data'!AC:AC,"&lt;"&amp;'Supply planning data'!D287)-SUMIFS(M:M,D:D,"&lt;="&amp;D272,C:C,C272)-SUMIFS(AJ:AJ,D:D,"&lt;="&amp;D272,C:C,C272)+SUMIFS(N:N,D:D,"&lt;="&amp;D272,C:C,C272)+SUMIFS(P:P,D:D,"&lt;="&amp;D272,C:C,C272)&lt;0,0,SUMIFS('Shipments data'!L:L,'Shipments data'!F:F,'Supply planning data'!C272,'Shipments data'!A:A,'Supply planning data'!A272,'Shipments data'!O:O,"received",'Shipments data'!Q:Q,"&lt;"&amp;'Supply planning data'!D287,'Shipments data'!AC:AC,"&lt;"&amp;'Supply planning data'!D287)-SUMIFS(M:M,D:D,"&lt;="&amp;D272,C:C,C272)-SUMIFS(AJ:AJ,D:D,"&lt;="&amp;D272,C:C,C272)+SUMIFS(N:N,D:D,"&lt;="&amp;D272,C:C,C272)+SUMIFS(P:P,D:D,"&lt;="&amp;D272,C:C,C272))</f>
        <v>0</v>
      </c>
      <c r="AM272" s="111">
        <f t="shared" si="83"/>
        <v>0</v>
      </c>
      <c r="AN272" s="111">
        <f t="shared" si="95"/>
        <v>0</v>
      </c>
      <c r="AO272" s="204" t="str">
        <f t="shared" si="86"/>
        <v/>
      </c>
    </row>
    <row r="273" spans="1:41" hidden="1" x14ac:dyDescent="0.25">
      <c r="A273" s="103" t="str">
        <f>Start!D$7</f>
        <v>Anyland</v>
      </c>
      <c r="B273" s="109" t="str">
        <f>VLOOKUP(A273,list!B:C,2,FALSE)</f>
        <v>ANY</v>
      </c>
      <c r="C273" s="109" t="str">
        <f>IF(Start!$C$30="","",Start!$C$30)</f>
        <v/>
      </c>
      <c r="D273" s="298">
        <f t="shared" si="77"/>
        <v>44713</v>
      </c>
      <c r="E273" s="105" t="str">
        <f>IFERROR(VLOOKUP(C273,Start!C$15:D$31,2,FALSE),"No")</f>
        <v>No</v>
      </c>
      <c r="F273" s="105">
        <f t="shared" si="78"/>
        <v>0</v>
      </c>
      <c r="G273" s="106"/>
      <c r="H273" s="106"/>
      <c r="I273" s="106"/>
      <c r="J273" s="105">
        <f t="shared" si="89"/>
        <v>0</v>
      </c>
      <c r="K273" s="106"/>
      <c r="L273" s="177" t="str">
        <f t="shared" si="90"/>
        <v/>
      </c>
      <c r="M273" s="105">
        <f t="shared" si="91"/>
        <v>0</v>
      </c>
      <c r="N273" s="110"/>
      <c r="O273" s="124"/>
      <c r="P273" s="110"/>
      <c r="Q273" s="124"/>
      <c r="R273" s="111">
        <f>SUMIFS('Shipments data'!L:L,'Shipments data'!F:F,'Supply planning data'!C273,'Shipments data'!A:A,'Supply planning data'!A273,'Shipments data'!Y:Y,'Supply planning data'!D273,'Shipments data'!O:O,"received", 'Shipments data'!N:N, "Public")</f>
        <v>0</v>
      </c>
      <c r="S273" s="111">
        <f>SUMIFS('Shipments data'!L:L,'Shipments data'!F:F,'Supply planning data'!C273,'Shipments data'!A:A,'Supply planning data'!A273,'Shipments data'!Y:Y,'Supply planning data'!D273,'Shipments data'!O:O,"ordered", 'Shipments data'!N:N, "Public")</f>
        <v>0</v>
      </c>
      <c r="T273" s="111">
        <f>IF(SUMIFS('Shipments data'!L:L,'Shipments data'!F:F,'Supply planning data'!C273,'Shipments data'!A:A,'Supply planning data'!A273,'Shipments data'!O:O,"received",'Shipments data'!Q:Q,"&lt;"&amp;'Supply planning data'!D288,'Shipments data'!AC:AC,"&lt;"&amp;'Supply planning data'!D288)-SUMIFS(M:M,D:D,"&lt;="&amp;D273,C:C,C273)+SUMIFS(N:N,D:D,"&lt;="&amp;D273,C:C,C273)+SUMIFS(P:P,D:D,"&lt;="&amp;D273,C:C,C273)&lt;0,0,SUMIFS('Shipments data'!L:L,'Shipments data'!F:F,'Supply planning data'!C273,'Shipments data'!A:A,'Supply planning data'!A273,'Shipments data'!O:O,"received",'Shipments data'!Q:Q,"&lt;"&amp;'Supply planning data'!D288,'Shipments data'!AC:AC,"&lt;"&amp;'Supply planning data'!D288)-SUMIFS(M:M,D:D,"&lt;="&amp;D273,C:C,C273)+SUMIFS(N:N,D:D,"&lt;="&amp;D273,C:C,C273)+SUMIFS(P:P,D:D,"&lt;="&amp;D273,C:C,C273))</f>
        <v>0</v>
      </c>
      <c r="U273" s="112">
        <f t="shared" si="79"/>
        <v>0</v>
      </c>
      <c r="V273" s="111">
        <f t="shared" si="87"/>
        <v>0</v>
      </c>
      <c r="W273" s="204" t="str">
        <f t="shared" si="85"/>
        <v/>
      </c>
      <c r="X273" s="111">
        <f t="shared" si="80"/>
        <v>0</v>
      </c>
      <c r="Y273" s="110"/>
      <c r="Z273" s="107"/>
      <c r="AA273" s="111">
        <f t="shared" si="92"/>
        <v>0</v>
      </c>
      <c r="AB273" s="235"/>
      <c r="AC273" s="111">
        <f>IF(SUMIFS('Shipments data'!L:L,'Shipments data'!F:F,'Supply planning data'!C273,'Shipments data'!A:A,'Supply planning data'!A273,'Shipments data'!O:O,"received",'Shipments data'!Q:Q,"&lt;"&amp;'Supply planning data'!D288,'Shipments data'!AC:AC,"&lt;"&amp;'Supply planning data'!D288)-SUMIFS(M:M,D:D,"&lt;="&amp;D273,C:C,C273)-SUMIFS(AA:AA,D:D,"&lt;="&amp;D273,C:C,C273)+SUMIFS(N:N,D:D,"&lt;="&amp;D273,C:C,C273)+SUMIFS(P:P,D:D,"&lt;="&amp;D273,C:C,C273)&lt;0,0,SUMIFS('Shipments data'!L:L,'Shipments data'!F:F,'Supply planning data'!C273,'Shipments data'!A:A,'Supply planning data'!A273,'Shipments data'!O:O,"received",'Shipments data'!Q:Q,"&lt;"&amp;'Supply planning data'!D288,'Shipments data'!AC:AC,"&lt;"&amp;'Supply planning data'!D288)-SUMIFS(M:M,D:D,"&lt;="&amp;D273,C:C,C273)-SUMIFS(AA:AA,D:D,"&lt;="&amp;D273,C:C,C273)+SUMIFS(N:N,D:D,"&lt;="&amp;D273,C:C,C273)+SUMIFS(P:P,D:D,"&lt;="&amp;D273,C:C,C273))</f>
        <v>0</v>
      </c>
      <c r="AD273" s="111">
        <f t="shared" si="81"/>
        <v>0</v>
      </c>
      <c r="AE273" s="111">
        <f t="shared" si="94"/>
        <v>0</v>
      </c>
      <c r="AF273" s="204" t="str">
        <f t="shared" si="84"/>
        <v/>
      </c>
      <c r="AG273" s="111">
        <f t="shared" si="82"/>
        <v>0</v>
      </c>
      <c r="AH273" s="110"/>
      <c r="AI273" s="313"/>
      <c r="AJ273" s="111">
        <f t="shared" si="93"/>
        <v>0</v>
      </c>
      <c r="AK273" s="235"/>
      <c r="AL273" s="111">
        <f>IF(SUMIFS('Shipments data'!L:L,'Shipments data'!F:F,'Supply planning data'!C273,'Shipments data'!A:A,'Supply planning data'!A273,'Shipments data'!O:O,"received",'Shipments data'!Q:Q,"&lt;"&amp;'Supply planning data'!D288,'Shipments data'!AC:AC,"&lt;"&amp;'Supply planning data'!D288)-SUMIFS(M:M,D:D,"&lt;="&amp;D273,C:C,C273)-SUMIFS(AJ:AJ,D:D,"&lt;="&amp;D273,C:C,C273)+SUMIFS(N:N,D:D,"&lt;="&amp;D273,C:C,C273)+SUMIFS(P:P,D:D,"&lt;="&amp;D273,C:C,C273)&lt;0,0,SUMIFS('Shipments data'!L:L,'Shipments data'!F:F,'Supply planning data'!C273,'Shipments data'!A:A,'Supply planning data'!A273,'Shipments data'!O:O,"received",'Shipments data'!Q:Q,"&lt;"&amp;'Supply planning data'!D288,'Shipments data'!AC:AC,"&lt;"&amp;'Supply planning data'!D288)-SUMIFS(M:M,D:D,"&lt;="&amp;D273,C:C,C273)-SUMIFS(AJ:AJ,D:D,"&lt;="&amp;D273,C:C,C273)+SUMIFS(N:N,D:D,"&lt;="&amp;D273,C:C,C273)+SUMIFS(P:P,D:D,"&lt;="&amp;D273,C:C,C273))</f>
        <v>0</v>
      </c>
      <c r="AM273" s="111">
        <f t="shared" si="83"/>
        <v>0</v>
      </c>
      <c r="AN273" s="111">
        <f t="shared" si="95"/>
        <v>0</v>
      </c>
      <c r="AO273" s="204" t="str">
        <f t="shared" si="86"/>
        <v/>
      </c>
    </row>
    <row r="274" spans="1:41" hidden="1" x14ac:dyDescent="0.25">
      <c r="A274" s="113" t="str">
        <f>Start!D$7</f>
        <v>Anyland</v>
      </c>
      <c r="B274" s="114" t="str">
        <f>VLOOKUP(A274,list!B:C,2,FALSE)</f>
        <v>ANY</v>
      </c>
      <c r="C274" s="104" t="str">
        <f>IF(Start!$C$31="","",Start!$C$31)</f>
        <v/>
      </c>
      <c r="D274" s="298">
        <f t="shared" si="77"/>
        <v>44713</v>
      </c>
      <c r="E274" s="105" t="str">
        <f>IFERROR(VLOOKUP(C274,Start!C$15:D$31,2,FALSE),"No")</f>
        <v>No</v>
      </c>
      <c r="F274" s="105">
        <f t="shared" si="78"/>
        <v>0</v>
      </c>
      <c r="G274" s="106"/>
      <c r="H274" s="106"/>
      <c r="I274" s="106"/>
      <c r="J274" s="105">
        <f t="shared" si="89"/>
        <v>0</v>
      </c>
      <c r="K274" s="106"/>
      <c r="L274" s="177" t="str">
        <f t="shared" si="90"/>
        <v/>
      </c>
      <c r="M274" s="105">
        <f t="shared" si="91"/>
        <v>0</v>
      </c>
      <c r="N274" s="110"/>
      <c r="O274" s="124"/>
      <c r="P274" s="110"/>
      <c r="Q274" s="124"/>
      <c r="R274" s="111">
        <f>SUMIFS('Shipments data'!L:L,'Shipments data'!F:F,'Supply planning data'!C274,'Shipments data'!A:A,'Supply planning data'!A274,'Shipments data'!Y:Y,'Supply planning data'!D274,'Shipments data'!O:O,"received", 'Shipments data'!N:N, "Public")</f>
        <v>0</v>
      </c>
      <c r="S274" s="111">
        <f>SUMIFS('Shipments data'!L:L,'Shipments data'!F:F,'Supply planning data'!C274,'Shipments data'!A:A,'Supply planning data'!A274,'Shipments data'!Y:Y,'Supply planning data'!D274,'Shipments data'!O:O,"ordered", 'Shipments data'!N:N, "Public")</f>
        <v>0</v>
      </c>
      <c r="T274" s="111">
        <f>IF(SUMIFS('Shipments data'!L:L,'Shipments data'!F:F,'Supply planning data'!C274,'Shipments data'!A:A,'Supply planning data'!A274,'Shipments data'!O:O,"received",'Shipments data'!Q:Q,"&lt;"&amp;'Supply planning data'!D289,'Shipments data'!AC:AC,"&lt;"&amp;'Supply planning data'!D289)-SUMIFS(M:M,D:D,"&lt;="&amp;D274,C:C,C274)+SUMIFS(N:N,D:D,"&lt;="&amp;D274,C:C,C274)+SUMIFS(P:P,D:D,"&lt;="&amp;D274,C:C,C274)&lt;0,0,SUMIFS('Shipments data'!L:L,'Shipments data'!F:F,'Supply planning data'!C274,'Shipments data'!A:A,'Supply planning data'!A274,'Shipments data'!O:O,"received",'Shipments data'!Q:Q,"&lt;"&amp;'Supply planning data'!D289,'Shipments data'!AC:AC,"&lt;"&amp;'Supply planning data'!D289)-SUMIFS(M:M,D:D,"&lt;="&amp;D274,C:C,C274)+SUMIFS(N:N,D:D,"&lt;="&amp;D274,C:C,C274)+SUMIFS(P:P,D:D,"&lt;="&amp;D274,C:C,C274))</f>
        <v>0</v>
      </c>
      <c r="U274" s="112">
        <f t="shared" si="79"/>
        <v>0</v>
      </c>
      <c r="V274" s="111">
        <f t="shared" si="87"/>
        <v>0</v>
      </c>
      <c r="W274" s="204" t="str">
        <f t="shared" si="85"/>
        <v/>
      </c>
      <c r="X274" s="111">
        <f t="shared" si="80"/>
        <v>0</v>
      </c>
      <c r="Y274" s="110"/>
      <c r="Z274" s="107"/>
      <c r="AA274" s="111">
        <f t="shared" si="92"/>
        <v>0</v>
      </c>
      <c r="AB274" s="235"/>
      <c r="AC274" s="111">
        <f>IF(SUMIFS('Shipments data'!L:L,'Shipments data'!F:F,'Supply planning data'!C274,'Shipments data'!A:A,'Supply planning data'!A274,'Shipments data'!O:O,"received",'Shipments data'!Q:Q,"&lt;"&amp;'Supply planning data'!D289,'Shipments data'!AC:AC,"&lt;"&amp;'Supply planning data'!D289)-SUMIFS(M:M,D:D,"&lt;="&amp;D274,C:C,C274)-SUMIFS(AA:AA,D:D,"&lt;="&amp;D274,C:C,C274)+SUMIFS(N:N,D:D,"&lt;="&amp;D274,C:C,C274)+SUMIFS(P:P,D:D,"&lt;="&amp;D274,C:C,C274)&lt;0,0,SUMIFS('Shipments data'!L:L,'Shipments data'!F:F,'Supply planning data'!C274,'Shipments data'!A:A,'Supply planning data'!A274,'Shipments data'!O:O,"received",'Shipments data'!Q:Q,"&lt;"&amp;'Supply planning data'!D289,'Shipments data'!AC:AC,"&lt;"&amp;'Supply planning data'!D289)-SUMIFS(M:M,D:D,"&lt;="&amp;D274,C:C,C274)-SUMIFS(AA:AA,D:D,"&lt;="&amp;D274,C:C,C274)+SUMIFS(N:N,D:D,"&lt;="&amp;D274,C:C,C274)+SUMIFS(P:P,D:D,"&lt;="&amp;D274,C:C,C274))</f>
        <v>0</v>
      </c>
      <c r="AD274" s="111">
        <f t="shared" si="81"/>
        <v>0</v>
      </c>
      <c r="AE274" s="111">
        <f t="shared" si="94"/>
        <v>0</v>
      </c>
      <c r="AF274" s="204" t="str">
        <f t="shared" si="84"/>
        <v/>
      </c>
      <c r="AG274" s="111">
        <f t="shared" si="82"/>
        <v>0</v>
      </c>
      <c r="AH274" s="110"/>
      <c r="AI274" s="313"/>
      <c r="AJ274" s="111">
        <f t="shared" si="93"/>
        <v>0</v>
      </c>
      <c r="AK274" s="235"/>
      <c r="AL274" s="111">
        <f>IF(SUMIFS('Shipments data'!L:L,'Shipments data'!F:F,'Supply planning data'!C274,'Shipments data'!A:A,'Supply planning data'!A274,'Shipments data'!O:O,"received",'Shipments data'!Q:Q,"&lt;"&amp;'Supply planning data'!D289,'Shipments data'!AC:AC,"&lt;"&amp;'Supply planning data'!D289)-SUMIFS(M:M,D:D,"&lt;="&amp;D274,C:C,C274)-SUMIFS(AJ:AJ,D:D,"&lt;="&amp;D274,C:C,C274)+SUMIFS(N:N,D:D,"&lt;="&amp;D274,C:C,C274)+SUMIFS(P:P,D:D,"&lt;="&amp;D274,C:C,C274)&lt;0,0,SUMIFS('Shipments data'!L:L,'Shipments data'!F:F,'Supply planning data'!C274,'Shipments data'!A:A,'Supply planning data'!A274,'Shipments data'!O:O,"received",'Shipments data'!Q:Q,"&lt;"&amp;'Supply planning data'!D289,'Shipments data'!AC:AC,"&lt;"&amp;'Supply planning data'!D289)-SUMIFS(M:M,D:D,"&lt;="&amp;D274,C:C,C274)-SUMIFS(AJ:AJ,D:D,"&lt;="&amp;D274,C:C,C274)+SUMIFS(N:N,D:D,"&lt;="&amp;D274,C:C,C274)+SUMIFS(P:P,D:D,"&lt;="&amp;D274,C:C,C274))</f>
        <v>0</v>
      </c>
      <c r="AM274" s="111">
        <f t="shared" si="83"/>
        <v>0</v>
      </c>
      <c r="AN274" s="111">
        <f t="shared" si="95"/>
        <v>0</v>
      </c>
      <c r="AO274" s="204" t="str">
        <f t="shared" si="86"/>
        <v/>
      </c>
    </row>
    <row r="275" spans="1:41" x14ac:dyDescent="0.25">
      <c r="A275" s="89" t="str">
        <f>Start!D$7</f>
        <v>Anyland</v>
      </c>
      <c r="B275" s="90" t="str">
        <f>VLOOKUP(A275,list!B:C,2,FALSE)</f>
        <v>ANY</v>
      </c>
      <c r="C275" s="90" t="str">
        <f>IF(Start!$C$17="","",Start!$C$17)</f>
        <v>AstraZeneca</v>
      </c>
      <c r="D275" s="296">
        <f t="shared" si="77"/>
        <v>44743</v>
      </c>
      <c r="E275" s="92" t="str">
        <f>IFERROR(VLOOKUP(C275,Start!C$15:D$31,2,FALSE),"No")</f>
        <v>Yes</v>
      </c>
      <c r="F275" s="92">
        <f t="shared" si="78"/>
        <v>0</v>
      </c>
      <c r="G275" s="91"/>
      <c r="H275" s="91"/>
      <c r="I275" s="91"/>
      <c r="J275" s="92">
        <f t="shared" si="89"/>
        <v>0</v>
      </c>
      <c r="K275" s="91"/>
      <c r="L275" s="174" t="str">
        <f t="shared" si="90"/>
        <v/>
      </c>
      <c r="M275" s="92">
        <f t="shared" si="91"/>
        <v>0</v>
      </c>
      <c r="N275" s="91"/>
      <c r="O275" s="121"/>
      <c r="P275" s="91"/>
      <c r="Q275" s="121"/>
      <c r="R275" s="92">
        <f>SUMIFS('Shipments data'!L:L,'Shipments data'!F:F,'Supply planning data'!C275,'Shipments data'!A:A,'Supply planning data'!A275,'Shipments data'!Y:Y,'Supply planning data'!D275,'Shipments data'!O:O,"received", 'Shipments data'!N:N, "Public")</f>
        <v>0</v>
      </c>
      <c r="S275" s="92">
        <f>SUMIFS('Shipments data'!L:L,'Shipments data'!F:F,'Supply planning data'!C275,'Shipments data'!A:A,'Supply planning data'!A275,'Shipments data'!Y:Y,'Supply planning data'!D275,'Shipments data'!O:O,"ordered", 'Shipments data'!N:N, "Public")</f>
        <v>0</v>
      </c>
      <c r="T275" s="92">
        <f>IF(SUMIFS('Shipments data'!L:L,'Shipments data'!F:F,'Supply planning data'!C275,'Shipments data'!A:A,'Supply planning data'!A275,'Shipments data'!O:O,"received",'Shipments data'!Q:Q,"&lt;"&amp;'Supply planning data'!D290,'Shipments data'!AC:AC,"&lt;"&amp;'Supply planning data'!D290)-SUMIFS(M:M,D:D,"&lt;="&amp;D275,C:C,C275)+SUMIFS(N:N,D:D,"&lt;="&amp;D275,C:C,C275)+SUMIFS(P:P,D:D,"&lt;="&amp;D275,C:C,C275)&lt;0,0,SUMIFS('Shipments data'!L:L,'Shipments data'!F:F,'Supply planning data'!C275,'Shipments data'!A:A,'Supply planning data'!A275,'Shipments data'!O:O,"received",'Shipments data'!Q:Q,"&lt;"&amp;'Supply planning data'!D290,'Shipments data'!AC:AC,"&lt;"&amp;'Supply planning data'!D290)-SUMIFS(M:M,D:D,"&lt;="&amp;D275,C:C,C275)+SUMIFS(N:N,D:D,"&lt;="&amp;D275,C:C,C275)+SUMIFS(P:P,D:D,"&lt;="&amp;D275,C:C,C275))</f>
        <v>0</v>
      </c>
      <c r="U275" s="94">
        <f t="shared" si="79"/>
        <v>0</v>
      </c>
      <c r="V275" s="92">
        <f t="shared" si="87"/>
        <v>0</v>
      </c>
      <c r="W275" s="205" t="str">
        <f t="shared" si="85"/>
        <v/>
      </c>
      <c r="X275" s="92">
        <f t="shared" si="80"/>
        <v>554701</v>
      </c>
      <c r="Y275" s="91">
        <v>80000</v>
      </c>
      <c r="Z275" s="93"/>
      <c r="AA275" s="92">
        <f t="shared" si="92"/>
        <v>80000</v>
      </c>
      <c r="AB275" s="232"/>
      <c r="AC275" s="92">
        <f>IF(SUMIFS('Shipments data'!L:L,'Shipments data'!F:F,'Supply planning data'!C275,'Shipments data'!A:A,'Supply planning data'!A275,'Shipments data'!O:O,"received",'Shipments data'!Q:Q,"&lt;"&amp;'Supply planning data'!D290,'Shipments data'!AC:AC,"&lt;"&amp;'Supply planning data'!D290)-SUMIFS(M:M,D:D,"&lt;="&amp;D275,C:C,C275)-SUMIFS(AA:AA,D:D,"&lt;="&amp;D275,C:C,C275)+SUMIFS(N:N,D:D,"&lt;="&amp;D275,C:C,C275)+SUMIFS(P:P,D:D,"&lt;="&amp;D275,C:C,C275)&lt;0,0,SUMIFS('Shipments data'!L:L,'Shipments data'!F:F,'Supply planning data'!C275,'Shipments data'!A:A,'Supply planning data'!A275,'Shipments data'!O:O,"received",'Shipments data'!Q:Q,"&lt;"&amp;'Supply planning data'!D290,'Shipments data'!AC:AC,"&lt;"&amp;'Supply planning data'!D290)-SUMIFS(M:M,D:D,"&lt;="&amp;D275,C:C,C275)-SUMIFS(AA:AA,D:D,"&lt;="&amp;D275,C:C,C275)+SUMIFS(N:N,D:D,"&lt;="&amp;D275,C:C,C275)+SUMIFS(P:P,D:D,"&lt;="&amp;D275,C:C,C275))</f>
        <v>0</v>
      </c>
      <c r="AD275" s="92">
        <f t="shared" si="81"/>
        <v>0</v>
      </c>
      <c r="AE275" s="92">
        <f t="shared" si="94"/>
        <v>474701</v>
      </c>
      <c r="AF275" s="205">
        <f t="shared" si="84"/>
        <v>5.9337625000000003</v>
      </c>
      <c r="AG275" s="92">
        <f t="shared" si="82"/>
        <v>0</v>
      </c>
      <c r="AH275" s="91"/>
      <c r="AI275" s="310"/>
      <c r="AJ275" s="92">
        <f t="shared" si="93"/>
        <v>0</v>
      </c>
      <c r="AK275" s="232"/>
      <c r="AL275" s="92">
        <f>IF(SUMIFS('Shipments data'!L:L,'Shipments data'!F:F,'Supply planning data'!C275,'Shipments data'!A:A,'Supply planning data'!A275,'Shipments data'!O:O,"received",'Shipments data'!Q:Q,"&lt;"&amp;'Supply planning data'!D290,'Shipments data'!AC:AC,"&lt;"&amp;'Supply planning data'!D290)-SUMIFS(M:M,D:D,"&lt;="&amp;D275,C:C,C275)-SUMIFS(AJ:AJ,D:D,"&lt;="&amp;D275,C:C,C275)+SUMIFS(N:N,D:D,"&lt;="&amp;D275,C:C,C275)+SUMIFS(P:P,D:D,"&lt;="&amp;D275,C:C,C275)&lt;0,0,SUMIFS('Shipments data'!L:L,'Shipments data'!F:F,'Supply planning data'!C275,'Shipments data'!A:A,'Supply planning data'!A275,'Shipments data'!O:O,"received",'Shipments data'!Q:Q,"&lt;"&amp;'Supply planning data'!D290,'Shipments data'!AC:AC,"&lt;"&amp;'Supply planning data'!D290)-SUMIFS(M:M,D:D,"&lt;="&amp;D275,C:C,C275)-SUMIFS(AJ:AJ,D:D,"&lt;="&amp;D275,C:C,C275)+SUMIFS(N:N,D:D,"&lt;="&amp;D275,C:C,C275)+SUMIFS(P:P,D:D,"&lt;="&amp;D275,C:C,C275))</f>
        <v>0</v>
      </c>
      <c r="AM275" s="92">
        <f t="shared" si="83"/>
        <v>0</v>
      </c>
      <c r="AN275" s="92">
        <f t="shared" si="95"/>
        <v>0</v>
      </c>
      <c r="AO275" s="205" t="str">
        <f t="shared" si="86"/>
        <v/>
      </c>
    </row>
    <row r="276" spans="1:41" x14ac:dyDescent="0.25">
      <c r="A276" s="95" t="str">
        <f>Start!D$7</f>
        <v>Anyland</v>
      </c>
      <c r="B276" s="96" t="str">
        <f>VLOOKUP(A276,list!B:C,2,FALSE)</f>
        <v>ANY</v>
      </c>
      <c r="C276" s="90" t="str">
        <f>IF(Start!$C$18="","",Start!$C$18)</f>
        <v>Jansen</v>
      </c>
      <c r="D276" s="296">
        <f t="shared" ref="D276:D339" si="96">DATE(YEAR(D261),MONTH(D261)+1,1)</f>
        <v>44743</v>
      </c>
      <c r="E276" s="92" t="str">
        <f>IFERROR(VLOOKUP(C276,Start!C$15:D$31,2,FALSE),"No")</f>
        <v>Yes</v>
      </c>
      <c r="F276" s="92">
        <f t="shared" ref="F276:F339" si="97">V261</f>
        <v>2058747</v>
      </c>
      <c r="G276" s="91"/>
      <c r="H276" s="97"/>
      <c r="I276" s="97"/>
      <c r="J276" s="98">
        <f t="shared" si="89"/>
        <v>0</v>
      </c>
      <c r="K276" s="97"/>
      <c r="L276" s="175" t="str">
        <f t="shared" si="90"/>
        <v/>
      </c>
      <c r="M276" s="98">
        <f t="shared" si="91"/>
        <v>0</v>
      </c>
      <c r="N276" s="97"/>
      <c r="O276" s="122"/>
      <c r="P276" s="97"/>
      <c r="Q276" s="122"/>
      <c r="R276" s="98">
        <f>SUMIFS('Shipments data'!L:L,'Shipments data'!F:F,'Supply planning data'!C276,'Shipments data'!A:A,'Supply planning data'!A276,'Shipments data'!Y:Y,'Supply planning data'!D276,'Shipments data'!O:O,"received", 'Shipments data'!N:N, "Public")</f>
        <v>0</v>
      </c>
      <c r="S276" s="98">
        <f>SUMIFS('Shipments data'!L:L,'Shipments data'!F:F,'Supply planning data'!C276,'Shipments data'!A:A,'Supply planning data'!A276,'Shipments data'!Y:Y,'Supply planning data'!D276,'Shipments data'!O:O,"ordered", 'Shipments data'!N:N, "Public")</f>
        <v>0</v>
      </c>
      <c r="T276" s="98">
        <f>IF(SUMIFS('Shipments data'!L:L,'Shipments data'!F:F,'Supply planning data'!C276,'Shipments data'!A:A,'Supply planning data'!A276,'Shipments data'!O:O,"received",'Shipments data'!Q:Q,"&lt;"&amp;'Supply planning data'!D291,'Shipments data'!AC:AC,"&lt;"&amp;'Supply planning data'!D291)-SUMIFS(M:M,D:D,"&lt;="&amp;D276,C:C,C276)+SUMIFS(N:N,D:D,"&lt;="&amp;D276,C:C,C276)+SUMIFS(P:P,D:D,"&lt;="&amp;D276,C:C,C276)&lt;0,0,SUMIFS('Shipments data'!L:L,'Shipments data'!F:F,'Supply planning data'!C276,'Shipments data'!A:A,'Supply planning data'!A276,'Shipments data'!O:O,"received",'Shipments data'!Q:Q,"&lt;"&amp;'Supply planning data'!D291,'Shipments data'!AC:AC,"&lt;"&amp;'Supply planning data'!D291)-SUMIFS(M:M,D:D,"&lt;="&amp;D276,C:C,C276)+SUMIFS(N:N,D:D,"&lt;="&amp;D276,C:C,C276)+SUMIFS(P:P,D:D,"&lt;="&amp;D276,C:C,C276))</f>
        <v>0</v>
      </c>
      <c r="U276" s="99">
        <f t="shared" ref="U276:U339" si="98">IF(T276-T261&lt;0,0,T276-T261)</f>
        <v>0</v>
      </c>
      <c r="V276" s="98">
        <f t="shared" si="87"/>
        <v>2058747</v>
      </c>
      <c r="W276" s="203" t="str">
        <f t="shared" si="85"/>
        <v/>
      </c>
      <c r="X276" s="98">
        <f t="shared" ref="X276:X339" si="99">AE261</f>
        <v>1898747</v>
      </c>
      <c r="Y276" s="97">
        <v>80000</v>
      </c>
      <c r="Z276" s="93"/>
      <c r="AA276" s="98">
        <f t="shared" si="92"/>
        <v>80000</v>
      </c>
      <c r="AB276" s="233"/>
      <c r="AC276" s="98">
        <f>IF(SUMIFS('Shipments data'!L:L,'Shipments data'!F:F,'Supply planning data'!C276,'Shipments data'!A:A,'Supply planning data'!A276,'Shipments data'!O:O,"received",'Shipments data'!Q:Q,"&lt;"&amp;'Supply planning data'!D291,'Shipments data'!AC:AC,"&lt;"&amp;'Supply planning data'!D291)-SUMIFS(M:M,D:D,"&lt;="&amp;D276,C:C,C276)-SUMIFS(AA:AA,D:D,"&lt;="&amp;D276,C:C,C276)+SUMIFS(N:N,D:D,"&lt;="&amp;D276,C:C,C276)+SUMIFS(P:P,D:D,"&lt;="&amp;D276,C:C,C276)&lt;0,0,SUMIFS('Shipments data'!L:L,'Shipments data'!F:F,'Supply planning data'!C276,'Shipments data'!A:A,'Supply planning data'!A276,'Shipments data'!O:O,"received",'Shipments data'!Q:Q,"&lt;"&amp;'Supply planning data'!D291,'Shipments data'!AC:AC,"&lt;"&amp;'Supply planning data'!D291)-SUMIFS(M:M,D:D,"&lt;="&amp;D276,C:C,C276)-SUMIFS(AA:AA,D:D,"&lt;="&amp;D276,C:C,C276)+SUMIFS(N:N,D:D,"&lt;="&amp;D276,C:C,C276)+SUMIFS(P:P,D:D,"&lt;="&amp;D276,C:C,C276))</f>
        <v>0</v>
      </c>
      <c r="AD276" s="98">
        <f t="shared" ref="AD276:AD339" si="100">IF(AC276-AC261&lt;0,0,AC276-AC261)</f>
        <v>0</v>
      </c>
      <c r="AE276" s="98">
        <f t="shared" si="94"/>
        <v>1818747</v>
      </c>
      <c r="AF276" s="205">
        <f t="shared" si="84"/>
        <v>22.734337499999999</v>
      </c>
      <c r="AG276" s="98">
        <f t="shared" ref="AG276:AG339" si="101">AN261</f>
        <v>2058747</v>
      </c>
      <c r="AH276" s="97"/>
      <c r="AI276" s="311"/>
      <c r="AJ276" s="98">
        <f t="shared" si="93"/>
        <v>0</v>
      </c>
      <c r="AK276" s="233"/>
      <c r="AL276" s="98">
        <f>IF(SUMIFS('Shipments data'!L:L,'Shipments data'!F:F,'Supply planning data'!C276,'Shipments data'!A:A,'Supply planning data'!A276,'Shipments data'!O:O,"received",'Shipments data'!Q:Q,"&lt;"&amp;'Supply planning data'!D291,'Shipments data'!AC:AC,"&lt;"&amp;'Supply planning data'!D291)-SUMIFS(M:M,D:D,"&lt;="&amp;D276,C:C,C276)-SUMIFS(AJ:AJ,D:D,"&lt;="&amp;D276,C:C,C276)+SUMIFS(N:N,D:D,"&lt;="&amp;D276,C:C,C276)+SUMIFS(P:P,D:D,"&lt;="&amp;D276,C:C,C276)&lt;0,0,SUMIFS('Shipments data'!L:L,'Shipments data'!F:F,'Supply planning data'!C276,'Shipments data'!A:A,'Supply planning data'!A276,'Shipments data'!O:O,"received",'Shipments data'!Q:Q,"&lt;"&amp;'Supply planning data'!D291,'Shipments data'!AC:AC,"&lt;"&amp;'Supply planning data'!D291)-SUMIFS(M:M,D:D,"&lt;="&amp;D276,C:C,C276)-SUMIFS(AJ:AJ,D:D,"&lt;="&amp;D276,C:C,C276)+SUMIFS(N:N,D:D,"&lt;="&amp;D276,C:C,C276)+SUMIFS(P:P,D:D,"&lt;="&amp;D276,C:C,C276))</f>
        <v>0</v>
      </c>
      <c r="AM276" s="98">
        <f t="shared" ref="AM276:AM339" si="102">IF(AL276-AL261&lt;0,0,AL276-AL261)</f>
        <v>0</v>
      </c>
      <c r="AN276" s="98">
        <f t="shared" si="95"/>
        <v>2058747</v>
      </c>
      <c r="AO276" s="203" t="str">
        <f t="shared" si="86"/>
        <v/>
      </c>
    </row>
    <row r="277" spans="1:41" x14ac:dyDescent="0.25">
      <c r="A277" s="95" t="str">
        <f>Start!D$7</f>
        <v>Anyland</v>
      </c>
      <c r="B277" s="96" t="str">
        <f>VLOOKUP(A277,list!B:C,2,FALSE)</f>
        <v>ANY</v>
      </c>
      <c r="C277" s="90" t="str">
        <f>IF(Start!$C$19="","",Start!$C$19)</f>
        <v>Moderna</v>
      </c>
      <c r="D277" s="296">
        <f t="shared" si="96"/>
        <v>44743</v>
      </c>
      <c r="E277" s="92" t="str">
        <f>IFERROR(VLOOKUP(C277,Start!C$15:D$31,2,FALSE),"No")</f>
        <v>No</v>
      </c>
      <c r="F277" s="92">
        <f t="shared" si="97"/>
        <v>0</v>
      </c>
      <c r="G277" s="91"/>
      <c r="H277" s="97"/>
      <c r="I277" s="97"/>
      <c r="J277" s="98">
        <f t="shared" si="89"/>
        <v>0</v>
      </c>
      <c r="K277" s="97"/>
      <c r="L277" s="175" t="str">
        <f t="shared" si="90"/>
        <v/>
      </c>
      <c r="M277" s="98">
        <f t="shared" si="91"/>
        <v>0</v>
      </c>
      <c r="N277" s="97"/>
      <c r="O277" s="122"/>
      <c r="P277" s="97"/>
      <c r="Q277" s="122"/>
      <c r="R277" s="98">
        <f>SUMIFS('Shipments data'!L:L,'Shipments data'!F:F,'Supply planning data'!C277,'Shipments data'!A:A,'Supply planning data'!A277,'Shipments data'!Y:Y,'Supply planning data'!D277,'Shipments data'!O:O,"received", 'Shipments data'!N:N, "Public")</f>
        <v>0</v>
      </c>
      <c r="S277" s="98">
        <f>SUMIFS('Shipments data'!L:L,'Shipments data'!F:F,'Supply planning data'!C277,'Shipments data'!A:A,'Supply planning data'!A277,'Shipments data'!Y:Y,'Supply planning data'!D277,'Shipments data'!O:O,"ordered", 'Shipments data'!N:N, "Public")</f>
        <v>0</v>
      </c>
      <c r="T277" s="98">
        <f>IF(SUMIFS('Shipments data'!L:L,'Shipments data'!F:F,'Supply planning data'!C277,'Shipments data'!A:A,'Supply planning data'!A277,'Shipments data'!O:O,"received",'Shipments data'!Q:Q,"&lt;"&amp;'Supply planning data'!D292,'Shipments data'!AC:AC,"&lt;"&amp;'Supply planning data'!D292)-SUMIFS(M:M,D:D,"&lt;="&amp;D277,C:C,C277)+SUMIFS(N:N,D:D,"&lt;="&amp;D277,C:C,C277)+SUMIFS(P:P,D:D,"&lt;="&amp;D277,C:C,C277)&lt;0,0,SUMIFS('Shipments data'!L:L,'Shipments data'!F:F,'Supply planning data'!C277,'Shipments data'!A:A,'Supply planning data'!A277,'Shipments data'!O:O,"received",'Shipments data'!Q:Q,"&lt;"&amp;'Supply planning data'!D292,'Shipments data'!AC:AC,"&lt;"&amp;'Supply planning data'!D292)-SUMIFS(M:M,D:D,"&lt;="&amp;D277,C:C,C277)+SUMIFS(N:N,D:D,"&lt;="&amp;D277,C:C,C277)+SUMIFS(P:P,D:D,"&lt;="&amp;D277,C:C,C277))</f>
        <v>0</v>
      </c>
      <c r="U277" s="99">
        <f t="shared" si="98"/>
        <v>0</v>
      </c>
      <c r="V277" s="98">
        <f t="shared" si="87"/>
        <v>0</v>
      </c>
      <c r="W277" s="203" t="str">
        <f t="shared" si="85"/>
        <v/>
      </c>
      <c r="X277" s="98">
        <f t="shared" si="99"/>
        <v>0</v>
      </c>
      <c r="Y277" s="97">
        <v>80000</v>
      </c>
      <c r="Z277" s="93"/>
      <c r="AA277" s="98">
        <f t="shared" si="92"/>
        <v>80000</v>
      </c>
      <c r="AB277" s="233"/>
      <c r="AC277" s="98">
        <f>IF(SUMIFS('Shipments data'!L:L,'Shipments data'!F:F,'Supply planning data'!C277,'Shipments data'!A:A,'Supply planning data'!A277,'Shipments data'!O:O,"received",'Shipments data'!Q:Q,"&lt;"&amp;'Supply planning data'!D292,'Shipments data'!AC:AC,"&lt;"&amp;'Supply planning data'!D292)-SUMIFS(M:M,D:D,"&lt;="&amp;D277,C:C,C277)-SUMIFS(AA:AA,D:D,"&lt;="&amp;D277,C:C,C277)+SUMIFS(N:N,D:D,"&lt;="&amp;D277,C:C,C277)+SUMIFS(P:P,D:D,"&lt;="&amp;D277,C:C,C277)&lt;0,0,SUMIFS('Shipments data'!L:L,'Shipments data'!F:F,'Supply planning data'!C277,'Shipments data'!A:A,'Supply planning data'!A277,'Shipments data'!O:O,"received",'Shipments data'!Q:Q,"&lt;"&amp;'Supply planning data'!D292,'Shipments data'!AC:AC,"&lt;"&amp;'Supply planning data'!D292)-SUMIFS(M:M,D:D,"&lt;="&amp;D277,C:C,C277)-SUMIFS(AA:AA,D:D,"&lt;="&amp;D277,C:C,C277)+SUMIFS(N:N,D:D,"&lt;="&amp;D277,C:C,C277)+SUMIFS(P:P,D:D,"&lt;="&amp;D277,C:C,C277))</f>
        <v>0</v>
      </c>
      <c r="AD277" s="98">
        <f t="shared" si="100"/>
        <v>0</v>
      </c>
      <c r="AE277" s="98">
        <f t="shared" si="94"/>
        <v>0</v>
      </c>
      <c r="AF277" s="205">
        <f t="shared" si="84"/>
        <v>0</v>
      </c>
      <c r="AG277" s="98">
        <f t="shared" si="101"/>
        <v>0</v>
      </c>
      <c r="AH277" s="97"/>
      <c r="AI277" s="311"/>
      <c r="AJ277" s="98">
        <f t="shared" si="93"/>
        <v>0</v>
      </c>
      <c r="AK277" s="233"/>
      <c r="AL277" s="98">
        <f>IF(SUMIFS('Shipments data'!L:L,'Shipments data'!F:F,'Supply planning data'!C277,'Shipments data'!A:A,'Supply planning data'!A277,'Shipments data'!O:O,"received",'Shipments data'!Q:Q,"&lt;"&amp;'Supply planning data'!D292,'Shipments data'!AC:AC,"&lt;"&amp;'Supply planning data'!D292)-SUMIFS(M:M,D:D,"&lt;="&amp;D277,C:C,C277)-SUMIFS(AJ:AJ,D:D,"&lt;="&amp;D277,C:C,C277)+SUMIFS(N:N,D:D,"&lt;="&amp;D277,C:C,C277)+SUMIFS(P:P,D:D,"&lt;="&amp;D277,C:C,C277)&lt;0,0,SUMIFS('Shipments data'!L:L,'Shipments data'!F:F,'Supply planning data'!C277,'Shipments data'!A:A,'Supply planning data'!A277,'Shipments data'!O:O,"received",'Shipments data'!Q:Q,"&lt;"&amp;'Supply planning data'!D292,'Shipments data'!AC:AC,"&lt;"&amp;'Supply planning data'!D292)-SUMIFS(M:M,D:D,"&lt;="&amp;D277,C:C,C277)-SUMIFS(AJ:AJ,D:D,"&lt;="&amp;D277,C:C,C277)+SUMIFS(N:N,D:D,"&lt;="&amp;D277,C:C,C277)+SUMIFS(P:P,D:D,"&lt;="&amp;D277,C:C,C277))</f>
        <v>0</v>
      </c>
      <c r="AM277" s="98">
        <f t="shared" si="102"/>
        <v>0</v>
      </c>
      <c r="AN277" s="98">
        <f t="shared" si="95"/>
        <v>0</v>
      </c>
      <c r="AO277" s="203" t="str">
        <f t="shared" si="86"/>
        <v/>
      </c>
    </row>
    <row r="278" spans="1:41" x14ac:dyDescent="0.25">
      <c r="A278" s="95" t="str">
        <f>Start!D$7</f>
        <v>Anyland</v>
      </c>
      <c r="B278" s="96" t="str">
        <f>VLOOKUP(A278,list!B:C,2,FALSE)</f>
        <v>ANY</v>
      </c>
      <c r="C278" s="90" t="str">
        <f>IF(Start!$C$20="","",Start!$C$20)</f>
        <v>Pfizer</v>
      </c>
      <c r="D278" s="296">
        <f t="shared" si="96"/>
        <v>44743</v>
      </c>
      <c r="E278" s="92" t="str">
        <f>IFERROR(VLOOKUP(C278,Start!C$15:D$31,2,FALSE),"No")</f>
        <v>Yes</v>
      </c>
      <c r="F278" s="92">
        <f t="shared" si="97"/>
        <v>1110538</v>
      </c>
      <c r="G278" s="91"/>
      <c r="H278" s="97"/>
      <c r="I278" s="97"/>
      <c r="J278" s="98">
        <f t="shared" si="89"/>
        <v>0</v>
      </c>
      <c r="K278" s="97"/>
      <c r="L278" s="175" t="str">
        <f t="shared" si="90"/>
        <v/>
      </c>
      <c r="M278" s="98">
        <f t="shared" si="91"/>
        <v>0</v>
      </c>
      <c r="N278" s="97"/>
      <c r="O278" s="122"/>
      <c r="P278" s="97"/>
      <c r="Q278" s="122"/>
      <c r="R278" s="98">
        <f>SUMIFS('Shipments data'!L:L,'Shipments data'!F:F,'Supply planning data'!C278,'Shipments data'!A:A,'Supply planning data'!A278,'Shipments data'!Y:Y,'Supply planning data'!D278,'Shipments data'!O:O,"received", 'Shipments data'!N:N, "Public")</f>
        <v>0</v>
      </c>
      <c r="S278" s="98">
        <f>SUMIFS('Shipments data'!L:L,'Shipments data'!F:F,'Supply planning data'!C278,'Shipments data'!A:A,'Supply planning data'!A278,'Shipments data'!Y:Y,'Supply planning data'!D278,'Shipments data'!O:O,"ordered", 'Shipments data'!N:N, "Public")</f>
        <v>1000000</v>
      </c>
      <c r="T278" s="98">
        <f>IF(SUMIFS('Shipments data'!L:L,'Shipments data'!F:F,'Supply planning data'!C278,'Shipments data'!A:A,'Supply planning data'!A278,'Shipments data'!O:O,"received",'Shipments data'!Q:Q,"&lt;"&amp;'Supply planning data'!D293,'Shipments data'!AC:AC,"&lt;"&amp;'Supply planning data'!D293)-SUMIFS(M:M,D:D,"&lt;="&amp;D278,C:C,C278)+SUMIFS(N:N,D:D,"&lt;="&amp;D278,C:C,C278)+SUMIFS(P:P,D:D,"&lt;="&amp;D278,C:C,C278)&lt;0,0,SUMIFS('Shipments data'!L:L,'Shipments data'!F:F,'Supply planning data'!C278,'Shipments data'!A:A,'Supply planning data'!A278,'Shipments data'!O:O,"received",'Shipments data'!Q:Q,"&lt;"&amp;'Supply planning data'!D293,'Shipments data'!AC:AC,"&lt;"&amp;'Supply planning data'!D293)-SUMIFS(M:M,D:D,"&lt;="&amp;D278,C:C,C278)+SUMIFS(N:N,D:D,"&lt;="&amp;D278,C:C,C278)+SUMIFS(P:P,D:D,"&lt;="&amp;D278,C:C,C278))</f>
        <v>110538</v>
      </c>
      <c r="U278" s="99">
        <f t="shared" si="98"/>
        <v>110538</v>
      </c>
      <c r="V278" s="98">
        <f t="shared" si="87"/>
        <v>2000000</v>
      </c>
      <c r="W278" s="203" t="str">
        <f t="shared" si="85"/>
        <v/>
      </c>
      <c r="X278" s="98">
        <f t="shared" si="99"/>
        <v>950538</v>
      </c>
      <c r="Y278" s="97">
        <v>80000</v>
      </c>
      <c r="Z278" s="93"/>
      <c r="AA278" s="98">
        <f t="shared" si="92"/>
        <v>80000</v>
      </c>
      <c r="AB278" s="233"/>
      <c r="AC278" s="98">
        <f>IF(SUMIFS('Shipments data'!L:L,'Shipments data'!F:F,'Supply planning data'!C278,'Shipments data'!A:A,'Supply planning data'!A278,'Shipments data'!O:O,"received",'Shipments data'!Q:Q,"&lt;"&amp;'Supply planning data'!D293,'Shipments data'!AC:AC,"&lt;"&amp;'Supply planning data'!D293)-SUMIFS(M:M,D:D,"&lt;="&amp;D278,C:C,C278)-SUMIFS(AA:AA,D:D,"&lt;="&amp;D278,C:C,C278)+SUMIFS(N:N,D:D,"&lt;="&amp;D278,C:C,C278)+SUMIFS(P:P,D:D,"&lt;="&amp;D278,C:C,C278)&lt;0,0,SUMIFS('Shipments data'!L:L,'Shipments data'!F:F,'Supply planning data'!C278,'Shipments data'!A:A,'Supply planning data'!A278,'Shipments data'!O:O,"received",'Shipments data'!Q:Q,"&lt;"&amp;'Supply planning data'!D293,'Shipments data'!AC:AC,"&lt;"&amp;'Supply planning data'!D293)-SUMIFS(M:M,D:D,"&lt;="&amp;D278,C:C,C278)-SUMIFS(AA:AA,D:D,"&lt;="&amp;D278,C:C,C278)+SUMIFS(N:N,D:D,"&lt;="&amp;D278,C:C,C278)+SUMIFS(P:P,D:D,"&lt;="&amp;D278,C:C,C278))</f>
        <v>0</v>
      </c>
      <c r="AD278" s="98">
        <f t="shared" si="100"/>
        <v>0</v>
      </c>
      <c r="AE278" s="98">
        <f t="shared" si="94"/>
        <v>1760000</v>
      </c>
      <c r="AF278" s="205">
        <f t="shared" si="84"/>
        <v>22</v>
      </c>
      <c r="AG278" s="98">
        <f t="shared" si="101"/>
        <v>1110538</v>
      </c>
      <c r="AH278" s="97"/>
      <c r="AI278" s="311"/>
      <c r="AJ278" s="98">
        <f t="shared" si="93"/>
        <v>0</v>
      </c>
      <c r="AK278" s="233"/>
      <c r="AL278" s="98">
        <f>IF(SUMIFS('Shipments data'!L:L,'Shipments data'!F:F,'Supply planning data'!C278,'Shipments data'!A:A,'Supply planning data'!A278,'Shipments data'!O:O,"received",'Shipments data'!Q:Q,"&lt;"&amp;'Supply planning data'!D293,'Shipments data'!AC:AC,"&lt;"&amp;'Supply planning data'!D293)-SUMIFS(M:M,D:D,"&lt;="&amp;D278,C:C,C278)-SUMIFS(AJ:AJ,D:D,"&lt;="&amp;D278,C:C,C278)+SUMIFS(N:N,D:D,"&lt;="&amp;D278,C:C,C278)+SUMIFS(P:P,D:D,"&lt;="&amp;D278,C:C,C278)&lt;0,0,SUMIFS('Shipments data'!L:L,'Shipments data'!F:F,'Supply planning data'!C278,'Shipments data'!A:A,'Supply planning data'!A278,'Shipments data'!O:O,"received",'Shipments data'!Q:Q,"&lt;"&amp;'Supply planning data'!D293,'Shipments data'!AC:AC,"&lt;"&amp;'Supply planning data'!D293)-SUMIFS(M:M,D:D,"&lt;="&amp;D278,C:C,C278)-SUMIFS(AJ:AJ,D:D,"&lt;="&amp;D278,C:C,C278)+SUMIFS(N:N,D:D,"&lt;="&amp;D278,C:C,C278)+SUMIFS(P:P,D:D,"&lt;="&amp;D278,C:C,C278))</f>
        <v>110538</v>
      </c>
      <c r="AM278" s="98">
        <f t="shared" si="102"/>
        <v>110538</v>
      </c>
      <c r="AN278" s="98">
        <f t="shared" si="95"/>
        <v>2000000</v>
      </c>
      <c r="AO278" s="203" t="str">
        <f t="shared" si="86"/>
        <v/>
      </c>
    </row>
    <row r="279" spans="1:41" x14ac:dyDescent="0.25">
      <c r="A279" s="95" t="str">
        <f>Start!D$7</f>
        <v>Anyland</v>
      </c>
      <c r="B279" s="96" t="str">
        <f>VLOOKUP(A279,list!B:C,2,FALSE)</f>
        <v>ANY</v>
      </c>
      <c r="C279" s="90" t="str">
        <f>IF(Start!$C$21="","",Start!$C$21)</f>
        <v>Sinovac</v>
      </c>
      <c r="D279" s="296">
        <f t="shared" si="96"/>
        <v>44743</v>
      </c>
      <c r="E279" s="92" t="str">
        <f>IFERROR(VLOOKUP(C279,Start!C$15:D$31,2,FALSE),"No")</f>
        <v>No</v>
      </c>
      <c r="F279" s="92">
        <f t="shared" si="97"/>
        <v>0</v>
      </c>
      <c r="G279" s="91"/>
      <c r="H279" s="97"/>
      <c r="I279" s="97"/>
      <c r="J279" s="98">
        <f t="shared" si="89"/>
        <v>0</v>
      </c>
      <c r="K279" s="97"/>
      <c r="L279" s="175" t="str">
        <f t="shared" si="90"/>
        <v/>
      </c>
      <c r="M279" s="98">
        <f t="shared" si="91"/>
        <v>0</v>
      </c>
      <c r="N279" s="97"/>
      <c r="O279" s="122"/>
      <c r="P279" s="97"/>
      <c r="Q279" s="122"/>
      <c r="R279" s="98">
        <f>SUMIFS('Shipments data'!L:L,'Shipments data'!F:F,'Supply planning data'!C279,'Shipments data'!A:A,'Supply planning data'!A279,'Shipments data'!Y:Y,'Supply planning data'!D279,'Shipments data'!O:O,"received", 'Shipments data'!N:N, "Public")</f>
        <v>0</v>
      </c>
      <c r="S279" s="98">
        <f>SUMIFS('Shipments data'!L:L,'Shipments data'!F:F,'Supply planning data'!C279,'Shipments data'!A:A,'Supply planning data'!A279,'Shipments data'!Y:Y,'Supply planning data'!D279,'Shipments data'!O:O,"ordered", 'Shipments data'!N:N, "Public")</f>
        <v>0</v>
      </c>
      <c r="T279" s="98">
        <f>IF(SUMIFS('Shipments data'!L:L,'Shipments data'!F:F,'Supply planning data'!C279,'Shipments data'!A:A,'Supply planning data'!A279,'Shipments data'!O:O,"received",'Shipments data'!Q:Q,"&lt;"&amp;'Supply planning data'!D294,'Shipments data'!AC:AC,"&lt;"&amp;'Supply planning data'!D294)-SUMIFS(M:M,D:D,"&lt;="&amp;D279,C:C,C279)+SUMIFS(N:N,D:D,"&lt;="&amp;D279,C:C,C279)+SUMIFS(P:P,D:D,"&lt;="&amp;D279,C:C,C279)&lt;0,0,SUMIFS('Shipments data'!L:L,'Shipments data'!F:F,'Supply planning data'!C279,'Shipments data'!A:A,'Supply planning data'!A279,'Shipments data'!O:O,"received",'Shipments data'!Q:Q,"&lt;"&amp;'Supply planning data'!D294,'Shipments data'!AC:AC,"&lt;"&amp;'Supply planning data'!D294)-SUMIFS(M:M,D:D,"&lt;="&amp;D279,C:C,C279)+SUMIFS(N:N,D:D,"&lt;="&amp;D279,C:C,C279)+SUMIFS(P:P,D:D,"&lt;="&amp;D279,C:C,C279))</f>
        <v>0</v>
      </c>
      <c r="U279" s="99">
        <f t="shared" si="98"/>
        <v>0</v>
      </c>
      <c r="V279" s="98">
        <f t="shared" si="87"/>
        <v>0</v>
      </c>
      <c r="W279" s="203" t="str">
        <f t="shared" si="85"/>
        <v/>
      </c>
      <c r="X279" s="98">
        <f t="shared" si="99"/>
        <v>0</v>
      </c>
      <c r="Y279" s="97">
        <v>80000</v>
      </c>
      <c r="Z279" s="93"/>
      <c r="AA279" s="98">
        <f t="shared" si="92"/>
        <v>80000</v>
      </c>
      <c r="AB279" s="233"/>
      <c r="AC279" s="98">
        <f>IF(SUMIFS('Shipments data'!L:L,'Shipments data'!F:F,'Supply planning data'!C279,'Shipments data'!A:A,'Supply planning data'!A279,'Shipments data'!O:O,"received",'Shipments data'!Q:Q,"&lt;"&amp;'Supply planning data'!D294,'Shipments data'!AC:AC,"&lt;"&amp;'Supply planning data'!D294)-SUMIFS(M:M,D:D,"&lt;="&amp;D279,C:C,C279)-SUMIFS(AA:AA,D:D,"&lt;="&amp;D279,C:C,C279)+SUMIFS(N:N,D:D,"&lt;="&amp;D279,C:C,C279)+SUMIFS(P:P,D:D,"&lt;="&amp;D279,C:C,C279)&lt;0,0,SUMIFS('Shipments data'!L:L,'Shipments data'!F:F,'Supply planning data'!C279,'Shipments data'!A:A,'Supply planning data'!A279,'Shipments data'!O:O,"received",'Shipments data'!Q:Q,"&lt;"&amp;'Supply planning data'!D294,'Shipments data'!AC:AC,"&lt;"&amp;'Supply planning data'!D294)-SUMIFS(M:M,D:D,"&lt;="&amp;D279,C:C,C279)-SUMIFS(AA:AA,D:D,"&lt;="&amp;D279,C:C,C279)+SUMIFS(N:N,D:D,"&lt;="&amp;D279,C:C,C279)+SUMIFS(P:P,D:D,"&lt;="&amp;D279,C:C,C279))</f>
        <v>0</v>
      </c>
      <c r="AD279" s="98">
        <f t="shared" si="100"/>
        <v>0</v>
      </c>
      <c r="AE279" s="98">
        <f t="shared" si="94"/>
        <v>0</v>
      </c>
      <c r="AF279" s="205">
        <f t="shared" si="84"/>
        <v>0</v>
      </c>
      <c r="AG279" s="98">
        <f t="shared" si="101"/>
        <v>0</v>
      </c>
      <c r="AH279" s="97"/>
      <c r="AI279" s="311"/>
      <c r="AJ279" s="98">
        <f t="shared" si="93"/>
        <v>0</v>
      </c>
      <c r="AK279" s="233"/>
      <c r="AL279" s="98">
        <f>IF(SUMIFS('Shipments data'!L:L,'Shipments data'!F:F,'Supply planning data'!C279,'Shipments data'!A:A,'Supply planning data'!A279,'Shipments data'!O:O,"received",'Shipments data'!Q:Q,"&lt;"&amp;'Supply planning data'!D294,'Shipments data'!AC:AC,"&lt;"&amp;'Supply planning data'!D294)-SUMIFS(M:M,D:D,"&lt;="&amp;D279,C:C,C279)-SUMIFS(AJ:AJ,D:D,"&lt;="&amp;D279,C:C,C279)+SUMIFS(N:N,D:D,"&lt;="&amp;D279,C:C,C279)+SUMIFS(P:P,D:D,"&lt;="&amp;D279,C:C,C279)&lt;0,0,SUMIFS('Shipments data'!L:L,'Shipments data'!F:F,'Supply planning data'!C279,'Shipments data'!A:A,'Supply planning data'!A279,'Shipments data'!O:O,"received",'Shipments data'!Q:Q,"&lt;"&amp;'Supply planning data'!D294,'Shipments data'!AC:AC,"&lt;"&amp;'Supply planning data'!D294)-SUMIFS(M:M,D:D,"&lt;="&amp;D279,C:C,C279)-SUMIFS(AJ:AJ,D:D,"&lt;="&amp;D279,C:C,C279)+SUMIFS(N:N,D:D,"&lt;="&amp;D279,C:C,C279)+SUMIFS(P:P,D:D,"&lt;="&amp;D279,C:C,C279))</f>
        <v>0</v>
      </c>
      <c r="AM279" s="98">
        <f t="shared" si="102"/>
        <v>0</v>
      </c>
      <c r="AN279" s="98">
        <f t="shared" si="95"/>
        <v>0</v>
      </c>
      <c r="AO279" s="203" t="str">
        <f t="shared" si="86"/>
        <v/>
      </c>
    </row>
    <row r="280" spans="1:41" hidden="1" x14ac:dyDescent="0.25">
      <c r="A280" s="95" t="str">
        <f>Start!D$7</f>
        <v>Anyland</v>
      </c>
      <c r="B280" s="96" t="str">
        <f>VLOOKUP(A280,list!B:C,2,FALSE)</f>
        <v>ANY</v>
      </c>
      <c r="C280" s="90" t="str">
        <f>IF(Start!$C$22="","",Start!$C$22)</f>
        <v/>
      </c>
      <c r="D280" s="296">
        <f t="shared" si="96"/>
        <v>44743</v>
      </c>
      <c r="E280" s="92" t="str">
        <f>IFERROR(VLOOKUP(C280,Start!C$15:D$31,2,FALSE),"No")</f>
        <v>No</v>
      </c>
      <c r="F280" s="92">
        <f t="shared" si="97"/>
        <v>0</v>
      </c>
      <c r="G280" s="91"/>
      <c r="H280" s="97"/>
      <c r="I280" s="97"/>
      <c r="J280" s="98">
        <f t="shared" si="89"/>
        <v>0</v>
      </c>
      <c r="K280" s="97"/>
      <c r="L280" s="175" t="str">
        <f t="shared" si="90"/>
        <v/>
      </c>
      <c r="M280" s="98">
        <f t="shared" si="91"/>
        <v>0</v>
      </c>
      <c r="N280" s="97"/>
      <c r="O280" s="122"/>
      <c r="P280" s="97"/>
      <c r="Q280" s="122"/>
      <c r="R280" s="98">
        <f>SUMIFS('Shipments data'!L:L,'Shipments data'!F:F,'Supply planning data'!C280,'Shipments data'!A:A,'Supply planning data'!A280,'Shipments data'!Y:Y,'Supply planning data'!D280,'Shipments data'!O:O,"received", 'Shipments data'!N:N, "Public")</f>
        <v>0</v>
      </c>
      <c r="S280" s="98">
        <f>SUMIFS('Shipments data'!L:L,'Shipments data'!F:F,'Supply planning data'!C280,'Shipments data'!A:A,'Supply planning data'!A280,'Shipments data'!Y:Y,'Supply planning data'!D280,'Shipments data'!O:O,"ordered", 'Shipments data'!N:N, "Public")</f>
        <v>0</v>
      </c>
      <c r="T280" s="98">
        <f>IF(SUMIFS('Shipments data'!L:L,'Shipments data'!F:F,'Supply planning data'!C280,'Shipments data'!A:A,'Supply planning data'!A280,'Shipments data'!O:O,"received",'Shipments data'!Q:Q,"&lt;"&amp;'Supply planning data'!D295,'Shipments data'!AC:AC,"&lt;"&amp;'Supply planning data'!D295)-SUMIFS(M:M,D:D,"&lt;="&amp;D280,C:C,C280)+SUMIFS(N:N,D:D,"&lt;="&amp;D280,C:C,C280)+SUMIFS(P:P,D:D,"&lt;="&amp;D280,C:C,C280)&lt;0,0,SUMIFS('Shipments data'!L:L,'Shipments data'!F:F,'Supply planning data'!C280,'Shipments data'!A:A,'Supply planning data'!A280,'Shipments data'!O:O,"received",'Shipments data'!Q:Q,"&lt;"&amp;'Supply planning data'!D295,'Shipments data'!AC:AC,"&lt;"&amp;'Supply planning data'!D295)-SUMIFS(M:M,D:D,"&lt;="&amp;D280,C:C,C280)+SUMIFS(N:N,D:D,"&lt;="&amp;D280,C:C,C280)+SUMIFS(P:P,D:D,"&lt;="&amp;D280,C:C,C280))</f>
        <v>0</v>
      </c>
      <c r="U280" s="99">
        <f t="shared" si="98"/>
        <v>0</v>
      </c>
      <c r="V280" s="98">
        <f t="shared" si="87"/>
        <v>0</v>
      </c>
      <c r="W280" s="203" t="str">
        <f t="shared" si="85"/>
        <v/>
      </c>
      <c r="X280" s="98">
        <f t="shared" si="99"/>
        <v>0</v>
      </c>
      <c r="Y280" s="97"/>
      <c r="Z280" s="93"/>
      <c r="AA280" s="98">
        <f t="shared" si="92"/>
        <v>0</v>
      </c>
      <c r="AB280" s="233"/>
      <c r="AC280" s="98">
        <f>IF(SUMIFS('Shipments data'!L:L,'Shipments data'!F:F,'Supply planning data'!C280,'Shipments data'!A:A,'Supply planning data'!A280,'Shipments data'!O:O,"received",'Shipments data'!Q:Q,"&lt;"&amp;'Supply planning data'!D295,'Shipments data'!AC:AC,"&lt;"&amp;'Supply planning data'!D295)-SUMIFS(M:M,D:D,"&lt;="&amp;D280,C:C,C280)-SUMIFS(AA:AA,D:D,"&lt;="&amp;D280,C:C,C280)+SUMIFS(N:N,D:D,"&lt;="&amp;D280,C:C,C280)+SUMIFS(P:P,D:D,"&lt;="&amp;D280,C:C,C280)&lt;0,0,SUMIFS('Shipments data'!L:L,'Shipments data'!F:F,'Supply planning data'!C280,'Shipments data'!A:A,'Supply planning data'!A280,'Shipments data'!O:O,"received",'Shipments data'!Q:Q,"&lt;"&amp;'Supply planning data'!D295,'Shipments data'!AC:AC,"&lt;"&amp;'Supply planning data'!D295)-SUMIFS(M:M,D:D,"&lt;="&amp;D280,C:C,C280)-SUMIFS(AA:AA,D:D,"&lt;="&amp;D280,C:C,C280)+SUMIFS(N:N,D:D,"&lt;="&amp;D280,C:C,C280)+SUMIFS(P:P,D:D,"&lt;="&amp;D280,C:C,C280))</f>
        <v>0</v>
      </c>
      <c r="AD280" s="98">
        <f t="shared" si="100"/>
        <v>0</v>
      </c>
      <c r="AE280" s="98">
        <f t="shared" si="94"/>
        <v>0</v>
      </c>
      <c r="AF280" s="205" t="str">
        <f t="shared" si="84"/>
        <v/>
      </c>
      <c r="AG280" s="98">
        <f t="shared" si="101"/>
        <v>0</v>
      </c>
      <c r="AH280" s="97"/>
      <c r="AI280" s="311"/>
      <c r="AJ280" s="98">
        <f t="shared" si="93"/>
        <v>0</v>
      </c>
      <c r="AK280" s="233"/>
      <c r="AL280" s="98">
        <f>IF(SUMIFS('Shipments data'!L:L,'Shipments data'!F:F,'Supply planning data'!C280,'Shipments data'!A:A,'Supply planning data'!A280,'Shipments data'!O:O,"received",'Shipments data'!Q:Q,"&lt;"&amp;'Supply planning data'!D295,'Shipments data'!AC:AC,"&lt;"&amp;'Supply planning data'!D295)-SUMIFS(M:M,D:D,"&lt;="&amp;D280,C:C,C280)-SUMIFS(AJ:AJ,D:D,"&lt;="&amp;D280,C:C,C280)+SUMIFS(N:N,D:D,"&lt;="&amp;D280,C:C,C280)+SUMIFS(P:P,D:D,"&lt;="&amp;D280,C:C,C280)&lt;0,0,SUMIFS('Shipments data'!L:L,'Shipments data'!F:F,'Supply planning data'!C280,'Shipments data'!A:A,'Supply planning data'!A280,'Shipments data'!O:O,"received",'Shipments data'!Q:Q,"&lt;"&amp;'Supply planning data'!D295,'Shipments data'!AC:AC,"&lt;"&amp;'Supply planning data'!D295)-SUMIFS(M:M,D:D,"&lt;="&amp;D280,C:C,C280)-SUMIFS(AJ:AJ,D:D,"&lt;="&amp;D280,C:C,C280)+SUMIFS(N:N,D:D,"&lt;="&amp;D280,C:C,C280)+SUMIFS(P:P,D:D,"&lt;="&amp;D280,C:C,C280))</f>
        <v>0</v>
      </c>
      <c r="AM280" s="98">
        <f t="shared" si="102"/>
        <v>0</v>
      </c>
      <c r="AN280" s="98">
        <f t="shared" si="95"/>
        <v>0</v>
      </c>
      <c r="AO280" s="203" t="str">
        <f t="shared" si="86"/>
        <v/>
      </c>
    </row>
    <row r="281" spans="1:41" hidden="1" x14ac:dyDescent="0.25">
      <c r="A281" s="95" t="str">
        <f>Start!D$7</f>
        <v>Anyland</v>
      </c>
      <c r="B281" s="96" t="str">
        <f>VLOOKUP(A281,list!B:C,2,FALSE)</f>
        <v>ANY</v>
      </c>
      <c r="C281" s="90" t="str">
        <f>IF(Start!$C$23="","",Start!$C$23)</f>
        <v/>
      </c>
      <c r="D281" s="296">
        <f t="shared" si="96"/>
        <v>44743</v>
      </c>
      <c r="E281" s="92" t="str">
        <f>IFERROR(VLOOKUP(C281,Start!C$15:D$31,2,FALSE),"No")</f>
        <v>No</v>
      </c>
      <c r="F281" s="92">
        <f t="shared" si="97"/>
        <v>0</v>
      </c>
      <c r="G281" s="91"/>
      <c r="H281" s="97"/>
      <c r="I281" s="97"/>
      <c r="J281" s="98">
        <f t="shared" si="89"/>
        <v>0</v>
      </c>
      <c r="K281" s="97"/>
      <c r="L281" s="175" t="str">
        <f t="shared" si="90"/>
        <v/>
      </c>
      <c r="M281" s="98">
        <f t="shared" si="91"/>
        <v>0</v>
      </c>
      <c r="N281" s="97"/>
      <c r="O281" s="122"/>
      <c r="P281" s="97"/>
      <c r="Q281" s="122"/>
      <c r="R281" s="98">
        <f>SUMIFS('Shipments data'!L:L,'Shipments data'!F:F,'Supply planning data'!C281,'Shipments data'!A:A,'Supply planning data'!A281,'Shipments data'!Y:Y,'Supply planning data'!D281,'Shipments data'!O:O,"received", 'Shipments data'!N:N, "Public")</f>
        <v>0</v>
      </c>
      <c r="S281" s="98">
        <f>SUMIFS('Shipments data'!L:L,'Shipments data'!F:F,'Supply planning data'!C281,'Shipments data'!A:A,'Supply planning data'!A281,'Shipments data'!Y:Y,'Supply planning data'!D281,'Shipments data'!O:O,"ordered", 'Shipments data'!N:N, "Public")</f>
        <v>0</v>
      </c>
      <c r="T281" s="98">
        <f>IF(SUMIFS('Shipments data'!L:L,'Shipments data'!F:F,'Supply planning data'!C281,'Shipments data'!A:A,'Supply planning data'!A281,'Shipments data'!O:O,"received",'Shipments data'!Q:Q,"&lt;"&amp;'Supply planning data'!D296,'Shipments data'!AC:AC,"&lt;"&amp;'Supply planning data'!D296)-SUMIFS(M:M,D:D,"&lt;="&amp;D281,C:C,C281)+SUMIFS(N:N,D:D,"&lt;="&amp;D281,C:C,C281)+SUMIFS(P:P,D:D,"&lt;="&amp;D281,C:C,C281)&lt;0,0,SUMIFS('Shipments data'!L:L,'Shipments data'!F:F,'Supply planning data'!C281,'Shipments data'!A:A,'Supply planning data'!A281,'Shipments data'!O:O,"received",'Shipments data'!Q:Q,"&lt;"&amp;'Supply planning data'!D296,'Shipments data'!AC:AC,"&lt;"&amp;'Supply planning data'!D296)-SUMIFS(M:M,D:D,"&lt;="&amp;D281,C:C,C281)+SUMIFS(N:N,D:D,"&lt;="&amp;D281,C:C,C281)+SUMIFS(P:P,D:D,"&lt;="&amp;D281,C:C,C281))</f>
        <v>0</v>
      </c>
      <c r="U281" s="99">
        <f t="shared" si="98"/>
        <v>0</v>
      </c>
      <c r="V281" s="98">
        <f t="shared" si="87"/>
        <v>0</v>
      </c>
      <c r="W281" s="203" t="str">
        <f t="shared" si="85"/>
        <v/>
      </c>
      <c r="X281" s="98">
        <f t="shared" si="99"/>
        <v>0</v>
      </c>
      <c r="Y281" s="97"/>
      <c r="Z281" s="93"/>
      <c r="AA281" s="98">
        <f t="shared" si="92"/>
        <v>0</v>
      </c>
      <c r="AB281" s="233"/>
      <c r="AC281" s="98">
        <f>IF(SUMIFS('Shipments data'!L:L,'Shipments data'!F:F,'Supply planning data'!C281,'Shipments data'!A:A,'Supply planning data'!A281,'Shipments data'!O:O,"received",'Shipments data'!Q:Q,"&lt;"&amp;'Supply planning data'!D296,'Shipments data'!AC:AC,"&lt;"&amp;'Supply planning data'!D296)-SUMIFS(M:M,D:D,"&lt;="&amp;D281,C:C,C281)-SUMIFS(AA:AA,D:D,"&lt;="&amp;D281,C:C,C281)+SUMIFS(N:N,D:D,"&lt;="&amp;D281,C:C,C281)+SUMIFS(P:P,D:D,"&lt;="&amp;D281,C:C,C281)&lt;0,0,SUMIFS('Shipments data'!L:L,'Shipments data'!F:F,'Supply planning data'!C281,'Shipments data'!A:A,'Supply planning data'!A281,'Shipments data'!O:O,"received",'Shipments data'!Q:Q,"&lt;"&amp;'Supply planning data'!D296,'Shipments data'!AC:AC,"&lt;"&amp;'Supply planning data'!D296)-SUMIFS(M:M,D:D,"&lt;="&amp;D281,C:C,C281)-SUMIFS(AA:AA,D:D,"&lt;="&amp;D281,C:C,C281)+SUMIFS(N:N,D:D,"&lt;="&amp;D281,C:C,C281)+SUMIFS(P:P,D:D,"&lt;="&amp;D281,C:C,C281))</f>
        <v>0</v>
      </c>
      <c r="AD281" s="98">
        <f t="shared" si="100"/>
        <v>0</v>
      </c>
      <c r="AE281" s="98">
        <f t="shared" si="94"/>
        <v>0</v>
      </c>
      <c r="AF281" s="205" t="str">
        <f t="shared" si="84"/>
        <v/>
      </c>
      <c r="AG281" s="98">
        <f t="shared" si="101"/>
        <v>0</v>
      </c>
      <c r="AH281" s="97"/>
      <c r="AI281" s="311"/>
      <c r="AJ281" s="98">
        <f t="shared" si="93"/>
        <v>0</v>
      </c>
      <c r="AK281" s="233"/>
      <c r="AL281" s="98">
        <f>IF(SUMIFS('Shipments data'!L:L,'Shipments data'!F:F,'Supply planning data'!C281,'Shipments data'!A:A,'Supply planning data'!A281,'Shipments data'!O:O,"received",'Shipments data'!Q:Q,"&lt;"&amp;'Supply planning data'!D296,'Shipments data'!AC:AC,"&lt;"&amp;'Supply planning data'!D296)-SUMIFS(M:M,D:D,"&lt;="&amp;D281,C:C,C281)-SUMIFS(AJ:AJ,D:D,"&lt;="&amp;D281,C:C,C281)+SUMIFS(N:N,D:D,"&lt;="&amp;D281,C:C,C281)+SUMIFS(P:P,D:D,"&lt;="&amp;D281,C:C,C281)&lt;0,0,SUMIFS('Shipments data'!L:L,'Shipments data'!F:F,'Supply planning data'!C281,'Shipments data'!A:A,'Supply planning data'!A281,'Shipments data'!O:O,"received",'Shipments data'!Q:Q,"&lt;"&amp;'Supply planning data'!D296,'Shipments data'!AC:AC,"&lt;"&amp;'Supply planning data'!D296)-SUMIFS(M:M,D:D,"&lt;="&amp;D281,C:C,C281)-SUMIFS(AJ:AJ,D:D,"&lt;="&amp;D281,C:C,C281)+SUMIFS(N:N,D:D,"&lt;="&amp;D281,C:C,C281)+SUMIFS(P:P,D:D,"&lt;="&amp;D281,C:C,C281))</f>
        <v>0</v>
      </c>
      <c r="AM281" s="98">
        <f t="shared" si="102"/>
        <v>0</v>
      </c>
      <c r="AN281" s="98">
        <f t="shared" si="95"/>
        <v>0</v>
      </c>
      <c r="AO281" s="203" t="str">
        <f t="shared" si="86"/>
        <v/>
      </c>
    </row>
    <row r="282" spans="1:41" hidden="1" x14ac:dyDescent="0.25">
      <c r="A282" s="95" t="str">
        <f>Start!D$7</f>
        <v>Anyland</v>
      </c>
      <c r="B282" s="96" t="str">
        <f>VLOOKUP(A282,list!B:C,2,FALSE)</f>
        <v>ANY</v>
      </c>
      <c r="C282" s="90" t="str">
        <f>IF(Start!$C$24="","",Start!$C$24)</f>
        <v/>
      </c>
      <c r="D282" s="296">
        <f t="shared" si="96"/>
        <v>44743</v>
      </c>
      <c r="E282" s="92" t="str">
        <f>IFERROR(VLOOKUP(C282,Start!C$15:D$31,2,FALSE),"No")</f>
        <v>No</v>
      </c>
      <c r="F282" s="92">
        <f t="shared" si="97"/>
        <v>0</v>
      </c>
      <c r="G282" s="91"/>
      <c r="H282" s="97"/>
      <c r="I282" s="97"/>
      <c r="J282" s="98">
        <f t="shared" si="89"/>
        <v>0</v>
      </c>
      <c r="K282" s="97"/>
      <c r="L282" s="175" t="str">
        <f t="shared" si="90"/>
        <v/>
      </c>
      <c r="M282" s="98">
        <f t="shared" si="91"/>
        <v>0</v>
      </c>
      <c r="N282" s="97"/>
      <c r="O282" s="122"/>
      <c r="P282" s="97"/>
      <c r="Q282" s="122"/>
      <c r="R282" s="98">
        <f>SUMIFS('Shipments data'!L:L,'Shipments data'!F:F,'Supply planning data'!C282,'Shipments data'!A:A,'Supply planning data'!A282,'Shipments data'!Y:Y,'Supply planning data'!D282,'Shipments data'!O:O,"received", 'Shipments data'!N:N, "Public")</f>
        <v>0</v>
      </c>
      <c r="S282" s="98">
        <f>SUMIFS('Shipments data'!L:L,'Shipments data'!F:F,'Supply planning data'!C282,'Shipments data'!A:A,'Supply planning data'!A282,'Shipments data'!Y:Y,'Supply planning data'!D282,'Shipments data'!O:O,"ordered", 'Shipments data'!N:N, "Public")</f>
        <v>0</v>
      </c>
      <c r="T282" s="98">
        <f>IF(SUMIFS('Shipments data'!L:L,'Shipments data'!F:F,'Supply planning data'!C282,'Shipments data'!A:A,'Supply planning data'!A282,'Shipments data'!O:O,"received",'Shipments data'!Q:Q,"&lt;"&amp;'Supply planning data'!D297,'Shipments data'!AC:AC,"&lt;"&amp;'Supply planning data'!D297)-SUMIFS(M:M,D:D,"&lt;="&amp;D282,C:C,C282)+SUMIFS(N:N,D:D,"&lt;="&amp;D282,C:C,C282)+SUMIFS(P:P,D:D,"&lt;="&amp;D282,C:C,C282)&lt;0,0,SUMIFS('Shipments data'!L:L,'Shipments data'!F:F,'Supply planning data'!C282,'Shipments data'!A:A,'Supply planning data'!A282,'Shipments data'!O:O,"received",'Shipments data'!Q:Q,"&lt;"&amp;'Supply planning data'!D297,'Shipments data'!AC:AC,"&lt;"&amp;'Supply planning data'!D297)-SUMIFS(M:M,D:D,"&lt;="&amp;D282,C:C,C282)+SUMIFS(N:N,D:D,"&lt;="&amp;D282,C:C,C282)+SUMIFS(P:P,D:D,"&lt;="&amp;D282,C:C,C282))</f>
        <v>0</v>
      </c>
      <c r="U282" s="99">
        <f t="shared" si="98"/>
        <v>0</v>
      </c>
      <c r="V282" s="98">
        <f t="shared" si="87"/>
        <v>0</v>
      </c>
      <c r="W282" s="203" t="str">
        <f t="shared" si="85"/>
        <v/>
      </c>
      <c r="X282" s="98">
        <f t="shared" si="99"/>
        <v>0</v>
      </c>
      <c r="Y282" s="97"/>
      <c r="Z282" s="93"/>
      <c r="AA282" s="98">
        <f t="shared" si="92"/>
        <v>0</v>
      </c>
      <c r="AB282" s="233"/>
      <c r="AC282" s="98">
        <f>IF(SUMIFS('Shipments data'!L:L,'Shipments data'!F:F,'Supply planning data'!C282,'Shipments data'!A:A,'Supply planning data'!A282,'Shipments data'!O:O,"received",'Shipments data'!Q:Q,"&lt;"&amp;'Supply planning data'!D297,'Shipments data'!AC:AC,"&lt;"&amp;'Supply planning data'!D297)-SUMIFS(M:M,D:D,"&lt;="&amp;D282,C:C,C282)-SUMIFS(AA:AA,D:D,"&lt;="&amp;D282,C:C,C282)+SUMIFS(N:N,D:D,"&lt;="&amp;D282,C:C,C282)+SUMIFS(P:P,D:D,"&lt;="&amp;D282,C:C,C282)&lt;0,0,SUMIFS('Shipments data'!L:L,'Shipments data'!F:F,'Supply planning data'!C282,'Shipments data'!A:A,'Supply planning data'!A282,'Shipments data'!O:O,"received",'Shipments data'!Q:Q,"&lt;"&amp;'Supply planning data'!D297,'Shipments data'!AC:AC,"&lt;"&amp;'Supply planning data'!D297)-SUMIFS(M:M,D:D,"&lt;="&amp;D282,C:C,C282)-SUMIFS(AA:AA,D:D,"&lt;="&amp;D282,C:C,C282)+SUMIFS(N:N,D:D,"&lt;="&amp;D282,C:C,C282)+SUMIFS(P:P,D:D,"&lt;="&amp;D282,C:C,C282))</f>
        <v>0</v>
      </c>
      <c r="AD282" s="98">
        <f t="shared" si="100"/>
        <v>0</v>
      </c>
      <c r="AE282" s="98">
        <f t="shared" si="94"/>
        <v>0</v>
      </c>
      <c r="AF282" s="205" t="str">
        <f t="shared" si="84"/>
        <v/>
      </c>
      <c r="AG282" s="98">
        <f t="shared" si="101"/>
        <v>0</v>
      </c>
      <c r="AH282" s="97"/>
      <c r="AI282" s="311"/>
      <c r="AJ282" s="98">
        <f t="shared" si="93"/>
        <v>0</v>
      </c>
      <c r="AK282" s="233"/>
      <c r="AL282" s="98">
        <f>IF(SUMIFS('Shipments data'!L:L,'Shipments data'!F:F,'Supply planning data'!C282,'Shipments data'!A:A,'Supply planning data'!A282,'Shipments data'!O:O,"received",'Shipments data'!Q:Q,"&lt;"&amp;'Supply planning data'!D297,'Shipments data'!AC:AC,"&lt;"&amp;'Supply planning data'!D297)-SUMIFS(M:M,D:D,"&lt;="&amp;D282,C:C,C282)-SUMIFS(AJ:AJ,D:D,"&lt;="&amp;D282,C:C,C282)+SUMIFS(N:N,D:D,"&lt;="&amp;D282,C:C,C282)+SUMIFS(P:P,D:D,"&lt;="&amp;D282,C:C,C282)&lt;0,0,SUMIFS('Shipments data'!L:L,'Shipments data'!F:F,'Supply planning data'!C282,'Shipments data'!A:A,'Supply planning data'!A282,'Shipments data'!O:O,"received",'Shipments data'!Q:Q,"&lt;"&amp;'Supply planning data'!D297,'Shipments data'!AC:AC,"&lt;"&amp;'Supply planning data'!D297)-SUMIFS(M:M,D:D,"&lt;="&amp;D282,C:C,C282)-SUMIFS(AJ:AJ,D:D,"&lt;="&amp;D282,C:C,C282)+SUMIFS(N:N,D:D,"&lt;="&amp;D282,C:C,C282)+SUMIFS(P:P,D:D,"&lt;="&amp;D282,C:C,C282))</f>
        <v>0</v>
      </c>
      <c r="AM282" s="98">
        <f t="shared" si="102"/>
        <v>0</v>
      </c>
      <c r="AN282" s="98">
        <f t="shared" si="95"/>
        <v>0</v>
      </c>
      <c r="AO282" s="203" t="str">
        <f t="shared" si="86"/>
        <v/>
      </c>
    </row>
    <row r="283" spans="1:41" hidden="1" x14ac:dyDescent="0.25">
      <c r="A283" s="95" t="str">
        <f>Start!D$7</f>
        <v>Anyland</v>
      </c>
      <c r="B283" s="96" t="str">
        <f>VLOOKUP(A283,list!B:C,2,FALSE)</f>
        <v>ANY</v>
      </c>
      <c r="C283" s="90" t="str">
        <f>IF(Start!$C$25="","",Start!$C$25)</f>
        <v/>
      </c>
      <c r="D283" s="296">
        <f t="shared" si="96"/>
        <v>44743</v>
      </c>
      <c r="E283" s="92" t="str">
        <f>IFERROR(VLOOKUP(C283,Start!C$15:D$31,2,FALSE),"No")</f>
        <v>No</v>
      </c>
      <c r="F283" s="92">
        <f t="shared" si="97"/>
        <v>0</v>
      </c>
      <c r="G283" s="91"/>
      <c r="H283" s="97"/>
      <c r="I283" s="97"/>
      <c r="J283" s="98">
        <f t="shared" si="89"/>
        <v>0</v>
      </c>
      <c r="K283" s="97"/>
      <c r="L283" s="175" t="str">
        <f t="shared" si="90"/>
        <v/>
      </c>
      <c r="M283" s="98">
        <f t="shared" si="91"/>
        <v>0</v>
      </c>
      <c r="N283" s="97"/>
      <c r="O283" s="122"/>
      <c r="P283" s="97"/>
      <c r="Q283" s="122"/>
      <c r="R283" s="98">
        <f>SUMIFS('Shipments data'!L:L,'Shipments data'!F:F,'Supply planning data'!C283,'Shipments data'!A:A,'Supply planning data'!A283,'Shipments data'!Y:Y,'Supply planning data'!D283,'Shipments data'!O:O,"received", 'Shipments data'!N:N, "Public")</f>
        <v>0</v>
      </c>
      <c r="S283" s="98">
        <f>SUMIFS('Shipments data'!L:L,'Shipments data'!F:F,'Supply planning data'!C283,'Shipments data'!A:A,'Supply planning data'!A283,'Shipments data'!Y:Y,'Supply planning data'!D283,'Shipments data'!O:O,"ordered", 'Shipments data'!N:N, "Public")</f>
        <v>0</v>
      </c>
      <c r="T283" s="98">
        <f>IF(SUMIFS('Shipments data'!L:L,'Shipments data'!F:F,'Supply planning data'!C283,'Shipments data'!A:A,'Supply planning data'!A283,'Shipments data'!O:O,"received",'Shipments data'!Q:Q,"&lt;"&amp;'Supply planning data'!D298,'Shipments data'!AC:AC,"&lt;"&amp;'Supply planning data'!D298)-SUMIFS(M:M,D:D,"&lt;="&amp;D283,C:C,C283)+SUMIFS(N:N,D:D,"&lt;="&amp;D283,C:C,C283)+SUMIFS(P:P,D:D,"&lt;="&amp;D283,C:C,C283)&lt;0,0,SUMIFS('Shipments data'!L:L,'Shipments data'!F:F,'Supply planning data'!C283,'Shipments data'!A:A,'Supply planning data'!A283,'Shipments data'!O:O,"received",'Shipments data'!Q:Q,"&lt;"&amp;'Supply planning data'!D298,'Shipments data'!AC:AC,"&lt;"&amp;'Supply planning data'!D298)-SUMIFS(M:M,D:D,"&lt;="&amp;D283,C:C,C283)+SUMIFS(N:N,D:D,"&lt;="&amp;D283,C:C,C283)+SUMIFS(P:P,D:D,"&lt;="&amp;D283,C:C,C283))</f>
        <v>0</v>
      </c>
      <c r="U283" s="99">
        <f t="shared" si="98"/>
        <v>0</v>
      </c>
      <c r="V283" s="98">
        <f t="shared" si="87"/>
        <v>0</v>
      </c>
      <c r="W283" s="203" t="str">
        <f t="shared" si="85"/>
        <v/>
      </c>
      <c r="X283" s="98">
        <f t="shared" si="99"/>
        <v>0</v>
      </c>
      <c r="Y283" s="97"/>
      <c r="Z283" s="93"/>
      <c r="AA283" s="98">
        <f t="shared" si="92"/>
        <v>0</v>
      </c>
      <c r="AB283" s="233"/>
      <c r="AC283" s="98">
        <f>IF(SUMIFS('Shipments data'!L:L,'Shipments data'!F:F,'Supply planning data'!C283,'Shipments data'!A:A,'Supply planning data'!A283,'Shipments data'!O:O,"received",'Shipments data'!Q:Q,"&lt;"&amp;'Supply planning data'!D298,'Shipments data'!AC:AC,"&lt;"&amp;'Supply planning data'!D298)-SUMIFS(M:M,D:D,"&lt;="&amp;D283,C:C,C283)-SUMIFS(AA:AA,D:D,"&lt;="&amp;D283,C:C,C283)+SUMIFS(N:N,D:D,"&lt;="&amp;D283,C:C,C283)+SUMIFS(P:P,D:D,"&lt;="&amp;D283,C:C,C283)&lt;0,0,SUMIFS('Shipments data'!L:L,'Shipments data'!F:F,'Supply planning data'!C283,'Shipments data'!A:A,'Supply planning data'!A283,'Shipments data'!O:O,"received",'Shipments data'!Q:Q,"&lt;"&amp;'Supply planning data'!D298,'Shipments data'!AC:AC,"&lt;"&amp;'Supply planning data'!D298)-SUMIFS(M:M,D:D,"&lt;="&amp;D283,C:C,C283)-SUMIFS(AA:AA,D:D,"&lt;="&amp;D283,C:C,C283)+SUMIFS(N:N,D:D,"&lt;="&amp;D283,C:C,C283)+SUMIFS(P:P,D:D,"&lt;="&amp;D283,C:C,C283))</f>
        <v>0</v>
      </c>
      <c r="AD283" s="98">
        <f t="shared" si="100"/>
        <v>0</v>
      </c>
      <c r="AE283" s="98">
        <f t="shared" si="94"/>
        <v>0</v>
      </c>
      <c r="AF283" s="205" t="str">
        <f t="shared" si="84"/>
        <v/>
      </c>
      <c r="AG283" s="98">
        <f t="shared" si="101"/>
        <v>0</v>
      </c>
      <c r="AH283" s="97"/>
      <c r="AI283" s="311"/>
      <c r="AJ283" s="98">
        <f t="shared" si="93"/>
        <v>0</v>
      </c>
      <c r="AK283" s="233"/>
      <c r="AL283" s="98">
        <f>IF(SUMIFS('Shipments data'!L:L,'Shipments data'!F:F,'Supply planning data'!C283,'Shipments data'!A:A,'Supply planning data'!A283,'Shipments data'!O:O,"received",'Shipments data'!Q:Q,"&lt;"&amp;'Supply planning data'!D298,'Shipments data'!AC:AC,"&lt;"&amp;'Supply planning data'!D298)-SUMIFS(M:M,D:D,"&lt;="&amp;D283,C:C,C283)-SUMIFS(AJ:AJ,D:D,"&lt;="&amp;D283,C:C,C283)+SUMIFS(N:N,D:D,"&lt;="&amp;D283,C:C,C283)+SUMIFS(P:P,D:D,"&lt;="&amp;D283,C:C,C283)&lt;0,0,SUMIFS('Shipments data'!L:L,'Shipments data'!F:F,'Supply planning data'!C283,'Shipments data'!A:A,'Supply planning data'!A283,'Shipments data'!O:O,"received",'Shipments data'!Q:Q,"&lt;"&amp;'Supply planning data'!D298,'Shipments data'!AC:AC,"&lt;"&amp;'Supply planning data'!D298)-SUMIFS(M:M,D:D,"&lt;="&amp;D283,C:C,C283)-SUMIFS(AJ:AJ,D:D,"&lt;="&amp;D283,C:C,C283)+SUMIFS(N:N,D:D,"&lt;="&amp;D283,C:C,C283)+SUMIFS(P:P,D:D,"&lt;="&amp;D283,C:C,C283))</f>
        <v>0</v>
      </c>
      <c r="AM283" s="98">
        <f t="shared" si="102"/>
        <v>0</v>
      </c>
      <c r="AN283" s="98">
        <f t="shared" si="95"/>
        <v>0</v>
      </c>
      <c r="AO283" s="203" t="str">
        <f t="shared" si="86"/>
        <v/>
      </c>
    </row>
    <row r="284" spans="1:41" hidden="1" x14ac:dyDescent="0.25">
      <c r="A284" s="95" t="str">
        <f>Start!D$7</f>
        <v>Anyland</v>
      </c>
      <c r="B284" s="96" t="str">
        <f>VLOOKUP(A284,list!B:C,2,FALSE)</f>
        <v>ANY</v>
      </c>
      <c r="C284" s="90" t="str">
        <f>IF(Start!$C$26="","",Start!$C$26)</f>
        <v/>
      </c>
      <c r="D284" s="296">
        <f t="shared" si="96"/>
        <v>44743</v>
      </c>
      <c r="E284" s="92" t="str">
        <f>IFERROR(VLOOKUP(C284,Start!C$15:D$31,2,FALSE),"No")</f>
        <v>No</v>
      </c>
      <c r="F284" s="92">
        <f t="shared" si="97"/>
        <v>0</v>
      </c>
      <c r="G284" s="91"/>
      <c r="H284" s="97"/>
      <c r="I284" s="97"/>
      <c r="J284" s="98">
        <f t="shared" si="89"/>
        <v>0</v>
      </c>
      <c r="K284" s="97"/>
      <c r="L284" s="175" t="str">
        <f t="shared" si="90"/>
        <v/>
      </c>
      <c r="M284" s="98">
        <f t="shared" si="91"/>
        <v>0</v>
      </c>
      <c r="N284" s="97"/>
      <c r="O284" s="122"/>
      <c r="P284" s="97"/>
      <c r="Q284" s="122"/>
      <c r="R284" s="98">
        <f>SUMIFS('Shipments data'!L:L,'Shipments data'!F:F,'Supply planning data'!C284,'Shipments data'!A:A,'Supply planning data'!A284,'Shipments data'!Y:Y,'Supply planning data'!D284,'Shipments data'!O:O,"received", 'Shipments data'!N:N, "Public")</f>
        <v>0</v>
      </c>
      <c r="S284" s="98">
        <f>SUMIFS('Shipments data'!L:L,'Shipments data'!F:F,'Supply planning data'!C284,'Shipments data'!A:A,'Supply planning data'!A284,'Shipments data'!Y:Y,'Supply planning data'!D284,'Shipments data'!O:O,"ordered", 'Shipments data'!N:N, "Public")</f>
        <v>0</v>
      </c>
      <c r="T284" s="98">
        <f>IF(SUMIFS('Shipments data'!L:L,'Shipments data'!F:F,'Supply planning data'!C284,'Shipments data'!A:A,'Supply planning data'!A284,'Shipments data'!O:O,"received",'Shipments data'!Q:Q,"&lt;"&amp;'Supply planning data'!D299,'Shipments data'!AC:AC,"&lt;"&amp;'Supply planning data'!D299)-SUMIFS(M:M,D:D,"&lt;="&amp;D284,C:C,C284)+SUMIFS(N:N,D:D,"&lt;="&amp;D284,C:C,C284)+SUMIFS(P:P,D:D,"&lt;="&amp;D284,C:C,C284)&lt;0,0,SUMIFS('Shipments data'!L:L,'Shipments data'!F:F,'Supply planning data'!C284,'Shipments data'!A:A,'Supply planning data'!A284,'Shipments data'!O:O,"received",'Shipments data'!Q:Q,"&lt;"&amp;'Supply planning data'!D299,'Shipments data'!AC:AC,"&lt;"&amp;'Supply planning data'!D299)-SUMIFS(M:M,D:D,"&lt;="&amp;D284,C:C,C284)+SUMIFS(N:N,D:D,"&lt;="&amp;D284,C:C,C284)+SUMIFS(P:P,D:D,"&lt;="&amp;D284,C:C,C284))</f>
        <v>0</v>
      </c>
      <c r="U284" s="99">
        <f t="shared" si="98"/>
        <v>0</v>
      </c>
      <c r="V284" s="98">
        <f t="shared" si="87"/>
        <v>0</v>
      </c>
      <c r="W284" s="203" t="str">
        <f t="shared" si="85"/>
        <v/>
      </c>
      <c r="X284" s="98">
        <f t="shared" si="99"/>
        <v>0</v>
      </c>
      <c r="Y284" s="97"/>
      <c r="Z284" s="93"/>
      <c r="AA284" s="98">
        <f t="shared" si="92"/>
        <v>0</v>
      </c>
      <c r="AB284" s="233"/>
      <c r="AC284" s="98">
        <f>IF(SUMIFS('Shipments data'!L:L,'Shipments data'!F:F,'Supply planning data'!C284,'Shipments data'!A:A,'Supply planning data'!A284,'Shipments data'!O:O,"received",'Shipments data'!Q:Q,"&lt;"&amp;'Supply planning data'!D299,'Shipments data'!AC:AC,"&lt;"&amp;'Supply planning data'!D299)-SUMIFS(M:M,D:D,"&lt;="&amp;D284,C:C,C284)-SUMIFS(AA:AA,D:D,"&lt;="&amp;D284,C:C,C284)+SUMIFS(N:N,D:D,"&lt;="&amp;D284,C:C,C284)+SUMIFS(P:P,D:D,"&lt;="&amp;D284,C:C,C284)&lt;0,0,SUMIFS('Shipments data'!L:L,'Shipments data'!F:F,'Supply planning data'!C284,'Shipments data'!A:A,'Supply planning data'!A284,'Shipments data'!O:O,"received",'Shipments data'!Q:Q,"&lt;"&amp;'Supply planning data'!D299,'Shipments data'!AC:AC,"&lt;"&amp;'Supply planning data'!D299)-SUMIFS(M:M,D:D,"&lt;="&amp;D284,C:C,C284)-SUMIFS(AA:AA,D:D,"&lt;="&amp;D284,C:C,C284)+SUMIFS(N:N,D:D,"&lt;="&amp;D284,C:C,C284)+SUMIFS(P:P,D:D,"&lt;="&amp;D284,C:C,C284))</f>
        <v>0</v>
      </c>
      <c r="AD284" s="98">
        <f t="shared" si="100"/>
        <v>0</v>
      </c>
      <c r="AE284" s="98">
        <f t="shared" si="94"/>
        <v>0</v>
      </c>
      <c r="AF284" s="205" t="str">
        <f t="shared" si="84"/>
        <v/>
      </c>
      <c r="AG284" s="98">
        <f t="shared" si="101"/>
        <v>0</v>
      </c>
      <c r="AH284" s="97"/>
      <c r="AI284" s="311"/>
      <c r="AJ284" s="98">
        <f t="shared" si="93"/>
        <v>0</v>
      </c>
      <c r="AK284" s="233"/>
      <c r="AL284" s="98">
        <f>IF(SUMIFS('Shipments data'!L:L,'Shipments data'!F:F,'Supply planning data'!C284,'Shipments data'!A:A,'Supply planning data'!A284,'Shipments data'!O:O,"received",'Shipments data'!Q:Q,"&lt;"&amp;'Supply planning data'!D299,'Shipments data'!AC:AC,"&lt;"&amp;'Supply planning data'!D299)-SUMIFS(M:M,D:D,"&lt;="&amp;D284,C:C,C284)-SUMIFS(AJ:AJ,D:D,"&lt;="&amp;D284,C:C,C284)+SUMIFS(N:N,D:D,"&lt;="&amp;D284,C:C,C284)+SUMIFS(P:P,D:D,"&lt;="&amp;D284,C:C,C284)&lt;0,0,SUMIFS('Shipments data'!L:L,'Shipments data'!F:F,'Supply planning data'!C284,'Shipments data'!A:A,'Supply planning data'!A284,'Shipments data'!O:O,"received",'Shipments data'!Q:Q,"&lt;"&amp;'Supply planning data'!D299,'Shipments data'!AC:AC,"&lt;"&amp;'Supply planning data'!D299)-SUMIFS(M:M,D:D,"&lt;="&amp;D284,C:C,C284)-SUMIFS(AJ:AJ,D:D,"&lt;="&amp;D284,C:C,C284)+SUMIFS(N:N,D:D,"&lt;="&amp;D284,C:C,C284)+SUMIFS(P:P,D:D,"&lt;="&amp;D284,C:C,C284))</f>
        <v>0</v>
      </c>
      <c r="AM284" s="98">
        <f t="shared" si="102"/>
        <v>0</v>
      </c>
      <c r="AN284" s="98">
        <f t="shared" si="95"/>
        <v>0</v>
      </c>
      <c r="AO284" s="203" t="str">
        <f t="shared" si="86"/>
        <v/>
      </c>
    </row>
    <row r="285" spans="1:41" hidden="1" x14ac:dyDescent="0.25">
      <c r="A285" s="95" t="str">
        <f>Start!D$7</f>
        <v>Anyland</v>
      </c>
      <c r="B285" s="96" t="str">
        <f>VLOOKUP(A285,list!B:C,2,FALSE)</f>
        <v>ANY</v>
      </c>
      <c r="C285" s="90" t="str">
        <f>IF(Start!$C$27="","",Start!$C$27)</f>
        <v/>
      </c>
      <c r="D285" s="296">
        <f t="shared" si="96"/>
        <v>44743</v>
      </c>
      <c r="E285" s="92" t="str">
        <f>IFERROR(VLOOKUP(C285,Start!C$15:D$31,2,FALSE),"No")</f>
        <v>No</v>
      </c>
      <c r="F285" s="92">
        <f t="shared" si="97"/>
        <v>0</v>
      </c>
      <c r="G285" s="91"/>
      <c r="H285" s="97"/>
      <c r="I285" s="97"/>
      <c r="J285" s="98">
        <f t="shared" si="89"/>
        <v>0</v>
      </c>
      <c r="K285" s="97"/>
      <c r="L285" s="175" t="str">
        <f t="shared" si="90"/>
        <v/>
      </c>
      <c r="M285" s="98">
        <f t="shared" si="91"/>
        <v>0</v>
      </c>
      <c r="N285" s="97"/>
      <c r="O285" s="122"/>
      <c r="P285" s="97"/>
      <c r="Q285" s="122"/>
      <c r="R285" s="98">
        <f>SUMIFS('Shipments data'!L:L,'Shipments data'!F:F,'Supply planning data'!C285,'Shipments data'!A:A,'Supply planning data'!A285,'Shipments data'!Y:Y,'Supply planning data'!D285,'Shipments data'!O:O,"received", 'Shipments data'!N:N, "Public")</f>
        <v>0</v>
      </c>
      <c r="S285" s="98">
        <f>SUMIFS('Shipments data'!L:L,'Shipments data'!F:F,'Supply planning data'!C285,'Shipments data'!A:A,'Supply planning data'!A285,'Shipments data'!Y:Y,'Supply planning data'!D285,'Shipments data'!O:O,"ordered", 'Shipments data'!N:N, "Public")</f>
        <v>0</v>
      </c>
      <c r="T285" s="98">
        <f>IF(SUMIFS('Shipments data'!L:L,'Shipments data'!F:F,'Supply planning data'!C285,'Shipments data'!A:A,'Supply planning data'!A285,'Shipments data'!O:O,"received",'Shipments data'!Q:Q,"&lt;"&amp;'Supply planning data'!D300,'Shipments data'!AC:AC,"&lt;"&amp;'Supply planning data'!D300)-SUMIFS(M:M,D:D,"&lt;="&amp;D285,C:C,C285)+SUMIFS(N:N,D:D,"&lt;="&amp;D285,C:C,C285)+SUMIFS(P:P,D:D,"&lt;="&amp;D285,C:C,C285)&lt;0,0,SUMIFS('Shipments data'!L:L,'Shipments data'!F:F,'Supply planning data'!C285,'Shipments data'!A:A,'Supply planning data'!A285,'Shipments data'!O:O,"received",'Shipments data'!Q:Q,"&lt;"&amp;'Supply planning data'!D300,'Shipments data'!AC:AC,"&lt;"&amp;'Supply planning data'!D300)-SUMIFS(M:M,D:D,"&lt;="&amp;D285,C:C,C285)+SUMIFS(N:N,D:D,"&lt;="&amp;D285,C:C,C285)+SUMIFS(P:P,D:D,"&lt;="&amp;D285,C:C,C285))</f>
        <v>0</v>
      </c>
      <c r="U285" s="99">
        <f t="shared" si="98"/>
        <v>0</v>
      </c>
      <c r="V285" s="98">
        <f t="shared" si="87"/>
        <v>0</v>
      </c>
      <c r="W285" s="203" t="str">
        <f t="shared" si="85"/>
        <v/>
      </c>
      <c r="X285" s="98">
        <f t="shared" si="99"/>
        <v>0</v>
      </c>
      <c r="Y285" s="97"/>
      <c r="Z285" s="93"/>
      <c r="AA285" s="98">
        <f t="shared" si="92"/>
        <v>0</v>
      </c>
      <c r="AB285" s="233"/>
      <c r="AC285" s="98">
        <f>IF(SUMIFS('Shipments data'!L:L,'Shipments data'!F:F,'Supply planning data'!C285,'Shipments data'!A:A,'Supply planning data'!A285,'Shipments data'!O:O,"received",'Shipments data'!Q:Q,"&lt;"&amp;'Supply planning data'!D300,'Shipments data'!AC:AC,"&lt;"&amp;'Supply planning data'!D300)-SUMIFS(M:M,D:D,"&lt;="&amp;D285,C:C,C285)-SUMIFS(AA:AA,D:D,"&lt;="&amp;D285,C:C,C285)+SUMIFS(N:N,D:D,"&lt;="&amp;D285,C:C,C285)+SUMIFS(P:P,D:D,"&lt;="&amp;D285,C:C,C285)&lt;0,0,SUMIFS('Shipments data'!L:L,'Shipments data'!F:F,'Supply planning data'!C285,'Shipments data'!A:A,'Supply planning data'!A285,'Shipments data'!O:O,"received",'Shipments data'!Q:Q,"&lt;"&amp;'Supply planning data'!D300,'Shipments data'!AC:AC,"&lt;"&amp;'Supply planning data'!D300)-SUMIFS(M:M,D:D,"&lt;="&amp;D285,C:C,C285)-SUMIFS(AA:AA,D:D,"&lt;="&amp;D285,C:C,C285)+SUMIFS(N:N,D:D,"&lt;="&amp;D285,C:C,C285)+SUMIFS(P:P,D:D,"&lt;="&amp;D285,C:C,C285))</f>
        <v>0</v>
      </c>
      <c r="AD285" s="98">
        <f t="shared" si="100"/>
        <v>0</v>
      </c>
      <c r="AE285" s="98">
        <f t="shared" si="94"/>
        <v>0</v>
      </c>
      <c r="AF285" s="205" t="str">
        <f t="shared" si="84"/>
        <v/>
      </c>
      <c r="AG285" s="98">
        <f t="shared" si="101"/>
        <v>0</v>
      </c>
      <c r="AH285" s="97"/>
      <c r="AI285" s="311"/>
      <c r="AJ285" s="98">
        <f t="shared" si="93"/>
        <v>0</v>
      </c>
      <c r="AK285" s="233"/>
      <c r="AL285" s="98">
        <f>IF(SUMIFS('Shipments data'!L:L,'Shipments data'!F:F,'Supply planning data'!C285,'Shipments data'!A:A,'Supply planning data'!A285,'Shipments data'!O:O,"received",'Shipments data'!Q:Q,"&lt;"&amp;'Supply planning data'!D300,'Shipments data'!AC:AC,"&lt;"&amp;'Supply planning data'!D300)-SUMIFS(M:M,D:D,"&lt;="&amp;D285,C:C,C285)-SUMIFS(AJ:AJ,D:D,"&lt;="&amp;D285,C:C,C285)+SUMIFS(N:N,D:D,"&lt;="&amp;D285,C:C,C285)+SUMIFS(P:P,D:D,"&lt;="&amp;D285,C:C,C285)&lt;0,0,SUMIFS('Shipments data'!L:L,'Shipments data'!F:F,'Supply planning data'!C285,'Shipments data'!A:A,'Supply planning data'!A285,'Shipments data'!O:O,"received",'Shipments data'!Q:Q,"&lt;"&amp;'Supply planning data'!D300,'Shipments data'!AC:AC,"&lt;"&amp;'Supply planning data'!D300)-SUMIFS(M:M,D:D,"&lt;="&amp;D285,C:C,C285)-SUMIFS(AJ:AJ,D:D,"&lt;="&amp;D285,C:C,C285)+SUMIFS(N:N,D:D,"&lt;="&amp;D285,C:C,C285)+SUMIFS(P:P,D:D,"&lt;="&amp;D285,C:C,C285))</f>
        <v>0</v>
      </c>
      <c r="AM285" s="98">
        <f t="shared" si="102"/>
        <v>0</v>
      </c>
      <c r="AN285" s="98">
        <f t="shared" si="95"/>
        <v>0</v>
      </c>
      <c r="AO285" s="203" t="str">
        <f t="shared" si="86"/>
        <v/>
      </c>
    </row>
    <row r="286" spans="1:41" hidden="1" x14ac:dyDescent="0.25">
      <c r="A286" s="95" t="str">
        <f>Start!D$7</f>
        <v>Anyland</v>
      </c>
      <c r="B286" s="96" t="str">
        <f>VLOOKUP(A286,list!B:C,2,FALSE)</f>
        <v>ANY</v>
      </c>
      <c r="C286" s="90" t="str">
        <f>IF(Start!$C$28="","",Start!$C$28)</f>
        <v/>
      </c>
      <c r="D286" s="296">
        <f t="shared" si="96"/>
        <v>44743</v>
      </c>
      <c r="E286" s="92" t="str">
        <f>IFERROR(VLOOKUP(C286,Start!C$15:D$31,2,FALSE),"No")</f>
        <v>No</v>
      </c>
      <c r="F286" s="92">
        <f t="shared" si="97"/>
        <v>0</v>
      </c>
      <c r="G286" s="91"/>
      <c r="H286" s="97"/>
      <c r="I286" s="97"/>
      <c r="J286" s="98">
        <f t="shared" si="89"/>
        <v>0</v>
      </c>
      <c r="K286" s="97"/>
      <c r="L286" s="175" t="str">
        <f t="shared" si="90"/>
        <v/>
      </c>
      <c r="M286" s="98">
        <f t="shared" si="91"/>
        <v>0</v>
      </c>
      <c r="N286" s="97"/>
      <c r="O286" s="122"/>
      <c r="P286" s="97"/>
      <c r="Q286" s="122"/>
      <c r="R286" s="98">
        <f>SUMIFS('Shipments data'!L:L,'Shipments data'!F:F,'Supply planning data'!C286,'Shipments data'!A:A,'Supply planning data'!A286,'Shipments data'!Y:Y,'Supply planning data'!D286,'Shipments data'!O:O,"received", 'Shipments data'!N:N, "Public")</f>
        <v>0</v>
      </c>
      <c r="S286" s="98">
        <f>SUMIFS('Shipments data'!L:L,'Shipments data'!F:F,'Supply planning data'!C286,'Shipments data'!A:A,'Supply planning data'!A286,'Shipments data'!Y:Y,'Supply planning data'!D286,'Shipments data'!O:O,"ordered", 'Shipments data'!N:N, "Public")</f>
        <v>0</v>
      </c>
      <c r="T286" s="98">
        <f>IF(SUMIFS('Shipments data'!L:L,'Shipments data'!F:F,'Supply planning data'!C286,'Shipments data'!A:A,'Supply planning data'!A286,'Shipments data'!O:O,"received",'Shipments data'!Q:Q,"&lt;"&amp;'Supply planning data'!D301,'Shipments data'!AC:AC,"&lt;"&amp;'Supply planning data'!D301)-SUMIFS(M:M,D:D,"&lt;="&amp;D286,C:C,C286)+SUMIFS(N:N,D:D,"&lt;="&amp;D286,C:C,C286)+SUMIFS(P:P,D:D,"&lt;="&amp;D286,C:C,C286)&lt;0,0,SUMIFS('Shipments data'!L:L,'Shipments data'!F:F,'Supply planning data'!C286,'Shipments data'!A:A,'Supply planning data'!A286,'Shipments data'!O:O,"received",'Shipments data'!Q:Q,"&lt;"&amp;'Supply planning data'!D301,'Shipments data'!AC:AC,"&lt;"&amp;'Supply planning data'!D301)-SUMIFS(M:M,D:D,"&lt;="&amp;D286,C:C,C286)+SUMIFS(N:N,D:D,"&lt;="&amp;D286,C:C,C286)+SUMIFS(P:P,D:D,"&lt;="&amp;D286,C:C,C286))</f>
        <v>0</v>
      </c>
      <c r="U286" s="99">
        <f t="shared" si="98"/>
        <v>0</v>
      </c>
      <c r="V286" s="98">
        <f t="shared" si="87"/>
        <v>0</v>
      </c>
      <c r="W286" s="203" t="str">
        <f t="shared" si="85"/>
        <v/>
      </c>
      <c r="X286" s="98">
        <f t="shared" si="99"/>
        <v>0</v>
      </c>
      <c r="Y286" s="97"/>
      <c r="Z286" s="93"/>
      <c r="AA286" s="98">
        <f t="shared" si="92"/>
        <v>0</v>
      </c>
      <c r="AB286" s="233"/>
      <c r="AC286" s="98">
        <f>IF(SUMIFS('Shipments data'!L:L,'Shipments data'!F:F,'Supply planning data'!C286,'Shipments data'!A:A,'Supply planning data'!A286,'Shipments data'!O:O,"received",'Shipments data'!Q:Q,"&lt;"&amp;'Supply planning data'!D301,'Shipments data'!AC:AC,"&lt;"&amp;'Supply planning data'!D301)-SUMIFS(M:M,D:D,"&lt;="&amp;D286,C:C,C286)-SUMIFS(AA:AA,D:D,"&lt;="&amp;D286,C:C,C286)+SUMIFS(N:N,D:D,"&lt;="&amp;D286,C:C,C286)+SUMIFS(P:P,D:D,"&lt;="&amp;D286,C:C,C286)&lt;0,0,SUMIFS('Shipments data'!L:L,'Shipments data'!F:F,'Supply planning data'!C286,'Shipments data'!A:A,'Supply planning data'!A286,'Shipments data'!O:O,"received",'Shipments data'!Q:Q,"&lt;"&amp;'Supply planning data'!D301,'Shipments data'!AC:AC,"&lt;"&amp;'Supply planning data'!D301)-SUMIFS(M:M,D:D,"&lt;="&amp;D286,C:C,C286)-SUMIFS(AA:AA,D:D,"&lt;="&amp;D286,C:C,C286)+SUMIFS(N:N,D:D,"&lt;="&amp;D286,C:C,C286)+SUMIFS(P:P,D:D,"&lt;="&amp;D286,C:C,C286))</f>
        <v>0</v>
      </c>
      <c r="AD286" s="98">
        <f t="shared" si="100"/>
        <v>0</v>
      </c>
      <c r="AE286" s="98">
        <f t="shared" si="94"/>
        <v>0</v>
      </c>
      <c r="AF286" s="205" t="str">
        <f t="shared" si="84"/>
        <v/>
      </c>
      <c r="AG286" s="98">
        <f t="shared" si="101"/>
        <v>0</v>
      </c>
      <c r="AH286" s="97"/>
      <c r="AI286" s="311"/>
      <c r="AJ286" s="98">
        <f t="shared" si="93"/>
        <v>0</v>
      </c>
      <c r="AK286" s="233"/>
      <c r="AL286" s="98">
        <f>IF(SUMIFS('Shipments data'!L:L,'Shipments data'!F:F,'Supply planning data'!C286,'Shipments data'!A:A,'Supply planning data'!A286,'Shipments data'!O:O,"received",'Shipments data'!Q:Q,"&lt;"&amp;'Supply planning data'!D301,'Shipments data'!AC:AC,"&lt;"&amp;'Supply planning data'!D301)-SUMIFS(M:M,D:D,"&lt;="&amp;D286,C:C,C286)-SUMIFS(AJ:AJ,D:D,"&lt;="&amp;D286,C:C,C286)+SUMIFS(N:N,D:D,"&lt;="&amp;D286,C:C,C286)+SUMIFS(P:P,D:D,"&lt;="&amp;D286,C:C,C286)&lt;0,0,SUMIFS('Shipments data'!L:L,'Shipments data'!F:F,'Supply planning data'!C286,'Shipments data'!A:A,'Supply planning data'!A286,'Shipments data'!O:O,"received",'Shipments data'!Q:Q,"&lt;"&amp;'Supply planning data'!D301,'Shipments data'!AC:AC,"&lt;"&amp;'Supply planning data'!D301)-SUMIFS(M:M,D:D,"&lt;="&amp;D286,C:C,C286)-SUMIFS(AJ:AJ,D:D,"&lt;="&amp;D286,C:C,C286)+SUMIFS(N:N,D:D,"&lt;="&amp;D286,C:C,C286)+SUMIFS(P:P,D:D,"&lt;="&amp;D286,C:C,C286))</f>
        <v>0</v>
      </c>
      <c r="AM286" s="98">
        <f t="shared" si="102"/>
        <v>0</v>
      </c>
      <c r="AN286" s="98">
        <f t="shared" si="95"/>
        <v>0</v>
      </c>
      <c r="AO286" s="203" t="str">
        <f t="shared" si="86"/>
        <v/>
      </c>
    </row>
    <row r="287" spans="1:41" hidden="1" x14ac:dyDescent="0.25">
      <c r="A287" s="95" t="str">
        <f>Start!D$7</f>
        <v>Anyland</v>
      </c>
      <c r="B287" s="96" t="str">
        <f>VLOOKUP(A287,list!B:C,2,FALSE)</f>
        <v>ANY</v>
      </c>
      <c r="C287" s="90" t="str">
        <f>IF(Start!$C$29="","",Start!$C$29)</f>
        <v/>
      </c>
      <c r="D287" s="296">
        <f t="shared" si="96"/>
        <v>44743</v>
      </c>
      <c r="E287" s="92" t="str">
        <f>IFERROR(VLOOKUP(C287,Start!C$15:D$31,2,FALSE),"No")</f>
        <v>No</v>
      </c>
      <c r="F287" s="92">
        <f t="shared" si="97"/>
        <v>0</v>
      </c>
      <c r="G287" s="91"/>
      <c r="H287" s="97"/>
      <c r="I287" s="97"/>
      <c r="J287" s="98">
        <f t="shared" si="89"/>
        <v>0</v>
      </c>
      <c r="K287" s="97"/>
      <c r="L287" s="175" t="str">
        <f t="shared" si="90"/>
        <v/>
      </c>
      <c r="M287" s="98">
        <f t="shared" si="91"/>
        <v>0</v>
      </c>
      <c r="N287" s="97"/>
      <c r="O287" s="122"/>
      <c r="P287" s="97"/>
      <c r="Q287" s="122"/>
      <c r="R287" s="98">
        <f>SUMIFS('Shipments data'!L:L,'Shipments data'!F:F,'Supply planning data'!C287,'Shipments data'!A:A,'Supply planning data'!A287,'Shipments data'!Y:Y,'Supply planning data'!D287,'Shipments data'!O:O,"received", 'Shipments data'!N:N, "Public")</f>
        <v>0</v>
      </c>
      <c r="S287" s="98">
        <f>SUMIFS('Shipments data'!L:L,'Shipments data'!F:F,'Supply planning data'!C287,'Shipments data'!A:A,'Supply planning data'!A287,'Shipments data'!Y:Y,'Supply planning data'!D287,'Shipments data'!O:O,"ordered", 'Shipments data'!N:N, "Public")</f>
        <v>0</v>
      </c>
      <c r="T287" s="98">
        <f>IF(SUMIFS('Shipments data'!L:L,'Shipments data'!F:F,'Supply planning data'!C287,'Shipments data'!A:A,'Supply planning data'!A287,'Shipments data'!O:O,"received",'Shipments data'!Q:Q,"&lt;"&amp;'Supply planning data'!D302,'Shipments data'!AC:AC,"&lt;"&amp;'Supply planning data'!D302)-SUMIFS(M:M,D:D,"&lt;="&amp;D287,C:C,C287)+SUMIFS(N:N,D:D,"&lt;="&amp;D287,C:C,C287)+SUMIFS(P:P,D:D,"&lt;="&amp;D287,C:C,C287)&lt;0,0,SUMIFS('Shipments data'!L:L,'Shipments data'!F:F,'Supply planning data'!C287,'Shipments data'!A:A,'Supply planning data'!A287,'Shipments data'!O:O,"received",'Shipments data'!Q:Q,"&lt;"&amp;'Supply planning data'!D302,'Shipments data'!AC:AC,"&lt;"&amp;'Supply planning data'!D302)-SUMIFS(M:M,D:D,"&lt;="&amp;D287,C:C,C287)+SUMIFS(N:N,D:D,"&lt;="&amp;D287,C:C,C287)+SUMIFS(P:P,D:D,"&lt;="&amp;D287,C:C,C287))</f>
        <v>0</v>
      </c>
      <c r="U287" s="99">
        <f t="shared" si="98"/>
        <v>0</v>
      </c>
      <c r="V287" s="98">
        <f t="shared" si="87"/>
        <v>0</v>
      </c>
      <c r="W287" s="203" t="str">
        <f t="shared" si="85"/>
        <v/>
      </c>
      <c r="X287" s="98">
        <f t="shared" si="99"/>
        <v>0</v>
      </c>
      <c r="Y287" s="97"/>
      <c r="Z287" s="93"/>
      <c r="AA287" s="98">
        <f t="shared" si="92"/>
        <v>0</v>
      </c>
      <c r="AB287" s="233"/>
      <c r="AC287" s="98">
        <f>IF(SUMIFS('Shipments data'!L:L,'Shipments data'!F:F,'Supply planning data'!C287,'Shipments data'!A:A,'Supply planning data'!A287,'Shipments data'!O:O,"received",'Shipments data'!Q:Q,"&lt;"&amp;'Supply planning data'!D302,'Shipments data'!AC:AC,"&lt;"&amp;'Supply planning data'!D302)-SUMIFS(M:M,D:D,"&lt;="&amp;D287,C:C,C287)-SUMIFS(AA:AA,D:D,"&lt;="&amp;D287,C:C,C287)+SUMIFS(N:N,D:D,"&lt;="&amp;D287,C:C,C287)+SUMIFS(P:P,D:D,"&lt;="&amp;D287,C:C,C287)&lt;0,0,SUMIFS('Shipments data'!L:L,'Shipments data'!F:F,'Supply planning data'!C287,'Shipments data'!A:A,'Supply planning data'!A287,'Shipments data'!O:O,"received",'Shipments data'!Q:Q,"&lt;"&amp;'Supply planning data'!D302,'Shipments data'!AC:AC,"&lt;"&amp;'Supply planning data'!D302)-SUMIFS(M:M,D:D,"&lt;="&amp;D287,C:C,C287)-SUMIFS(AA:AA,D:D,"&lt;="&amp;D287,C:C,C287)+SUMIFS(N:N,D:D,"&lt;="&amp;D287,C:C,C287)+SUMIFS(P:P,D:D,"&lt;="&amp;D287,C:C,C287))</f>
        <v>0</v>
      </c>
      <c r="AD287" s="98">
        <f t="shared" si="100"/>
        <v>0</v>
      </c>
      <c r="AE287" s="98">
        <f t="shared" si="94"/>
        <v>0</v>
      </c>
      <c r="AF287" s="205" t="str">
        <f t="shared" ref="AF287:AF350" si="103">IF(M287+AA287&lt;=0,"",IFERROR(AE287/(SUM(M287,M317,M302,AA287,AA317,AA302)/3),""))</f>
        <v/>
      </c>
      <c r="AG287" s="98">
        <f t="shared" si="101"/>
        <v>0</v>
      </c>
      <c r="AH287" s="97"/>
      <c r="AI287" s="311"/>
      <c r="AJ287" s="98">
        <f t="shared" si="93"/>
        <v>0</v>
      </c>
      <c r="AK287" s="233"/>
      <c r="AL287" s="98">
        <f>IF(SUMIFS('Shipments data'!L:L,'Shipments data'!F:F,'Supply planning data'!C287,'Shipments data'!A:A,'Supply planning data'!A287,'Shipments data'!O:O,"received",'Shipments data'!Q:Q,"&lt;"&amp;'Supply planning data'!D302,'Shipments data'!AC:AC,"&lt;"&amp;'Supply planning data'!D302)-SUMIFS(M:M,D:D,"&lt;="&amp;D287,C:C,C287)-SUMIFS(AJ:AJ,D:D,"&lt;="&amp;D287,C:C,C287)+SUMIFS(N:N,D:D,"&lt;="&amp;D287,C:C,C287)+SUMIFS(P:P,D:D,"&lt;="&amp;D287,C:C,C287)&lt;0,0,SUMIFS('Shipments data'!L:L,'Shipments data'!F:F,'Supply planning data'!C287,'Shipments data'!A:A,'Supply planning data'!A287,'Shipments data'!O:O,"received",'Shipments data'!Q:Q,"&lt;"&amp;'Supply planning data'!D302,'Shipments data'!AC:AC,"&lt;"&amp;'Supply planning data'!D302)-SUMIFS(M:M,D:D,"&lt;="&amp;D287,C:C,C287)-SUMIFS(AJ:AJ,D:D,"&lt;="&amp;D287,C:C,C287)+SUMIFS(N:N,D:D,"&lt;="&amp;D287,C:C,C287)+SUMIFS(P:P,D:D,"&lt;="&amp;D287,C:C,C287))</f>
        <v>0</v>
      </c>
      <c r="AM287" s="98">
        <f t="shared" si="102"/>
        <v>0</v>
      </c>
      <c r="AN287" s="98">
        <f t="shared" si="95"/>
        <v>0</v>
      </c>
      <c r="AO287" s="203" t="str">
        <f t="shared" si="86"/>
        <v/>
      </c>
    </row>
    <row r="288" spans="1:41" hidden="1" x14ac:dyDescent="0.25">
      <c r="A288" s="95" t="str">
        <f>Start!D$7</f>
        <v>Anyland</v>
      </c>
      <c r="B288" s="96" t="str">
        <f>VLOOKUP(A288,list!B:C,2,FALSE)</f>
        <v>ANY</v>
      </c>
      <c r="C288" s="90" t="str">
        <f>IF(Start!$C$30="","",Start!$C$30)</f>
        <v/>
      </c>
      <c r="D288" s="296">
        <f t="shared" si="96"/>
        <v>44743</v>
      </c>
      <c r="E288" s="92" t="str">
        <f>IFERROR(VLOOKUP(C288,Start!C$15:D$31,2,FALSE),"No")</f>
        <v>No</v>
      </c>
      <c r="F288" s="92">
        <f t="shared" si="97"/>
        <v>0</v>
      </c>
      <c r="G288" s="91"/>
      <c r="H288" s="97"/>
      <c r="I288" s="97"/>
      <c r="J288" s="98">
        <f t="shared" si="89"/>
        <v>0</v>
      </c>
      <c r="K288" s="97"/>
      <c r="L288" s="175" t="str">
        <f t="shared" si="90"/>
        <v/>
      </c>
      <c r="M288" s="98">
        <f t="shared" si="91"/>
        <v>0</v>
      </c>
      <c r="N288" s="97"/>
      <c r="O288" s="122"/>
      <c r="P288" s="97"/>
      <c r="Q288" s="122"/>
      <c r="R288" s="98">
        <f>SUMIFS('Shipments data'!L:L,'Shipments data'!F:F,'Supply planning data'!C288,'Shipments data'!A:A,'Supply planning data'!A288,'Shipments data'!Y:Y,'Supply planning data'!D288,'Shipments data'!O:O,"received", 'Shipments data'!N:N, "Public")</f>
        <v>0</v>
      </c>
      <c r="S288" s="98">
        <f>SUMIFS('Shipments data'!L:L,'Shipments data'!F:F,'Supply planning data'!C288,'Shipments data'!A:A,'Supply planning data'!A288,'Shipments data'!Y:Y,'Supply planning data'!D288,'Shipments data'!O:O,"ordered", 'Shipments data'!N:N, "Public")</f>
        <v>0</v>
      </c>
      <c r="T288" s="98">
        <f>IF(SUMIFS('Shipments data'!L:L,'Shipments data'!F:F,'Supply planning data'!C288,'Shipments data'!A:A,'Supply planning data'!A288,'Shipments data'!O:O,"received",'Shipments data'!Q:Q,"&lt;"&amp;'Supply planning data'!D303,'Shipments data'!AC:AC,"&lt;"&amp;'Supply planning data'!D303)-SUMIFS(M:M,D:D,"&lt;="&amp;D288,C:C,C288)+SUMIFS(N:N,D:D,"&lt;="&amp;D288,C:C,C288)+SUMIFS(P:P,D:D,"&lt;="&amp;D288,C:C,C288)&lt;0,0,SUMIFS('Shipments data'!L:L,'Shipments data'!F:F,'Supply planning data'!C288,'Shipments data'!A:A,'Supply planning data'!A288,'Shipments data'!O:O,"received",'Shipments data'!Q:Q,"&lt;"&amp;'Supply planning data'!D303,'Shipments data'!AC:AC,"&lt;"&amp;'Supply planning data'!D303)-SUMIFS(M:M,D:D,"&lt;="&amp;D288,C:C,C288)+SUMIFS(N:N,D:D,"&lt;="&amp;D288,C:C,C288)+SUMIFS(P:P,D:D,"&lt;="&amp;D288,C:C,C288))</f>
        <v>0</v>
      </c>
      <c r="U288" s="99">
        <f t="shared" si="98"/>
        <v>0</v>
      </c>
      <c r="V288" s="98">
        <f t="shared" si="87"/>
        <v>0</v>
      </c>
      <c r="W288" s="203" t="str">
        <f t="shared" si="85"/>
        <v/>
      </c>
      <c r="X288" s="98">
        <f t="shared" si="99"/>
        <v>0</v>
      </c>
      <c r="Y288" s="97"/>
      <c r="Z288" s="93"/>
      <c r="AA288" s="98">
        <f t="shared" si="92"/>
        <v>0</v>
      </c>
      <c r="AB288" s="233"/>
      <c r="AC288" s="98">
        <f>IF(SUMIFS('Shipments data'!L:L,'Shipments data'!F:F,'Supply planning data'!C288,'Shipments data'!A:A,'Supply planning data'!A288,'Shipments data'!O:O,"received",'Shipments data'!Q:Q,"&lt;"&amp;'Supply planning data'!D303,'Shipments data'!AC:AC,"&lt;"&amp;'Supply planning data'!D303)-SUMIFS(M:M,D:D,"&lt;="&amp;D288,C:C,C288)-SUMIFS(AA:AA,D:D,"&lt;="&amp;D288,C:C,C288)+SUMIFS(N:N,D:D,"&lt;="&amp;D288,C:C,C288)+SUMIFS(P:P,D:D,"&lt;="&amp;D288,C:C,C288)&lt;0,0,SUMIFS('Shipments data'!L:L,'Shipments data'!F:F,'Supply planning data'!C288,'Shipments data'!A:A,'Supply planning data'!A288,'Shipments data'!O:O,"received",'Shipments data'!Q:Q,"&lt;"&amp;'Supply planning data'!D303,'Shipments data'!AC:AC,"&lt;"&amp;'Supply planning data'!D303)-SUMIFS(M:M,D:D,"&lt;="&amp;D288,C:C,C288)-SUMIFS(AA:AA,D:D,"&lt;="&amp;D288,C:C,C288)+SUMIFS(N:N,D:D,"&lt;="&amp;D288,C:C,C288)+SUMIFS(P:P,D:D,"&lt;="&amp;D288,C:C,C288))</f>
        <v>0</v>
      </c>
      <c r="AD288" s="98">
        <f t="shared" si="100"/>
        <v>0</v>
      </c>
      <c r="AE288" s="98">
        <f t="shared" si="94"/>
        <v>0</v>
      </c>
      <c r="AF288" s="205" t="str">
        <f t="shared" si="103"/>
        <v/>
      </c>
      <c r="AG288" s="98">
        <f t="shared" si="101"/>
        <v>0</v>
      </c>
      <c r="AH288" s="97"/>
      <c r="AI288" s="311"/>
      <c r="AJ288" s="98">
        <f t="shared" si="93"/>
        <v>0</v>
      </c>
      <c r="AK288" s="233"/>
      <c r="AL288" s="98">
        <f>IF(SUMIFS('Shipments data'!L:L,'Shipments data'!F:F,'Supply planning data'!C288,'Shipments data'!A:A,'Supply planning data'!A288,'Shipments data'!O:O,"received",'Shipments data'!Q:Q,"&lt;"&amp;'Supply planning data'!D303,'Shipments data'!AC:AC,"&lt;"&amp;'Supply planning data'!D303)-SUMIFS(M:M,D:D,"&lt;="&amp;D288,C:C,C288)-SUMIFS(AJ:AJ,D:D,"&lt;="&amp;D288,C:C,C288)+SUMIFS(N:N,D:D,"&lt;="&amp;D288,C:C,C288)+SUMIFS(P:P,D:D,"&lt;="&amp;D288,C:C,C288)&lt;0,0,SUMIFS('Shipments data'!L:L,'Shipments data'!F:F,'Supply planning data'!C288,'Shipments data'!A:A,'Supply planning data'!A288,'Shipments data'!O:O,"received",'Shipments data'!Q:Q,"&lt;"&amp;'Supply planning data'!D303,'Shipments data'!AC:AC,"&lt;"&amp;'Supply planning data'!D303)-SUMIFS(M:M,D:D,"&lt;="&amp;D288,C:C,C288)-SUMIFS(AJ:AJ,D:D,"&lt;="&amp;D288,C:C,C288)+SUMIFS(N:N,D:D,"&lt;="&amp;D288,C:C,C288)+SUMIFS(P:P,D:D,"&lt;="&amp;D288,C:C,C288))</f>
        <v>0</v>
      </c>
      <c r="AM288" s="98">
        <f t="shared" si="102"/>
        <v>0</v>
      </c>
      <c r="AN288" s="98">
        <f t="shared" si="95"/>
        <v>0</v>
      </c>
      <c r="AO288" s="203" t="str">
        <f t="shared" si="86"/>
        <v/>
      </c>
    </row>
    <row r="289" spans="1:41" hidden="1" x14ac:dyDescent="0.25">
      <c r="A289" s="95" t="str">
        <f>Start!D$7</f>
        <v>Anyland</v>
      </c>
      <c r="B289" s="100" t="str">
        <f>VLOOKUP(A289,list!B:C,2,FALSE)</f>
        <v>ANY</v>
      </c>
      <c r="C289" s="90" t="str">
        <f>IF(Start!$C$31="","",Start!$C$31)</f>
        <v/>
      </c>
      <c r="D289" s="296">
        <f t="shared" si="96"/>
        <v>44743</v>
      </c>
      <c r="E289" s="92" t="str">
        <f>IFERROR(VLOOKUP(C289,Start!C$15:D$31,2,FALSE),"No")</f>
        <v>No</v>
      </c>
      <c r="F289" s="92">
        <f t="shared" si="97"/>
        <v>0</v>
      </c>
      <c r="G289" s="91"/>
      <c r="H289" s="97"/>
      <c r="I289" s="97"/>
      <c r="J289" s="98">
        <f t="shared" si="89"/>
        <v>0</v>
      </c>
      <c r="K289" s="97"/>
      <c r="L289" s="175" t="str">
        <f t="shared" si="90"/>
        <v/>
      </c>
      <c r="M289" s="98">
        <f t="shared" si="91"/>
        <v>0</v>
      </c>
      <c r="N289" s="97"/>
      <c r="O289" s="122"/>
      <c r="P289" s="97"/>
      <c r="Q289" s="122"/>
      <c r="R289" s="98">
        <f>SUMIFS('Shipments data'!L:L,'Shipments data'!F:F,'Supply planning data'!C289,'Shipments data'!A:A,'Supply planning data'!A289,'Shipments data'!Y:Y,'Supply planning data'!D289,'Shipments data'!O:O,"received", 'Shipments data'!N:N, "Public")</f>
        <v>0</v>
      </c>
      <c r="S289" s="98">
        <f>SUMIFS('Shipments data'!L:L,'Shipments data'!F:F,'Supply planning data'!C289,'Shipments data'!A:A,'Supply planning data'!A289,'Shipments data'!Y:Y,'Supply planning data'!D289,'Shipments data'!O:O,"ordered", 'Shipments data'!N:N, "Public")</f>
        <v>0</v>
      </c>
      <c r="T289" s="98">
        <f>IF(SUMIFS('Shipments data'!L:L,'Shipments data'!F:F,'Supply planning data'!C289,'Shipments data'!A:A,'Supply planning data'!A289,'Shipments data'!O:O,"received",'Shipments data'!Q:Q,"&lt;"&amp;'Supply planning data'!D304,'Shipments data'!AC:AC,"&lt;"&amp;'Supply planning data'!D304)-SUMIFS(M:M,D:D,"&lt;="&amp;D289,C:C,C289)+SUMIFS(N:N,D:D,"&lt;="&amp;D289,C:C,C289)+SUMIFS(P:P,D:D,"&lt;="&amp;D289,C:C,C289)&lt;0,0,SUMIFS('Shipments data'!L:L,'Shipments data'!F:F,'Supply planning data'!C289,'Shipments data'!A:A,'Supply planning data'!A289,'Shipments data'!O:O,"received",'Shipments data'!Q:Q,"&lt;"&amp;'Supply planning data'!D304,'Shipments data'!AC:AC,"&lt;"&amp;'Supply planning data'!D304)-SUMIFS(M:M,D:D,"&lt;="&amp;D289,C:C,C289)+SUMIFS(N:N,D:D,"&lt;="&amp;D289,C:C,C289)+SUMIFS(P:P,D:D,"&lt;="&amp;D289,C:C,C289))</f>
        <v>0</v>
      </c>
      <c r="U289" s="99">
        <f t="shared" si="98"/>
        <v>0</v>
      </c>
      <c r="V289" s="98">
        <f t="shared" si="87"/>
        <v>0</v>
      </c>
      <c r="W289" s="203" t="str">
        <f t="shared" si="85"/>
        <v/>
      </c>
      <c r="X289" s="98">
        <f t="shared" si="99"/>
        <v>0</v>
      </c>
      <c r="Y289" s="97"/>
      <c r="Z289" s="93"/>
      <c r="AA289" s="98">
        <f t="shared" si="92"/>
        <v>0</v>
      </c>
      <c r="AB289" s="233"/>
      <c r="AC289" s="98">
        <f>IF(SUMIFS('Shipments data'!L:L,'Shipments data'!F:F,'Supply planning data'!C289,'Shipments data'!A:A,'Supply planning data'!A289,'Shipments data'!O:O,"received",'Shipments data'!Q:Q,"&lt;"&amp;'Supply planning data'!D304,'Shipments data'!AC:AC,"&lt;"&amp;'Supply planning data'!D304)-SUMIFS(M:M,D:D,"&lt;="&amp;D289,C:C,C289)-SUMIFS(AA:AA,D:D,"&lt;="&amp;D289,C:C,C289)+SUMIFS(N:N,D:D,"&lt;="&amp;D289,C:C,C289)+SUMIFS(P:P,D:D,"&lt;="&amp;D289,C:C,C289)&lt;0,0,SUMIFS('Shipments data'!L:L,'Shipments data'!F:F,'Supply planning data'!C289,'Shipments data'!A:A,'Supply planning data'!A289,'Shipments data'!O:O,"received",'Shipments data'!Q:Q,"&lt;"&amp;'Supply planning data'!D304,'Shipments data'!AC:AC,"&lt;"&amp;'Supply planning data'!D304)-SUMIFS(M:M,D:D,"&lt;="&amp;D289,C:C,C289)-SUMIFS(AA:AA,D:D,"&lt;="&amp;D289,C:C,C289)+SUMIFS(N:N,D:D,"&lt;="&amp;D289,C:C,C289)+SUMIFS(P:P,D:D,"&lt;="&amp;D289,C:C,C289))</f>
        <v>0</v>
      </c>
      <c r="AD289" s="98">
        <f t="shared" si="100"/>
        <v>0</v>
      </c>
      <c r="AE289" s="98">
        <f t="shared" si="94"/>
        <v>0</v>
      </c>
      <c r="AF289" s="205" t="str">
        <f t="shared" si="103"/>
        <v/>
      </c>
      <c r="AG289" s="98">
        <f t="shared" si="101"/>
        <v>0</v>
      </c>
      <c r="AH289" s="97"/>
      <c r="AI289" s="311"/>
      <c r="AJ289" s="98">
        <f t="shared" si="93"/>
        <v>0</v>
      </c>
      <c r="AK289" s="233"/>
      <c r="AL289" s="98">
        <f>IF(SUMIFS('Shipments data'!L:L,'Shipments data'!F:F,'Supply planning data'!C289,'Shipments data'!A:A,'Supply planning data'!A289,'Shipments data'!O:O,"received",'Shipments data'!Q:Q,"&lt;"&amp;'Supply planning data'!D304,'Shipments data'!AC:AC,"&lt;"&amp;'Supply planning data'!D304)-SUMIFS(M:M,D:D,"&lt;="&amp;D289,C:C,C289)-SUMIFS(AJ:AJ,D:D,"&lt;="&amp;D289,C:C,C289)+SUMIFS(N:N,D:D,"&lt;="&amp;D289,C:C,C289)+SUMIFS(P:P,D:D,"&lt;="&amp;D289,C:C,C289)&lt;0,0,SUMIFS('Shipments data'!L:L,'Shipments data'!F:F,'Supply planning data'!C289,'Shipments data'!A:A,'Supply planning data'!A289,'Shipments data'!O:O,"received",'Shipments data'!Q:Q,"&lt;"&amp;'Supply planning data'!D304,'Shipments data'!AC:AC,"&lt;"&amp;'Supply planning data'!D304)-SUMIFS(M:M,D:D,"&lt;="&amp;D289,C:C,C289)-SUMIFS(AJ:AJ,D:D,"&lt;="&amp;D289,C:C,C289)+SUMIFS(N:N,D:D,"&lt;="&amp;D289,C:C,C289)+SUMIFS(P:P,D:D,"&lt;="&amp;D289,C:C,C289))</f>
        <v>0</v>
      </c>
      <c r="AM289" s="98">
        <f t="shared" si="102"/>
        <v>0</v>
      </c>
      <c r="AN289" s="98">
        <f t="shared" si="95"/>
        <v>0</v>
      </c>
      <c r="AO289" s="203" t="str">
        <f t="shared" si="86"/>
        <v/>
      </c>
    </row>
    <row r="290" spans="1:41" x14ac:dyDescent="0.25">
      <c r="A290" s="103" t="str">
        <f>Start!D$7</f>
        <v>Anyland</v>
      </c>
      <c r="B290" s="104" t="str">
        <f>VLOOKUP(A290,list!B:C,2,FALSE)</f>
        <v>ANY</v>
      </c>
      <c r="C290" s="104" t="str">
        <f>IF(Start!$C$17="","",Start!$C$17)</f>
        <v>AstraZeneca</v>
      </c>
      <c r="D290" s="298">
        <f t="shared" si="96"/>
        <v>44774</v>
      </c>
      <c r="E290" s="105" t="str">
        <f>IFERROR(VLOOKUP(C290,Start!C$15:D$31,2,FALSE),"No")</f>
        <v>Yes</v>
      </c>
      <c r="F290" s="105">
        <f t="shared" si="97"/>
        <v>0</v>
      </c>
      <c r="G290" s="106"/>
      <c r="H290" s="106"/>
      <c r="I290" s="106"/>
      <c r="J290" s="105">
        <f t="shared" si="89"/>
        <v>0</v>
      </c>
      <c r="K290" s="106"/>
      <c r="L290" s="177" t="str">
        <f t="shared" si="90"/>
        <v/>
      </c>
      <c r="M290" s="105">
        <f t="shared" si="91"/>
        <v>0</v>
      </c>
      <c r="N290" s="106"/>
      <c r="O290" s="123"/>
      <c r="P290" s="106"/>
      <c r="Q290" s="123"/>
      <c r="R290" s="105">
        <f>SUMIFS('Shipments data'!L:L,'Shipments data'!F:F,'Supply planning data'!C290,'Shipments data'!A:A,'Supply planning data'!A290,'Shipments data'!Y:Y,'Supply planning data'!D290,'Shipments data'!O:O,"received", 'Shipments data'!N:N, "Public")</f>
        <v>0</v>
      </c>
      <c r="S290" s="105">
        <f>SUMIFS('Shipments data'!L:L,'Shipments data'!F:F,'Supply planning data'!C290,'Shipments data'!A:A,'Supply planning data'!A290,'Shipments data'!Y:Y,'Supply planning data'!D290,'Shipments data'!O:O,"ordered", 'Shipments data'!N:N, "Public")</f>
        <v>0</v>
      </c>
      <c r="T290" s="105">
        <f>IF(SUMIFS('Shipments data'!L:L,'Shipments data'!F:F,'Supply planning data'!C290,'Shipments data'!A:A,'Supply planning data'!A290,'Shipments data'!O:O,"received",'Shipments data'!Q:Q,"&lt;"&amp;'Supply planning data'!D305,'Shipments data'!AC:AC,"&lt;"&amp;'Supply planning data'!D305)-SUMIFS(M:M,D:D,"&lt;="&amp;D290,C:C,C290)+SUMIFS(N:N,D:D,"&lt;="&amp;D290,C:C,C290)+SUMIFS(P:P,D:D,"&lt;="&amp;D290,C:C,C290)&lt;0,0,SUMIFS('Shipments data'!L:L,'Shipments data'!F:F,'Supply planning data'!C290,'Shipments data'!A:A,'Supply planning data'!A290,'Shipments data'!O:O,"received",'Shipments data'!Q:Q,"&lt;"&amp;'Supply planning data'!D305,'Shipments data'!AC:AC,"&lt;"&amp;'Supply planning data'!D305)-SUMIFS(M:M,D:D,"&lt;="&amp;D290,C:C,C290)+SUMIFS(N:N,D:D,"&lt;="&amp;D290,C:C,C290)+SUMIFS(P:P,D:D,"&lt;="&amp;D290,C:C,C290))</f>
        <v>0</v>
      </c>
      <c r="U290" s="108">
        <f t="shared" si="98"/>
        <v>0</v>
      </c>
      <c r="V290" s="105">
        <f t="shared" si="87"/>
        <v>0</v>
      </c>
      <c r="W290" s="206" t="str">
        <f t="shared" si="85"/>
        <v/>
      </c>
      <c r="X290" s="105">
        <f t="shared" si="99"/>
        <v>474701</v>
      </c>
      <c r="Y290" s="106">
        <v>80000</v>
      </c>
      <c r="Z290" s="107"/>
      <c r="AA290" s="105">
        <f t="shared" si="92"/>
        <v>80000</v>
      </c>
      <c r="AB290" s="234"/>
      <c r="AC290" s="105">
        <f>IF(SUMIFS('Shipments data'!L:L,'Shipments data'!F:F,'Supply planning data'!C290,'Shipments data'!A:A,'Supply planning data'!A290,'Shipments data'!O:O,"received",'Shipments data'!Q:Q,"&lt;"&amp;'Supply planning data'!D305,'Shipments data'!AC:AC,"&lt;"&amp;'Supply planning data'!D305)-SUMIFS(M:M,D:D,"&lt;="&amp;D290,C:C,C290)-SUMIFS(AA:AA,D:D,"&lt;="&amp;D290,C:C,C290)+SUMIFS(N:N,D:D,"&lt;="&amp;D290,C:C,C290)+SUMIFS(P:P,D:D,"&lt;="&amp;D290,C:C,C290)&lt;0,0,SUMIFS('Shipments data'!L:L,'Shipments data'!F:F,'Supply planning data'!C290,'Shipments data'!A:A,'Supply planning data'!A290,'Shipments data'!O:O,"received",'Shipments data'!Q:Q,"&lt;"&amp;'Supply planning data'!D305,'Shipments data'!AC:AC,"&lt;"&amp;'Supply planning data'!D305)-SUMIFS(M:M,D:D,"&lt;="&amp;D290,C:C,C290)-SUMIFS(AA:AA,D:D,"&lt;="&amp;D290,C:C,C290)+SUMIFS(N:N,D:D,"&lt;="&amp;D290,C:C,C290)+SUMIFS(P:P,D:D,"&lt;="&amp;D290,C:C,C290))</f>
        <v>0</v>
      </c>
      <c r="AD290" s="105">
        <f t="shared" si="100"/>
        <v>0</v>
      </c>
      <c r="AE290" s="105">
        <f t="shared" si="94"/>
        <v>394701</v>
      </c>
      <c r="AF290" s="206">
        <f t="shared" si="103"/>
        <v>4.9337625000000003</v>
      </c>
      <c r="AG290" s="105">
        <f t="shared" si="101"/>
        <v>0</v>
      </c>
      <c r="AH290" s="106"/>
      <c r="AI290" s="312"/>
      <c r="AJ290" s="105">
        <f t="shared" si="93"/>
        <v>0</v>
      </c>
      <c r="AK290" s="234"/>
      <c r="AL290" s="105">
        <f>IF(SUMIFS('Shipments data'!L:L,'Shipments data'!F:F,'Supply planning data'!C290,'Shipments data'!A:A,'Supply planning data'!A290,'Shipments data'!O:O,"received",'Shipments data'!Q:Q,"&lt;"&amp;'Supply planning data'!D305,'Shipments data'!AC:AC,"&lt;"&amp;'Supply planning data'!D305)-SUMIFS(M:M,D:D,"&lt;="&amp;D290,C:C,C290)-SUMIFS(AJ:AJ,D:D,"&lt;="&amp;D290,C:C,C290)+SUMIFS(N:N,D:D,"&lt;="&amp;D290,C:C,C290)+SUMIFS(P:P,D:D,"&lt;="&amp;D290,C:C,C290)&lt;0,0,SUMIFS('Shipments data'!L:L,'Shipments data'!F:F,'Supply planning data'!C290,'Shipments data'!A:A,'Supply planning data'!A290,'Shipments data'!O:O,"received",'Shipments data'!Q:Q,"&lt;"&amp;'Supply planning data'!D305,'Shipments data'!AC:AC,"&lt;"&amp;'Supply planning data'!D305)-SUMIFS(M:M,D:D,"&lt;="&amp;D290,C:C,C290)-SUMIFS(AJ:AJ,D:D,"&lt;="&amp;D290,C:C,C290)+SUMIFS(N:N,D:D,"&lt;="&amp;D290,C:C,C290)+SUMIFS(P:P,D:D,"&lt;="&amp;D290,C:C,C290))</f>
        <v>0</v>
      </c>
      <c r="AM290" s="105">
        <f t="shared" si="102"/>
        <v>0</v>
      </c>
      <c r="AN290" s="105">
        <f t="shared" si="95"/>
        <v>0</v>
      </c>
      <c r="AO290" s="206" t="str">
        <f t="shared" si="86"/>
        <v/>
      </c>
    </row>
    <row r="291" spans="1:41" x14ac:dyDescent="0.25">
      <c r="A291" s="103" t="str">
        <f>Start!D$7</f>
        <v>Anyland</v>
      </c>
      <c r="B291" s="109" t="str">
        <f>VLOOKUP(A291,list!B:C,2,FALSE)</f>
        <v>ANY</v>
      </c>
      <c r="C291" s="109" t="str">
        <f>IF(Start!$C$18="","",Start!$C$18)</f>
        <v>Jansen</v>
      </c>
      <c r="D291" s="298">
        <f t="shared" si="96"/>
        <v>44774</v>
      </c>
      <c r="E291" s="105" t="str">
        <f>IFERROR(VLOOKUP(C291,Start!C$15:D$31,2,FALSE),"No")</f>
        <v>Yes</v>
      </c>
      <c r="F291" s="105">
        <f t="shared" si="97"/>
        <v>2058747</v>
      </c>
      <c r="G291" s="106"/>
      <c r="H291" s="106"/>
      <c r="I291" s="106"/>
      <c r="J291" s="105">
        <f t="shared" si="89"/>
        <v>0</v>
      </c>
      <c r="K291" s="106"/>
      <c r="L291" s="177" t="str">
        <f t="shared" si="90"/>
        <v/>
      </c>
      <c r="M291" s="105">
        <f t="shared" si="91"/>
        <v>0</v>
      </c>
      <c r="N291" s="110"/>
      <c r="O291" s="124"/>
      <c r="P291" s="110"/>
      <c r="Q291" s="124"/>
      <c r="R291" s="111">
        <f>SUMIFS('Shipments data'!L:L,'Shipments data'!F:F,'Supply planning data'!C291,'Shipments data'!A:A,'Supply planning data'!A291,'Shipments data'!Y:Y,'Supply planning data'!D291,'Shipments data'!O:O,"received", 'Shipments data'!N:N, "Public")</f>
        <v>0</v>
      </c>
      <c r="S291" s="111">
        <f>SUMIFS('Shipments data'!L:L,'Shipments data'!F:F,'Supply planning data'!C291,'Shipments data'!A:A,'Supply planning data'!A291,'Shipments data'!Y:Y,'Supply planning data'!D291,'Shipments data'!O:O,"ordered", 'Shipments data'!N:N, "Public")</f>
        <v>0</v>
      </c>
      <c r="T291" s="111">
        <f>IF(SUMIFS('Shipments data'!L:L,'Shipments data'!F:F,'Supply planning data'!C291,'Shipments data'!A:A,'Supply planning data'!A291,'Shipments data'!O:O,"received",'Shipments data'!Q:Q,"&lt;"&amp;'Supply planning data'!D306,'Shipments data'!AC:AC,"&lt;"&amp;'Supply planning data'!D306)-SUMIFS(M:M,D:D,"&lt;="&amp;D291,C:C,C291)+SUMIFS(N:N,D:D,"&lt;="&amp;D291,C:C,C291)+SUMIFS(P:P,D:D,"&lt;="&amp;D291,C:C,C291)&lt;0,0,SUMIFS('Shipments data'!L:L,'Shipments data'!F:F,'Supply planning data'!C291,'Shipments data'!A:A,'Supply planning data'!A291,'Shipments data'!O:O,"received",'Shipments data'!Q:Q,"&lt;"&amp;'Supply planning data'!D306,'Shipments data'!AC:AC,"&lt;"&amp;'Supply planning data'!D306)-SUMIFS(M:M,D:D,"&lt;="&amp;D291,C:C,C291)+SUMIFS(N:N,D:D,"&lt;="&amp;D291,C:C,C291)+SUMIFS(P:P,D:D,"&lt;="&amp;D291,C:C,C291))</f>
        <v>0</v>
      </c>
      <c r="U291" s="112">
        <f t="shared" si="98"/>
        <v>0</v>
      </c>
      <c r="V291" s="111">
        <f t="shared" si="87"/>
        <v>2058747</v>
      </c>
      <c r="W291" s="204" t="str">
        <f t="shared" si="85"/>
        <v/>
      </c>
      <c r="X291" s="111">
        <f t="shared" si="99"/>
        <v>1818747</v>
      </c>
      <c r="Y291" s="110">
        <v>80000</v>
      </c>
      <c r="Z291" s="107"/>
      <c r="AA291" s="111">
        <f t="shared" si="92"/>
        <v>80000</v>
      </c>
      <c r="AB291" s="235"/>
      <c r="AC291" s="111">
        <f>IF(SUMIFS('Shipments data'!L:L,'Shipments data'!F:F,'Supply planning data'!C291,'Shipments data'!A:A,'Supply planning data'!A291,'Shipments data'!O:O,"received",'Shipments data'!Q:Q,"&lt;"&amp;'Supply planning data'!D306,'Shipments data'!AC:AC,"&lt;"&amp;'Supply planning data'!D306)-SUMIFS(M:M,D:D,"&lt;="&amp;D291,C:C,C291)-SUMIFS(AA:AA,D:D,"&lt;="&amp;D291,C:C,C291)+SUMIFS(N:N,D:D,"&lt;="&amp;D291,C:C,C291)+SUMIFS(P:P,D:D,"&lt;="&amp;D291,C:C,C291)&lt;0,0,SUMIFS('Shipments data'!L:L,'Shipments data'!F:F,'Supply planning data'!C291,'Shipments data'!A:A,'Supply planning data'!A291,'Shipments data'!O:O,"received",'Shipments data'!Q:Q,"&lt;"&amp;'Supply planning data'!D306,'Shipments data'!AC:AC,"&lt;"&amp;'Supply planning data'!D306)-SUMIFS(M:M,D:D,"&lt;="&amp;D291,C:C,C291)-SUMIFS(AA:AA,D:D,"&lt;="&amp;D291,C:C,C291)+SUMIFS(N:N,D:D,"&lt;="&amp;D291,C:C,C291)+SUMIFS(P:P,D:D,"&lt;="&amp;D291,C:C,C291))</f>
        <v>0</v>
      </c>
      <c r="AD291" s="111">
        <f t="shared" si="100"/>
        <v>0</v>
      </c>
      <c r="AE291" s="111">
        <f t="shared" si="94"/>
        <v>1738747</v>
      </c>
      <c r="AF291" s="204">
        <f t="shared" si="103"/>
        <v>21.734337499999999</v>
      </c>
      <c r="AG291" s="111">
        <f t="shared" si="101"/>
        <v>2058747</v>
      </c>
      <c r="AH291" s="110"/>
      <c r="AI291" s="313"/>
      <c r="AJ291" s="111">
        <f t="shared" si="93"/>
        <v>0</v>
      </c>
      <c r="AK291" s="235"/>
      <c r="AL291" s="111">
        <f>IF(SUMIFS('Shipments data'!L:L,'Shipments data'!F:F,'Supply planning data'!C291,'Shipments data'!A:A,'Supply planning data'!A291,'Shipments data'!O:O,"received",'Shipments data'!Q:Q,"&lt;"&amp;'Supply planning data'!D306,'Shipments data'!AC:AC,"&lt;"&amp;'Supply planning data'!D306)-SUMIFS(M:M,D:D,"&lt;="&amp;D291,C:C,C291)-SUMIFS(AJ:AJ,D:D,"&lt;="&amp;D291,C:C,C291)+SUMIFS(N:N,D:D,"&lt;="&amp;D291,C:C,C291)+SUMIFS(P:P,D:D,"&lt;="&amp;D291,C:C,C291)&lt;0,0,SUMIFS('Shipments data'!L:L,'Shipments data'!F:F,'Supply planning data'!C291,'Shipments data'!A:A,'Supply planning data'!A291,'Shipments data'!O:O,"received",'Shipments data'!Q:Q,"&lt;"&amp;'Supply planning data'!D306,'Shipments data'!AC:AC,"&lt;"&amp;'Supply planning data'!D306)-SUMIFS(M:M,D:D,"&lt;="&amp;D291,C:C,C291)-SUMIFS(AJ:AJ,D:D,"&lt;="&amp;D291,C:C,C291)+SUMIFS(N:N,D:D,"&lt;="&amp;D291,C:C,C291)+SUMIFS(P:P,D:D,"&lt;="&amp;D291,C:C,C291))</f>
        <v>0</v>
      </c>
      <c r="AM291" s="111">
        <f t="shared" si="102"/>
        <v>0</v>
      </c>
      <c r="AN291" s="111">
        <f t="shared" si="95"/>
        <v>2058747</v>
      </c>
      <c r="AO291" s="204" t="str">
        <f t="shared" si="86"/>
        <v/>
      </c>
    </row>
    <row r="292" spans="1:41" x14ac:dyDescent="0.25">
      <c r="A292" s="103" t="str">
        <f>Start!D$7</f>
        <v>Anyland</v>
      </c>
      <c r="B292" s="109" t="str">
        <f>VLOOKUP(A292,list!B:C,2,FALSE)</f>
        <v>ANY</v>
      </c>
      <c r="C292" s="104" t="str">
        <f>IF(Start!$C$19="","",Start!$C$19)</f>
        <v>Moderna</v>
      </c>
      <c r="D292" s="298">
        <f t="shared" si="96"/>
        <v>44774</v>
      </c>
      <c r="E292" s="105" t="str">
        <f>IFERROR(VLOOKUP(C292,Start!C$15:D$31,2,FALSE),"No")</f>
        <v>No</v>
      </c>
      <c r="F292" s="105">
        <f t="shared" si="97"/>
        <v>0</v>
      </c>
      <c r="G292" s="106"/>
      <c r="H292" s="106"/>
      <c r="I292" s="106"/>
      <c r="J292" s="105">
        <f t="shared" si="89"/>
        <v>0</v>
      </c>
      <c r="K292" s="106"/>
      <c r="L292" s="177" t="str">
        <f t="shared" si="90"/>
        <v/>
      </c>
      <c r="M292" s="105">
        <f t="shared" si="91"/>
        <v>0</v>
      </c>
      <c r="N292" s="110"/>
      <c r="O292" s="124"/>
      <c r="P292" s="110"/>
      <c r="Q292" s="124"/>
      <c r="R292" s="111">
        <f>SUMIFS('Shipments data'!L:L,'Shipments data'!F:F,'Supply planning data'!C292,'Shipments data'!A:A,'Supply planning data'!A292,'Shipments data'!Y:Y,'Supply planning data'!D292,'Shipments data'!O:O,"received", 'Shipments data'!N:N, "Public")</f>
        <v>0</v>
      </c>
      <c r="S292" s="111">
        <f>SUMIFS('Shipments data'!L:L,'Shipments data'!F:F,'Supply planning data'!C292,'Shipments data'!A:A,'Supply planning data'!A292,'Shipments data'!Y:Y,'Supply planning data'!D292,'Shipments data'!O:O,"ordered", 'Shipments data'!N:N, "Public")</f>
        <v>0</v>
      </c>
      <c r="T292" s="111">
        <f>IF(SUMIFS('Shipments data'!L:L,'Shipments data'!F:F,'Supply planning data'!C292,'Shipments data'!A:A,'Supply planning data'!A292,'Shipments data'!O:O,"received",'Shipments data'!Q:Q,"&lt;"&amp;'Supply planning data'!D307,'Shipments data'!AC:AC,"&lt;"&amp;'Supply planning data'!D307)-SUMIFS(M:M,D:D,"&lt;="&amp;D292,C:C,C292)+SUMIFS(N:N,D:D,"&lt;="&amp;D292,C:C,C292)+SUMIFS(P:P,D:D,"&lt;="&amp;D292,C:C,C292)&lt;0,0,SUMIFS('Shipments data'!L:L,'Shipments data'!F:F,'Supply planning data'!C292,'Shipments data'!A:A,'Supply planning data'!A292,'Shipments data'!O:O,"received",'Shipments data'!Q:Q,"&lt;"&amp;'Supply planning data'!D307,'Shipments data'!AC:AC,"&lt;"&amp;'Supply planning data'!D307)-SUMIFS(M:M,D:D,"&lt;="&amp;D292,C:C,C292)+SUMIFS(N:N,D:D,"&lt;="&amp;D292,C:C,C292)+SUMIFS(P:P,D:D,"&lt;="&amp;D292,C:C,C292))</f>
        <v>0</v>
      </c>
      <c r="U292" s="112">
        <f t="shared" si="98"/>
        <v>0</v>
      </c>
      <c r="V292" s="111">
        <f t="shared" si="87"/>
        <v>0</v>
      </c>
      <c r="W292" s="204" t="str">
        <f t="shared" ref="W292:W355" si="104">IF(M292&lt;=0,"",IFERROR(V292/(SUM(M292,M277,M262)/3),""))</f>
        <v/>
      </c>
      <c r="X292" s="111">
        <f t="shared" si="99"/>
        <v>0</v>
      </c>
      <c r="Y292" s="110">
        <v>80000</v>
      </c>
      <c r="Z292" s="107"/>
      <c r="AA292" s="111">
        <f t="shared" si="92"/>
        <v>80000</v>
      </c>
      <c r="AB292" s="235"/>
      <c r="AC292" s="111">
        <f>IF(SUMIFS('Shipments data'!L:L,'Shipments data'!F:F,'Supply planning data'!C292,'Shipments data'!A:A,'Supply planning data'!A292,'Shipments data'!O:O,"received",'Shipments data'!Q:Q,"&lt;"&amp;'Supply planning data'!D307,'Shipments data'!AC:AC,"&lt;"&amp;'Supply planning data'!D307)-SUMIFS(M:M,D:D,"&lt;="&amp;D292,C:C,C292)-SUMIFS(AA:AA,D:D,"&lt;="&amp;D292,C:C,C292)+SUMIFS(N:N,D:D,"&lt;="&amp;D292,C:C,C292)+SUMIFS(P:P,D:D,"&lt;="&amp;D292,C:C,C292)&lt;0,0,SUMIFS('Shipments data'!L:L,'Shipments data'!F:F,'Supply planning data'!C292,'Shipments data'!A:A,'Supply planning data'!A292,'Shipments data'!O:O,"received",'Shipments data'!Q:Q,"&lt;"&amp;'Supply planning data'!D307,'Shipments data'!AC:AC,"&lt;"&amp;'Supply planning data'!D307)-SUMIFS(M:M,D:D,"&lt;="&amp;D292,C:C,C292)-SUMIFS(AA:AA,D:D,"&lt;="&amp;D292,C:C,C292)+SUMIFS(N:N,D:D,"&lt;="&amp;D292,C:C,C292)+SUMIFS(P:P,D:D,"&lt;="&amp;D292,C:C,C292))</f>
        <v>0</v>
      </c>
      <c r="AD292" s="111">
        <f t="shared" si="100"/>
        <v>0</v>
      </c>
      <c r="AE292" s="111">
        <f t="shared" si="94"/>
        <v>0</v>
      </c>
      <c r="AF292" s="204">
        <f t="shared" si="103"/>
        <v>0</v>
      </c>
      <c r="AG292" s="111">
        <f t="shared" si="101"/>
        <v>0</v>
      </c>
      <c r="AH292" s="110"/>
      <c r="AI292" s="313"/>
      <c r="AJ292" s="111">
        <f t="shared" si="93"/>
        <v>0</v>
      </c>
      <c r="AK292" s="235"/>
      <c r="AL292" s="111">
        <f>IF(SUMIFS('Shipments data'!L:L,'Shipments data'!F:F,'Supply planning data'!C292,'Shipments data'!A:A,'Supply planning data'!A292,'Shipments data'!O:O,"received",'Shipments data'!Q:Q,"&lt;"&amp;'Supply planning data'!D307,'Shipments data'!AC:AC,"&lt;"&amp;'Supply planning data'!D307)-SUMIFS(M:M,D:D,"&lt;="&amp;D292,C:C,C292)-SUMIFS(AJ:AJ,D:D,"&lt;="&amp;D292,C:C,C292)+SUMIFS(N:N,D:D,"&lt;="&amp;D292,C:C,C292)+SUMIFS(P:P,D:D,"&lt;="&amp;D292,C:C,C292)&lt;0,0,SUMIFS('Shipments data'!L:L,'Shipments data'!F:F,'Supply planning data'!C292,'Shipments data'!A:A,'Supply planning data'!A292,'Shipments data'!O:O,"received",'Shipments data'!Q:Q,"&lt;"&amp;'Supply planning data'!D307,'Shipments data'!AC:AC,"&lt;"&amp;'Supply planning data'!D307)-SUMIFS(M:M,D:D,"&lt;="&amp;D292,C:C,C292)-SUMIFS(AJ:AJ,D:D,"&lt;="&amp;D292,C:C,C292)+SUMIFS(N:N,D:D,"&lt;="&amp;D292,C:C,C292)+SUMIFS(P:P,D:D,"&lt;="&amp;D292,C:C,C292))</f>
        <v>0</v>
      </c>
      <c r="AM292" s="111">
        <f t="shared" si="102"/>
        <v>0</v>
      </c>
      <c r="AN292" s="111">
        <f t="shared" si="95"/>
        <v>0</v>
      </c>
      <c r="AO292" s="204" t="str">
        <f t="shared" ref="AO292:AO355" si="105">IF(M292+AJ292&lt;=0,"",IFERROR(AN292/(SUM(M292,M322,M307,AJ292,AJ322,AJ307)/3),""))</f>
        <v/>
      </c>
    </row>
    <row r="293" spans="1:41" x14ac:dyDescent="0.25">
      <c r="A293" s="103" t="str">
        <f>Start!D$7</f>
        <v>Anyland</v>
      </c>
      <c r="B293" s="109" t="str">
        <f>VLOOKUP(A293,list!B:C,2,FALSE)</f>
        <v>ANY</v>
      </c>
      <c r="C293" s="109" t="str">
        <f>IF(Start!$C$20="","",Start!$C$20)</f>
        <v>Pfizer</v>
      </c>
      <c r="D293" s="298">
        <f t="shared" si="96"/>
        <v>44774</v>
      </c>
      <c r="E293" s="105" t="str">
        <f>IFERROR(VLOOKUP(C293,Start!C$15:D$31,2,FALSE),"No")</f>
        <v>Yes</v>
      </c>
      <c r="F293" s="105">
        <f t="shared" si="97"/>
        <v>2000000</v>
      </c>
      <c r="G293" s="106"/>
      <c r="H293" s="106"/>
      <c r="I293" s="106"/>
      <c r="J293" s="105">
        <f t="shared" si="89"/>
        <v>0</v>
      </c>
      <c r="K293" s="106"/>
      <c r="L293" s="177" t="str">
        <f t="shared" si="90"/>
        <v/>
      </c>
      <c r="M293" s="105">
        <f t="shared" si="91"/>
        <v>0</v>
      </c>
      <c r="N293" s="110"/>
      <c r="O293" s="124"/>
      <c r="P293" s="110"/>
      <c r="Q293" s="124"/>
      <c r="R293" s="111">
        <f>SUMIFS('Shipments data'!L:L,'Shipments data'!F:F,'Supply planning data'!C293,'Shipments data'!A:A,'Supply planning data'!A293,'Shipments data'!Y:Y,'Supply planning data'!D293,'Shipments data'!O:O,"received", 'Shipments data'!N:N, "Public")</f>
        <v>0</v>
      </c>
      <c r="S293" s="111">
        <f>SUMIFS('Shipments data'!L:L,'Shipments data'!F:F,'Supply planning data'!C293,'Shipments data'!A:A,'Supply planning data'!A293,'Shipments data'!Y:Y,'Supply planning data'!D293,'Shipments data'!O:O,"ordered", 'Shipments data'!N:N, "Public")</f>
        <v>1000000</v>
      </c>
      <c r="T293" s="111">
        <f>IF(SUMIFS('Shipments data'!L:L,'Shipments data'!F:F,'Supply planning data'!C293,'Shipments data'!A:A,'Supply planning data'!A293,'Shipments data'!O:O,"received",'Shipments data'!Q:Q,"&lt;"&amp;'Supply planning data'!D308,'Shipments data'!AC:AC,"&lt;"&amp;'Supply planning data'!D308)-SUMIFS(M:M,D:D,"&lt;="&amp;D293,C:C,C293)+SUMIFS(N:N,D:D,"&lt;="&amp;D293,C:C,C293)+SUMIFS(P:P,D:D,"&lt;="&amp;D293,C:C,C293)&lt;0,0,SUMIFS('Shipments data'!L:L,'Shipments data'!F:F,'Supply planning data'!C293,'Shipments data'!A:A,'Supply planning data'!A293,'Shipments data'!O:O,"received",'Shipments data'!Q:Q,"&lt;"&amp;'Supply planning data'!D308,'Shipments data'!AC:AC,"&lt;"&amp;'Supply planning data'!D308)-SUMIFS(M:M,D:D,"&lt;="&amp;D293,C:C,C293)+SUMIFS(N:N,D:D,"&lt;="&amp;D293,C:C,C293)+SUMIFS(P:P,D:D,"&lt;="&amp;D293,C:C,C293))</f>
        <v>110538</v>
      </c>
      <c r="U293" s="112">
        <f t="shared" si="98"/>
        <v>0</v>
      </c>
      <c r="V293" s="111">
        <f t="shared" si="87"/>
        <v>3000000</v>
      </c>
      <c r="W293" s="204" t="str">
        <f t="shared" si="104"/>
        <v/>
      </c>
      <c r="X293" s="111">
        <f t="shared" si="99"/>
        <v>1760000</v>
      </c>
      <c r="Y293" s="110">
        <v>80000</v>
      </c>
      <c r="Z293" s="107"/>
      <c r="AA293" s="111">
        <f t="shared" si="92"/>
        <v>80000</v>
      </c>
      <c r="AB293" s="235"/>
      <c r="AC293" s="111">
        <f>IF(SUMIFS('Shipments data'!L:L,'Shipments data'!F:F,'Supply planning data'!C293,'Shipments data'!A:A,'Supply planning data'!A293,'Shipments data'!O:O,"received",'Shipments data'!Q:Q,"&lt;"&amp;'Supply planning data'!D308,'Shipments data'!AC:AC,"&lt;"&amp;'Supply planning data'!D308)-SUMIFS(M:M,D:D,"&lt;="&amp;D293,C:C,C293)-SUMIFS(AA:AA,D:D,"&lt;="&amp;D293,C:C,C293)+SUMIFS(N:N,D:D,"&lt;="&amp;D293,C:C,C293)+SUMIFS(P:P,D:D,"&lt;="&amp;D293,C:C,C293)&lt;0,0,SUMIFS('Shipments data'!L:L,'Shipments data'!F:F,'Supply planning data'!C293,'Shipments data'!A:A,'Supply planning data'!A293,'Shipments data'!O:O,"received",'Shipments data'!Q:Q,"&lt;"&amp;'Supply planning data'!D308,'Shipments data'!AC:AC,"&lt;"&amp;'Supply planning data'!D308)-SUMIFS(M:M,D:D,"&lt;="&amp;D293,C:C,C293)-SUMIFS(AA:AA,D:D,"&lt;="&amp;D293,C:C,C293)+SUMIFS(N:N,D:D,"&lt;="&amp;D293,C:C,C293)+SUMIFS(P:P,D:D,"&lt;="&amp;D293,C:C,C293))</f>
        <v>0</v>
      </c>
      <c r="AD293" s="111">
        <f t="shared" si="100"/>
        <v>0</v>
      </c>
      <c r="AE293" s="111">
        <f t="shared" si="94"/>
        <v>2680000</v>
      </c>
      <c r="AF293" s="204">
        <f t="shared" si="103"/>
        <v>33.5</v>
      </c>
      <c r="AG293" s="111">
        <f t="shared" si="101"/>
        <v>2000000</v>
      </c>
      <c r="AH293" s="110"/>
      <c r="AI293" s="313"/>
      <c r="AJ293" s="111">
        <f t="shared" si="93"/>
        <v>0</v>
      </c>
      <c r="AK293" s="235"/>
      <c r="AL293" s="111">
        <f>IF(SUMIFS('Shipments data'!L:L,'Shipments data'!F:F,'Supply planning data'!C293,'Shipments data'!A:A,'Supply planning data'!A293,'Shipments data'!O:O,"received",'Shipments data'!Q:Q,"&lt;"&amp;'Supply planning data'!D308,'Shipments data'!AC:AC,"&lt;"&amp;'Supply planning data'!D308)-SUMIFS(M:M,D:D,"&lt;="&amp;D293,C:C,C293)-SUMIFS(AJ:AJ,D:D,"&lt;="&amp;D293,C:C,C293)+SUMIFS(N:N,D:D,"&lt;="&amp;D293,C:C,C293)+SUMIFS(P:P,D:D,"&lt;="&amp;D293,C:C,C293)&lt;0,0,SUMIFS('Shipments data'!L:L,'Shipments data'!F:F,'Supply planning data'!C293,'Shipments data'!A:A,'Supply planning data'!A293,'Shipments data'!O:O,"received",'Shipments data'!Q:Q,"&lt;"&amp;'Supply planning data'!D308,'Shipments data'!AC:AC,"&lt;"&amp;'Supply planning data'!D308)-SUMIFS(M:M,D:D,"&lt;="&amp;D293,C:C,C293)-SUMIFS(AJ:AJ,D:D,"&lt;="&amp;D293,C:C,C293)+SUMIFS(N:N,D:D,"&lt;="&amp;D293,C:C,C293)+SUMIFS(P:P,D:D,"&lt;="&amp;D293,C:C,C293))</f>
        <v>110538</v>
      </c>
      <c r="AM293" s="111">
        <f t="shared" si="102"/>
        <v>0</v>
      </c>
      <c r="AN293" s="111">
        <f t="shared" si="95"/>
        <v>3000000</v>
      </c>
      <c r="AO293" s="204" t="str">
        <f t="shared" si="105"/>
        <v/>
      </c>
    </row>
    <row r="294" spans="1:41" x14ac:dyDescent="0.25">
      <c r="A294" s="103" t="str">
        <f>Start!D$7</f>
        <v>Anyland</v>
      </c>
      <c r="B294" s="109" t="str">
        <f>VLOOKUP(A294,list!B:C,2,FALSE)</f>
        <v>ANY</v>
      </c>
      <c r="C294" s="104" t="str">
        <f>IF(Start!$C$21="","",Start!$C$21)</f>
        <v>Sinovac</v>
      </c>
      <c r="D294" s="298">
        <f t="shared" si="96"/>
        <v>44774</v>
      </c>
      <c r="E294" s="105" t="str">
        <f>IFERROR(VLOOKUP(C294,Start!C$15:D$31,2,FALSE),"No")</f>
        <v>No</v>
      </c>
      <c r="F294" s="105">
        <f t="shared" si="97"/>
        <v>0</v>
      </c>
      <c r="G294" s="106"/>
      <c r="H294" s="106"/>
      <c r="I294" s="106"/>
      <c r="J294" s="105">
        <f t="shared" si="89"/>
        <v>0</v>
      </c>
      <c r="K294" s="106"/>
      <c r="L294" s="177" t="str">
        <f t="shared" si="90"/>
        <v/>
      </c>
      <c r="M294" s="105">
        <f t="shared" si="91"/>
        <v>0</v>
      </c>
      <c r="N294" s="110"/>
      <c r="O294" s="124"/>
      <c r="P294" s="110"/>
      <c r="Q294" s="124"/>
      <c r="R294" s="111">
        <f>SUMIFS('Shipments data'!L:L,'Shipments data'!F:F,'Supply planning data'!C294,'Shipments data'!A:A,'Supply planning data'!A294,'Shipments data'!Y:Y,'Supply planning data'!D294,'Shipments data'!O:O,"received", 'Shipments data'!N:N, "Public")</f>
        <v>0</v>
      </c>
      <c r="S294" s="111">
        <f>SUMIFS('Shipments data'!L:L,'Shipments data'!F:F,'Supply planning data'!C294,'Shipments data'!A:A,'Supply planning data'!A294,'Shipments data'!Y:Y,'Supply planning data'!D294,'Shipments data'!O:O,"ordered", 'Shipments data'!N:N, "Public")</f>
        <v>0</v>
      </c>
      <c r="T294" s="111">
        <f>IF(SUMIFS('Shipments data'!L:L,'Shipments data'!F:F,'Supply planning data'!C294,'Shipments data'!A:A,'Supply planning data'!A294,'Shipments data'!O:O,"received",'Shipments data'!Q:Q,"&lt;"&amp;'Supply planning data'!D309,'Shipments data'!AC:AC,"&lt;"&amp;'Supply planning data'!D309)-SUMIFS(M:M,D:D,"&lt;="&amp;D294,C:C,C294)+SUMIFS(N:N,D:D,"&lt;="&amp;D294,C:C,C294)+SUMIFS(P:P,D:D,"&lt;="&amp;D294,C:C,C294)&lt;0,0,SUMIFS('Shipments data'!L:L,'Shipments data'!F:F,'Supply planning data'!C294,'Shipments data'!A:A,'Supply planning data'!A294,'Shipments data'!O:O,"received",'Shipments data'!Q:Q,"&lt;"&amp;'Supply planning data'!D309,'Shipments data'!AC:AC,"&lt;"&amp;'Supply planning data'!D309)-SUMIFS(M:M,D:D,"&lt;="&amp;D294,C:C,C294)+SUMIFS(N:N,D:D,"&lt;="&amp;D294,C:C,C294)+SUMIFS(P:P,D:D,"&lt;="&amp;D294,C:C,C294))</f>
        <v>0</v>
      </c>
      <c r="U294" s="112">
        <f t="shared" si="98"/>
        <v>0</v>
      </c>
      <c r="V294" s="111">
        <f t="shared" si="87"/>
        <v>0</v>
      </c>
      <c r="W294" s="204" t="str">
        <f t="shared" si="104"/>
        <v/>
      </c>
      <c r="X294" s="111">
        <f t="shared" si="99"/>
        <v>0</v>
      </c>
      <c r="Y294" s="110">
        <v>80000</v>
      </c>
      <c r="Z294" s="107"/>
      <c r="AA294" s="111">
        <f t="shared" si="92"/>
        <v>80000</v>
      </c>
      <c r="AB294" s="235"/>
      <c r="AC294" s="111">
        <f>IF(SUMIFS('Shipments data'!L:L,'Shipments data'!F:F,'Supply planning data'!C294,'Shipments data'!A:A,'Supply planning data'!A294,'Shipments data'!O:O,"received",'Shipments data'!Q:Q,"&lt;"&amp;'Supply planning data'!D309,'Shipments data'!AC:AC,"&lt;"&amp;'Supply planning data'!D309)-SUMIFS(M:M,D:D,"&lt;="&amp;D294,C:C,C294)-SUMIFS(AA:AA,D:D,"&lt;="&amp;D294,C:C,C294)+SUMIFS(N:N,D:D,"&lt;="&amp;D294,C:C,C294)+SUMIFS(P:P,D:D,"&lt;="&amp;D294,C:C,C294)&lt;0,0,SUMIFS('Shipments data'!L:L,'Shipments data'!F:F,'Supply planning data'!C294,'Shipments data'!A:A,'Supply planning data'!A294,'Shipments data'!O:O,"received",'Shipments data'!Q:Q,"&lt;"&amp;'Supply planning data'!D309,'Shipments data'!AC:AC,"&lt;"&amp;'Supply planning data'!D309)-SUMIFS(M:M,D:D,"&lt;="&amp;D294,C:C,C294)-SUMIFS(AA:AA,D:D,"&lt;="&amp;D294,C:C,C294)+SUMIFS(N:N,D:D,"&lt;="&amp;D294,C:C,C294)+SUMIFS(P:P,D:D,"&lt;="&amp;D294,C:C,C294))</f>
        <v>0</v>
      </c>
      <c r="AD294" s="111">
        <f t="shared" si="100"/>
        <v>0</v>
      </c>
      <c r="AE294" s="111">
        <f t="shared" si="94"/>
        <v>0</v>
      </c>
      <c r="AF294" s="204">
        <f t="shared" si="103"/>
        <v>0</v>
      </c>
      <c r="AG294" s="111">
        <f t="shared" si="101"/>
        <v>0</v>
      </c>
      <c r="AH294" s="110"/>
      <c r="AI294" s="313"/>
      <c r="AJ294" s="111">
        <f t="shared" si="93"/>
        <v>0</v>
      </c>
      <c r="AK294" s="235"/>
      <c r="AL294" s="111">
        <f>IF(SUMIFS('Shipments data'!L:L,'Shipments data'!F:F,'Supply planning data'!C294,'Shipments data'!A:A,'Supply planning data'!A294,'Shipments data'!O:O,"received",'Shipments data'!Q:Q,"&lt;"&amp;'Supply planning data'!D309,'Shipments data'!AC:AC,"&lt;"&amp;'Supply planning data'!D309)-SUMIFS(M:M,D:D,"&lt;="&amp;D294,C:C,C294)-SUMIFS(AJ:AJ,D:D,"&lt;="&amp;D294,C:C,C294)+SUMIFS(N:N,D:D,"&lt;="&amp;D294,C:C,C294)+SUMIFS(P:P,D:D,"&lt;="&amp;D294,C:C,C294)&lt;0,0,SUMIFS('Shipments data'!L:L,'Shipments data'!F:F,'Supply planning data'!C294,'Shipments data'!A:A,'Supply planning data'!A294,'Shipments data'!O:O,"received",'Shipments data'!Q:Q,"&lt;"&amp;'Supply planning data'!D309,'Shipments data'!AC:AC,"&lt;"&amp;'Supply planning data'!D309)-SUMIFS(M:M,D:D,"&lt;="&amp;D294,C:C,C294)-SUMIFS(AJ:AJ,D:D,"&lt;="&amp;D294,C:C,C294)+SUMIFS(N:N,D:D,"&lt;="&amp;D294,C:C,C294)+SUMIFS(P:P,D:D,"&lt;="&amp;D294,C:C,C294))</f>
        <v>0</v>
      </c>
      <c r="AM294" s="111">
        <f t="shared" si="102"/>
        <v>0</v>
      </c>
      <c r="AN294" s="111">
        <f t="shared" si="95"/>
        <v>0</v>
      </c>
      <c r="AO294" s="204" t="str">
        <f t="shared" si="105"/>
        <v/>
      </c>
    </row>
    <row r="295" spans="1:41" hidden="1" x14ac:dyDescent="0.25">
      <c r="A295" s="103" t="str">
        <f>Start!D$7</f>
        <v>Anyland</v>
      </c>
      <c r="B295" s="109" t="str">
        <f>VLOOKUP(A295,list!B:C,2,FALSE)</f>
        <v>ANY</v>
      </c>
      <c r="C295" s="109" t="str">
        <f>IF(Start!$C$22="","",Start!$C$22)</f>
        <v/>
      </c>
      <c r="D295" s="298">
        <f t="shared" si="96"/>
        <v>44774</v>
      </c>
      <c r="E295" s="105" t="str">
        <f>IFERROR(VLOOKUP(C295,Start!C$15:D$31,2,FALSE),"No")</f>
        <v>No</v>
      </c>
      <c r="F295" s="105">
        <f t="shared" si="97"/>
        <v>0</v>
      </c>
      <c r="G295" s="106"/>
      <c r="H295" s="106"/>
      <c r="I295" s="106"/>
      <c r="J295" s="105">
        <f t="shared" si="89"/>
        <v>0</v>
      </c>
      <c r="K295" s="106"/>
      <c r="L295" s="177" t="str">
        <f t="shared" si="90"/>
        <v/>
      </c>
      <c r="M295" s="105">
        <f t="shared" si="91"/>
        <v>0</v>
      </c>
      <c r="N295" s="110"/>
      <c r="O295" s="124"/>
      <c r="P295" s="110"/>
      <c r="Q295" s="124"/>
      <c r="R295" s="111">
        <f>SUMIFS('Shipments data'!L:L,'Shipments data'!F:F,'Supply planning data'!C295,'Shipments data'!A:A,'Supply planning data'!A295,'Shipments data'!Y:Y,'Supply planning data'!D295,'Shipments data'!O:O,"received", 'Shipments data'!N:N, "Public")</f>
        <v>0</v>
      </c>
      <c r="S295" s="111">
        <f>SUMIFS('Shipments data'!L:L,'Shipments data'!F:F,'Supply planning data'!C295,'Shipments data'!A:A,'Supply planning data'!A295,'Shipments data'!Y:Y,'Supply planning data'!D295,'Shipments data'!O:O,"ordered", 'Shipments data'!N:N, "Public")</f>
        <v>0</v>
      </c>
      <c r="T295" s="111">
        <f>IF(SUMIFS('Shipments data'!L:L,'Shipments data'!F:F,'Supply planning data'!C295,'Shipments data'!A:A,'Supply planning data'!A295,'Shipments data'!O:O,"received",'Shipments data'!Q:Q,"&lt;"&amp;'Supply planning data'!D310,'Shipments data'!AC:AC,"&lt;"&amp;'Supply planning data'!D310)-SUMIFS(M:M,D:D,"&lt;="&amp;D295,C:C,C295)+SUMIFS(N:N,D:D,"&lt;="&amp;D295,C:C,C295)+SUMIFS(P:P,D:D,"&lt;="&amp;D295,C:C,C295)&lt;0,0,SUMIFS('Shipments data'!L:L,'Shipments data'!F:F,'Supply planning data'!C295,'Shipments data'!A:A,'Supply planning data'!A295,'Shipments data'!O:O,"received",'Shipments data'!Q:Q,"&lt;"&amp;'Supply planning data'!D310,'Shipments data'!AC:AC,"&lt;"&amp;'Supply planning data'!D310)-SUMIFS(M:M,D:D,"&lt;="&amp;D295,C:C,C295)+SUMIFS(N:N,D:D,"&lt;="&amp;D295,C:C,C295)+SUMIFS(P:P,D:D,"&lt;="&amp;D295,C:C,C295))</f>
        <v>0</v>
      </c>
      <c r="U295" s="112">
        <f t="shared" si="98"/>
        <v>0</v>
      </c>
      <c r="V295" s="111">
        <f t="shared" si="87"/>
        <v>0</v>
      </c>
      <c r="W295" s="204" t="str">
        <f t="shared" si="104"/>
        <v/>
      </c>
      <c r="X295" s="111">
        <f t="shared" si="99"/>
        <v>0</v>
      </c>
      <c r="Y295" s="110"/>
      <c r="Z295" s="107"/>
      <c r="AA295" s="111">
        <f t="shared" si="92"/>
        <v>0</v>
      </c>
      <c r="AB295" s="235"/>
      <c r="AC295" s="111">
        <f>IF(SUMIFS('Shipments data'!L:L,'Shipments data'!F:F,'Supply planning data'!C295,'Shipments data'!A:A,'Supply planning data'!A295,'Shipments data'!O:O,"received",'Shipments data'!Q:Q,"&lt;"&amp;'Supply planning data'!D310,'Shipments data'!AC:AC,"&lt;"&amp;'Supply planning data'!D310)-SUMIFS(M:M,D:D,"&lt;="&amp;D295,C:C,C295)-SUMIFS(AA:AA,D:D,"&lt;="&amp;D295,C:C,C295)+SUMIFS(N:N,D:D,"&lt;="&amp;D295,C:C,C295)+SUMIFS(P:P,D:D,"&lt;="&amp;D295,C:C,C295)&lt;0,0,SUMIFS('Shipments data'!L:L,'Shipments data'!F:F,'Supply planning data'!C295,'Shipments data'!A:A,'Supply planning data'!A295,'Shipments data'!O:O,"received",'Shipments data'!Q:Q,"&lt;"&amp;'Supply planning data'!D310,'Shipments data'!AC:AC,"&lt;"&amp;'Supply planning data'!D310)-SUMIFS(M:M,D:D,"&lt;="&amp;D295,C:C,C295)-SUMIFS(AA:AA,D:D,"&lt;="&amp;D295,C:C,C295)+SUMIFS(N:N,D:D,"&lt;="&amp;D295,C:C,C295)+SUMIFS(P:P,D:D,"&lt;="&amp;D295,C:C,C295))</f>
        <v>0</v>
      </c>
      <c r="AD295" s="111">
        <f t="shared" si="100"/>
        <v>0</v>
      </c>
      <c r="AE295" s="111">
        <f t="shared" si="94"/>
        <v>0</v>
      </c>
      <c r="AF295" s="204" t="str">
        <f t="shared" si="103"/>
        <v/>
      </c>
      <c r="AG295" s="111">
        <f t="shared" si="101"/>
        <v>0</v>
      </c>
      <c r="AH295" s="110"/>
      <c r="AI295" s="313"/>
      <c r="AJ295" s="111">
        <f t="shared" si="93"/>
        <v>0</v>
      </c>
      <c r="AK295" s="235"/>
      <c r="AL295" s="111">
        <f>IF(SUMIFS('Shipments data'!L:L,'Shipments data'!F:F,'Supply planning data'!C295,'Shipments data'!A:A,'Supply planning data'!A295,'Shipments data'!O:O,"received",'Shipments data'!Q:Q,"&lt;"&amp;'Supply planning data'!D310,'Shipments data'!AC:AC,"&lt;"&amp;'Supply planning data'!D310)-SUMIFS(M:M,D:D,"&lt;="&amp;D295,C:C,C295)-SUMIFS(AJ:AJ,D:D,"&lt;="&amp;D295,C:C,C295)+SUMIFS(N:N,D:D,"&lt;="&amp;D295,C:C,C295)+SUMIFS(P:P,D:D,"&lt;="&amp;D295,C:C,C295)&lt;0,0,SUMIFS('Shipments data'!L:L,'Shipments data'!F:F,'Supply planning data'!C295,'Shipments data'!A:A,'Supply planning data'!A295,'Shipments data'!O:O,"received",'Shipments data'!Q:Q,"&lt;"&amp;'Supply planning data'!D310,'Shipments data'!AC:AC,"&lt;"&amp;'Supply planning data'!D310)-SUMIFS(M:M,D:D,"&lt;="&amp;D295,C:C,C295)-SUMIFS(AJ:AJ,D:D,"&lt;="&amp;D295,C:C,C295)+SUMIFS(N:N,D:D,"&lt;="&amp;D295,C:C,C295)+SUMIFS(P:P,D:D,"&lt;="&amp;D295,C:C,C295))</f>
        <v>0</v>
      </c>
      <c r="AM295" s="111">
        <f t="shared" si="102"/>
        <v>0</v>
      </c>
      <c r="AN295" s="111">
        <f t="shared" si="95"/>
        <v>0</v>
      </c>
      <c r="AO295" s="204" t="str">
        <f t="shared" si="105"/>
        <v/>
      </c>
    </row>
    <row r="296" spans="1:41" hidden="1" x14ac:dyDescent="0.25">
      <c r="A296" s="103" t="str">
        <f>Start!D$7</f>
        <v>Anyland</v>
      </c>
      <c r="B296" s="109" t="str">
        <f>VLOOKUP(A296,list!B:C,2,FALSE)</f>
        <v>ANY</v>
      </c>
      <c r="C296" s="104" t="str">
        <f>IF(Start!$C$23="","",Start!$C$23)</f>
        <v/>
      </c>
      <c r="D296" s="298">
        <f t="shared" si="96"/>
        <v>44774</v>
      </c>
      <c r="E296" s="105" t="str">
        <f>IFERROR(VLOOKUP(C296,Start!C$15:D$31,2,FALSE),"No")</f>
        <v>No</v>
      </c>
      <c r="F296" s="105">
        <f t="shared" si="97"/>
        <v>0</v>
      </c>
      <c r="G296" s="106"/>
      <c r="H296" s="106"/>
      <c r="I296" s="106"/>
      <c r="J296" s="105">
        <f t="shared" si="89"/>
        <v>0</v>
      </c>
      <c r="K296" s="106"/>
      <c r="L296" s="177" t="str">
        <f t="shared" si="90"/>
        <v/>
      </c>
      <c r="M296" s="105">
        <f t="shared" si="91"/>
        <v>0</v>
      </c>
      <c r="N296" s="110"/>
      <c r="O296" s="124"/>
      <c r="P296" s="110"/>
      <c r="Q296" s="124"/>
      <c r="R296" s="111">
        <f>SUMIFS('Shipments data'!L:L,'Shipments data'!F:F,'Supply planning data'!C296,'Shipments data'!A:A,'Supply planning data'!A296,'Shipments data'!Y:Y,'Supply planning data'!D296,'Shipments data'!O:O,"received", 'Shipments data'!N:N, "Public")</f>
        <v>0</v>
      </c>
      <c r="S296" s="111">
        <f>SUMIFS('Shipments data'!L:L,'Shipments data'!F:F,'Supply planning data'!C296,'Shipments data'!A:A,'Supply planning data'!A296,'Shipments data'!Y:Y,'Supply planning data'!D296,'Shipments data'!O:O,"ordered", 'Shipments data'!N:N, "Public")</f>
        <v>0</v>
      </c>
      <c r="T296" s="111">
        <f>IF(SUMIFS('Shipments data'!L:L,'Shipments data'!F:F,'Supply planning data'!C296,'Shipments data'!A:A,'Supply planning data'!A296,'Shipments data'!O:O,"received",'Shipments data'!Q:Q,"&lt;"&amp;'Supply planning data'!D311,'Shipments data'!AC:AC,"&lt;"&amp;'Supply planning data'!D311)-SUMIFS(M:M,D:D,"&lt;="&amp;D296,C:C,C296)+SUMIFS(N:N,D:D,"&lt;="&amp;D296,C:C,C296)+SUMIFS(P:P,D:D,"&lt;="&amp;D296,C:C,C296)&lt;0,0,SUMIFS('Shipments data'!L:L,'Shipments data'!F:F,'Supply planning data'!C296,'Shipments data'!A:A,'Supply planning data'!A296,'Shipments data'!O:O,"received",'Shipments data'!Q:Q,"&lt;"&amp;'Supply planning data'!D311,'Shipments data'!AC:AC,"&lt;"&amp;'Supply planning data'!D311)-SUMIFS(M:M,D:D,"&lt;="&amp;D296,C:C,C296)+SUMIFS(N:N,D:D,"&lt;="&amp;D296,C:C,C296)+SUMIFS(P:P,D:D,"&lt;="&amp;D296,C:C,C296))</f>
        <v>0</v>
      </c>
      <c r="U296" s="112">
        <f t="shared" si="98"/>
        <v>0</v>
      </c>
      <c r="V296" s="111">
        <f t="shared" si="87"/>
        <v>0</v>
      </c>
      <c r="W296" s="204" t="str">
        <f t="shared" si="104"/>
        <v/>
      </c>
      <c r="X296" s="111">
        <f t="shared" si="99"/>
        <v>0</v>
      </c>
      <c r="Y296" s="110"/>
      <c r="Z296" s="107"/>
      <c r="AA296" s="111">
        <f t="shared" si="92"/>
        <v>0</v>
      </c>
      <c r="AB296" s="235"/>
      <c r="AC296" s="111">
        <f>IF(SUMIFS('Shipments data'!L:L,'Shipments data'!F:F,'Supply planning data'!C296,'Shipments data'!A:A,'Supply planning data'!A296,'Shipments data'!O:O,"received",'Shipments data'!Q:Q,"&lt;"&amp;'Supply planning data'!D311,'Shipments data'!AC:AC,"&lt;"&amp;'Supply planning data'!D311)-SUMIFS(M:M,D:D,"&lt;="&amp;D296,C:C,C296)-SUMIFS(AA:AA,D:D,"&lt;="&amp;D296,C:C,C296)+SUMIFS(N:N,D:D,"&lt;="&amp;D296,C:C,C296)+SUMIFS(P:P,D:D,"&lt;="&amp;D296,C:C,C296)&lt;0,0,SUMIFS('Shipments data'!L:L,'Shipments data'!F:F,'Supply planning data'!C296,'Shipments data'!A:A,'Supply planning data'!A296,'Shipments data'!O:O,"received",'Shipments data'!Q:Q,"&lt;"&amp;'Supply planning data'!D311,'Shipments data'!AC:AC,"&lt;"&amp;'Supply planning data'!D311)-SUMIFS(M:M,D:D,"&lt;="&amp;D296,C:C,C296)-SUMIFS(AA:AA,D:D,"&lt;="&amp;D296,C:C,C296)+SUMIFS(N:N,D:D,"&lt;="&amp;D296,C:C,C296)+SUMIFS(P:P,D:D,"&lt;="&amp;D296,C:C,C296))</f>
        <v>0</v>
      </c>
      <c r="AD296" s="111">
        <f t="shared" si="100"/>
        <v>0</v>
      </c>
      <c r="AE296" s="111">
        <f t="shared" si="94"/>
        <v>0</v>
      </c>
      <c r="AF296" s="204" t="str">
        <f t="shared" si="103"/>
        <v/>
      </c>
      <c r="AG296" s="111">
        <f t="shared" si="101"/>
        <v>0</v>
      </c>
      <c r="AH296" s="110"/>
      <c r="AI296" s="313"/>
      <c r="AJ296" s="111">
        <f t="shared" si="93"/>
        <v>0</v>
      </c>
      <c r="AK296" s="235"/>
      <c r="AL296" s="111">
        <f>IF(SUMIFS('Shipments data'!L:L,'Shipments data'!F:F,'Supply planning data'!C296,'Shipments data'!A:A,'Supply planning data'!A296,'Shipments data'!O:O,"received",'Shipments data'!Q:Q,"&lt;"&amp;'Supply planning data'!D311,'Shipments data'!AC:AC,"&lt;"&amp;'Supply planning data'!D311)-SUMIFS(M:M,D:D,"&lt;="&amp;D296,C:C,C296)-SUMIFS(AJ:AJ,D:D,"&lt;="&amp;D296,C:C,C296)+SUMIFS(N:N,D:D,"&lt;="&amp;D296,C:C,C296)+SUMIFS(P:P,D:D,"&lt;="&amp;D296,C:C,C296)&lt;0,0,SUMIFS('Shipments data'!L:L,'Shipments data'!F:F,'Supply planning data'!C296,'Shipments data'!A:A,'Supply planning data'!A296,'Shipments data'!O:O,"received",'Shipments data'!Q:Q,"&lt;"&amp;'Supply planning data'!D311,'Shipments data'!AC:AC,"&lt;"&amp;'Supply planning data'!D311)-SUMIFS(M:M,D:D,"&lt;="&amp;D296,C:C,C296)-SUMIFS(AJ:AJ,D:D,"&lt;="&amp;D296,C:C,C296)+SUMIFS(N:N,D:D,"&lt;="&amp;D296,C:C,C296)+SUMIFS(P:P,D:D,"&lt;="&amp;D296,C:C,C296))</f>
        <v>0</v>
      </c>
      <c r="AM296" s="111">
        <f t="shared" si="102"/>
        <v>0</v>
      </c>
      <c r="AN296" s="111">
        <f t="shared" si="95"/>
        <v>0</v>
      </c>
      <c r="AO296" s="204" t="str">
        <f t="shared" si="105"/>
        <v/>
      </c>
    </row>
    <row r="297" spans="1:41" hidden="1" x14ac:dyDescent="0.25">
      <c r="A297" s="103" t="str">
        <f>Start!D$7</f>
        <v>Anyland</v>
      </c>
      <c r="B297" s="109" t="str">
        <f>VLOOKUP(A297,list!B:C,2,FALSE)</f>
        <v>ANY</v>
      </c>
      <c r="C297" s="109" t="str">
        <f>IF(Start!$C$24="","",Start!$C$24)</f>
        <v/>
      </c>
      <c r="D297" s="298">
        <f t="shared" si="96"/>
        <v>44774</v>
      </c>
      <c r="E297" s="105" t="str">
        <f>IFERROR(VLOOKUP(C297,Start!C$15:D$31,2,FALSE),"No")</f>
        <v>No</v>
      </c>
      <c r="F297" s="105">
        <f t="shared" si="97"/>
        <v>0</v>
      </c>
      <c r="G297" s="106"/>
      <c r="H297" s="106"/>
      <c r="I297" s="106"/>
      <c r="J297" s="105">
        <f t="shared" si="89"/>
        <v>0</v>
      </c>
      <c r="K297" s="106"/>
      <c r="L297" s="177" t="str">
        <f t="shared" si="90"/>
        <v/>
      </c>
      <c r="M297" s="105">
        <f t="shared" si="91"/>
        <v>0</v>
      </c>
      <c r="N297" s="110"/>
      <c r="O297" s="124"/>
      <c r="P297" s="110"/>
      <c r="Q297" s="124"/>
      <c r="R297" s="111">
        <f>SUMIFS('Shipments data'!L:L,'Shipments data'!F:F,'Supply planning data'!C297,'Shipments data'!A:A,'Supply planning data'!A297,'Shipments data'!Y:Y,'Supply planning data'!D297,'Shipments data'!O:O,"received", 'Shipments data'!N:N, "Public")</f>
        <v>0</v>
      </c>
      <c r="S297" s="111">
        <f>SUMIFS('Shipments data'!L:L,'Shipments data'!F:F,'Supply planning data'!C297,'Shipments data'!A:A,'Supply planning data'!A297,'Shipments data'!Y:Y,'Supply planning data'!D297,'Shipments data'!O:O,"ordered", 'Shipments data'!N:N, "Public")</f>
        <v>0</v>
      </c>
      <c r="T297" s="111">
        <f>IF(SUMIFS('Shipments data'!L:L,'Shipments data'!F:F,'Supply planning data'!C297,'Shipments data'!A:A,'Supply planning data'!A297,'Shipments data'!O:O,"received",'Shipments data'!Q:Q,"&lt;"&amp;'Supply planning data'!D312,'Shipments data'!AC:AC,"&lt;"&amp;'Supply planning data'!D312)-SUMIFS(M:M,D:D,"&lt;="&amp;D297,C:C,C297)+SUMIFS(N:N,D:D,"&lt;="&amp;D297,C:C,C297)+SUMIFS(P:P,D:D,"&lt;="&amp;D297,C:C,C297)&lt;0,0,SUMIFS('Shipments data'!L:L,'Shipments data'!F:F,'Supply planning data'!C297,'Shipments data'!A:A,'Supply planning data'!A297,'Shipments data'!O:O,"received",'Shipments data'!Q:Q,"&lt;"&amp;'Supply planning data'!D312,'Shipments data'!AC:AC,"&lt;"&amp;'Supply planning data'!D312)-SUMIFS(M:M,D:D,"&lt;="&amp;D297,C:C,C297)+SUMIFS(N:N,D:D,"&lt;="&amp;D297,C:C,C297)+SUMIFS(P:P,D:D,"&lt;="&amp;D297,C:C,C297))</f>
        <v>0</v>
      </c>
      <c r="U297" s="112">
        <f t="shared" si="98"/>
        <v>0</v>
      </c>
      <c r="V297" s="111">
        <f t="shared" si="87"/>
        <v>0</v>
      </c>
      <c r="W297" s="204" t="str">
        <f t="shared" si="104"/>
        <v/>
      </c>
      <c r="X297" s="111">
        <f t="shared" si="99"/>
        <v>0</v>
      </c>
      <c r="Y297" s="110"/>
      <c r="Z297" s="107"/>
      <c r="AA297" s="111">
        <f t="shared" si="92"/>
        <v>0</v>
      </c>
      <c r="AB297" s="235"/>
      <c r="AC297" s="111">
        <f>IF(SUMIFS('Shipments data'!L:L,'Shipments data'!F:F,'Supply planning data'!C297,'Shipments data'!A:A,'Supply planning data'!A297,'Shipments data'!O:O,"received",'Shipments data'!Q:Q,"&lt;"&amp;'Supply planning data'!D312,'Shipments data'!AC:AC,"&lt;"&amp;'Supply planning data'!D312)-SUMIFS(M:M,D:D,"&lt;="&amp;D297,C:C,C297)-SUMIFS(AA:AA,D:D,"&lt;="&amp;D297,C:C,C297)+SUMIFS(N:N,D:D,"&lt;="&amp;D297,C:C,C297)+SUMIFS(P:P,D:D,"&lt;="&amp;D297,C:C,C297)&lt;0,0,SUMIFS('Shipments data'!L:L,'Shipments data'!F:F,'Supply planning data'!C297,'Shipments data'!A:A,'Supply planning data'!A297,'Shipments data'!O:O,"received",'Shipments data'!Q:Q,"&lt;"&amp;'Supply planning data'!D312,'Shipments data'!AC:AC,"&lt;"&amp;'Supply planning data'!D312)-SUMIFS(M:M,D:D,"&lt;="&amp;D297,C:C,C297)-SUMIFS(AA:AA,D:D,"&lt;="&amp;D297,C:C,C297)+SUMIFS(N:N,D:D,"&lt;="&amp;D297,C:C,C297)+SUMIFS(P:P,D:D,"&lt;="&amp;D297,C:C,C297))</f>
        <v>0</v>
      </c>
      <c r="AD297" s="111">
        <f t="shared" si="100"/>
        <v>0</v>
      </c>
      <c r="AE297" s="111">
        <f t="shared" si="94"/>
        <v>0</v>
      </c>
      <c r="AF297" s="204" t="str">
        <f t="shared" si="103"/>
        <v/>
      </c>
      <c r="AG297" s="111">
        <f t="shared" si="101"/>
        <v>0</v>
      </c>
      <c r="AH297" s="110"/>
      <c r="AI297" s="313"/>
      <c r="AJ297" s="111">
        <f t="shared" si="93"/>
        <v>0</v>
      </c>
      <c r="AK297" s="235"/>
      <c r="AL297" s="111">
        <f>IF(SUMIFS('Shipments data'!L:L,'Shipments data'!F:F,'Supply planning data'!C297,'Shipments data'!A:A,'Supply planning data'!A297,'Shipments data'!O:O,"received",'Shipments data'!Q:Q,"&lt;"&amp;'Supply planning data'!D312,'Shipments data'!AC:AC,"&lt;"&amp;'Supply planning data'!D312)-SUMIFS(M:M,D:D,"&lt;="&amp;D297,C:C,C297)-SUMIFS(AJ:AJ,D:D,"&lt;="&amp;D297,C:C,C297)+SUMIFS(N:N,D:D,"&lt;="&amp;D297,C:C,C297)+SUMIFS(P:P,D:D,"&lt;="&amp;D297,C:C,C297)&lt;0,0,SUMIFS('Shipments data'!L:L,'Shipments data'!F:F,'Supply planning data'!C297,'Shipments data'!A:A,'Supply planning data'!A297,'Shipments data'!O:O,"received",'Shipments data'!Q:Q,"&lt;"&amp;'Supply planning data'!D312,'Shipments data'!AC:AC,"&lt;"&amp;'Supply planning data'!D312)-SUMIFS(M:M,D:D,"&lt;="&amp;D297,C:C,C297)-SUMIFS(AJ:AJ,D:D,"&lt;="&amp;D297,C:C,C297)+SUMIFS(N:N,D:D,"&lt;="&amp;D297,C:C,C297)+SUMIFS(P:P,D:D,"&lt;="&amp;D297,C:C,C297))</f>
        <v>0</v>
      </c>
      <c r="AM297" s="111">
        <f t="shared" si="102"/>
        <v>0</v>
      </c>
      <c r="AN297" s="111">
        <f t="shared" si="95"/>
        <v>0</v>
      </c>
      <c r="AO297" s="204" t="str">
        <f t="shared" si="105"/>
        <v/>
      </c>
    </row>
    <row r="298" spans="1:41" hidden="1" x14ac:dyDescent="0.25">
      <c r="A298" s="103" t="str">
        <f>Start!D$7</f>
        <v>Anyland</v>
      </c>
      <c r="B298" s="109" t="str">
        <f>VLOOKUP(A298,list!B:C,2,FALSE)</f>
        <v>ANY</v>
      </c>
      <c r="C298" s="104" t="str">
        <f>IF(Start!$C$25="","",Start!$C$25)</f>
        <v/>
      </c>
      <c r="D298" s="298">
        <f t="shared" si="96"/>
        <v>44774</v>
      </c>
      <c r="E298" s="105" t="str">
        <f>IFERROR(VLOOKUP(C298,Start!C$15:D$31,2,FALSE),"No")</f>
        <v>No</v>
      </c>
      <c r="F298" s="105">
        <f t="shared" si="97"/>
        <v>0</v>
      </c>
      <c r="G298" s="106"/>
      <c r="H298" s="106"/>
      <c r="I298" s="106"/>
      <c r="J298" s="105">
        <f t="shared" si="89"/>
        <v>0</v>
      </c>
      <c r="K298" s="106"/>
      <c r="L298" s="177" t="str">
        <f t="shared" si="90"/>
        <v/>
      </c>
      <c r="M298" s="105">
        <f t="shared" si="91"/>
        <v>0</v>
      </c>
      <c r="N298" s="110"/>
      <c r="O298" s="124"/>
      <c r="P298" s="110"/>
      <c r="Q298" s="124"/>
      <c r="R298" s="111">
        <f>SUMIFS('Shipments data'!L:L,'Shipments data'!F:F,'Supply planning data'!C298,'Shipments data'!A:A,'Supply planning data'!A298,'Shipments data'!Y:Y,'Supply planning data'!D298,'Shipments data'!O:O,"received", 'Shipments data'!N:N, "Public")</f>
        <v>0</v>
      </c>
      <c r="S298" s="111">
        <f>SUMIFS('Shipments data'!L:L,'Shipments data'!F:F,'Supply planning data'!C298,'Shipments data'!A:A,'Supply planning data'!A298,'Shipments data'!Y:Y,'Supply planning data'!D298,'Shipments data'!O:O,"ordered", 'Shipments data'!N:N, "Public")</f>
        <v>0</v>
      </c>
      <c r="T298" s="111">
        <f>IF(SUMIFS('Shipments data'!L:L,'Shipments data'!F:F,'Supply planning data'!C298,'Shipments data'!A:A,'Supply planning data'!A298,'Shipments data'!O:O,"received",'Shipments data'!Q:Q,"&lt;"&amp;'Supply planning data'!D313,'Shipments data'!AC:AC,"&lt;"&amp;'Supply planning data'!D313)-SUMIFS(M:M,D:D,"&lt;="&amp;D298,C:C,C298)+SUMIFS(N:N,D:D,"&lt;="&amp;D298,C:C,C298)+SUMIFS(P:P,D:D,"&lt;="&amp;D298,C:C,C298)&lt;0,0,SUMIFS('Shipments data'!L:L,'Shipments data'!F:F,'Supply planning data'!C298,'Shipments data'!A:A,'Supply planning data'!A298,'Shipments data'!O:O,"received",'Shipments data'!Q:Q,"&lt;"&amp;'Supply planning data'!D313,'Shipments data'!AC:AC,"&lt;"&amp;'Supply planning data'!D313)-SUMIFS(M:M,D:D,"&lt;="&amp;D298,C:C,C298)+SUMIFS(N:N,D:D,"&lt;="&amp;D298,C:C,C298)+SUMIFS(P:P,D:D,"&lt;="&amp;D298,C:C,C298))</f>
        <v>0</v>
      </c>
      <c r="U298" s="112">
        <f t="shared" si="98"/>
        <v>0</v>
      </c>
      <c r="V298" s="111">
        <f t="shared" si="87"/>
        <v>0</v>
      </c>
      <c r="W298" s="204" t="str">
        <f t="shared" si="104"/>
        <v/>
      </c>
      <c r="X298" s="111">
        <f t="shared" si="99"/>
        <v>0</v>
      </c>
      <c r="Y298" s="110"/>
      <c r="Z298" s="107"/>
      <c r="AA298" s="111">
        <f t="shared" si="92"/>
        <v>0</v>
      </c>
      <c r="AB298" s="235"/>
      <c r="AC298" s="111">
        <f>IF(SUMIFS('Shipments data'!L:L,'Shipments data'!F:F,'Supply planning data'!C298,'Shipments data'!A:A,'Supply planning data'!A298,'Shipments data'!O:O,"received",'Shipments data'!Q:Q,"&lt;"&amp;'Supply planning data'!D313,'Shipments data'!AC:AC,"&lt;"&amp;'Supply planning data'!D313)-SUMIFS(M:M,D:D,"&lt;="&amp;D298,C:C,C298)-SUMIFS(AA:AA,D:D,"&lt;="&amp;D298,C:C,C298)+SUMIFS(N:N,D:D,"&lt;="&amp;D298,C:C,C298)+SUMIFS(P:P,D:D,"&lt;="&amp;D298,C:C,C298)&lt;0,0,SUMIFS('Shipments data'!L:L,'Shipments data'!F:F,'Supply planning data'!C298,'Shipments data'!A:A,'Supply planning data'!A298,'Shipments data'!O:O,"received",'Shipments data'!Q:Q,"&lt;"&amp;'Supply planning data'!D313,'Shipments data'!AC:AC,"&lt;"&amp;'Supply planning data'!D313)-SUMIFS(M:M,D:D,"&lt;="&amp;D298,C:C,C298)-SUMIFS(AA:AA,D:D,"&lt;="&amp;D298,C:C,C298)+SUMIFS(N:N,D:D,"&lt;="&amp;D298,C:C,C298)+SUMIFS(P:P,D:D,"&lt;="&amp;D298,C:C,C298))</f>
        <v>0</v>
      </c>
      <c r="AD298" s="111">
        <f t="shared" si="100"/>
        <v>0</v>
      </c>
      <c r="AE298" s="111">
        <f t="shared" si="94"/>
        <v>0</v>
      </c>
      <c r="AF298" s="204" t="str">
        <f t="shared" si="103"/>
        <v/>
      </c>
      <c r="AG298" s="111">
        <f t="shared" si="101"/>
        <v>0</v>
      </c>
      <c r="AH298" s="110"/>
      <c r="AI298" s="313"/>
      <c r="AJ298" s="111">
        <f t="shared" si="93"/>
        <v>0</v>
      </c>
      <c r="AK298" s="235"/>
      <c r="AL298" s="111">
        <f>IF(SUMIFS('Shipments data'!L:L,'Shipments data'!F:F,'Supply planning data'!C298,'Shipments data'!A:A,'Supply planning data'!A298,'Shipments data'!O:O,"received",'Shipments data'!Q:Q,"&lt;"&amp;'Supply planning data'!D313,'Shipments data'!AC:AC,"&lt;"&amp;'Supply planning data'!D313)-SUMIFS(M:M,D:D,"&lt;="&amp;D298,C:C,C298)-SUMIFS(AJ:AJ,D:D,"&lt;="&amp;D298,C:C,C298)+SUMIFS(N:N,D:D,"&lt;="&amp;D298,C:C,C298)+SUMIFS(P:P,D:D,"&lt;="&amp;D298,C:C,C298)&lt;0,0,SUMIFS('Shipments data'!L:L,'Shipments data'!F:F,'Supply planning data'!C298,'Shipments data'!A:A,'Supply planning data'!A298,'Shipments data'!O:O,"received",'Shipments data'!Q:Q,"&lt;"&amp;'Supply planning data'!D313,'Shipments data'!AC:AC,"&lt;"&amp;'Supply planning data'!D313)-SUMIFS(M:M,D:D,"&lt;="&amp;D298,C:C,C298)-SUMIFS(AJ:AJ,D:D,"&lt;="&amp;D298,C:C,C298)+SUMIFS(N:N,D:D,"&lt;="&amp;D298,C:C,C298)+SUMIFS(P:P,D:D,"&lt;="&amp;D298,C:C,C298))</f>
        <v>0</v>
      </c>
      <c r="AM298" s="111">
        <f t="shared" si="102"/>
        <v>0</v>
      </c>
      <c r="AN298" s="111">
        <f t="shared" si="95"/>
        <v>0</v>
      </c>
      <c r="AO298" s="204" t="str">
        <f t="shared" si="105"/>
        <v/>
      </c>
    </row>
    <row r="299" spans="1:41" hidden="1" x14ac:dyDescent="0.25">
      <c r="A299" s="103" t="str">
        <f>Start!D$7</f>
        <v>Anyland</v>
      </c>
      <c r="B299" s="109" t="str">
        <f>VLOOKUP(A299,list!B:C,2,FALSE)</f>
        <v>ANY</v>
      </c>
      <c r="C299" s="109" t="str">
        <f>IF(Start!$C$26="","",Start!$C$26)</f>
        <v/>
      </c>
      <c r="D299" s="298">
        <f t="shared" si="96"/>
        <v>44774</v>
      </c>
      <c r="E299" s="105" t="str">
        <f>IFERROR(VLOOKUP(C299,Start!C$15:D$31,2,FALSE),"No")</f>
        <v>No</v>
      </c>
      <c r="F299" s="105">
        <f t="shared" si="97"/>
        <v>0</v>
      </c>
      <c r="G299" s="106"/>
      <c r="H299" s="106"/>
      <c r="I299" s="106"/>
      <c r="J299" s="105">
        <f t="shared" si="89"/>
        <v>0</v>
      </c>
      <c r="K299" s="106"/>
      <c r="L299" s="177" t="str">
        <f t="shared" si="90"/>
        <v/>
      </c>
      <c r="M299" s="105">
        <f t="shared" si="91"/>
        <v>0</v>
      </c>
      <c r="N299" s="110"/>
      <c r="O299" s="124"/>
      <c r="P299" s="110"/>
      <c r="Q299" s="124"/>
      <c r="R299" s="111">
        <f>SUMIFS('Shipments data'!L:L,'Shipments data'!F:F,'Supply planning data'!C299,'Shipments data'!A:A,'Supply planning data'!A299,'Shipments data'!Y:Y,'Supply planning data'!D299,'Shipments data'!O:O,"received", 'Shipments data'!N:N, "Public")</f>
        <v>0</v>
      </c>
      <c r="S299" s="111">
        <f>SUMIFS('Shipments data'!L:L,'Shipments data'!F:F,'Supply planning data'!C299,'Shipments data'!A:A,'Supply planning data'!A299,'Shipments data'!Y:Y,'Supply planning data'!D299,'Shipments data'!O:O,"ordered", 'Shipments data'!N:N, "Public")</f>
        <v>0</v>
      </c>
      <c r="T299" s="111">
        <f>IF(SUMIFS('Shipments data'!L:L,'Shipments data'!F:F,'Supply planning data'!C299,'Shipments data'!A:A,'Supply planning data'!A299,'Shipments data'!O:O,"received",'Shipments data'!Q:Q,"&lt;"&amp;'Supply planning data'!D314,'Shipments data'!AC:AC,"&lt;"&amp;'Supply planning data'!D314)-SUMIFS(M:M,D:D,"&lt;="&amp;D299,C:C,C299)+SUMIFS(N:N,D:D,"&lt;="&amp;D299,C:C,C299)+SUMIFS(P:P,D:D,"&lt;="&amp;D299,C:C,C299)&lt;0,0,SUMIFS('Shipments data'!L:L,'Shipments data'!F:F,'Supply planning data'!C299,'Shipments data'!A:A,'Supply planning data'!A299,'Shipments data'!O:O,"received",'Shipments data'!Q:Q,"&lt;"&amp;'Supply planning data'!D314,'Shipments data'!AC:AC,"&lt;"&amp;'Supply planning data'!D314)-SUMIFS(M:M,D:D,"&lt;="&amp;D299,C:C,C299)+SUMIFS(N:N,D:D,"&lt;="&amp;D299,C:C,C299)+SUMIFS(P:P,D:D,"&lt;="&amp;D299,C:C,C299))</f>
        <v>0</v>
      </c>
      <c r="U299" s="112">
        <f t="shared" si="98"/>
        <v>0</v>
      </c>
      <c r="V299" s="111">
        <f t="shared" si="87"/>
        <v>0</v>
      </c>
      <c r="W299" s="204" t="str">
        <f t="shared" si="104"/>
        <v/>
      </c>
      <c r="X299" s="111">
        <f t="shared" si="99"/>
        <v>0</v>
      </c>
      <c r="Y299" s="110"/>
      <c r="Z299" s="107"/>
      <c r="AA299" s="111">
        <f t="shared" si="92"/>
        <v>0</v>
      </c>
      <c r="AB299" s="235"/>
      <c r="AC299" s="111">
        <f>IF(SUMIFS('Shipments data'!L:L,'Shipments data'!F:F,'Supply planning data'!C299,'Shipments data'!A:A,'Supply planning data'!A299,'Shipments data'!O:O,"received",'Shipments data'!Q:Q,"&lt;"&amp;'Supply planning data'!D314,'Shipments data'!AC:AC,"&lt;"&amp;'Supply planning data'!D314)-SUMIFS(M:M,D:D,"&lt;="&amp;D299,C:C,C299)-SUMIFS(AA:AA,D:D,"&lt;="&amp;D299,C:C,C299)+SUMIFS(N:N,D:D,"&lt;="&amp;D299,C:C,C299)+SUMIFS(P:P,D:D,"&lt;="&amp;D299,C:C,C299)&lt;0,0,SUMIFS('Shipments data'!L:L,'Shipments data'!F:F,'Supply planning data'!C299,'Shipments data'!A:A,'Supply planning data'!A299,'Shipments data'!O:O,"received",'Shipments data'!Q:Q,"&lt;"&amp;'Supply planning data'!D314,'Shipments data'!AC:AC,"&lt;"&amp;'Supply planning data'!D314)-SUMIFS(M:M,D:D,"&lt;="&amp;D299,C:C,C299)-SUMIFS(AA:AA,D:D,"&lt;="&amp;D299,C:C,C299)+SUMIFS(N:N,D:D,"&lt;="&amp;D299,C:C,C299)+SUMIFS(P:P,D:D,"&lt;="&amp;D299,C:C,C299))</f>
        <v>0</v>
      </c>
      <c r="AD299" s="111">
        <f t="shared" si="100"/>
        <v>0</v>
      </c>
      <c r="AE299" s="111">
        <f t="shared" si="94"/>
        <v>0</v>
      </c>
      <c r="AF299" s="204" t="str">
        <f t="shared" si="103"/>
        <v/>
      </c>
      <c r="AG299" s="111">
        <f t="shared" si="101"/>
        <v>0</v>
      </c>
      <c r="AH299" s="110"/>
      <c r="AI299" s="313"/>
      <c r="AJ299" s="111">
        <f t="shared" si="93"/>
        <v>0</v>
      </c>
      <c r="AK299" s="235"/>
      <c r="AL299" s="111">
        <f>IF(SUMIFS('Shipments data'!L:L,'Shipments data'!F:F,'Supply planning data'!C299,'Shipments data'!A:A,'Supply planning data'!A299,'Shipments data'!O:O,"received",'Shipments data'!Q:Q,"&lt;"&amp;'Supply planning data'!D314,'Shipments data'!AC:AC,"&lt;"&amp;'Supply planning data'!D314)-SUMIFS(M:M,D:D,"&lt;="&amp;D299,C:C,C299)-SUMIFS(AJ:AJ,D:D,"&lt;="&amp;D299,C:C,C299)+SUMIFS(N:N,D:D,"&lt;="&amp;D299,C:C,C299)+SUMIFS(P:P,D:D,"&lt;="&amp;D299,C:C,C299)&lt;0,0,SUMIFS('Shipments data'!L:L,'Shipments data'!F:F,'Supply planning data'!C299,'Shipments data'!A:A,'Supply planning data'!A299,'Shipments data'!O:O,"received",'Shipments data'!Q:Q,"&lt;"&amp;'Supply planning data'!D314,'Shipments data'!AC:AC,"&lt;"&amp;'Supply planning data'!D314)-SUMIFS(M:M,D:D,"&lt;="&amp;D299,C:C,C299)-SUMIFS(AJ:AJ,D:D,"&lt;="&amp;D299,C:C,C299)+SUMIFS(N:N,D:D,"&lt;="&amp;D299,C:C,C299)+SUMIFS(P:P,D:D,"&lt;="&amp;D299,C:C,C299))</f>
        <v>0</v>
      </c>
      <c r="AM299" s="111">
        <f t="shared" si="102"/>
        <v>0</v>
      </c>
      <c r="AN299" s="111">
        <f t="shared" si="95"/>
        <v>0</v>
      </c>
      <c r="AO299" s="204" t="str">
        <f t="shared" si="105"/>
        <v/>
      </c>
    </row>
    <row r="300" spans="1:41" hidden="1" x14ac:dyDescent="0.25">
      <c r="A300" s="103" t="str">
        <f>Start!D$7</f>
        <v>Anyland</v>
      </c>
      <c r="B300" s="109" t="str">
        <f>VLOOKUP(A300,list!B:C,2,FALSE)</f>
        <v>ANY</v>
      </c>
      <c r="C300" s="104" t="str">
        <f>IF(Start!$C$27="","",Start!$C$27)</f>
        <v/>
      </c>
      <c r="D300" s="298">
        <f t="shared" si="96"/>
        <v>44774</v>
      </c>
      <c r="E300" s="105" t="str">
        <f>IFERROR(VLOOKUP(C300,Start!C$15:D$31,2,FALSE),"No")</f>
        <v>No</v>
      </c>
      <c r="F300" s="105">
        <f t="shared" si="97"/>
        <v>0</v>
      </c>
      <c r="G300" s="106"/>
      <c r="H300" s="106"/>
      <c r="I300" s="106"/>
      <c r="J300" s="105">
        <f t="shared" si="89"/>
        <v>0</v>
      </c>
      <c r="K300" s="106"/>
      <c r="L300" s="177" t="str">
        <f t="shared" si="90"/>
        <v/>
      </c>
      <c r="M300" s="105">
        <f t="shared" si="91"/>
        <v>0</v>
      </c>
      <c r="N300" s="110"/>
      <c r="O300" s="124"/>
      <c r="P300" s="110"/>
      <c r="Q300" s="124"/>
      <c r="R300" s="111">
        <f>SUMIFS('Shipments data'!L:L,'Shipments data'!F:F,'Supply planning data'!C300,'Shipments data'!A:A,'Supply planning data'!A300,'Shipments data'!Y:Y,'Supply planning data'!D300,'Shipments data'!O:O,"received", 'Shipments data'!N:N, "Public")</f>
        <v>0</v>
      </c>
      <c r="S300" s="111">
        <f>SUMIFS('Shipments data'!L:L,'Shipments data'!F:F,'Supply planning data'!C300,'Shipments data'!A:A,'Supply planning data'!A300,'Shipments data'!Y:Y,'Supply planning data'!D300,'Shipments data'!O:O,"ordered", 'Shipments data'!N:N, "Public")</f>
        <v>0</v>
      </c>
      <c r="T300" s="111">
        <f>IF(SUMIFS('Shipments data'!L:L,'Shipments data'!F:F,'Supply planning data'!C300,'Shipments data'!A:A,'Supply planning data'!A300,'Shipments data'!O:O,"received",'Shipments data'!Q:Q,"&lt;"&amp;'Supply planning data'!D315,'Shipments data'!AC:AC,"&lt;"&amp;'Supply planning data'!D315)-SUMIFS(M:M,D:D,"&lt;="&amp;D300,C:C,C300)+SUMIFS(N:N,D:D,"&lt;="&amp;D300,C:C,C300)+SUMIFS(P:P,D:D,"&lt;="&amp;D300,C:C,C300)&lt;0,0,SUMIFS('Shipments data'!L:L,'Shipments data'!F:F,'Supply planning data'!C300,'Shipments data'!A:A,'Supply planning data'!A300,'Shipments data'!O:O,"received",'Shipments data'!Q:Q,"&lt;"&amp;'Supply planning data'!D315,'Shipments data'!AC:AC,"&lt;"&amp;'Supply planning data'!D315)-SUMIFS(M:M,D:D,"&lt;="&amp;D300,C:C,C300)+SUMIFS(N:N,D:D,"&lt;="&amp;D300,C:C,C300)+SUMIFS(P:P,D:D,"&lt;="&amp;D300,C:C,C300))</f>
        <v>0</v>
      </c>
      <c r="U300" s="112">
        <f t="shared" si="98"/>
        <v>0</v>
      </c>
      <c r="V300" s="111">
        <f t="shared" si="87"/>
        <v>0</v>
      </c>
      <c r="W300" s="204" t="str">
        <f t="shared" si="104"/>
        <v/>
      </c>
      <c r="X300" s="111">
        <f t="shared" si="99"/>
        <v>0</v>
      </c>
      <c r="Y300" s="110"/>
      <c r="Z300" s="107"/>
      <c r="AA300" s="111">
        <f t="shared" si="92"/>
        <v>0</v>
      </c>
      <c r="AB300" s="235"/>
      <c r="AC300" s="111">
        <f>IF(SUMIFS('Shipments data'!L:L,'Shipments data'!F:F,'Supply planning data'!C300,'Shipments data'!A:A,'Supply planning data'!A300,'Shipments data'!O:O,"received",'Shipments data'!Q:Q,"&lt;"&amp;'Supply planning data'!D315,'Shipments data'!AC:AC,"&lt;"&amp;'Supply planning data'!D315)-SUMIFS(M:M,D:D,"&lt;="&amp;D300,C:C,C300)-SUMIFS(AA:AA,D:D,"&lt;="&amp;D300,C:C,C300)+SUMIFS(N:N,D:D,"&lt;="&amp;D300,C:C,C300)+SUMIFS(P:P,D:D,"&lt;="&amp;D300,C:C,C300)&lt;0,0,SUMIFS('Shipments data'!L:L,'Shipments data'!F:F,'Supply planning data'!C300,'Shipments data'!A:A,'Supply planning data'!A300,'Shipments data'!O:O,"received",'Shipments data'!Q:Q,"&lt;"&amp;'Supply planning data'!D315,'Shipments data'!AC:AC,"&lt;"&amp;'Supply planning data'!D315)-SUMIFS(M:M,D:D,"&lt;="&amp;D300,C:C,C300)-SUMIFS(AA:AA,D:D,"&lt;="&amp;D300,C:C,C300)+SUMIFS(N:N,D:D,"&lt;="&amp;D300,C:C,C300)+SUMIFS(P:P,D:D,"&lt;="&amp;D300,C:C,C300))</f>
        <v>0</v>
      </c>
      <c r="AD300" s="111">
        <f t="shared" si="100"/>
        <v>0</v>
      </c>
      <c r="AE300" s="111">
        <f t="shared" si="94"/>
        <v>0</v>
      </c>
      <c r="AF300" s="204" t="str">
        <f t="shared" si="103"/>
        <v/>
      </c>
      <c r="AG300" s="111">
        <f t="shared" si="101"/>
        <v>0</v>
      </c>
      <c r="AH300" s="110"/>
      <c r="AI300" s="313"/>
      <c r="AJ300" s="111">
        <f t="shared" si="93"/>
        <v>0</v>
      </c>
      <c r="AK300" s="235"/>
      <c r="AL300" s="111">
        <f>IF(SUMIFS('Shipments data'!L:L,'Shipments data'!F:F,'Supply planning data'!C300,'Shipments data'!A:A,'Supply planning data'!A300,'Shipments data'!O:O,"received",'Shipments data'!Q:Q,"&lt;"&amp;'Supply planning data'!D315,'Shipments data'!AC:AC,"&lt;"&amp;'Supply planning data'!D315)-SUMIFS(M:M,D:D,"&lt;="&amp;D300,C:C,C300)-SUMIFS(AJ:AJ,D:D,"&lt;="&amp;D300,C:C,C300)+SUMIFS(N:N,D:D,"&lt;="&amp;D300,C:C,C300)+SUMIFS(P:P,D:D,"&lt;="&amp;D300,C:C,C300)&lt;0,0,SUMIFS('Shipments data'!L:L,'Shipments data'!F:F,'Supply planning data'!C300,'Shipments data'!A:A,'Supply planning data'!A300,'Shipments data'!O:O,"received",'Shipments data'!Q:Q,"&lt;"&amp;'Supply planning data'!D315,'Shipments data'!AC:AC,"&lt;"&amp;'Supply planning data'!D315)-SUMIFS(M:M,D:D,"&lt;="&amp;D300,C:C,C300)-SUMIFS(AJ:AJ,D:D,"&lt;="&amp;D300,C:C,C300)+SUMIFS(N:N,D:D,"&lt;="&amp;D300,C:C,C300)+SUMIFS(P:P,D:D,"&lt;="&amp;D300,C:C,C300))</f>
        <v>0</v>
      </c>
      <c r="AM300" s="111">
        <f t="shared" si="102"/>
        <v>0</v>
      </c>
      <c r="AN300" s="111">
        <f t="shared" si="95"/>
        <v>0</v>
      </c>
      <c r="AO300" s="204" t="str">
        <f t="shared" si="105"/>
        <v/>
      </c>
    </row>
    <row r="301" spans="1:41" hidden="1" x14ac:dyDescent="0.25">
      <c r="A301" s="103" t="str">
        <f>Start!D$7</f>
        <v>Anyland</v>
      </c>
      <c r="B301" s="109" t="str">
        <f>VLOOKUP(A301,list!B:C,2,FALSE)</f>
        <v>ANY</v>
      </c>
      <c r="C301" s="109" t="str">
        <f>IF(Start!$C$28="","",Start!$C$28)</f>
        <v/>
      </c>
      <c r="D301" s="298">
        <f t="shared" si="96"/>
        <v>44774</v>
      </c>
      <c r="E301" s="105" t="str">
        <f>IFERROR(VLOOKUP(C301,Start!C$15:D$31,2,FALSE),"No")</f>
        <v>No</v>
      </c>
      <c r="F301" s="105">
        <f t="shared" si="97"/>
        <v>0</v>
      </c>
      <c r="G301" s="106"/>
      <c r="H301" s="106"/>
      <c r="I301" s="106"/>
      <c r="J301" s="105">
        <f t="shared" si="89"/>
        <v>0</v>
      </c>
      <c r="K301" s="106"/>
      <c r="L301" s="177" t="str">
        <f t="shared" si="90"/>
        <v/>
      </c>
      <c r="M301" s="105">
        <f t="shared" si="91"/>
        <v>0</v>
      </c>
      <c r="N301" s="110"/>
      <c r="O301" s="124"/>
      <c r="P301" s="110"/>
      <c r="Q301" s="124"/>
      <c r="R301" s="111">
        <f>SUMIFS('Shipments data'!L:L,'Shipments data'!F:F,'Supply planning data'!C301,'Shipments data'!A:A,'Supply planning data'!A301,'Shipments data'!Y:Y,'Supply planning data'!D301,'Shipments data'!O:O,"received", 'Shipments data'!N:N, "Public")</f>
        <v>0</v>
      </c>
      <c r="S301" s="111">
        <f>SUMIFS('Shipments data'!L:L,'Shipments data'!F:F,'Supply planning data'!C301,'Shipments data'!A:A,'Supply planning data'!A301,'Shipments data'!Y:Y,'Supply planning data'!D301,'Shipments data'!O:O,"ordered", 'Shipments data'!N:N, "Public")</f>
        <v>0</v>
      </c>
      <c r="T301" s="111">
        <f>IF(SUMIFS('Shipments data'!L:L,'Shipments data'!F:F,'Supply planning data'!C301,'Shipments data'!A:A,'Supply planning data'!A301,'Shipments data'!O:O,"received",'Shipments data'!Q:Q,"&lt;"&amp;'Supply planning data'!D316,'Shipments data'!AC:AC,"&lt;"&amp;'Supply planning data'!D316)-SUMIFS(M:M,D:D,"&lt;="&amp;D301,C:C,C301)+SUMIFS(N:N,D:D,"&lt;="&amp;D301,C:C,C301)+SUMIFS(P:P,D:D,"&lt;="&amp;D301,C:C,C301)&lt;0,0,SUMIFS('Shipments data'!L:L,'Shipments data'!F:F,'Supply planning data'!C301,'Shipments data'!A:A,'Supply planning data'!A301,'Shipments data'!O:O,"received",'Shipments data'!Q:Q,"&lt;"&amp;'Supply planning data'!D316,'Shipments data'!AC:AC,"&lt;"&amp;'Supply planning data'!D316)-SUMIFS(M:M,D:D,"&lt;="&amp;D301,C:C,C301)+SUMIFS(N:N,D:D,"&lt;="&amp;D301,C:C,C301)+SUMIFS(P:P,D:D,"&lt;="&amp;D301,C:C,C301))</f>
        <v>0</v>
      </c>
      <c r="U301" s="112">
        <f t="shared" si="98"/>
        <v>0</v>
      </c>
      <c r="V301" s="111">
        <f t="shared" si="87"/>
        <v>0</v>
      </c>
      <c r="W301" s="204" t="str">
        <f t="shared" si="104"/>
        <v/>
      </c>
      <c r="X301" s="111">
        <f t="shared" si="99"/>
        <v>0</v>
      </c>
      <c r="Y301" s="110"/>
      <c r="Z301" s="107"/>
      <c r="AA301" s="111">
        <f t="shared" si="92"/>
        <v>0</v>
      </c>
      <c r="AB301" s="235"/>
      <c r="AC301" s="111">
        <f>IF(SUMIFS('Shipments data'!L:L,'Shipments data'!F:F,'Supply planning data'!C301,'Shipments data'!A:A,'Supply planning data'!A301,'Shipments data'!O:O,"received",'Shipments data'!Q:Q,"&lt;"&amp;'Supply planning data'!D316,'Shipments data'!AC:AC,"&lt;"&amp;'Supply planning data'!D316)-SUMIFS(M:M,D:D,"&lt;="&amp;D301,C:C,C301)-SUMIFS(AA:AA,D:D,"&lt;="&amp;D301,C:C,C301)+SUMIFS(N:N,D:D,"&lt;="&amp;D301,C:C,C301)+SUMIFS(P:P,D:D,"&lt;="&amp;D301,C:C,C301)&lt;0,0,SUMIFS('Shipments data'!L:L,'Shipments data'!F:F,'Supply planning data'!C301,'Shipments data'!A:A,'Supply planning data'!A301,'Shipments data'!O:O,"received",'Shipments data'!Q:Q,"&lt;"&amp;'Supply planning data'!D316,'Shipments data'!AC:AC,"&lt;"&amp;'Supply planning data'!D316)-SUMIFS(M:M,D:D,"&lt;="&amp;D301,C:C,C301)-SUMIFS(AA:AA,D:D,"&lt;="&amp;D301,C:C,C301)+SUMIFS(N:N,D:D,"&lt;="&amp;D301,C:C,C301)+SUMIFS(P:P,D:D,"&lt;="&amp;D301,C:C,C301))</f>
        <v>0</v>
      </c>
      <c r="AD301" s="111">
        <f t="shared" si="100"/>
        <v>0</v>
      </c>
      <c r="AE301" s="111">
        <f t="shared" si="94"/>
        <v>0</v>
      </c>
      <c r="AF301" s="204" t="str">
        <f t="shared" si="103"/>
        <v/>
      </c>
      <c r="AG301" s="111">
        <f t="shared" si="101"/>
        <v>0</v>
      </c>
      <c r="AH301" s="110"/>
      <c r="AI301" s="313"/>
      <c r="AJ301" s="111">
        <f t="shared" si="93"/>
        <v>0</v>
      </c>
      <c r="AK301" s="235"/>
      <c r="AL301" s="111">
        <f>IF(SUMIFS('Shipments data'!L:L,'Shipments data'!F:F,'Supply planning data'!C301,'Shipments data'!A:A,'Supply planning data'!A301,'Shipments data'!O:O,"received",'Shipments data'!Q:Q,"&lt;"&amp;'Supply planning data'!D316,'Shipments data'!AC:AC,"&lt;"&amp;'Supply planning data'!D316)-SUMIFS(M:M,D:D,"&lt;="&amp;D301,C:C,C301)-SUMIFS(AJ:AJ,D:D,"&lt;="&amp;D301,C:C,C301)+SUMIFS(N:N,D:D,"&lt;="&amp;D301,C:C,C301)+SUMIFS(P:P,D:D,"&lt;="&amp;D301,C:C,C301)&lt;0,0,SUMIFS('Shipments data'!L:L,'Shipments data'!F:F,'Supply planning data'!C301,'Shipments data'!A:A,'Supply planning data'!A301,'Shipments data'!O:O,"received",'Shipments data'!Q:Q,"&lt;"&amp;'Supply planning data'!D316,'Shipments data'!AC:AC,"&lt;"&amp;'Supply planning data'!D316)-SUMIFS(M:M,D:D,"&lt;="&amp;D301,C:C,C301)-SUMIFS(AJ:AJ,D:D,"&lt;="&amp;D301,C:C,C301)+SUMIFS(N:N,D:D,"&lt;="&amp;D301,C:C,C301)+SUMIFS(P:P,D:D,"&lt;="&amp;D301,C:C,C301))</f>
        <v>0</v>
      </c>
      <c r="AM301" s="111">
        <f t="shared" si="102"/>
        <v>0</v>
      </c>
      <c r="AN301" s="111">
        <f t="shared" si="95"/>
        <v>0</v>
      </c>
      <c r="AO301" s="204" t="str">
        <f t="shared" si="105"/>
        <v/>
      </c>
    </row>
    <row r="302" spans="1:41" hidden="1" x14ac:dyDescent="0.25">
      <c r="A302" s="103" t="str">
        <f>Start!D$7</f>
        <v>Anyland</v>
      </c>
      <c r="B302" s="109" t="str">
        <f>VLOOKUP(A302,list!B:C,2,FALSE)</f>
        <v>ANY</v>
      </c>
      <c r="C302" s="104" t="str">
        <f>IF(Start!$C$29="","",Start!$C$29)</f>
        <v/>
      </c>
      <c r="D302" s="298">
        <f t="shared" si="96"/>
        <v>44774</v>
      </c>
      <c r="E302" s="105" t="str">
        <f>IFERROR(VLOOKUP(C302,Start!C$15:D$31,2,FALSE),"No")</f>
        <v>No</v>
      </c>
      <c r="F302" s="105">
        <f t="shared" si="97"/>
        <v>0</v>
      </c>
      <c r="G302" s="106"/>
      <c r="H302" s="106"/>
      <c r="I302" s="106"/>
      <c r="J302" s="105">
        <f t="shared" si="89"/>
        <v>0</v>
      </c>
      <c r="K302" s="106"/>
      <c r="L302" s="177" t="str">
        <f t="shared" si="90"/>
        <v/>
      </c>
      <c r="M302" s="105">
        <f t="shared" si="91"/>
        <v>0</v>
      </c>
      <c r="N302" s="110"/>
      <c r="O302" s="124"/>
      <c r="P302" s="110"/>
      <c r="Q302" s="124"/>
      <c r="R302" s="111">
        <f>SUMIFS('Shipments data'!L:L,'Shipments data'!F:F,'Supply planning data'!C302,'Shipments data'!A:A,'Supply planning data'!A302,'Shipments data'!Y:Y,'Supply planning data'!D302,'Shipments data'!O:O,"received", 'Shipments data'!N:N, "Public")</f>
        <v>0</v>
      </c>
      <c r="S302" s="111">
        <f>SUMIFS('Shipments data'!L:L,'Shipments data'!F:F,'Supply planning data'!C302,'Shipments data'!A:A,'Supply planning data'!A302,'Shipments data'!Y:Y,'Supply planning data'!D302,'Shipments data'!O:O,"ordered", 'Shipments data'!N:N, "Public")</f>
        <v>0</v>
      </c>
      <c r="T302" s="111">
        <f>IF(SUMIFS('Shipments data'!L:L,'Shipments data'!F:F,'Supply planning data'!C302,'Shipments data'!A:A,'Supply planning data'!A302,'Shipments data'!O:O,"received",'Shipments data'!Q:Q,"&lt;"&amp;'Supply planning data'!D317,'Shipments data'!AC:AC,"&lt;"&amp;'Supply planning data'!D317)-SUMIFS(M:M,D:D,"&lt;="&amp;D302,C:C,C302)+SUMIFS(N:N,D:D,"&lt;="&amp;D302,C:C,C302)+SUMIFS(P:P,D:D,"&lt;="&amp;D302,C:C,C302)&lt;0,0,SUMIFS('Shipments data'!L:L,'Shipments data'!F:F,'Supply planning data'!C302,'Shipments data'!A:A,'Supply planning data'!A302,'Shipments data'!O:O,"received",'Shipments data'!Q:Q,"&lt;"&amp;'Supply planning data'!D317,'Shipments data'!AC:AC,"&lt;"&amp;'Supply planning data'!D317)-SUMIFS(M:M,D:D,"&lt;="&amp;D302,C:C,C302)+SUMIFS(N:N,D:D,"&lt;="&amp;D302,C:C,C302)+SUMIFS(P:P,D:D,"&lt;="&amp;D302,C:C,C302))</f>
        <v>0</v>
      </c>
      <c r="U302" s="112">
        <f t="shared" si="98"/>
        <v>0</v>
      </c>
      <c r="V302" s="111">
        <f t="shared" si="87"/>
        <v>0</v>
      </c>
      <c r="W302" s="204" t="str">
        <f t="shared" si="104"/>
        <v/>
      </c>
      <c r="X302" s="111">
        <f t="shared" si="99"/>
        <v>0</v>
      </c>
      <c r="Y302" s="110"/>
      <c r="Z302" s="107"/>
      <c r="AA302" s="111">
        <f t="shared" si="92"/>
        <v>0</v>
      </c>
      <c r="AB302" s="235"/>
      <c r="AC302" s="111">
        <f>IF(SUMIFS('Shipments data'!L:L,'Shipments data'!F:F,'Supply planning data'!C302,'Shipments data'!A:A,'Supply planning data'!A302,'Shipments data'!O:O,"received",'Shipments data'!Q:Q,"&lt;"&amp;'Supply planning data'!D317,'Shipments data'!AC:AC,"&lt;"&amp;'Supply planning data'!D317)-SUMIFS(M:M,D:D,"&lt;="&amp;D302,C:C,C302)-SUMIFS(AA:AA,D:D,"&lt;="&amp;D302,C:C,C302)+SUMIFS(N:N,D:D,"&lt;="&amp;D302,C:C,C302)+SUMIFS(P:P,D:D,"&lt;="&amp;D302,C:C,C302)&lt;0,0,SUMIFS('Shipments data'!L:L,'Shipments data'!F:F,'Supply planning data'!C302,'Shipments data'!A:A,'Supply planning data'!A302,'Shipments data'!O:O,"received",'Shipments data'!Q:Q,"&lt;"&amp;'Supply planning data'!D317,'Shipments data'!AC:AC,"&lt;"&amp;'Supply planning data'!D317)-SUMIFS(M:M,D:D,"&lt;="&amp;D302,C:C,C302)-SUMIFS(AA:AA,D:D,"&lt;="&amp;D302,C:C,C302)+SUMIFS(N:N,D:D,"&lt;="&amp;D302,C:C,C302)+SUMIFS(P:P,D:D,"&lt;="&amp;D302,C:C,C302))</f>
        <v>0</v>
      </c>
      <c r="AD302" s="111">
        <f t="shared" si="100"/>
        <v>0</v>
      </c>
      <c r="AE302" s="111">
        <f t="shared" si="94"/>
        <v>0</v>
      </c>
      <c r="AF302" s="204" t="str">
        <f t="shared" si="103"/>
        <v/>
      </c>
      <c r="AG302" s="111">
        <f t="shared" si="101"/>
        <v>0</v>
      </c>
      <c r="AH302" s="110"/>
      <c r="AI302" s="313"/>
      <c r="AJ302" s="111">
        <f t="shared" si="93"/>
        <v>0</v>
      </c>
      <c r="AK302" s="235"/>
      <c r="AL302" s="111">
        <f>IF(SUMIFS('Shipments data'!L:L,'Shipments data'!F:F,'Supply planning data'!C302,'Shipments data'!A:A,'Supply planning data'!A302,'Shipments data'!O:O,"received",'Shipments data'!Q:Q,"&lt;"&amp;'Supply planning data'!D317,'Shipments data'!AC:AC,"&lt;"&amp;'Supply planning data'!D317)-SUMIFS(M:M,D:D,"&lt;="&amp;D302,C:C,C302)-SUMIFS(AJ:AJ,D:D,"&lt;="&amp;D302,C:C,C302)+SUMIFS(N:N,D:D,"&lt;="&amp;D302,C:C,C302)+SUMIFS(P:P,D:D,"&lt;="&amp;D302,C:C,C302)&lt;0,0,SUMIFS('Shipments data'!L:L,'Shipments data'!F:F,'Supply planning data'!C302,'Shipments data'!A:A,'Supply planning data'!A302,'Shipments data'!O:O,"received",'Shipments data'!Q:Q,"&lt;"&amp;'Supply planning data'!D317,'Shipments data'!AC:AC,"&lt;"&amp;'Supply planning data'!D317)-SUMIFS(M:M,D:D,"&lt;="&amp;D302,C:C,C302)-SUMIFS(AJ:AJ,D:D,"&lt;="&amp;D302,C:C,C302)+SUMIFS(N:N,D:D,"&lt;="&amp;D302,C:C,C302)+SUMIFS(P:P,D:D,"&lt;="&amp;D302,C:C,C302))</f>
        <v>0</v>
      </c>
      <c r="AM302" s="111">
        <f t="shared" si="102"/>
        <v>0</v>
      </c>
      <c r="AN302" s="111">
        <f t="shared" si="95"/>
        <v>0</v>
      </c>
      <c r="AO302" s="204" t="str">
        <f t="shared" si="105"/>
        <v/>
      </c>
    </row>
    <row r="303" spans="1:41" hidden="1" x14ac:dyDescent="0.25">
      <c r="A303" s="103" t="str">
        <f>Start!D$7</f>
        <v>Anyland</v>
      </c>
      <c r="B303" s="109" t="str">
        <f>VLOOKUP(A303,list!B:C,2,FALSE)</f>
        <v>ANY</v>
      </c>
      <c r="C303" s="109" t="str">
        <f>IF(Start!$C$30="","",Start!$C$30)</f>
        <v/>
      </c>
      <c r="D303" s="298">
        <f t="shared" si="96"/>
        <v>44774</v>
      </c>
      <c r="E303" s="105" t="str">
        <f>IFERROR(VLOOKUP(C303,Start!C$15:D$31,2,FALSE),"No")</f>
        <v>No</v>
      </c>
      <c r="F303" s="105">
        <f t="shared" si="97"/>
        <v>0</v>
      </c>
      <c r="G303" s="106"/>
      <c r="H303" s="106"/>
      <c r="I303" s="106"/>
      <c r="J303" s="105">
        <f t="shared" si="89"/>
        <v>0</v>
      </c>
      <c r="K303" s="106"/>
      <c r="L303" s="177" t="str">
        <f t="shared" si="90"/>
        <v/>
      </c>
      <c r="M303" s="105">
        <f t="shared" si="91"/>
        <v>0</v>
      </c>
      <c r="N303" s="110"/>
      <c r="O303" s="124"/>
      <c r="P303" s="110"/>
      <c r="Q303" s="124"/>
      <c r="R303" s="111">
        <f>SUMIFS('Shipments data'!L:L,'Shipments data'!F:F,'Supply planning data'!C303,'Shipments data'!A:A,'Supply planning data'!A303,'Shipments data'!Y:Y,'Supply planning data'!D303,'Shipments data'!O:O,"received", 'Shipments data'!N:N, "Public")</f>
        <v>0</v>
      </c>
      <c r="S303" s="111">
        <f>SUMIFS('Shipments data'!L:L,'Shipments data'!F:F,'Supply planning data'!C303,'Shipments data'!A:A,'Supply planning data'!A303,'Shipments data'!Y:Y,'Supply planning data'!D303,'Shipments data'!O:O,"ordered", 'Shipments data'!N:N, "Public")</f>
        <v>0</v>
      </c>
      <c r="T303" s="111">
        <f>IF(SUMIFS('Shipments data'!L:L,'Shipments data'!F:F,'Supply planning data'!C303,'Shipments data'!A:A,'Supply planning data'!A303,'Shipments data'!O:O,"received",'Shipments data'!Q:Q,"&lt;"&amp;'Supply planning data'!D318,'Shipments data'!AC:AC,"&lt;"&amp;'Supply planning data'!D318)-SUMIFS(M:M,D:D,"&lt;="&amp;D303,C:C,C303)+SUMIFS(N:N,D:D,"&lt;="&amp;D303,C:C,C303)+SUMIFS(P:P,D:D,"&lt;="&amp;D303,C:C,C303)&lt;0,0,SUMIFS('Shipments data'!L:L,'Shipments data'!F:F,'Supply planning data'!C303,'Shipments data'!A:A,'Supply planning data'!A303,'Shipments data'!O:O,"received",'Shipments data'!Q:Q,"&lt;"&amp;'Supply planning data'!D318,'Shipments data'!AC:AC,"&lt;"&amp;'Supply planning data'!D318)-SUMIFS(M:M,D:D,"&lt;="&amp;D303,C:C,C303)+SUMIFS(N:N,D:D,"&lt;="&amp;D303,C:C,C303)+SUMIFS(P:P,D:D,"&lt;="&amp;D303,C:C,C303))</f>
        <v>0</v>
      </c>
      <c r="U303" s="112">
        <f t="shared" si="98"/>
        <v>0</v>
      </c>
      <c r="V303" s="111">
        <f t="shared" si="87"/>
        <v>0</v>
      </c>
      <c r="W303" s="204" t="str">
        <f t="shared" si="104"/>
        <v/>
      </c>
      <c r="X303" s="111">
        <f t="shared" si="99"/>
        <v>0</v>
      </c>
      <c r="Y303" s="110"/>
      <c r="Z303" s="107"/>
      <c r="AA303" s="111">
        <f t="shared" si="92"/>
        <v>0</v>
      </c>
      <c r="AB303" s="235"/>
      <c r="AC303" s="111">
        <f>IF(SUMIFS('Shipments data'!L:L,'Shipments data'!F:F,'Supply planning data'!C303,'Shipments data'!A:A,'Supply planning data'!A303,'Shipments data'!O:O,"received",'Shipments data'!Q:Q,"&lt;"&amp;'Supply planning data'!D318,'Shipments data'!AC:AC,"&lt;"&amp;'Supply planning data'!D318)-SUMIFS(M:M,D:D,"&lt;="&amp;D303,C:C,C303)-SUMIFS(AA:AA,D:D,"&lt;="&amp;D303,C:C,C303)+SUMIFS(N:N,D:D,"&lt;="&amp;D303,C:C,C303)+SUMIFS(P:P,D:D,"&lt;="&amp;D303,C:C,C303)&lt;0,0,SUMIFS('Shipments data'!L:L,'Shipments data'!F:F,'Supply planning data'!C303,'Shipments data'!A:A,'Supply planning data'!A303,'Shipments data'!O:O,"received",'Shipments data'!Q:Q,"&lt;"&amp;'Supply planning data'!D318,'Shipments data'!AC:AC,"&lt;"&amp;'Supply planning data'!D318)-SUMIFS(M:M,D:D,"&lt;="&amp;D303,C:C,C303)-SUMIFS(AA:AA,D:D,"&lt;="&amp;D303,C:C,C303)+SUMIFS(N:N,D:D,"&lt;="&amp;D303,C:C,C303)+SUMIFS(P:P,D:D,"&lt;="&amp;D303,C:C,C303))</f>
        <v>0</v>
      </c>
      <c r="AD303" s="111">
        <f t="shared" si="100"/>
        <v>0</v>
      </c>
      <c r="AE303" s="111">
        <f t="shared" si="94"/>
        <v>0</v>
      </c>
      <c r="AF303" s="204" t="str">
        <f t="shared" si="103"/>
        <v/>
      </c>
      <c r="AG303" s="111">
        <f t="shared" si="101"/>
        <v>0</v>
      </c>
      <c r="AH303" s="110"/>
      <c r="AI303" s="313"/>
      <c r="AJ303" s="111">
        <f t="shared" si="93"/>
        <v>0</v>
      </c>
      <c r="AK303" s="235"/>
      <c r="AL303" s="111">
        <f>IF(SUMIFS('Shipments data'!L:L,'Shipments data'!F:F,'Supply planning data'!C303,'Shipments data'!A:A,'Supply planning data'!A303,'Shipments data'!O:O,"received",'Shipments data'!Q:Q,"&lt;"&amp;'Supply planning data'!D318,'Shipments data'!AC:AC,"&lt;"&amp;'Supply planning data'!D318)-SUMIFS(M:M,D:D,"&lt;="&amp;D303,C:C,C303)-SUMIFS(AJ:AJ,D:D,"&lt;="&amp;D303,C:C,C303)+SUMIFS(N:N,D:D,"&lt;="&amp;D303,C:C,C303)+SUMIFS(P:P,D:D,"&lt;="&amp;D303,C:C,C303)&lt;0,0,SUMIFS('Shipments data'!L:L,'Shipments data'!F:F,'Supply planning data'!C303,'Shipments data'!A:A,'Supply planning data'!A303,'Shipments data'!O:O,"received",'Shipments data'!Q:Q,"&lt;"&amp;'Supply planning data'!D318,'Shipments data'!AC:AC,"&lt;"&amp;'Supply planning data'!D318)-SUMIFS(M:M,D:D,"&lt;="&amp;D303,C:C,C303)-SUMIFS(AJ:AJ,D:D,"&lt;="&amp;D303,C:C,C303)+SUMIFS(N:N,D:D,"&lt;="&amp;D303,C:C,C303)+SUMIFS(P:P,D:D,"&lt;="&amp;D303,C:C,C303))</f>
        <v>0</v>
      </c>
      <c r="AM303" s="111">
        <f t="shared" si="102"/>
        <v>0</v>
      </c>
      <c r="AN303" s="111">
        <f t="shared" si="95"/>
        <v>0</v>
      </c>
      <c r="AO303" s="204" t="str">
        <f t="shared" si="105"/>
        <v/>
      </c>
    </row>
    <row r="304" spans="1:41" hidden="1" x14ac:dyDescent="0.25">
      <c r="A304" s="113" t="str">
        <f>Start!D$7</f>
        <v>Anyland</v>
      </c>
      <c r="B304" s="114" t="str">
        <f>VLOOKUP(A304,list!B:C,2,FALSE)</f>
        <v>ANY</v>
      </c>
      <c r="C304" s="104" t="str">
        <f>IF(Start!$C$31="","",Start!$C$31)</f>
        <v/>
      </c>
      <c r="D304" s="298">
        <f t="shared" si="96"/>
        <v>44774</v>
      </c>
      <c r="E304" s="105" t="str">
        <f>IFERROR(VLOOKUP(C304,Start!C$15:D$31,2,FALSE),"No")</f>
        <v>No</v>
      </c>
      <c r="F304" s="105">
        <f t="shared" si="97"/>
        <v>0</v>
      </c>
      <c r="G304" s="106"/>
      <c r="H304" s="106"/>
      <c r="I304" s="106"/>
      <c r="J304" s="105">
        <f t="shared" si="89"/>
        <v>0</v>
      </c>
      <c r="K304" s="106"/>
      <c r="L304" s="177" t="str">
        <f t="shared" si="90"/>
        <v/>
      </c>
      <c r="M304" s="105">
        <f t="shared" si="91"/>
        <v>0</v>
      </c>
      <c r="N304" s="110"/>
      <c r="O304" s="124"/>
      <c r="P304" s="110"/>
      <c r="Q304" s="124"/>
      <c r="R304" s="111">
        <f>SUMIFS('Shipments data'!L:L,'Shipments data'!F:F,'Supply planning data'!C304,'Shipments data'!A:A,'Supply planning data'!A304,'Shipments data'!Y:Y,'Supply planning data'!D304,'Shipments data'!O:O,"received", 'Shipments data'!N:N, "Public")</f>
        <v>0</v>
      </c>
      <c r="S304" s="111">
        <f>SUMIFS('Shipments data'!L:L,'Shipments data'!F:F,'Supply planning data'!C304,'Shipments data'!A:A,'Supply planning data'!A304,'Shipments data'!Y:Y,'Supply planning data'!D304,'Shipments data'!O:O,"ordered", 'Shipments data'!N:N, "Public")</f>
        <v>0</v>
      </c>
      <c r="T304" s="111">
        <f>IF(SUMIFS('Shipments data'!L:L,'Shipments data'!F:F,'Supply planning data'!C304,'Shipments data'!A:A,'Supply planning data'!A304,'Shipments data'!O:O,"received",'Shipments data'!Q:Q,"&lt;"&amp;'Supply planning data'!D319,'Shipments data'!AC:AC,"&lt;"&amp;'Supply planning data'!D319)-SUMIFS(M:M,D:D,"&lt;="&amp;D304,C:C,C304)+SUMIFS(N:N,D:D,"&lt;="&amp;D304,C:C,C304)+SUMIFS(P:P,D:D,"&lt;="&amp;D304,C:C,C304)&lt;0,0,SUMIFS('Shipments data'!L:L,'Shipments data'!F:F,'Supply planning data'!C304,'Shipments data'!A:A,'Supply planning data'!A304,'Shipments data'!O:O,"received",'Shipments data'!Q:Q,"&lt;"&amp;'Supply planning data'!D319,'Shipments data'!AC:AC,"&lt;"&amp;'Supply planning data'!D319)-SUMIFS(M:M,D:D,"&lt;="&amp;D304,C:C,C304)+SUMIFS(N:N,D:D,"&lt;="&amp;D304,C:C,C304)+SUMIFS(P:P,D:D,"&lt;="&amp;D304,C:C,C304))</f>
        <v>0</v>
      </c>
      <c r="U304" s="112">
        <f t="shared" si="98"/>
        <v>0</v>
      </c>
      <c r="V304" s="111">
        <f t="shared" si="87"/>
        <v>0</v>
      </c>
      <c r="W304" s="204" t="str">
        <f t="shared" si="104"/>
        <v/>
      </c>
      <c r="X304" s="111">
        <f t="shared" si="99"/>
        <v>0</v>
      </c>
      <c r="Y304" s="110"/>
      <c r="Z304" s="107"/>
      <c r="AA304" s="111">
        <f t="shared" si="92"/>
        <v>0</v>
      </c>
      <c r="AB304" s="235"/>
      <c r="AC304" s="111">
        <f>IF(SUMIFS('Shipments data'!L:L,'Shipments data'!F:F,'Supply planning data'!C304,'Shipments data'!A:A,'Supply planning data'!A304,'Shipments data'!O:O,"received",'Shipments data'!Q:Q,"&lt;"&amp;'Supply planning data'!D319,'Shipments data'!AC:AC,"&lt;"&amp;'Supply planning data'!D319)-SUMIFS(M:M,D:D,"&lt;="&amp;D304,C:C,C304)-SUMIFS(AA:AA,D:D,"&lt;="&amp;D304,C:C,C304)+SUMIFS(N:N,D:D,"&lt;="&amp;D304,C:C,C304)+SUMIFS(P:P,D:D,"&lt;="&amp;D304,C:C,C304)&lt;0,0,SUMIFS('Shipments data'!L:L,'Shipments data'!F:F,'Supply planning data'!C304,'Shipments data'!A:A,'Supply planning data'!A304,'Shipments data'!O:O,"received",'Shipments data'!Q:Q,"&lt;"&amp;'Supply planning data'!D319,'Shipments data'!AC:AC,"&lt;"&amp;'Supply planning data'!D319)-SUMIFS(M:M,D:D,"&lt;="&amp;D304,C:C,C304)-SUMIFS(AA:AA,D:D,"&lt;="&amp;D304,C:C,C304)+SUMIFS(N:N,D:D,"&lt;="&amp;D304,C:C,C304)+SUMIFS(P:P,D:D,"&lt;="&amp;D304,C:C,C304))</f>
        <v>0</v>
      </c>
      <c r="AD304" s="111">
        <f t="shared" si="100"/>
        <v>0</v>
      </c>
      <c r="AE304" s="111">
        <f t="shared" si="94"/>
        <v>0</v>
      </c>
      <c r="AF304" s="204" t="str">
        <f t="shared" si="103"/>
        <v/>
      </c>
      <c r="AG304" s="111">
        <f t="shared" si="101"/>
        <v>0</v>
      </c>
      <c r="AH304" s="110"/>
      <c r="AI304" s="313"/>
      <c r="AJ304" s="111">
        <f t="shared" si="93"/>
        <v>0</v>
      </c>
      <c r="AK304" s="235"/>
      <c r="AL304" s="111">
        <f>IF(SUMIFS('Shipments data'!L:L,'Shipments data'!F:F,'Supply planning data'!C304,'Shipments data'!A:A,'Supply planning data'!A304,'Shipments data'!O:O,"received",'Shipments data'!Q:Q,"&lt;"&amp;'Supply planning data'!D319,'Shipments data'!AC:AC,"&lt;"&amp;'Supply planning data'!D319)-SUMIFS(M:M,D:D,"&lt;="&amp;D304,C:C,C304)-SUMIFS(AJ:AJ,D:D,"&lt;="&amp;D304,C:C,C304)+SUMIFS(N:N,D:D,"&lt;="&amp;D304,C:C,C304)+SUMIFS(P:P,D:D,"&lt;="&amp;D304,C:C,C304)&lt;0,0,SUMIFS('Shipments data'!L:L,'Shipments data'!F:F,'Supply planning data'!C304,'Shipments data'!A:A,'Supply planning data'!A304,'Shipments data'!O:O,"received",'Shipments data'!Q:Q,"&lt;"&amp;'Supply planning data'!D319,'Shipments data'!AC:AC,"&lt;"&amp;'Supply planning data'!D319)-SUMIFS(M:M,D:D,"&lt;="&amp;D304,C:C,C304)-SUMIFS(AJ:AJ,D:D,"&lt;="&amp;D304,C:C,C304)+SUMIFS(N:N,D:D,"&lt;="&amp;D304,C:C,C304)+SUMIFS(P:P,D:D,"&lt;="&amp;D304,C:C,C304))</f>
        <v>0</v>
      </c>
      <c r="AM304" s="111">
        <f t="shared" si="102"/>
        <v>0</v>
      </c>
      <c r="AN304" s="111">
        <f t="shared" si="95"/>
        <v>0</v>
      </c>
      <c r="AO304" s="204" t="str">
        <f t="shared" si="105"/>
        <v/>
      </c>
    </row>
    <row r="305" spans="1:41" x14ac:dyDescent="0.25">
      <c r="A305" s="89" t="str">
        <f>Start!D$7</f>
        <v>Anyland</v>
      </c>
      <c r="B305" s="90" t="str">
        <f>VLOOKUP(A305,list!B:C,2,FALSE)</f>
        <v>ANY</v>
      </c>
      <c r="C305" s="90" t="str">
        <f>IF(Start!$C$17="","",Start!$C$17)</f>
        <v>AstraZeneca</v>
      </c>
      <c r="D305" s="296">
        <f t="shared" si="96"/>
        <v>44805</v>
      </c>
      <c r="E305" s="92" t="str">
        <f>IFERROR(VLOOKUP(C305,Start!C$15:D$31,2,FALSE),"No")</f>
        <v>Yes</v>
      </c>
      <c r="F305" s="92">
        <f t="shared" si="97"/>
        <v>0</v>
      </c>
      <c r="G305" s="91"/>
      <c r="H305" s="91"/>
      <c r="I305" s="91"/>
      <c r="J305" s="92">
        <f t="shared" si="89"/>
        <v>0</v>
      </c>
      <c r="K305" s="91"/>
      <c r="L305" s="174" t="str">
        <f t="shared" si="90"/>
        <v/>
      </c>
      <c r="M305" s="92">
        <f t="shared" si="91"/>
        <v>0</v>
      </c>
      <c r="N305" s="91"/>
      <c r="O305" s="121"/>
      <c r="P305" s="91"/>
      <c r="Q305" s="121"/>
      <c r="R305" s="92">
        <f>SUMIFS('Shipments data'!L:L,'Shipments data'!F:F,'Supply planning data'!C305,'Shipments data'!A:A,'Supply planning data'!A305,'Shipments data'!Y:Y,'Supply planning data'!D305,'Shipments data'!O:O,"received", 'Shipments data'!N:N, "Public")</f>
        <v>0</v>
      </c>
      <c r="S305" s="92">
        <f>SUMIFS('Shipments data'!L:L,'Shipments data'!F:F,'Supply planning data'!C305,'Shipments data'!A:A,'Supply planning data'!A305,'Shipments data'!Y:Y,'Supply planning data'!D305,'Shipments data'!O:O,"ordered", 'Shipments data'!N:N, "Public")</f>
        <v>0</v>
      </c>
      <c r="T305" s="92">
        <f>IF(SUMIFS('Shipments data'!L:L,'Shipments data'!F:F,'Supply planning data'!C305,'Shipments data'!A:A,'Supply planning data'!A305,'Shipments data'!O:O,"received",'Shipments data'!Q:Q,"&lt;"&amp;'Supply planning data'!D320,'Shipments data'!AC:AC,"&lt;"&amp;'Supply planning data'!D320)-SUMIFS(M:M,D:D,"&lt;="&amp;D305,C:C,C305)+SUMIFS(N:N,D:D,"&lt;="&amp;D305,C:C,C305)+SUMIFS(P:P,D:D,"&lt;="&amp;D305,C:C,C305)&lt;0,0,SUMIFS('Shipments data'!L:L,'Shipments data'!F:F,'Supply planning data'!C305,'Shipments data'!A:A,'Supply planning data'!A305,'Shipments data'!O:O,"received",'Shipments data'!Q:Q,"&lt;"&amp;'Supply planning data'!D320,'Shipments data'!AC:AC,"&lt;"&amp;'Supply planning data'!D320)-SUMIFS(M:M,D:D,"&lt;="&amp;D305,C:C,C305)+SUMIFS(N:N,D:D,"&lt;="&amp;D305,C:C,C305)+SUMIFS(P:P,D:D,"&lt;="&amp;D305,C:C,C305))</f>
        <v>0</v>
      </c>
      <c r="U305" s="94">
        <f t="shared" si="98"/>
        <v>0</v>
      </c>
      <c r="V305" s="92">
        <f t="shared" si="87"/>
        <v>0</v>
      </c>
      <c r="W305" s="205" t="str">
        <f t="shared" si="104"/>
        <v/>
      </c>
      <c r="X305" s="92">
        <f t="shared" si="99"/>
        <v>394701</v>
      </c>
      <c r="Y305" s="91">
        <v>80000</v>
      </c>
      <c r="Z305" s="93"/>
      <c r="AA305" s="92">
        <f t="shared" si="92"/>
        <v>80000</v>
      </c>
      <c r="AB305" s="232"/>
      <c r="AC305" s="92">
        <f>IF(SUMIFS('Shipments data'!L:L,'Shipments data'!F:F,'Supply planning data'!C305,'Shipments data'!A:A,'Supply planning data'!A305,'Shipments data'!O:O,"received",'Shipments data'!Q:Q,"&lt;"&amp;'Supply planning data'!D320,'Shipments data'!AC:AC,"&lt;"&amp;'Supply planning data'!D320)-SUMIFS(M:M,D:D,"&lt;="&amp;D305,C:C,C305)-SUMIFS(AA:AA,D:D,"&lt;="&amp;D305,C:C,C305)+SUMIFS(N:N,D:D,"&lt;="&amp;D305,C:C,C305)+SUMIFS(P:P,D:D,"&lt;="&amp;D305,C:C,C305)&lt;0,0,SUMIFS('Shipments data'!L:L,'Shipments data'!F:F,'Supply planning data'!C305,'Shipments data'!A:A,'Supply planning data'!A305,'Shipments data'!O:O,"received",'Shipments data'!Q:Q,"&lt;"&amp;'Supply planning data'!D320,'Shipments data'!AC:AC,"&lt;"&amp;'Supply planning data'!D320)-SUMIFS(M:M,D:D,"&lt;="&amp;D305,C:C,C305)-SUMIFS(AA:AA,D:D,"&lt;="&amp;D305,C:C,C305)+SUMIFS(N:N,D:D,"&lt;="&amp;D305,C:C,C305)+SUMIFS(P:P,D:D,"&lt;="&amp;D305,C:C,C305))</f>
        <v>0</v>
      </c>
      <c r="AD305" s="92">
        <f t="shared" si="100"/>
        <v>0</v>
      </c>
      <c r="AE305" s="92">
        <f t="shared" si="94"/>
        <v>314701</v>
      </c>
      <c r="AF305" s="205">
        <f t="shared" si="103"/>
        <v>3.9337624999999998</v>
      </c>
      <c r="AG305" s="92">
        <f t="shared" si="101"/>
        <v>0</v>
      </c>
      <c r="AH305" s="91"/>
      <c r="AI305" s="310"/>
      <c r="AJ305" s="92">
        <f t="shared" si="93"/>
        <v>0</v>
      </c>
      <c r="AK305" s="232"/>
      <c r="AL305" s="92">
        <f>IF(SUMIFS('Shipments data'!L:L,'Shipments data'!F:F,'Supply planning data'!C305,'Shipments data'!A:A,'Supply planning data'!A305,'Shipments data'!O:O,"received",'Shipments data'!Q:Q,"&lt;"&amp;'Supply planning data'!D320,'Shipments data'!AC:AC,"&lt;"&amp;'Supply planning data'!D320)-SUMIFS(M:M,D:D,"&lt;="&amp;D305,C:C,C305)-SUMIFS(AJ:AJ,D:D,"&lt;="&amp;D305,C:C,C305)+SUMIFS(N:N,D:D,"&lt;="&amp;D305,C:C,C305)+SUMIFS(P:P,D:D,"&lt;="&amp;D305,C:C,C305)&lt;0,0,SUMIFS('Shipments data'!L:L,'Shipments data'!F:F,'Supply planning data'!C305,'Shipments data'!A:A,'Supply planning data'!A305,'Shipments data'!O:O,"received",'Shipments data'!Q:Q,"&lt;"&amp;'Supply planning data'!D320,'Shipments data'!AC:AC,"&lt;"&amp;'Supply planning data'!D320)-SUMIFS(M:M,D:D,"&lt;="&amp;D305,C:C,C305)-SUMIFS(AJ:AJ,D:D,"&lt;="&amp;D305,C:C,C305)+SUMIFS(N:N,D:D,"&lt;="&amp;D305,C:C,C305)+SUMIFS(P:P,D:D,"&lt;="&amp;D305,C:C,C305))</f>
        <v>0</v>
      </c>
      <c r="AM305" s="92">
        <f t="shared" si="102"/>
        <v>0</v>
      </c>
      <c r="AN305" s="92">
        <f t="shared" si="95"/>
        <v>0</v>
      </c>
      <c r="AO305" s="205" t="str">
        <f t="shared" si="105"/>
        <v/>
      </c>
    </row>
    <row r="306" spans="1:41" x14ac:dyDescent="0.25">
      <c r="A306" s="95" t="str">
        <f>Start!D$7</f>
        <v>Anyland</v>
      </c>
      <c r="B306" s="96" t="str">
        <f>VLOOKUP(A306,list!B:C,2,FALSE)</f>
        <v>ANY</v>
      </c>
      <c r="C306" s="90" t="str">
        <f>IF(Start!$C$18="","",Start!$C$18)</f>
        <v>Jansen</v>
      </c>
      <c r="D306" s="296">
        <f t="shared" si="96"/>
        <v>44805</v>
      </c>
      <c r="E306" s="92" t="str">
        <f>IFERROR(VLOOKUP(C306,Start!C$15:D$31,2,FALSE),"No")</f>
        <v>Yes</v>
      </c>
      <c r="F306" s="92">
        <f t="shared" si="97"/>
        <v>2058747</v>
      </c>
      <c r="G306" s="91"/>
      <c r="H306" s="97"/>
      <c r="I306" s="97"/>
      <c r="J306" s="98">
        <f t="shared" si="89"/>
        <v>0</v>
      </c>
      <c r="K306" s="97"/>
      <c r="L306" s="175" t="str">
        <f t="shared" si="90"/>
        <v/>
      </c>
      <c r="M306" s="98">
        <f t="shared" si="91"/>
        <v>0</v>
      </c>
      <c r="N306" s="97"/>
      <c r="O306" s="122"/>
      <c r="P306" s="97"/>
      <c r="Q306" s="122"/>
      <c r="R306" s="98">
        <f>SUMIFS('Shipments data'!L:L,'Shipments data'!F:F,'Supply planning data'!C306,'Shipments data'!A:A,'Supply planning data'!A306,'Shipments data'!Y:Y,'Supply planning data'!D306,'Shipments data'!O:O,"received", 'Shipments data'!N:N, "Public")</f>
        <v>0</v>
      </c>
      <c r="S306" s="98">
        <f>SUMIFS('Shipments data'!L:L,'Shipments data'!F:F,'Supply planning data'!C306,'Shipments data'!A:A,'Supply planning data'!A306,'Shipments data'!Y:Y,'Supply planning data'!D306,'Shipments data'!O:O,"ordered", 'Shipments data'!N:N, "Public")</f>
        <v>0</v>
      </c>
      <c r="T306" s="98">
        <f>IF(SUMIFS('Shipments data'!L:L,'Shipments data'!F:F,'Supply planning data'!C306,'Shipments data'!A:A,'Supply planning data'!A306,'Shipments data'!O:O,"received",'Shipments data'!Q:Q,"&lt;"&amp;'Supply planning data'!D321,'Shipments data'!AC:AC,"&lt;"&amp;'Supply planning data'!D321)-SUMIFS(M:M,D:D,"&lt;="&amp;D306,C:C,C306)+SUMIFS(N:N,D:D,"&lt;="&amp;D306,C:C,C306)+SUMIFS(P:P,D:D,"&lt;="&amp;D306,C:C,C306)&lt;0,0,SUMIFS('Shipments data'!L:L,'Shipments data'!F:F,'Supply planning data'!C306,'Shipments data'!A:A,'Supply planning data'!A306,'Shipments data'!O:O,"received",'Shipments data'!Q:Q,"&lt;"&amp;'Supply planning data'!D321,'Shipments data'!AC:AC,"&lt;"&amp;'Supply planning data'!D321)-SUMIFS(M:M,D:D,"&lt;="&amp;D306,C:C,C306)+SUMIFS(N:N,D:D,"&lt;="&amp;D306,C:C,C306)+SUMIFS(P:P,D:D,"&lt;="&amp;D306,C:C,C306))</f>
        <v>0</v>
      </c>
      <c r="U306" s="99">
        <f t="shared" si="98"/>
        <v>0</v>
      </c>
      <c r="V306" s="98">
        <f t="shared" si="87"/>
        <v>2058747</v>
      </c>
      <c r="W306" s="203" t="str">
        <f t="shared" si="104"/>
        <v/>
      </c>
      <c r="X306" s="98">
        <f t="shared" si="99"/>
        <v>1738747</v>
      </c>
      <c r="Y306" s="97">
        <v>80000</v>
      </c>
      <c r="Z306" s="93"/>
      <c r="AA306" s="98">
        <f t="shared" si="92"/>
        <v>80000</v>
      </c>
      <c r="AB306" s="233"/>
      <c r="AC306" s="98">
        <f>IF(SUMIFS('Shipments data'!L:L,'Shipments data'!F:F,'Supply planning data'!C306,'Shipments data'!A:A,'Supply planning data'!A306,'Shipments data'!O:O,"received",'Shipments data'!Q:Q,"&lt;"&amp;'Supply planning data'!D321,'Shipments data'!AC:AC,"&lt;"&amp;'Supply planning data'!D321)-SUMIFS(M:M,D:D,"&lt;="&amp;D306,C:C,C306)-SUMIFS(AA:AA,D:D,"&lt;="&amp;D306,C:C,C306)+SUMIFS(N:N,D:D,"&lt;="&amp;D306,C:C,C306)+SUMIFS(P:P,D:D,"&lt;="&amp;D306,C:C,C306)&lt;0,0,SUMIFS('Shipments data'!L:L,'Shipments data'!F:F,'Supply planning data'!C306,'Shipments data'!A:A,'Supply planning data'!A306,'Shipments data'!O:O,"received",'Shipments data'!Q:Q,"&lt;"&amp;'Supply planning data'!D321,'Shipments data'!AC:AC,"&lt;"&amp;'Supply planning data'!D321)-SUMIFS(M:M,D:D,"&lt;="&amp;D306,C:C,C306)-SUMIFS(AA:AA,D:D,"&lt;="&amp;D306,C:C,C306)+SUMIFS(N:N,D:D,"&lt;="&amp;D306,C:C,C306)+SUMIFS(P:P,D:D,"&lt;="&amp;D306,C:C,C306))</f>
        <v>0</v>
      </c>
      <c r="AD306" s="98">
        <f>IF(AC306-AC291&lt;0,0,AC306-AC291)</f>
        <v>0</v>
      </c>
      <c r="AE306" s="98">
        <f t="shared" si="94"/>
        <v>1658747</v>
      </c>
      <c r="AF306" s="205">
        <f t="shared" si="103"/>
        <v>20.734337499999999</v>
      </c>
      <c r="AG306" s="98">
        <f t="shared" si="101"/>
        <v>2058747</v>
      </c>
      <c r="AH306" s="97"/>
      <c r="AI306" s="311"/>
      <c r="AJ306" s="98">
        <f t="shared" si="93"/>
        <v>0</v>
      </c>
      <c r="AK306" s="233"/>
      <c r="AL306" s="98">
        <f>IF(SUMIFS('Shipments data'!L:L,'Shipments data'!F:F,'Supply planning data'!C306,'Shipments data'!A:A,'Supply planning data'!A306,'Shipments data'!O:O,"received",'Shipments data'!Q:Q,"&lt;"&amp;'Supply planning data'!D321,'Shipments data'!AC:AC,"&lt;"&amp;'Supply planning data'!D321)-SUMIFS(M:M,D:D,"&lt;="&amp;D306,C:C,C306)-SUMIFS(AJ:AJ,D:D,"&lt;="&amp;D306,C:C,C306)+SUMIFS(N:N,D:D,"&lt;="&amp;D306,C:C,C306)+SUMIFS(P:P,D:D,"&lt;="&amp;D306,C:C,C306)&lt;0,0,SUMIFS('Shipments data'!L:L,'Shipments data'!F:F,'Supply planning data'!C306,'Shipments data'!A:A,'Supply planning data'!A306,'Shipments data'!O:O,"received",'Shipments data'!Q:Q,"&lt;"&amp;'Supply planning data'!D321,'Shipments data'!AC:AC,"&lt;"&amp;'Supply planning data'!D321)-SUMIFS(M:M,D:D,"&lt;="&amp;D306,C:C,C306)-SUMIFS(AJ:AJ,D:D,"&lt;="&amp;D306,C:C,C306)+SUMIFS(N:N,D:D,"&lt;="&amp;D306,C:C,C306)+SUMIFS(P:P,D:D,"&lt;="&amp;D306,C:C,C306))</f>
        <v>0</v>
      </c>
      <c r="AM306" s="98">
        <f>IF(AL306-AL291&lt;0,0,AL306-AL291)</f>
        <v>0</v>
      </c>
      <c r="AN306" s="98">
        <f t="shared" si="95"/>
        <v>2058747</v>
      </c>
      <c r="AO306" s="203" t="str">
        <f t="shared" si="105"/>
        <v/>
      </c>
    </row>
    <row r="307" spans="1:41" x14ac:dyDescent="0.25">
      <c r="A307" s="95" t="str">
        <f>Start!D$7</f>
        <v>Anyland</v>
      </c>
      <c r="B307" s="96" t="str">
        <f>VLOOKUP(A307,list!B:C,2,FALSE)</f>
        <v>ANY</v>
      </c>
      <c r="C307" s="90" t="str">
        <f>IF(Start!$C$19="","",Start!$C$19)</f>
        <v>Moderna</v>
      </c>
      <c r="D307" s="296">
        <f t="shared" si="96"/>
        <v>44805</v>
      </c>
      <c r="E307" s="92" t="str">
        <f>IFERROR(VLOOKUP(C307,Start!C$15:D$31,2,FALSE),"No")</f>
        <v>No</v>
      </c>
      <c r="F307" s="92">
        <f t="shared" si="97"/>
        <v>0</v>
      </c>
      <c r="G307" s="91"/>
      <c r="H307" s="97"/>
      <c r="I307" s="97"/>
      <c r="J307" s="98">
        <f t="shared" si="89"/>
        <v>0</v>
      </c>
      <c r="K307" s="97"/>
      <c r="L307" s="175" t="str">
        <f t="shared" si="90"/>
        <v/>
      </c>
      <c r="M307" s="98">
        <f t="shared" si="91"/>
        <v>0</v>
      </c>
      <c r="N307" s="97"/>
      <c r="O307" s="122"/>
      <c r="P307" s="97"/>
      <c r="Q307" s="122"/>
      <c r="R307" s="98">
        <f>SUMIFS('Shipments data'!L:L,'Shipments data'!F:F,'Supply planning data'!C307,'Shipments data'!A:A,'Supply planning data'!A307,'Shipments data'!Y:Y,'Supply planning data'!D307,'Shipments data'!O:O,"received", 'Shipments data'!N:N, "Public")</f>
        <v>0</v>
      </c>
      <c r="S307" s="98">
        <f>SUMIFS('Shipments data'!L:L,'Shipments data'!F:F,'Supply planning data'!C307,'Shipments data'!A:A,'Supply planning data'!A307,'Shipments data'!Y:Y,'Supply planning data'!D307,'Shipments data'!O:O,"ordered", 'Shipments data'!N:N, "Public")</f>
        <v>0</v>
      </c>
      <c r="T307" s="98">
        <f>IF(SUMIFS('Shipments data'!L:L,'Shipments data'!F:F,'Supply planning data'!C307,'Shipments data'!A:A,'Supply planning data'!A307,'Shipments data'!O:O,"received",'Shipments data'!Q:Q,"&lt;"&amp;'Supply planning data'!D322,'Shipments data'!AC:AC,"&lt;"&amp;'Supply planning data'!D322)-SUMIFS(M:M,D:D,"&lt;="&amp;D307,C:C,C307)+SUMIFS(N:N,D:D,"&lt;="&amp;D307,C:C,C307)+SUMIFS(P:P,D:D,"&lt;="&amp;D307,C:C,C307)&lt;0,0,SUMIFS('Shipments data'!L:L,'Shipments data'!F:F,'Supply planning data'!C307,'Shipments data'!A:A,'Supply planning data'!A307,'Shipments data'!O:O,"received",'Shipments data'!Q:Q,"&lt;"&amp;'Supply planning data'!D322,'Shipments data'!AC:AC,"&lt;"&amp;'Supply planning data'!D322)-SUMIFS(M:M,D:D,"&lt;="&amp;D307,C:C,C307)+SUMIFS(N:N,D:D,"&lt;="&amp;D307,C:C,C307)+SUMIFS(P:P,D:D,"&lt;="&amp;D307,C:C,C307))</f>
        <v>0</v>
      </c>
      <c r="U307" s="99">
        <f t="shared" si="98"/>
        <v>0</v>
      </c>
      <c r="V307" s="98">
        <f t="shared" ref="V307:V370" si="106">IF(F307-M307+N307+P307+R307+S307-U307&lt;0,0,F307-M307+N307+P307+R307+S307-U307)</f>
        <v>0</v>
      </c>
      <c r="W307" s="203" t="str">
        <f t="shared" si="104"/>
        <v/>
      </c>
      <c r="X307" s="98">
        <f t="shared" si="99"/>
        <v>0</v>
      </c>
      <c r="Y307" s="97">
        <v>80000</v>
      </c>
      <c r="Z307" s="93"/>
      <c r="AA307" s="98">
        <f t="shared" si="92"/>
        <v>80000</v>
      </c>
      <c r="AB307" s="233"/>
      <c r="AC307" s="98">
        <f>IF(SUMIFS('Shipments data'!L:L,'Shipments data'!F:F,'Supply planning data'!C307,'Shipments data'!A:A,'Supply planning data'!A307,'Shipments data'!O:O,"received",'Shipments data'!Q:Q,"&lt;"&amp;'Supply planning data'!D322,'Shipments data'!AC:AC,"&lt;"&amp;'Supply planning data'!D322)-SUMIFS(M:M,D:D,"&lt;="&amp;D307,C:C,C307)-SUMIFS(AA:AA,D:D,"&lt;="&amp;D307,C:C,C307)+SUMIFS(N:N,D:D,"&lt;="&amp;D307,C:C,C307)+SUMIFS(P:P,D:D,"&lt;="&amp;D307,C:C,C307)&lt;0,0,SUMIFS('Shipments data'!L:L,'Shipments data'!F:F,'Supply planning data'!C307,'Shipments data'!A:A,'Supply planning data'!A307,'Shipments data'!O:O,"received",'Shipments data'!Q:Q,"&lt;"&amp;'Supply planning data'!D322,'Shipments data'!AC:AC,"&lt;"&amp;'Supply planning data'!D322)-SUMIFS(M:M,D:D,"&lt;="&amp;D307,C:C,C307)-SUMIFS(AA:AA,D:D,"&lt;="&amp;D307,C:C,C307)+SUMIFS(N:N,D:D,"&lt;="&amp;D307,C:C,C307)+SUMIFS(P:P,D:D,"&lt;="&amp;D307,C:C,C307))</f>
        <v>0</v>
      </c>
      <c r="AD307" s="98">
        <f t="shared" si="100"/>
        <v>0</v>
      </c>
      <c r="AE307" s="98">
        <f t="shared" si="94"/>
        <v>0</v>
      </c>
      <c r="AF307" s="205">
        <f t="shared" si="103"/>
        <v>0</v>
      </c>
      <c r="AG307" s="98">
        <f t="shared" si="101"/>
        <v>0</v>
      </c>
      <c r="AH307" s="97"/>
      <c r="AI307" s="311"/>
      <c r="AJ307" s="98">
        <f t="shared" si="93"/>
        <v>0</v>
      </c>
      <c r="AK307" s="233"/>
      <c r="AL307" s="98">
        <f>IF(SUMIFS('Shipments data'!L:L,'Shipments data'!F:F,'Supply planning data'!C307,'Shipments data'!A:A,'Supply planning data'!A307,'Shipments data'!O:O,"received",'Shipments data'!Q:Q,"&lt;"&amp;'Supply planning data'!D322,'Shipments data'!AC:AC,"&lt;"&amp;'Supply planning data'!D322)-SUMIFS(M:M,D:D,"&lt;="&amp;D307,C:C,C307)-SUMIFS(AJ:AJ,D:D,"&lt;="&amp;D307,C:C,C307)+SUMIFS(N:N,D:D,"&lt;="&amp;D307,C:C,C307)+SUMIFS(P:P,D:D,"&lt;="&amp;D307,C:C,C307)&lt;0,0,SUMIFS('Shipments data'!L:L,'Shipments data'!F:F,'Supply planning data'!C307,'Shipments data'!A:A,'Supply planning data'!A307,'Shipments data'!O:O,"received",'Shipments data'!Q:Q,"&lt;"&amp;'Supply planning data'!D322,'Shipments data'!AC:AC,"&lt;"&amp;'Supply planning data'!D322)-SUMIFS(M:M,D:D,"&lt;="&amp;D307,C:C,C307)-SUMIFS(AJ:AJ,D:D,"&lt;="&amp;D307,C:C,C307)+SUMIFS(N:N,D:D,"&lt;="&amp;D307,C:C,C307)+SUMIFS(P:P,D:D,"&lt;="&amp;D307,C:C,C307))</f>
        <v>0</v>
      </c>
      <c r="AM307" s="98">
        <f t="shared" si="102"/>
        <v>0</v>
      </c>
      <c r="AN307" s="98">
        <f t="shared" si="95"/>
        <v>0</v>
      </c>
      <c r="AO307" s="203" t="str">
        <f t="shared" si="105"/>
        <v/>
      </c>
    </row>
    <row r="308" spans="1:41" x14ac:dyDescent="0.25">
      <c r="A308" s="95" t="str">
        <f>Start!D$7</f>
        <v>Anyland</v>
      </c>
      <c r="B308" s="96" t="str">
        <f>VLOOKUP(A308,list!B:C,2,FALSE)</f>
        <v>ANY</v>
      </c>
      <c r="C308" s="90" t="str">
        <f>IF(Start!$C$20="","",Start!$C$20)</f>
        <v>Pfizer</v>
      </c>
      <c r="D308" s="296">
        <f t="shared" si="96"/>
        <v>44805</v>
      </c>
      <c r="E308" s="92" t="str">
        <f>IFERROR(VLOOKUP(C308,Start!C$15:D$31,2,FALSE),"No")</f>
        <v>Yes</v>
      </c>
      <c r="F308" s="92">
        <f t="shared" si="97"/>
        <v>3000000</v>
      </c>
      <c r="G308" s="91"/>
      <c r="H308" s="97"/>
      <c r="I308" s="97"/>
      <c r="J308" s="98">
        <f t="shared" si="89"/>
        <v>0</v>
      </c>
      <c r="K308" s="97"/>
      <c r="L308" s="175" t="str">
        <f t="shared" si="90"/>
        <v/>
      </c>
      <c r="M308" s="98">
        <f t="shared" si="91"/>
        <v>0</v>
      </c>
      <c r="N308" s="97"/>
      <c r="O308" s="122"/>
      <c r="P308" s="97"/>
      <c r="Q308" s="122"/>
      <c r="R308" s="98">
        <f>SUMIFS('Shipments data'!L:L,'Shipments data'!F:F,'Supply planning data'!C308,'Shipments data'!A:A,'Supply planning data'!A308,'Shipments data'!Y:Y,'Supply planning data'!D308,'Shipments data'!O:O,"received", 'Shipments data'!N:N, "Public")</f>
        <v>0</v>
      </c>
      <c r="S308" s="98">
        <f>SUMIFS('Shipments data'!L:L,'Shipments data'!F:F,'Supply planning data'!C308,'Shipments data'!A:A,'Supply planning data'!A308,'Shipments data'!Y:Y,'Supply planning data'!D308,'Shipments data'!O:O,"ordered", 'Shipments data'!N:N, "Public")</f>
        <v>0</v>
      </c>
      <c r="T308" s="98">
        <f>IF(SUMIFS('Shipments data'!L:L,'Shipments data'!F:F,'Supply planning data'!C308,'Shipments data'!A:A,'Supply planning data'!A308,'Shipments data'!O:O,"received",'Shipments data'!Q:Q,"&lt;"&amp;'Supply planning data'!D323,'Shipments data'!AC:AC,"&lt;"&amp;'Supply planning data'!D323)-SUMIFS(M:M,D:D,"&lt;="&amp;D308,C:C,C308)+SUMIFS(N:N,D:D,"&lt;="&amp;D308,C:C,C308)+SUMIFS(P:P,D:D,"&lt;="&amp;D308,C:C,C308)&lt;0,0,SUMIFS('Shipments data'!L:L,'Shipments data'!F:F,'Supply planning data'!C308,'Shipments data'!A:A,'Supply planning data'!A308,'Shipments data'!O:O,"received",'Shipments data'!Q:Q,"&lt;"&amp;'Supply planning data'!D323,'Shipments data'!AC:AC,"&lt;"&amp;'Supply planning data'!D323)-SUMIFS(M:M,D:D,"&lt;="&amp;D308,C:C,C308)+SUMIFS(N:N,D:D,"&lt;="&amp;D308,C:C,C308)+SUMIFS(P:P,D:D,"&lt;="&amp;D308,C:C,C308))</f>
        <v>110538</v>
      </c>
      <c r="U308" s="99">
        <f t="shared" si="98"/>
        <v>0</v>
      </c>
      <c r="V308" s="98">
        <f t="shared" si="106"/>
        <v>3000000</v>
      </c>
      <c r="W308" s="203" t="str">
        <f t="shared" si="104"/>
        <v/>
      </c>
      <c r="X308" s="98">
        <f t="shared" si="99"/>
        <v>2680000</v>
      </c>
      <c r="Y308" s="97">
        <v>80000</v>
      </c>
      <c r="Z308" s="93"/>
      <c r="AA308" s="98">
        <f t="shared" si="92"/>
        <v>80000</v>
      </c>
      <c r="AB308" s="233"/>
      <c r="AC308" s="98">
        <f>IF(SUMIFS('Shipments data'!L:L,'Shipments data'!F:F,'Supply planning data'!C308,'Shipments data'!A:A,'Supply planning data'!A308,'Shipments data'!O:O,"received",'Shipments data'!Q:Q,"&lt;"&amp;'Supply planning data'!D323,'Shipments data'!AC:AC,"&lt;"&amp;'Supply planning data'!D323)-SUMIFS(M:M,D:D,"&lt;="&amp;D308,C:C,C308)-SUMIFS(AA:AA,D:D,"&lt;="&amp;D308,C:C,C308)+SUMIFS(N:N,D:D,"&lt;="&amp;D308,C:C,C308)+SUMIFS(P:P,D:D,"&lt;="&amp;D308,C:C,C308)&lt;0,0,SUMIFS('Shipments data'!L:L,'Shipments data'!F:F,'Supply planning data'!C308,'Shipments data'!A:A,'Supply planning data'!A308,'Shipments data'!O:O,"received",'Shipments data'!Q:Q,"&lt;"&amp;'Supply planning data'!D323,'Shipments data'!AC:AC,"&lt;"&amp;'Supply planning data'!D323)-SUMIFS(M:M,D:D,"&lt;="&amp;D308,C:C,C308)-SUMIFS(AA:AA,D:D,"&lt;="&amp;D308,C:C,C308)+SUMIFS(N:N,D:D,"&lt;="&amp;D308,C:C,C308)+SUMIFS(P:P,D:D,"&lt;="&amp;D308,C:C,C308))</f>
        <v>0</v>
      </c>
      <c r="AD308" s="98">
        <f t="shared" si="100"/>
        <v>0</v>
      </c>
      <c r="AE308" s="98">
        <f t="shared" si="94"/>
        <v>2600000</v>
      </c>
      <c r="AF308" s="205">
        <f t="shared" si="103"/>
        <v>32.5</v>
      </c>
      <c r="AG308" s="98">
        <f t="shared" si="101"/>
        <v>3000000</v>
      </c>
      <c r="AH308" s="97"/>
      <c r="AI308" s="311"/>
      <c r="AJ308" s="98">
        <f t="shared" si="93"/>
        <v>0</v>
      </c>
      <c r="AK308" s="233"/>
      <c r="AL308" s="98">
        <f>IF(SUMIFS('Shipments data'!L:L,'Shipments data'!F:F,'Supply planning data'!C308,'Shipments data'!A:A,'Supply planning data'!A308,'Shipments data'!O:O,"received",'Shipments data'!Q:Q,"&lt;"&amp;'Supply planning data'!D323,'Shipments data'!AC:AC,"&lt;"&amp;'Supply planning data'!D323)-SUMIFS(M:M,D:D,"&lt;="&amp;D308,C:C,C308)-SUMIFS(AJ:AJ,D:D,"&lt;="&amp;D308,C:C,C308)+SUMIFS(N:N,D:D,"&lt;="&amp;D308,C:C,C308)+SUMIFS(P:P,D:D,"&lt;="&amp;D308,C:C,C308)&lt;0,0,SUMIFS('Shipments data'!L:L,'Shipments data'!F:F,'Supply planning data'!C308,'Shipments data'!A:A,'Supply planning data'!A308,'Shipments data'!O:O,"received",'Shipments data'!Q:Q,"&lt;"&amp;'Supply planning data'!D323,'Shipments data'!AC:AC,"&lt;"&amp;'Supply planning data'!D323)-SUMIFS(M:M,D:D,"&lt;="&amp;D308,C:C,C308)-SUMIFS(AJ:AJ,D:D,"&lt;="&amp;D308,C:C,C308)+SUMIFS(N:N,D:D,"&lt;="&amp;D308,C:C,C308)+SUMIFS(P:P,D:D,"&lt;="&amp;D308,C:C,C308))</f>
        <v>110538</v>
      </c>
      <c r="AM308" s="98">
        <f t="shared" si="102"/>
        <v>0</v>
      </c>
      <c r="AN308" s="98">
        <f t="shared" si="95"/>
        <v>3000000</v>
      </c>
      <c r="AO308" s="203" t="str">
        <f t="shared" si="105"/>
        <v/>
      </c>
    </row>
    <row r="309" spans="1:41" x14ac:dyDescent="0.25">
      <c r="A309" s="95" t="str">
        <f>Start!D$7</f>
        <v>Anyland</v>
      </c>
      <c r="B309" s="96" t="str">
        <f>VLOOKUP(A309,list!B:C,2,FALSE)</f>
        <v>ANY</v>
      </c>
      <c r="C309" s="90" t="str">
        <f>IF(Start!$C$21="","",Start!$C$21)</f>
        <v>Sinovac</v>
      </c>
      <c r="D309" s="296">
        <f t="shared" si="96"/>
        <v>44805</v>
      </c>
      <c r="E309" s="92" t="str">
        <f>IFERROR(VLOOKUP(C309,Start!C$15:D$31,2,FALSE),"No")</f>
        <v>No</v>
      </c>
      <c r="F309" s="92">
        <f t="shared" si="97"/>
        <v>0</v>
      </c>
      <c r="G309" s="91"/>
      <c r="H309" s="97"/>
      <c r="I309" s="97"/>
      <c r="J309" s="98">
        <f t="shared" si="89"/>
        <v>0</v>
      </c>
      <c r="K309" s="97"/>
      <c r="L309" s="175" t="str">
        <f t="shared" si="90"/>
        <v/>
      </c>
      <c r="M309" s="98">
        <f t="shared" si="91"/>
        <v>0</v>
      </c>
      <c r="N309" s="97"/>
      <c r="O309" s="122"/>
      <c r="P309" s="97"/>
      <c r="Q309" s="122"/>
      <c r="R309" s="98">
        <f>SUMIFS('Shipments data'!L:L,'Shipments data'!F:F,'Supply planning data'!C309,'Shipments data'!A:A,'Supply planning data'!A309,'Shipments data'!Y:Y,'Supply planning data'!D309,'Shipments data'!O:O,"received", 'Shipments data'!N:N, "Public")</f>
        <v>0</v>
      </c>
      <c r="S309" s="98">
        <f>SUMIFS('Shipments data'!L:L,'Shipments data'!F:F,'Supply planning data'!C309,'Shipments data'!A:A,'Supply planning data'!A309,'Shipments data'!Y:Y,'Supply planning data'!D309,'Shipments data'!O:O,"ordered", 'Shipments data'!N:N, "Public")</f>
        <v>0</v>
      </c>
      <c r="T309" s="98">
        <f>IF(SUMIFS('Shipments data'!L:L,'Shipments data'!F:F,'Supply planning data'!C309,'Shipments data'!A:A,'Supply planning data'!A309,'Shipments data'!O:O,"received",'Shipments data'!Q:Q,"&lt;"&amp;'Supply planning data'!D324,'Shipments data'!AC:AC,"&lt;"&amp;'Supply planning data'!D324)-SUMIFS(M:M,D:D,"&lt;="&amp;D309,C:C,C309)+SUMIFS(N:N,D:D,"&lt;="&amp;D309,C:C,C309)+SUMIFS(P:P,D:D,"&lt;="&amp;D309,C:C,C309)&lt;0,0,SUMIFS('Shipments data'!L:L,'Shipments data'!F:F,'Supply planning data'!C309,'Shipments data'!A:A,'Supply planning data'!A309,'Shipments data'!O:O,"received",'Shipments data'!Q:Q,"&lt;"&amp;'Supply planning data'!D324,'Shipments data'!AC:AC,"&lt;"&amp;'Supply planning data'!D324)-SUMIFS(M:M,D:D,"&lt;="&amp;D309,C:C,C309)+SUMIFS(N:N,D:D,"&lt;="&amp;D309,C:C,C309)+SUMIFS(P:P,D:D,"&lt;="&amp;D309,C:C,C309))</f>
        <v>0</v>
      </c>
      <c r="U309" s="99">
        <f t="shared" si="98"/>
        <v>0</v>
      </c>
      <c r="V309" s="98">
        <f t="shared" si="106"/>
        <v>0</v>
      </c>
      <c r="W309" s="203" t="str">
        <f t="shared" si="104"/>
        <v/>
      </c>
      <c r="X309" s="98">
        <f t="shared" si="99"/>
        <v>0</v>
      </c>
      <c r="Y309" s="97">
        <v>80000</v>
      </c>
      <c r="Z309" s="93"/>
      <c r="AA309" s="98">
        <f t="shared" si="92"/>
        <v>80000</v>
      </c>
      <c r="AB309" s="233"/>
      <c r="AC309" s="98">
        <f>IF(SUMIFS('Shipments data'!L:L,'Shipments data'!F:F,'Supply planning data'!C309,'Shipments data'!A:A,'Supply planning data'!A309,'Shipments data'!O:O,"received",'Shipments data'!Q:Q,"&lt;"&amp;'Supply planning data'!D324,'Shipments data'!AC:AC,"&lt;"&amp;'Supply planning data'!D324)-SUMIFS(M:M,D:D,"&lt;="&amp;D309,C:C,C309)-SUMIFS(AA:AA,D:D,"&lt;="&amp;D309,C:C,C309)+SUMIFS(N:N,D:D,"&lt;="&amp;D309,C:C,C309)+SUMIFS(P:P,D:D,"&lt;="&amp;D309,C:C,C309)&lt;0,0,SUMIFS('Shipments data'!L:L,'Shipments data'!F:F,'Supply planning data'!C309,'Shipments data'!A:A,'Supply planning data'!A309,'Shipments data'!O:O,"received",'Shipments data'!Q:Q,"&lt;"&amp;'Supply planning data'!D324,'Shipments data'!AC:AC,"&lt;"&amp;'Supply planning data'!D324)-SUMIFS(M:M,D:D,"&lt;="&amp;D309,C:C,C309)-SUMIFS(AA:AA,D:D,"&lt;="&amp;D309,C:C,C309)+SUMIFS(N:N,D:D,"&lt;="&amp;D309,C:C,C309)+SUMIFS(P:P,D:D,"&lt;="&amp;D309,C:C,C309))</f>
        <v>0</v>
      </c>
      <c r="AD309" s="98">
        <f t="shared" si="100"/>
        <v>0</v>
      </c>
      <c r="AE309" s="98">
        <f t="shared" si="94"/>
        <v>0</v>
      </c>
      <c r="AF309" s="205">
        <f t="shared" si="103"/>
        <v>0</v>
      </c>
      <c r="AG309" s="98">
        <f t="shared" si="101"/>
        <v>0</v>
      </c>
      <c r="AH309" s="97"/>
      <c r="AI309" s="311"/>
      <c r="AJ309" s="98">
        <f t="shared" si="93"/>
        <v>0</v>
      </c>
      <c r="AK309" s="233"/>
      <c r="AL309" s="98">
        <f>IF(SUMIFS('Shipments data'!L:L,'Shipments data'!F:F,'Supply planning data'!C309,'Shipments data'!A:A,'Supply planning data'!A309,'Shipments data'!O:O,"received",'Shipments data'!Q:Q,"&lt;"&amp;'Supply planning data'!D324,'Shipments data'!AC:AC,"&lt;"&amp;'Supply planning data'!D324)-SUMIFS(M:M,D:D,"&lt;="&amp;D309,C:C,C309)-SUMIFS(AJ:AJ,D:D,"&lt;="&amp;D309,C:C,C309)+SUMIFS(N:N,D:D,"&lt;="&amp;D309,C:C,C309)+SUMIFS(P:P,D:D,"&lt;="&amp;D309,C:C,C309)&lt;0,0,SUMIFS('Shipments data'!L:L,'Shipments data'!F:F,'Supply planning data'!C309,'Shipments data'!A:A,'Supply planning data'!A309,'Shipments data'!O:O,"received",'Shipments data'!Q:Q,"&lt;"&amp;'Supply planning data'!D324,'Shipments data'!AC:AC,"&lt;"&amp;'Supply planning data'!D324)-SUMIFS(M:M,D:D,"&lt;="&amp;D309,C:C,C309)-SUMIFS(AJ:AJ,D:D,"&lt;="&amp;D309,C:C,C309)+SUMIFS(N:N,D:D,"&lt;="&amp;D309,C:C,C309)+SUMIFS(P:P,D:D,"&lt;="&amp;D309,C:C,C309))</f>
        <v>0</v>
      </c>
      <c r="AM309" s="98">
        <f t="shared" si="102"/>
        <v>0</v>
      </c>
      <c r="AN309" s="98">
        <f t="shared" si="95"/>
        <v>0</v>
      </c>
      <c r="AO309" s="203" t="str">
        <f t="shared" si="105"/>
        <v/>
      </c>
    </row>
    <row r="310" spans="1:41" hidden="1" x14ac:dyDescent="0.25">
      <c r="A310" s="95" t="str">
        <f>Start!D$7</f>
        <v>Anyland</v>
      </c>
      <c r="B310" s="96" t="str">
        <f>VLOOKUP(A310,list!B:C,2,FALSE)</f>
        <v>ANY</v>
      </c>
      <c r="C310" s="90" t="str">
        <f>IF(Start!$C$22="","",Start!$C$22)</f>
        <v/>
      </c>
      <c r="D310" s="296">
        <f t="shared" si="96"/>
        <v>44805</v>
      </c>
      <c r="E310" s="92" t="str">
        <f>IFERROR(VLOOKUP(C310,Start!C$15:D$31,2,FALSE),"No")</f>
        <v>No</v>
      </c>
      <c r="F310" s="92">
        <f t="shared" si="97"/>
        <v>0</v>
      </c>
      <c r="G310" s="91"/>
      <c r="H310" s="97"/>
      <c r="I310" s="97"/>
      <c r="J310" s="98">
        <f t="shared" si="89"/>
        <v>0</v>
      </c>
      <c r="K310" s="97"/>
      <c r="L310" s="175" t="str">
        <f t="shared" si="90"/>
        <v/>
      </c>
      <c r="M310" s="98">
        <f t="shared" si="91"/>
        <v>0</v>
      </c>
      <c r="N310" s="97"/>
      <c r="O310" s="122"/>
      <c r="P310" s="97"/>
      <c r="Q310" s="122"/>
      <c r="R310" s="98">
        <f>SUMIFS('Shipments data'!L:L,'Shipments data'!F:F,'Supply planning data'!C310,'Shipments data'!A:A,'Supply planning data'!A310,'Shipments data'!Y:Y,'Supply planning data'!D310,'Shipments data'!O:O,"received", 'Shipments data'!N:N, "Public")</f>
        <v>0</v>
      </c>
      <c r="S310" s="98">
        <f>SUMIFS('Shipments data'!L:L,'Shipments data'!F:F,'Supply planning data'!C310,'Shipments data'!A:A,'Supply planning data'!A310,'Shipments data'!Y:Y,'Supply planning data'!D310,'Shipments data'!O:O,"ordered", 'Shipments data'!N:N, "Public")</f>
        <v>0</v>
      </c>
      <c r="T310" s="98">
        <f>IF(SUMIFS('Shipments data'!L:L,'Shipments data'!F:F,'Supply planning data'!C310,'Shipments data'!A:A,'Supply planning data'!A310,'Shipments data'!O:O,"received",'Shipments data'!Q:Q,"&lt;"&amp;'Supply planning data'!D325,'Shipments data'!AC:AC,"&lt;"&amp;'Supply planning data'!D325)-SUMIFS(M:M,D:D,"&lt;="&amp;D310,C:C,C310)+SUMIFS(N:N,D:D,"&lt;="&amp;D310,C:C,C310)+SUMIFS(P:P,D:D,"&lt;="&amp;D310,C:C,C310)&lt;0,0,SUMIFS('Shipments data'!L:L,'Shipments data'!F:F,'Supply planning data'!C310,'Shipments data'!A:A,'Supply planning data'!A310,'Shipments data'!O:O,"received",'Shipments data'!Q:Q,"&lt;"&amp;'Supply planning data'!D325,'Shipments data'!AC:AC,"&lt;"&amp;'Supply planning data'!D325)-SUMIFS(M:M,D:D,"&lt;="&amp;D310,C:C,C310)+SUMIFS(N:N,D:D,"&lt;="&amp;D310,C:C,C310)+SUMIFS(P:P,D:D,"&lt;="&amp;D310,C:C,C310))</f>
        <v>0</v>
      </c>
      <c r="U310" s="99">
        <f t="shared" si="98"/>
        <v>0</v>
      </c>
      <c r="V310" s="98">
        <f t="shared" si="106"/>
        <v>0</v>
      </c>
      <c r="W310" s="203" t="str">
        <f t="shared" si="104"/>
        <v/>
      </c>
      <c r="X310" s="98">
        <f t="shared" si="99"/>
        <v>0</v>
      </c>
      <c r="Y310" s="97"/>
      <c r="Z310" s="93"/>
      <c r="AA310" s="98">
        <f t="shared" si="92"/>
        <v>0</v>
      </c>
      <c r="AB310" s="233"/>
      <c r="AC310" s="98">
        <f>IF(SUMIFS('Shipments data'!L:L,'Shipments data'!F:F,'Supply planning data'!C310,'Shipments data'!A:A,'Supply planning data'!A310,'Shipments data'!O:O,"received",'Shipments data'!Q:Q,"&lt;"&amp;'Supply planning data'!D325,'Shipments data'!AC:AC,"&lt;"&amp;'Supply planning data'!D325)-SUMIFS(M:M,D:D,"&lt;="&amp;D310,C:C,C310)-SUMIFS(AA:AA,D:D,"&lt;="&amp;D310,C:C,C310)+SUMIFS(N:N,D:D,"&lt;="&amp;D310,C:C,C310)+SUMIFS(P:P,D:D,"&lt;="&amp;D310,C:C,C310)&lt;0,0,SUMIFS('Shipments data'!L:L,'Shipments data'!F:F,'Supply planning data'!C310,'Shipments data'!A:A,'Supply planning data'!A310,'Shipments data'!O:O,"received",'Shipments data'!Q:Q,"&lt;"&amp;'Supply planning data'!D325,'Shipments data'!AC:AC,"&lt;"&amp;'Supply planning data'!D325)-SUMIFS(M:M,D:D,"&lt;="&amp;D310,C:C,C310)-SUMIFS(AA:AA,D:D,"&lt;="&amp;D310,C:C,C310)+SUMIFS(N:N,D:D,"&lt;="&amp;D310,C:C,C310)+SUMIFS(P:P,D:D,"&lt;="&amp;D310,C:C,C310))</f>
        <v>0</v>
      </c>
      <c r="AD310" s="98">
        <f t="shared" si="100"/>
        <v>0</v>
      </c>
      <c r="AE310" s="98">
        <f t="shared" si="94"/>
        <v>0</v>
      </c>
      <c r="AF310" s="205" t="str">
        <f t="shared" si="103"/>
        <v/>
      </c>
      <c r="AG310" s="98">
        <f t="shared" si="101"/>
        <v>0</v>
      </c>
      <c r="AH310" s="97"/>
      <c r="AI310" s="311"/>
      <c r="AJ310" s="98">
        <f t="shared" si="93"/>
        <v>0</v>
      </c>
      <c r="AK310" s="233"/>
      <c r="AL310" s="98">
        <f>IF(SUMIFS('Shipments data'!L:L,'Shipments data'!F:F,'Supply planning data'!C310,'Shipments data'!A:A,'Supply planning data'!A310,'Shipments data'!O:O,"received",'Shipments data'!Q:Q,"&lt;"&amp;'Supply planning data'!D325,'Shipments data'!AC:AC,"&lt;"&amp;'Supply planning data'!D325)-SUMIFS(M:M,D:D,"&lt;="&amp;D310,C:C,C310)-SUMIFS(AJ:AJ,D:D,"&lt;="&amp;D310,C:C,C310)+SUMIFS(N:N,D:D,"&lt;="&amp;D310,C:C,C310)+SUMIFS(P:P,D:D,"&lt;="&amp;D310,C:C,C310)&lt;0,0,SUMIFS('Shipments data'!L:L,'Shipments data'!F:F,'Supply planning data'!C310,'Shipments data'!A:A,'Supply planning data'!A310,'Shipments data'!O:O,"received",'Shipments data'!Q:Q,"&lt;"&amp;'Supply planning data'!D325,'Shipments data'!AC:AC,"&lt;"&amp;'Supply planning data'!D325)-SUMIFS(M:M,D:D,"&lt;="&amp;D310,C:C,C310)-SUMIFS(AJ:AJ,D:D,"&lt;="&amp;D310,C:C,C310)+SUMIFS(N:N,D:D,"&lt;="&amp;D310,C:C,C310)+SUMIFS(P:P,D:D,"&lt;="&amp;D310,C:C,C310))</f>
        <v>0</v>
      </c>
      <c r="AM310" s="98">
        <f t="shared" si="102"/>
        <v>0</v>
      </c>
      <c r="AN310" s="98">
        <f t="shared" si="95"/>
        <v>0</v>
      </c>
      <c r="AO310" s="203" t="str">
        <f t="shared" si="105"/>
        <v/>
      </c>
    </row>
    <row r="311" spans="1:41" hidden="1" x14ac:dyDescent="0.25">
      <c r="A311" s="95" t="str">
        <f>Start!D$7</f>
        <v>Anyland</v>
      </c>
      <c r="B311" s="96" t="str">
        <f>VLOOKUP(A311,list!B:C,2,FALSE)</f>
        <v>ANY</v>
      </c>
      <c r="C311" s="90" t="str">
        <f>IF(Start!$C$23="","",Start!$C$23)</f>
        <v/>
      </c>
      <c r="D311" s="296">
        <f t="shared" si="96"/>
        <v>44805</v>
      </c>
      <c r="E311" s="92" t="str">
        <f>IFERROR(VLOOKUP(C311,Start!C$15:D$31,2,FALSE),"No")</f>
        <v>No</v>
      </c>
      <c r="F311" s="92">
        <f t="shared" si="97"/>
        <v>0</v>
      </c>
      <c r="G311" s="91"/>
      <c r="H311" s="97"/>
      <c r="I311" s="97"/>
      <c r="J311" s="98">
        <f t="shared" si="89"/>
        <v>0</v>
      </c>
      <c r="K311" s="97"/>
      <c r="L311" s="175" t="str">
        <f t="shared" si="90"/>
        <v/>
      </c>
      <c r="M311" s="98">
        <f t="shared" si="91"/>
        <v>0</v>
      </c>
      <c r="N311" s="97"/>
      <c r="O311" s="122"/>
      <c r="P311" s="97"/>
      <c r="Q311" s="122"/>
      <c r="R311" s="98">
        <f>SUMIFS('Shipments data'!L:L,'Shipments data'!F:F,'Supply planning data'!C311,'Shipments data'!A:A,'Supply planning data'!A311,'Shipments data'!Y:Y,'Supply planning data'!D311,'Shipments data'!O:O,"received", 'Shipments data'!N:N, "Public")</f>
        <v>0</v>
      </c>
      <c r="S311" s="98">
        <f>SUMIFS('Shipments data'!L:L,'Shipments data'!F:F,'Supply planning data'!C311,'Shipments data'!A:A,'Supply planning data'!A311,'Shipments data'!Y:Y,'Supply planning data'!D311,'Shipments data'!O:O,"ordered", 'Shipments data'!N:N, "Public")</f>
        <v>0</v>
      </c>
      <c r="T311" s="98">
        <f>IF(SUMIFS('Shipments data'!L:L,'Shipments data'!F:F,'Supply planning data'!C311,'Shipments data'!A:A,'Supply planning data'!A311,'Shipments data'!O:O,"received",'Shipments data'!Q:Q,"&lt;"&amp;'Supply planning data'!D326,'Shipments data'!AC:AC,"&lt;"&amp;'Supply planning data'!D326)-SUMIFS(M:M,D:D,"&lt;="&amp;D311,C:C,C311)+SUMIFS(N:N,D:D,"&lt;="&amp;D311,C:C,C311)+SUMIFS(P:P,D:D,"&lt;="&amp;D311,C:C,C311)&lt;0,0,SUMIFS('Shipments data'!L:L,'Shipments data'!F:F,'Supply planning data'!C311,'Shipments data'!A:A,'Supply planning data'!A311,'Shipments data'!O:O,"received",'Shipments data'!Q:Q,"&lt;"&amp;'Supply planning data'!D326,'Shipments data'!AC:AC,"&lt;"&amp;'Supply planning data'!D326)-SUMIFS(M:M,D:D,"&lt;="&amp;D311,C:C,C311)+SUMIFS(N:N,D:D,"&lt;="&amp;D311,C:C,C311)+SUMIFS(P:P,D:D,"&lt;="&amp;D311,C:C,C311))</f>
        <v>0</v>
      </c>
      <c r="U311" s="99">
        <f t="shared" si="98"/>
        <v>0</v>
      </c>
      <c r="V311" s="98">
        <f t="shared" si="106"/>
        <v>0</v>
      </c>
      <c r="W311" s="203" t="str">
        <f t="shared" si="104"/>
        <v/>
      </c>
      <c r="X311" s="98">
        <f t="shared" si="99"/>
        <v>0</v>
      </c>
      <c r="Y311" s="97"/>
      <c r="Z311" s="93"/>
      <c r="AA311" s="98">
        <f t="shared" si="92"/>
        <v>0</v>
      </c>
      <c r="AB311" s="233"/>
      <c r="AC311" s="98">
        <f>IF(SUMIFS('Shipments data'!L:L,'Shipments data'!F:F,'Supply planning data'!C311,'Shipments data'!A:A,'Supply planning data'!A311,'Shipments data'!O:O,"received",'Shipments data'!Q:Q,"&lt;"&amp;'Supply planning data'!D326,'Shipments data'!AC:AC,"&lt;"&amp;'Supply planning data'!D326)-SUMIFS(M:M,D:D,"&lt;="&amp;D311,C:C,C311)-SUMIFS(AA:AA,D:D,"&lt;="&amp;D311,C:C,C311)+SUMIFS(N:N,D:D,"&lt;="&amp;D311,C:C,C311)+SUMIFS(P:P,D:D,"&lt;="&amp;D311,C:C,C311)&lt;0,0,SUMIFS('Shipments data'!L:L,'Shipments data'!F:F,'Supply planning data'!C311,'Shipments data'!A:A,'Supply planning data'!A311,'Shipments data'!O:O,"received",'Shipments data'!Q:Q,"&lt;"&amp;'Supply planning data'!D326,'Shipments data'!AC:AC,"&lt;"&amp;'Supply planning data'!D326)-SUMIFS(M:M,D:D,"&lt;="&amp;D311,C:C,C311)-SUMIFS(AA:AA,D:D,"&lt;="&amp;D311,C:C,C311)+SUMIFS(N:N,D:D,"&lt;="&amp;D311,C:C,C311)+SUMIFS(P:P,D:D,"&lt;="&amp;D311,C:C,C311))</f>
        <v>0</v>
      </c>
      <c r="AD311" s="98">
        <f t="shared" si="100"/>
        <v>0</v>
      </c>
      <c r="AE311" s="98">
        <f t="shared" si="94"/>
        <v>0</v>
      </c>
      <c r="AF311" s="205" t="str">
        <f t="shared" si="103"/>
        <v/>
      </c>
      <c r="AG311" s="98">
        <f t="shared" si="101"/>
        <v>0</v>
      </c>
      <c r="AH311" s="97"/>
      <c r="AI311" s="311"/>
      <c r="AJ311" s="98">
        <f t="shared" si="93"/>
        <v>0</v>
      </c>
      <c r="AK311" s="233"/>
      <c r="AL311" s="98">
        <f>IF(SUMIFS('Shipments data'!L:L,'Shipments data'!F:F,'Supply planning data'!C311,'Shipments data'!A:A,'Supply planning data'!A311,'Shipments data'!O:O,"received",'Shipments data'!Q:Q,"&lt;"&amp;'Supply planning data'!D326,'Shipments data'!AC:AC,"&lt;"&amp;'Supply planning data'!D326)-SUMIFS(M:M,D:D,"&lt;="&amp;D311,C:C,C311)-SUMIFS(AJ:AJ,D:D,"&lt;="&amp;D311,C:C,C311)+SUMIFS(N:N,D:D,"&lt;="&amp;D311,C:C,C311)+SUMIFS(P:P,D:D,"&lt;="&amp;D311,C:C,C311)&lt;0,0,SUMIFS('Shipments data'!L:L,'Shipments data'!F:F,'Supply planning data'!C311,'Shipments data'!A:A,'Supply planning data'!A311,'Shipments data'!O:O,"received",'Shipments data'!Q:Q,"&lt;"&amp;'Supply planning data'!D326,'Shipments data'!AC:AC,"&lt;"&amp;'Supply planning data'!D326)-SUMIFS(M:M,D:D,"&lt;="&amp;D311,C:C,C311)-SUMIFS(AJ:AJ,D:D,"&lt;="&amp;D311,C:C,C311)+SUMIFS(N:N,D:D,"&lt;="&amp;D311,C:C,C311)+SUMIFS(P:P,D:D,"&lt;="&amp;D311,C:C,C311))</f>
        <v>0</v>
      </c>
      <c r="AM311" s="98">
        <f t="shared" si="102"/>
        <v>0</v>
      </c>
      <c r="AN311" s="98">
        <f t="shared" si="95"/>
        <v>0</v>
      </c>
      <c r="AO311" s="203" t="str">
        <f t="shared" si="105"/>
        <v/>
      </c>
    </row>
    <row r="312" spans="1:41" hidden="1" x14ac:dyDescent="0.25">
      <c r="A312" s="95" t="str">
        <f>Start!D$7</f>
        <v>Anyland</v>
      </c>
      <c r="B312" s="96" t="str">
        <f>VLOOKUP(A312,list!B:C,2,FALSE)</f>
        <v>ANY</v>
      </c>
      <c r="C312" s="90" t="str">
        <f>IF(Start!$C$24="","",Start!$C$24)</f>
        <v/>
      </c>
      <c r="D312" s="296">
        <f t="shared" si="96"/>
        <v>44805</v>
      </c>
      <c r="E312" s="92" t="str">
        <f>IFERROR(VLOOKUP(C312,Start!C$15:D$31,2,FALSE),"No")</f>
        <v>No</v>
      </c>
      <c r="F312" s="92">
        <f t="shared" si="97"/>
        <v>0</v>
      </c>
      <c r="G312" s="91"/>
      <c r="H312" s="97"/>
      <c r="I312" s="97"/>
      <c r="J312" s="98">
        <f t="shared" si="89"/>
        <v>0</v>
      </c>
      <c r="K312" s="97"/>
      <c r="L312" s="175" t="str">
        <f t="shared" si="90"/>
        <v/>
      </c>
      <c r="M312" s="98">
        <f t="shared" si="91"/>
        <v>0</v>
      </c>
      <c r="N312" s="97"/>
      <c r="O312" s="122"/>
      <c r="P312" s="97"/>
      <c r="Q312" s="122"/>
      <c r="R312" s="98">
        <f>SUMIFS('Shipments data'!L:L,'Shipments data'!F:F,'Supply planning data'!C312,'Shipments data'!A:A,'Supply planning data'!A312,'Shipments data'!Y:Y,'Supply planning data'!D312,'Shipments data'!O:O,"received", 'Shipments data'!N:N, "Public")</f>
        <v>0</v>
      </c>
      <c r="S312" s="98">
        <f>SUMIFS('Shipments data'!L:L,'Shipments data'!F:F,'Supply planning data'!C312,'Shipments data'!A:A,'Supply planning data'!A312,'Shipments data'!Y:Y,'Supply planning data'!D312,'Shipments data'!O:O,"ordered", 'Shipments data'!N:N, "Public")</f>
        <v>0</v>
      </c>
      <c r="T312" s="98">
        <f>IF(SUMIFS('Shipments data'!L:L,'Shipments data'!F:F,'Supply planning data'!C312,'Shipments data'!A:A,'Supply planning data'!A312,'Shipments data'!O:O,"received",'Shipments data'!Q:Q,"&lt;"&amp;'Supply planning data'!D327,'Shipments data'!AC:AC,"&lt;"&amp;'Supply planning data'!D327)-SUMIFS(M:M,D:D,"&lt;="&amp;D312,C:C,C312)+SUMIFS(N:N,D:D,"&lt;="&amp;D312,C:C,C312)+SUMIFS(P:P,D:D,"&lt;="&amp;D312,C:C,C312)&lt;0,0,SUMIFS('Shipments data'!L:L,'Shipments data'!F:F,'Supply planning data'!C312,'Shipments data'!A:A,'Supply planning data'!A312,'Shipments data'!O:O,"received",'Shipments data'!Q:Q,"&lt;"&amp;'Supply planning data'!D327,'Shipments data'!AC:AC,"&lt;"&amp;'Supply planning data'!D327)-SUMIFS(M:M,D:D,"&lt;="&amp;D312,C:C,C312)+SUMIFS(N:N,D:D,"&lt;="&amp;D312,C:C,C312)+SUMIFS(P:P,D:D,"&lt;="&amp;D312,C:C,C312))</f>
        <v>0</v>
      </c>
      <c r="U312" s="99">
        <f t="shared" si="98"/>
        <v>0</v>
      </c>
      <c r="V312" s="98">
        <f t="shared" si="106"/>
        <v>0</v>
      </c>
      <c r="W312" s="203" t="str">
        <f t="shared" si="104"/>
        <v/>
      </c>
      <c r="X312" s="98">
        <f t="shared" si="99"/>
        <v>0</v>
      </c>
      <c r="Y312" s="97"/>
      <c r="Z312" s="93"/>
      <c r="AA312" s="98">
        <f t="shared" si="92"/>
        <v>0</v>
      </c>
      <c r="AB312" s="233"/>
      <c r="AC312" s="98">
        <f>IF(SUMIFS('Shipments data'!L:L,'Shipments data'!F:F,'Supply planning data'!C312,'Shipments data'!A:A,'Supply planning data'!A312,'Shipments data'!O:O,"received",'Shipments data'!Q:Q,"&lt;"&amp;'Supply planning data'!D327,'Shipments data'!AC:AC,"&lt;"&amp;'Supply planning data'!D327)-SUMIFS(M:M,D:D,"&lt;="&amp;D312,C:C,C312)-SUMIFS(AA:AA,D:D,"&lt;="&amp;D312,C:C,C312)+SUMIFS(N:N,D:D,"&lt;="&amp;D312,C:C,C312)+SUMIFS(P:P,D:D,"&lt;="&amp;D312,C:C,C312)&lt;0,0,SUMIFS('Shipments data'!L:L,'Shipments data'!F:F,'Supply planning data'!C312,'Shipments data'!A:A,'Supply planning data'!A312,'Shipments data'!O:O,"received",'Shipments data'!Q:Q,"&lt;"&amp;'Supply planning data'!D327,'Shipments data'!AC:AC,"&lt;"&amp;'Supply planning data'!D327)-SUMIFS(M:M,D:D,"&lt;="&amp;D312,C:C,C312)-SUMIFS(AA:AA,D:D,"&lt;="&amp;D312,C:C,C312)+SUMIFS(N:N,D:D,"&lt;="&amp;D312,C:C,C312)+SUMIFS(P:P,D:D,"&lt;="&amp;D312,C:C,C312))</f>
        <v>0</v>
      </c>
      <c r="AD312" s="98">
        <f t="shared" si="100"/>
        <v>0</v>
      </c>
      <c r="AE312" s="98">
        <f t="shared" si="94"/>
        <v>0</v>
      </c>
      <c r="AF312" s="205" t="str">
        <f t="shared" si="103"/>
        <v/>
      </c>
      <c r="AG312" s="98">
        <f t="shared" si="101"/>
        <v>0</v>
      </c>
      <c r="AH312" s="97"/>
      <c r="AI312" s="311"/>
      <c r="AJ312" s="98">
        <f t="shared" si="93"/>
        <v>0</v>
      </c>
      <c r="AK312" s="233"/>
      <c r="AL312" s="98">
        <f>IF(SUMIFS('Shipments data'!L:L,'Shipments data'!F:F,'Supply planning data'!C312,'Shipments data'!A:A,'Supply planning data'!A312,'Shipments data'!O:O,"received",'Shipments data'!Q:Q,"&lt;"&amp;'Supply planning data'!D327,'Shipments data'!AC:AC,"&lt;"&amp;'Supply planning data'!D327)-SUMIFS(M:M,D:D,"&lt;="&amp;D312,C:C,C312)-SUMIFS(AJ:AJ,D:D,"&lt;="&amp;D312,C:C,C312)+SUMIFS(N:N,D:D,"&lt;="&amp;D312,C:C,C312)+SUMIFS(P:P,D:D,"&lt;="&amp;D312,C:C,C312)&lt;0,0,SUMIFS('Shipments data'!L:L,'Shipments data'!F:F,'Supply planning data'!C312,'Shipments data'!A:A,'Supply planning data'!A312,'Shipments data'!O:O,"received",'Shipments data'!Q:Q,"&lt;"&amp;'Supply planning data'!D327,'Shipments data'!AC:AC,"&lt;"&amp;'Supply planning data'!D327)-SUMIFS(M:M,D:D,"&lt;="&amp;D312,C:C,C312)-SUMIFS(AJ:AJ,D:D,"&lt;="&amp;D312,C:C,C312)+SUMIFS(N:N,D:D,"&lt;="&amp;D312,C:C,C312)+SUMIFS(P:P,D:D,"&lt;="&amp;D312,C:C,C312))</f>
        <v>0</v>
      </c>
      <c r="AM312" s="98">
        <f t="shared" si="102"/>
        <v>0</v>
      </c>
      <c r="AN312" s="98">
        <f t="shared" si="95"/>
        <v>0</v>
      </c>
      <c r="AO312" s="203" t="str">
        <f t="shared" si="105"/>
        <v/>
      </c>
    </row>
    <row r="313" spans="1:41" hidden="1" x14ac:dyDescent="0.25">
      <c r="A313" s="95" t="str">
        <f>Start!D$7</f>
        <v>Anyland</v>
      </c>
      <c r="B313" s="96" t="str">
        <f>VLOOKUP(A313,list!B:C,2,FALSE)</f>
        <v>ANY</v>
      </c>
      <c r="C313" s="90" t="str">
        <f>IF(Start!$C$25="","",Start!$C$25)</f>
        <v/>
      </c>
      <c r="D313" s="296">
        <f t="shared" si="96"/>
        <v>44805</v>
      </c>
      <c r="E313" s="92" t="str">
        <f>IFERROR(VLOOKUP(C313,Start!C$15:D$31,2,FALSE),"No")</f>
        <v>No</v>
      </c>
      <c r="F313" s="92">
        <f t="shared" si="97"/>
        <v>0</v>
      </c>
      <c r="G313" s="91"/>
      <c r="H313" s="97"/>
      <c r="I313" s="97"/>
      <c r="J313" s="98">
        <f t="shared" si="89"/>
        <v>0</v>
      </c>
      <c r="K313" s="97"/>
      <c r="L313" s="175" t="str">
        <f t="shared" si="90"/>
        <v/>
      </c>
      <c r="M313" s="98">
        <f t="shared" si="91"/>
        <v>0</v>
      </c>
      <c r="N313" s="97"/>
      <c r="O313" s="122"/>
      <c r="P313" s="97"/>
      <c r="Q313" s="122"/>
      <c r="R313" s="98">
        <f>SUMIFS('Shipments data'!L:L,'Shipments data'!F:F,'Supply planning data'!C313,'Shipments data'!A:A,'Supply planning data'!A313,'Shipments data'!Y:Y,'Supply planning data'!D313,'Shipments data'!O:O,"received", 'Shipments data'!N:N, "Public")</f>
        <v>0</v>
      </c>
      <c r="S313" s="98">
        <f>SUMIFS('Shipments data'!L:L,'Shipments data'!F:F,'Supply planning data'!C313,'Shipments data'!A:A,'Supply planning data'!A313,'Shipments data'!Y:Y,'Supply planning data'!D313,'Shipments data'!O:O,"ordered", 'Shipments data'!N:N, "Public")</f>
        <v>0</v>
      </c>
      <c r="T313" s="98">
        <f>IF(SUMIFS('Shipments data'!L:L,'Shipments data'!F:F,'Supply planning data'!C313,'Shipments data'!A:A,'Supply planning data'!A313,'Shipments data'!O:O,"received",'Shipments data'!Q:Q,"&lt;"&amp;'Supply planning data'!D328,'Shipments data'!AC:AC,"&lt;"&amp;'Supply planning data'!D328)-SUMIFS(M:M,D:D,"&lt;="&amp;D313,C:C,C313)+SUMIFS(N:N,D:D,"&lt;="&amp;D313,C:C,C313)+SUMIFS(P:P,D:D,"&lt;="&amp;D313,C:C,C313)&lt;0,0,SUMIFS('Shipments data'!L:L,'Shipments data'!F:F,'Supply planning data'!C313,'Shipments data'!A:A,'Supply planning data'!A313,'Shipments data'!O:O,"received",'Shipments data'!Q:Q,"&lt;"&amp;'Supply planning data'!D328,'Shipments data'!AC:AC,"&lt;"&amp;'Supply planning data'!D328)-SUMIFS(M:M,D:D,"&lt;="&amp;D313,C:C,C313)+SUMIFS(N:N,D:D,"&lt;="&amp;D313,C:C,C313)+SUMIFS(P:P,D:D,"&lt;="&amp;D313,C:C,C313))</f>
        <v>0</v>
      </c>
      <c r="U313" s="99">
        <f t="shared" si="98"/>
        <v>0</v>
      </c>
      <c r="V313" s="98">
        <f t="shared" si="106"/>
        <v>0</v>
      </c>
      <c r="W313" s="203" t="str">
        <f t="shared" si="104"/>
        <v/>
      </c>
      <c r="X313" s="98">
        <f t="shared" si="99"/>
        <v>0</v>
      </c>
      <c r="Y313" s="97"/>
      <c r="Z313" s="93"/>
      <c r="AA313" s="98">
        <f t="shared" si="92"/>
        <v>0</v>
      </c>
      <c r="AB313" s="233"/>
      <c r="AC313" s="98">
        <f>IF(SUMIFS('Shipments data'!L:L,'Shipments data'!F:F,'Supply planning data'!C313,'Shipments data'!A:A,'Supply planning data'!A313,'Shipments data'!O:O,"received",'Shipments data'!Q:Q,"&lt;"&amp;'Supply planning data'!D328,'Shipments data'!AC:AC,"&lt;"&amp;'Supply planning data'!D328)-SUMIFS(M:M,D:D,"&lt;="&amp;D313,C:C,C313)-SUMIFS(AA:AA,D:D,"&lt;="&amp;D313,C:C,C313)+SUMIFS(N:N,D:D,"&lt;="&amp;D313,C:C,C313)+SUMIFS(P:P,D:D,"&lt;="&amp;D313,C:C,C313)&lt;0,0,SUMIFS('Shipments data'!L:L,'Shipments data'!F:F,'Supply planning data'!C313,'Shipments data'!A:A,'Supply planning data'!A313,'Shipments data'!O:O,"received",'Shipments data'!Q:Q,"&lt;"&amp;'Supply planning data'!D328,'Shipments data'!AC:AC,"&lt;"&amp;'Supply planning data'!D328)-SUMIFS(M:M,D:D,"&lt;="&amp;D313,C:C,C313)-SUMIFS(AA:AA,D:D,"&lt;="&amp;D313,C:C,C313)+SUMIFS(N:N,D:D,"&lt;="&amp;D313,C:C,C313)+SUMIFS(P:P,D:D,"&lt;="&amp;D313,C:C,C313))</f>
        <v>0</v>
      </c>
      <c r="AD313" s="98">
        <f t="shared" si="100"/>
        <v>0</v>
      </c>
      <c r="AE313" s="98">
        <f t="shared" si="94"/>
        <v>0</v>
      </c>
      <c r="AF313" s="205" t="str">
        <f t="shared" si="103"/>
        <v/>
      </c>
      <c r="AG313" s="98">
        <f t="shared" si="101"/>
        <v>0</v>
      </c>
      <c r="AH313" s="97"/>
      <c r="AI313" s="311"/>
      <c r="AJ313" s="98">
        <f t="shared" si="93"/>
        <v>0</v>
      </c>
      <c r="AK313" s="233"/>
      <c r="AL313" s="98">
        <f>IF(SUMIFS('Shipments data'!L:L,'Shipments data'!F:F,'Supply planning data'!C313,'Shipments data'!A:A,'Supply planning data'!A313,'Shipments data'!O:O,"received",'Shipments data'!Q:Q,"&lt;"&amp;'Supply planning data'!D328,'Shipments data'!AC:AC,"&lt;"&amp;'Supply planning data'!D328)-SUMIFS(M:M,D:D,"&lt;="&amp;D313,C:C,C313)-SUMIFS(AJ:AJ,D:D,"&lt;="&amp;D313,C:C,C313)+SUMIFS(N:N,D:D,"&lt;="&amp;D313,C:C,C313)+SUMIFS(P:P,D:D,"&lt;="&amp;D313,C:C,C313)&lt;0,0,SUMIFS('Shipments data'!L:L,'Shipments data'!F:F,'Supply planning data'!C313,'Shipments data'!A:A,'Supply planning data'!A313,'Shipments data'!O:O,"received",'Shipments data'!Q:Q,"&lt;"&amp;'Supply planning data'!D328,'Shipments data'!AC:AC,"&lt;"&amp;'Supply planning data'!D328)-SUMIFS(M:M,D:D,"&lt;="&amp;D313,C:C,C313)-SUMIFS(AJ:AJ,D:D,"&lt;="&amp;D313,C:C,C313)+SUMIFS(N:N,D:D,"&lt;="&amp;D313,C:C,C313)+SUMIFS(P:P,D:D,"&lt;="&amp;D313,C:C,C313))</f>
        <v>0</v>
      </c>
      <c r="AM313" s="98">
        <f t="shared" si="102"/>
        <v>0</v>
      </c>
      <c r="AN313" s="98">
        <f t="shared" si="95"/>
        <v>0</v>
      </c>
      <c r="AO313" s="203" t="str">
        <f t="shared" si="105"/>
        <v/>
      </c>
    </row>
    <row r="314" spans="1:41" hidden="1" x14ac:dyDescent="0.25">
      <c r="A314" s="95" t="str">
        <f>Start!D$7</f>
        <v>Anyland</v>
      </c>
      <c r="B314" s="96" t="str">
        <f>VLOOKUP(A314,list!B:C,2,FALSE)</f>
        <v>ANY</v>
      </c>
      <c r="C314" s="90" t="str">
        <f>IF(Start!$C$26="","",Start!$C$26)</f>
        <v/>
      </c>
      <c r="D314" s="296">
        <f t="shared" si="96"/>
        <v>44805</v>
      </c>
      <c r="E314" s="92" t="str">
        <f>IFERROR(VLOOKUP(C314,Start!C$15:D$31,2,FALSE),"No")</f>
        <v>No</v>
      </c>
      <c r="F314" s="92">
        <f t="shared" si="97"/>
        <v>0</v>
      </c>
      <c r="G314" s="91"/>
      <c r="H314" s="97"/>
      <c r="I314" s="97"/>
      <c r="J314" s="98">
        <f t="shared" si="89"/>
        <v>0</v>
      </c>
      <c r="K314" s="97"/>
      <c r="L314" s="175" t="str">
        <f t="shared" si="90"/>
        <v/>
      </c>
      <c r="M314" s="98">
        <f t="shared" si="91"/>
        <v>0</v>
      </c>
      <c r="N314" s="97"/>
      <c r="O314" s="122"/>
      <c r="P314" s="97"/>
      <c r="Q314" s="122"/>
      <c r="R314" s="98">
        <f>SUMIFS('Shipments data'!L:L,'Shipments data'!F:F,'Supply planning data'!C314,'Shipments data'!A:A,'Supply planning data'!A314,'Shipments data'!Y:Y,'Supply planning data'!D314,'Shipments data'!O:O,"received", 'Shipments data'!N:N, "Public")</f>
        <v>0</v>
      </c>
      <c r="S314" s="98">
        <f>SUMIFS('Shipments data'!L:L,'Shipments data'!F:F,'Supply planning data'!C314,'Shipments data'!A:A,'Supply planning data'!A314,'Shipments data'!Y:Y,'Supply planning data'!D314,'Shipments data'!O:O,"ordered", 'Shipments data'!N:N, "Public")</f>
        <v>0</v>
      </c>
      <c r="T314" s="98">
        <f>IF(SUMIFS('Shipments data'!L:L,'Shipments data'!F:F,'Supply planning data'!C314,'Shipments data'!A:A,'Supply planning data'!A314,'Shipments data'!O:O,"received",'Shipments data'!Q:Q,"&lt;"&amp;'Supply planning data'!D329,'Shipments data'!AC:AC,"&lt;"&amp;'Supply planning data'!D329)-SUMIFS(M:M,D:D,"&lt;="&amp;D314,C:C,C314)+SUMIFS(N:N,D:D,"&lt;="&amp;D314,C:C,C314)+SUMIFS(P:P,D:D,"&lt;="&amp;D314,C:C,C314)&lt;0,0,SUMIFS('Shipments data'!L:L,'Shipments data'!F:F,'Supply planning data'!C314,'Shipments data'!A:A,'Supply planning data'!A314,'Shipments data'!O:O,"received",'Shipments data'!Q:Q,"&lt;"&amp;'Supply planning data'!D329,'Shipments data'!AC:AC,"&lt;"&amp;'Supply planning data'!D329)-SUMIFS(M:M,D:D,"&lt;="&amp;D314,C:C,C314)+SUMIFS(N:N,D:D,"&lt;="&amp;D314,C:C,C314)+SUMIFS(P:P,D:D,"&lt;="&amp;D314,C:C,C314))</f>
        <v>0</v>
      </c>
      <c r="U314" s="99">
        <f t="shared" si="98"/>
        <v>0</v>
      </c>
      <c r="V314" s="98">
        <f t="shared" si="106"/>
        <v>0</v>
      </c>
      <c r="W314" s="203" t="str">
        <f t="shared" si="104"/>
        <v/>
      </c>
      <c r="X314" s="98">
        <f t="shared" si="99"/>
        <v>0</v>
      </c>
      <c r="Y314" s="97"/>
      <c r="Z314" s="93"/>
      <c r="AA314" s="98">
        <f t="shared" si="92"/>
        <v>0</v>
      </c>
      <c r="AB314" s="233"/>
      <c r="AC314" s="98">
        <f>IF(SUMIFS('Shipments data'!L:L,'Shipments data'!F:F,'Supply planning data'!C314,'Shipments data'!A:A,'Supply planning data'!A314,'Shipments data'!O:O,"received",'Shipments data'!Q:Q,"&lt;"&amp;'Supply planning data'!D329,'Shipments data'!AC:AC,"&lt;"&amp;'Supply planning data'!D329)-SUMIFS(M:M,D:D,"&lt;="&amp;D314,C:C,C314)-SUMIFS(AA:AA,D:D,"&lt;="&amp;D314,C:C,C314)+SUMIFS(N:N,D:D,"&lt;="&amp;D314,C:C,C314)+SUMIFS(P:P,D:D,"&lt;="&amp;D314,C:C,C314)&lt;0,0,SUMIFS('Shipments data'!L:L,'Shipments data'!F:F,'Supply planning data'!C314,'Shipments data'!A:A,'Supply planning data'!A314,'Shipments data'!O:O,"received",'Shipments data'!Q:Q,"&lt;"&amp;'Supply planning data'!D329,'Shipments data'!AC:AC,"&lt;"&amp;'Supply planning data'!D329)-SUMIFS(M:M,D:D,"&lt;="&amp;D314,C:C,C314)-SUMIFS(AA:AA,D:D,"&lt;="&amp;D314,C:C,C314)+SUMIFS(N:N,D:D,"&lt;="&amp;D314,C:C,C314)+SUMIFS(P:P,D:D,"&lt;="&amp;D314,C:C,C314))</f>
        <v>0</v>
      </c>
      <c r="AD314" s="98">
        <f t="shared" si="100"/>
        <v>0</v>
      </c>
      <c r="AE314" s="98">
        <f t="shared" si="94"/>
        <v>0</v>
      </c>
      <c r="AF314" s="205" t="str">
        <f t="shared" si="103"/>
        <v/>
      </c>
      <c r="AG314" s="98">
        <f t="shared" si="101"/>
        <v>0</v>
      </c>
      <c r="AH314" s="97"/>
      <c r="AI314" s="311"/>
      <c r="AJ314" s="98">
        <f t="shared" si="93"/>
        <v>0</v>
      </c>
      <c r="AK314" s="233"/>
      <c r="AL314" s="98">
        <f>IF(SUMIFS('Shipments data'!L:L,'Shipments data'!F:F,'Supply planning data'!C314,'Shipments data'!A:A,'Supply planning data'!A314,'Shipments data'!O:O,"received",'Shipments data'!Q:Q,"&lt;"&amp;'Supply planning data'!D329,'Shipments data'!AC:AC,"&lt;"&amp;'Supply planning data'!D329)-SUMIFS(M:M,D:D,"&lt;="&amp;D314,C:C,C314)-SUMIFS(AJ:AJ,D:D,"&lt;="&amp;D314,C:C,C314)+SUMIFS(N:N,D:D,"&lt;="&amp;D314,C:C,C314)+SUMIFS(P:P,D:D,"&lt;="&amp;D314,C:C,C314)&lt;0,0,SUMIFS('Shipments data'!L:L,'Shipments data'!F:F,'Supply planning data'!C314,'Shipments data'!A:A,'Supply planning data'!A314,'Shipments data'!O:O,"received",'Shipments data'!Q:Q,"&lt;"&amp;'Supply planning data'!D329,'Shipments data'!AC:AC,"&lt;"&amp;'Supply planning data'!D329)-SUMIFS(M:M,D:D,"&lt;="&amp;D314,C:C,C314)-SUMIFS(AJ:AJ,D:D,"&lt;="&amp;D314,C:C,C314)+SUMIFS(N:N,D:D,"&lt;="&amp;D314,C:C,C314)+SUMIFS(P:P,D:D,"&lt;="&amp;D314,C:C,C314))</f>
        <v>0</v>
      </c>
      <c r="AM314" s="98">
        <f t="shared" si="102"/>
        <v>0</v>
      </c>
      <c r="AN314" s="98">
        <f t="shared" si="95"/>
        <v>0</v>
      </c>
      <c r="AO314" s="203" t="str">
        <f t="shared" si="105"/>
        <v/>
      </c>
    </row>
    <row r="315" spans="1:41" hidden="1" x14ac:dyDescent="0.25">
      <c r="A315" s="95" t="str">
        <f>Start!D$7</f>
        <v>Anyland</v>
      </c>
      <c r="B315" s="96" t="str">
        <f>VLOOKUP(A315,list!B:C,2,FALSE)</f>
        <v>ANY</v>
      </c>
      <c r="C315" s="90" t="str">
        <f>IF(Start!$C$27="","",Start!$C$27)</f>
        <v/>
      </c>
      <c r="D315" s="296">
        <f t="shared" si="96"/>
        <v>44805</v>
      </c>
      <c r="E315" s="92" t="str">
        <f>IFERROR(VLOOKUP(C315,Start!C$15:D$31,2,FALSE),"No")</f>
        <v>No</v>
      </c>
      <c r="F315" s="92">
        <f t="shared" si="97"/>
        <v>0</v>
      </c>
      <c r="G315" s="91"/>
      <c r="H315" s="97"/>
      <c r="I315" s="97"/>
      <c r="J315" s="98">
        <f t="shared" si="89"/>
        <v>0</v>
      </c>
      <c r="K315" s="97"/>
      <c r="L315" s="175" t="str">
        <f t="shared" si="90"/>
        <v/>
      </c>
      <c r="M315" s="98">
        <f t="shared" si="91"/>
        <v>0</v>
      </c>
      <c r="N315" s="97"/>
      <c r="O315" s="122"/>
      <c r="P315" s="97"/>
      <c r="Q315" s="122"/>
      <c r="R315" s="98">
        <f>SUMIFS('Shipments data'!L:L,'Shipments data'!F:F,'Supply planning data'!C315,'Shipments data'!A:A,'Supply planning data'!A315,'Shipments data'!Y:Y,'Supply planning data'!D315,'Shipments data'!O:O,"received", 'Shipments data'!N:N, "Public")</f>
        <v>0</v>
      </c>
      <c r="S315" s="98">
        <f>SUMIFS('Shipments data'!L:L,'Shipments data'!F:F,'Supply planning data'!C315,'Shipments data'!A:A,'Supply planning data'!A315,'Shipments data'!Y:Y,'Supply planning data'!D315,'Shipments data'!O:O,"ordered", 'Shipments data'!N:N, "Public")</f>
        <v>0</v>
      </c>
      <c r="T315" s="98">
        <f>IF(SUMIFS('Shipments data'!L:L,'Shipments data'!F:F,'Supply planning data'!C315,'Shipments data'!A:A,'Supply planning data'!A315,'Shipments data'!O:O,"received",'Shipments data'!Q:Q,"&lt;"&amp;'Supply planning data'!D330,'Shipments data'!AC:AC,"&lt;"&amp;'Supply planning data'!D330)-SUMIFS(M:M,D:D,"&lt;="&amp;D315,C:C,C315)+SUMIFS(N:N,D:D,"&lt;="&amp;D315,C:C,C315)+SUMIFS(P:P,D:D,"&lt;="&amp;D315,C:C,C315)&lt;0,0,SUMIFS('Shipments data'!L:L,'Shipments data'!F:F,'Supply planning data'!C315,'Shipments data'!A:A,'Supply planning data'!A315,'Shipments data'!O:O,"received",'Shipments data'!Q:Q,"&lt;"&amp;'Supply planning data'!D330,'Shipments data'!AC:AC,"&lt;"&amp;'Supply planning data'!D330)-SUMIFS(M:M,D:D,"&lt;="&amp;D315,C:C,C315)+SUMIFS(N:N,D:D,"&lt;="&amp;D315,C:C,C315)+SUMIFS(P:P,D:D,"&lt;="&amp;D315,C:C,C315))</f>
        <v>0</v>
      </c>
      <c r="U315" s="99">
        <f t="shared" si="98"/>
        <v>0</v>
      </c>
      <c r="V315" s="98">
        <f t="shared" si="106"/>
        <v>0</v>
      </c>
      <c r="W315" s="203" t="str">
        <f t="shared" si="104"/>
        <v/>
      </c>
      <c r="X315" s="98">
        <f t="shared" si="99"/>
        <v>0</v>
      </c>
      <c r="Y315" s="97"/>
      <c r="Z315" s="93"/>
      <c r="AA315" s="98">
        <f t="shared" si="92"/>
        <v>0</v>
      </c>
      <c r="AB315" s="233"/>
      <c r="AC315" s="98">
        <f>IF(SUMIFS('Shipments data'!L:L,'Shipments data'!F:F,'Supply planning data'!C315,'Shipments data'!A:A,'Supply planning data'!A315,'Shipments data'!O:O,"received",'Shipments data'!Q:Q,"&lt;"&amp;'Supply planning data'!D330,'Shipments data'!AC:AC,"&lt;"&amp;'Supply planning data'!D330)-SUMIFS(M:M,D:D,"&lt;="&amp;D315,C:C,C315)-SUMIFS(AA:AA,D:D,"&lt;="&amp;D315,C:C,C315)+SUMIFS(N:N,D:D,"&lt;="&amp;D315,C:C,C315)+SUMIFS(P:P,D:D,"&lt;="&amp;D315,C:C,C315)&lt;0,0,SUMIFS('Shipments data'!L:L,'Shipments data'!F:F,'Supply planning data'!C315,'Shipments data'!A:A,'Supply planning data'!A315,'Shipments data'!O:O,"received",'Shipments data'!Q:Q,"&lt;"&amp;'Supply planning data'!D330,'Shipments data'!AC:AC,"&lt;"&amp;'Supply planning data'!D330)-SUMIFS(M:M,D:D,"&lt;="&amp;D315,C:C,C315)-SUMIFS(AA:AA,D:D,"&lt;="&amp;D315,C:C,C315)+SUMIFS(N:N,D:D,"&lt;="&amp;D315,C:C,C315)+SUMIFS(P:P,D:D,"&lt;="&amp;D315,C:C,C315))</f>
        <v>0</v>
      </c>
      <c r="AD315" s="98">
        <f t="shared" si="100"/>
        <v>0</v>
      </c>
      <c r="AE315" s="98">
        <f t="shared" si="94"/>
        <v>0</v>
      </c>
      <c r="AF315" s="205" t="str">
        <f t="shared" si="103"/>
        <v/>
      </c>
      <c r="AG315" s="98">
        <f t="shared" si="101"/>
        <v>0</v>
      </c>
      <c r="AH315" s="97"/>
      <c r="AI315" s="311"/>
      <c r="AJ315" s="98">
        <f t="shared" si="93"/>
        <v>0</v>
      </c>
      <c r="AK315" s="233"/>
      <c r="AL315" s="98">
        <f>IF(SUMIFS('Shipments data'!L:L,'Shipments data'!F:F,'Supply planning data'!C315,'Shipments data'!A:A,'Supply planning data'!A315,'Shipments data'!O:O,"received",'Shipments data'!Q:Q,"&lt;"&amp;'Supply planning data'!D330,'Shipments data'!AC:AC,"&lt;"&amp;'Supply planning data'!D330)-SUMIFS(M:M,D:D,"&lt;="&amp;D315,C:C,C315)-SUMIFS(AJ:AJ,D:D,"&lt;="&amp;D315,C:C,C315)+SUMIFS(N:N,D:D,"&lt;="&amp;D315,C:C,C315)+SUMIFS(P:P,D:D,"&lt;="&amp;D315,C:C,C315)&lt;0,0,SUMIFS('Shipments data'!L:L,'Shipments data'!F:F,'Supply planning data'!C315,'Shipments data'!A:A,'Supply planning data'!A315,'Shipments data'!O:O,"received",'Shipments data'!Q:Q,"&lt;"&amp;'Supply planning data'!D330,'Shipments data'!AC:AC,"&lt;"&amp;'Supply planning data'!D330)-SUMIFS(M:M,D:D,"&lt;="&amp;D315,C:C,C315)-SUMIFS(AJ:AJ,D:D,"&lt;="&amp;D315,C:C,C315)+SUMIFS(N:N,D:D,"&lt;="&amp;D315,C:C,C315)+SUMIFS(P:P,D:D,"&lt;="&amp;D315,C:C,C315))</f>
        <v>0</v>
      </c>
      <c r="AM315" s="98">
        <f t="shared" si="102"/>
        <v>0</v>
      </c>
      <c r="AN315" s="98">
        <f t="shared" si="95"/>
        <v>0</v>
      </c>
      <c r="AO315" s="203" t="str">
        <f t="shared" si="105"/>
        <v/>
      </c>
    </row>
    <row r="316" spans="1:41" hidden="1" x14ac:dyDescent="0.25">
      <c r="A316" s="95" t="str">
        <f>Start!D$7</f>
        <v>Anyland</v>
      </c>
      <c r="B316" s="96" t="str">
        <f>VLOOKUP(A316,list!B:C,2,FALSE)</f>
        <v>ANY</v>
      </c>
      <c r="C316" s="90" t="str">
        <f>IF(Start!$C$28="","",Start!$C$28)</f>
        <v/>
      </c>
      <c r="D316" s="296">
        <f t="shared" si="96"/>
        <v>44805</v>
      </c>
      <c r="E316" s="92" t="str">
        <f>IFERROR(VLOOKUP(C316,Start!C$15:D$31,2,FALSE),"No")</f>
        <v>No</v>
      </c>
      <c r="F316" s="92">
        <f t="shared" si="97"/>
        <v>0</v>
      </c>
      <c r="G316" s="91"/>
      <c r="H316" s="97"/>
      <c r="I316" s="97"/>
      <c r="J316" s="98">
        <f t="shared" si="89"/>
        <v>0</v>
      </c>
      <c r="K316" s="97"/>
      <c r="L316" s="175" t="str">
        <f t="shared" si="90"/>
        <v/>
      </c>
      <c r="M316" s="98">
        <f t="shared" si="91"/>
        <v>0</v>
      </c>
      <c r="N316" s="97"/>
      <c r="O316" s="122"/>
      <c r="P316" s="97"/>
      <c r="Q316" s="122"/>
      <c r="R316" s="98">
        <f>SUMIFS('Shipments data'!L:L,'Shipments data'!F:F,'Supply planning data'!C316,'Shipments data'!A:A,'Supply planning data'!A316,'Shipments data'!Y:Y,'Supply planning data'!D316,'Shipments data'!O:O,"received", 'Shipments data'!N:N, "Public")</f>
        <v>0</v>
      </c>
      <c r="S316" s="98">
        <f>SUMIFS('Shipments data'!L:L,'Shipments data'!F:F,'Supply planning data'!C316,'Shipments data'!A:A,'Supply planning data'!A316,'Shipments data'!Y:Y,'Supply planning data'!D316,'Shipments data'!O:O,"ordered", 'Shipments data'!N:N, "Public")</f>
        <v>0</v>
      </c>
      <c r="T316" s="98">
        <f>IF(SUMIFS('Shipments data'!L:L,'Shipments data'!F:F,'Supply planning data'!C316,'Shipments data'!A:A,'Supply planning data'!A316,'Shipments data'!O:O,"received",'Shipments data'!Q:Q,"&lt;"&amp;'Supply planning data'!D331,'Shipments data'!AC:AC,"&lt;"&amp;'Supply planning data'!D331)-SUMIFS(M:M,D:D,"&lt;="&amp;D316,C:C,C316)+SUMIFS(N:N,D:D,"&lt;="&amp;D316,C:C,C316)+SUMIFS(P:P,D:D,"&lt;="&amp;D316,C:C,C316)&lt;0,0,SUMIFS('Shipments data'!L:L,'Shipments data'!F:F,'Supply planning data'!C316,'Shipments data'!A:A,'Supply planning data'!A316,'Shipments data'!O:O,"received",'Shipments data'!Q:Q,"&lt;"&amp;'Supply planning data'!D331,'Shipments data'!AC:AC,"&lt;"&amp;'Supply planning data'!D331)-SUMIFS(M:M,D:D,"&lt;="&amp;D316,C:C,C316)+SUMIFS(N:N,D:D,"&lt;="&amp;D316,C:C,C316)+SUMIFS(P:P,D:D,"&lt;="&amp;D316,C:C,C316))</f>
        <v>0</v>
      </c>
      <c r="U316" s="99">
        <f t="shared" si="98"/>
        <v>0</v>
      </c>
      <c r="V316" s="98">
        <f t="shared" si="106"/>
        <v>0</v>
      </c>
      <c r="W316" s="203" t="str">
        <f t="shared" si="104"/>
        <v/>
      </c>
      <c r="X316" s="98">
        <f t="shared" si="99"/>
        <v>0</v>
      </c>
      <c r="Y316" s="97"/>
      <c r="Z316" s="93"/>
      <c r="AA316" s="98">
        <f t="shared" si="92"/>
        <v>0</v>
      </c>
      <c r="AB316" s="233"/>
      <c r="AC316" s="98">
        <f>IF(SUMIFS('Shipments data'!L:L,'Shipments data'!F:F,'Supply planning data'!C316,'Shipments data'!A:A,'Supply planning data'!A316,'Shipments data'!O:O,"received",'Shipments data'!Q:Q,"&lt;"&amp;'Supply planning data'!D331,'Shipments data'!AC:AC,"&lt;"&amp;'Supply planning data'!D331)-SUMIFS(M:M,D:D,"&lt;="&amp;D316,C:C,C316)-SUMIFS(AA:AA,D:D,"&lt;="&amp;D316,C:C,C316)+SUMIFS(N:N,D:D,"&lt;="&amp;D316,C:C,C316)+SUMIFS(P:P,D:D,"&lt;="&amp;D316,C:C,C316)&lt;0,0,SUMIFS('Shipments data'!L:L,'Shipments data'!F:F,'Supply planning data'!C316,'Shipments data'!A:A,'Supply planning data'!A316,'Shipments data'!O:O,"received",'Shipments data'!Q:Q,"&lt;"&amp;'Supply planning data'!D331,'Shipments data'!AC:AC,"&lt;"&amp;'Supply planning data'!D331)-SUMIFS(M:M,D:D,"&lt;="&amp;D316,C:C,C316)-SUMIFS(AA:AA,D:D,"&lt;="&amp;D316,C:C,C316)+SUMIFS(N:N,D:D,"&lt;="&amp;D316,C:C,C316)+SUMIFS(P:P,D:D,"&lt;="&amp;D316,C:C,C316))</f>
        <v>0</v>
      </c>
      <c r="AD316" s="98">
        <f t="shared" si="100"/>
        <v>0</v>
      </c>
      <c r="AE316" s="98">
        <f t="shared" si="94"/>
        <v>0</v>
      </c>
      <c r="AF316" s="205" t="str">
        <f t="shared" si="103"/>
        <v/>
      </c>
      <c r="AG316" s="98">
        <f t="shared" si="101"/>
        <v>0</v>
      </c>
      <c r="AH316" s="97"/>
      <c r="AI316" s="311"/>
      <c r="AJ316" s="98">
        <f t="shared" si="93"/>
        <v>0</v>
      </c>
      <c r="AK316" s="233"/>
      <c r="AL316" s="98">
        <f>IF(SUMIFS('Shipments data'!L:L,'Shipments data'!F:F,'Supply planning data'!C316,'Shipments data'!A:A,'Supply planning data'!A316,'Shipments data'!O:O,"received",'Shipments data'!Q:Q,"&lt;"&amp;'Supply planning data'!D331,'Shipments data'!AC:AC,"&lt;"&amp;'Supply planning data'!D331)-SUMIFS(M:M,D:D,"&lt;="&amp;D316,C:C,C316)-SUMIFS(AJ:AJ,D:D,"&lt;="&amp;D316,C:C,C316)+SUMIFS(N:N,D:D,"&lt;="&amp;D316,C:C,C316)+SUMIFS(P:P,D:D,"&lt;="&amp;D316,C:C,C316)&lt;0,0,SUMIFS('Shipments data'!L:L,'Shipments data'!F:F,'Supply planning data'!C316,'Shipments data'!A:A,'Supply planning data'!A316,'Shipments data'!O:O,"received",'Shipments data'!Q:Q,"&lt;"&amp;'Supply planning data'!D331,'Shipments data'!AC:AC,"&lt;"&amp;'Supply planning data'!D331)-SUMIFS(M:M,D:D,"&lt;="&amp;D316,C:C,C316)-SUMIFS(AJ:AJ,D:D,"&lt;="&amp;D316,C:C,C316)+SUMIFS(N:N,D:D,"&lt;="&amp;D316,C:C,C316)+SUMIFS(P:P,D:D,"&lt;="&amp;D316,C:C,C316))</f>
        <v>0</v>
      </c>
      <c r="AM316" s="98">
        <f t="shared" si="102"/>
        <v>0</v>
      </c>
      <c r="AN316" s="98">
        <f t="shared" si="95"/>
        <v>0</v>
      </c>
      <c r="AO316" s="203" t="str">
        <f t="shared" si="105"/>
        <v/>
      </c>
    </row>
    <row r="317" spans="1:41" hidden="1" x14ac:dyDescent="0.25">
      <c r="A317" s="95" t="str">
        <f>Start!D$7</f>
        <v>Anyland</v>
      </c>
      <c r="B317" s="96" t="str">
        <f>VLOOKUP(A317,list!B:C,2,FALSE)</f>
        <v>ANY</v>
      </c>
      <c r="C317" s="90" t="str">
        <f>IF(Start!$C$29="","",Start!$C$29)</f>
        <v/>
      </c>
      <c r="D317" s="296">
        <f t="shared" si="96"/>
        <v>44805</v>
      </c>
      <c r="E317" s="92" t="str">
        <f>IFERROR(VLOOKUP(C317,Start!C$15:D$31,2,FALSE),"No")</f>
        <v>No</v>
      </c>
      <c r="F317" s="92">
        <f t="shared" si="97"/>
        <v>0</v>
      </c>
      <c r="G317" s="91"/>
      <c r="H317" s="97"/>
      <c r="I317" s="97"/>
      <c r="J317" s="98">
        <f t="shared" si="89"/>
        <v>0</v>
      </c>
      <c r="K317" s="97"/>
      <c r="L317" s="175" t="str">
        <f t="shared" si="90"/>
        <v/>
      </c>
      <c r="M317" s="98">
        <f t="shared" si="91"/>
        <v>0</v>
      </c>
      <c r="N317" s="97"/>
      <c r="O317" s="122"/>
      <c r="P317" s="97"/>
      <c r="Q317" s="122"/>
      <c r="R317" s="98">
        <f>SUMIFS('Shipments data'!L:L,'Shipments data'!F:F,'Supply planning data'!C317,'Shipments data'!A:A,'Supply planning data'!A317,'Shipments data'!Y:Y,'Supply planning data'!D317,'Shipments data'!O:O,"received", 'Shipments data'!N:N, "Public")</f>
        <v>0</v>
      </c>
      <c r="S317" s="98">
        <f>SUMIFS('Shipments data'!L:L,'Shipments data'!F:F,'Supply planning data'!C317,'Shipments data'!A:A,'Supply planning data'!A317,'Shipments data'!Y:Y,'Supply planning data'!D317,'Shipments data'!O:O,"ordered", 'Shipments data'!N:N, "Public")</f>
        <v>0</v>
      </c>
      <c r="T317" s="98">
        <f>IF(SUMIFS('Shipments data'!L:L,'Shipments data'!F:F,'Supply planning data'!C317,'Shipments data'!A:A,'Supply planning data'!A317,'Shipments data'!O:O,"received",'Shipments data'!Q:Q,"&lt;"&amp;'Supply planning data'!D332,'Shipments data'!AC:AC,"&lt;"&amp;'Supply planning data'!D332)-SUMIFS(M:M,D:D,"&lt;="&amp;D317,C:C,C317)+SUMIFS(N:N,D:D,"&lt;="&amp;D317,C:C,C317)+SUMIFS(P:P,D:D,"&lt;="&amp;D317,C:C,C317)&lt;0,0,SUMIFS('Shipments data'!L:L,'Shipments data'!F:F,'Supply planning data'!C317,'Shipments data'!A:A,'Supply planning data'!A317,'Shipments data'!O:O,"received",'Shipments data'!Q:Q,"&lt;"&amp;'Supply planning data'!D332,'Shipments data'!AC:AC,"&lt;"&amp;'Supply planning data'!D332)-SUMIFS(M:M,D:D,"&lt;="&amp;D317,C:C,C317)+SUMIFS(N:N,D:D,"&lt;="&amp;D317,C:C,C317)+SUMIFS(P:P,D:D,"&lt;="&amp;D317,C:C,C317))</f>
        <v>0</v>
      </c>
      <c r="U317" s="99">
        <f t="shared" si="98"/>
        <v>0</v>
      </c>
      <c r="V317" s="98">
        <f t="shared" si="106"/>
        <v>0</v>
      </c>
      <c r="W317" s="203" t="str">
        <f t="shared" si="104"/>
        <v/>
      </c>
      <c r="X317" s="98">
        <f t="shared" si="99"/>
        <v>0</v>
      </c>
      <c r="Y317" s="97"/>
      <c r="Z317" s="93"/>
      <c r="AA317" s="98">
        <f t="shared" si="92"/>
        <v>0</v>
      </c>
      <c r="AB317" s="233"/>
      <c r="AC317" s="98">
        <f>IF(SUMIFS('Shipments data'!L:L,'Shipments data'!F:F,'Supply planning data'!C317,'Shipments data'!A:A,'Supply planning data'!A317,'Shipments data'!O:O,"received",'Shipments data'!Q:Q,"&lt;"&amp;'Supply planning data'!D332,'Shipments data'!AC:AC,"&lt;"&amp;'Supply planning data'!D332)-SUMIFS(M:M,D:D,"&lt;="&amp;D317,C:C,C317)-SUMIFS(AA:AA,D:D,"&lt;="&amp;D317,C:C,C317)+SUMIFS(N:N,D:D,"&lt;="&amp;D317,C:C,C317)+SUMIFS(P:P,D:D,"&lt;="&amp;D317,C:C,C317)&lt;0,0,SUMIFS('Shipments data'!L:L,'Shipments data'!F:F,'Supply planning data'!C317,'Shipments data'!A:A,'Supply planning data'!A317,'Shipments data'!O:O,"received",'Shipments data'!Q:Q,"&lt;"&amp;'Supply planning data'!D332,'Shipments data'!AC:AC,"&lt;"&amp;'Supply planning data'!D332)-SUMIFS(M:M,D:D,"&lt;="&amp;D317,C:C,C317)-SUMIFS(AA:AA,D:D,"&lt;="&amp;D317,C:C,C317)+SUMIFS(N:N,D:D,"&lt;="&amp;D317,C:C,C317)+SUMIFS(P:P,D:D,"&lt;="&amp;D317,C:C,C317))</f>
        <v>0</v>
      </c>
      <c r="AD317" s="98">
        <f t="shared" si="100"/>
        <v>0</v>
      </c>
      <c r="AE317" s="98">
        <f t="shared" si="94"/>
        <v>0</v>
      </c>
      <c r="AF317" s="205" t="str">
        <f t="shared" si="103"/>
        <v/>
      </c>
      <c r="AG317" s="98">
        <f t="shared" si="101"/>
        <v>0</v>
      </c>
      <c r="AH317" s="97"/>
      <c r="AI317" s="311"/>
      <c r="AJ317" s="98">
        <f t="shared" si="93"/>
        <v>0</v>
      </c>
      <c r="AK317" s="233"/>
      <c r="AL317" s="98">
        <f>IF(SUMIFS('Shipments data'!L:L,'Shipments data'!F:F,'Supply planning data'!C317,'Shipments data'!A:A,'Supply planning data'!A317,'Shipments data'!O:O,"received",'Shipments data'!Q:Q,"&lt;"&amp;'Supply planning data'!D332,'Shipments data'!AC:AC,"&lt;"&amp;'Supply planning data'!D332)-SUMIFS(M:M,D:D,"&lt;="&amp;D317,C:C,C317)-SUMIFS(AJ:AJ,D:D,"&lt;="&amp;D317,C:C,C317)+SUMIFS(N:N,D:D,"&lt;="&amp;D317,C:C,C317)+SUMIFS(P:P,D:D,"&lt;="&amp;D317,C:C,C317)&lt;0,0,SUMIFS('Shipments data'!L:L,'Shipments data'!F:F,'Supply planning data'!C317,'Shipments data'!A:A,'Supply planning data'!A317,'Shipments data'!O:O,"received",'Shipments data'!Q:Q,"&lt;"&amp;'Supply planning data'!D332,'Shipments data'!AC:AC,"&lt;"&amp;'Supply planning data'!D332)-SUMIFS(M:M,D:D,"&lt;="&amp;D317,C:C,C317)-SUMIFS(AJ:AJ,D:D,"&lt;="&amp;D317,C:C,C317)+SUMIFS(N:N,D:D,"&lt;="&amp;D317,C:C,C317)+SUMIFS(P:P,D:D,"&lt;="&amp;D317,C:C,C317))</f>
        <v>0</v>
      </c>
      <c r="AM317" s="98">
        <f t="shared" si="102"/>
        <v>0</v>
      </c>
      <c r="AN317" s="98">
        <f t="shared" si="95"/>
        <v>0</v>
      </c>
      <c r="AO317" s="203" t="str">
        <f t="shared" si="105"/>
        <v/>
      </c>
    </row>
    <row r="318" spans="1:41" hidden="1" x14ac:dyDescent="0.25">
      <c r="A318" s="95" t="str">
        <f>Start!D$7</f>
        <v>Anyland</v>
      </c>
      <c r="B318" s="96" t="str">
        <f>VLOOKUP(A318,list!B:C,2,FALSE)</f>
        <v>ANY</v>
      </c>
      <c r="C318" s="90" t="str">
        <f>IF(Start!$C$30="","",Start!$C$30)</f>
        <v/>
      </c>
      <c r="D318" s="296">
        <f t="shared" si="96"/>
        <v>44805</v>
      </c>
      <c r="E318" s="92" t="str">
        <f>IFERROR(VLOOKUP(C318,Start!C$15:D$31,2,FALSE),"No")</f>
        <v>No</v>
      </c>
      <c r="F318" s="92">
        <f t="shared" si="97"/>
        <v>0</v>
      </c>
      <c r="G318" s="91"/>
      <c r="H318" s="97"/>
      <c r="I318" s="97"/>
      <c r="J318" s="98">
        <f t="shared" si="89"/>
        <v>0</v>
      </c>
      <c r="K318" s="97"/>
      <c r="L318" s="175" t="str">
        <f t="shared" si="90"/>
        <v/>
      </c>
      <c r="M318" s="98">
        <f t="shared" si="91"/>
        <v>0</v>
      </c>
      <c r="N318" s="97"/>
      <c r="O318" s="122"/>
      <c r="P318" s="97"/>
      <c r="Q318" s="122"/>
      <c r="R318" s="98">
        <f>SUMIFS('Shipments data'!L:L,'Shipments data'!F:F,'Supply planning data'!C318,'Shipments data'!A:A,'Supply planning data'!A318,'Shipments data'!Y:Y,'Supply planning data'!D318,'Shipments data'!O:O,"received", 'Shipments data'!N:N, "Public")</f>
        <v>0</v>
      </c>
      <c r="S318" s="98">
        <f>SUMIFS('Shipments data'!L:L,'Shipments data'!F:F,'Supply planning data'!C318,'Shipments data'!A:A,'Supply planning data'!A318,'Shipments data'!Y:Y,'Supply planning data'!D318,'Shipments data'!O:O,"ordered", 'Shipments data'!N:N, "Public")</f>
        <v>0</v>
      </c>
      <c r="T318" s="98">
        <f>IF(SUMIFS('Shipments data'!L:L,'Shipments data'!F:F,'Supply planning data'!C318,'Shipments data'!A:A,'Supply planning data'!A318,'Shipments data'!O:O,"received",'Shipments data'!Q:Q,"&lt;"&amp;'Supply planning data'!D333,'Shipments data'!AC:AC,"&lt;"&amp;'Supply planning data'!D333)-SUMIFS(M:M,D:D,"&lt;="&amp;D318,C:C,C318)+SUMIFS(N:N,D:D,"&lt;="&amp;D318,C:C,C318)+SUMIFS(P:P,D:D,"&lt;="&amp;D318,C:C,C318)&lt;0,0,SUMIFS('Shipments data'!L:L,'Shipments data'!F:F,'Supply planning data'!C318,'Shipments data'!A:A,'Supply planning data'!A318,'Shipments data'!O:O,"received",'Shipments data'!Q:Q,"&lt;"&amp;'Supply planning data'!D333,'Shipments data'!AC:AC,"&lt;"&amp;'Supply planning data'!D333)-SUMIFS(M:M,D:D,"&lt;="&amp;D318,C:C,C318)+SUMIFS(N:N,D:D,"&lt;="&amp;D318,C:C,C318)+SUMIFS(P:P,D:D,"&lt;="&amp;D318,C:C,C318))</f>
        <v>0</v>
      </c>
      <c r="U318" s="99">
        <f t="shared" si="98"/>
        <v>0</v>
      </c>
      <c r="V318" s="98">
        <f t="shared" si="106"/>
        <v>0</v>
      </c>
      <c r="W318" s="203" t="str">
        <f t="shared" si="104"/>
        <v/>
      </c>
      <c r="X318" s="98">
        <f t="shared" si="99"/>
        <v>0</v>
      </c>
      <c r="Y318" s="97"/>
      <c r="Z318" s="93"/>
      <c r="AA318" s="98">
        <f t="shared" si="92"/>
        <v>0</v>
      </c>
      <c r="AB318" s="233"/>
      <c r="AC318" s="98">
        <f>IF(SUMIFS('Shipments data'!L:L,'Shipments data'!F:F,'Supply planning data'!C318,'Shipments data'!A:A,'Supply planning data'!A318,'Shipments data'!O:O,"received",'Shipments data'!Q:Q,"&lt;"&amp;'Supply planning data'!D333,'Shipments data'!AC:AC,"&lt;"&amp;'Supply planning data'!D333)-SUMIFS(M:M,D:D,"&lt;="&amp;D318,C:C,C318)-SUMIFS(AA:AA,D:D,"&lt;="&amp;D318,C:C,C318)+SUMIFS(N:N,D:D,"&lt;="&amp;D318,C:C,C318)+SUMIFS(P:P,D:D,"&lt;="&amp;D318,C:C,C318)&lt;0,0,SUMIFS('Shipments data'!L:L,'Shipments data'!F:F,'Supply planning data'!C318,'Shipments data'!A:A,'Supply planning data'!A318,'Shipments data'!O:O,"received",'Shipments data'!Q:Q,"&lt;"&amp;'Supply planning data'!D333,'Shipments data'!AC:AC,"&lt;"&amp;'Supply planning data'!D333)-SUMIFS(M:M,D:D,"&lt;="&amp;D318,C:C,C318)-SUMIFS(AA:AA,D:D,"&lt;="&amp;D318,C:C,C318)+SUMIFS(N:N,D:D,"&lt;="&amp;D318,C:C,C318)+SUMIFS(P:P,D:D,"&lt;="&amp;D318,C:C,C318))</f>
        <v>0</v>
      </c>
      <c r="AD318" s="98">
        <f t="shared" si="100"/>
        <v>0</v>
      </c>
      <c r="AE318" s="98">
        <f t="shared" si="94"/>
        <v>0</v>
      </c>
      <c r="AF318" s="205" t="str">
        <f t="shared" si="103"/>
        <v/>
      </c>
      <c r="AG318" s="98">
        <f t="shared" si="101"/>
        <v>0</v>
      </c>
      <c r="AH318" s="97"/>
      <c r="AI318" s="311"/>
      <c r="AJ318" s="98">
        <f t="shared" si="93"/>
        <v>0</v>
      </c>
      <c r="AK318" s="233"/>
      <c r="AL318" s="98">
        <f>IF(SUMIFS('Shipments data'!L:L,'Shipments data'!F:F,'Supply planning data'!C318,'Shipments data'!A:A,'Supply planning data'!A318,'Shipments data'!O:O,"received",'Shipments data'!Q:Q,"&lt;"&amp;'Supply planning data'!D333,'Shipments data'!AC:AC,"&lt;"&amp;'Supply planning data'!D333)-SUMIFS(M:M,D:D,"&lt;="&amp;D318,C:C,C318)-SUMIFS(AJ:AJ,D:D,"&lt;="&amp;D318,C:C,C318)+SUMIFS(N:N,D:D,"&lt;="&amp;D318,C:C,C318)+SUMIFS(P:P,D:D,"&lt;="&amp;D318,C:C,C318)&lt;0,0,SUMIFS('Shipments data'!L:L,'Shipments data'!F:F,'Supply planning data'!C318,'Shipments data'!A:A,'Supply planning data'!A318,'Shipments data'!O:O,"received",'Shipments data'!Q:Q,"&lt;"&amp;'Supply planning data'!D333,'Shipments data'!AC:AC,"&lt;"&amp;'Supply planning data'!D333)-SUMIFS(M:M,D:D,"&lt;="&amp;D318,C:C,C318)-SUMIFS(AJ:AJ,D:D,"&lt;="&amp;D318,C:C,C318)+SUMIFS(N:N,D:D,"&lt;="&amp;D318,C:C,C318)+SUMIFS(P:P,D:D,"&lt;="&amp;D318,C:C,C318))</f>
        <v>0</v>
      </c>
      <c r="AM318" s="98">
        <f t="shared" si="102"/>
        <v>0</v>
      </c>
      <c r="AN318" s="98">
        <f t="shared" si="95"/>
        <v>0</v>
      </c>
      <c r="AO318" s="203" t="str">
        <f t="shared" si="105"/>
        <v/>
      </c>
    </row>
    <row r="319" spans="1:41" hidden="1" x14ac:dyDescent="0.25">
      <c r="A319" s="95" t="str">
        <f>Start!D$7</f>
        <v>Anyland</v>
      </c>
      <c r="B319" s="100" t="str">
        <f>VLOOKUP(A319,list!B:C,2,FALSE)</f>
        <v>ANY</v>
      </c>
      <c r="C319" s="90" t="str">
        <f>IF(Start!$C$31="","",Start!$C$31)</f>
        <v/>
      </c>
      <c r="D319" s="296">
        <f t="shared" si="96"/>
        <v>44805</v>
      </c>
      <c r="E319" s="92" t="str">
        <f>IFERROR(VLOOKUP(C319,Start!C$15:D$31,2,FALSE),"No")</f>
        <v>No</v>
      </c>
      <c r="F319" s="92">
        <f t="shared" si="97"/>
        <v>0</v>
      </c>
      <c r="G319" s="91"/>
      <c r="H319" s="97"/>
      <c r="I319" s="97"/>
      <c r="J319" s="98">
        <f t="shared" si="89"/>
        <v>0</v>
      </c>
      <c r="K319" s="97"/>
      <c r="L319" s="175" t="str">
        <f t="shared" si="90"/>
        <v/>
      </c>
      <c r="M319" s="98">
        <f t="shared" si="91"/>
        <v>0</v>
      </c>
      <c r="N319" s="97"/>
      <c r="O319" s="122"/>
      <c r="P319" s="97"/>
      <c r="Q319" s="122"/>
      <c r="R319" s="98">
        <f>SUMIFS('Shipments data'!L:L,'Shipments data'!F:F,'Supply planning data'!C319,'Shipments data'!A:A,'Supply planning data'!A319,'Shipments data'!Y:Y,'Supply planning data'!D319,'Shipments data'!O:O,"received", 'Shipments data'!N:N, "Public")</f>
        <v>0</v>
      </c>
      <c r="S319" s="98">
        <f>SUMIFS('Shipments data'!L:L,'Shipments data'!F:F,'Supply planning data'!C319,'Shipments data'!A:A,'Supply planning data'!A319,'Shipments data'!Y:Y,'Supply planning data'!D319,'Shipments data'!O:O,"ordered", 'Shipments data'!N:N, "Public")</f>
        <v>0</v>
      </c>
      <c r="T319" s="98">
        <f>IF(SUMIFS('Shipments data'!L:L,'Shipments data'!F:F,'Supply planning data'!C319,'Shipments data'!A:A,'Supply planning data'!A319,'Shipments data'!O:O,"received",'Shipments data'!Q:Q,"&lt;"&amp;'Supply planning data'!D334,'Shipments data'!AC:AC,"&lt;"&amp;'Supply planning data'!D334)-SUMIFS(M:M,D:D,"&lt;="&amp;D319,C:C,C319)+SUMIFS(N:N,D:D,"&lt;="&amp;D319,C:C,C319)+SUMIFS(P:P,D:D,"&lt;="&amp;D319,C:C,C319)&lt;0,0,SUMIFS('Shipments data'!L:L,'Shipments data'!F:F,'Supply planning data'!C319,'Shipments data'!A:A,'Supply planning data'!A319,'Shipments data'!O:O,"received",'Shipments data'!Q:Q,"&lt;"&amp;'Supply planning data'!D334,'Shipments data'!AC:AC,"&lt;"&amp;'Supply planning data'!D334)-SUMIFS(M:M,D:D,"&lt;="&amp;D319,C:C,C319)+SUMIFS(N:N,D:D,"&lt;="&amp;D319,C:C,C319)+SUMIFS(P:P,D:D,"&lt;="&amp;D319,C:C,C319))</f>
        <v>0</v>
      </c>
      <c r="U319" s="99">
        <f t="shared" si="98"/>
        <v>0</v>
      </c>
      <c r="V319" s="98">
        <f t="shared" si="106"/>
        <v>0</v>
      </c>
      <c r="W319" s="203" t="str">
        <f t="shared" si="104"/>
        <v/>
      </c>
      <c r="X319" s="98">
        <f t="shared" si="99"/>
        <v>0</v>
      </c>
      <c r="Y319" s="97"/>
      <c r="Z319" s="93"/>
      <c r="AA319" s="98">
        <f t="shared" si="92"/>
        <v>0</v>
      </c>
      <c r="AB319" s="233"/>
      <c r="AC319" s="98">
        <f>IF(SUMIFS('Shipments data'!L:L,'Shipments data'!F:F,'Supply planning data'!C319,'Shipments data'!A:A,'Supply planning data'!A319,'Shipments data'!O:O,"received",'Shipments data'!Q:Q,"&lt;"&amp;'Supply planning data'!D334,'Shipments data'!AC:AC,"&lt;"&amp;'Supply planning data'!D334)-SUMIFS(M:M,D:D,"&lt;="&amp;D319,C:C,C319)-SUMIFS(AA:AA,D:D,"&lt;="&amp;D319,C:C,C319)+SUMIFS(N:N,D:D,"&lt;="&amp;D319,C:C,C319)+SUMIFS(P:P,D:D,"&lt;="&amp;D319,C:C,C319)&lt;0,0,SUMIFS('Shipments data'!L:L,'Shipments data'!F:F,'Supply planning data'!C319,'Shipments data'!A:A,'Supply planning data'!A319,'Shipments data'!O:O,"received",'Shipments data'!Q:Q,"&lt;"&amp;'Supply planning data'!D334,'Shipments data'!AC:AC,"&lt;"&amp;'Supply planning data'!D334)-SUMIFS(M:M,D:D,"&lt;="&amp;D319,C:C,C319)-SUMIFS(AA:AA,D:D,"&lt;="&amp;D319,C:C,C319)+SUMIFS(N:N,D:D,"&lt;="&amp;D319,C:C,C319)+SUMIFS(P:P,D:D,"&lt;="&amp;D319,C:C,C319))</f>
        <v>0</v>
      </c>
      <c r="AD319" s="98">
        <f t="shared" si="100"/>
        <v>0</v>
      </c>
      <c r="AE319" s="98">
        <f t="shared" si="94"/>
        <v>0</v>
      </c>
      <c r="AF319" s="205" t="str">
        <f t="shared" si="103"/>
        <v/>
      </c>
      <c r="AG319" s="98">
        <f t="shared" si="101"/>
        <v>0</v>
      </c>
      <c r="AH319" s="97"/>
      <c r="AI319" s="311"/>
      <c r="AJ319" s="98">
        <f t="shared" si="93"/>
        <v>0</v>
      </c>
      <c r="AK319" s="233"/>
      <c r="AL319" s="98">
        <f>IF(SUMIFS('Shipments data'!L:L,'Shipments data'!F:F,'Supply planning data'!C319,'Shipments data'!A:A,'Supply planning data'!A319,'Shipments data'!O:O,"received",'Shipments data'!Q:Q,"&lt;"&amp;'Supply planning data'!D334,'Shipments data'!AC:AC,"&lt;"&amp;'Supply planning data'!D334)-SUMIFS(M:M,D:D,"&lt;="&amp;D319,C:C,C319)-SUMIFS(AJ:AJ,D:D,"&lt;="&amp;D319,C:C,C319)+SUMIFS(N:N,D:D,"&lt;="&amp;D319,C:C,C319)+SUMIFS(P:P,D:D,"&lt;="&amp;D319,C:C,C319)&lt;0,0,SUMIFS('Shipments data'!L:L,'Shipments data'!F:F,'Supply planning data'!C319,'Shipments data'!A:A,'Supply planning data'!A319,'Shipments data'!O:O,"received",'Shipments data'!Q:Q,"&lt;"&amp;'Supply planning data'!D334,'Shipments data'!AC:AC,"&lt;"&amp;'Supply planning data'!D334)-SUMIFS(M:M,D:D,"&lt;="&amp;D319,C:C,C319)-SUMIFS(AJ:AJ,D:D,"&lt;="&amp;D319,C:C,C319)+SUMIFS(N:N,D:D,"&lt;="&amp;D319,C:C,C319)+SUMIFS(P:P,D:D,"&lt;="&amp;D319,C:C,C319))</f>
        <v>0</v>
      </c>
      <c r="AM319" s="98">
        <f t="shared" si="102"/>
        <v>0</v>
      </c>
      <c r="AN319" s="98">
        <f t="shared" si="95"/>
        <v>0</v>
      </c>
      <c r="AO319" s="203" t="str">
        <f t="shared" si="105"/>
        <v/>
      </c>
    </row>
    <row r="320" spans="1:41" x14ac:dyDescent="0.25">
      <c r="A320" s="103" t="str">
        <f>Start!D$7</f>
        <v>Anyland</v>
      </c>
      <c r="B320" s="104" t="str">
        <f>VLOOKUP(A320,list!B:C,2,FALSE)</f>
        <v>ANY</v>
      </c>
      <c r="C320" s="104" t="str">
        <f>IF(Start!$C$17="","",Start!$C$17)</f>
        <v>AstraZeneca</v>
      </c>
      <c r="D320" s="298">
        <f t="shared" si="96"/>
        <v>44835</v>
      </c>
      <c r="E320" s="105" t="str">
        <f>IFERROR(VLOOKUP(C320,Start!C$15:D$31,2,FALSE),"No")</f>
        <v>Yes</v>
      </c>
      <c r="F320" s="105">
        <f t="shared" si="97"/>
        <v>0</v>
      </c>
      <c r="G320" s="106"/>
      <c r="H320" s="106"/>
      <c r="I320" s="106"/>
      <c r="J320" s="105">
        <f t="shared" si="89"/>
        <v>0</v>
      </c>
      <c r="K320" s="106"/>
      <c r="L320" s="177" t="str">
        <f t="shared" si="90"/>
        <v/>
      </c>
      <c r="M320" s="105">
        <f t="shared" si="91"/>
        <v>0</v>
      </c>
      <c r="N320" s="106"/>
      <c r="O320" s="123"/>
      <c r="P320" s="106"/>
      <c r="Q320" s="123"/>
      <c r="R320" s="105">
        <f>SUMIFS('Shipments data'!L:L,'Shipments data'!F:F,'Supply planning data'!C320,'Shipments data'!A:A,'Supply planning data'!A320,'Shipments data'!Y:Y,'Supply planning data'!D320,'Shipments data'!O:O,"received", 'Shipments data'!N:N, "Public")</f>
        <v>0</v>
      </c>
      <c r="S320" s="105">
        <f>SUMIFS('Shipments data'!L:L,'Shipments data'!F:F,'Supply planning data'!C320,'Shipments data'!A:A,'Supply planning data'!A320,'Shipments data'!Y:Y,'Supply planning data'!D320,'Shipments data'!O:O,"ordered", 'Shipments data'!N:N, "Public")</f>
        <v>0</v>
      </c>
      <c r="T320" s="105">
        <f>IF(SUMIFS('Shipments data'!L:L,'Shipments data'!F:F,'Supply planning data'!C320,'Shipments data'!A:A,'Supply planning data'!A320,'Shipments data'!O:O,"received",'Shipments data'!Q:Q,"&lt;"&amp;'Supply planning data'!D335,'Shipments data'!AC:AC,"&lt;"&amp;'Supply planning data'!D335)-SUMIFS(M:M,D:D,"&lt;="&amp;D320,C:C,C320)+SUMIFS(N:N,D:D,"&lt;="&amp;D320,C:C,C320)+SUMIFS(P:P,D:D,"&lt;="&amp;D320,C:C,C320)&lt;0,0,SUMIFS('Shipments data'!L:L,'Shipments data'!F:F,'Supply planning data'!C320,'Shipments data'!A:A,'Supply planning data'!A320,'Shipments data'!O:O,"received",'Shipments data'!Q:Q,"&lt;"&amp;'Supply planning data'!D335,'Shipments data'!AC:AC,"&lt;"&amp;'Supply planning data'!D335)-SUMIFS(M:M,D:D,"&lt;="&amp;D320,C:C,C320)+SUMIFS(N:N,D:D,"&lt;="&amp;D320,C:C,C320)+SUMIFS(P:P,D:D,"&lt;="&amp;D320,C:C,C320))</f>
        <v>0</v>
      </c>
      <c r="U320" s="108">
        <f t="shared" si="98"/>
        <v>0</v>
      </c>
      <c r="V320" s="105">
        <f t="shared" si="106"/>
        <v>0</v>
      </c>
      <c r="W320" s="206" t="str">
        <f t="shared" si="104"/>
        <v/>
      </c>
      <c r="X320" s="105">
        <f t="shared" si="99"/>
        <v>314701</v>
      </c>
      <c r="Y320" s="106">
        <v>80000</v>
      </c>
      <c r="Z320" s="107"/>
      <c r="AA320" s="105">
        <f t="shared" si="92"/>
        <v>80000</v>
      </c>
      <c r="AB320" s="234"/>
      <c r="AC320" s="105">
        <f>IF(SUMIFS('Shipments data'!L:L,'Shipments data'!F:F,'Supply planning data'!C320,'Shipments data'!A:A,'Supply planning data'!A320,'Shipments data'!O:O,"received",'Shipments data'!Q:Q,"&lt;"&amp;'Supply planning data'!D335,'Shipments data'!AC:AC,"&lt;"&amp;'Supply planning data'!D335)-SUMIFS(M:M,D:D,"&lt;="&amp;D320,C:C,C320)-SUMIFS(AA:AA,D:D,"&lt;="&amp;D320,C:C,C320)+SUMIFS(N:N,D:D,"&lt;="&amp;D320,C:C,C320)+SUMIFS(P:P,D:D,"&lt;="&amp;D320,C:C,C320)&lt;0,0,SUMIFS('Shipments data'!L:L,'Shipments data'!F:F,'Supply planning data'!C320,'Shipments data'!A:A,'Supply planning data'!A320,'Shipments data'!O:O,"received",'Shipments data'!Q:Q,"&lt;"&amp;'Supply planning data'!D335,'Shipments data'!AC:AC,"&lt;"&amp;'Supply planning data'!D335)-SUMIFS(M:M,D:D,"&lt;="&amp;D320,C:C,C320)-SUMIFS(AA:AA,D:D,"&lt;="&amp;D320,C:C,C320)+SUMIFS(N:N,D:D,"&lt;="&amp;D320,C:C,C320)+SUMIFS(P:P,D:D,"&lt;="&amp;D320,C:C,C320))</f>
        <v>0</v>
      </c>
      <c r="AD320" s="105">
        <f t="shared" si="100"/>
        <v>0</v>
      </c>
      <c r="AE320" s="105">
        <f t="shared" si="94"/>
        <v>234701</v>
      </c>
      <c r="AF320" s="206">
        <f t="shared" si="103"/>
        <v>4.4006437499999995</v>
      </c>
      <c r="AG320" s="105">
        <f t="shared" si="101"/>
        <v>0</v>
      </c>
      <c r="AH320" s="106"/>
      <c r="AI320" s="312"/>
      <c r="AJ320" s="105">
        <f t="shared" si="93"/>
        <v>0</v>
      </c>
      <c r="AK320" s="234"/>
      <c r="AL320" s="105">
        <f>IF(SUMIFS('Shipments data'!L:L,'Shipments data'!F:F,'Supply planning data'!C320,'Shipments data'!A:A,'Supply planning data'!A320,'Shipments data'!O:O,"received",'Shipments data'!Q:Q,"&lt;"&amp;'Supply planning data'!D335,'Shipments data'!AC:AC,"&lt;"&amp;'Supply planning data'!D335)-SUMIFS(M:M,D:D,"&lt;="&amp;D320,C:C,C320)-SUMIFS(AJ:AJ,D:D,"&lt;="&amp;D320,C:C,C320)+SUMIFS(N:N,D:D,"&lt;="&amp;D320,C:C,C320)+SUMIFS(P:P,D:D,"&lt;="&amp;D320,C:C,C320)&lt;0,0,SUMIFS('Shipments data'!L:L,'Shipments data'!F:F,'Supply planning data'!C320,'Shipments data'!A:A,'Supply planning data'!A320,'Shipments data'!O:O,"received",'Shipments data'!Q:Q,"&lt;"&amp;'Supply planning data'!D335,'Shipments data'!AC:AC,"&lt;"&amp;'Supply planning data'!D335)-SUMIFS(M:M,D:D,"&lt;="&amp;D320,C:C,C320)-SUMIFS(AJ:AJ,D:D,"&lt;="&amp;D320,C:C,C320)+SUMIFS(N:N,D:D,"&lt;="&amp;D320,C:C,C320)+SUMIFS(P:P,D:D,"&lt;="&amp;D320,C:C,C320))</f>
        <v>0</v>
      </c>
      <c r="AM320" s="105">
        <f t="shared" si="102"/>
        <v>0</v>
      </c>
      <c r="AN320" s="105">
        <f t="shared" si="95"/>
        <v>0</v>
      </c>
      <c r="AO320" s="206" t="str">
        <f t="shared" si="105"/>
        <v/>
      </c>
    </row>
    <row r="321" spans="1:41" x14ac:dyDescent="0.25">
      <c r="A321" s="103" t="str">
        <f>Start!D$7</f>
        <v>Anyland</v>
      </c>
      <c r="B321" s="109" t="str">
        <f>VLOOKUP(A321,list!B:C,2,FALSE)</f>
        <v>ANY</v>
      </c>
      <c r="C321" s="109" t="str">
        <f>IF(Start!$C$18="","",Start!$C$18)</f>
        <v>Jansen</v>
      </c>
      <c r="D321" s="298">
        <f t="shared" si="96"/>
        <v>44835</v>
      </c>
      <c r="E321" s="105" t="str">
        <f>IFERROR(VLOOKUP(C321,Start!C$15:D$31,2,FALSE),"No")</f>
        <v>Yes</v>
      </c>
      <c r="F321" s="105">
        <f t="shared" si="97"/>
        <v>2058747</v>
      </c>
      <c r="G321" s="106"/>
      <c r="H321" s="106"/>
      <c r="I321" s="106"/>
      <c r="J321" s="105">
        <f t="shared" si="89"/>
        <v>0</v>
      </c>
      <c r="K321" s="106"/>
      <c r="L321" s="177" t="str">
        <f t="shared" si="90"/>
        <v/>
      </c>
      <c r="M321" s="105">
        <f t="shared" si="91"/>
        <v>0</v>
      </c>
      <c r="N321" s="110"/>
      <c r="O321" s="124"/>
      <c r="P321" s="110"/>
      <c r="Q321" s="124"/>
      <c r="R321" s="111">
        <f>SUMIFS('Shipments data'!L:L,'Shipments data'!F:F,'Supply planning data'!C321,'Shipments data'!A:A,'Supply planning data'!A321,'Shipments data'!Y:Y,'Supply planning data'!D321,'Shipments data'!O:O,"received", 'Shipments data'!N:N, "Public")</f>
        <v>0</v>
      </c>
      <c r="S321" s="111">
        <f>SUMIFS('Shipments data'!L:L,'Shipments data'!F:F,'Supply planning data'!C321,'Shipments data'!A:A,'Supply planning data'!A321,'Shipments data'!Y:Y,'Supply planning data'!D321,'Shipments data'!O:O,"ordered", 'Shipments data'!N:N, "Public")</f>
        <v>0</v>
      </c>
      <c r="T321" s="111">
        <f>IF(SUMIFS('Shipments data'!L:L,'Shipments data'!F:F,'Supply planning data'!C321,'Shipments data'!A:A,'Supply planning data'!A321,'Shipments data'!O:O,"received",'Shipments data'!Q:Q,"&lt;"&amp;'Supply planning data'!D336,'Shipments data'!AC:AC,"&lt;"&amp;'Supply planning data'!D336)-SUMIFS(M:M,D:D,"&lt;="&amp;D321,C:C,C321)+SUMIFS(N:N,D:D,"&lt;="&amp;D321,C:C,C321)+SUMIFS(P:P,D:D,"&lt;="&amp;D321,C:C,C321)&lt;0,0,SUMIFS('Shipments data'!L:L,'Shipments data'!F:F,'Supply planning data'!C321,'Shipments data'!A:A,'Supply planning data'!A321,'Shipments data'!O:O,"received",'Shipments data'!Q:Q,"&lt;"&amp;'Supply planning data'!D336,'Shipments data'!AC:AC,"&lt;"&amp;'Supply planning data'!D336)-SUMIFS(M:M,D:D,"&lt;="&amp;D321,C:C,C321)+SUMIFS(N:N,D:D,"&lt;="&amp;D321,C:C,C321)+SUMIFS(P:P,D:D,"&lt;="&amp;D321,C:C,C321))</f>
        <v>0</v>
      </c>
      <c r="U321" s="112">
        <f t="shared" si="98"/>
        <v>0</v>
      </c>
      <c r="V321" s="111">
        <f t="shared" si="106"/>
        <v>2058747</v>
      </c>
      <c r="W321" s="204" t="str">
        <f t="shared" si="104"/>
        <v/>
      </c>
      <c r="X321" s="111">
        <f t="shared" si="99"/>
        <v>1658747</v>
      </c>
      <c r="Y321" s="110">
        <v>80000</v>
      </c>
      <c r="Z321" s="107"/>
      <c r="AA321" s="111">
        <f t="shared" si="92"/>
        <v>80000</v>
      </c>
      <c r="AB321" s="235"/>
      <c r="AC321" s="111">
        <f>IF(SUMIFS('Shipments data'!L:L,'Shipments data'!F:F,'Supply planning data'!C321,'Shipments data'!A:A,'Supply planning data'!A321,'Shipments data'!O:O,"received",'Shipments data'!Q:Q,"&lt;"&amp;'Supply planning data'!D336,'Shipments data'!AC:AC,"&lt;"&amp;'Supply planning data'!D336)-SUMIFS(M:M,D:D,"&lt;="&amp;D321,C:C,C321)-SUMIFS(AA:AA,D:D,"&lt;="&amp;D321,C:C,C321)+SUMIFS(N:N,D:D,"&lt;="&amp;D321,C:C,C321)+SUMIFS(P:P,D:D,"&lt;="&amp;D321,C:C,C321)&lt;0,0,SUMIFS('Shipments data'!L:L,'Shipments data'!F:F,'Supply planning data'!C321,'Shipments data'!A:A,'Supply planning data'!A321,'Shipments data'!O:O,"received",'Shipments data'!Q:Q,"&lt;"&amp;'Supply planning data'!D336,'Shipments data'!AC:AC,"&lt;"&amp;'Supply planning data'!D336)-SUMIFS(M:M,D:D,"&lt;="&amp;D321,C:C,C321)-SUMIFS(AA:AA,D:D,"&lt;="&amp;D321,C:C,C321)+SUMIFS(N:N,D:D,"&lt;="&amp;D321,C:C,C321)+SUMIFS(P:P,D:D,"&lt;="&amp;D321,C:C,C321))</f>
        <v>0</v>
      </c>
      <c r="AD321" s="111">
        <f t="shared" si="100"/>
        <v>0</v>
      </c>
      <c r="AE321" s="111">
        <f t="shared" si="94"/>
        <v>1578747</v>
      </c>
      <c r="AF321" s="204">
        <f t="shared" si="103"/>
        <v>29.60150625</v>
      </c>
      <c r="AG321" s="111">
        <f t="shared" si="101"/>
        <v>2058747</v>
      </c>
      <c r="AH321" s="110"/>
      <c r="AI321" s="313"/>
      <c r="AJ321" s="111">
        <f t="shared" si="93"/>
        <v>0</v>
      </c>
      <c r="AK321" s="235"/>
      <c r="AL321" s="111">
        <f>IF(SUMIFS('Shipments data'!L:L,'Shipments data'!F:F,'Supply planning data'!C321,'Shipments data'!A:A,'Supply planning data'!A321,'Shipments data'!O:O,"received",'Shipments data'!Q:Q,"&lt;"&amp;'Supply planning data'!D336,'Shipments data'!AC:AC,"&lt;"&amp;'Supply planning data'!D336)-SUMIFS(M:M,D:D,"&lt;="&amp;D321,C:C,C321)-SUMIFS(AJ:AJ,D:D,"&lt;="&amp;D321,C:C,C321)+SUMIFS(N:N,D:D,"&lt;="&amp;D321,C:C,C321)+SUMIFS(P:P,D:D,"&lt;="&amp;D321,C:C,C321)&lt;0,0,SUMIFS('Shipments data'!L:L,'Shipments data'!F:F,'Supply planning data'!C321,'Shipments data'!A:A,'Supply planning data'!A321,'Shipments data'!O:O,"received",'Shipments data'!Q:Q,"&lt;"&amp;'Supply planning data'!D336,'Shipments data'!AC:AC,"&lt;"&amp;'Supply planning data'!D336)-SUMIFS(M:M,D:D,"&lt;="&amp;D321,C:C,C321)-SUMIFS(AJ:AJ,D:D,"&lt;="&amp;D321,C:C,C321)+SUMIFS(N:N,D:D,"&lt;="&amp;D321,C:C,C321)+SUMIFS(P:P,D:D,"&lt;="&amp;D321,C:C,C321))</f>
        <v>0</v>
      </c>
      <c r="AM321" s="111">
        <f t="shared" si="102"/>
        <v>0</v>
      </c>
      <c r="AN321" s="111">
        <f t="shared" si="95"/>
        <v>2058747</v>
      </c>
      <c r="AO321" s="204" t="str">
        <f t="shared" si="105"/>
        <v/>
      </c>
    </row>
    <row r="322" spans="1:41" x14ac:dyDescent="0.25">
      <c r="A322" s="103" t="str">
        <f>Start!D$7</f>
        <v>Anyland</v>
      </c>
      <c r="B322" s="109" t="str">
        <f>VLOOKUP(A322,list!B:C,2,FALSE)</f>
        <v>ANY</v>
      </c>
      <c r="C322" s="104" t="str">
        <f>IF(Start!$C$19="","",Start!$C$19)</f>
        <v>Moderna</v>
      </c>
      <c r="D322" s="298">
        <f t="shared" si="96"/>
        <v>44835</v>
      </c>
      <c r="E322" s="105" t="str">
        <f>IFERROR(VLOOKUP(C322,Start!C$15:D$31,2,FALSE),"No")</f>
        <v>No</v>
      </c>
      <c r="F322" s="105">
        <f t="shared" si="97"/>
        <v>0</v>
      </c>
      <c r="G322" s="106"/>
      <c r="H322" s="106"/>
      <c r="I322" s="106"/>
      <c r="J322" s="105">
        <f t="shared" si="89"/>
        <v>0</v>
      </c>
      <c r="K322" s="106"/>
      <c r="L322" s="177" t="str">
        <f t="shared" si="90"/>
        <v/>
      </c>
      <c r="M322" s="105">
        <f t="shared" si="91"/>
        <v>0</v>
      </c>
      <c r="N322" s="110"/>
      <c r="O322" s="124"/>
      <c r="P322" s="110"/>
      <c r="Q322" s="124"/>
      <c r="R322" s="111">
        <f>SUMIFS('Shipments data'!L:L,'Shipments data'!F:F,'Supply planning data'!C322,'Shipments data'!A:A,'Supply planning data'!A322,'Shipments data'!Y:Y,'Supply planning data'!D322,'Shipments data'!O:O,"received", 'Shipments data'!N:N, "Public")</f>
        <v>0</v>
      </c>
      <c r="S322" s="111">
        <f>SUMIFS('Shipments data'!L:L,'Shipments data'!F:F,'Supply planning data'!C322,'Shipments data'!A:A,'Supply planning data'!A322,'Shipments data'!Y:Y,'Supply planning data'!D322,'Shipments data'!O:O,"ordered", 'Shipments data'!N:N, "Public")</f>
        <v>0</v>
      </c>
      <c r="T322" s="111">
        <f>IF(SUMIFS('Shipments data'!L:L,'Shipments data'!F:F,'Supply planning data'!C322,'Shipments data'!A:A,'Supply planning data'!A322,'Shipments data'!O:O,"received",'Shipments data'!Q:Q,"&lt;"&amp;'Supply planning data'!D337,'Shipments data'!AC:AC,"&lt;"&amp;'Supply planning data'!D337)-SUMIFS(M:M,D:D,"&lt;="&amp;D322,C:C,C322)+SUMIFS(N:N,D:D,"&lt;="&amp;D322,C:C,C322)+SUMIFS(P:P,D:D,"&lt;="&amp;D322,C:C,C322)&lt;0,0,SUMIFS('Shipments data'!L:L,'Shipments data'!F:F,'Supply planning data'!C322,'Shipments data'!A:A,'Supply planning data'!A322,'Shipments data'!O:O,"received",'Shipments data'!Q:Q,"&lt;"&amp;'Supply planning data'!D337,'Shipments data'!AC:AC,"&lt;"&amp;'Supply planning data'!D337)-SUMIFS(M:M,D:D,"&lt;="&amp;D322,C:C,C322)+SUMIFS(N:N,D:D,"&lt;="&amp;D322,C:C,C322)+SUMIFS(P:P,D:D,"&lt;="&amp;D322,C:C,C322))</f>
        <v>0</v>
      </c>
      <c r="U322" s="112">
        <f t="shared" si="98"/>
        <v>0</v>
      </c>
      <c r="V322" s="111">
        <f t="shared" si="106"/>
        <v>0</v>
      </c>
      <c r="W322" s="204" t="str">
        <f t="shared" si="104"/>
        <v/>
      </c>
      <c r="X322" s="111">
        <f t="shared" si="99"/>
        <v>0</v>
      </c>
      <c r="Y322" s="110">
        <v>80000</v>
      </c>
      <c r="Z322" s="107"/>
      <c r="AA322" s="111">
        <f t="shared" si="92"/>
        <v>80000</v>
      </c>
      <c r="AB322" s="235"/>
      <c r="AC322" s="111">
        <f>IF(SUMIFS('Shipments data'!L:L,'Shipments data'!F:F,'Supply planning data'!C322,'Shipments data'!A:A,'Supply planning data'!A322,'Shipments data'!O:O,"received",'Shipments data'!Q:Q,"&lt;"&amp;'Supply planning data'!D337,'Shipments data'!AC:AC,"&lt;"&amp;'Supply planning data'!D337)-SUMIFS(M:M,D:D,"&lt;="&amp;D322,C:C,C322)-SUMIFS(AA:AA,D:D,"&lt;="&amp;D322,C:C,C322)+SUMIFS(N:N,D:D,"&lt;="&amp;D322,C:C,C322)+SUMIFS(P:P,D:D,"&lt;="&amp;D322,C:C,C322)&lt;0,0,SUMIFS('Shipments data'!L:L,'Shipments data'!F:F,'Supply planning data'!C322,'Shipments data'!A:A,'Supply planning data'!A322,'Shipments data'!O:O,"received",'Shipments data'!Q:Q,"&lt;"&amp;'Supply planning data'!D337,'Shipments data'!AC:AC,"&lt;"&amp;'Supply planning data'!D337)-SUMIFS(M:M,D:D,"&lt;="&amp;D322,C:C,C322)-SUMIFS(AA:AA,D:D,"&lt;="&amp;D322,C:C,C322)+SUMIFS(N:N,D:D,"&lt;="&amp;D322,C:C,C322)+SUMIFS(P:P,D:D,"&lt;="&amp;D322,C:C,C322))</f>
        <v>0</v>
      </c>
      <c r="AD322" s="111">
        <f t="shared" si="100"/>
        <v>0</v>
      </c>
      <c r="AE322" s="111">
        <f t="shared" si="94"/>
        <v>0</v>
      </c>
      <c r="AF322" s="204">
        <f t="shared" si="103"/>
        <v>0</v>
      </c>
      <c r="AG322" s="111">
        <f t="shared" si="101"/>
        <v>0</v>
      </c>
      <c r="AH322" s="110"/>
      <c r="AI322" s="313"/>
      <c r="AJ322" s="111">
        <f t="shared" si="93"/>
        <v>0</v>
      </c>
      <c r="AK322" s="235"/>
      <c r="AL322" s="111">
        <f>IF(SUMIFS('Shipments data'!L:L,'Shipments data'!F:F,'Supply planning data'!C322,'Shipments data'!A:A,'Supply planning data'!A322,'Shipments data'!O:O,"received",'Shipments data'!Q:Q,"&lt;"&amp;'Supply planning data'!D337,'Shipments data'!AC:AC,"&lt;"&amp;'Supply planning data'!D337)-SUMIFS(M:M,D:D,"&lt;="&amp;D322,C:C,C322)-SUMIFS(AJ:AJ,D:D,"&lt;="&amp;D322,C:C,C322)+SUMIFS(N:N,D:D,"&lt;="&amp;D322,C:C,C322)+SUMIFS(P:P,D:D,"&lt;="&amp;D322,C:C,C322)&lt;0,0,SUMIFS('Shipments data'!L:L,'Shipments data'!F:F,'Supply planning data'!C322,'Shipments data'!A:A,'Supply planning data'!A322,'Shipments data'!O:O,"received",'Shipments data'!Q:Q,"&lt;"&amp;'Supply planning data'!D337,'Shipments data'!AC:AC,"&lt;"&amp;'Supply planning data'!D337)-SUMIFS(M:M,D:D,"&lt;="&amp;D322,C:C,C322)-SUMIFS(AJ:AJ,D:D,"&lt;="&amp;D322,C:C,C322)+SUMIFS(N:N,D:D,"&lt;="&amp;D322,C:C,C322)+SUMIFS(P:P,D:D,"&lt;="&amp;D322,C:C,C322))</f>
        <v>0</v>
      </c>
      <c r="AM322" s="111">
        <f t="shared" si="102"/>
        <v>0</v>
      </c>
      <c r="AN322" s="111">
        <f t="shared" si="95"/>
        <v>0</v>
      </c>
      <c r="AO322" s="204" t="str">
        <f t="shared" si="105"/>
        <v/>
      </c>
    </row>
    <row r="323" spans="1:41" x14ac:dyDescent="0.25">
      <c r="A323" s="103" t="str">
        <f>Start!D$7</f>
        <v>Anyland</v>
      </c>
      <c r="B323" s="109" t="str">
        <f>VLOOKUP(A323,list!B:C,2,FALSE)</f>
        <v>ANY</v>
      </c>
      <c r="C323" s="109" t="str">
        <f>IF(Start!$C$20="","",Start!$C$20)</f>
        <v>Pfizer</v>
      </c>
      <c r="D323" s="298">
        <f t="shared" si="96"/>
        <v>44835</v>
      </c>
      <c r="E323" s="105" t="str">
        <f>IFERROR(VLOOKUP(C323,Start!C$15:D$31,2,FALSE),"No")</f>
        <v>Yes</v>
      </c>
      <c r="F323" s="105">
        <f t="shared" si="97"/>
        <v>3000000</v>
      </c>
      <c r="G323" s="106"/>
      <c r="H323" s="106"/>
      <c r="I323" s="106"/>
      <c r="J323" s="105">
        <f t="shared" si="89"/>
        <v>0</v>
      </c>
      <c r="K323" s="106"/>
      <c r="L323" s="177" t="str">
        <f t="shared" si="90"/>
        <v/>
      </c>
      <c r="M323" s="105">
        <f t="shared" si="91"/>
        <v>0</v>
      </c>
      <c r="N323" s="110"/>
      <c r="O323" s="124"/>
      <c r="P323" s="110"/>
      <c r="Q323" s="124"/>
      <c r="R323" s="111">
        <f>SUMIFS('Shipments data'!L:L,'Shipments data'!F:F,'Supply planning data'!C323,'Shipments data'!A:A,'Supply planning data'!A323,'Shipments data'!Y:Y,'Supply planning data'!D323,'Shipments data'!O:O,"received", 'Shipments data'!N:N, "Public")</f>
        <v>0</v>
      </c>
      <c r="S323" s="111">
        <f>SUMIFS('Shipments data'!L:L,'Shipments data'!F:F,'Supply planning data'!C323,'Shipments data'!A:A,'Supply planning data'!A323,'Shipments data'!Y:Y,'Supply planning data'!D323,'Shipments data'!O:O,"ordered", 'Shipments data'!N:N, "Public")</f>
        <v>0</v>
      </c>
      <c r="T323" s="111">
        <f>IF(SUMIFS('Shipments data'!L:L,'Shipments data'!F:F,'Supply planning data'!C323,'Shipments data'!A:A,'Supply planning data'!A323,'Shipments data'!O:O,"received",'Shipments data'!Q:Q,"&lt;"&amp;'Supply planning data'!D338,'Shipments data'!AC:AC,"&lt;"&amp;'Supply planning data'!D338)-SUMIFS(M:M,D:D,"&lt;="&amp;D323,C:C,C323)+SUMIFS(N:N,D:D,"&lt;="&amp;D323,C:C,C323)+SUMIFS(P:P,D:D,"&lt;="&amp;D323,C:C,C323)&lt;0,0,SUMIFS('Shipments data'!L:L,'Shipments data'!F:F,'Supply planning data'!C323,'Shipments data'!A:A,'Supply planning data'!A323,'Shipments data'!O:O,"received",'Shipments data'!Q:Q,"&lt;"&amp;'Supply planning data'!D338,'Shipments data'!AC:AC,"&lt;"&amp;'Supply planning data'!D338)-SUMIFS(M:M,D:D,"&lt;="&amp;D323,C:C,C323)+SUMIFS(N:N,D:D,"&lt;="&amp;D323,C:C,C323)+SUMIFS(P:P,D:D,"&lt;="&amp;D323,C:C,C323))</f>
        <v>110538</v>
      </c>
      <c r="U323" s="112">
        <f t="shared" si="98"/>
        <v>0</v>
      </c>
      <c r="V323" s="111">
        <f t="shared" si="106"/>
        <v>3000000</v>
      </c>
      <c r="W323" s="204" t="str">
        <f t="shared" si="104"/>
        <v/>
      </c>
      <c r="X323" s="111">
        <f t="shared" si="99"/>
        <v>2600000</v>
      </c>
      <c r="Y323" s="110">
        <v>80000</v>
      </c>
      <c r="Z323" s="107"/>
      <c r="AA323" s="111">
        <f t="shared" si="92"/>
        <v>80000</v>
      </c>
      <c r="AB323" s="235"/>
      <c r="AC323" s="111">
        <f>IF(SUMIFS('Shipments data'!L:L,'Shipments data'!F:F,'Supply planning data'!C323,'Shipments data'!A:A,'Supply planning data'!A323,'Shipments data'!O:O,"received",'Shipments data'!Q:Q,"&lt;"&amp;'Supply planning data'!D338,'Shipments data'!AC:AC,"&lt;"&amp;'Supply planning data'!D338)-SUMIFS(M:M,D:D,"&lt;="&amp;D323,C:C,C323)-SUMIFS(AA:AA,D:D,"&lt;="&amp;D323,C:C,C323)+SUMIFS(N:N,D:D,"&lt;="&amp;D323,C:C,C323)+SUMIFS(P:P,D:D,"&lt;="&amp;D323,C:C,C323)&lt;0,0,SUMIFS('Shipments data'!L:L,'Shipments data'!F:F,'Supply planning data'!C323,'Shipments data'!A:A,'Supply planning data'!A323,'Shipments data'!O:O,"received",'Shipments data'!Q:Q,"&lt;"&amp;'Supply planning data'!D338,'Shipments data'!AC:AC,"&lt;"&amp;'Supply planning data'!D338)-SUMIFS(M:M,D:D,"&lt;="&amp;D323,C:C,C323)-SUMIFS(AA:AA,D:D,"&lt;="&amp;D323,C:C,C323)+SUMIFS(N:N,D:D,"&lt;="&amp;D323,C:C,C323)+SUMIFS(P:P,D:D,"&lt;="&amp;D323,C:C,C323))</f>
        <v>0</v>
      </c>
      <c r="AD323" s="111">
        <f t="shared" si="100"/>
        <v>0</v>
      </c>
      <c r="AE323" s="111">
        <f t="shared" si="94"/>
        <v>2520000</v>
      </c>
      <c r="AF323" s="204">
        <f t="shared" si="103"/>
        <v>47.25</v>
      </c>
      <c r="AG323" s="111">
        <f t="shared" si="101"/>
        <v>3000000</v>
      </c>
      <c r="AH323" s="110"/>
      <c r="AI323" s="313"/>
      <c r="AJ323" s="111">
        <f t="shared" si="93"/>
        <v>0</v>
      </c>
      <c r="AK323" s="235"/>
      <c r="AL323" s="111">
        <f>IF(SUMIFS('Shipments data'!L:L,'Shipments data'!F:F,'Supply planning data'!C323,'Shipments data'!A:A,'Supply planning data'!A323,'Shipments data'!O:O,"received",'Shipments data'!Q:Q,"&lt;"&amp;'Supply planning data'!D338,'Shipments data'!AC:AC,"&lt;"&amp;'Supply planning data'!D338)-SUMIFS(M:M,D:D,"&lt;="&amp;D323,C:C,C323)-SUMIFS(AJ:AJ,D:D,"&lt;="&amp;D323,C:C,C323)+SUMIFS(N:N,D:D,"&lt;="&amp;D323,C:C,C323)+SUMIFS(P:P,D:D,"&lt;="&amp;D323,C:C,C323)&lt;0,0,SUMIFS('Shipments data'!L:L,'Shipments data'!F:F,'Supply planning data'!C323,'Shipments data'!A:A,'Supply planning data'!A323,'Shipments data'!O:O,"received",'Shipments data'!Q:Q,"&lt;"&amp;'Supply planning data'!D338,'Shipments data'!AC:AC,"&lt;"&amp;'Supply planning data'!D338)-SUMIFS(M:M,D:D,"&lt;="&amp;D323,C:C,C323)-SUMIFS(AJ:AJ,D:D,"&lt;="&amp;D323,C:C,C323)+SUMIFS(N:N,D:D,"&lt;="&amp;D323,C:C,C323)+SUMIFS(P:P,D:D,"&lt;="&amp;D323,C:C,C323))</f>
        <v>110538</v>
      </c>
      <c r="AM323" s="111">
        <f t="shared" si="102"/>
        <v>0</v>
      </c>
      <c r="AN323" s="111">
        <f t="shared" si="95"/>
        <v>3000000</v>
      </c>
      <c r="AO323" s="204" t="str">
        <f t="shared" si="105"/>
        <v/>
      </c>
    </row>
    <row r="324" spans="1:41" x14ac:dyDescent="0.25">
      <c r="A324" s="103" t="str">
        <f>Start!D$7</f>
        <v>Anyland</v>
      </c>
      <c r="B324" s="109" t="str">
        <f>VLOOKUP(A324,list!B:C,2,FALSE)</f>
        <v>ANY</v>
      </c>
      <c r="C324" s="104" t="str">
        <f>IF(Start!$C$21="","",Start!$C$21)</f>
        <v>Sinovac</v>
      </c>
      <c r="D324" s="298">
        <f t="shared" si="96"/>
        <v>44835</v>
      </c>
      <c r="E324" s="105" t="str">
        <f>IFERROR(VLOOKUP(C324,Start!C$15:D$31,2,FALSE),"No")</f>
        <v>No</v>
      </c>
      <c r="F324" s="105">
        <f t="shared" si="97"/>
        <v>0</v>
      </c>
      <c r="G324" s="106"/>
      <c r="H324" s="106"/>
      <c r="I324" s="106"/>
      <c r="J324" s="105">
        <f t="shared" si="89"/>
        <v>0</v>
      </c>
      <c r="K324" s="106"/>
      <c r="L324" s="177" t="str">
        <f t="shared" si="90"/>
        <v/>
      </c>
      <c r="M324" s="105">
        <f t="shared" si="91"/>
        <v>0</v>
      </c>
      <c r="N324" s="110"/>
      <c r="O324" s="124"/>
      <c r="P324" s="110"/>
      <c r="Q324" s="124"/>
      <c r="R324" s="111">
        <f>SUMIFS('Shipments data'!L:L,'Shipments data'!F:F,'Supply planning data'!C324,'Shipments data'!A:A,'Supply planning data'!A324,'Shipments data'!Y:Y,'Supply planning data'!D324,'Shipments data'!O:O,"received", 'Shipments data'!N:N, "Public")</f>
        <v>0</v>
      </c>
      <c r="S324" s="111">
        <f>SUMIFS('Shipments data'!L:L,'Shipments data'!F:F,'Supply planning data'!C324,'Shipments data'!A:A,'Supply planning data'!A324,'Shipments data'!Y:Y,'Supply planning data'!D324,'Shipments data'!O:O,"ordered", 'Shipments data'!N:N, "Public")</f>
        <v>0</v>
      </c>
      <c r="T324" s="111">
        <f>IF(SUMIFS('Shipments data'!L:L,'Shipments data'!F:F,'Supply planning data'!C324,'Shipments data'!A:A,'Supply planning data'!A324,'Shipments data'!O:O,"received",'Shipments data'!Q:Q,"&lt;"&amp;'Supply planning data'!D339,'Shipments data'!AC:AC,"&lt;"&amp;'Supply planning data'!D339)-SUMIFS(M:M,D:D,"&lt;="&amp;D324,C:C,C324)+SUMIFS(N:N,D:D,"&lt;="&amp;D324,C:C,C324)+SUMIFS(P:P,D:D,"&lt;="&amp;D324,C:C,C324)&lt;0,0,SUMIFS('Shipments data'!L:L,'Shipments data'!F:F,'Supply planning data'!C324,'Shipments data'!A:A,'Supply planning data'!A324,'Shipments data'!O:O,"received",'Shipments data'!Q:Q,"&lt;"&amp;'Supply planning data'!D339,'Shipments data'!AC:AC,"&lt;"&amp;'Supply planning data'!D339)-SUMIFS(M:M,D:D,"&lt;="&amp;D324,C:C,C324)+SUMIFS(N:N,D:D,"&lt;="&amp;D324,C:C,C324)+SUMIFS(P:P,D:D,"&lt;="&amp;D324,C:C,C324))</f>
        <v>0</v>
      </c>
      <c r="U324" s="112">
        <f t="shared" si="98"/>
        <v>0</v>
      </c>
      <c r="V324" s="111">
        <f t="shared" si="106"/>
        <v>0</v>
      </c>
      <c r="W324" s="204" t="str">
        <f t="shared" si="104"/>
        <v/>
      </c>
      <c r="X324" s="111">
        <f t="shared" si="99"/>
        <v>0</v>
      </c>
      <c r="Y324" s="110">
        <v>80000</v>
      </c>
      <c r="Z324" s="107"/>
      <c r="AA324" s="111">
        <f t="shared" si="92"/>
        <v>80000</v>
      </c>
      <c r="AB324" s="235"/>
      <c r="AC324" s="111">
        <f>IF(SUMIFS('Shipments data'!L:L,'Shipments data'!F:F,'Supply planning data'!C324,'Shipments data'!A:A,'Supply planning data'!A324,'Shipments data'!O:O,"received",'Shipments data'!Q:Q,"&lt;"&amp;'Supply planning data'!D339,'Shipments data'!AC:AC,"&lt;"&amp;'Supply planning data'!D339)-SUMIFS(M:M,D:D,"&lt;="&amp;D324,C:C,C324)-SUMIFS(AA:AA,D:D,"&lt;="&amp;D324,C:C,C324)+SUMIFS(N:N,D:D,"&lt;="&amp;D324,C:C,C324)+SUMIFS(P:P,D:D,"&lt;="&amp;D324,C:C,C324)&lt;0,0,SUMIFS('Shipments data'!L:L,'Shipments data'!F:F,'Supply planning data'!C324,'Shipments data'!A:A,'Supply planning data'!A324,'Shipments data'!O:O,"received",'Shipments data'!Q:Q,"&lt;"&amp;'Supply planning data'!D339,'Shipments data'!AC:AC,"&lt;"&amp;'Supply planning data'!D339)-SUMIFS(M:M,D:D,"&lt;="&amp;D324,C:C,C324)-SUMIFS(AA:AA,D:D,"&lt;="&amp;D324,C:C,C324)+SUMIFS(N:N,D:D,"&lt;="&amp;D324,C:C,C324)+SUMIFS(P:P,D:D,"&lt;="&amp;D324,C:C,C324))</f>
        <v>0</v>
      </c>
      <c r="AD324" s="111">
        <f t="shared" si="100"/>
        <v>0</v>
      </c>
      <c r="AE324" s="111">
        <f t="shared" si="94"/>
        <v>0</v>
      </c>
      <c r="AF324" s="204">
        <f t="shared" si="103"/>
        <v>0</v>
      </c>
      <c r="AG324" s="111">
        <f t="shared" si="101"/>
        <v>0</v>
      </c>
      <c r="AH324" s="110"/>
      <c r="AI324" s="313"/>
      <c r="AJ324" s="111">
        <f t="shared" si="93"/>
        <v>0</v>
      </c>
      <c r="AK324" s="235"/>
      <c r="AL324" s="111">
        <f>IF(SUMIFS('Shipments data'!L:L,'Shipments data'!F:F,'Supply planning data'!C324,'Shipments data'!A:A,'Supply planning data'!A324,'Shipments data'!O:O,"received",'Shipments data'!Q:Q,"&lt;"&amp;'Supply planning data'!D339,'Shipments data'!AC:AC,"&lt;"&amp;'Supply planning data'!D339)-SUMIFS(M:M,D:D,"&lt;="&amp;D324,C:C,C324)-SUMIFS(AJ:AJ,D:D,"&lt;="&amp;D324,C:C,C324)+SUMIFS(N:N,D:D,"&lt;="&amp;D324,C:C,C324)+SUMIFS(P:P,D:D,"&lt;="&amp;D324,C:C,C324)&lt;0,0,SUMIFS('Shipments data'!L:L,'Shipments data'!F:F,'Supply planning data'!C324,'Shipments data'!A:A,'Supply planning data'!A324,'Shipments data'!O:O,"received",'Shipments data'!Q:Q,"&lt;"&amp;'Supply planning data'!D339,'Shipments data'!AC:AC,"&lt;"&amp;'Supply planning data'!D339)-SUMIFS(M:M,D:D,"&lt;="&amp;D324,C:C,C324)-SUMIFS(AJ:AJ,D:D,"&lt;="&amp;D324,C:C,C324)+SUMIFS(N:N,D:D,"&lt;="&amp;D324,C:C,C324)+SUMIFS(P:P,D:D,"&lt;="&amp;D324,C:C,C324))</f>
        <v>0</v>
      </c>
      <c r="AM324" s="111">
        <f t="shared" si="102"/>
        <v>0</v>
      </c>
      <c r="AN324" s="111">
        <f t="shared" si="95"/>
        <v>0</v>
      </c>
      <c r="AO324" s="204" t="str">
        <f t="shared" si="105"/>
        <v/>
      </c>
    </row>
    <row r="325" spans="1:41" hidden="1" x14ac:dyDescent="0.25">
      <c r="A325" s="103" t="str">
        <f>Start!D$7</f>
        <v>Anyland</v>
      </c>
      <c r="B325" s="109" t="str">
        <f>VLOOKUP(A325,list!B:C,2,FALSE)</f>
        <v>ANY</v>
      </c>
      <c r="C325" s="109" t="str">
        <f>IF(Start!$C$22="","",Start!$C$22)</f>
        <v/>
      </c>
      <c r="D325" s="298">
        <f t="shared" si="96"/>
        <v>44835</v>
      </c>
      <c r="E325" s="105" t="str">
        <f>IFERROR(VLOOKUP(C325,Start!C$15:D$31,2,FALSE),"No")</f>
        <v>No</v>
      </c>
      <c r="F325" s="105">
        <f t="shared" si="97"/>
        <v>0</v>
      </c>
      <c r="G325" s="106"/>
      <c r="H325" s="106"/>
      <c r="I325" s="106"/>
      <c r="J325" s="105">
        <f t="shared" ref="J325:J388" si="107">SUM(G325:I325)</f>
        <v>0</v>
      </c>
      <c r="K325" s="106"/>
      <c r="L325" s="177" t="str">
        <f t="shared" ref="L325:L388" si="108">IFERROR(K325/J325, "")</f>
        <v/>
      </c>
      <c r="M325" s="105">
        <f t="shared" ref="M325:M388" si="109">SUM(J325,K325)</f>
        <v>0</v>
      </c>
      <c r="N325" s="110"/>
      <c r="O325" s="124"/>
      <c r="P325" s="110"/>
      <c r="Q325" s="124"/>
      <c r="R325" s="111">
        <f>SUMIFS('Shipments data'!L:L,'Shipments data'!F:F,'Supply planning data'!C325,'Shipments data'!A:A,'Supply planning data'!A325,'Shipments data'!Y:Y,'Supply planning data'!D325,'Shipments data'!O:O,"received", 'Shipments data'!N:N, "Public")</f>
        <v>0</v>
      </c>
      <c r="S325" s="111">
        <f>SUMIFS('Shipments data'!L:L,'Shipments data'!F:F,'Supply planning data'!C325,'Shipments data'!A:A,'Supply planning data'!A325,'Shipments data'!Y:Y,'Supply planning data'!D325,'Shipments data'!O:O,"ordered", 'Shipments data'!N:N, "Public")</f>
        <v>0</v>
      </c>
      <c r="T325" s="111">
        <f>IF(SUMIFS('Shipments data'!L:L,'Shipments data'!F:F,'Supply planning data'!C325,'Shipments data'!A:A,'Supply planning data'!A325,'Shipments data'!O:O,"received",'Shipments data'!Q:Q,"&lt;"&amp;'Supply planning data'!D340,'Shipments data'!AC:AC,"&lt;"&amp;'Supply planning data'!D340)-SUMIFS(M:M,D:D,"&lt;="&amp;D325,C:C,C325)+SUMIFS(N:N,D:D,"&lt;="&amp;D325,C:C,C325)+SUMIFS(P:P,D:D,"&lt;="&amp;D325,C:C,C325)&lt;0,0,SUMIFS('Shipments data'!L:L,'Shipments data'!F:F,'Supply planning data'!C325,'Shipments data'!A:A,'Supply planning data'!A325,'Shipments data'!O:O,"received",'Shipments data'!Q:Q,"&lt;"&amp;'Supply planning data'!D340,'Shipments data'!AC:AC,"&lt;"&amp;'Supply planning data'!D340)-SUMIFS(M:M,D:D,"&lt;="&amp;D325,C:C,C325)+SUMIFS(N:N,D:D,"&lt;="&amp;D325,C:C,C325)+SUMIFS(P:P,D:D,"&lt;="&amp;D325,C:C,C325))</f>
        <v>0</v>
      </c>
      <c r="U325" s="112">
        <f t="shared" si="98"/>
        <v>0</v>
      </c>
      <c r="V325" s="111">
        <f t="shared" si="106"/>
        <v>0</v>
      </c>
      <c r="W325" s="204" t="str">
        <f t="shared" si="104"/>
        <v/>
      </c>
      <c r="X325" s="111">
        <f t="shared" si="99"/>
        <v>0</v>
      </c>
      <c r="Y325" s="110"/>
      <c r="Z325" s="107"/>
      <c r="AA325" s="111">
        <f t="shared" ref="AA325:AA388" si="110">IFERROR(Z325*Y325,0)+Y325</f>
        <v>0</v>
      </c>
      <c r="AB325" s="235"/>
      <c r="AC325" s="111">
        <f>IF(SUMIFS('Shipments data'!L:L,'Shipments data'!F:F,'Supply planning data'!C325,'Shipments data'!A:A,'Supply planning data'!A325,'Shipments data'!O:O,"received",'Shipments data'!Q:Q,"&lt;"&amp;'Supply planning data'!D340,'Shipments data'!AC:AC,"&lt;"&amp;'Supply planning data'!D340)-SUMIFS(M:M,D:D,"&lt;="&amp;D325,C:C,C325)-SUMIFS(AA:AA,D:D,"&lt;="&amp;D325,C:C,C325)+SUMIFS(N:N,D:D,"&lt;="&amp;D325,C:C,C325)+SUMIFS(P:P,D:D,"&lt;="&amp;D325,C:C,C325)&lt;0,0,SUMIFS('Shipments data'!L:L,'Shipments data'!F:F,'Supply planning data'!C325,'Shipments data'!A:A,'Supply planning data'!A325,'Shipments data'!O:O,"received",'Shipments data'!Q:Q,"&lt;"&amp;'Supply planning data'!D340,'Shipments data'!AC:AC,"&lt;"&amp;'Supply planning data'!D340)-SUMIFS(M:M,D:D,"&lt;="&amp;D325,C:C,C325)-SUMIFS(AA:AA,D:D,"&lt;="&amp;D325,C:C,C325)+SUMIFS(N:N,D:D,"&lt;="&amp;D325,C:C,C325)+SUMIFS(P:P,D:D,"&lt;="&amp;D325,C:C,C325))</f>
        <v>0</v>
      </c>
      <c r="AD325" s="111">
        <f t="shared" si="100"/>
        <v>0</v>
      </c>
      <c r="AE325" s="111">
        <f t="shared" si="94"/>
        <v>0</v>
      </c>
      <c r="AF325" s="204" t="str">
        <f t="shared" si="103"/>
        <v/>
      </c>
      <c r="AG325" s="111">
        <f t="shared" si="101"/>
        <v>0</v>
      </c>
      <c r="AH325" s="110"/>
      <c r="AI325" s="313"/>
      <c r="AJ325" s="111">
        <f t="shared" ref="AJ325:AJ388" si="111">IFERROR(AI325*AH325,0)+AH325</f>
        <v>0</v>
      </c>
      <c r="AK325" s="235"/>
      <c r="AL325" s="111">
        <f>IF(SUMIFS('Shipments data'!L:L,'Shipments data'!F:F,'Supply planning data'!C325,'Shipments data'!A:A,'Supply planning data'!A325,'Shipments data'!O:O,"received",'Shipments data'!Q:Q,"&lt;"&amp;'Supply planning data'!D340,'Shipments data'!AC:AC,"&lt;"&amp;'Supply planning data'!D340)-SUMIFS(M:M,D:D,"&lt;="&amp;D325,C:C,C325)-SUMIFS(AJ:AJ,D:D,"&lt;="&amp;D325,C:C,C325)+SUMIFS(N:N,D:D,"&lt;="&amp;D325,C:C,C325)+SUMIFS(P:P,D:D,"&lt;="&amp;D325,C:C,C325)&lt;0,0,SUMIFS('Shipments data'!L:L,'Shipments data'!F:F,'Supply planning data'!C325,'Shipments data'!A:A,'Supply planning data'!A325,'Shipments data'!O:O,"received",'Shipments data'!Q:Q,"&lt;"&amp;'Supply planning data'!D340,'Shipments data'!AC:AC,"&lt;"&amp;'Supply planning data'!D340)-SUMIFS(M:M,D:D,"&lt;="&amp;D325,C:C,C325)-SUMIFS(AJ:AJ,D:D,"&lt;="&amp;D325,C:C,C325)+SUMIFS(N:N,D:D,"&lt;="&amp;D325,C:C,C325)+SUMIFS(P:P,D:D,"&lt;="&amp;D325,C:C,C325))</f>
        <v>0</v>
      </c>
      <c r="AM325" s="111">
        <f t="shared" si="102"/>
        <v>0</v>
      </c>
      <c r="AN325" s="111">
        <f t="shared" si="95"/>
        <v>0</v>
      </c>
      <c r="AO325" s="204" t="str">
        <f t="shared" si="105"/>
        <v/>
      </c>
    </row>
    <row r="326" spans="1:41" hidden="1" x14ac:dyDescent="0.25">
      <c r="A326" s="103" t="str">
        <f>Start!D$7</f>
        <v>Anyland</v>
      </c>
      <c r="B326" s="109" t="str">
        <f>VLOOKUP(A326,list!B:C,2,FALSE)</f>
        <v>ANY</v>
      </c>
      <c r="C326" s="104" t="str">
        <f>IF(Start!$C$23="","",Start!$C$23)</f>
        <v/>
      </c>
      <c r="D326" s="298">
        <f t="shared" si="96"/>
        <v>44835</v>
      </c>
      <c r="E326" s="105" t="str">
        <f>IFERROR(VLOOKUP(C326,Start!C$15:D$31,2,FALSE),"No")</f>
        <v>No</v>
      </c>
      <c r="F326" s="105">
        <f t="shared" si="97"/>
        <v>0</v>
      </c>
      <c r="G326" s="106"/>
      <c r="H326" s="106"/>
      <c r="I326" s="106"/>
      <c r="J326" s="105">
        <f t="shared" si="107"/>
        <v>0</v>
      </c>
      <c r="K326" s="106"/>
      <c r="L326" s="177" t="str">
        <f t="shared" si="108"/>
        <v/>
      </c>
      <c r="M326" s="105">
        <f t="shared" si="109"/>
        <v>0</v>
      </c>
      <c r="N326" s="110"/>
      <c r="O326" s="124"/>
      <c r="P326" s="110"/>
      <c r="Q326" s="124"/>
      <c r="R326" s="111">
        <f>SUMIFS('Shipments data'!L:L,'Shipments data'!F:F,'Supply planning data'!C326,'Shipments data'!A:A,'Supply planning data'!A326,'Shipments data'!Y:Y,'Supply planning data'!D326,'Shipments data'!O:O,"received", 'Shipments data'!N:N, "Public")</f>
        <v>0</v>
      </c>
      <c r="S326" s="111">
        <f>SUMIFS('Shipments data'!L:L,'Shipments data'!F:F,'Supply planning data'!C326,'Shipments data'!A:A,'Supply planning data'!A326,'Shipments data'!Y:Y,'Supply planning data'!D326,'Shipments data'!O:O,"ordered", 'Shipments data'!N:N, "Public")</f>
        <v>0</v>
      </c>
      <c r="T326" s="111">
        <f>IF(SUMIFS('Shipments data'!L:L,'Shipments data'!F:F,'Supply planning data'!C326,'Shipments data'!A:A,'Supply planning data'!A326,'Shipments data'!O:O,"received",'Shipments data'!Q:Q,"&lt;"&amp;'Supply planning data'!D341,'Shipments data'!AC:AC,"&lt;"&amp;'Supply planning data'!D341)-SUMIFS(M:M,D:D,"&lt;="&amp;D326,C:C,C326)+SUMIFS(N:N,D:D,"&lt;="&amp;D326,C:C,C326)+SUMIFS(P:P,D:D,"&lt;="&amp;D326,C:C,C326)&lt;0,0,SUMIFS('Shipments data'!L:L,'Shipments data'!F:F,'Supply planning data'!C326,'Shipments data'!A:A,'Supply planning data'!A326,'Shipments data'!O:O,"received",'Shipments data'!Q:Q,"&lt;"&amp;'Supply planning data'!D341,'Shipments data'!AC:AC,"&lt;"&amp;'Supply planning data'!D341)-SUMIFS(M:M,D:D,"&lt;="&amp;D326,C:C,C326)+SUMIFS(N:N,D:D,"&lt;="&amp;D326,C:C,C326)+SUMIFS(P:P,D:D,"&lt;="&amp;D326,C:C,C326))</f>
        <v>0</v>
      </c>
      <c r="U326" s="112">
        <f t="shared" si="98"/>
        <v>0</v>
      </c>
      <c r="V326" s="111">
        <f t="shared" si="106"/>
        <v>0</v>
      </c>
      <c r="W326" s="204" t="str">
        <f t="shared" si="104"/>
        <v/>
      </c>
      <c r="X326" s="111">
        <f t="shared" si="99"/>
        <v>0</v>
      </c>
      <c r="Y326" s="110"/>
      <c r="Z326" s="107"/>
      <c r="AA326" s="111">
        <f t="shared" si="110"/>
        <v>0</v>
      </c>
      <c r="AB326" s="235"/>
      <c r="AC326" s="111">
        <f>IF(SUMIFS('Shipments data'!L:L,'Shipments data'!F:F,'Supply planning data'!C326,'Shipments data'!A:A,'Supply planning data'!A326,'Shipments data'!O:O,"received",'Shipments data'!Q:Q,"&lt;"&amp;'Supply planning data'!D341,'Shipments data'!AC:AC,"&lt;"&amp;'Supply planning data'!D341)-SUMIFS(M:M,D:D,"&lt;="&amp;D326,C:C,C326)-SUMIFS(AA:AA,D:D,"&lt;="&amp;D326,C:C,C326)+SUMIFS(N:N,D:D,"&lt;="&amp;D326,C:C,C326)+SUMIFS(P:P,D:D,"&lt;="&amp;D326,C:C,C326)&lt;0,0,SUMIFS('Shipments data'!L:L,'Shipments data'!F:F,'Supply planning data'!C326,'Shipments data'!A:A,'Supply planning data'!A326,'Shipments data'!O:O,"received",'Shipments data'!Q:Q,"&lt;"&amp;'Supply planning data'!D341,'Shipments data'!AC:AC,"&lt;"&amp;'Supply planning data'!D341)-SUMIFS(M:M,D:D,"&lt;="&amp;D326,C:C,C326)-SUMIFS(AA:AA,D:D,"&lt;="&amp;D326,C:C,C326)+SUMIFS(N:N,D:D,"&lt;="&amp;D326,C:C,C326)+SUMIFS(P:P,D:D,"&lt;="&amp;D326,C:C,C326))</f>
        <v>0</v>
      </c>
      <c r="AD326" s="111">
        <f t="shared" si="100"/>
        <v>0</v>
      </c>
      <c r="AE326" s="111">
        <f t="shared" ref="AE326:AE389" si="112">IF(X326+R326+S326+AB326+N326+P326-M326-AA326-U326&lt;0,0,X326+R326+S326+AB326+N326+P326-M326-AA326-U326)</f>
        <v>0</v>
      </c>
      <c r="AF326" s="204" t="str">
        <f t="shared" si="103"/>
        <v/>
      </c>
      <c r="AG326" s="111">
        <f t="shared" si="101"/>
        <v>0</v>
      </c>
      <c r="AH326" s="110"/>
      <c r="AI326" s="313"/>
      <c r="AJ326" s="111">
        <f t="shared" si="111"/>
        <v>0</v>
      </c>
      <c r="AK326" s="235"/>
      <c r="AL326" s="111">
        <f>IF(SUMIFS('Shipments data'!L:L,'Shipments data'!F:F,'Supply planning data'!C326,'Shipments data'!A:A,'Supply planning data'!A326,'Shipments data'!O:O,"received",'Shipments data'!Q:Q,"&lt;"&amp;'Supply planning data'!D341,'Shipments data'!AC:AC,"&lt;"&amp;'Supply planning data'!D341)-SUMIFS(M:M,D:D,"&lt;="&amp;D326,C:C,C326)-SUMIFS(AJ:AJ,D:D,"&lt;="&amp;D326,C:C,C326)+SUMIFS(N:N,D:D,"&lt;="&amp;D326,C:C,C326)+SUMIFS(P:P,D:D,"&lt;="&amp;D326,C:C,C326)&lt;0,0,SUMIFS('Shipments data'!L:L,'Shipments data'!F:F,'Supply planning data'!C326,'Shipments data'!A:A,'Supply planning data'!A326,'Shipments data'!O:O,"received",'Shipments data'!Q:Q,"&lt;"&amp;'Supply planning data'!D341,'Shipments data'!AC:AC,"&lt;"&amp;'Supply planning data'!D341)-SUMIFS(M:M,D:D,"&lt;="&amp;D326,C:C,C326)-SUMIFS(AJ:AJ,D:D,"&lt;="&amp;D326,C:C,C326)+SUMIFS(N:N,D:D,"&lt;="&amp;D326,C:C,C326)+SUMIFS(P:P,D:D,"&lt;="&amp;D326,C:C,C326))</f>
        <v>0</v>
      </c>
      <c r="AM326" s="111">
        <f t="shared" si="102"/>
        <v>0</v>
      </c>
      <c r="AN326" s="111">
        <f t="shared" ref="AN326:AN389" si="113">IF(AG326+$R326+$S326+AK326+$N326+$P326-$M326-AJ326-$AM326&lt;0,0,AG326+$R326+$S326+AK326+$N326+$P326-$M326-AJ326-$AM326)</f>
        <v>0</v>
      </c>
      <c r="AO326" s="204" t="str">
        <f t="shared" si="105"/>
        <v/>
      </c>
    </row>
    <row r="327" spans="1:41" hidden="1" x14ac:dyDescent="0.25">
      <c r="A327" s="103" t="str">
        <f>Start!D$7</f>
        <v>Anyland</v>
      </c>
      <c r="B327" s="109" t="str">
        <f>VLOOKUP(A327,list!B:C,2,FALSE)</f>
        <v>ANY</v>
      </c>
      <c r="C327" s="109" t="str">
        <f>IF(Start!$C$24="","",Start!$C$24)</f>
        <v/>
      </c>
      <c r="D327" s="298">
        <f t="shared" si="96"/>
        <v>44835</v>
      </c>
      <c r="E327" s="105" t="str">
        <f>IFERROR(VLOOKUP(C327,Start!C$15:D$31,2,FALSE),"No")</f>
        <v>No</v>
      </c>
      <c r="F327" s="105">
        <f t="shared" si="97"/>
        <v>0</v>
      </c>
      <c r="G327" s="106"/>
      <c r="H327" s="106"/>
      <c r="I327" s="106"/>
      <c r="J327" s="105">
        <f t="shared" si="107"/>
        <v>0</v>
      </c>
      <c r="K327" s="106"/>
      <c r="L327" s="177" t="str">
        <f t="shared" si="108"/>
        <v/>
      </c>
      <c r="M327" s="105">
        <f t="shared" si="109"/>
        <v>0</v>
      </c>
      <c r="N327" s="110"/>
      <c r="O327" s="124"/>
      <c r="P327" s="110"/>
      <c r="Q327" s="124"/>
      <c r="R327" s="111">
        <f>SUMIFS('Shipments data'!L:L,'Shipments data'!F:F,'Supply planning data'!C327,'Shipments data'!A:A,'Supply planning data'!A327,'Shipments data'!Y:Y,'Supply planning data'!D327,'Shipments data'!O:O,"received", 'Shipments data'!N:N, "Public")</f>
        <v>0</v>
      </c>
      <c r="S327" s="111">
        <f>SUMIFS('Shipments data'!L:L,'Shipments data'!F:F,'Supply planning data'!C327,'Shipments data'!A:A,'Supply planning data'!A327,'Shipments data'!Y:Y,'Supply planning data'!D327,'Shipments data'!O:O,"ordered", 'Shipments data'!N:N, "Public")</f>
        <v>0</v>
      </c>
      <c r="T327" s="111">
        <f>IF(SUMIFS('Shipments data'!L:L,'Shipments data'!F:F,'Supply planning data'!C327,'Shipments data'!A:A,'Supply planning data'!A327,'Shipments data'!O:O,"received",'Shipments data'!Q:Q,"&lt;"&amp;'Supply planning data'!D342,'Shipments data'!AC:AC,"&lt;"&amp;'Supply planning data'!D342)-SUMIFS(M:M,D:D,"&lt;="&amp;D327,C:C,C327)+SUMIFS(N:N,D:D,"&lt;="&amp;D327,C:C,C327)+SUMIFS(P:P,D:D,"&lt;="&amp;D327,C:C,C327)&lt;0,0,SUMIFS('Shipments data'!L:L,'Shipments data'!F:F,'Supply planning data'!C327,'Shipments data'!A:A,'Supply planning data'!A327,'Shipments data'!O:O,"received",'Shipments data'!Q:Q,"&lt;"&amp;'Supply planning data'!D342,'Shipments data'!AC:AC,"&lt;"&amp;'Supply planning data'!D342)-SUMIFS(M:M,D:D,"&lt;="&amp;D327,C:C,C327)+SUMIFS(N:N,D:D,"&lt;="&amp;D327,C:C,C327)+SUMIFS(P:P,D:D,"&lt;="&amp;D327,C:C,C327))</f>
        <v>0</v>
      </c>
      <c r="U327" s="112">
        <f t="shared" si="98"/>
        <v>0</v>
      </c>
      <c r="V327" s="111">
        <f t="shared" si="106"/>
        <v>0</v>
      </c>
      <c r="W327" s="204" t="str">
        <f t="shared" si="104"/>
        <v/>
      </c>
      <c r="X327" s="111">
        <f t="shared" si="99"/>
        <v>0</v>
      </c>
      <c r="Y327" s="110"/>
      <c r="Z327" s="107"/>
      <c r="AA327" s="111">
        <f t="shared" si="110"/>
        <v>0</v>
      </c>
      <c r="AB327" s="235"/>
      <c r="AC327" s="111">
        <f>IF(SUMIFS('Shipments data'!L:L,'Shipments data'!F:F,'Supply planning data'!C327,'Shipments data'!A:A,'Supply planning data'!A327,'Shipments data'!O:O,"received",'Shipments data'!Q:Q,"&lt;"&amp;'Supply planning data'!D342,'Shipments data'!AC:AC,"&lt;"&amp;'Supply planning data'!D342)-SUMIFS(M:M,D:D,"&lt;="&amp;D327,C:C,C327)-SUMIFS(AA:AA,D:D,"&lt;="&amp;D327,C:C,C327)+SUMIFS(N:N,D:D,"&lt;="&amp;D327,C:C,C327)+SUMIFS(P:P,D:D,"&lt;="&amp;D327,C:C,C327)&lt;0,0,SUMIFS('Shipments data'!L:L,'Shipments data'!F:F,'Supply planning data'!C327,'Shipments data'!A:A,'Supply planning data'!A327,'Shipments data'!O:O,"received",'Shipments data'!Q:Q,"&lt;"&amp;'Supply planning data'!D342,'Shipments data'!AC:AC,"&lt;"&amp;'Supply planning data'!D342)-SUMIFS(M:M,D:D,"&lt;="&amp;D327,C:C,C327)-SUMIFS(AA:AA,D:D,"&lt;="&amp;D327,C:C,C327)+SUMIFS(N:N,D:D,"&lt;="&amp;D327,C:C,C327)+SUMIFS(P:P,D:D,"&lt;="&amp;D327,C:C,C327))</f>
        <v>0</v>
      </c>
      <c r="AD327" s="111">
        <f t="shared" si="100"/>
        <v>0</v>
      </c>
      <c r="AE327" s="111">
        <f t="shared" si="112"/>
        <v>0</v>
      </c>
      <c r="AF327" s="204" t="str">
        <f t="shared" si="103"/>
        <v/>
      </c>
      <c r="AG327" s="111">
        <f t="shared" si="101"/>
        <v>0</v>
      </c>
      <c r="AH327" s="110"/>
      <c r="AI327" s="313"/>
      <c r="AJ327" s="111">
        <f t="shared" si="111"/>
        <v>0</v>
      </c>
      <c r="AK327" s="235"/>
      <c r="AL327" s="111">
        <f>IF(SUMIFS('Shipments data'!L:L,'Shipments data'!F:F,'Supply planning data'!C327,'Shipments data'!A:A,'Supply planning data'!A327,'Shipments data'!O:O,"received",'Shipments data'!Q:Q,"&lt;"&amp;'Supply planning data'!D342,'Shipments data'!AC:AC,"&lt;"&amp;'Supply planning data'!D342)-SUMIFS(M:M,D:D,"&lt;="&amp;D327,C:C,C327)-SUMIFS(AJ:AJ,D:D,"&lt;="&amp;D327,C:C,C327)+SUMIFS(N:N,D:D,"&lt;="&amp;D327,C:C,C327)+SUMIFS(P:P,D:D,"&lt;="&amp;D327,C:C,C327)&lt;0,0,SUMIFS('Shipments data'!L:L,'Shipments data'!F:F,'Supply planning data'!C327,'Shipments data'!A:A,'Supply planning data'!A327,'Shipments data'!O:O,"received",'Shipments data'!Q:Q,"&lt;"&amp;'Supply planning data'!D342,'Shipments data'!AC:AC,"&lt;"&amp;'Supply planning data'!D342)-SUMIFS(M:M,D:D,"&lt;="&amp;D327,C:C,C327)-SUMIFS(AJ:AJ,D:D,"&lt;="&amp;D327,C:C,C327)+SUMIFS(N:N,D:D,"&lt;="&amp;D327,C:C,C327)+SUMIFS(P:P,D:D,"&lt;="&amp;D327,C:C,C327))</f>
        <v>0</v>
      </c>
      <c r="AM327" s="111">
        <f t="shared" si="102"/>
        <v>0</v>
      </c>
      <c r="AN327" s="111">
        <f t="shared" si="113"/>
        <v>0</v>
      </c>
      <c r="AO327" s="204" t="str">
        <f t="shared" si="105"/>
        <v/>
      </c>
    </row>
    <row r="328" spans="1:41" hidden="1" x14ac:dyDescent="0.25">
      <c r="A328" s="103" t="str">
        <f>Start!D$7</f>
        <v>Anyland</v>
      </c>
      <c r="B328" s="109" t="str">
        <f>VLOOKUP(A328,list!B:C,2,FALSE)</f>
        <v>ANY</v>
      </c>
      <c r="C328" s="104" t="str">
        <f>IF(Start!$C$25="","",Start!$C$25)</f>
        <v/>
      </c>
      <c r="D328" s="298">
        <f t="shared" si="96"/>
        <v>44835</v>
      </c>
      <c r="E328" s="105" t="str">
        <f>IFERROR(VLOOKUP(C328,Start!C$15:D$31,2,FALSE),"No")</f>
        <v>No</v>
      </c>
      <c r="F328" s="105">
        <f t="shared" si="97"/>
        <v>0</v>
      </c>
      <c r="G328" s="106"/>
      <c r="H328" s="106"/>
      <c r="I328" s="106"/>
      <c r="J328" s="105">
        <f t="shared" si="107"/>
        <v>0</v>
      </c>
      <c r="K328" s="106"/>
      <c r="L328" s="177" t="str">
        <f t="shared" si="108"/>
        <v/>
      </c>
      <c r="M328" s="105">
        <f t="shared" si="109"/>
        <v>0</v>
      </c>
      <c r="N328" s="110"/>
      <c r="O328" s="124"/>
      <c r="P328" s="110"/>
      <c r="Q328" s="124"/>
      <c r="R328" s="111">
        <f>SUMIFS('Shipments data'!L:L,'Shipments data'!F:F,'Supply planning data'!C328,'Shipments data'!A:A,'Supply planning data'!A328,'Shipments data'!Y:Y,'Supply planning data'!D328,'Shipments data'!O:O,"received", 'Shipments data'!N:N, "Public")</f>
        <v>0</v>
      </c>
      <c r="S328" s="111">
        <f>SUMIFS('Shipments data'!L:L,'Shipments data'!F:F,'Supply planning data'!C328,'Shipments data'!A:A,'Supply planning data'!A328,'Shipments data'!Y:Y,'Supply planning data'!D328,'Shipments data'!O:O,"ordered", 'Shipments data'!N:N, "Public")</f>
        <v>0</v>
      </c>
      <c r="T328" s="111">
        <f>IF(SUMIFS('Shipments data'!L:L,'Shipments data'!F:F,'Supply planning data'!C328,'Shipments data'!A:A,'Supply planning data'!A328,'Shipments data'!O:O,"received",'Shipments data'!Q:Q,"&lt;"&amp;'Supply planning data'!D343,'Shipments data'!AC:AC,"&lt;"&amp;'Supply planning data'!D343)-SUMIFS(M:M,D:D,"&lt;="&amp;D328,C:C,C328)+SUMIFS(N:N,D:D,"&lt;="&amp;D328,C:C,C328)+SUMIFS(P:P,D:D,"&lt;="&amp;D328,C:C,C328)&lt;0,0,SUMIFS('Shipments data'!L:L,'Shipments data'!F:F,'Supply planning data'!C328,'Shipments data'!A:A,'Supply planning data'!A328,'Shipments data'!O:O,"received",'Shipments data'!Q:Q,"&lt;"&amp;'Supply planning data'!D343,'Shipments data'!AC:AC,"&lt;"&amp;'Supply planning data'!D343)-SUMIFS(M:M,D:D,"&lt;="&amp;D328,C:C,C328)+SUMIFS(N:N,D:D,"&lt;="&amp;D328,C:C,C328)+SUMIFS(P:P,D:D,"&lt;="&amp;D328,C:C,C328))</f>
        <v>0</v>
      </c>
      <c r="U328" s="112">
        <f t="shared" si="98"/>
        <v>0</v>
      </c>
      <c r="V328" s="111">
        <f t="shared" si="106"/>
        <v>0</v>
      </c>
      <c r="W328" s="204" t="str">
        <f t="shared" si="104"/>
        <v/>
      </c>
      <c r="X328" s="111">
        <f t="shared" si="99"/>
        <v>0</v>
      </c>
      <c r="Y328" s="110"/>
      <c r="Z328" s="107"/>
      <c r="AA328" s="111">
        <f t="shared" si="110"/>
        <v>0</v>
      </c>
      <c r="AB328" s="235"/>
      <c r="AC328" s="111">
        <f>IF(SUMIFS('Shipments data'!L:L,'Shipments data'!F:F,'Supply planning data'!C328,'Shipments data'!A:A,'Supply planning data'!A328,'Shipments data'!O:O,"received",'Shipments data'!Q:Q,"&lt;"&amp;'Supply planning data'!D343,'Shipments data'!AC:AC,"&lt;"&amp;'Supply planning data'!D343)-SUMIFS(M:M,D:D,"&lt;="&amp;D328,C:C,C328)-SUMIFS(AA:AA,D:D,"&lt;="&amp;D328,C:C,C328)+SUMIFS(N:N,D:D,"&lt;="&amp;D328,C:C,C328)+SUMIFS(P:P,D:D,"&lt;="&amp;D328,C:C,C328)&lt;0,0,SUMIFS('Shipments data'!L:L,'Shipments data'!F:F,'Supply planning data'!C328,'Shipments data'!A:A,'Supply planning data'!A328,'Shipments data'!O:O,"received",'Shipments data'!Q:Q,"&lt;"&amp;'Supply planning data'!D343,'Shipments data'!AC:AC,"&lt;"&amp;'Supply planning data'!D343)-SUMIFS(M:M,D:D,"&lt;="&amp;D328,C:C,C328)-SUMIFS(AA:AA,D:D,"&lt;="&amp;D328,C:C,C328)+SUMIFS(N:N,D:D,"&lt;="&amp;D328,C:C,C328)+SUMIFS(P:P,D:D,"&lt;="&amp;D328,C:C,C328))</f>
        <v>0</v>
      </c>
      <c r="AD328" s="111">
        <f t="shared" si="100"/>
        <v>0</v>
      </c>
      <c r="AE328" s="111">
        <f t="shared" si="112"/>
        <v>0</v>
      </c>
      <c r="AF328" s="204" t="str">
        <f t="shared" si="103"/>
        <v/>
      </c>
      <c r="AG328" s="111">
        <f t="shared" si="101"/>
        <v>0</v>
      </c>
      <c r="AH328" s="110"/>
      <c r="AI328" s="313"/>
      <c r="AJ328" s="111">
        <f t="shared" si="111"/>
        <v>0</v>
      </c>
      <c r="AK328" s="235"/>
      <c r="AL328" s="111">
        <f>IF(SUMIFS('Shipments data'!L:L,'Shipments data'!F:F,'Supply planning data'!C328,'Shipments data'!A:A,'Supply planning data'!A328,'Shipments data'!O:O,"received",'Shipments data'!Q:Q,"&lt;"&amp;'Supply planning data'!D343,'Shipments data'!AC:AC,"&lt;"&amp;'Supply planning data'!D343)-SUMIFS(M:M,D:D,"&lt;="&amp;D328,C:C,C328)-SUMIFS(AJ:AJ,D:D,"&lt;="&amp;D328,C:C,C328)+SUMIFS(N:N,D:D,"&lt;="&amp;D328,C:C,C328)+SUMIFS(P:P,D:D,"&lt;="&amp;D328,C:C,C328)&lt;0,0,SUMIFS('Shipments data'!L:L,'Shipments data'!F:F,'Supply planning data'!C328,'Shipments data'!A:A,'Supply planning data'!A328,'Shipments data'!O:O,"received",'Shipments data'!Q:Q,"&lt;"&amp;'Supply planning data'!D343,'Shipments data'!AC:AC,"&lt;"&amp;'Supply planning data'!D343)-SUMIFS(M:M,D:D,"&lt;="&amp;D328,C:C,C328)-SUMIFS(AJ:AJ,D:D,"&lt;="&amp;D328,C:C,C328)+SUMIFS(N:N,D:D,"&lt;="&amp;D328,C:C,C328)+SUMIFS(P:P,D:D,"&lt;="&amp;D328,C:C,C328))</f>
        <v>0</v>
      </c>
      <c r="AM328" s="111">
        <f t="shared" si="102"/>
        <v>0</v>
      </c>
      <c r="AN328" s="111">
        <f t="shared" si="113"/>
        <v>0</v>
      </c>
      <c r="AO328" s="204" t="str">
        <f t="shared" si="105"/>
        <v/>
      </c>
    </row>
    <row r="329" spans="1:41" hidden="1" x14ac:dyDescent="0.25">
      <c r="A329" s="103" t="str">
        <f>Start!D$7</f>
        <v>Anyland</v>
      </c>
      <c r="B329" s="109" t="str">
        <f>VLOOKUP(A329,list!B:C,2,FALSE)</f>
        <v>ANY</v>
      </c>
      <c r="C329" s="109" t="str">
        <f>IF(Start!$C$26="","",Start!$C$26)</f>
        <v/>
      </c>
      <c r="D329" s="298">
        <f t="shared" si="96"/>
        <v>44835</v>
      </c>
      <c r="E329" s="105" t="str">
        <f>IFERROR(VLOOKUP(C329,Start!C$15:D$31,2,FALSE),"No")</f>
        <v>No</v>
      </c>
      <c r="F329" s="105">
        <f t="shared" si="97"/>
        <v>0</v>
      </c>
      <c r="G329" s="106"/>
      <c r="H329" s="106"/>
      <c r="I329" s="106"/>
      <c r="J329" s="105">
        <f t="shared" si="107"/>
        <v>0</v>
      </c>
      <c r="K329" s="106"/>
      <c r="L329" s="177" t="str">
        <f t="shared" si="108"/>
        <v/>
      </c>
      <c r="M329" s="105">
        <f t="shared" si="109"/>
        <v>0</v>
      </c>
      <c r="N329" s="110"/>
      <c r="O329" s="124"/>
      <c r="P329" s="110"/>
      <c r="Q329" s="124"/>
      <c r="R329" s="111">
        <f>SUMIFS('Shipments data'!L:L,'Shipments data'!F:F,'Supply planning data'!C329,'Shipments data'!A:A,'Supply planning data'!A329,'Shipments data'!Y:Y,'Supply planning data'!D329,'Shipments data'!O:O,"received", 'Shipments data'!N:N, "Public")</f>
        <v>0</v>
      </c>
      <c r="S329" s="111">
        <f>SUMIFS('Shipments data'!L:L,'Shipments data'!F:F,'Supply planning data'!C329,'Shipments data'!A:A,'Supply planning data'!A329,'Shipments data'!Y:Y,'Supply planning data'!D329,'Shipments data'!O:O,"ordered", 'Shipments data'!N:N, "Public")</f>
        <v>0</v>
      </c>
      <c r="T329" s="111">
        <f>IF(SUMIFS('Shipments data'!L:L,'Shipments data'!F:F,'Supply planning data'!C329,'Shipments data'!A:A,'Supply planning data'!A329,'Shipments data'!O:O,"received",'Shipments data'!Q:Q,"&lt;"&amp;'Supply planning data'!D344,'Shipments data'!AC:AC,"&lt;"&amp;'Supply planning data'!D344)-SUMIFS(M:M,D:D,"&lt;="&amp;D329,C:C,C329)+SUMIFS(N:N,D:D,"&lt;="&amp;D329,C:C,C329)+SUMIFS(P:P,D:D,"&lt;="&amp;D329,C:C,C329)&lt;0,0,SUMIFS('Shipments data'!L:L,'Shipments data'!F:F,'Supply planning data'!C329,'Shipments data'!A:A,'Supply planning data'!A329,'Shipments data'!O:O,"received",'Shipments data'!Q:Q,"&lt;"&amp;'Supply planning data'!D344,'Shipments data'!AC:AC,"&lt;"&amp;'Supply planning data'!D344)-SUMIFS(M:M,D:D,"&lt;="&amp;D329,C:C,C329)+SUMIFS(N:N,D:D,"&lt;="&amp;D329,C:C,C329)+SUMIFS(P:P,D:D,"&lt;="&amp;D329,C:C,C329))</f>
        <v>0</v>
      </c>
      <c r="U329" s="112">
        <f t="shared" si="98"/>
        <v>0</v>
      </c>
      <c r="V329" s="111">
        <f t="shared" si="106"/>
        <v>0</v>
      </c>
      <c r="W329" s="204" t="str">
        <f t="shared" si="104"/>
        <v/>
      </c>
      <c r="X329" s="111">
        <f t="shared" si="99"/>
        <v>0</v>
      </c>
      <c r="Y329" s="110"/>
      <c r="Z329" s="107"/>
      <c r="AA329" s="111">
        <f t="shared" si="110"/>
        <v>0</v>
      </c>
      <c r="AB329" s="235"/>
      <c r="AC329" s="111">
        <f>IF(SUMIFS('Shipments data'!L:L,'Shipments data'!F:F,'Supply planning data'!C329,'Shipments data'!A:A,'Supply planning data'!A329,'Shipments data'!O:O,"received",'Shipments data'!Q:Q,"&lt;"&amp;'Supply planning data'!D344,'Shipments data'!AC:AC,"&lt;"&amp;'Supply planning data'!D344)-SUMIFS(M:M,D:D,"&lt;="&amp;D329,C:C,C329)-SUMIFS(AA:AA,D:D,"&lt;="&amp;D329,C:C,C329)+SUMIFS(N:N,D:D,"&lt;="&amp;D329,C:C,C329)+SUMIFS(P:P,D:D,"&lt;="&amp;D329,C:C,C329)&lt;0,0,SUMIFS('Shipments data'!L:L,'Shipments data'!F:F,'Supply planning data'!C329,'Shipments data'!A:A,'Supply planning data'!A329,'Shipments data'!O:O,"received",'Shipments data'!Q:Q,"&lt;"&amp;'Supply planning data'!D344,'Shipments data'!AC:AC,"&lt;"&amp;'Supply planning data'!D344)-SUMIFS(M:M,D:D,"&lt;="&amp;D329,C:C,C329)-SUMIFS(AA:AA,D:D,"&lt;="&amp;D329,C:C,C329)+SUMIFS(N:N,D:D,"&lt;="&amp;D329,C:C,C329)+SUMIFS(P:P,D:D,"&lt;="&amp;D329,C:C,C329))</f>
        <v>0</v>
      </c>
      <c r="AD329" s="111">
        <f t="shared" si="100"/>
        <v>0</v>
      </c>
      <c r="AE329" s="111">
        <f t="shared" si="112"/>
        <v>0</v>
      </c>
      <c r="AF329" s="204" t="str">
        <f t="shared" si="103"/>
        <v/>
      </c>
      <c r="AG329" s="111">
        <f t="shared" si="101"/>
        <v>0</v>
      </c>
      <c r="AH329" s="110"/>
      <c r="AI329" s="313"/>
      <c r="AJ329" s="111">
        <f t="shared" si="111"/>
        <v>0</v>
      </c>
      <c r="AK329" s="235"/>
      <c r="AL329" s="111">
        <f>IF(SUMIFS('Shipments data'!L:L,'Shipments data'!F:F,'Supply planning data'!C329,'Shipments data'!A:A,'Supply planning data'!A329,'Shipments data'!O:O,"received",'Shipments data'!Q:Q,"&lt;"&amp;'Supply planning data'!D344,'Shipments data'!AC:AC,"&lt;"&amp;'Supply planning data'!D344)-SUMIFS(M:M,D:D,"&lt;="&amp;D329,C:C,C329)-SUMIFS(AJ:AJ,D:D,"&lt;="&amp;D329,C:C,C329)+SUMIFS(N:N,D:D,"&lt;="&amp;D329,C:C,C329)+SUMIFS(P:P,D:D,"&lt;="&amp;D329,C:C,C329)&lt;0,0,SUMIFS('Shipments data'!L:L,'Shipments data'!F:F,'Supply planning data'!C329,'Shipments data'!A:A,'Supply planning data'!A329,'Shipments data'!O:O,"received",'Shipments data'!Q:Q,"&lt;"&amp;'Supply planning data'!D344,'Shipments data'!AC:AC,"&lt;"&amp;'Supply planning data'!D344)-SUMIFS(M:M,D:D,"&lt;="&amp;D329,C:C,C329)-SUMIFS(AJ:AJ,D:D,"&lt;="&amp;D329,C:C,C329)+SUMIFS(N:N,D:D,"&lt;="&amp;D329,C:C,C329)+SUMIFS(P:P,D:D,"&lt;="&amp;D329,C:C,C329))</f>
        <v>0</v>
      </c>
      <c r="AM329" s="111">
        <f t="shared" si="102"/>
        <v>0</v>
      </c>
      <c r="AN329" s="111">
        <f t="shared" si="113"/>
        <v>0</v>
      </c>
      <c r="AO329" s="204" t="str">
        <f t="shared" si="105"/>
        <v/>
      </c>
    </row>
    <row r="330" spans="1:41" hidden="1" x14ac:dyDescent="0.25">
      <c r="A330" s="103" t="str">
        <f>Start!D$7</f>
        <v>Anyland</v>
      </c>
      <c r="B330" s="109" t="str">
        <f>VLOOKUP(A330,list!B:C,2,FALSE)</f>
        <v>ANY</v>
      </c>
      <c r="C330" s="104" t="str">
        <f>IF(Start!$C$27="","",Start!$C$27)</f>
        <v/>
      </c>
      <c r="D330" s="298">
        <f t="shared" si="96"/>
        <v>44835</v>
      </c>
      <c r="E330" s="105" t="str">
        <f>IFERROR(VLOOKUP(C330,Start!C$15:D$31,2,FALSE),"No")</f>
        <v>No</v>
      </c>
      <c r="F330" s="105">
        <f t="shared" si="97"/>
        <v>0</v>
      </c>
      <c r="G330" s="106"/>
      <c r="H330" s="106"/>
      <c r="I330" s="106"/>
      <c r="J330" s="105">
        <f t="shared" si="107"/>
        <v>0</v>
      </c>
      <c r="K330" s="106"/>
      <c r="L330" s="177" t="str">
        <f t="shared" si="108"/>
        <v/>
      </c>
      <c r="M330" s="105">
        <f t="shared" si="109"/>
        <v>0</v>
      </c>
      <c r="N330" s="110"/>
      <c r="O330" s="124"/>
      <c r="P330" s="110"/>
      <c r="Q330" s="124"/>
      <c r="R330" s="111">
        <f>SUMIFS('Shipments data'!L:L,'Shipments data'!F:F,'Supply planning data'!C330,'Shipments data'!A:A,'Supply planning data'!A330,'Shipments data'!Y:Y,'Supply planning data'!D330,'Shipments data'!O:O,"received", 'Shipments data'!N:N, "Public")</f>
        <v>0</v>
      </c>
      <c r="S330" s="111">
        <f>SUMIFS('Shipments data'!L:L,'Shipments data'!F:F,'Supply planning data'!C330,'Shipments data'!A:A,'Supply planning data'!A330,'Shipments data'!Y:Y,'Supply planning data'!D330,'Shipments data'!O:O,"ordered", 'Shipments data'!N:N, "Public")</f>
        <v>0</v>
      </c>
      <c r="T330" s="111">
        <f>IF(SUMIFS('Shipments data'!L:L,'Shipments data'!F:F,'Supply planning data'!C330,'Shipments data'!A:A,'Supply planning data'!A330,'Shipments data'!O:O,"received",'Shipments data'!Q:Q,"&lt;"&amp;'Supply planning data'!D345,'Shipments data'!AC:AC,"&lt;"&amp;'Supply planning data'!D345)-SUMIFS(M:M,D:D,"&lt;="&amp;D330,C:C,C330)+SUMIFS(N:N,D:D,"&lt;="&amp;D330,C:C,C330)+SUMIFS(P:P,D:D,"&lt;="&amp;D330,C:C,C330)&lt;0,0,SUMIFS('Shipments data'!L:L,'Shipments data'!F:F,'Supply planning data'!C330,'Shipments data'!A:A,'Supply planning data'!A330,'Shipments data'!O:O,"received",'Shipments data'!Q:Q,"&lt;"&amp;'Supply planning data'!D345,'Shipments data'!AC:AC,"&lt;"&amp;'Supply planning data'!D345)-SUMIFS(M:M,D:D,"&lt;="&amp;D330,C:C,C330)+SUMIFS(N:N,D:D,"&lt;="&amp;D330,C:C,C330)+SUMIFS(P:P,D:D,"&lt;="&amp;D330,C:C,C330))</f>
        <v>0</v>
      </c>
      <c r="U330" s="112">
        <f t="shared" si="98"/>
        <v>0</v>
      </c>
      <c r="V330" s="111">
        <f t="shared" si="106"/>
        <v>0</v>
      </c>
      <c r="W330" s="204" t="str">
        <f t="shared" si="104"/>
        <v/>
      </c>
      <c r="X330" s="111">
        <f t="shared" si="99"/>
        <v>0</v>
      </c>
      <c r="Y330" s="110"/>
      <c r="Z330" s="107"/>
      <c r="AA330" s="111">
        <f t="shared" si="110"/>
        <v>0</v>
      </c>
      <c r="AB330" s="235"/>
      <c r="AC330" s="111">
        <f>IF(SUMIFS('Shipments data'!L:L,'Shipments data'!F:F,'Supply planning data'!C330,'Shipments data'!A:A,'Supply planning data'!A330,'Shipments data'!O:O,"received",'Shipments data'!Q:Q,"&lt;"&amp;'Supply planning data'!D345,'Shipments data'!AC:AC,"&lt;"&amp;'Supply planning data'!D345)-SUMIFS(M:M,D:D,"&lt;="&amp;D330,C:C,C330)-SUMIFS(AA:AA,D:D,"&lt;="&amp;D330,C:C,C330)+SUMIFS(N:N,D:D,"&lt;="&amp;D330,C:C,C330)+SUMIFS(P:P,D:D,"&lt;="&amp;D330,C:C,C330)&lt;0,0,SUMIFS('Shipments data'!L:L,'Shipments data'!F:F,'Supply planning data'!C330,'Shipments data'!A:A,'Supply planning data'!A330,'Shipments data'!O:O,"received",'Shipments data'!Q:Q,"&lt;"&amp;'Supply planning data'!D345,'Shipments data'!AC:AC,"&lt;"&amp;'Supply planning data'!D345)-SUMIFS(M:M,D:D,"&lt;="&amp;D330,C:C,C330)-SUMIFS(AA:AA,D:D,"&lt;="&amp;D330,C:C,C330)+SUMIFS(N:N,D:D,"&lt;="&amp;D330,C:C,C330)+SUMIFS(P:P,D:D,"&lt;="&amp;D330,C:C,C330))</f>
        <v>0</v>
      </c>
      <c r="AD330" s="111">
        <f t="shared" si="100"/>
        <v>0</v>
      </c>
      <c r="AE330" s="111">
        <f t="shared" si="112"/>
        <v>0</v>
      </c>
      <c r="AF330" s="204" t="str">
        <f t="shared" si="103"/>
        <v/>
      </c>
      <c r="AG330" s="111">
        <f t="shared" si="101"/>
        <v>0</v>
      </c>
      <c r="AH330" s="110"/>
      <c r="AI330" s="313"/>
      <c r="AJ330" s="111">
        <f t="shared" si="111"/>
        <v>0</v>
      </c>
      <c r="AK330" s="235"/>
      <c r="AL330" s="111">
        <f>IF(SUMIFS('Shipments data'!L:L,'Shipments data'!F:F,'Supply planning data'!C330,'Shipments data'!A:A,'Supply planning data'!A330,'Shipments data'!O:O,"received",'Shipments data'!Q:Q,"&lt;"&amp;'Supply planning data'!D345,'Shipments data'!AC:AC,"&lt;"&amp;'Supply planning data'!D345)-SUMIFS(M:M,D:D,"&lt;="&amp;D330,C:C,C330)-SUMIFS(AJ:AJ,D:D,"&lt;="&amp;D330,C:C,C330)+SUMIFS(N:N,D:D,"&lt;="&amp;D330,C:C,C330)+SUMIFS(P:P,D:D,"&lt;="&amp;D330,C:C,C330)&lt;0,0,SUMIFS('Shipments data'!L:L,'Shipments data'!F:F,'Supply planning data'!C330,'Shipments data'!A:A,'Supply planning data'!A330,'Shipments data'!O:O,"received",'Shipments data'!Q:Q,"&lt;"&amp;'Supply planning data'!D345,'Shipments data'!AC:AC,"&lt;"&amp;'Supply planning data'!D345)-SUMIFS(M:M,D:D,"&lt;="&amp;D330,C:C,C330)-SUMIFS(AJ:AJ,D:D,"&lt;="&amp;D330,C:C,C330)+SUMIFS(N:N,D:D,"&lt;="&amp;D330,C:C,C330)+SUMIFS(P:P,D:D,"&lt;="&amp;D330,C:C,C330))</f>
        <v>0</v>
      </c>
      <c r="AM330" s="111">
        <f t="shared" si="102"/>
        <v>0</v>
      </c>
      <c r="AN330" s="111">
        <f t="shared" si="113"/>
        <v>0</v>
      </c>
      <c r="AO330" s="204" t="str">
        <f t="shared" si="105"/>
        <v/>
      </c>
    </row>
    <row r="331" spans="1:41" hidden="1" x14ac:dyDescent="0.25">
      <c r="A331" s="103" t="str">
        <f>Start!D$7</f>
        <v>Anyland</v>
      </c>
      <c r="B331" s="109" t="str">
        <f>VLOOKUP(A331,list!B:C,2,FALSE)</f>
        <v>ANY</v>
      </c>
      <c r="C331" s="109" t="str">
        <f>IF(Start!$C$28="","",Start!$C$28)</f>
        <v/>
      </c>
      <c r="D331" s="298">
        <f t="shared" si="96"/>
        <v>44835</v>
      </c>
      <c r="E331" s="105" t="str">
        <f>IFERROR(VLOOKUP(C331,Start!C$15:D$31,2,FALSE),"No")</f>
        <v>No</v>
      </c>
      <c r="F331" s="105">
        <f t="shared" si="97"/>
        <v>0</v>
      </c>
      <c r="G331" s="106"/>
      <c r="H331" s="106"/>
      <c r="I331" s="106"/>
      <c r="J331" s="105">
        <f t="shared" si="107"/>
        <v>0</v>
      </c>
      <c r="K331" s="106"/>
      <c r="L331" s="177" t="str">
        <f t="shared" si="108"/>
        <v/>
      </c>
      <c r="M331" s="105">
        <f t="shared" si="109"/>
        <v>0</v>
      </c>
      <c r="N331" s="110"/>
      <c r="O331" s="124"/>
      <c r="P331" s="110"/>
      <c r="Q331" s="124"/>
      <c r="R331" s="111">
        <f>SUMIFS('Shipments data'!L:L,'Shipments data'!F:F,'Supply planning data'!C331,'Shipments data'!A:A,'Supply planning data'!A331,'Shipments data'!Y:Y,'Supply planning data'!D331,'Shipments data'!O:O,"received", 'Shipments data'!N:N, "Public")</f>
        <v>0</v>
      </c>
      <c r="S331" s="111">
        <f>SUMIFS('Shipments data'!L:L,'Shipments data'!F:F,'Supply planning data'!C331,'Shipments data'!A:A,'Supply planning data'!A331,'Shipments data'!Y:Y,'Supply planning data'!D331,'Shipments data'!O:O,"ordered", 'Shipments data'!N:N, "Public")</f>
        <v>0</v>
      </c>
      <c r="T331" s="111">
        <f>IF(SUMIFS('Shipments data'!L:L,'Shipments data'!F:F,'Supply planning data'!C331,'Shipments data'!A:A,'Supply planning data'!A331,'Shipments data'!O:O,"received",'Shipments data'!Q:Q,"&lt;"&amp;'Supply planning data'!D346,'Shipments data'!AC:AC,"&lt;"&amp;'Supply planning data'!D346)-SUMIFS(M:M,D:D,"&lt;="&amp;D331,C:C,C331)+SUMIFS(N:N,D:D,"&lt;="&amp;D331,C:C,C331)+SUMIFS(P:P,D:D,"&lt;="&amp;D331,C:C,C331)&lt;0,0,SUMIFS('Shipments data'!L:L,'Shipments data'!F:F,'Supply planning data'!C331,'Shipments data'!A:A,'Supply planning data'!A331,'Shipments data'!O:O,"received",'Shipments data'!Q:Q,"&lt;"&amp;'Supply planning data'!D346,'Shipments data'!AC:AC,"&lt;"&amp;'Supply planning data'!D346)-SUMIFS(M:M,D:D,"&lt;="&amp;D331,C:C,C331)+SUMIFS(N:N,D:D,"&lt;="&amp;D331,C:C,C331)+SUMIFS(P:P,D:D,"&lt;="&amp;D331,C:C,C331))</f>
        <v>0</v>
      </c>
      <c r="U331" s="112">
        <f t="shared" si="98"/>
        <v>0</v>
      </c>
      <c r="V331" s="111">
        <f t="shared" si="106"/>
        <v>0</v>
      </c>
      <c r="W331" s="204" t="str">
        <f t="shared" si="104"/>
        <v/>
      </c>
      <c r="X331" s="111">
        <f t="shared" si="99"/>
        <v>0</v>
      </c>
      <c r="Y331" s="110"/>
      <c r="Z331" s="107"/>
      <c r="AA331" s="111">
        <f t="shared" si="110"/>
        <v>0</v>
      </c>
      <c r="AB331" s="235"/>
      <c r="AC331" s="111">
        <f>IF(SUMIFS('Shipments data'!L:L,'Shipments data'!F:F,'Supply planning data'!C331,'Shipments data'!A:A,'Supply planning data'!A331,'Shipments data'!O:O,"received",'Shipments data'!Q:Q,"&lt;"&amp;'Supply planning data'!D346,'Shipments data'!AC:AC,"&lt;"&amp;'Supply planning data'!D346)-SUMIFS(M:M,D:D,"&lt;="&amp;D331,C:C,C331)-SUMIFS(AA:AA,D:D,"&lt;="&amp;D331,C:C,C331)+SUMIFS(N:N,D:D,"&lt;="&amp;D331,C:C,C331)+SUMIFS(P:P,D:D,"&lt;="&amp;D331,C:C,C331)&lt;0,0,SUMIFS('Shipments data'!L:L,'Shipments data'!F:F,'Supply planning data'!C331,'Shipments data'!A:A,'Supply planning data'!A331,'Shipments data'!O:O,"received",'Shipments data'!Q:Q,"&lt;"&amp;'Supply planning data'!D346,'Shipments data'!AC:AC,"&lt;"&amp;'Supply planning data'!D346)-SUMIFS(M:M,D:D,"&lt;="&amp;D331,C:C,C331)-SUMIFS(AA:AA,D:D,"&lt;="&amp;D331,C:C,C331)+SUMIFS(N:N,D:D,"&lt;="&amp;D331,C:C,C331)+SUMIFS(P:P,D:D,"&lt;="&amp;D331,C:C,C331))</f>
        <v>0</v>
      </c>
      <c r="AD331" s="111">
        <f t="shared" si="100"/>
        <v>0</v>
      </c>
      <c r="AE331" s="111">
        <f t="shared" si="112"/>
        <v>0</v>
      </c>
      <c r="AF331" s="204" t="str">
        <f t="shared" si="103"/>
        <v/>
      </c>
      <c r="AG331" s="111">
        <f t="shared" si="101"/>
        <v>0</v>
      </c>
      <c r="AH331" s="110"/>
      <c r="AI331" s="313"/>
      <c r="AJ331" s="111">
        <f t="shared" si="111"/>
        <v>0</v>
      </c>
      <c r="AK331" s="235"/>
      <c r="AL331" s="111">
        <f>IF(SUMIFS('Shipments data'!L:L,'Shipments data'!F:F,'Supply planning data'!C331,'Shipments data'!A:A,'Supply planning data'!A331,'Shipments data'!O:O,"received",'Shipments data'!Q:Q,"&lt;"&amp;'Supply planning data'!D346,'Shipments data'!AC:AC,"&lt;"&amp;'Supply planning data'!D346)-SUMIFS(M:M,D:D,"&lt;="&amp;D331,C:C,C331)-SUMIFS(AJ:AJ,D:D,"&lt;="&amp;D331,C:C,C331)+SUMIFS(N:N,D:D,"&lt;="&amp;D331,C:C,C331)+SUMIFS(P:P,D:D,"&lt;="&amp;D331,C:C,C331)&lt;0,0,SUMIFS('Shipments data'!L:L,'Shipments data'!F:F,'Supply planning data'!C331,'Shipments data'!A:A,'Supply planning data'!A331,'Shipments data'!O:O,"received",'Shipments data'!Q:Q,"&lt;"&amp;'Supply planning data'!D346,'Shipments data'!AC:AC,"&lt;"&amp;'Supply planning data'!D346)-SUMIFS(M:M,D:D,"&lt;="&amp;D331,C:C,C331)-SUMIFS(AJ:AJ,D:D,"&lt;="&amp;D331,C:C,C331)+SUMIFS(N:N,D:D,"&lt;="&amp;D331,C:C,C331)+SUMIFS(P:P,D:D,"&lt;="&amp;D331,C:C,C331))</f>
        <v>0</v>
      </c>
      <c r="AM331" s="111">
        <f t="shared" si="102"/>
        <v>0</v>
      </c>
      <c r="AN331" s="111">
        <f t="shared" si="113"/>
        <v>0</v>
      </c>
      <c r="AO331" s="204" t="str">
        <f t="shared" si="105"/>
        <v/>
      </c>
    </row>
    <row r="332" spans="1:41" hidden="1" x14ac:dyDescent="0.25">
      <c r="A332" s="103" t="str">
        <f>Start!D$7</f>
        <v>Anyland</v>
      </c>
      <c r="B332" s="109" t="str">
        <f>VLOOKUP(A332,list!B:C,2,FALSE)</f>
        <v>ANY</v>
      </c>
      <c r="C332" s="104" t="str">
        <f>IF(Start!$C$29="","",Start!$C$29)</f>
        <v/>
      </c>
      <c r="D332" s="298">
        <f t="shared" si="96"/>
        <v>44835</v>
      </c>
      <c r="E332" s="105" t="str">
        <f>IFERROR(VLOOKUP(C332,Start!C$15:D$31,2,FALSE),"No")</f>
        <v>No</v>
      </c>
      <c r="F332" s="105">
        <f t="shared" si="97"/>
        <v>0</v>
      </c>
      <c r="G332" s="106"/>
      <c r="H332" s="106"/>
      <c r="I332" s="106"/>
      <c r="J332" s="105">
        <f t="shared" si="107"/>
        <v>0</v>
      </c>
      <c r="K332" s="106"/>
      <c r="L332" s="177" t="str">
        <f t="shared" si="108"/>
        <v/>
      </c>
      <c r="M332" s="105">
        <f t="shared" si="109"/>
        <v>0</v>
      </c>
      <c r="N332" s="110"/>
      <c r="O332" s="124"/>
      <c r="P332" s="110"/>
      <c r="Q332" s="124"/>
      <c r="R332" s="111">
        <f>SUMIFS('Shipments data'!L:L,'Shipments data'!F:F,'Supply planning data'!C332,'Shipments data'!A:A,'Supply planning data'!A332,'Shipments data'!Y:Y,'Supply planning data'!D332,'Shipments data'!O:O,"received", 'Shipments data'!N:N, "Public")</f>
        <v>0</v>
      </c>
      <c r="S332" s="111">
        <f>SUMIFS('Shipments data'!L:L,'Shipments data'!F:F,'Supply planning data'!C332,'Shipments data'!A:A,'Supply planning data'!A332,'Shipments data'!Y:Y,'Supply planning data'!D332,'Shipments data'!O:O,"ordered", 'Shipments data'!N:N, "Public")</f>
        <v>0</v>
      </c>
      <c r="T332" s="111">
        <f>IF(SUMIFS('Shipments data'!L:L,'Shipments data'!F:F,'Supply planning data'!C332,'Shipments data'!A:A,'Supply planning data'!A332,'Shipments data'!O:O,"received",'Shipments data'!Q:Q,"&lt;"&amp;'Supply planning data'!D347,'Shipments data'!AC:AC,"&lt;"&amp;'Supply planning data'!D347)-SUMIFS(M:M,D:D,"&lt;="&amp;D332,C:C,C332)+SUMIFS(N:N,D:D,"&lt;="&amp;D332,C:C,C332)+SUMIFS(P:P,D:D,"&lt;="&amp;D332,C:C,C332)&lt;0,0,SUMIFS('Shipments data'!L:L,'Shipments data'!F:F,'Supply planning data'!C332,'Shipments data'!A:A,'Supply planning data'!A332,'Shipments data'!O:O,"received",'Shipments data'!Q:Q,"&lt;"&amp;'Supply planning data'!D347,'Shipments data'!AC:AC,"&lt;"&amp;'Supply planning data'!D347)-SUMIFS(M:M,D:D,"&lt;="&amp;D332,C:C,C332)+SUMIFS(N:N,D:D,"&lt;="&amp;D332,C:C,C332)+SUMIFS(P:P,D:D,"&lt;="&amp;D332,C:C,C332))</f>
        <v>0</v>
      </c>
      <c r="U332" s="112">
        <f t="shared" si="98"/>
        <v>0</v>
      </c>
      <c r="V332" s="111">
        <f t="shared" si="106"/>
        <v>0</v>
      </c>
      <c r="W332" s="204" t="str">
        <f t="shared" si="104"/>
        <v/>
      </c>
      <c r="X332" s="111">
        <f t="shared" si="99"/>
        <v>0</v>
      </c>
      <c r="Y332" s="110"/>
      <c r="Z332" s="107"/>
      <c r="AA332" s="111">
        <f t="shared" si="110"/>
        <v>0</v>
      </c>
      <c r="AB332" s="235"/>
      <c r="AC332" s="111">
        <f>IF(SUMIFS('Shipments data'!L:L,'Shipments data'!F:F,'Supply planning data'!C332,'Shipments data'!A:A,'Supply planning data'!A332,'Shipments data'!O:O,"received",'Shipments data'!Q:Q,"&lt;"&amp;'Supply planning data'!D347,'Shipments data'!AC:AC,"&lt;"&amp;'Supply planning data'!D347)-SUMIFS(M:M,D:D,"&lt;="&amp;D332,C:C,C332)-SUMIFS(AA:AA,D:D,"&lt;="&amp;D332,C:C,C332)+SUMIFS(N:N,D:D,"&lt;="&amp;D332,C:C,C332)+SUMIFS(P:P,D:D,"&lt;="&amp;D332,C:C,C332)&lt;0,0,SUMIFS('Shipments data'!L:L,'Shipments data'!F:F,'Supply planning data'!C332,'Shipments data'!A:A,'Supply planning data'!A332,'Shipments data'!O:O,"received",'Shipments data'!Q:Q,"&lt;"&amp;'Supply planning data'!D347,'Shipments data'!AC:AC,"&lt;"&amp;'Supply planning data'!D347)-SUMIFS(M:M,D:D,"&lt;="&amp;D332,C:C,C332)-SUMIFS(AA:AA,D:D,"&lt;="&amp;D332,C:C,C332)+SUMIFS(N:N,D:D,"&lt;="&amp;D332,C:C,C332)+SUMIFS(P:P,D:D,"&lt;="&amp;D332,C:C,C332))</f>
        <v>0</v>
      </c>
      <c r="AD332" s="111">
        <f t="shared" si="100"/>
        <v>0</v>
      </c>
      <c r="AE332" s="111">
        <f t="shared" si="112"/>
        <v>0</v>
      </c>
      <c r="AF332" s="204" t="str">
        <f t="shared" si="103"/>
        <v/>
      </c>
      <c r="AG332" s="111">
        <f t="shared" si="101"/>
        <v>0</v>
      </c>
      <c r="AH332" s="110"/>
      <c r="AI332" s="313"/>
      <c r="AJ332" s="111">
        <f t="shared" si="111"/>
        <v>0</v>
      </c>
      <c r="AK332" s="235"/>
      <c r="AL332" s="111">
        <f>IF(SUMIFS('Shipments data'!L:L,'Shipments data'!F:F,'Supply planning data'!C332,'Shipments data'!A:A,'Supply planning data'!A332,'Shipments data'!O:O,"received",'Shipments data'!Q:Q,"&lt;"&amp;'Supply planning data'!D347,'Shipments data'!AC:AC,"&lt;"&amp;'Supply planning data'!D347)-SUMIFS(M:M,D:D,"&lt;="&amp;D332,C:C,C332)-SUMIFS(AJ:AJ,D:D,"&lt;="&amp;D332,C:C,C332)+SUMIFS(N:N,D:D,"&lt;="&amp;D332,C:C,C332)+SUMIFS(P:P,D:D,"&lt;="&amp;D332,C:C,C332)&lt;0,0,SUMIFS('Shipments data'!L:L,'Shipments data'!F:F,'Supply planning data'!C332,'Shipments data'!A:A,'Supply planning data'!A332,'Shipments data'!O:O,"received",'Shipments data'!Q:Q,"&lt;"&amp;'Supply planning data'!D347,'Shipments data'!AC:AC,"&lt;"&amp;'Supply planning data'!D347)-SUMIFS(M:M,D:D,"&lt;="&amp;D332,C:C,C332)-SUMIFS(AJ:AJ,D:D,"&lt;="&amp;D332,C:C,C332)+SUMIFS(N:N,D:D,"&lt;="&amp;D332,C:C,C332)+SUMIFS(P:P,D:D,"&lt;="&amp;D332,C:C,C332))</f>
        <v>0</v>
      </c>
      <c r="AM332" s="111">
        <f t="shared" si="102"/>
        <v>0</v>
      </c>
      <c r="AN332" s="111">
        <f t="shared" si="113"/>
        <v>0</v>
      </c>
      <c r="AO332" s="204" t="str">
        <f t="shared" si="105"/>
        <v/>
      </c>
    </row>
    <row r="333" spans="1:41" hidden="1" x14ac:dyDescent="0.25">
      <c r="A333" s="103" t="str">
        <f>Start!D$7</f>
        <v>Anyland</v>
      </c>
      <c r="B333" s="109" t="str">
        <f>VLOOKUP(A333,list!B:C,2,FALSE)</f>
        <v>ANY</v>
      </c>
      <c r="C333" s="109" t="str">
        <f>IF(Start!$C$30="","",Start!$C$30)</f>
        <v/>
      </c>
      <c r="D333" s="298">
        <f t="shared" si="96"/>
        <v>44835</v>
      </c>
      <c r="E333" s="105" t="str">
        <f>IFERROR(VLOOKUP(C333,Start!C$15:D$31,2,FALSE),"No")</f>
        <v>No</v>
      </c>
      <c r="F333" s="105">
        <f t="shared" si="97"/>
        <v>0</v>
      </c>
      <c r="G333" s="106"/>
      <c r="H333" s="106"/>
      <c r="I333" s="106"/>
      <c r="J333" s="105">
        <f t="shared" si="107"/>
        <v>0</v>
      </c>
      <c r="K333" s="106"/>
      <c r="L333" s="177" t="str">
        <f t="shared" si="108"/>
        <v/>
      </c>
      <c r="M333" s="105">
        <f t="shared" si="109"/>
        <v>0</v>
      </c>
      <c r="N333" s="110"/>
      <c r="O333" s="124"/>
      <c r="P333" s="110"/>
      <c r="Q333" s="124"/>
      <c r="R333" s="111">
        <f>SUMIFS('Shipments data'!L:L,'Shipments data'!F:F,'Supply planning data'!C333,'Shipments data'!A:A,'Supply planning data'!A333,'Shipments data'!Y:Y,'Supply planning data'!D333,'Shipments data'!O:O,"received", 'Shipments data'!N:N, "Public")</f>
        <v>0</v>
      </c>
      <c r="S333" s="111">
        <f>SUMIFS('Shipments data'!L:L,'Shipments data'!F:F,'Supply planning data'!C333,'Shipments data'!A:A,'Supply planning data'!A333,'Shipments data'!Y:Y,'Supply planning data'!D333,'Shipments data'!O:O,"ordered", 'Shipments data'!N:N, "Public")</f>
        <v>0</v>
      </c>
      <c r="T333" s="111">
        <f>IF(SUMIFS('Shipments data'!L:L,'Shipments data'!F:F,'Supply planning data'!C333,'Shipments data'!A:A,'Supply planning data'!A333,'Shipments data'!O:O,"received",'Shipments data'!Q:Q,"&lt;"&amp;'Supply planning data'!D348,'Shipments data'!AC:AC,"&lt;"&amp;'Supply planning data'!D348)-SUMIFS(M:M,D:D,"&lt;="&amp;D333,C:C,C333)+SUMIFS(N:N,D:D,"&lt;="&amp;D333,C:C,C333)+SUMIFS(P:P,D:D,"&lt;="&amp;D333,C:C,C333)&lt;0,0,SUMIFS('Shipments data'!L:L,'Shipments data'!F:F,'Supply planning data'!C333,'Shipments data'!A:A,'Supply planning data'!A333,'Shipments data'!O:O,"received",'Shipments data'!Q:Q,"&lt;"&amp;'Supply planning data'!D348,'Shipments data'!AC:AC,"&lt;"&amp;'Supply planning data'!D348)-SUMIFS(M:M,D:D,"&lt;="&amp;D333,C:C,C333)+SUMIFS(N:N,D:D,"&lt;="&amp;D333,C:C,C333)+SUMIFS(P:P,D:D,"&lt;="&amp;D333,C:C,C333))</f>
        <v>0</v>
      </c>
      <c r="U333" s="112">
        <f t="shared" si="98"/>
        <v>0</v>
      </c>
      <c r="V333" s="111">
        <f t="shared" si="106"/>
        <v>0</v>
      </c>
      <c r="W333" s="204" t="str">
        <f t="shared" si="104"/>
        <v/>
      </c>
      <c r="X333" s="111">
        <f t="shared" si="99"/>
        <v>0</v>
      </c>
      <c r="Y333" s="110"/>
      <c r="Z333" s="107"/>
      <c r="AA333" s="111">
        <f t="shared" si="110"/>
        <v>0</v>
      </c>
      <c r="AB333" s="235"/>
      <c r="AC333" s="111">
        <f>IF(SUMIFS('Shipments data'!L:L,'Shipments data'!F:F,'Supply planning data'!C333,'Shipments data'!A:A,'Supply planning data'!A333,'Shipments data'!O:O,"received",'Shipments data'!Q:Q,"&lt;"&amp;'Supply planning data'!D348,'Shipments data'!AC:AC,"&lt;"&amp;'Supply planning data'!D348)-SUMIFS(M:M,D:D,"&lt;="&amp;D333,C:C,C333)-SUMIFS(AA:AA,D:D,"&lt;="&amp;D333,C:C,C333)+SUMIFS(N:N,D:D,"&lt;="&amp;D333,C:C,C333)+SUMIFS(P:P,D:D,"&lt;="&amp;D333,C:C,C333)&lt;0,0,SUMIFS('Shipments data'!L:L,'Shipments data'!F:F,'Supply planning data'!C333,'Shipments data'!A:A,'Supply planning data'!A333,'Shipments data'!O:O,"received",'Shipments data'!Q:Q,"&lt;"&amp;'Supply planning data'!D348,'Shipments data'!AC:AC,"&lt;"&amp;'Supply planning data'!D348)-SUMIFS(M:M,D:D,"&lt;="&amp;D333,C:C,C333)-SUMIFS(AA:AA,D:D,"&lt;="&amp;D333,C:C,C333)+SUMIFS(N:N,D:D,"&lt;="&amp;D333,C:C,C333)+SUMIFS(P:P,D:D,"&lt;="&amp;D333,C:C,C333))</f>
        <v>0</v>
      </c>
      <c r="AD333" s="111">
        <f t="shared" si="100"/>
        <v>0</v>
      </c>
      <c r="AE333" s="111">
        <f t="shared" si="112"/>
        <v>0</v>
      </c>
      <c r="AF333" s="204" t="str">
        <f t="shared" si="103"/>
        <v/>
      </c>
      <c r="AG333" s="111">
        <f t="shared" si="101"/>
        <v>0</v>
      </c>
      <c r="AH333" s="110"/>
      <c r="AI333" s="313"/>
      <c r="AJ333" s="111">
        <f t="shared" si="111"/>
        <v>0</v>
      </c>
      <c r="AK333" s="235"/>
      <c r="AL333" s="111">
        <f>IF(SUMIFS('Shipments data'!L:L,'Shipments data'!F:F,'Supply planning data'!C333,'Shipments data'!A:A,'Supply planning data'!A333,'Shipments data'!O:O,"received",'Shipments data'!Q:Q,"&lt;"&amp;'Supply planning data'!D348,'Shipments data'!AC:AC,"&lt;"&amp;'Supply planning data'!D348)-SUMIFS(M:M,D:D,"&lt;="&amp;D333,C:C,C333)-SUMIFS(AJ:AJ,D:D,"&lt;="&amp;D333,C:C,C333)+SUMIFS(N:N,D:D,"&lt;="&amp;D333,C:C,C333)+SUMIFS(P:P,D:D,"&lt;="&amp;D333,C:C,C333)&lt;0,0,SUMIFS('Shipments data'!L:L,'Shipments data'!F:F,'Supply planning data'!C333,'Shipments data'!A:A,'Supply planning data'!A333,'Shipments data'!O:O,"received",'Shipments data'!Q:Q,"&lt;"&amp;'Supply planning data'!D348,'Shipments data'!AC:AC,"&lt;"&amp;'Supply planning data'!D348)-SUMIFS(M:M,D:D,"&lt;="&amp;D333,C:C,C333)-SUMIFS(AJ:AJ,D:D,"&lt;="&amp;D333,C:C,C333)+SUMIFS(N:N,D:D,"&lt;="&amp;D333,C:C,C333)+SUMIFS(P:P,D:D,"&lt;="&amp;D333,C:C,C333))</f>
        <v>0</v>
      </c>
      <c r="AM333" s="111">
        <f t="shared" si="102"/>
        <v>0</v>
      </c>
      <c r="AN333" s="111">
        <f t="shared" si="113"/>
        <v>0</v>
      </c>
      <c r="AO333" s="204" t="str">
        <f t="shared" si="105"/>
        <v/>
      </c>
    </row>
    <row r="334" spans="1:41" hidden="1" x14ac:dyDescent="0.25">
      <c r="A334" s="113" t="str">
        <f>Start!D$7</f>
        <v>Anyland</v>
      </c>
      <c r="B334" s="114" t="str">
        <f>VLOOKUP(A334,list!B:C,2,FALSE)</f>
        <v>ANY</v>
      </c>
      <c r="C334" s="104" t="str">
        <f>IF(Start!$C$31="","",Start!$C$31)</f>
        <v/>
      </c>
      <c r="D334" s="298">
        <f t="shared" si="96"/>
        <v>44835</v>
      </c>
      <c r="E334" s="105" t="str">
        <f>IFERROR(VLOOKUP(C334,Start!C$15:D$31,2,FALSE),"No")</f>
        <v>No</v>
      </c>
      <c r="F334" s="105">
        <f t="shared" si="97"/>
        <v>0</v>
      </c>
      <c r="G334" s="106"/>
      <c r="H334" s="106"/>
      <c r="I334" s="106"/>
      <c r="J334" s="105">
        <f t="shared" si="107"/>
        <v>0</v>
      </c>
      <c r="K334" s="106"/>
      <c r="L334" s="177" t="str">
        <f t="shared" si="108"/>
        <v/>
      </c>
      <c r="M334" s="105">
        <f t="shared" si="109"/>
        <v>0</v>
      </c>
      <c r="N334" s="110"/>
      <c r="O334" s="124"/>
      <c r="P334" s="110"/>
      <c r="Q334" s="124"/>
      <c r="R334" s="111">
        <f>SUMIFS('Shipments data'!L:L,'Shipments data'!F:F,'Supply planning data'!C334,'Shipments data'!A:A,'Supply planning data'!A334,'Shipments data'!Y:Y,'Supply planning data'!D334,'Shipments data'!O:O,"received", 'Shipments data'!N:N, "Public")</f>
        <v>0</v>
      </c>
      <c r="S334" s="111">
        <f>SUMIFS('Shipments data'!L:L,'Shipments data'!F:F,'Supply planning data'!C334,'Shipments data'!A:A,'Supply planning data'!A334,'Shipments data'!Y:Y,'Supply planning data'!D334,'Shipments data'!O:O,"ordered", 'Shipments data'!N:N, "Public")</f>
        <v>0</v>
      </c>
      <c r="T334" s="111">
        <f>IF(SUMIFS('Shipments data'!L:L,'Shipments data'!F:F,'Supply planning data'!C334,'Shipments data'!A:A,'Supply planning data'!A334,'Shipments data'!O:O,"received",'Shipments data'!Q:Q,"&lt;"&amp;'Supply planning data'!D349,'Shipments data'!AC:AC,"&lt;"&amp;'Supply planning data'!D349)-SUMIFS(M:M,D:D,"&lt;="&amp;D334,C:C,C334)+SUMIFS(N:N,D:D,"&lt;="&amp;D334,C:C,C334)+SUMIFS(P:P,D:D,"&lt;="&amp;D334,C:C,C334)&lt;0,0,SUMIFS('Shipments data'!L:L,'Shipments data'!F:F,'Supply planning data'!C334,'Shipments data'!A:A,'Supply planning data'!A334,'Shipments data'!O:O,"received",'Shipments data'!Q:Q,"&lt;"&amp;'Supply planning data'!D349,'Shipments data'!AC:AC,"&lt;"&amp;'Supply planning data'!D349)-SUMIFS(M:M,D:D,"&lt;="&amp;D334,C:C,C334)+SUMIFS(N:N,D:D,"&lt;="&amp;D334,C:C,C334)+SUMIFS(P:P,D:D,"&lt;="&amp;D334,C:C,C334))</f>
        <v>0</v>
      </c>
      <c r="U334" s="112">
        <f t="shared" si="98"/>
        <v>0</v>
      </c>
      <c r="V334" s="111">
        <f t="shared" si="106"/>
        <v>0</v>
      </c>
      <c r="W334" s="204" t="str">
        <f t="shared" si="104"/>
        <v/>
      </c>
      <c r="X334" s="111">
        <f t="shared" si="99"/>
        <v>0</v>
      </c>
      <c r="Y334" s="110"/>
      <c r="Z334" s="107"/>
      <c r="AA334" s="111">
        <f t="shared" si="110"/>
        <v>0</v>
      </c>
      <c r="AB334" s="235"/>
      <c r="AC334" s="111">
        <f>IF(SUMIFS('Shipments data'!L:L,'Shipments data'!F:F,'Supply planning data'!C334,'Shipments data'!A:A,'Supply planning data'!A334,'Shipments data'!O:O,"received",'Shipments data'!Q:Q,"&lt;"&amp;'Supply planning data'!D349,'Shipments data'!AC:AC,"&lt;"&amp;'Supply planning data'!D349)-SUMIFS(M:M,D:D,"&lt;="&amp;D334,C:C,C334)-SUMIFS(AA:AA,D:D,"&lt;="&amp;D334,C:C,C334)+SUMIFS(N:N,D:D,"&lt;="&amp;D334,C:C,C334)+SUMIFS(P:P,D:D,"&lt;="&amp;D334,C:C,C334)&lt;0,0,SUMIFS('Shipments data'!L:L,'Shipments data'!F:F,'Supply planning data'!C334,'Shipments data'!A:A,'Supply planning data'!A334,'Shipments data'!O:O,"received",'Shipments data'!Q:Q,"&lt;"&amp;'Supply planning data'!D349,'Shipments data'!AC:AC,"&lt;"&amp;'Supply planning data'!D349)-SUMIFS(M:M,D:D,"&lt;="&amp;D334,C:C,C334)-SUMIFS(AA:AA,D:D,"&lt;="&amp;D334,C:C,C334)+SUMIFS(N:N,D:D,"&lt;="&amp;D334,C:C,C334)+SUMIFS(P:P,D:D,"&lt;="&amp;D334,C:C,C334))</f>
        <v>0</v>
      </c>
      <c r="AD334" s="111">
        <f t="shared" si="100"/>
        <v>0</v>
      </c>
      <c r="AE334" s="111">
        <f t="shared" si="112"/>
        <v>0</v>
      </c>
      <c r="AF334" s="204" t="str">
        <f t="shared" si="103"/>
        <v/>
      </c>
      <c r="AG334" s="111">
        <f t="shared" si="101"/>
        <v>0</v>
      </c>
      <c r="AH334" s="110"/>
      <c r="AI334" s="313"/>
      <c r="AJ334" s="111">
        <f t="shared" si="111"/>
        <v>0</v>
      </c>
      <c r="AK334" s="235"/>
      <c r="AL334" s="111">
        <f>IF(SUMIFS('Shipments data'!L:L,'Shipments data'!F:F,'Supply planning data'!C334,'Shipments data'!A:A,'Supply planning data'!A334,'Shipments data'!O:O,"received",'Shipments data'!Q:Q,"&lt;"&amp;'Supply planning data'!D349,'Shipments data'!AC:AC,"&lt;"&amp;'Supply planning data'!D349)-SUMIFS(M:M,D:D,"&lt;="&amp;D334,C:C,C334)-SUMIFS(AJ:AJ,D:D,"&lt;="&amp;D334,C:C,C334)+SUMIFS(N:N,D:D,"&lt;="&amp;D334,C:C,C334)+SUMIFS(P:P,D:D,"&lt;="&amp;D334,C:C,C334)&lt;0,0,SUMIFS('Shipments data'!L:L,'Shipments data'!F:F,'Supply planning data'!C334,'Shipments data'!A:A,'Supply planning data'!A334,'Shipments data'!O:O,"received",'Shipments data'!Q:Q,"&lt;"&amp;'Supply planning data'!D349,'Shipments data'!AC:AC,"&lt;"&amp;'Supply planning data'!D349)-SUMIFS(M:M,D:D,"&lt;="&amp;D334,C:C,C334)-SUMIFS(AJ:AJ,D:D,"&lt;="&amp;D334,C:C,C334)+SUMIFS(N:N,D:D,"&lt;="&amp;D334,C:C,C334)+SUMIFS(P:P,D:D,"&lt;="&amp;D334,C:C,C334))</f>
        <v>0</v>
      </c>
      <c r="AM334" s="111">
        <f t="shared" si="102"/>
        <v>0</v>
      </c>
      <c r="AN334" s="111">
        <f t="shared" si="113"/>
        <v>0</v>
      </c>
      <c r="AO334" s="204" t="str">
        <f t="shared" si="105"/>
        <v/>
      </c>
    </row>
    <row r="335" spans="1:41" x14ac:dyDescent="0.25">
      <c r="A335" s="89" t="str">
        <f>Start!D$7</f>
        <v>Anyland</v>
      </c>
      <c r="B335" s="90" t="str">
        <f>VLOOKUP(A335,list!B:C,2,FALSE)</f>
        <v>ANY</v>
      </c>
      <c r="C335" s="90" t="str">
        <f>IF(Start!$C$17="","",Start!$C$17)</f>
        <v>AstraZeneca</v>
      </c>
      <c r="D335" s="296">
        <f t="shared" si="96"/>
        <v>44866</v>
      </c>
      <c r="E335" s="92" t="str">
        <f>IFERROR(VLOOKUP(C335,Start!C$15:D$31,2,FALSE),"No")</f>
        <v>Yes</v>
      </c>
      <c r="F335" s="92">
        <f t="shared" si="97"/>
        <v>0</v>
      </c>
      <c r="G335" s="91"/>
      <c r="H335" s="91"/>
      <c r="I335" s="91"/>
      <c r="J335" s="92">
        <f t="shared" si="107"/>
        <v>0</v>
      </c>
      <c r="K335" s="91"/>
      <c r="L335" s="174" t="str">
        <f t="shared" si="108"/>
        <v/>
      </c>
      <c r="M335" s="92">
        <f t="shared" si="109"/>
        <v>0</v>
      </c>
      <c r="N335" s="91"/>
      <c r="O335" s="121"/>
      <c r="P335" s="91"/>
      <c r="Q335" s="121"/>
      <c r="R335" s="92">
        <f>SUMIFS('Shipments data'!L:L,'Shipments data'!F:F,'Supply planning data'!C335,'Shipments data'!A:A,'Supply planning data'!A335,'Shipments data'!Y:Y,'Supply planning data'!D335,'Shipments data'!O:O,"received", 'Shipments data'!N:N, "Public")</f>
        <v>0</v>
      </c>
      <c r="S335" s="92">
        <f>SUMIFS('Shipments data'!L:L,'Shipments data'!F:F,'Supply planning data'!C335,'Shipments data'!A:A,'Supply planning data'!A335,'Shipments data'!Y:Y,'Supply planning data'!D335,'Shipments data'!O:O,"ordered", 'Shipments data'!N:N, "Public")</f>
        <v>0</v>
      </c>
      <c r="T335" s="92">
        <f>IF(SUMIFS('Shipments data'!L:L,'Shipments data'!F:F,'Supply planning data'!C335,'Shipments data'!A:A,'Supply planning data'!A335,'Shipments data'!O:O,"received",'Shipments data'!Q:Q,"&lt;"&amp;'Supply planning data'!D350,'Shipments data'!AC:AC,"&lt;"&amp;'Supply planning data'!D350)-SUMIFS(M:M,D:D,"&lt;="&amp;D335,C:C,C335)+SUMIFS(N:N,D:D,"&lt;="&amp;D335,C:C,C335)+SUMIFS(P:P,D:D,"&lt;="&amp;D335,C:C,C335)&lt;0,0,SUMIFS('Shipments data'!L:L,'Shipments data'!F:F,'Supply planning data'!C335,'Shipments data'!A:A,'Supply planning data'!A335,'Shipments data'!O:O,"received",'Shipments data'!Q:Q,"&lt;"&amp;'Supply planning data'!D350,'Shipments data'!AC:AC,"&lt;"&amp;'Supply planning data'!D350)-SUMIFS(M:M,D:D,"&lt;="&amp;D335,C:C,C335)+SUMIFS(N:N,D:D,"&lt;="&amp;D335,C:C,C335)+SUMIFS(P:P,D:D,"&lt;="&amp;D335,C:C,C335))</f>
        <v>0</v>
      </c>
      <c r="U335" s="94">
        <f t="shared" si="98"/>
        <v>0</v>
      </c>
      <c r="V335" s="92">
        <f t="shared" si="106"/>
        <v>0</v>
      </c>
      <c r="W335" s="205" t="str">
        <f t="shared" si="104"/>
        <v/>
      </c>
      <c r="X335" s="92">
        <f t="shared" si="99"/>
        <v>234701</v>
      </c>
      <c r="Y335" s="91">
        <v>80000</v>
      </c>
      <c r="Z335" s="93"/>
      <c r="AA335" s="92">
        <f t="shared" si="110"/>
        <v>80000</v>
      </c>
      <c r="AB335" s="232"/>
      <c r="AC335" s="92">
        <f>IF(SUMIFS('Shipments data'!L:L,'Shipments data'!F:F,'Supply planning data'!C335,'Shipments data'!A:A,'Supply planning data'!A335,'Shipments data'!O:O,"received",'Shipments data'!Q:Q,"&lt;"&amp;'Supply planning data'!D350,'Shipments data'!AC:AC,"&lt;"&amp;'Supply planning data'!D350)-SUMIFS(M:M,D:D,"&lt;="&amp;D335,C:C,C335)-SUMIFS(AA:AA,D:D,"&lt;="&amp;D335,C:C,C335)+SUMIFS(N:N,D:D,"&lt;="&amp;D335,C:C,C335)+SUMIFS(P:P,D:D,"&lt;="&amp;D335,C:C,C335)&lt;0,0,SUMIFS('Shipments data'!L:L,'Shipments data'!F:F,'Supply planning data'!C335,'Shipments data'!A:A,'Supply planning data'!A335,'Shipments data'!O:O,"received",'Shipments data'!Q:Q,"&lt;"&amp;'Supply planning data'!D350,'Shipments data'!AC:AC,"&lt;"&amp;'Supply planning data'!D350)-SUMIFS(M:M,D:D,"&lt;="&amp;D335,C:C,C335)-SUMIFS(AA:AA,D:D,"&lt;="&amp;D335,C:C,C335)+SUMIFS(N:N,D:D,"&lt;="&amp;D335,C:C,C335)+SUMIFS(P:P,D:D,"&lt;="&amp;D335,C:C,C335))</f>
        <v>0</v>
      </c>
      <c r="AD335" s="92">
        <f t="shared" si="100"/>
        <v>0</v>
      </c>
      <c r="AE335" s="92">
        <f t="shared" si="112"/>
        <v>154701</v>
      </c>
      <c r="AF335" s="205">
        <f t="shared" si="103"/>
        <v>5.8012874999999999</v>
      </c>
      <c r="AG335" s="92">
        <f t="shared" si="101"/>
        <v>0</v>
      </c>
      <c r="AH335" s="91"/>
      <c r="AI335" s="310"/>
      <c r="AJ335" s="92">
        <f t="shared" si="111"/>
        <v>0</v>
      </c>
      <c r="AK335" s="232"/>
      <c r="AL335" s="92">
        <f>IF(SUMIFS('Shipments data'!L:L,'Shipments data'!F:F,'Supply planning data'!C335,'Shipments data'!A:A,'Supply planning data'!A335,'Shipments data'!O:O,"received",'Shipments data'!Q:Q,"&lt;"&amp;'Supply planning data'!D350,'Shipments data'!AC:AC,"&lt;"&amp;'Supply planning data'!D350)-SUMIFS(M:M,D:D,"&lt;="&amp;D335,C:C,C335)-SUMIFS(AJ:AJ,D:D,"&lt;="&amp;D335,C:C,C335)+SUMIFS(N:N,D:D,"&lt;="&amp;D335,C:C,C335)+SUMIFS(P:P,D:D,"&lt;="&amp;D335,C:C,C335)&lt;0,0,SUMIFS('Shipments data'!L:L,'Shipments data'!F:F,'Supply planning data'!C335,'Shipments data'!A:A,'Supply planning data'!A335,'Shipments data'!O:O,"received",'Shipments data'!Q:Q,"&lt;"&amp;'Supply planning data'!D350,'Shipments data'!AC:AC,"&lt;"&amp;'Supply planning data'!D350)-SUMIFS(M:M,D:D,"&lt;="&amp;D335,C:C,C335)-SUMIFS(AJ:AJ,D:D,"&lt;="&amp;D335,C:C,C335)+SUMIFS(N:N,D:D,"&lt;="&amp;D335,C:C,C335)+SUMIFS(P:P,D:D,"&lt;="&amp;D335,C:C,C335))</f>
        <v>0</v>
      </c>
      <c r="AM335" s="92">
        <f t="shared" si="102"/>
        <v>0</v>
      </c>
      <c r="AN335" s="92">
        <f t="shared" si="113"/>
        <v>0</v>
      </c>
      <c r="AO335" s="205" t="str">
        <f t="shared" si="105"/>
        <v/>
      </c>
    </row>
    <row r="336" spans="1:41" x14ac:dyDescent="0.25">
      <c r="A336" s="95" t="str">
        <f>Start!D$7</f>
        <v>Anyland</v>
      </c>
      <c r="B336" s="96" t="str">
        <f>VLOOKUP(A336,list!B:C,2,FALSE)</f>
        <v>ANY</v>
      </c>
      <c r="C336" s="90" t="str">
        <f>IF(Start!$C$18="","",Start!$C$18)</f>
        <v>Jansen</v>
      </c>
      <c r="D336" s="296">
        <f t="shared" si="96"/>
        <v>44866</v>
      </c>
      <c r="E336" s="92" t="str">
        <f>IFERROR(VLOOKUP(C336,Start!C$15:D$31,2,FALSE),"No")</f>
        <v>Yes</v>
      </c>
      <c r="F336" s="92">
        <f t="shared" si="97"/>
        <v>2058747</v>
      </c>
      <c r="G336" s="91"/>
      <c r="H336" s="97"/>
      <c r="I336" s="97"/>
      <c r="J336" s="98">
        <f t="shared" si="107"/>
        <v>0</v>
      </c>
      <c r="K336" s="97"/>
      <c r="L336" s="175" t="str">
        <f t="shared" si="108"/>
        <v/>
      </c>
      <c r="M336" s="98">
        <f t="shared" si="109"/>
        <v>0</v>
      </c>
      <c r="N336" s="97"/>
      <c r="O336" s="122"/>
      <c r="P336" s="97"/>
      <c r="Q336" s="122"/>
      <c r="R336" s="98">
        <f>SUMIFS('Shipments data'!L:L,'Shipments data'!F:F,'Supply planning data'!C336,'Shipments data'!A:A,'Supply planning data'!A336,'Shipments data'!Y:Y,'Supply planning data'!D336,'Shipments data'!O:O,"received", 'Shipments data'!N:N, "Public")</f>
        <v>200000</v>
      </c>
      <c r="S336" s="98">
        <f>SUMIFS('Shipments data'!L:L,'Shipments data'!F:F,'Supply planning data'!C336,'Shipments data'!A:A,'Supply planning data'!A336,'Shipments data'!Y:Y,'Supply planning data'!D336,'Shipments data'!O:O,"ordered", 'Shipments data'!N:N, "Public")</f>
        <v>0</v>
      </c>
      <c r="T336" s="98">
        <f>IF(SUMIFS('Shipments data'!L:L,'Shipments data'!F:F,'Supply planning data'!C336,'Shipments data'!A:A,'Supply planning data'!A336,'Shipments data'!O:O,"received",'Shipments data'!Q:Q,"&lt;"&amp;'Supply planning data'!D351,'Shipments data'!AC:AC,"&lt;"&amp;'Supply planning data'!D351)-SUMIFS(M:M,D:D,"&lt;="&amp;D336,C:C,C336)+SUMIFS(N:N,D:D,"&lt;="&amp;D336,C:C,C336)+SUMIFS(P:P,D:D,"&lt;="&amp;D336,C:C,C336)&lt;0,0,SUMIFS('Shipments data'!L:L,'Shipments data'!F:F,'Supply planning data'!C336,'Shipments data'!A:A,'Supply planning data'!A336,'Shipments data'!O:O,"received",'Shipments data'!Q:Q,"&lt;"&amp;'Supply planning data'!D351,'Shipments data'!AC:AC,"&lt;"&amp;'Supply planning data'!D351)-SUMIFS(M:M,D:D,"&lt;="&amp;D336,C:C,C336)+SUMIFS(N:N,D:D,"&lt;="&amp;D336,C:C,C336)+SUMIFS(P:P,D:D,"&lt;="&amp;D336,C:C,C336))</f>
        <v>0</v>
      </c>
      <c r="U336" s="99">
        <f t="shared" si="98"/>
        <v>0</v>
      </c>
      <c r="V336" s="98">
        <f t="shared" si="106"/>
        <v>2258747</v>
      </c>
      <c r="W336" s="203" t="str">
        <f t="shared" si="104"/>
        <v/>
      </c>
      <c r="X336" s="98">
        <f t="shared" si="99"/>
        <v>1578747</v>
      </c>
      <c r="Y336" s="97">
        <v>80000</v>
      </c>
      <c r="Z336" s="93"/>
      <c r="AA336" s="98">
        <f t="shared" si="110"/>
        <v>80000</v>
      </c>
      <c r="AB336" s="233"/>
      <c r="AC336" s="98">
        <f>IF(SUMIFS('Shipments data'!L:L,'Shipments data'!F:F,'Supply planning data'!C336,'Shipments data'!A:A,'Supply planning data'!A336,'Shipments data'!O:O,"received",'Shipments data'!Q:Q,"&lt;"&amp;'Supply planning data'!D351,'Shipments data'!AC:AC,"&lt;"&amp;'Supply planning data'!D351)-SUMIFS(M:M,D:D,"&lt;="&amp;D336,C:C,C336)-SUMIFS(AA:AA,D:D,"&lt;="&amp;D336,C:C,C336)+SUMIFS(N:N,D:D,"&lt;="&amp;D336,C:C,C336)+SUMIFS(P:P,D:D,"&lt;="&amp;D336,C:C,C336)&lt;0,0,SUMIFS('Shipments data'!L:L,'Shipments data'!F:F,'Supply planning data'!C336,'Shipments data'!A:A,'Supply planning data'!A336,'Shipments data'!O:O,"received",'Shipments data'!Q:Q,"&lt;"&amp;'Supply planning data'!D351,'Shipments data'!AC:AC,"&lt;"&amp;'Supply planning data'!D351)-SUMIFS(M:M,D:D,"&lt;="&amp;D336,C:C,C336)-SUMIFS(AA:AA,D:D,"&lt;="&amp;D336,C:C,C336)+SUMIFS(N:N,D:D,"&lt;="&amp;D336,C:C,C336)+SUMIFS(P:P,D:D,"&lt;="&amp;D336,C:C,C336))</f>
        <v>0</v>
      </c>
      <c r="AD336" s="98">
        <f t="shared" si="100"/>
        <v>0</v>
      </c>
      <c r="AE336" s="98">
        <f t="shared" si="112"/>
        <v>1698747</v>
      </c>
      <c r="AF336" s="205">
        <f t="shared" si="103"/>
        <v>63.7030125</v>
      </c>
      <c r="AG336" s="98">
        <f t="shared" si="101"/>
        <v>2058747</v>
      </c>
      <c r="AH336" s="97"/>
      <c r="AI336" s="311"/>
      <c r="AJ336" s="98">
        <f t="shared" si="111"/>
        <v>0</v>
      </c>
      <c r="AK336" s="233"/>
      <c r="AL336" s="98">
        <f>IF(SUMIFS('Shipments data'!L:L,'Shipments data'!F:F,'Supply planning data'!C336,'Shipments data'!A:A,'Supply planning data'!A336,'Shipments data'!O:O,"received",'Shipments data'!Q:Q,"&lt;"&amp;'Supply planning data'!D351,'Shipments data'!AC:AC,"&lt;"&amp;'Supply planning data'!D351)-SUMIFS(M:M,D:D,"&lt;="&amp;D336,C:C,C336)-SUMIFS(AJ:AJ,D:D,"&lt;="&amp;D336,C:C,C336)+SUMIFS(N:N,D:D,"&lt;="&amp;D336,C:C,C336)+SUMIFS(P:P,D:D,"&lt;="&amp;D336,C:C,C336)&lt;0,0,SUMIFS('Shipments data'!L:L,'Shipments data'!F:F,'Supply planning data'!C336,'Shipments data'!A:A,'Supply planning data'!A336,'Shipments data'!O:O,"received",'Shipments data'!Q:Q,"&lt;"&amp;'Supply planning data'!D351,'Shipments data'!AC:AC,"&lt;"&amp;'Supply planning data'!D351)-SUMIFS(M:M,D:D,"&lt;="&amp;D336,C:C,C336)-SUMIFS(AJ:AJ,D:D,"&lt;="&amp;D336,C:C,C336)+SUMIFS(N:N,D:D,"&lt;="&amp;D336,C:C,C336)+SUMIFS(P:P,D:D,"&lt;="&amp;D336,C:C,C336))</f>
        <v>0</v>
      </c>
      <c r="AM336" s="98">
        <f t="shared" si="102"/>
        <v>0</v>
      </c>
      <c r="AN336" s="98">
        <f t="shared" si="113"/>
        <v>2258747</v>
      </c>
      <c r="AO336" s="203" t="str">
        <f t="shared" si="105"/>
        <v/>
      </c>
    </row>
    <row r="337" spans="1:41" x14ac:dyDescent="0.25">
      <c r="A337" s="95" t="str">
        <f>Start!D$7</f>
        <v>Anyland</v>
      </c>
      <c r="B337" s="96" t="str">
        <f>VLOOKUP(A337,list!B:C,2,FALSE)</f>
        <v>ANY</v>
      </c>
      <c r="C337" s="90" t="str">
        <f>IF(Start!$C$19="","",Start!$C$19)</f>
        <v>Moderna</v>
      </c>
      <c r="D337" s="296">
        <f t="shared" si="96"/>
        <v>44866</v>
      </c>
      <c r="E337" s="92" t="str">
        <f>IFERROR(VLOOKUP(C337,Start!C$15:D$31,2,FALSE),"No")</f>
        <v>No</v>
      </c>
      <c r="F337" s="92">
        <f t="shared" si="97"/>
        <v>0</v>
      </c>
      <c r="G337" s="91"/>
      <c r="H337" s="97"/>
      <c r="I337" s="97"/>
      <c r="J337" s="98">
        <f t="shared" si="107"/>
        <v>0</v>
      </c>
      <c r="K337" s="97"/>
      <c r="L337" s="175" t="str">
        <f t="shared" si="108"/>
        <v/>
      </c>
      <c r="M337" s="98">
        <f t="shared" si="109"/>
        <v>0</v>
      </c>
      <c r="N337" s="97"/>
      <c r="O337" s="122"/>
      <c r="P337" s="97"/>
      <c r="Q337" s="122"/>
      <c r="R337" s="98">
        <f>SUMIFS('Shipments data'!L:L,'Shipments data'!F:F,'Supply planning data'!C337,'Shipments data'!A:A,'Supply planning data'!A337,'Shipments data'!Y:Y,'Supply planning data'!D337,'Shipments data'!O:O,"received", 'Shipments data'!N:N, "Public")</f>
        <v>0</v>
      </c>
      <c r="S337" s="98">
        <f>SUMIFS('Shipments data'!L:L,'Shipments data'!F:F,'Supply planning data'!C337,'Shipments data'!A:A,'Supply planning data'!A337,'Shipments data'!Y:Y,'Supply planning data'!D337,'Shipments data'!O:O,"ordered", 'Shipments data'!N:N, "Public")</f>
        <v>0</v>
      </c>
      <c r="T337" s="98">
        <f>IF(SUMIFS('Shipments data'!L:L,'Shipments data'!F:F,'Supply planning data'!C337,'Shipments data'!A:A,'Supply planning data'!A337,'Shipments data'!O:O,"received",'Shipments data'!Q:Q,"&lt;"&amp;'Supply planning data'!D352,'Shipments data'!AC:AC,"&lt;"&amp;'Supply planning data'!D352)-SUMIFS(M:M,D:D,"&lt;="&amp;D337,C:C,C337)+SUMIFS(N:N,D:D,"&lt;="&amp;D337,C:C,C337)+SUMIFS(P:P,D:D,"&lt;="&amp;D337,C:C,C337)&lt;0,0,SUMIFS('Shipments data'!L:L,'Shipments data'!F:F,'Supply planning data'!C337,'Shipments data'!A:A,'Supply planning data'!A337,'Shipments data'!O:O,"received",'Shipments data'!Q:Q,"&lt;"&amp;'Supply planning data'!D352,'Shipments data'!AC:AC,"&lt;"&amp;'Supply planning data'!D352)-SUMIFS(M:M,D:D,"&lt;="&amp;D337,C:C,C337)+SUMIFS(N:N,D:D,"&lt;="&amp;D337,C:C,C337)+SUMIFS(P:P,D:D,"&lt;="&amp;D337,C:C,C337))</f>
        <v>0</v>
      </c>
      <c r="U337" s="99">
        <f t="shared" si="98"/>
        <v>0</v>
      </c>
      <c r="V337" s="98">
        <f t="shared" si="106"/>
        <v>0</v>
      </c>
      <c r="W337" s="203" t="str">
        <f t="shared" si="104"/>
        <v/>
      </c>
      <c r="X337" s="98">
        <f t="shared" si="99"/>
        <v>0</v>
      </c>
      <c r="Y337" s="97">
        <v>80000</v>
      </c>
      <c r="Z337" s="93"/>
      <c r="AA337" s="98">
        <f t="shared" si="110"/>
        <v>80000</v>
      </c>
      <c r="AB337" s="233"/>
      <c r="AC337" s="98">
        <f>IF(SUMIFS('Shipments data'!L:L,'Shipments data'!F:F,'Supply planning data'!C337,'Shipments data'!A:A,'Supply planning data'!A337,'Shipments data'!O:O,"received",'Shipments data'!Q:Q,"&lt;"&amp;'Supply planning data'!D352,'Shipments data'!AC:AC,"&lt;"&amp;'Supply planning data'!D352)-SUMIFS(M:M,D:D,"&lt;="&amp;D337,C:C,C337)-SUMIFS(AA:AA,D:D,"&lt;="&amp;D337,C:C,C337)+SUMIFS(N:N,D:D,"&lt;="&amp;D337,C:C,C337)+SUMIFS(P:P,D:D,"&lt;="&amp;D337,C:C,C337)&lt;0,0,SUMIFS('Shipments data'!L:L,'Shipments data'!F:F,'Supply planning data'!C337,'Shipments data'!A:A,'Supply planning data'!A337,'Shipments data'!O:O,"received",'Shipments data'!Q:Q,"&lt;"&amp;'Supply planning data'!D352,'Shipments data'!AC:AC,"&lt;"&amp;'Supply planning data'!D352)-SUMIFS(M:M,D:D,"&lt;="&amp;D337,C:C,C337)-SUMIFS(AA:AA,D:D,"&lt;="&amp;D337,C:C,C337)+SUMIFS(N:N,D:D,"&lt;="&amp;D337,C:C,C337)+SUMIFS(P:P,D:D,"&lt;="&amp;D337,C:C,C337))</f>
        <v>0</v>
      </c>
      <c r="AD337" s="98">
        <f t="shared" si="100"/>
        <v>0</v>
      </c>
      <c r="AE337" s="98">
        <f t="shared" si="112"/>
        <v>0</v>
      </c>
      <c r="AF337" s="205">
        <f t="shared" si="103"/>
        <v>0</v>
      </c>
      <c r="AG337" s="98">
        <f t="shared" si="101"/>
        <v>0</v>
      </c>
      <c r="AH337" s="97"/>
      <c r="AI337" s="311"/>
      <c r="AJ337" s="98">
        <f t="shared" si="111"/>
        <v>0</v>
      </c>
      <c r="AK337" s="233"/>
      <c r="AL337" s="98">
        <f>IF(SUMIFS('Shipments data'!L:L,'Shipments data'!F:F,'Supply planning data'!C337,'Shipments data'!A:A,'Supply planning data'!A337,'Shipments data'!O:O,"received",'Shipments data'!Q:Q,"&lt;"&amp;'Supply planning data'!D352,'Shipments data'!AC:AC,"&lt;"&amp;'Supply planning data'!D352)-SUMIFS(M:M,D:D,"&lt;="&amp;D337,C:C,C337)-SUMIFS(AJ:AJ,D:D,"&lt;="&amp;D337,C:C,C337)+SUMIFS(N:N,D:D,"&lt;="&amp;D337,C:C,C337)+SUMIFS(P:P,D:D,"&lt;="&amp;D337,C:C,C337)&lt;0,0,SUMIFS('Shipments data'!L:L,'Shipments data'!F:F,'Supply planning data'!C337,'Shipments data'!A:A,'Supply planning data'!A337,'Shipments data'!O:O,"received",'Shipments data'!Q:Q,"&lt;"&amp;'Supply planning data'!D352,'Shipments data'!AC:AC,"&lt;"&amp;'Supply planning data'!D352)-SUMIFS(M:M,D:D,"&lt;="&amp;D337,C:C,C337)-SUMIFS(AJ:AJ,D:D,"&lt;="&amp;D337,C:C,C337)+SUMIFS(N:N,D:D,"&lt;="&amp;D337,C:C,C337)+SUMIFS(P:P,D:D,"&lt;="&amp;D337,C:C,C337))</f>
        <v>0</v>
      </c>
      <c r="AM337" s="98">
        <f t="shared" si="102"/>
        <v>0</v>
      </c>
      <c r="AN337" s="98">
        <f t="shared" si="113"/>
        <v>0</v>
      </c>
      <c r="AO337" s="203" t="str">
        <f t="shared" si="105"/>
        <v/>
      </c>
    </row>
    <row r="338" spans="1:41" x14ac:dyDescent="0.25">
      <c r="A338" s="95" t="str">
        <f>Start!D$7</f>
        <v>Anyland</v>
      </c>
      <c r="B338" s="96" t="str">
        <f>VLOOKUP(A338,list!B:C,2,FALSE)</f>
        <v>ANY</v>
      </c>
      <c r="C338" s="90" t="str">
        <f>IF(Start!$C$20="","",Start!$C$20)</f>
        <v>Pfizer</v>
      </c>
      <c r="D338" s="296">
        <f t="shared" si="96"/>
        <v>44866</v>
      </c>
      <c r="E338" s="92" t="str">
        <f>IFERROR(VLOOKUP(C338,Start!C$15:D$31,2,FALSE),"No")</f>
        <v>Yes</v>
      </c>
      <c r="F338" s="92">
        <f t="shared" si="97"/>
        <v>3000000</v>
      </c>
      <c r="G338" s="91"/>
      <c r="H338" s="97"/>
      <c r="I338" s="97"/>
      <c r="J338" s="98">
        <f t="shared" si="107"/>
        <v>0</v>
      </c>
      <c r="K338" s="97"/>
      <c r="L338" s="175" t="str">
        <f t="shared" si="108"/>
        <v/>
      </c>
      <c r="M338" s="98">
        <f t="shared" si="109"/>
        <v>0</v>
      </c>
      <c r="N338" s="97"/>
      <c r="O338" s="122"/>
      <c r="P338" s="97"/>
      <c r="Q338" s="122"/>
      <c r="R338" s="98">
        <f>SUMIFS('Shipments data'!L:L,'Shipments data'!F:F,'Supply planning data'!C338,'Shipments data'!A:A,'Supply planning data'!A338,'Shipments data'!Y:Y,'Supply planning data'!D338,'Shipments data'!O:O,"received", 'Shipments data'!N:N, "Public")</f>
        <v>0</v>
      </c>
      <c r="S338" s="98">
        <f>SUMIFS('Shipments data'!L:L,'Shipments data'!F:F,'Supply planning data'!C338,'Shipments data'!A:A,'Supply planning data'!A338,'Shipments data'!Y:Y,'Supply planning data'!D338,'Shipments data'!O:O,"ordered", 'Shipments data'!N:N, "Public")</f>
        <v>0</v>
      </c>
      <c r="T338" s="98">
        <f>IF(SUMIFS('Shipments data'!L:L,'Shipments data'!F:F,'Supply planning data'!C338,'Shipments data'!A:A,'Supply planning data'!A338,'Shipments data'!O:O,"received",'Shipments data'!Q:Q,"&lt;"&amp;'Supply planning data'!D353,'Shipments data'!AC:AC,"&lt;"&amp;'Supply planning data'!D353)-SUMIFS(M:M,D:D,"&lt;="&amp;D338,C:C,C338)+SUMIFS(N:N,D:D,"&lt;="&amp;D338,C:C,C338)+SUMIFS(P:P,D:D,"&lt;="&amp;D338,C:C,C338)&lt;0,0,SUMIFS('Shipments data'!L:L,'Shipments data'!F:F,'Supply planning data'!C338,'Shipments data'!A:A,'Supply planning data'!A338,'Shipments data'!O:O,"received",'Shipments data'!Q:Q,"&lt;"&amp;'Supply planning data'!D353,'Shipments data'!AC:AC,"&lt;"&amp;'Supply planning data'!D353)-SUMIFS(M:M,D:D,"&lt;="&amp;D338,C:C,C338)+SUMIFS(N:N,D:D,"&lt;="&amp;D338,C:C,C338)+SUMIFS(P:P,D:D,"&lt;="&amp;D338,C:C,C338))</f>
        <v>110538</v>
      </c>
      <c r="U338" s="99">
        <f t="shared" si="98"/>
        <v>0</v>
      </c>
      <c r="V338" s="98">
        <f t="shared" si="106"/>
        <v>3000000</v>
      </c>
      <c r="W338" s="203" t="str">
        <f t="shared" si="104"/>
        <v/>
      </c>
      <c r="X338" s="98">
        <f t="shared" si="99"/>
        <v>2520000</v>
      </c>
      <c r="Y338" s="97">
        <v>80000</v>
      </c>
      <c r="Z338" s="93"/>
      <c r="AA338" s="98">
        <f t="shared" si="110"/>
        <v>80000</v>
      </c>
      <c r="AB338" s="233"/>
      <c r="AC338" s="98">
        <f>IF(SUMIFS('Shipments data'!L:L,'Shipments data'!F:F,'Supply planning data'!C338,'Shipments data'!A:A,'Supply planning data'!A338,'Shipments data'!O:O,"received",'Shipments data'!Q:Q,"&lt;"&amp;'Supply planning data'!D353,'Shipments data'!AC:AC,"&lt;"&amp;'Supply planning data'!D353)-SUMIFS(M:M,D:D,"&lt;="&amp;D338,C:C,C338)-SUMIFS(AA:AA,D:D,"&lt;="&amp;D338,C:C,C338)+SUMIFS(N:N,D:D,"&lt;="&amp;D338,C:C,C338)+SUMIFS(P:P,D:D,"&lt;="&amp;D338,C:C,C338)&lt;0,0,SUMIFS('Shipments data'!L:L,'Shipments data'!F:F,'Supply planning data'!C338,'Shipments data'!A:A,'Supply planning data'!A338,'Shipments data'!O:O,"received",'Shipments data'!Q:Q,"&lt;"&amp;'Supply planning data'!D353,'Shipments data'!AC:AC,"&lt;"&amp;'Supply planning data'!D353)-SUMIFS(M:M,D:D,"&lt;="&amp;D338,C:C,C338)-SUMIFS(AA:AA,D:D,"&lt;="&amp;D338,C:C,C338)+SUMIFS(N:N,D:D,"&lt;="&amp;D338,C:C,C338)+SUMIFS(P:P,D:D,"&lt;="&amp;D338,C:C,C338))</f>
        <v>0</v>
      </c>
      <c r="AD338" s="98">
        <f t="shared" si="100"/>
        <v>0</v>
      </c>
      <c r="AE338" s="98">
        <f t="shared" si="112"/>
        <v>2440000</v>
      </c>
      <c r="AF338" s="205">
        <f t="shared" si="103"/>
        <v>91.5</v>
      </c>
      <c r="AG338" s="98">
        <f t="shared" si="101"/>
        <v>3000000</v>
      </c>
      <c r="AH338" s="97"/>
      <c r="AI338" s="311"/>
      <c r="AJ338" s="98">
        <f t="shared" si="111"/>
        <v>0</v>
      </c>
      <c r="AK338" s="233"/>
      <c r="AL338" s="98">
        <f>IF(SUMIFS('Shipments data'!L:L,'Shipments data'!F:F,'Supply planning data'!C338,'Shipments data'!A:A,'Supply planning data'!A338,'Shipments data'!O:O,"received",'Shipments data'!Q:Q,"&lt;"&amp;'Supply planning data'!D353,'Shipments data'!AC:AC,"&lt;"&amp;'Supply planning data'!D353)-SUMIFS(M:M,D:D,"&lt;="&amp;D338,C:C,C338)-SUMIFS(AJ:AJ,D:D,"&lt;="&amp;D338,C:C,C338)+SUMIFS(N:N,D:D,"&lt;="&amp;D338,C:C,C338)+SUMIFS(P:P,D:D,"&lt;="&amp;D338,C:C,C338)&lt;0,0,SUMIFS('Shipments data'!L:L,'Shipments data'!F:F,'Supply planning data'!C338,'Shipments data'!A:A,'Supply planning data'!A338,'Shipments data'!O:O,"received",'Shipments data'!Q:Q,"&lt;"&amp;'Supply planning data'!D353,'Shipments data'!AC:AC,"&lt;"&amp;'Supply planning data'!D353)-SUMIFS(M:M,D:D,"&lt;="&amp;D338,C:C,C338)-SUMIFS(AJ:AJ,D:D,"&lt;="&amp;D338,C:C,C338)+SUMIFS(N:N,D:D,"&lt;="&amp;D338,C:C,C338)+SUMIFS(P:P,D:D,"&lt;="&amp;D338,C:C,C338))</f>
        <v>110538</v>
      </c>
      <c r="AM338" s="98">
        <f t="shared" si="102"/>
        <v>0</v>
      </c>
      <c r="AN338" s="98">
        <f t="shared" si="113"/>
        <v>3000000</v>
      </c>
      <c r="AO338" s="203" t="str">
        <f t="shared" si="105"/>
        <v/>
      </c>
    </row>
    <row r="339" spans="1:41" x14ac:dyDescent="0.25">
      <c r="A339" s="95" t="str">
        <f>Start!D$7</f>
        <v>Anyland</v>
      </c>
      <c r="B339" s="96" t="str">
        <f>VLOOKUP(A339,list!B:C,2,FALSE)</f>
        <v>ANY</v>
      </c>
      <c r="C339" s="90" t="str">
        <f>IF(Start!$C$21="","",Start!$C$21)</f>
        <v>Sinovac</v>
      </c>
      <c r="D339" s="296">
        <f t="shared" si="96"/>
        <v>44866</v>
      </c>
      <c r="E339" s="92" t="str">
        <f>IFERROR(VLOOKUP(C339,Start!C$15:D$31,2,FALSE),"No")</f>
        <v>No</v>
      </c>
      <c r="F339" s="92">
        <f t="shared" si="97"/>
        <v>0</v>
      </c>
      <c r="G339" s="91"/>
      <c r="H339" s="97"/>
      <c r="I339" s="97"/>
      <c r="J339" s="98">
        <f t="shared" si="107"/>
        <v>0</v>
      </c>
      <c r="K339" s="97"/>
      <c r="L339" s="175" t="str">
        <f t="shared" si="108"/>
        <v/>
      </c>
      <c r="M339" s="98">
        <f t="shared" si="109"/>
        <v>0</v>
      </c>
      <c r="N339" s="97"/>
      <c r="O339" s="122"/>
      <c r="P339" s="97"/>
      <c r="Q339" s="122"/>
      <c r="R339" s="98">
        <f>SUMIFS('Shipments data'!L:L,'Shipments data'!F:F,'Supply planning data'!C339,'Shipments data'!A:A,'Supply planning data'!A339,'Shipments data'!Y:Y,'Supply planning data'!D339,'Shipments data'!O:O,"received", 'Shipments data'!N:N, "Public")</f>
        <v>0</v>
      </c>
      <c r="S339" s="98">
        <f>SUMIFS('Shipments data'!L:L,'Shipments data'!F:F,'Supply planning data'!C339,'Shipments data'!A:A,'Supply planning data'!A339,'Shipments data'!Y:Y,'Supply planning data'!D339,'Shipments data'!O:O,"ordered", 'Shipments data'!N:N, "Public")</f>
        <v>0</v>
      </c>
      <c r="T339" s="98">
        <f>IF(SUMIFS('Shipments data'!L:L,'Shipments data'!F:F,'Supply planning data'!C339,'Shipments data'!A:A,'Supply planning data'!A339,'Shipments data'!O:O,"received",'Shipments data'!Q:Q,"&lt;"&amp;'Supply planning data'!D354,'Shipments data'!AC:AC,"&lt;"&amp;'Supply planning data'!D354)-SUMIFS(M:M,D:D,"&lt;="&amp;D339,C:C,C339)+SUMIFS(N:N,D:D,"&lt;="&amp;D339,C:C,C339)+SUMIFS(P:P,D:D,"&lt;="&amp;D339,C:C,C339)&lt;0,0,SUMIFS('Shipments data'!L:L,'Shipments data'!F:F,'Supply planning data'!C339,'Shipments data'!A:A,'Supply planning data'!A339,'Shipments data'!O:O,"received",'Shipments data'!Q:Q,"&lt;"&amp;'Supply planning data'!D354,'Shipments data'!AC:AC,"&lt;"&amp;'Supply planning data'!D354)-SUMIFS(M:M,D:D,"&lt;="&amp;D339,C:C,C339)+SUMIFS(N:N,D:D,"&lt;="&amp;D339,C:C,C339)+SUMIFS(P:P,D:D,"&lt;="&amp;D339,C:C,C339))</f>
        <v>0</v>
      </c>
      <c r="U339" s="99">
        <f t="shared" si="98"/>
        <v>0</v>
      </c>
      <c r="V339" s="98">
        <f t="shared" si="106"/>
        <v>0</v>
      </c>
      <c r="W339" s="203" t="str">
        <f t="shared" si="104"/>
        <v/>
      </c>
      <c r="X339" s="98">
        <f t="shared" si="99"/>
        <v>0</v>
      </c>
      <c r="Y339" s="97">
        <v>80000</v>
      </c>
      <c r="Z339" s="93"/>
      <c r="AA339" s="98">
        <f t="shared" si="110"/>
        <v>80000</v>
      </c>
      <c r="AB339" s="233"/>
      <c r="AC339" s="98">
        <f>IF(SUMIFS('Shipments data'!L:L,'Shipments data'!F:F,'Supply planning data'!C339,'Shipments data'!A:A,'Supply planning data'!A339,'Shipments data'!O:O,"received",'Shipments data'!Q:Q,"&lt;"&amp;'Supply planning data'!D354,'Shipments data'!AC:AC,"&lt;"&amp;'Supply planning data'!D354)-SUMIFS(M:M,D:D,"&lt;="&amp;D339,C:C,C339)-SUMIFS(AA:AA,D:D,"&lt;="&amp;D339,C:C,C339)+SUMIFS(N:N,D:D,"&lt;="&amp;D339,C:C,C339)+SUMIFS(P:P,D:D,"&lt;="&amp;D339,C:C,C339)&lt;0,0,SUMIFS('Shipments data'!L:L,'Shipments data'!F:F,'Supply planning data'!C339,'Shipments data'!A:A,'Supply planning data'!A339,'Shipments data'!O:O,"received",'Shipments data'!Q:Q,"&lt;"&amp;'Supply planning data'!D354,'Shipments data'!AC:AC,"&lt;"&amp;'Supply planning data'!D354)-SUMIFS(M:M,D:D,"&lt;="&amp;D339,C:C,C339)-SUMIFS(AA:AA,D:D,"&lt;="&amp;D339,C:C,C339)+SUMIFS(N:N,D:D,"&lt;="&amp;D339,C:C,C339)+SUMIFS(P:P,D:D,"&lt;="&amp;D339,C:C,C339))</f>
        <v>0</v>
      </c>
      <c r="AD339" s="98">
        <f t="shared" si="100"/>
        <v>0</v>
      </c>
      <c r="AE339" s="98">
        <f t="shared" si="112"/>
        <v>0</v>
      </c>
      <c r="AF339" s="205">
        <f t="shared" si="103"/>
        <v>0</v>
      </c>
      <c r="AG339" s="98">
        <f t="shared" si="101"/>
        <v>0</v>
      </c>
      <c r="AH339" s="97"/>
      <c r="AI339" s="311"/>
      <c r="AJ339" s="98">
        <f t="shared" si="111"/>
        <v>0</v>
      </c>
      <c r="AK339" s="233"/>
      <c r="AL339" s="98">
        <f>IF(SUMIFS('Shipments data'!L:L,'Shipments data'!F:F,'Supply planning data'!C339,'Shipments data'!A:A,'Supply planning data'!A339,'Shipments data'!O:O,"received",'Shipments data'!Q:Q,"&lt;"&amp;'Supply planning data'!D354,'Shipments data'!AC:AC,"&lt;"&amp;'Supply planning data'!D354)-SUMIFS(M:M,D:D,"&lt;="&amp;D339,C:C,C339)-SUMIFS(AJ:AJ,D:D,"&lt;="&amp;D339,C:C,C339)+SUMIFS(N:N,D:D,"&lt;="&amp;D339,C:C,C339)+SUMIFS(P:P,D:D,"&lt;="&amp;D339,C:C,C339)&lt;0,0,SUMIFS('Shipments data'!L:L,'Shipments data'!F:F,'Supply planning data'!C339,'Shipments data'!A:A,'Supply planning data'!A339,'Shipments data'!O:O,"received",'Shipments data'!Q:Q,"&lt;"&amp;'Supply planning data'!D354,'Shipments data'!AC:AC,"&lt;"&amp;'Supply planning data'!D354)-SUMIFS(M:M,D:D,"&lt;="&amp;D339,C:C,C339)-SUMIFS(AJ:AJ,D:D,"&lt;="&amp;D339,C:C,C339)+SUMIFS(N:N,D:D,"&lt;="&amp;D339,C:C,C339)+SUMIFS(P:P,D:D,"&lt;="&amp;D339,C:C,C339))</f>
        <v>0</v>
      </c>
      <c r="AM339" s="98">
        <f t="shared" si="102"/>
        <v>0</v>
      </c>
      <c r="AN339" s="98">
        <f t="shared" si="113"/>
        <v>0</v>
      </c>
      <c r="AO339" s="203" t="str">
        <f t="shared" si="105"/>
        <v/>
      </c>
    </row>
    <row r="340" spans="1:41" hidden="1" x14ac:dyDescent="0.25">
      <c r="A340" s="95" t="str">
        <f>Start!D$7</f>
        <v>Anyland</v>
      </c>
      <c r="B340" s="96" t="str">
        <f>VLOOKUP(A340,list!B:C,2,FALSE)</f>
        <v>ANY</v>
      </c>
      <c r="C340" s="90" t="str">
        <f>IF(Start!$C$22="","",Start!$C$22)</f>
        <v/>
      </c>
      <c r="D340" s="296">
        <f t="shared" ref="D340:D403" si="114">DATE(YEAR(D325),MONTH(D325)+1,1)</f>
        <v>44866</v>
      </c>
      <c r="E340" s="92" t="str">
        <f>IFERROR(VLOOKUP(C340,Start!C$15:D$31,2,FALSE),"No")</f>
        <v>No</v>
      </c>
      <c r="F340" s="92">
        <f t="shared" ref="F340:F403" si="115">V325</f>
        <v>0</v>
      </c>
      <c r="G340" s="91"/>
      <c r="H340" s="97"/>
      <c r="I340" s="97"/>
      <c r="J340" s="98">
        <f t="shared" si="107"/>
        <v>0</v>
      </c>
      <c r="K340" s="97"/>
      <c r="L340" s="175" t="str">
        <f t="shared" si="108"/>
        <v/>
      </c>
      <c r="M340" s="98">
        <f t="shared" si="109"/>
        <v>0</v>
      </c>
      <c r="N340" s="97"/>
      <c r="O340" s="122"/>
      <c r="P340" s="97"/>
      <c r="Q340" s="122"/>
      <c r="R340" s="98">
        <f>SUMIFS('Shipments data'!L:L,'Shipments data'!F:F,'Supply planning data'!C340,'Shipments data'!A:A,'Supply planning data'!A340,'Shipments data'!Y:Y,'Supply planning data'!D340,'Shipments data'!O:O,"received", 'Shipments data'!N:N, "Public")</f>
        <v>0</v>
      </c>
      <c r="S340" s="98">
        <f>SUMIFS('Shipments data'!L:L,'Shipments data'!F:F,'Supply planning data'!C340,'Shipments data'!A:A,'Supply planning data'!A340,'Shipments data'!Y:Y,'Supply planning data'!D340,'Shipments data'!O:O,"ordered", 'Shipments data'!N:N, "Public")</f>
        <v>0</v>
      </c>
      <c r="T340" s="98">
        <f>IF(SUMIFS('Shipments data'!L:L,'Shipments data'!F:F,'Supply planning data'!C340,'Shipments data'!A:A,'Supply planning data'!A340,'Shipments data'!O:O,"received",'Shipments data'!Q:Q,"&lt;"&amp;'Supply planning data'!D355,'Shipments data'!AC:AC,"&lt;"&amp;'Supply planning data'!D355)-SUMIFS(M:M,D:D,"&lt;="&amp;D340,C:C,C340)+SUMIFS(N:N,D:D,"&lt;="&amp;D340,C:C,C340)+SUMIFS(P:P,D:D,"&lt;="&amp;D340,C:C,C340)&lt;0,0,SUMIFS('Shipments data'!L:L,'Shipments data'!F:F,'Supply planning data'!C340,'Shipments data'!A:A,'Supply planning data'!A340,'Shipments data'!O:O,"received",'Shipments data'!Q:Q,"&lt;"&amp;'Supply planning data'!D355,'Shipments data'!AC:AC,"&lt;"&amp;'Supply planning data'!D355)-SUMIFS(M:M,D:D,"&lt;="&amp;D340,C:C,C340)+SUMIFS(N:N,D:D,"&lt;="&amp;D340,C:C,C340)+SUMIFS(P:P,D:D,"&lt;="&amp;D340,C:C,C340))</f>
        <v>0</v>
      </c>
      <c r="U340" s="99">
        <f t="shared" ref="U340:U403" si="116">IF(T340-T325&lt;0,0,T340-T325)</f>
        <v>0</v>
      </c>
      <c r="V340" s="98">
        <f t="shared" si="106"/>
        <v>0</v>
      </c>
      <c r="W340" s="203" t="str">
        <f t="shared" si="104"/>
        <v/>
      </c>
      <c r="X340" s="98">
        <f t="shared" ref="X340:X403" si="117">AE325</f>
        <v>0</v>
      </c>
      <c r="Y340" s="97"/>
      <c r="Z340" s="93"/>
      <c r="AA340" s="98">
        <f t="shared" si="110"/>
        <v>0</v>
      </c>
      <c r="AB340" s="233"/>
      <c r="AC340" s="98">
        <f>IF(SUMIFS('Shipments data'!L:L,'Shipments data'!F:F,'Supply planning data'!C340,'Shipments data'!A:A,'Supply planning data'!A340,'Shipments data'!O:O,"received",'Shipments data'!Q:Q,"&lt;"&amp;'Supply planning data'!D355,'Shipments data'!AC:AC,"&lt;"&amp;'Supply planning data'!D355)-SUMIFS(M:M,D:D,"&lt;="&amp;D340,C:C,C340)-SUMIFS(AA:AA,D:D,"&lt;="&amp;D340,C:C,C340)+SUMIFS(N:N,D:D,"&lt;="&amp;D340,C:C,C340)+SUMIFS(P:P,D:D,"&lt;="&amp;D340,C:C,C340)&lt;0,0,SUMIFS('Shipments data'!L:L,'Shipments data'!F:F,'Supply planning data'!C340,'Shipments data'!A:A,'Supply planning data'!A340,'Shipments data'!O:O,"received",'Shipments data'!Q:Q,"&lt;"&amp;'Supply planning data'!D355,'Shipments data'!AC:AC,"&lt;"&amp;'Supply planning data'!D355)-SUMIFS(M:M,D:D,"&lt;="&amp;D340,C:C,C340)-SUMIFS(AA:AA,D:D,"&lt;="&amp;D340,C:C,C340)+SUMIFS(N:N,D:D,"&lt;="&amp;D340,C:C,C340)+SUMIFS(P:P,D:D,"&lt;="&amp;D340,C:C,C340))</f>
        <v>0</v>
      </c>
      <c r="AD340" s="98">
        <f t="shared" ref="AD340:AD403" si="118">IF(AC340-AC325&lt;0,0,AC340-AC325)</f>
        <v>0</v>
      </c>
      <c r="AE340" s="98">
        <f t="shared" si="112"/>
        <v>0</v>
      </c>
      <c r="AF340" s="205" t="str">
        <f t="shared" si="103"/>
        <v/>
      </c>
      <c r="AG340" s="98">
        <f t="shared" ref="AG340:AG403" si="119">AN325</f>
        <v>0</v>
      </c>
      <c r="AH340" s="97"/>
      <c r="AI340" s="311"/>
      <c r="AJ340" s="98">
        <f t="shared" si="111"/>
        <v>0</v>
      </c>
      <c r="AK340" s="233"/>
      <c r="AL340" s="98">
        <f>IF(SUMIFS('Shipments data'!L:L,'Shipments data'!F:F,'Supply planning data'!C340,'Shipments data'!A:A,'Supply planning data'!A340,'Shipments data'!O:O,"received",'Shipments data'!Q:Q,"&lt;"&amp;'Supply planning data'!D355,'Shipments data'!AC:AC,"&lt;"&amp;'Supply planning data'!D355)-SUMIFS(M:M,D:D,"&lt;="&amp;D340,C:C,C340)-SUMIFS(AJ:AJ,D:D,"&lt;="&amp;D340,C:C,C340)+SUMIFS(N:N,D:D,"&lt;="&amp;D340,C:C,C340)+SUMIFS(P:P,D:D,"&lt;="&amp;D340,C:C,C340)&lt;0,0,SUMIFS('Shipments data'!L:L,'Shipments data'!F:F,'Supply planning data'!C340,'Shipments data'!A:A,'Supply planning data'!A340,'Shipments data'!O:O,"received",'Shipments data'!Q:Q,"&lt;"&amp;'Supply planning data'!D355,'Shipments data'!AC:AC,"&lt;"&amp;'Supply planning data'!D355)-SUMIFS(M:M,D:D,"&lt;="&amp;D340,C:C,C340)-SUMIFS(AJ:AJ,D:D,"&lt;="&amp;D340,C:C,C340)+SUMIFS(N:N,D:D,"&lt;="&amp;D340,C:C,C340)+SUMIFS(P:P,D:D,"&lt;="&amp;D340,C:C,C340))</f>
        <v>0</v>
      </c>
      <c r="AM340" s="98">
        <f t="shared" ref="AM340:AM403" si="120">IF(AL340-AL325&lt;0,0,AL340-AL325)</f>
        <v>0</v>
      </c>
      <c r="AN340" s="98">
        <f t="shared" si="113"/>
        <v>0</v>
      </c>
      <c r="AO340" s="203" t="str">
        <f t="shared" si="105"/>
        <v/>
      </c>
    </row>
    <row r="341" spans="1:41" hidden="1" x14ac:dyDescent="0.25">
      <c r="A341" s="95" t="str">
        <f>Start!D$7</f>
        <v>Anyland</v>
      </c>
      <c r="B341" s="96" t="str">
        <f>VLOOKUP(A341,list!B:C,2,FALSE)</f>
        <v>ANY</v>
      </c>
      <c r="C341" s="90" t="str">
        <f>IF(Start!$C$23="","",Start!$C$23)</f>
        <v/>
      </c>
      <c r="D341" s="296">
        <f t="shared" si="114"/>
        <v>44866</v>
      </c>
      <c r="E341" s="92" t="str">
        <f>IFERROR(VLOOKUP(C341,Start!C$15:D$31,2,FALSE),"No")</f>
        <v>No</v>
      </c>
      <c r="F341" s="92">
        <f t="shared" si="115"/>
        <v>0</v>
      </c>
      <c r="G341" s="91"/>
      <c r="H341" s="97"/>
      <c r="I341" s="97"/>
      <c r="J341" s="98">
        <f t="shared" si="107"/>
        <v>0</v>
      </c>
      <c r="K341" s="97"/>
      <c r="L341" s="175" t="str">
        <f t="shared" si="108"/>
        <v/>
      </c>
      <c r="M341" s="98">
        <f t="shared" si="109"/>
        <v>0</v>
      </c>
      <c r="N341" s="97"/>
      <c r="O341" s="122"/>
      <c r="P341" s="97"/>
      <c r="Q341" s="122"/>
      <c r="R341" s="98">
        <f>SUMIFS('Shipments data'!L:L,'Shipments data'!F:F,'Supply planning data'!C341,'Shipments data'!A:A,'Supply planning data'!A341,'Shipments data'!Y:Y,'Supply planning data'!D341,'Shipments data'!O:O,"received", 'Shipments data'!N:N, "Public")</f>
        <v>0</v>
      </c>
      <c r="S341" s="98">
        <f>SUMIFS('Shipments data'!L:L,'Shipments data'!F:F,'Supply planning data'!C341,'Shipments data'!A:A,'Supply planning data'!A341,'Shipments data'!Y:Y,'Supply planning data'!D341,'Shipments data'!O:O,"ordered", 'Shipments data'!N:N, "Public")</f>
        <v>0</v>
      </c>
      <c r="T341" s="98">
        <f>IF(SUMIFS('Shipments data'!L:L,'Shipments data'!F:F,'Supply planning data'!C341,'Shipments data'!A:A,'Supply planning data'!A341,'Shipments data'!O:O,"received",'Shipments data'!Q:Q,"&lt;"&amp;'Supply planning data'!D356,'Shipments data'!AC:AC,"&lt;"&amp;'Supply planning data'!D356)-SUMIFS(M:M,D:D,"&lt;="&amp;D341,C:C,C341)+SUMIFS(N:N,D:D,"&lt;="&amp;D341,C:C,C341)+SUMIFS(P:P,D:D,"&lt;="&amp;D341,C:C,C341)&lt;0,0,SUMIFS('Shipments data'!L:L,'Shipments data'!F:F,'Supply planning data'!C341,'Shipments data'!A:A,'Supply planning data'!A341,'Shipments data'!O:O,"received",'Shipments data'!Q:Q,"&lt;"&amp;'Supply planning data'!D356,'Shipments data'!AC:AC,"&lt;"&amp;'Supply planning data'!D356)-SUMIFS(M:M,D:D,"&lt;="&amp;D341,C:C,C341)+SUMIFS(N:N,D:D,"&lt;="&amp;D341,C:C,C341)+SUMIFS(P:P,D:D,"&lt;="&amp;D341,C:C,C341))</f>
        <v>0</v>
      </c>
      <c r="U341" s="99">
        <f t="shared" si="116"/>
        <v>0</v>
      </c>
      <c r="V341" s="98">
        <f t="shared" si="106"/>
        <v>0</v>
      </c>
      <c r="W341" s="203" t="str">
        <f t="shared" si="104"/>
        <v/>
      </c>
      <c r="X341" s="98">
        <f t="shared" si="117"/>
        <v>0</v>
      </c>
      <c r="Y341" s="97"/>
      <c r="Z341" s="93"/>
      <c r="AA341" s="98">
        <f t="shared" si="110"/>
        <v>0</v>
      </c>
      <c r="AB341" s="233"/>
      <c r="AC341" s="98">
        <f>IF(SUMIFS('Shipments data'!L:L,'Shipments data'!F:F,'Supply planning data'!C341,'Shipments data'!A:A,'Supply planning data'!A341,'Shipments data'!O:O,"received",'Shipments data'!Q:Q,"&lt;"&amp;'Supply planning data'!D356,'Shipments data'!AC:AC,"&lt;"&amp;'Supply planning data'!D356)-SUMIFS(M:M,D:D,"&lt;="&amp;D341,C:C,C341)-SUMIFS(AA:AA,D:D,"&lt;="&amp;D341,C:C,C341)+SUMIFS(N:N,D:D,"&lt;="&amp;D341,C:C,C341)+SUMIFS(P:P,D:D,"&lt;="&amp;D341,C:C,C341)&lt;0,0,SUMIFS('Shipments data'!L:L,'Shipments data'!F:F,'Supply planning data'!C341,'Shipments data'!A:A,'Supply planning data'!A341,'Shipments data'!O:O,"received",'Shipments data'!Q:Q,"&lt;"&amp;'Supply planning data'!D356,'Shipments data'!AC:AC,"&lt;"&amp;'Supply planning data'!D356)-SUMIFS(M:M,D:D,"&lt;="&amp;D341,C:C,C341)-SUMIFS(AA:AA,D:D,"&lt;="&amp;D341,C:C,C341)+SUMIFS(N:N,D:D,"&lt;="&amp;D341,C:C,C341)+SUMIFS(P:P,D:D,"&lt;="&amp;D341,C:C,C341))</f>
        <v>0</v>
      </c>
      <c r="AD341" s="98">
        <f t="shared" si="118"/>
        <v>0</v>
      </c>
      <c r="AE341" s="98">
        <f t="shared" si="112"/>
        <v>0</v>
      </c>
      <c r="AF341" s="205" t="str">
        <f t="shared" si="103"/>
        <v/>
      </c>
      <c r="AG341" s="98">
        <f t="shared" si="119"/>
        <v>0</v>
      </c>
      <c r="AH341" s="97"/>
      <c r="AI341" s="311"/>
      <c r="AJ341" s="98">
        <f t="shared" si="111"/>
        <v>0</v>
      </c>
      <c r="AK341" s="233"/>
      <c r="AL341" s="98">
        <f>IF(SUMIFS('Shipments data'!L:L,'Shipments data'!F:F,'Supply planning data'!C341,'Shipments data'!A:A,'Supply planning data'!A341,'Shipments data'!O:O,"received",'Shipments data'!Q:Q,"&lt;"&amp;'Supply planning data'!D356,'Shipments data'!AC:AC,"&lt;"&amp;'Supply planning data'!D356)-SUMIFS(M:M,D:D,"&lt;="&amp;D341,C:C,C341)-SUMIFS(AJ:AJ,D:D,"&lt;="&amp;D341,C:C,C341)+SUMIFS(N:N,D:D,"&lt;="&amp;D341,C:C,C341)+SUMIFS(P:P,D:D,"&lt;="&amp;D341,C:C,C341)&lt;0,0,SUMIFS('Shipments data'!L:L,'Shipments data'!F:F,'Supply planning data'!C341,'Shipments data'!A:A,'Supply planning data'!A341,'Shipments data'!O:O,"received",'Shipments data'!Q:Q,"&lt;"&amp;'Supply planning data'!D356,'Shipments data'!AC:AC,"&lt;"&amp;'Supply planning data'!D356)-SUMIFS(M:M,D:D,"&lt;="&amp;D341,C:C,C341)-SUMIFS(AJ:AJ,D:D,"&lt;="&amp;D341,C:C,C341)+SUMIFS(N:N,D:D,"&lt;="&amp;D341,C:C,C341)+SUMIFS(P:P,D:D,"&lt;="&amp;D341,C:C,C341))</f>
        <v>0</v>
      </c>
      <c r="AM341" s="98">
        <f t="shared" si="120"/>
        <v>0</v>
      </c>
      <c r="AN341" s="98">
        <f t="shared" si="113"/>
        <v>0</v>
      </c>
      <c r="AO341" s="203" t="str">
        <f t="shared" si="105"/>
        <v/>
      </c>
    </row>
    <row r="342" spans="1:41" hidden="1" x14ac:dyDescent="0.25">
      <c r="A342" s="95" t="str">
        <f>Start!D$7</f>
        <v>Anyland</v>
      </c>
      <c r="B342" s="96" t="str">
        <f>VLOOKUP(A342,list!B:C,2,FALSE)</f>
        <v>ANY</v>
      </c>
      <c r="C342" s="90" t="str">
        <f>IF(Start!$C$24="","",Start!$C$24)</f>
        <v/>
      </c>
      <c r="D342" s="296">
        <f t="shared" si="114"/>
        <v>44866</v>
      </c>
      <c r="E342" s="92" t="str">
        <f>IFERROR(VLOOKUP(C342,Start!C$15:D$31,2,FALSE),"No")</f>
        <v>No</v>
      </c>
      <c r="F342" s="92">
        <f t="shared" si="115"/>
        <v>0</v>
      </c>
      <c r="G342" s="91"/>
      <c r="H342" s="97"/>
      <c r="I342" s="97"/>
      <c r="J342" s="98">
        <f t="shared" si="107"/>
        <v>0</v>
      </c>
      <c r="K342" s="97"/>
      <c r="L342" s="175" t="str">
        <f t="shared" si="108"/>
        <v/>
      </c>
      <c r="M342" s="98">
        <f t="shared" si="109"/>
        <v>0</v>
      </c>
      <c r="N342" s="97"/>
      <c r="O342" s="122"/>
      <c r="P342" s="97"/>
      <c r="Q342" s="122"/>
      <c r="R342" s="98">
        <f>SUMIFS('Shipments data'!L:L,'Shipments data'!F:F,'Supply planning data'!C342,'Shipments data'!A:A,'Supply planning data'!A342,'Shipments data'!Y:Y,'Supply planning data'!D342,'Shipments data'!O:O,"received", 'Shipments data'!N:N, "Public")</f>
        <v>0</v>
      </c>
      <c r="S342" s="98">
        <f>SUMIFS('Shipments data'!L:L,'Shipments data'!F:F,'Supply planning data'!C342,'Shipments data'!A:A,'Supply planning data'!A342,'Shipments data'!Y:Y,'Supply planning data'!D342,'Shipments data'!O:O,"ordered", 'Shipments data'!N:N, "Public")</f>
        <v>0</v>
      </c>
      <c r="T342" s="98">
        <f>IF(SUMIFS('Shipments data'!L:L,'Shipments data'!F:F,'Supply planning data'!C342,'Shipments data'!A:A,'Supply planning data'!A342,'Shipments data'!O:O,"received",'Shipments data'!Q:Q,"&lt;"&amp;'Supply planning data'!D357,'Shipments data'!AC:AC,"&lt;"&amp;'Supply planning data'!D357)-SUMIFS(M:M,D:D,"&lt;="&amp;D342,C:C,C342)+SUMIFS(N:N,D:D,"&lt;="&amp;D342,C:C,C342)+SUMIFS(P:P,D:D,"&lt;="&amp;D342,C:C,C342)&lt;0,0,SUMIFS('Shipments data'!L:L,'Shipments data'!F:F,'Supply planning data'!C342,'Shipments data'!A:A,'Supply planning data'!A342,'Shipments data'!O:O,"received",'Shipments data'!Q:Q,"&lt;"&amp;'Supply planning data'!D357,'Shipments data'!AC:AC,"&lt;"&amp;'Supply planning data'!D357)-SUMIFS(M:M,D:D,"&lt;="&amp;D342,C:C,C342)+SUMIFS(N:N,D:D,"&lt;="&amp;D342,C:C,C342)+SUMIFS(P:P,D:D,"&lt;="&amp;D342,C:C,C342))</f>
        <v>0</v>
      </c>
      <c r="U342" s="99">
        <f t="shared" si="116"/>
        <v>0</v>
      </c>
      <c r="V342" s="98">
        <f t="shared" si="106"/>
        <v>0</v>
      </c>
      <c r="W342" s="203" t="str">
        <f t="shared" si="104"/>
        <v/>
      </c>
      <c r="X342" s="98">
        <f t="shared" si="117"/>
        <v>0</v>
      </c>
      <c r="Y342" s="97"/>
      <c r="Z342" s="93"/>
      <c r="AA342" s="98">
        <f t="shared" si="110"/>
        <v>0</v>
      </c>
      <c r="AB342" s="233"/>
      <c r="AC342" s="98">
        <f>IF(SUMIFS('Shipments data'!L:L,'Shipments data'!F:F,'Supply planning data'!C342,'Shipments data'!A:A,'Supply planning data'!A342,'Shipments data'!O:O,"received",'Shipments data'!Q:Q,"&lt;"&amp;'Supply planning data'!D357,'Shipments data'!AC:AC,"&lt;"&amp;'Supply planning data'!D357)-SUMIFS(M:M,D:D,"&lt;="&amp;D342,C:C,C342)-SUMIFS(AA:AA,D:D,"&lt;="&amp;D342,C:C,C342)+SUMIFS(N:N,D:D,"&lt;="&amp;D342,C:C,C342)+SUMIFS(P:P,D:D,"&lt;="&amp;D342,C:C,C342)&lt;0,0,SUMIFS('Shipments data'!L:L,'Shipments data'!F:F,'Supply planning data'!C342,'Shipments data'!A:A,'Supply planning data'!A342,'Shipments data'!O:O,"received",'Shipments data'!Q:Q,"&lt;"&amp;'Supply planning data'!D357,'Shipments data'!AC:AC,"&lt;"&amp;'Supply planning data'!D357)-SUMIFS(M:M,D:D,"&lt;="&amp;D342,C:C,C342)-SUMIFS(AA:AA,D:D,"&lt;="&amp;D342,C:C,C342)+SUMIFS(N:N,D:D,"&lt;="&amp;D342,C:C,C342)+SUMIFS(P:P,D:D,"&lt;="&amp;D342,C:C,C342))</f>
        <v>0</v>
      </c>
      <c r="AD342" s="98">
        <f t="shared" si="118"/>
        <v>0</v>
      </c>
      <c r="AE342" s="98">
        <f t="shared" si="112"/>
        <v>0</v>
      </c>
      <c r="AF342" s="205" t="str">
        <f t="shared" si="103"/>
        <v/>
      </c>
      <c r="AG342" s="98">
        <f t="shared" si="119"/>
        <v>0</v>
      </c>
      <c r="AH342" s="97"/>
      <c r="AI342" s="311"/>
      <c r="AJ342" s="98">
        <f t="shared" si="111"/>
        <v>0</v>
      </c>
      <c r="AK342" s="233"/>
      <c r="AL342" s="98">
        <f>IF(SUMIFS('Shipments data'!L:L,'Shipments data'!F:F,'Supply planning data'!C342,'Shipments data'!A:A,'Supply planning data'!A342,'Shipments data'!O:O,"received",'Shipments data'!Q:Q,"&lt;"&amp;'Supply planning data'!D357,'Shipments data'!AC:AC,"&lt;"&amp;'Supply planning data'!D357)-SUMIFS(M:M,D:D,"&lt;="&amp;D342,C:C,C342)-SUMIFS(AJ:AJ,D:D,"&lt;="&amp;D342,C:C,C342)+SUMIFS(N:N,D:D,"&lt;="&amp;D342,C:C,C342)+SUMIFS(P:P,D:D,"&lt;="&amp;D342,C:C,C342)&lt;0,0,SUMIFS('Shipments data'!L:L,'Shipments data'!F:F,'Supply planning data'!C342,'Shipments data'!A:A,'Supply planning data'!A342,'Shipments data'!O:O,"received",'Shipments data'!Q:Q,"&lt;"&amp;'Supply planning data'!D357,'Shipments data'!AC:AC,"&lt;"&amp;'Supply planning data'!D357)-SUMIFS(M:M,D:D,"&lt;="&amp;D342,C:C,C342)-SUMIFS(AJ:AJ,D:D,"&lt;="&amp;D342,C:C,C342)+SUMIFS(N:N,D:D,"&lt;="&amp;D342,C:C,C342)+SUMIFS(P:P,D:D,"&lt;="&amp;D342,C:C,C342))</f>
        <v>0</v>
      </c>
      <c r="AM342" s="98">
        <f t="shared" si="120"/>
        <v>0</v>
      </c>
      <c r="AN342" s="98">
        <f t="shared" si="113"/>
        <v>0</v>
      </c>
      <c r="AO342" s="203" t="str">
        <f t="shared" si="105"/>
        <v/>
      </c>
    </row>
    <row r="343" spans="1:41" hidden="1" x14ac:dyDescent="0.25">
      <c r="A343" s="95" t="str">
        <f>Start!D$7</f>
        <v>Anyland</v>
      </c>
      <c r="B343" s="96" t="str">
        <f>VLOOKUP(A343,list!B:C,2,FALSE)</f>
        <v>ANY</v>
      </c>
      <c r="C343" s="90" t="str">
        <f>IF(Start!$C$25="","",Start!$C$25)</f>
        <v/>
      </c>
      <c r="D343" s="296">
        <f t="shared" si="114"/>
        <v>44866</v>
      </c>
      <c r="E343" s="92" t="str">
        <f>IFERROR(VLOOKUP(C343,Start!C$15:D$31,2,FALSE),"No")</f>
        <v>No</v>
      </c>
      <c r="F343" s="92">
        <f t="shared" si="115"/>
        <v>0</v>
      </c>
      <c r="G343" s="91"/>
      <c r="H343" s="97"/>
      <c r="I343" s="97"/>
      <c r="J343" s="98">
        <f t="shared" si="107"/>
        <v>0</v>
      </c>
      <c r="K343" s="97"/>
      <c r="L343" s="175" t="str">
        <f t="shared" si="108"/>
        <v/>
      </c>
      <c r="M343" s="98">
        <f t="shared" si="109"/>
        <v>0</v>
      </c>
      <c r="N343" s="97"/>
      <c r="O343" s="122"/>
      <c r="P343" s="97"/>
      <c r="Q343" s="122"/>
      <c r="R343" s="98">
        <f>SUMIFS('Shipments data'!L:L,'Shipments data'!F:F,'Supply planning data'!C343,'Shipments data'!A:A,'Supply planning data'!A343,'Shipments data'!Y:Y,'Supply planning data'!D343,'Shipments data'!O:O,"received", 'Shipments data'!N:N, "Public")</f>
        <v>0</v>
      </c>
      <c r="S343" s="98">
        <f>SUMIFS('Shipments data'!L:L,'Shipments data'!F:F,'Supply planning data'!C343,'Shipments data'!A:A,'Supply planning data'!A343,'Shipments data'!Y:Y,'Supply planning data'!D343,'Shipments data'!O:O,"ordered", 'Shipments data'!N:N, "Public")</f>
        <v>0</v>
      </c>
      <c r="T343" s="98">
        <f>IF(SUMIFS('Shipments data'!L:L,'Shipments data'!F:F,'Supply planning data'!C343,'Shipments data'!A:A,'Supply planning data'!A343,'Shipments data'!O:O,"received",'Shipments data'!Q:Q,"&lt;"&amp;'Supply planning data'!D358,'Shipments data'!AC:AC,"&lt;"&amp;'Supply planning data'!D358)-SUMIFS(M:M,D:D,"&lt;="&amp;D343,C:C,C343)+SUMIFS(N:N,D:D,"&lt;="&amp;D343,C:C,C343)+SUMIFS(P:P,D:D,"&lt;="&amp;D343,C:C,C343)&lt;0,0,SUMIFS('Shipments data'!L:L,'Shipments data'!F:F,'Supply planning data'!C343,'Shipments data'!A:A,'Supply planning data'!A343,'Shipments data'!O:O,"received",'Shipments data'!Q:Q,"&lt;"&amp;'Supply planning data'!D358,'Shipments data'!AC:AC,"&lt;"&amp;'Supply planning data'!D358)-SUMIFS(M:M,D:D,"&lt;="&amp;D343,C:C,C343)+SUMIFS(N:N,D:D,"&lt;="&amp;D343,C:C,C343)+SUMIFS(P:P,D:D,"&lt;="&amp;D343,C:C,C343))</f>
        <v>0</v>
      </c>
      <c r="U343" s="99">
        <f t="shared" si="116"/>
        <v>0</v>
      </c>
      <c r="V343" s="98">
        <f t="shared" si="106"/>
        <v>0</v>
      </c>
      <c r="W343" s="203" t="str">
        <f t="shared" si="104"/>
        <v/>
      </c>
      <c r="X343" s="98">
        <f t="shared" si="117"/>
        <v>0</v>
      </c>
      <c r="Y343" s="97"/>
      <c r="Z343" s="93"/>
      <c r="AA343" s="98">
        <f t="shared" si="110"/>
        <v>0</v>
      </c>
      <c r="AB343" s="233"/>
      <c r="AC343" s="98">
        <f>IF(SUMIFS('Shipments data'!L:L,'Shipments data'!F:F,'Supply planning data'!C343,'Shipments data'!A:A,'Supply planning data'!A343,'Shipments data'!O:O,"received",'Shipments data'!Q:Q,"&lt;"&amp;'Supply planning data'!D358,'Shipments data'!AC:AC,"&lt;"&amp;'Supply planning data'!D358)-SUMIFS(M:M,D:D,"&lt;="&amp;D343,C:C,C343)-SUMIFS(AA:AA,D:D,"&lt;="&amp;D343,C:C,C343)+SUMIFS(N:N,D:D,"&lt;="&amp;D343,C:C,C343)+SUMIFS(P:P,D:D,"&lt;="&amp;D343,C:C,C343)&lt;0,0,SUMIFS('Shipments data'!L:L,'Shipments data'!F:F,'Supply planning data'!C343,'Shipments data'!A:A,'Supply planning data'!A343,'Shipments data'!O:O,"received",'Shipments data'!Q:Q,"&lt;"&amp;'Supply planning data'!D358,'Shipments data'!AC:AC,"&lt;"&amp;'Supply planning data'!D358)-SUMIFS(M:M,D:D,"&lt;="&amp;D343,C:C,C343)-SUMIFS(AA:AA,D:D,"&lt;="&amp;D343,C:C,C343)+SUMIFS(N:N,D:D,"&lt;="&amp;D343,C:C,C343)+SUMIFS(P:P,D:D,"&lt;="&amp;D343,C:C,C343))</f>
        <v>0</v>
      </c>
      <c r="AD343" s="98">
        <f t="shared" si="118"/>
        <v>0</v>
      </c>
      <c r="AE343" s="98">
        <f t="shared" si="112"/>
        <v>0</v>
      </c>
      <c r="AF343" s="205" t="str">
        <f t="shared" si="103"/>
        <v/>
      </c>
      <c r="AG343" s="98">
        <f t="shared" si="119"/>
        <v>0</v>
      </c>
      <c r="AH343" s="97"/>
      <c r="AI343" s="311"/>
      <c r="AJ343" s="98">
        <f t="shared" si="111"/>
        <v>0</v>
      </c>
      <c r="AK343" s="233"/>
      <c r="AL343" s="98">
        <f>IF(SUMIFS('Shipments data'!L:L,'Shipments data'!F:F,'Supply planning data'!C343,'Shipments data'!A:A,'Supply planning data'!A343,'Shipments data'!O:O,"received",'Shipments data'!Q:Q,"&lt;"&amp;'Supply planning data'!D358,'Shipments data'!AC:AC,"&lt;"&amp;'Supply planning data'!D358)-SUMIFS(M:M,D:D,"&lt;="&amp;D343,C:C,C343)-SUMIFS(AJ:AJ,D:D,"&lt;="&amp;D343,C:C,C343)+SUMIFS(N:N,D:D,"&lt;="&amp;D343,C:C,C343)+SUMIFS(P:P,D:D,"&lt;="&amp;D343,C:C,C343)&lt;0,0,SUMIFS('Shipments data'!L:L,'Shipments data'!F:F,'Supply planning data'!C343,'Shipments data'!A:A,'Supply planning data'!A343,'Shipments data'!O:O,"received",'Shipments data'!Q:Q,"&lt;"&amp;'Supply planning data'!D358,'Shipments data'!AC:AC,"&lt;"&amp;'Supply planning data'!D358)-SUMIFS(M:M,D:D,"&lt;="&amp;D343,C:C,C343)-SUMIFS(AJ:AJ,D:D,"&lt;="&amp;D343,C:C,C343)+SUMIFS(N:N,D:D,"&lt;="&amp;D343,C:C,C343)+SUMIFS(P:P,D:D,"&lt;="&amp;D343,C:C,C343))</f>
        <v>0</v>
      </c>
      <c r="AM343" s="98">
        <f t="shared" si="120"/>
        <v>0</v>
      </c>
      <c r="AN343" s="98">
        <f t="shared" si="113"/>
        <v>0</v>
      </c>
      <c r="AO343" s="203" t="str">
        <f t="shared" si="105"/>
        <v/>
      </c>
    </row>
    <row r="344" spans="1:41" hidden="1" x14ac:dyDescent="0.25">
      <c r="A344" s="95" t="str">
        <f>Start!D$7</f>
        <v>Anyland</v>
      </c>
      <c r="B344" s="96" t="str">
        <f>VLOOKUP(A344,list!B:C,2,FALSE)</f>
        <v>ANY</v>
      </c>
      <c r="C344" s="90" t="str">
        <f>IF(Start!$C$26="","",Start!$C$26)</f>
        <v/>
      </c>
      <c r="D344" s="296">
        <f t="shared" si="114"/>
        <v>44866</v>
      </c>
      <c r="E344" s="92" t="str">
        <f>IFERROR(VLOOKUP(C344,Start!C$15:D$31,2,FALSE),"No")</f>
        <v>No</v>
      </c>
      <c r="F344" s="92">
        <f t="shared" si="115"/>
        <v>0</v>
      </c>
      <c r="G344" s="91"/>
      <c r="H344" s="97"/>
      <c r="I344" s="97"/>
      <c r="J344" s="98">
        <f t="shared" si="107"/>
        <v>0</v>
      </c>
      <c r="K344" s="97"/>
      <c r="L344" s="175" t="str">
        <f t="shared" si="108"/>
        <v/>
      </c>
      <c r="M344" s="98">
        <f t="shared" si="109"/>
        <v>0</v>
      </c>
      <c r="N344" s="97"/>
      <c r="O344" s="122"/>
      <c r="P344" s="97"/>
      <c r="Q344" s="122"/>
      <c r="R344" s="98">
        <f>SUMIFS('Shipments data'!L:L,'Shipments data'!F:F,'Supply planning data'!C344,'Shipments data'!A:A,'Supply planning data'!A344,'Shipments data'!Y:Y,'Supply planning data'!D344,'Shipments data'!O:O,"received", 'Shipments data'!N:N, "Public")</f>
        <v>0</v>
      </c>
      <c r="S344" s="98">
        <f>SUMIFS('Shipments data'!L:L,'Shipments data'!F:F,'Supply planning data'!C344,'Shipments data'!A:A,'Supply planning data'!A344,'Shipments data'!Y:Y,'Supply planning data'!D344,'Shipments data'!O:O,"ordered", 'Shipments data'!N:N, "Public")</f>
        <v>0</v>
      </c>
      <c r="T344" s="98">
        <f>IF(SUMIFS('Shipments data'!L:L,'Shipments data'!F:F,'Supply planning data'!C344,'Shipments data'!A:A,'Supply planning data'!A344,'Shipments data'!O:O,"received",'Shipments data'!Q:Q,"&lt;"&amp;'Supply planning data'!D359,'Shipments data'!AC:AC,"&lt;"&amp;'Supply planning data'!D359)-SUMIFS(M:M,D:D,"&lt;="&amp;D344,C:C,C344)+SUMIFS(N:N,D:D,"&lt;="&amp;D344,C:C,C344)+SUMIFS(P:P,D:D,"&lt;="&amp;D344,C:C,C344)&lt;0,0,SUMIFS('Shipments data'!L:L,'Shipments data'!F:F,'Supply planning data'!C344,'Shipments data'!A:A,'Supply planning data'!A344,'Shipments data'!O:O,"received",'Shipments data'!Q:Q,"&lt;"&amp;'Supply planning data'!D359,'Shipments data'!AC:AC,"&lt;"&amp;'Supply planning data'!D359)-SUMIFS(M:M,D:D,"&lt;="&amp;D344,C:C,C344)+SUMIFS(N:N,D:D,"&lt;="&amp;D344,C:C,C344)+SUMIFS(P:P,D:D,"&lt;="&amp;D344,C:C,C344))</f>
        <v>0</v>
      </c>
      <c r="U344" s="99">
        <f t="shared" si="116"/>
        <v>0</v>
      </c>
      <c r="V344" s="98">
        <f t="shared" si="106"/>
        <v>0</v>
      </c>
      <c r="W344" s="203" t="str">
        <f t="shared" si="104"/>
        <v/>
      </c>
      <c r="X344" s="98">
        <f t="shared" si="117"/>
        <v>0</v>
      </c>
      <c r="Y344" s="97"/>
      <c r="Z344" s="93"/>
      <c r="AA344" s="98">
        <f t="shared" si="110"/>
        <v>0</v>
      </c>
      <c r="AB344" s="233"/>
      <c r="AC344" s="98">
        <f>IF(SUMIFS('Shipments data'!L:L,'Shipments data'!F:F,'Supply planning data'!C344,'Shipments data'!A:A,'Supply planning data'!A344,'Shipments data'!O:O,"received",'Shipments data'!Q:Q,"&lt;"&amp;'Supply planning data'!D359,'Shipments data'!AC:AC,"&lt;"&amp;'Supply planning data'!D359)-SUMIFS(M:M,D:D,"&lt;="&amp;D344,C:C,C344)-SUMIFS(AA:AA,D:D,"&lt;="&amp;D344,C:C,C344)+SUMIFS(N:N,D:D,"&lt;="&amp;D344,C:C,C344)+SUMIFS(P:P,D:D,"&lt;="&amp;D344,C:C,C344)&lt;0,0,SUMIFS('Shipments data'!L:L,'Shipments data'!F:F,'Supply planning data'!C344,'Shipments data'!A:A,'Supply planning data'!A344,'Shipments data'!O:O,"received",'Shipments data'!Q:Q,"&lt;"&amp;'Supply planning data'!D359,'Shipments data'!AC:AC,"&lt;"&amp;'Supply planning data'!D359)-SUMIFS(M:M,D:D,"&lt;="&amp;D344,C:C,C344)-SUMIFS(AA:AA,D:D,"&lt;="&amp;D344,C:C,C344)+SUMIFS(N:N,D:D,"&lt;="&amp;D344,C:C,C344)+SUMIFS(P:P,D:D,"&lt;="&amp;D344,C:C,C344))</f>
        <v>0</v>
      </c>
      <c r="AD344" s="98">
        <f t="shared" si="118"/>
        <v>0</v>
      </c>
      <c r="AE344" s="98">
        <f t="shared" si="112"/>
        <v>0</v>
      </c>
      <c r="AF344" s="205" t="str">
        <f t="shared" si="103"/>
        <v/>
      </c>
      <c r="AG344" s="98">
        <f t="shared" si="119"/>
        <v>0</v>
      </c>
      <c r="AH344" s="97"/>
      <c r="AI344" s="311"/>
      <c r="AJ344" s="98">
        <f t="shared" si="111"/>
        <v>0</v>
      </c>
      <c r="AK344" s="233"/>
      <c r="AL344" s="98">
        <f>IF(SUMIFS('Shipments data'!L:L,'Shipments data'!F:F,'Supply planning data'!C344,'Shipments data'!A:A,'Supply planning data'!A344,'Shipments data'!O:O,"received",'Shipments data'!Q:Q,"&lt;"&amp;'Supply planning data'!D359,'Shipments data'!AC:AC,"&lt;"&amp;'Supply planning data'!D359)-SUMIFS(M:M,D:D,"&lt;="&amp;D344,C:C,C344)-SUMIFS(AJ:AJ,D:D,"&lt;="&amp;D344,C:C,C344)+SUMIFS(N:N,D:D,"&lt;="&amp;D344,C:C,C344)+SUMIFS(P:P,D:D,"&lt;="&amp;D344,C:C,C344)&lt;0,0,SUMIFS('Shipments data'!L:L,'Shipments data'!F:F,'Supply planning data'!C344,'Shipments data'!A:A,'Supply planning data'!A344,'Shipments data'!O:O,"received",'Shipments data'!Q:Q,"&lt;"&amp;'Supply planning data'!D359,'Shipments data'!AC:AC,"&lt;"&amp;'Supply planning data'!D359)-SUMIFS(M:M,D:D,"&lt;="&amp;D344,C:C,C344)-SUMIFS(AJ:AJ,D:D,"&lt;="&amp;D344,C:C,C344)+SUMIFS(N:N,D:D,"&lt;="&amp;D344,C:C,C344)+SUMIFS(P:P,D:D,"&lt;="&amp;D344,C:C,C344))</f>
        <v>0</v>
      </c>
      <c r="AM344" s="98">
        <f t="shared" si="120"/>
        <v>0</v>
      </c>
      <c r="AN344" s="98">
        <f t="shared" si="113"/>
        <v>0</v>
      </c>
      <c r="AO344" s="203" t="str">
        <f t="shared" si="105"/>
        <v/>
      </c>
    </row>
    <row r="345" spans="1:41" hidden="1" x14ac:dyDescent="0.25">
      <c r="A345" s="95" t="str">
        <f>Start!D$7</f>
        <v>Anyland</v>
      </c>
      <c r="B345" s="96" t="str">
        <f>VLOOKUP(A345,list!B:C,2,FALSE)</f>
        <v>ANY</v>
      </c>
      <c r="C345" s="90" t="str">
        <f>IF(Start!$C$27="","",Start!$C$27)</f>
        <v/>
      </c>
      <c r="D345" s="296">
        <f t="shared" si="114"/>
        <v>44866</v>
      </c>
      <c r="E345" s="92" t="str">
        <f>IFERROR(VLOOKUP(C345,Start!C$15:D$31,2,FALSE),"No")</f>
        <v>No</v>
      </c>
      <c r="F345" s="92">
        <f t="shared" si="115"/>
        <v>0</v>
      </c>
      <c r="G345" s="91"/>
      <c r="H345" s="97"/>
      <c r="I345" s="97"/>
      <c r="J345" s="98">
        <f t="shared" si="107"/>
        <v>0</v>
      </c>
      <c r="K345" s="97"/>
      <c r="L345" s="175" t="str">
        <f t="shared" si="108"/>
        <v/>
      </c>
      <c r="M345" s="98">
        <f t="shared" si="109"/>
        <v>0</v>
      </c>
      <c r="N345" s="97"/>
      <c r="O345" s="122"/>
      <c r="P345" s="97"/>
      <c r="Q345" s="122"/>
      <c r="R345" s="98">
        <f>SUMIFS('Shipments data'!L:L,'Shipments data'!F:F,'Supply planning data'!C345,'Shipments data'!A:A,'Supply planning data'!A345,'Shipments data'!Y:Y,'Supply planning data'!D345,'Shipments data'!O:O,"received", 'Shipments data'!N:N, "Public")</f>
        <v>0</v>
      </c>
      <c r="S345" s="98">
        <f>SUMIFS('Shipments data'!L:L,'Shipments data'!F:F,'Supply planning data'!C345,'Shipments data'!A:A,'Supply planning data'!A345,'Shipments data'!Y:Y,'Supply planning data'!D345,'Shipments data'!O:O,"ordered", 'Shipments data'!N:N, "Public")</f>
        <v>0</v>
      </c>
      <c r="T345" s="98">
        <f>IF(SUMIFS('Shipments data'!L:L,'Shipments data'!F:F,'Supply planning data'!C345,'Shipments data'!A:A,'Supply planning data'!A345,'Shipments data'!O:O,"received",'Shipments data'!Q:Q,"&lt;"&amp;'Supply planning data'!D360,'Shipments data'!AC:AC,"&lt;"&amp;'Supply planning data'!D360)-SUMIFS(M:M,D:D,"&lt;="&amp;D345,C:C,C345)+SUMIFS(N:N,D:D,"&lt;="&amp;D345,C:C,C345)+SUMIFS(P:P,D:D,"&lt;="&amp;D345,C:C,C345)&lt;0,0,SUMIFS('Shipments data'!L:L,'Shipments data'!F:F,'Supply planning data'!C345,'Shipments data'!A:A,'Supply planning data'!A345,'Shipments data'!O:O,"received",'Shipments data'!Q:Q,"&lt;"&amp;'Supply planning data'!D360,'Shipments data'!AC:AC,"&lt;"&amp;'Supply planning data'!D360)-SUMIFS(M:M,D:D,"&lt;="&amp;D345,C:C,C345)+SUMIFS(N:N,D:D,"&lt;="&amp;D345,C:C,C345)+SUMIFS(P:P,D:D,"&lt;="&amp;D345,C:C,C345))</f>
        <v>0</v>
      </c>
      <c r="U345" s="99">
        <f t="shared" si="116"/>
        <v>0</v>
      </c>
      <c r="V345" s="98">
        <f t="shared" si="106"/>
        <v>0</v>
      </c>
      <c r="W345" s="203" t="str">
        <f t="shared" si="104"/>
        <v/>
      </c>
      <c r="X345" s="98">
        <f t="shared" si="117"/>
        <v>0</v>
      </c>
      <c r="Y345" s="97"/>
      <c r="Z345" s="93"/>
      <c r="AA345" s="98">
        <f t="shared" si="110"/>
        <v>0</v>
      </c>
      <c r="AB345" s="233"/>
      <c r="AC345" s="98">
        <f>IF(SUMIFS('Shipments data'!L:L,'Shipments data'!F:F,'Supply planning data'!C345,'Shipments data'!A:A,'Supply planning data'!A345,'Shipments data'!O:O,"received",'Shipments data'!Q:Q,"&lt;"&amp;'Supply planning data'!D360,'Shipments data'!AC:AC,"&lt;"&amp;'Supply planning data'!D360)-SUMIFS(M:M,D:D,"&lt;="&amp;D345,C:C,C345)-SUMIFS(AA:AA,D:D,"&lt;="&amp;D345,C:C,C345)+SUMIFS(N:N,D:D,"&lt;="&amp;D345,C:C,C345)+SUMIFS(P:P,D:D,"&lt;="&amp;D345,C:C,C345)&lt;0,0,SUMIFS('Shipments data'!L:L,'Shipments data'!F:F,'Supply planning data'!C345,'Shipments data'!A:A,'Supply planning data'!A345,'Shipments data'!O:O,"received",'Shipments data'!Q:Q,"&lt;"&amp;'Supply planning data'!D360,'Shipments data'!AC:AC,"&lt;"&amp;'Supply planning data'!D360)-SUMIFS(M:M,D:D,"&lt;="&amp;D345,C:C,C345)-SUMIFS(AA:AA,D:D,"&lt;="&amp;D345,C:C,C345)+SUMIFS(N:N,D:D,"&lt;="&amp;D345,C:C,C345)+SUMIFS(P:P,D:D,"&lt;="&amp;D345,C:C,C345))</f>
        <v>0</v>
      </c>
      <c r="AD345" s="98">
        <f t="shared" si="118"/>
        <v>0</v>
      </c>
      <c r="AE345" s="98">
        <f t="shared" si="112"/>
        <v>0</v>
      </c>
      <c r="AF345" s="205" t="str">
        <f t="shared" si="103"/>
        <v/>
      </c>
      <c r="AG345" s="98">
        <f t="shared" si="119"/>
        <v>0</v>
      </c>
      <c r="AH345" s="97"/>
      <c r="AI345" s="311"/>
      <c r="AJ345" s="98">
        <f t="shared" si="111"/>
        <v>0</v>
      </c>
      <c r="AK345" s="233"/>
      <c r="AL345" s="98">
        <f>IF(SUMIFS('Shipments data'!L:L,'Shipments data'!F:F,'Supply planning data'!C345,'Shipments data'!A:A,'Supply planning data'!A345,'Shipments data'!O:O,"received",'Shipments data'!Q:Q,"&lt;"&amp;'Supply planning data'!D360,'Shipments data'!AC:AC,"&lt;"&amp;'Supply planning data'!D360)-SUMIFS(M:M,D:D,"&lt;="&amp;D345,C:C,C345)-SUMIFS(AJ:AJ,D:D,"&lt;="&amp;D345,C:C,C345)+SUMIFS(N:N,D:D,"&lt;="&amp;D345,C:C,C345)+SUMIFS(P:P,D:D,"&lt;="&amp;D345,C:C,C345)&lt;0,0,SUMIFS('Shipments data'!L:L,'Shipments data'!F:F,'Supply planning data'!C345,'Shipments data'!A:A,'Supply planning data'!A345,'Shipments data'!O:O,"received",'Shipments data'!Q:Q,"&lt;"&amp;'Supply planning data'!D360,'Shipments data'!AC:AC,"&lt;"&amp;'Supply planning data'!D360)-SUMIFS(M:M,D:D,"&lt;="&amp;D345,C:C,C345)-SUMIFS(AJ:AJ,D:D,"&lt;="&amp;D345,C:C,C345)+SUMIFS(N:N,D:D,"&lt;="&amp;D345,C:C,C345)+SUMIFS(P:P,D:D,"&lt;="&amp;D345,C:C,C345))</f>
        <v>0</v>
      </c>
      <c r="AM345" s="98">
        <f t="shared" si="120"/>
        <v>0</v>
      </c>
      <c r="AN345" s="98">
        <f t="shared" si="113"/>
        <v>0</v>
      </c>
      <c r="AO345" s="203" t="str">
        <f t="shared" si="105"/>
        <v/>
      </c>
    </row>
    <row r="346" spans="1:41" hidden="1" x14ac:dyDescent="0.25">
      <c r="A346" s="95" t="str">
        <f>Start!D$7</f>
        <v>Anyland</v>
      </c>
      <c r="B346" s="96" t="str">
        <f>VLOOKUP(A346,list!B:C,2,FALSE)</f>
        <v>ANY</v>
      </c>
      <c r="C346" s="90" t="str">
        <f>IF(Start!$C$28="","",Start!$C$28)</f>
        <v/>
      </c>
      <c r="D346" s="296">
        <f t="shared" si="114"/>
        <v>44866</v>
      </c>
      <c r="E346" s="92" t="str">
        <f>IFERROR(VLOOKUP(C346,Start!C$15:D$31,2,FALSE),"No")</f>
        <v>No</v>
      </c>
      <c r="F346" s="92">
        <f t="shared" si="115"/>
        <v>0</v>
      </c>
      <c r="G346" s="91"/>
      <c r="H346" s="97"/>
      <c r="I346" s="97"/>
      <c r="J346" s="98">
        <f t="shared" si="107"/>
        <v>0</v>
      </c>
      <c r="K346" s="97"/>
      <c r="L346" s="175" t="str">
        <f t="shared" si="108"/>
        <v/>
      </c>
      <c r="M346" s="98">
        <f t="shared" si="109"/>
        <v>0</v>
      </c>
      <c r="N346" s="97"/>
      <c r="O346" s="122"/>
      <c r="P346" s="97"/>
      <c r="Q346" s="122"/>
      <c r="R346" s="98">
        <f>SUMIFS('Shipments data'!L:L,'Shipments data'!F:F,'Supply planning data'!C346,'Shipments data'!A:A,'Supply planning data'!A346,'Shipments data'!Y:Y,'Supply planning data'!D346,'Shipments data'!O:O,"received", 'Shipments data'!N:N, "Public")</f>
        <v>0</v>
      </c>
      <c r="S346" s="98">
        <f>SUMIFS('Shipments data'!L:L,'Shipments data'!F:F,'Supply planning data'!C346,'Shipments data'!A:A,'Supply planning data'!A346,'Shipments data'!Y:Y,'Supply planning data'!D346,'Shipments data'!O:O,"ordered", 'Shipments data'!N:N, "Public")</f>
        <v>0</v>
      </c>
      <c r="T346" s="98">
        <f>IF(SUMIFS('Shipments data'!L:L,'Shipments data'!F:F,'Supply planning data'!C346,'Shipments data'!A:A,'Supply planning data'!A346,'Shipments data'!O:O,"received",'Shipments data'!Q:Q,"&lt;"&amp;'Supply planning data'!D361,'Shipments data'!AC:AC,"&lt;"&amp;'Supply planning data'!D361)-SUMIFS(M:M,D:D,"&lt;="&amp;D346,C:C,C346)+SUMIFS(N:N,D:D,"&lt;="&amp;D346,C:C,C346)+SUMIFS(P:P,D:D,"&lt;="&amp;D346,C:C,C346)&lt;0,0,SUMIFS('Shipments data'!L:L,'Shipments data'!F:F,'Supply planning data'!C346,'Shipments data'!A:A,'Supply planning data'!A346,'Shipments data'!O:O,"received",'Shipments data'!Q:Q,"&lt;"&amp;'Supply planning data'!D361,'Shipments data'!AC:AC,"&lt;"&amp;'Supply planning data'!D361)-SUMIFS(M:M,D:D,"&lt;="&amp;D346,C:C,C346)+SUMIFS(N:N,D:D,"&lt;="&amp;D346,C:C,C346)+SUMIFS(P:P,D:D,"&lt;="&amp;D346,C:C,C346))</f>
        <v>0</v>
      </c>
      <c r="U346" s="99">
        <f t="shared" si="116"/>
        <v>0</v>
      </c>
      <c r="V346" s="98">
        <f t="shared" si="106"/>
        <v>0</v>
      </c>
      <c r="W346" s="203" t="str">
        <f t="shared" si="104"/>
        <v/>
      </c>
      <c r="X346" s="98">
        <f t="shared" si="117"/>
        <v>0</v>
      </c>
      <c r="Y346" s="97"/>
      <c r="Z346" s="93"/>
      <c r="AA346" s="98">
        <f t="shared" si="110"/>
        <v>0</v>
      </c>
      <c r="AB346" s="233"/>
      <c r="AC346" s="98">
        <f>IF(SUMIFS('Shipments data'!L:L,'Shipments data'!F:F,'Supply planning data'!C346,'Shipments data'!A:A,'Supply planning data'!A346,'Shipments data'!O:O,"received",'Shipments data'!Q:Q,"&lt;"&amp;'Supply planning data'!D361,'Shipments data'!AC:AC,"&lt;"&amp;'Supply planning data'!D361)-SUMIFS(M:M,D:D,"&lt;="&amp;D346,C:C,C346)-SUMIFS(AA:AA,D:D,"&lt;="&amp;D346,C:C,C346)+SUMIFS(N:N,D:D,"&lt;="&amp;D346,C:C,C346)+SUMIFS(P:P,D:D,"&lt;="&amp;D346,C:C,C346)&lt;0,0,SUMIFS('Shipments data'!L:L,'Shipments data'!F:F,'Supply planning data'!C346,'Shipments data'!A:A,'Supply planning data'!A346,'Shipments data'!O:O,"received",'Shipments data'!Q:Q,"&lt;"&amp;'Supply planning data'!D361,'Shipments data'!AC:AC,"&lt;"&amp;'Supply planning data'!D361)-SUMIFS(M:M,D:D,"&lt;="&amp;D346,C:C,C346)-SUMIFS(AA:AA,D:D,"&lt;="&amp;D346,C:C,C346)+SUMIFS(N:N,D:D,"&lt;="&amp;D346,C:C,C346)+SUMIFS(P:P,D:D,"&lt;="&amp;D346,C:C,C346))</f>
        <v>0</v>
      </c>
      <c r="AD346" s="98">
        <f t="shared" si="118"/>
        <v>0</v>
      </c>
      <c r="AE346" s="98">
        <f t="shared" si="112"/>
        <v>0</v>
      </c>
      <c r="AF346" s="205" t="str">
        <f t="shared" si="103"/>
        <v/>
      </c>
      <c r="AG346" s="98">
        <f t="shared" si="119"/>
        <v>0</v>
      </c>
      <c r="AH346" s="97"/>
      <c r="AI346" s="311"/>
      <c r="AJ346" s="98">
        <f t="shared" si="111"/>
        <v>0</v>
      </c>
      <c r="AK346" s="233"/>
      <c r="AL346" s="98">
        <f>IF(SUMIFS('Shipments data'!L:L,'Shipments data'!F:F,'Supply planning data'!C346,'Shipments data'!A:A,'Supply planning data'!A346,'Shipments data'!O:O,"received",'Shipments data'!Q:Q,"&lt;"&amp;'Supply planning data'!D361,'Shipments data'!AC:AC,"&lt;"&amp;'Supply planning data'!D361)-SUMIFS(M:M,D:D,"&lt;="&amp;D346,C:C,C346)-SUMIFS(AJ:AJ,D:D,"&lt;="&amp;D346,C:C,C346)+SUMIFS(N:N,D:D,"&lt;="&amp;D346,C:C,C346)+SUMIFS(P:P,D:D,"&lt;="&amp;D346,C:C,C346)&lt;0,0,SUMIFS('Shipments data'!L:L,'Shipments data'!F:F,'Supply planning data'!C346,'Shipments data'!A:A,'Supply planning data'!A346,'Shipments data'!O:O,"received",'Shipments data'!Q:Q,"&lt;"&amp;'Supply planning data'!D361,'Shipments data'!AC:AC,"&lt;"&amp;'Supply planning data'!D361)-SUMIFS(M:M,D:D,"&lt;="&amp;D346,C:C,C346)-SUMIFS(AJ:AJ,D:D,"&lt;="&amp;D346,C:C,C346)+SUMIFS(N:N,D:D,"&lt;="&amp;D346,C:C,C346)+SUMIFS(P:P,D:D,"&lt;="&amp;D346,C:C,C346))</f>
        <v>0</v>
      </c>
      <c r="AM346" s="98">
        <f t="shared" si="120"/>
        <v>0</v>
      </c>
      <c r="AN346" s="98">
        <f t="shared" si="113"/>
        <v>0</v>
      </c>
      <c r="AO346" s="203" t="str">
        <f t="shared" si="105"/>
        <v/>
      </c>
    </row>
    <row r="347" spans="1:41" hidden="1" x14ac:dyDescent="0.25">
      <c r="A347" s="95" t="str">
        <f>Start!D$7</f>
        <v>Anyland</v>
      </c>
      <c r="B347" s="96" t="str">
        <f>VLOOKUP(A347,list!B:C,2,FALSE)</f>
        <v>ANY</v>
      </c>
      <c r="C347" s="90" t="str">
        <f>IF(Start!$C$29="","",Start!$C$29)</f>
        <v/>
      </c>
      <c r="D347" s="296">
        <f t="shared" si="114"/>
        <v>44866</v>
      </c>
      <c r="E347" s="92" t="str">
        <f>IFERROR(VLOOKUP(C347,Start!C$15:D$31,2,FALSE),"No")</f>
        <v>No</v>
      </c>
      <c r="F347" s="92">
        <f t="shared" si="115"/>
        <v>0</v>
      </c>
      <c r="G347" s="91"/>
      <c r="H347" s="97"/>
      <c r="I347" s="97"/>
      <c r="J347" s="98">
        <f t="shared" si="107"/>
        <v>0</v>
      </c>
      <c r="K347" s="97"/>
      <c r="L347" s="175" t="str">
        <f t="shared" si="108"/>
        <v/>
      </c>
      <c r="M347" s="98">
        <f t="shared" si="109"/>
        <v>0</v>
      </c>
      <c r="N347" s="97"/>
      <c r="O347" s="122"/>
      <c r="P347" s="97"/>
      <c r="Q347" s="122"/>
      <c r="R347" s="98">
        <f>SUMIFS('Shipments data'!L:L,'Shipments data'!F:F,'Supply planning data'!C347,'Shipments data'!A:A,'Supply planning data'!A347,'Shipments data'!Y:Y,'Supply planning data'!D347,'Shipments data'!O:O,"received", 'Shipments data'!N:N, "Public")</f>
        <v>0</v>
      </c>
      <c r="S347" s="98">
        <f>SUMIFS('Shipments data'!L:L,'Shipments data'!F:F,'Supply planning data'!C347,'Shipments data'!A:A,'Supply planning data'!A347,'Shipments data'!Y:Y,'Supply planning data'!D347,'Shipments data'!O:O,"ordered", 'Shipments data'!N:N, "Public")</f>
        <v>0</v>
      </c>
      <c r="T347" s="98">
        <f>IF(SUMIFS('Shipments data'!L:L,'Shipments data'!F:F,'Supply planning data'!C347,'Shipments data'!A:A,'Supply planning data'!A347,'Shipments data'!O:O,"received",'Shipments data'!Q:Q,"&lt;"&amp;'Supply planning data'!D362,'Shipments data'!AC:AC,"&lt;"&amp;'Supply planning data'!D362)-SUMIFS(M:M,D:D,"&lt;="&amp;D347,C:C,C347)+SUMIFS(N:N,D:D,"&lt;="&amp;D347,C:C,C347)+SUMIFS(P:P,D:D,"&lt;="&amp;D347,C:C,C347)&lt;0,0,SUMIFS('Shipments data'!L:L,'Shipments data'!F:F,'Supply planning data'!C347,'Shipments data'!A:A,'Supply planning data'!A347,'Shipments data'!O:O,"received",'Shipments data'!Q:Q,"&lt;"&amp;'Supply planning data'!D362,'Shipments data'!AC:AC,"&lt;"&amp;'Supply planning data'!D362)-SUMIFS(M:M,D:D,"&lt;="&amp;D347,C:C,C347)+SUMIFS(N:N,D:D,"&lt;="&amp;D347,C:C,C347)+SUMIFS(P:P,D:D,"&lt;="&amp;D347,C:C,C347))</f>
        <v>0</v>
      </c>
      <c r="U347" s="99">
        <f t="shared" si="116"/>
        <v>0</v>
      </c>
      <c r="V347" s="98">
        <f t="shared" si="106"/>
        <v>0</v>
      </c>
      <c r="W347" s="203" t="str">
        <f t="shared" si="104"/>
        <v/>
      </c>
      <c r="X347" s="98">
        <f t="shared" si="117"/>
        <v>0</v>
      </c>
      <c r="Y347" s="97"/>
      <c r="Z347" s="93"/>
      <c r="AA347" s="98">
        <f t="shared" si="110"/>
        <v>0</v>
      </c>
      <c r="AB347" s="233"/>
      <c r="AC347" s="98">
        <f>IF(SUMIFS('Shipments data'!L:L,'Shipments data'!F:F,'Supply planning data'!C347,'Shipments data'!A:A,'Supply planning data'!A347,'Shipments data'!O:O,"received",'Shipments data'!Q:Q,"&lt;"&amp;'Supply planning data'!D362,'Shipments data'!AC:AC,"&lt;"&amp;'Supply planning data'!D362)-SUMIFS(M:M,D:D,"&lt;="&amp;D347,C:C,C347)-SUMIFS(AA:AA,D:D,"&lt;="&amp;D347,C:C,C347)+SUMIFS(N:N,D:D,"&lt;="&amp;D347,C:C,C347)+SUMIFS(P:P,D:D,"&lt;="&amp;D347,C:C,C347)&lt;0,0,SUMIFS('Shipments data'!L:L,'Shipments data'!F:F,'Supply planning data'!C347,'Shipments data'!A:A,'Supply planning data'!A347,'Shipments data'!O:O,"received",'Shipments data'!Q:Q,"&lt;"&amp;'Supply planning data'!D362,'Shipments data'!AC:AC,"&lt;"&amp;'Supply planning data'!D362)-SUMIFS(M:M,D:D,"&lt;="&amp;D347,C:C,C347)-SUMIFS(AA:AA,D:D,"&lt;="&amp;D347,C:C,C347)+SUMIFS(N:N,D:D,"&lt;="&amp;D347,C:C,C347)+SUMIFS(P:P,D:D,"&lt;="&amp;D347,C:C,C347))</f>
        <v>0</v>
      </c>
      <c r="AD347" s="98">
        <f t="shared" si="118"/>
        <v>0</v>
      </c>
      <c r="AE347" s="98">
        <f t="shared" si="112"/>
        <v>0</v>
      </c>
      <c r="AF347" s="205" t="str">
        <f t="shared" si="103"/>
        <v/>
      </c>
      <c r="AG347" s="98">
        <f t="shared" si="119"/>
        <v>0</v>
      </c>
      <c r="AH347" s="97"/>
      <c r="AI347" s="311"/>
      <c r="AJ347" s="98">
        <f t="shared" si="111"/>
        <v>0</v>
      </c>
      <c r="AK347" s="233"/>
      <c r="AL347" s="98">
        <f>IF(SUMIFS('Shipments data'!L:L,'Shipments data'!F:F,'Supply planning data'!C347,'Shipments data'!A:A,'Supply planning data'!A347,'Shipments data'!O:O,"received",'Shipments data'!Q:Q,"&lt;"&amp;'Supply planning data'!D362,'Shipments data'!AC:AC,"&lt;"&amp;'Supply planning data'!D362)-SUMIFS(M:M,D:D,"&lt;="&amp;D347,C:C,C347)-SUMIFS(AJ:AJ,D:D,"&lt;="&amp;D347,C:C,C347)+SUMIFS(N:N,D:D,"&lt;="&amp;D347,C:C,C347)+SUMIFS(P:P,D:D,"&lt;="&amp;D347,C:C,C347)&lt;0,0,SUMIFS('Shipments data'!L:L,'Shipments data'!F:F,'Supply planning data'!C347,'Shipments data'!A:A,'Supply planning data'!A347,'Shipments data'!O:O,"received",'Shipments data'!Q:Q,"&lt;"&amp;'Supply planning data'!D362,'Shipments data'!AC:AC,"&lt;"&amp;'Supply planning data'!D362)-SUMIFS(M:M,D:D,"&lt;="&amp;D347,C:C,C347)-SUMIFS(AJ:AJ,D:D,"&lt;="&amp;D347,C:C,C347)+SUMIFS(N:N,D:D,"&lt;="&amp;D347,C:C,C347)+SUMIFS(P:P,D:D,"&lt;="&amp;D347,C:C,C347))</f>
        <v>0</v>
      </c>
      <c r="AM347" s="98">
        <f t="shared" si="120"/>
        <v>0</v>
      </c>
      <c r="AN347" s="98">
        <f t="shared" si="113"/>
        <v>0</v>
      </c>
      <c r="AO347" s="203" t="str">
        <f t="shared" si="105"/>
        <v/>
      </c>
    </row>
    <row r="348" spans="1:41" hidden="1" x14ac:dyDescent="0.25">
      <c r="A348" s="95" t="str">
        <f>Start!D$7</f>
        <v>Anyland</v>
      </c>
      <c r="B348" s="96" t="str">
        <f>VLOOKUP(A348,list!B:C,2,FALSE)</f>
        <v>ANY</v>
      </c>
      <c r="C348" s="90" t="str">
        <f>IF(Start!$C$30="","",Start!$C$30)</f>
        <v/>
      </c>
      <c r="D348" s="296">
        <f t="shared" si="114"/>
        <v>44866</v>
      </c>
      <c r="E348" s="92" t="str">
        <f>IFERROR(VLOOKUP(C348,Start!C$15:D$31,2,FALSE),"No")</f>
        <v>No</v>
      </c>
      <c r="F348" s="92">
        <f t="shared" si="115"/>
        <v>0</v>
      </c>
      <c r="G348" s="91"/>
      <c r="H348" s="97"/>
      <c r="I348" s="97"/>
      <c r="J348" s="98">
        <f t="shared" si="107"/>
        <v>0</v>
      </c>
      <c r="K348" s="97"/>
      <c r="L348" s="175" t="str">
        <f t="shared" si="108"/>
        <v/>
      </c>
      <c r="M348" s="98">
        <f t="shared" si="109"/>
        <v>0</v>
      </c>
      <c r="N348" s="97"/>
      <c r="O348" s="122"/>
      <c r="P348" s="97"/>
      <c r="Q348" s="122"/>
      <c r="R348" s="98">
        <f>SUMIFS('Shipments data'!L:L,'Shipments data'!F:F,'Supply planning data'!C348,'Shipments data'!A:A,'Supply planning data'!A348,'Shipments data'!Y:Y,'Supply planning data'!D348,'Shipments data'!O:O,"received", 'Shipments data'!N:N, "Public")</f>
        <v>0</v>
      </c>
      <c r="S348" s="98">
        <f>SUMIFS('Shipments data'!L:L,'Shipments data'!F:F,'Supply planning data'!C348,'Shipments data'!A:A,'Supply planning data'!A348,'Shipments data'!Y:Y,'Supply planning data'!D348,'Shipments data'!O:O,"ordered", 'Shipments data'!N:N, "Public")</f>
        <v>0</v>
      </c>
      <c r="T348" s="98">
        <f>IF(SUMIFS('Shipments data'!L:L,'Shipments data'!F:F,'Supply planning data'!C348,'Shipments data'!A:A,'Supply planning data'!A348,'Shipments data'!O:O,"received",'Shipments data'!Q:Q,"&lt;"&amp;'Supply planning data'!D363,'Shipments data'!AC:AC,"&lt;"&amp;'Supply planning data'!D363)-SUMIFS(M:M,D:D,"&lt;="&amp;D348,C:C,C348)+SUMIFS(N:N,D:D,"&lt;="&amp;D348,C:C,C348)+SUMIFS(P:P,D:D,"&lt;="&amp;D348,C:C,C348)&lt;0,0,SUMIFS('Shipments data'!L:L,'Shipments data'!F:F,'Supply planning data'!C348,'Shipments data'!A:A,'Supply planning data'!A348,'Shipments data'!O:O,"received",'Shipments data'!Q:Q,"&lt;"&amp;'Supply planning data'!D363,'Shipments data'!AC:AC,"&lt;"&amp;'Supply planning data'!D363)-SUMIFS(M:M,D:D,"&lt;="&amp;D348,C:C,C348)+SUMIFS(N:N,D:D,"&lt;="&amp;D348,C:C,C348)+SUMIFS(P:P,D:D,"&lt;="&amp;D348,C:C,C348))</f>
        <v>0</v>
      </c>
      <c r="U348" s="99">
        <f t="shared" si="116"/>
        <v>0</v>
      </c>
      <c r="V348" s="98">
        <f t="shared" si="106"/>
        <v>0</v>
      </c>
      <c r="W348" s="203" t="str">
        <f t="shared" si="104"/>
        <v/>
      </c>
      <c r="X348" s="98">
        <f t="shared" si="117"/>
        <v>0</v>
      </c>
      <c r="Y348" s="97"/>
      <c r="Z348" s="93"/>
      <c r="AA348" s="98">
        <f t="shared" si="110"/>
        <v>0</v>
      </c>
      <c r="AB348" s="233"/>
      <c r="AC348" s="98">
        <f>IF(SUMIFS('Shipments data'!L:L,'Shipments data'!F:F,'Supply planning data'!C348,'Shipments data'!A:A,'Supply planning data'!A348,'Shipments data'!O:O,"received",'Shipments data'!Q:Q,"&lt;"&amp;'Supply planning data'!D363,'Shipments data'!AC:AC,"&lt;"&amp;'Supply planning data'!D363)-SUMIFS(M:M,D:D,"&lt;="&amp;D348,C:C,C348)-SUMIFS(AA:AA,D:D,"&lt;="&amp;D348,C:C,C348)+SUMIFS(N:N,D:D,"&lt;="&amp;D348,C:C,C348)+SUMIFS(P:P,D:D,"&lt;="&amp;D348,C:C,C348)&lt;0,0,SUMIFS('Shipments data'!L:L,'Shipments data'!F:F,'Supply planning data'!C348,'Shipments data'!A:A,'Supply planning data'!A348,'Shipments data'!O:O,"received",'Shipments data'!Q:Q,"&lt;"&amp;'Supply planning data'!D363,'Shipments data'!AC:AC,"&lt;"&amp;'Supply planning data'!D363)-SUMIFS(M:M,D:D,"&lt;="&amp;D348,C:C,C348)-SUMIFS(AA:AA,D:D,"&lt;="&amp;D348,C:C,C348)+SUMIFS(N:N,D:D,"&lt;="&amp;D348,C:C,C348)+SUMIFS(P:P,D:D,"&lt;="&amp;D348,C:C,C348))</f>
        <v>0</v>
      </c>
      <c r="AD348" s="98">
        <f t="shared" si="118"/>
        <v>0</v>
      </c>
      <c r="AE348" s="98">
        <f t="shared" si="112"/>
        <v>0</v>
      </c>
      <c r="AF348" s="205" t="str">
        <f t="shared" si="103"/>
        <v/>
      </c>
      <c r="AG348" s="98">
        <f t="shared" si="119"/>
        <v>0</v>
      </c>
      <c r="AH348" s="97"/>
      <c r="AI348" s="311"/>
      <c r="AJ348" s="98">
        <f t="shared" si="111"/>
        <v>0</v>
      </c>
      <c r="AK348" s="233"/>
      <c r="AL348" s="98">
        <f>IF(SUMIFS('Shipments data'!L:L,'Shipments data'!F:F,'Supply planning data'!C348,'Shipments data'!A:A,'Supply planning data'!A348,'Shipments data'!O:O,"received",'Shipments data'!Q:Q,"&lt;"&amp;'Supply planning data'!D363,'Shipments data'!AC:AC,"&lt;"&amp;'Supply planning data'!D363)-SUMIFS(M:M,D:D,"&lt;="&amp;D348,C:C,C348)-SUMIFS(AJ:AJ,D:D,"&lt;="&amp;D348,C:C,C348)+SUMIFS(N:N,D:D,"&lt;="&amp;D348,C:C,C348)+SUMIFS(P:P,D:D,"&lt;="&amp;D348,C:C,C348)&lt;0,0,SUMIFS('Shipments data'!L:L,'Shipments data'!F:F,'Supply planning data'!C348,'Shipments data'!A:A,'Supply planning data'!A348,'Shipments data'!O:O,"received",'Shipments data'!Q:Q,"&lt;"&amp;'Supply planning data'!D363,'Shipments data'!AC:AC,"&lt;"&amp;'Supply planning data'!D363)-SUMIFS(M:M,D:D,"&lt;="&amp;D348,C:C,C348)-SUMIFS(AJ:AJ,D:D,"&lt;="&amp;D348,C:C,C348)+SUMIFS(N:N,D:D,"&lt;="&amp;D348,C:C,C348)+SUMIFS(P:P,D:D,"&lt;="&amp;D348,C:C,C348))</f>
        <v>0</v>
      </c>
      <c r="AM348" s="98">
        <f t="shared" si="120"/>
        <v>0</v>
      </c>
      <c r="AN348" s="98">
        <f t="shared" si="113"/>
        <v>0</v>
      </c>
      <c r="AO348" s="203" t="str">
        <f t="shared" si="105"/>
        <v/>
      </c>
    </row>
    <row r="349" spans="1:41" hidden="1" x14ac:dyDescent="0.25">
      <c r="A349" s="95" t="str">
        <f>Start!D$7</f>
        <v>Anyland</v>
      </c>
      <c r="B349" s="100" t="str">
        <f>VLOOKUP(A349,list!B:C,2,FALSE)</f>
        <v>ANY</v>
      </c>
      <c r="C349" s="90" t="str">
        <f>IF(Start!$C$31="","",Start!$C$31)</f>
        <v/>
      </c>
      <c r="D349" s="296">
        <f t="shared" si="114"/>
        <v>44866</v>
      </c>
      <c r="E349" s="92" t="str">
        <f>IFERROR(VLOOKUP(C349,Start!C$15:D$31,2,FALSE),"No")</f>
        <v>No</v>
      </c>
      <c r="F349" s="92">
        <f t="shared" si="115"/>
        <v>0</v>
      </c>
      <c r="G349" s="91"/>
      <c r="H349" s="97"/>
      <c r="I349" s="97"/>
      <c r="J349" s="98">
        <f t="shared" si="107"/>
        <v>0</v>
      </c>
      <c r="K349" s="97"/>
      <c r="L349" s="175" t="str">
        <f t="shared" si="108"/>
        <v/>
      </c>
      <c r="M349" s="98">
        <f t="shared" si="109"/>
        <v>0</v>
      </c>
      <c r="N349" s="97"/>
      <c r="O349" s="122"/>
      <c r="P349" s="97"/>
      <c r="Q349" s="122"/>
      <c r="R349" s="98">
        <f>SUMIFS('Shipments data'!L:L,'Shipments data'!F:F,'Supply planning data'!C349,'Shipments data'!A:A,'Supply planning data'!A349,'Shipments data'!Y:Y,'Supply planning data'!D349,'Shipments data'!O:O,"received", 'Shipments data'!N:N, "Public")</f>
        <v>0</v>
      </c>
      <c r="S349" s="98">
        <f>SUMIFS('Shipments data'!L:L,'Shipments data'!F:F,'Supply planning data'!C349,'Shipments data'!A:A,'Supply planning data'!A349,'Shipments data'!Y:Y,'Supply planning data'!D349,'Shipments data'!O:O,"ordered", 'Shipments data'!N:N, "Public")</f>
        <v>0</v>
      </c>
      <c r="T349" s="98">
        <f>IF(SUMIFS('Shipments data'!L:L,'Shipments data'!F:F,'Supply planning data'!C349,'Shipments data'!A:A,'Supply planning data'!A349,'Shipments data'!O:O,"received",'Shipments data'!Q:Q,"&lt;"&amp;'Supply planning data'!D364,'Shipments data'!AC:AC,"&lt;"&amp;'Supply planning data'!D364)-SUMIFS(M:M,D:D,"&lt;="&amp;D349,C:C,C349)+SUMIFS(N:N,D:D,"&lt;="&amp;D349,C:C,C349)+SUMIFS(P:P,D:D,"&lt;="&amp;D349,C:C,C349)&lt;0,0,SUMIFS('Shipments data'!L:L,'Shipments data'!F:F,'Supply planning data'!C349,'Shipments data'!A:A,'Supply planning data'!A349,'Shipments data'!O:O,"received",'Shipments data'!Q:Q,"&lt;"&amp;'Supply planning data'!D364,'Shipments data'!AC:AC,"&lt;"&amp;'Supply planning data'!D364)-SUMIFS(M:M,D:D,"&lt;="&amp;D349,C:C,C349)+SUMIFS(N:N,D:D,"&lt;="&amp;D349,C:C,C349)+SUMIFS(P:P,D:D,"&lt;="&amp;D349,C:C,C349))</f>
        <v>0</v>
      </c>
      <c r="U349" s="99">
        <f t="shared" si="116"/>
        <v>0</v>
      </c>
      <c r="V349" s="98">
        <f t="shared" si="106"/>
        <v>0</v>
      </c>
      <c r="W349" s="203" t="str">
        <f t="shared" si="104"/>
        <v/>
      </c>
      <c r="X349" s="98">
        <f t="shared" si="117"/>
        <v>0</v>
      </c>
      <c r="Y349" s="97"/>
      <c r="Z349" s="93"/>
      <c r="AA349" s="98">
        <f t="shared" si="110"/>
        <v>0</v>
      </c>
      <c r="AB349" s="233"/>
      <c r="AC349" s="98">
        <f>IF(SUMIFS('Shipments data'!L:L,'Shipments data'!F:F,'Supply planning data'!C349,'Shipments data'!A:A,'Supply planning data'!A349,'Shipments data'!O:O,"received",'Shipments data'!Q:Q,"&lt;"&amp;'Supply planning data'!D364,'Shipments data'!AC:AC,"&lt;"&amp;'Supply planning data'!D364)-SUMIFS(M:M,D:D,"&lt;="&amp;D349,C:C,C349)-SUMIFS(AA:AA,D:D,"&lt;="&amp;D349,C:C,C349)+SUMIFS(N:N,D:D,"&lt;="&amp;D349,C:C,C349)+SUMIFS(P:P,D:D,"&lt;="&amp;D349,C:C,C349)&lt;0,0,SUMIFS('Shipments data'!L:L,'Shipments data'!F:F,'Supply planning data'!C349,'Shipments data'!A:A,'Supply planning data'!A349,'Shipments data'!O:O,"received",'Shipments data'!Q:Q,"&lt;"&amp;'Supply planning data'!D364,'Shipments data'!AC:AC,"&lt;"&amp;'Supply planning data'!D364)-SUMIFS(M:M,D:D,"&lt;="&amp;D349,C:C,C349)-SUMIFS(AA:AA,D:D,"&lt;="&amp;D349,C:C,C349)+SUMIFS(N:N,D:D,"&lt;="&amp;D349,C:C,C349)+SUMIFS(P:P,D:D,"&lt;="&amp;D349,C:C,C349))</f>
        <v>0</v>
      </c>
      <c r="AD349" s="98">
        <f t="shared" si="118"/>
        <v>0</v>
      </c>
      <c r="AE349" s="98">
        <f t="shared" si="112"/>
        <v>0</v>
      </c>
      <c r="AF349" s="205" t="str">
        <f t="shared" si="103"/>
        <v/>
      </c>
      <c r="AG349" s="98">
        <f t="shared" si="119"/>
        <v>0</v>
      </c>
      <c r="AH349" s="97"/>
      <c r="AI349" s="311"/>
      <c r="AJ349" s="98">
        <f t="shared" si="111"/>
        <v>0</v>
      </c>
      <c r="AK349" s="233"/>
      <c r="AL349" s="98">
        <f>IF(SUMIFS('Shipments data'!L:L,'Shipments data'!F:F,'Supply planning data'!C349,'Shipments data'!A:A,'Supply planning data'!A349,'Shipments data'!O:O,"received",'Shipments data'!Q:Q,"&lt;"&amp;'Supply planning data'!D364,'Shipments data'!AC:AC,"&lt;"&amp;'Supply planning data'!D364)-SUMIFS(M:M,D:D,"&lt;="&amp;D349,C:C,C349)-SUMIFS(AJ:AJ,D:D,"&lt;="&amp;D349,C:C,C349)+SUMIFS(N:N,D:D,"&lt;="&amp;D349,C:C,C349)+SUMIFS(P:P,D:D,"&lt;="&amp;D349,C:C,C349)&lt;0,0,SUMIFS('Shipments data'!L:L,'Shipments data'!F:F,'Supply planning data'!C349,'Shipments data'!A:A,'Supply planning data'!A349,'Shipments data'!O:O,"received",'Shipments data'!Q:Q,"&lt;"&amp;'Supply planning data'!D364,'Shipments data'!AC:AC,"&lt;"&amp;'Supply planning data'!D364)-SUMIFS(M:M,D:D,"&lt;="&amp;D349,C:C,C349)-SUMIFS(AJ:AJ,D:D,"&lt;="&amp;D349,C:C,C349)+SUMIFS(N:N,D:D,"&lt;="&amp;D349,C:C,C349)+SUMIFS(P:P,D:D,"&lt;="&amp;D349,C:C,C349))</f>
        <v>0</v>
      </c>
      <c r="AM349" s="98">
        <f t="shared" si="120"/>
        <v>0</v>
      </c>
      <c r="AN349" s="98">
        <f t="shared" si="113"/>
        <v>0</v>
      </c>
      <c r="AO349" s="203" t="str">
        <f t="shared" si="105"/>
        <v/>
      </c>
    </row>
    <row r="350" spans="1:41" x14ac:dyDescent="0.25">
      <c r="A350" s="103" t="str">
        <f>Start!D$7</f>
        <v>Anyland</v>
      </c>
      <c r="B350" s="104" t="str">
        <f>VLOOKUP(A350,list!B:C,2,FALSE)</f>
        <v>ANY</v>
      </c>
      <c r="C350" s="104" t="str">
        <f>IF(Start!$C$17="","",Start!$C$17)</f>
        <v>AstraZeneca</v>
      </c>
      <c r="D350" s="298">
        <f t="shared" si="114"/>
        <v>44896</v>
      </c>
      <c r="E350" s="105" t="str">
        <f>IFERROR(VLOOKUP(C350,Start!C$15:D$31,2,FALSE),"No")</f>
        <v>Yes</v>
      </c>
      <c r="F350" s="105">
        <f t="shared" si="115"/>
        <v>0</v>
      </c>
      <c r="G350" s="106"/>
      <c r="H350" s="106"/>
      <c r="I350" s="106"/>
      <c r="J350" s="105">
        <f t="shared" si="107"/>
        <v>0</v>
      </c>
      <c r="K350" s="106"/>
      <c r="L350" s="177" t="str">
        <f t="shared" si="108"/>
        <v/>
      </c>
      <c r="M350" s="105">
        <f t="shared" si="109"/>
        <v>0</v>
      </c>
      <c r="N350" s="106"/>
      <c r="O350" s="123"/>
      <c r="P350" s="106"/>
      <c r="Q350" s="123"/>
      <c r="R350" s="105">
        <f>SUMIFS('Shipments data'!L:L,'Shipments data'!F:F,'Supply planning data'!C350,'Shipments data'!A:A,'Supply planning data'!A350,'Shipments data'!Y:Y,'Supply planning data'!D350,'Shipments data'!O:O,"received", 'Shipments data'!N:N, "Public")</f>
        <v>0</v>
      </c>
      <c r="S350" s="105">
        <f>SUMIFS('Shipments data'!L:L,'Shipments data'!F:F,'Supply planning data'!C350,'Shipments data'!A:A,'Supply planning data'!A350,'Shipments data'!Y:Y,'Supply planning data'!D350,'Shipments data'!O:O,"ordered", 'Shipments data'!N:N, "Public")</f>
        <v>0</v>
      </c>
      <c r="T350" s="105">
        <f>IF(SUMIFS('Shipments data'!L:L,'Shipments data'!F:F,'Supply planning data'!C350,'Shipments data'!A:A,'Supply planning data'!A350,'Shipments data'!O:O,"received",'Shipments data'!Q:Q,"&lt;"&amp;'Supply planning data'!D365,'Shipments data'!AC:AC,"&lt;"&amp;'Supply planning data'!D365)-SUMIFS(M:M,D:D,"&lt;="&amp;D350,C:C,C350)+SUMIFS(N:N,D:D,"&lt;="&amp;D350,C:C,C350)+SUMIFS(P:P,D:D,"&lt;="&amp;D350,C:C,C350)&lt;0,0,SUMIFS('Shipments data'!L:L,'Shipments data'!F:F,'Supply planning data'!C350,'Shipments data'!A:A,'Supply planning data'!A350,'Shipments data'!O:O,"received",'Shipments data'!Q:Q,"&lt;"&amp;'Supply planning data'!D365,'Shipments data'!AC:AC,"&lt;"&amp;'Supply planning data'!D365)-SUMIFS(M:M,D:D,"&lt;="&amp;D350,C:C,C350)+SUMIFS(N:N,D:D,"&lt;="&amp;D350,C:C,C350)+SUMIFS(P:P,D:D,"&lt;="&amp;D350,C:C,C350))</f>
        <v>0</v>
      </c>
      <c r="U350" s="108">
        <f t="shared" si="116"/>
        <v>0</v>
      </c>
      <c r="V350" s="105">
        <f t="shared" si="106"/>
        <v>0</v>
      </c>
      <c r="W350" s="206" t="str">
        <f t="shared" si="104"/>
        <v/>
      </c>
      <c r="X350" s="105">
        <f t="shared" si="117"/>
        <v>154701</v>
      </c>
      <c r="Y350" s="106"/>
      <c r="Z350" s="107"/>
      <c r="AA350" s="105">
        <f t="shared" si="110"/>
        <v>0</v>
      </c>
      <c r="AB350" s="234"/>
      <c r="AC350" s="105">
        <f>IF(SUMIFS('Shipments data'!L:L,'Shipments data'!F:F,'Supply planning data'!C350,'Shipments data'!A:A,'Supply planning data'!A350,'Shipments data'!O:O,"received",'Shipments data'!Q:Q,"&lt;"&amp;'Supply planning data'!D365,'Shipments data'!AC:AC,"&lt;"&amp;'Supply planning data'!D365)-SUMIFS(M:M,D:D,"&lt;="&amp;D350,C:C,C350)-SUMIFS(AA:AA,D:D,"&lt;="&amp;D350,C:C,C350)+SUMIFS(N:N,D:D,"&lt;="&amp;D350,C:C,C350)+SUMIFS(P:P,D:D,"&lt;="&amp;D350,C:C,C350)&lt;0,0,SUMIFS('Shipments data'!L:L,'Shipments data'!F:F,'Supply planning data'!C350,'Shipments data'!A:A,'Supply planning data'!A350,'Shipments data'!O:O,"received",'Shipments data'!Q:Q,"&lt;"&amp;'Supply planning data'!D365,'Shipments data'!AC:AC,"&lt;"&amp;'Supply planning data'!D365)-SUMIFS(M:M,D:D,"&lt;="&amp;D350,C:C,C350)-SUMIFS(AA:AA,D:D,"&lt;="&amp;D350,C:C,C350)+SUMIFS(N:N,D:D,"&lt;="&amp;D350,C:C,C350)+SUMIFS(P:P,D:D,"&lt;="&amp;D350,C:C,C350))</f>
        <v>0</v>
      </c>
      <c r="AD350" s="105">
        <f t="shared" si="118"/>
        <v>0</v>
      </c>
      <c r="AE350" s="105">
        <f t="shared" si="112"/>
        <v>154701</v>
      </c>
      <c r="AF350" s="206" t="str">
        <f t="shared" si="103"/>
        <v/>
      </c>
      <c r="AG350" s="105">
        <f t="shared" si="119"/>
        <v>0</v>
      </c>
      <c r="AH350" s="106"/>
      <c r="AI350" s="312"/>
      <c r="AJ350" s="105">
        <f t="shared" si="111"/>
        <v>0</v>
      </c>
      <c r="AK350" s="234"/>
      <c r="AL350" s="105">
        <f>IF(SUMIFS('Shipments data'!L:L,'Shipments data'!F:F,'Supply planning data'!C350,'Shipments data'!A:A,'Supply planning data'!A350,'Shipments data'!O:O,"received",'Shipments data'!Q:Q,"&lt;"&amp;'Supply planning data'!D365,'Shipments data'!AC:AC,"&lt;"&amp;'Supply planning data'!D365)-SUMIFS(M:M,D:D,"&lt;="&amp;D350,C:C,C350)-SUMIFS(AJ:AJ,D:D,"&lt;="&amp;D350,C:C,C350)+SUMIFS(N:N,D:D,"&lt;="&amp;D350,C:C,C350)+SUMIFS(P:P,D:D,"&lt;="&amp;D350,C:C,C350)&lt;0,0,SUMIFS('Shipments data'!L:L,'Shipments data'!F:F,'Supply planning data'!C350,'Shipments data'!A:A,'Supply planning data'!A350,'Shipments data'!O:O,"received",'Shipments data'!Q:Q,"&lt;"&amp;'Supply planning data'!D365,'Shipments data'!AC:AC,"&lt;"&amp;'Supply planning data'!D365)-SUMIFS(M:M,D:D,"&lt;="&amp;D350,C:C,C350)-SUMIFS(AJ:AJ,D:D,"&lt;="&amp;D350,C:C,C350)+SUMIFS(N:N,D:D,"&lt;="&amp;D350,C:C,C350)+SUMIFS(P:P,D:D,"&lt;="&amp;D350,C:C,C350))</f>
        <v>0</v>
      </c>
      <c r="AM350" s="105">
        <f t="shared" si="120"/>
        <v>0</v>
      </c>
      <c r="AN350" s="105">
        <f t="shared" si="113"/>
        <v>0</v>
      </c>
      <c r="AO350" s="206" t="str">
        <f t="shared" si="105"/>
        <v/>
      </c>
    </row>
    <row r="351" spans="1:41" x14ac:dyDescent="0.25">
      <c r="A351" s="103" t="str">
        <f>Start!D$7</f>
        <v>Anyland</v>
      </c>
      <c r="B351" s="109" t="str">
        <f>VLOOKUP(A351,list!B:C,2,FALSE)</f>
        <v>ANY</v>
      </c>
      <c r="C351" s="109" t="str">
        <f>IF(Start!$C$18="","",Start!$C$18)</f>
        <v>Jansen</v>
      </c>
      <c r="D351" s="298">
        <f t="shared" si="114"/>
        <v>44896</v>
      </c>
      <c r="E351" s="105" t="str">
        <f>IFERROR(VLOOKUP(C351,Start!C$15:D$31,2,FALSE),"No")</f>
        <v>Yes</v>
      </c>
      <c r="F351" s="105">
        <f t="shared" si="115"/>
        <v>2258747</v>
      </c>
      <c r="G351" s="106"/>
      <c r="H351" s="106"/>
      <c r="I351" s="106"/>
      <c r="J351" s="105">
        <f t="shared" si="107"/>
        <v>0</v>
      </c>
      <c r="K351" s="106"/>
      <c r="L351" s="177" t="str">
        <f t="shared" si="108"/>
        <v/>
      </c>
      <c r="M351" s="105">
        <f t="shared" si="109"/>
        <v>0</v>
      </c>
      <c r="N351" s="110"/>
      <c r="O351" s="124"/>
      <c r="P351" s="110"/>
      <c r="Q351" s="124"/>
      <c r="R351" s="111">
        <f>SUMIFS('Shipments data'!L:L,'Shipments data'!F:F,'Supply planning data'!C351,'Shipments data'!A:A,'Supply planning data'!A351,'Shipments data'!Y:Y,'Supply planning data'!D351,'Shipments data'!O:O,"received", 'Shipments data'!N:N, "Public")</f>
        <v>0</v>
      </c>
      <c r="S351" s="111">
        <f>SUMIFS('Shipments data'!L:L,'Shipments data'!F:F,'Supply planning data'!C351,'Shipments data'!A:A,'Supply planning data'!A351,'Shipments data'!Y:Y,'Supply planning data'!D351,'Shipments data'!O:O,"ordered", 'Shipments data'!N:N, "Public")</f>
        <v>0</v>
      </c>
      <c r="T351" s="111">
        <f>IF(SUMIFS('Shipments data'!L:L,'Shipments data'!F:F,'Supply planning data'!C351,'Shipments data'!A:A,'Supply planning data'!A351,'Shipments data'!O:O,"received",'Shipments data'!Q:Q,"&lt;"&amp;'Supply planning data'!D366,'Shipments data'!AC:AC,"&lt;"&amp;'Supply planning data'!D366)-SUMIFS(M:M,D:D,"&lt;="&amp;D351,C:C,C351)+SUMIFS(N:N,D:D,"&lt;="&amp;D351,C:C,C351)+SUMIFS(P:P,D:D,"&lt;="&amp;D351,C:C,C351)&lt;0,0,SUMIFS('Shipments data'!L:L,'Shipments data'!F:F,'Supply planning data'!C351,'Shipments data'!A:A,'Supply planning data'!A351,'Shipments data'!O:O,"received",'Shipments data'!Q:Q,"&lt;"&amp;'Supply planning data'!D366,'Shipments data'!AC:AC,"&lt;"&amp;'Supply planning data'!D366)-SUMIFS(M:M,D:D,"&lt;="&amp;D351,C:C,C351)+SUMIFS(N:N,D:D,"&lt;="&amp;D351,C:C,C351)+SUMIFS(P:P,D:D,"&lt;="&amp;D351,C:C,C351))</f>
        <v>0</v>
      </c>
      <c r="U351" s="112">
        <f t="shared" si="116"/>
        <v>0</v>
      </c>
      <c r="V351" s="111">
        <f t="shared" si="106"/>
        <v>2258747</v>
      </c>
      <c r="W351" s="204" t="str">
        <f t="shared" si="104"/>
        <v/>
      </c>
      <c r="X351" s="111">
        <f t="shared" si="117"/>
        <v>1698747</v>
      </c>
      <c r="Y351" s="110"/>
      <c r="Z351" s="107"/>
      <c r="AA351" s="111">
        <f t="shared" si="110"/>
        <v>0</v>
      </c>
      <c r="AB351" s="235"/>
      <c r="AC351" s="111">
        <f>IF(SUMIFS('Shipments data'!L:L,'Shipments data'!F:F,'Supply planning data'!C351,'Shipments data'!A:A,'Supply planning data'!A351,'Shipments data'!O:O,"received",'Shipments data'!Q:Q,"&lt;"&amp;'Supply planning data'!D366,'Shipments data'!AC:AC,"&lt;"&amp;'Supply planning data'!D366)-SUMIFS(M:M,D:D,"&lt;="&amp;D351,C:C,C351)-SUMIFS(AA:AA,D:D,"&lt;="&amp;D351,C:C,C351)+SUMIFS(N:N,D:D,"&lt;="&amp;D351,C:C,C351)+SUMIFS(P:P,D:D,"&lt;="&amp;D351,C:C,C351)&lt;0,0,SUMIFS('Shipments data'!L:L,'Shipments data'!F:F,'Supply planning data'!C351,'Shipments data'!A:A,'Supply planning data'!A351,'Shipments data'!O:O,"received",'Shipments data'!Q:Q,"&lt;"&amp;'Supply planning data'!D366,'Shipments data'!AC:AC,"&lt;"&amp;'Supply planning data'!D366)-SUMIFS(M:M,D:D,"&lt;="&amp;D351,C:C,C351)-SUMIFS(AA:AA,D:D,"&lt;="&amp;D351,C:C,C351)+SUMIFS(N:N,D:D,"&lt;="&amp;D351,C:C,C351)+SUMIFS(P:P,D:D,"&lt;="&amp;D351,C:C,C351))</f>
        <v>0</v>
      </c>
      <c r="AD351" s="111">
        <f t="shared" si="118"/>
        <v>0</v>
      </c>
      <c r="AE351" s="111">
        <f t="shared" si="112"/>
        <v>1698747</v>
      </c>
      <c r="AF351" s="204" t="str">
        <f t="shared" ref="AF351:AF414" si="121">IF(M351+AA351&lt;=0,"",IFERROR(AE351/(SUM(M351,M381,M366,AA351,AA381,AA366)/3),""))</f>
        <v/>
      </c>
      <c r="AG351" s="111">
        <f t="shared" si="119"/>
        <v>2258747</v>
      </c>
      <c r="AH351" s="110"/>
      <c r="AI351" s="313"/>
      <c r="AJ351" s="111">
        <f t="shared" si="111"/>
        <v>0</v>
      </c>
      <c r="AK351" s="235"/>
      <c r="AL351" s="111">
        <f>IF(SUMIFS('Shipments data'!L:L,'Shipments data'!F:F,'Supply planning data'!C351,'Shipments data'!A:A,'Supply planning data'!A351,'Shipments data'!O:O,"received",'Shipments data'!Q:Q,"&lt;"&amp;'Supply planning data'!D366,'Shipments data'!AC:AC,"&lt;"&amp;'Supply planning data'!D366)-SUMIFS(M:M,D:D,"&lt;="&amp;D351,C:C,C351)-SUMIFS(AJ:AJ,D:D,"&lt;="&amp;D351,C:C,C351)+SUMIFS(N:N,D:D,"&lt;="&amp;D351,C:C,C351)+SUMIFS(P:P,D:D,"&lt;="&amp;D351,C:C,C351)&lt;0,0,SUMIFS('Shipments data'!L:L,'Shipments data'!F:F,'Supply planning data'!C351,'Shipments data'!A:A,'Supply planning data'!A351,'Shipments data'!O:O,"received",'Shipments data'!Q:Q,"&lt;"&amp;'Supply planning data'!D366,'Shipments data'!AC:AC,"&lt;"&amp;'Supply planning data'!D366)-SUMIFS(M:M,D:D,"&lt;="&amp;D351,C:C,C351)-SUMIFS(AJ:AJ,D:D,"&lt;="&amp;D351,C:C,C351)+SUMIFS(N:N,D:D,"&lt;="&amp;D351,C:C,C351)+SUMIFS(P:P,D:D,"&lt;="&amp;D351,C:C,C351))</f>
        <v>0</v>
      </c>
      <c r="AM351" s="111">
        <f t="shared" si="120"/>
        <v>0</v>
      </c>
      <c r="AN351" s="111">
        <f t="shared" si="113"/>
        <v>2258747</v>
      </c>
      <c r="AO351" s="204" t="str">
        <f t="shared" si="105"/>
        <v/>
      </c>
    </row>
    <row r="352" spans="1:41" x14ac:dyDescent="0.25">
      <c r="A352" s="103" t="str">
        <f>Start!D$7</f>
        <v>Anyland</v>
      </c>
      <c r="B352" s="109" t="str">
        <f>VLOOKUP(A352,list!B:C,2,FALSE)</f>
        <v>ANY</v>
      </c>
      <c r="C352" s="104" t="str">
        <f>IF(Start!$C$19="","",Start!$C$19)</f>
        <v>Moderna</v>
      </c>
      <c r="D352" s="298">
        <f t="shared" si="114"/>
        <v>44896</v>
      </c>
      <c r="E352" s="105" t="str">
        <f>IFERROR(VLOOKUP(C352,Start!C$15:D$31,2,FALSE),"No")</f>
        <v>No</v>
      </c>
      <c r="F352" s="105">
        <f t="shared" si="115"/>
        <v>0</v>
      </c>
      <c r="G352" s="106"/>
      <c r="H352" s="106"/>
      <c r="I352" s="106"/>
      <c r="J352" s="105">
        <f t="shared" si="107"/>
        <v>0</v>
      </c>
      <c r="K352" s="106"/>
      <c r="L352" s="177" t="str">
        <f t="shared" si="108"/>
        <v/>
      </c>
      <c r="M352" s="105">
        <f t="shared" si="109"/>
        <v>0</v>
      </c>
      <c r="N352" s="110"/>
      <c r="O352" s="124"/>
      <c r="P352" s="110"/>
      <c r="Q352" s="124"/>
      <c r="R352" s="111">
        <f>SUMIFS('Shipments data'!L:L,'Shipments data'!F:F,'Supply planning data'!C352,'Shipments data'!A:A,'Supply planning data'!A352,'Shipments data'!Y:Y,'Supply planning data'!D352,'Shipments data'!O:O,"received", 'Shipments data'!N:N, "Public")</f>
        <v>0</v>
      </c>
      <c r="S352" s="111">
        <f>SUMIFS('Shipments data'!L:L,'Shipments data'!F:F,'Supply planning data'!C352,'Shipments data'!A:A,'Supply planning data'!A352,'Shipments data'!Y:Y,'Supply planning data'!D352,'Shipments data'!O:O,"ordered", 'Shipments data'!N:N, "Public")</f>
        <v>0</v>
      </c>
      <c r="T352" s="111">
        <f>IF(SUMIFS('Shipments data'!L:L,'Shipments data'!F:F,'Supply planning data'!C352,'Shipments data'!A:A,'Supply planning data'!A352,'Shipments data'!O:O,"received",'Shipments data'!Q:Q,"&lt;"&amp;'Supply planning data'!D367,'Shipments data'!AC:AC,"&lt;"&amp;'Supply planning data'!D367)-SUMIFS(M:M,D:D,"&lt;="&amp;D352,C:C,C352)+SUMIFS(N:N,D:D,"&lt;="&amp;D352,C:C,C352)+SUMIFS(P:P,D:D,"&lt;="&amp;D352,C:C,C352)&lt;0,0,SUMIFS('Shipments data'!L:L,'Shipments data'!F:F,'Supply planning data'!C352,'Shipments data'!A:A,'Supply planning data'!A352,'Shipments data'!O:O,"received",'Shipments data'!Q:Q,"&lt;"&amp;'Supply planning data'!D367,'Shipments data'!AC:AC,"&lt;"&amp;'Supply planning data'!D367)-SUMIFS(M:M,D:D,"&lt;="&amp;D352,C:C,C352)+SUMIFS(N:N,D:D,"&lt;="&amp;D352,C:C,C352)+SUMIFS(P:P,D:D,"&lt;="&amp;D352,C:C,C352))</f>
        <v>0</v>
      </c>
      <c r="U352" s="112">
        <f t="shared" si="116"/>
        <v>0</v>
      </c>
      <c r="V352" s="111">
        <f t="shared" si="106"/>
        <v>0</v>
      </c>
      <c r="W352" s="204" t="str">
        <f t="shared" si="104"/>
        <v/>
      </c>
      <c r="X352" s="111">
        <f t="shared" si="117"/>
        <v>0</v>
      </c>
      <c r="Y352" s="110"/>
      <c r="Z352" s="107"/>
      <c r="AA352" s="111">
        <f t="shared" si="110"/>
        <v>0</v>
      </c>
      <c r="AB352" s="235"/>
      <c r="AC352" s="111">
        <f>IF(SUMIFS('Shipments data'!L:L,'Shipments data'!F:F,'Supply planning data'!C352,'Shipments data'!A:A,'Supply planning data'!A352,'Shipments data'!O:O,"received",'Shipments data'!Q:Q,"&lt;"&amp;'Supply planning data'!D367,'Shipments data'!AC:AC,"&lt;"&amp;'Supply planning data'!D367)-SUMIFS(M:M,D:D,"&lt;="&amp;D352,C:C,C352)-SUMIFS(AA:AA,D:D,"&lt;="&amp;D352,C:C,C352)+SUMIFS(N:N,D:D,"&lt;="&amp;D352,C:C,C352)+SUMIFS(P:P,D:D,"&lt;="&amp;D352,C:C,C352)&lt;0,0,SUMIFS('Shipments data'!L:L,'Shipments data'!F:F,'Supply planning data'!C352,'Shipments data'!A:A,'Supply planning data'!A352,'Shipments data'!O:O,"received",'Shipments data'!Q:Q,"&lt;"&amp;'Supply planning data'!D367,'Shipments data'!AC:AC,"&lt;"&amp;'Supply planning data'!D367)-SUMIFS(M:M,D:D,"&lt;="&amp;D352,C:C,C352)-SUMIFS(AA:AA,D:D,"&lt;="&amp;D352,C:C,C352)+SUMIFS(N:N,D:D,"&lt;="&amp;D352,C:C,C352)+SUMIFS(P:P,D:D,"&lt;="&amp;D352,C:C,C352))</f>
        <v>0</v>
      </c>
      <c r="AD352" s="111">
        <f t="shared" si="118"/>
        <v>0</v>
      </c>
      <c r="AE352" s="111">
        <f t="shared" si="112"/>
        <v>0</v>
      </c>
      <c r="AF352" s="204" t="str">
        <f t="shared" si="121"/>
        <v/>
      </c>
      <c r="AG352" s="111">
        <f t="shared" si="119"/>
        <v>0</v>
      </c>
      <c r="AH352" s="110"/>
      <c r="AI352" s="313"/>
      <c r="AJ352" s="111">
        <f t="shared" si="111"/>
        <v>0</v>
      </c>
      <c r="AK352" s="235"/>
      <c r="AL352" s="111">
        <f>IF(SUMIFS('Shipments data'!L:L,'Shipments data'!F:F,'Supply planning data'!C352,'Shipments data'!A:A,'Supply planning data'!A352,'Shipments data'!O:O,"received",'Shipments data'!Q:Q,"&lt;"&amp;'Supply planning data'!D367,'Shipments data'!AC:AC,"&lt;"&amp;'Supply planning data'!D367)-SUMIFS(M:M,D:D,"&lt;="&amp;D352,C:C,C352)-SUMIFS(AJ:AJ,D:D,"&lt;="&amp;D352,C:C,C352)+SUMIFS(N:N,D:D,"&lt;="&amp;D352,C:C,C352)+SUMIFS(P:P,D:D,"&lt;="&amp;D352,C:C,C352)&lt;0,0,SUMIFS('Shipments data'!L:L,'Shipments data'!F:F,'Supply planning data'!C352,'Shipments data'!A:A,'Supply planning data'!A352,'Shipments data'!O:O,"received",'Shipments data'!Q:Q,"&lt;"&amp;'Supply planning data'!D367,'Shipments data'!AC:AC,"&lt;"&amp;'Supply planning data'!D367)-SUMIFS(M:M,D:D,"&lt;="&amp;D352,C:C,C352)-SUMIFS(AJ:AJ,D:D,"&lt;="&amp;D352,C:C,C352)+SUMIFS(N:N,D:D,"&lt;="&amp;D352,C:C,C352)+SUMIFS(P:P,D:D,"&lt;="&amp;D352,C:C,C352))</f>
        <v>0</v>
      </c>
      <c r="AM352" s="111">
        <f t="shared" si="120"/>
        <v>0</v>
      </c>
      <c r="AN352" s="111">
        <f t="shared" si="113"/>
        <v>0</v>
      </c>
      <c r="AO352" s="204" t="str">
        <f t="shared" si="105"/>
        <v/>
      </c>
    </row>
    <row r="353" spans="1:41" x14ac:dyDescent="0.25">
      <c r="A353" s="103" t="str">
        <f>Start!D$7</f>
        <v>Anyland</v>
      </c>
      <c r="B353" s="109" t="str">
        <f>VLOOKUP(A353,list!B:C,2,FALSE)</f>
        <v>ANY</v>
      </c>
      <c r="C353" s="109" t="str">
        <f>IF(Start!$C$20="","",Start!$C$20)</f>
        <v>Pfizer</v>
      </c>
      <c r="D353" s="298">
        <f t="shared" si="114"/>
        <v>44896</v>
      </c>
      <c r="E353" s="105" t="str">
        <f>IFERROR(VLOOKUP(C353,Start!C$15:D$31,2,FALSE),"No")</f>
        <v>Yes</v>
      </c>
      <c r="F353" s="105">
        <f t="shared" si="115"/>
        <v>3000000</v>
      </c>
      <c r="G353" s="106"/>
      <c r="H353" s="106"/>
      <c r="I353" s="106"/>
      <c r="J353" s="105">
        <f t="shared" si="107"/>
        <v>0</v>
      </c>
      <c r="K353" s="106"/>
      <c r="L353" s="177" t="str">
        <f t="shared" si="108"/>
        <v/>
      </c>
      <c r="M353" s="105">
        <f t="shared" si="109"/>
        <v>0</v>
      </c>
      <c r="N353" s="110"/>
      <c r="O353" s="124"/>
      <c r="P353" s="110"/>
      <c r="Q353" s="124"/>
      <c r="R353" s="111">
        <f>SUMIFS('Shipments data'!L:L,'Shipments data'!F:F,'Supply planning data'!C353,'Shipments data'!A:A,'Supply planning data'!A353,'Shipments data'!Y:Y,'Supply planning data'!D353,'Shipments data'!O:O,"received", 'Shipments data'!N:N, "Public")</f>
        <v>0</v>
      </c>
      <c r="S353" s="111">
        <f>SUMIFS('Shipments data'!L:L,'Shipments data'!F:F,'Supply planning data'!C353,'Shipments data'!A:A,'Supply planning data'!A353,'Shipments data'!Y:Y,'Supply planning data'!D353,'Shipments data'!O:O,"ordered", 'Shipments data'!N:N, "Public")</f>
        <v>0</v>
      </c>
      <c r="T353" s="111">
        <f>IF(SUMIFS('Shipments data'!L:L,'Shipments data'!F:F,'Supply planning data'!C353,'Shipments data'!A:A,'Supply planning data'!A353,'Shipments data'!O:O,"received",'Shipments data'!Q:Q,"&lt;"&amp;'Supply planning data'!D368,'Shipments data'!AC:AC,"&lt;"&amp;'Supply planning data'!D368)-SUMIFS(M:M,D:D,"&lt;="&amp;D353,C:C,C353)+SUMIFS(N:N,D:D,"&lt;="&amp;D353,C:C,C353)+SUMIFS(P:P,D:D,"&lt;="&amp;D353,C:C,C353)&lt;0,0,SUMIFS('Shipments data'!L:L,'Shipments data'!F:F,'Supply planning data'!C353,'Shipments data'!A:A,'Supply planning data'!A353,'Shipments data'!O:O,"received",'Shipments data'!Q:Q,"&lt;"&amp;'Supply planning data'!D368,'Shipments data'!AC:AC,"&lt;"&amp;'Supply planning data'!D368)-SUMIFS(M:M,D:D,"&lt;="&amp;D353,C:C,C353)+SUMIFS(N:N,D:D,"&lt;="&amp;D353,C:C,C353)+SUMIFS(P:P,D:D,"&lt;="&amp;D353,C:C,C353))</f>
        <v>110538</v>
      </c>
      <c r="U353" s="112">
        <f t="shared" si="116"/>
        <v>0</v>
      </c>
      <c r="V353" s="111">
        <f t="shared" si="106"/>
        <v>3000000</v>
      </c>
      <c r="W353" s="204" t="str">
        <f t="shared" si="104"/>
        <v/>
      </c>
      <c r="X353" s="111">
        <f t="shared" si="117"/>
        <v>2440000</v>
      </c>
      <c r="Y353" s="110"/>
      <c r="Z353" s="107"/>
      <c r="AA353" s="111">
        <f t="shared" si="110"/>
        <v>0</v>
      </c>
      <c r="AB353" s="235"/>
      <c r="AC353" s="111">
        <f>IF(SUMIFS('Shipments data'!L:L,'Shipments data'!F:F,'Supply planning data'!C353,'Shipments data'!A:A,'Supply planning data'!A353,'Shipments data'!O:O,"received",'Shipments data'!Q:Q,"&lt;"&amp;'Supply planning data'!D368,'Shipments data'!AC:AC,"&lt;"&amp;'Supply planning data'!D368)-SUMIFS(M:M,D:D,"&lt;="&amp;D353,C:C,C353)-SUMIFS(AA:AA,D:D,"&lt;="&amp;D353,C:C,C353)+SUMIFS(N:N,D:D,"&lt;="&amp;D353,C:C,C353)+SUMIFS(P:P,D:D,"&lt;="&amp;D353,C:C,C353)&lt;0,0,SUMIFS('Shipments data'!L:L,'Shipments data'!F:F,'Supply planning data'!C353,'Shipments data'!A:A,'Supply planning data'!A353,'Shipments data'!O:O,"received",'Shipments data'!Q:Q,"&lt;"&amp;'Supply planning data'!D368,'Shipments data'!AC:AC,"&lt;"&amp;'Supply planning data'!D368)-SUMIFS(M:M,D:D,"&lt;="&amp;D353,C:C,C353)-SUMIFS(AA:AA,D:D,"&lt;="&amp;D353,C:C,C353)+SUMIFS(N:N,D:D,"&lt;="&amp;D353,C:C,C353)+SUMIFS(P:P,D:D,"&lt;="&amp;D353,C:C,C353))</f>
        <v>0</v>
      </c>
      <c r="AD353" s="111">
        <f t="shared" si="118"/>
        <v>0</v>
      </c>
      <c r="AE353" s="111">
        <f t="shared" si="112"/>
        <v>2440000</v>
      </c>
      <c r="AF353" s="204" t="str">
        <f t="shared" si="121"/>
        <v/>
      </c>
      <c r="AG353" s="111">
        <f t="shared" si="119"/>
        <v>3000000</v>
      </c>
      <c r="AH353" s="110"/>
      <c r="AI353" s="313"/>
      <c r="AJ353" s="111">
        <f t="shared" si="111"/>
        <v>0</v>
      </c>
      <c r="AK353" s="235"/>
      <c r="AL353" s="111">
        <f>IF(SUMIFS('Shipments data'!L:L,'Shipments data'!F:F,'Supply planning data'!C353,'Shipments data'!A:A,'Supply planning data'!A353,'Shipments data'!O:O,"received",'Shipments data'!Q:Q,"&lt;"&amp;'Supply planning data'!D368,'Shipments data'!AC:AC,"&lt;"&amp;'Supply planning data'!D368)-SUMIFS(M:M,D:D,"&lt;="&amp;D353,C:C,C353)-SUMIFS(AJ:AJ,D:D,"&lt;="&amp;D353,C:C,C353)+SUMIFS(N:N,D:D,"&lt;="&amp;D353,C:C,C353)+SUMIFS(P:P,D:D,"&lt;="&amp;D353,C:C,C353)&lt;0,0,SUMIFS('Shipments data'!L:L,'Shipments data'!F:F,'Supply planning data'!C353,'Shipments data'!A:A,'Supply planning data'!A353,'Shipments data'!O:O,"received",'Shipments data'!Q:Q,"&lt;"&amp;'Supply planning data'!D368,'Shipments data'!AC:AC,"&lt;"&amp;'Supply planning data'!D368)-SUMIFS(M:M,D:D,"&lt;="&amp;D353,C:C,C353)-SUMIFS(AJ:AJ,D:D,"&lt;="&amp;D353,C:C,C353)+SUMIFS(N:N,D:D,"&lt;="&amp;D353,C:C,C353)+SUMIFS(P:P,D:D,"&lt;="&amp;D353,C:C,C353))</f>
        <v>110538</v>
      </c>
      <c r="AM353" s="111">
        <f t="shared" si="120"/>
        <v>0</v>
      </c>
      <c r="AN353" s="111">
        <f t="shared" si="113"/>
        <v>3000000</v>
      </c>
      <c r="AO353" s="204" t="str">
        <f t="shared" si="105"/>
        <v/>
      </c>
    </row>
    <row r="354" spans="1:41" x14ac:dyDescent="0.25">
      <c r="A354" s="103" t="str">
        <f>Start!D$7</f>
        <v>Anyland</v>
      </c>
      <c r="B354" s="109" t="str">
        <f>VLOOKUP(A354,list!B:C,2,FALSE)</f>
        <v>ANY</v>
      </c>
      <c r="C354" s="104" t="str">
        <f>IF(Start!$C$21="","",Start!$C$21)</f>
        <v>Sinovac</v>
      </c>
      <c r="D354" s="298">
        <f t="shared" si="114"/>
        <v>44896</v>
      </c>
      <c r="E354" s="105" t="str">
        <f>IFERROR(VLOOKUP(C354,Start!C$15:D$31,2,FALSE),"No")</f>
        <v>No</v>
      </c>
      <c r="F354" s="105">
        <f t="shared" si="115"/>
        <v>0</v>
      </c>
      <c r="G354" s="106"/>
      <c r="H354" s="106"/>
      <c r="I354" s="106"/>
      <c r="J354" s="105">
        <f t="shared" si="107"/>
        <v>0</v>
      </c>
      <c r="K354" s="106"/>
      <c r="L354" s="177" t="str">
        <f t="shared" si="108"/>
        <v/>
      </c>
      <c r="M354" s="105">
        <f t="shared" si="109"/>
        <v>0</v>
      </c>
      <c r="N354" s="110"/>
      <c r="O354" s="124"/>
      <c r="P354" s="110"/>
      <c r="Q354" s="124"/>
      <c r="R354" s="111">
        <f>SUMIFS('Shipments data'!L:L,'Shipments data'!F:F,'Supply planning data'!C354,'Shipments data'!A:A,'Supply planning data'!A354,'Shipments data'!Y:Y,'Supply planning data'!D354,'Shipments data'!O:O,"received", 'Shipments data'!N:N, "Public")</f>
        <v>0</v>
      </c>
      <c r="S354" s="111">
        <f>SUMIFS('Shipments data'!L:L,'Shipments data'!F:F,'Supply planning data'!C354,'Shipments data'!A:A,'Supply planning data'!A354,'Shipments data'!Y:Y,'Supply planning data'!D354,'Shipments data'!O:O,"ordered", 'Shipments data'!N:N, "Public")</f>
        <v>0</v>
      </c>
      <c r="T354" s="111">
        <f>IF(SUMIFS('Shipments data'!L:L,'Shipments data'!F:F,'Supply planning data'!C354,'Shipments data'!A:A,'Supply planning data'!A354,'Shipments data'!O:O,"received",'Shipments data'!Q:Q,"&lt;"&amp;'Supply planning data'!D369,'Shipments data'!AC:AC,"&lt;"&amp;'Supply planning data'!D369)-SUMIFS(M:M,D:D,"&lt;="&amp;D354,C:C,C354)+SUMIFS(N:N,D:D,"&lt;="&amp;D354,C:C,C354)+SUMIFS(P:P,D:D,"&lt;="&amp;D354,C:C,C354)&lt;0,0,SUMIFS('Shipments data'!L:L,'Shipments data'!F:F,'Supply planning data'!C354,'Shipments data'!A:A,'Supply planning data'!A354,'Shipments data'!O:O,"received",'Shipments data'!Q:Q,"&lt;"&amp;'Supply planning data'!D369,'Shipments data'!AC:AC,"&lt;"&amp;'Supply planning data'!D369)-SUMIFS(M:M,D:D,"&lt;="&amp;D354,C:C,C354)+SUMIFS(N:N,D:D,"&lt;="&amp;D354,C:C,C354)+SUMIFS(P:P,D:D,"&lt;="&amp;D354,C:C,C354))</f>
        <v>0</v>
      </c>
      <c r="U354" s="112">
        <f t="shared" si="116"/>
        <v>0</v>
      </c>
      <c r="V354" s="111">
        <f t="shared" si="106"/>
        <v>0</v>
      </c>
      <c r="W354" s="204" t="str">
        <f t="shared" si="104"/>
        <v/>
      </c>
      <c r="X354" s="111">
        <f t="shared" si="117"/>
        <v>0</v>
      </c>
      <c r="Y354" s="110"/>
      <c r="Z354" s="107"/>
      <c r="AA354" s="111">
        <f t="shared" si="110"/>
        <v>0</v>
      </c>
      <c r="AB354" s="235"/>
      <c r="AC354" s="111">
        <f>IF(SUMIFS('Shipments data'!L:L,'Shipments data'!F:F,'Supply planning data'!C354,'Shipments data'!A:A,'Supply planning data'!A354,'Shipments data'!O:O,"received",'Shipments data'!Q:Q,"&lt;"&amp;'Supply planning data'!D369,'Shipments data'!AC:AC,"&lt;"&amp;'Supply planning data'!D369)-SUMIFS(M:M,D:D,"&lt;="&amp;D354,C:C,C354)-SUMIFS(AA:AA,D:D,"&lt;="&amp;D354,C:C,C354)+SUMIFS(N:N,D:D,"&lt;="&amp;D354,C:C,C354)+SUMIFS(P:P,D:D,"&lt;="&amp;D354,C:C,C354)&lt;0,0,SUMIFS('Shipments data'!L:L,'Shipments data'!F:F,'Supply planning data'!C354,'Shipments data'!A:A,'Supply planning data'!A354,'Shipments data'!O:O,"received",'Shipments data'!Q:Q,"&lt;"&amp;'Supply planning data'!D369,'Shipments data'!AC:AC,"&lt;"&amp;'Supply planning data'!D369)-SUMIFS(M:M,D:D,"&lt;="&amp;D354,C:C,C354)-SUMIFS(AA:AA,D:D,"&lt;="&amp;D354,C:C,C354)+SUMIFS(N:N,D:D,"&lt;="&amp;D354,C:C,C354)+SUMIFS(P:P,D:D,"&lt;="&amp;D354,C:C,C354))</f>
        <v>0</v>
      </c>
      <c r="AD354" s="111">
        <f t="shared" si="118"/>
        <v>0</v>
      </c>
      <c r="AE354" s="111">
        <f t="shared" si="112"/>
        <v>0</v>
      </c>
      <c r="AF354" s="204" t="str">
        <f t="shared" si="121"/>
        <v/>
      </c>
      <c r="AG354" s="111">
        <f t="shared" si="119"/>
        <v>0</v>
      </c>
      <c r="AH354" s="110"/>
      <c r="AI354" s="313"/>
      <c r="AJ354" s="111">
        <f t="shared" si="111"/>
        <v>0</v>
      </c>
      <c r="AK354" s="235"/>
      <c r="AL354" s="111">
        <f>IF(SUMIFS('Shipments data'!L:L,'Shipments data'!F:F,'Supply planning data'!C354,'Shipments data'!A:A,'Supply planning data'!A354,'Shipments data'!O:O,"received",'Shipments data'!Q:Q,"&lt;"&amp;'Supply planning data'!D369,'Shipments data'!AC:AC,"&lt;"&amp;'Supply planning data'!D369)-SUMIFS(M:M,D:D,"&lt;="&amp;D354,C:C,C354)-SUMIFS(AJ:AJ,D:D,"&lt;="&amp;D354,C:C,C354)+SUMIFS(N:N,D:D,"&lt;="&amp;D354,C:C,C354)+SUMIFS(P:P,D:D,"&lt;="&amp;D354,C:C,C354)&lt;0,0,SUMIFS('Shipments data'!L:L,'Shipments data'!F:F,'Supply planning data'!C354,'Shipments data'!A:A,'Supply planning data'!A354,'Shipments data'!O:O,"received",'Shipments data'!Q:Q,"&lt;"&amp;'Supply planning data'!D369,'Shipments data'!AC:AC,"&lt;"&amp;'Supply planning data'!D369)-SUMIFS(M:M,D:D,"&lt;="&amp;D354,C:C,C354)-SUMIFS(AJ:AJ,D:D,"&lt;="&amp;D354,C:C,C354)+SUMIFS(N:N,D:D,"&lt;="&amp;D354,C:C,C354)+SUMIFS(P:P,D:D,"&lt;="&amp;D354,C:C,C354))</f>
        <v>0</v>
      </c>
      <c r="AM354" s="111">
        <f t="shared" si="120"/>
        <v>0</v>
      </c>
      <c r="AN354" s="111">
        <f t="shared" si="113"/>
        <v>0</v>
      </c>
      <c r="AO354" s="204" t="str">
        <f t="shared" si="105"/>
        <v/>
      </c>
    </row>
    <row r="355" spans="1:41" hidden="1" x14ac:dyDescent="0.25">
      <c r="A355" s="103" t="str">
        <f>Start!D$7</f>
        <v>Anyland</v>
      </c>
      <c r="B355" s="109" t="str">
        <f>VLOOKUP(A355,list!B:C,2,FALSE)</f>
        <v>ANY</v>
      </c>
      <c r="C355" s="109" t="str">
        <f>IF(Start!$C$22="","",Start!$C$22)</f>
        <v/>
      </c>
      <c r="D355" s="298">
        <f t="shared" si="114"/>
        <v>44896</v>
      </c>
      <c r="E355" s="105" t="str">
        <f>IFERROR(VLOOKUP(C355,Start!C$15:D$31,2,FALSE),"No")</f>
        <v>No</v>
      </c>
      <c r="F355" s="105">
        <f t="shared" si="115"/>
        <v>0</v>
      </c>
      <c r="G355" s="106"/>
      <c r="H355" s="106"/>
      <c r="I355" s="106"/>
      <c r="J355" s="105">
        <f t="shared" si="107"/>
        <v>0</v>
      </c>
      <c r="K355" s="106"/>
      <c r="L355" s="177" t="str">
        <f t="shared" si="108"/>
        <v/>
      </c>
      <c r="M355" s="105">
        <f t="shared" si="109"/>
        <v>0</v>
      </c>
      <c r="N355" s="110"/>
      <c r="O355" s="124"/>
      <c r="P355" s="110"/>
      <c r="Q355" s="124"/>
      <c r="R355" s="111">
        <f>SUMIFS('Shipments data'!L:L,'Shipments data'!F:F,'Supply planning data'!C355,'Shipments data'!A:A,'Supply planning data'!A355,'Shipments data'!Y:Y,'Supply planning data'!D355,'Shipments data'!O:O,"received", 'Shipments data'!N:N, "Public")</f>
        <v>0</v>
      </c>
      <c r="S355" s="111">
        <f>SUMIFS('Shipments data'!L:L,'Shipments data'!F:F,'Supply planning data'!C355,'Shipments data'!A:A,'Supply planning data'!A355,'Shipments data'!Y:Y,'Supply planning data'!D355,'Shipments data'!O:O,"ordered", 'Shipments data'!N:N, "Public")</f>
        <v>0</v>
      </c>
      <c r="T355" s="111">
        <f>IF(SUMIFS('Shipments data'!L:L,'Shipments data'!F:F,'Supply planning data'!C355,'Shipments data'!A:A,'Supply planning data'!A355,'Shipments data'!O:O,"received",'Shipments data'!Q:Q,"&lt;"&amp;'Supply planning data'!D370,'Shipments data'!AC:AC,"&lt;"&amp;'Supply planning data'!D370)-SUMIFS(M:M,D:D,"&lt;="&amp;D355,C:C,C355)+SUMIFS(N:N,D:D,"&lt;="&amp;D355,C:C,C355)+SUMIFS(P:P,D:D,"&lt;="&amp;D355,C:C,C355)&lt;0,0,SUMIFS('Shipments data'!L:L,'Shipments data'!F:F,'Supply planning data'!C355,'Shipments data'!A:A,'Supply planning data'!A355,'Shipments data'!O:O,"received",'Shipments data'!Q:Q,"&lt;"&amp;'Supply planning data'!D370,'Shipments data'!AC:AC,"&lt;"&amp;'Supply planning data'!D370)-SUMIFS(M:M,D:D,"&lt;="&amp;D355,C:C,C355)+SUMIFS(N:N,D:D,"&lt;="&amp;D355,C:C,C355)+SUMIFS(P:P,D:D,"&lt;="&amp;D355,C:C,C355))</f>
        <v>0</v>
      </c>
      <c r="U355" s="112">
        <f t="shared" si="116"/>
        <v>0</v>
      </c>
      <c r="V355" s="111">
        <f t="shared" si="106"/>
        <v>0</v>
      </c>
      <c r="W355" s="204" t="str">
        <f t="shared" si="104"/>
        <v/>
      </c>
      <c r="X355" s="111">
        <f t="shared" si="117"/>
        <v>0</v>
      </c>
      <c r="Y355" s="110"/>
      <c r="Z355" s="107"/>
      <c r="AA355" s="111">
        <f t="shared" si="110"/>
        <v>0</v>
      </c>
      <c r="AB355" s="235"/>
      <c r="AC355" s="111">
        <f>IF(SUMIFS('Shipments data'!L:L,'Shipments data'!F:F,'Supply planning data'!C355,'Shipments data'!A:A,'Supply planning data'!A355,'Shipments data'!O:O,"received",'Shipments data'!Q:Q,"&lt;"&amp;'Supply planning data'!D370,'Shipments data'!AC:AC,"&lt;"&amp;'Supply planning data'!D370)-SUMIFS(M:M,D:D,"&lt;="&amp;D355,C:C,C355)-SUMIFS(AA:AA,D:D,"&lt;="&amp;D355,C:C,C355)+SUMIFS(N:N,D:D,"&lt;="&amp;D355,C:C,C355)+SUMIFS(P:P,D:D,"&lt;="&amp;D355,C:C,C355)&lt;0,0,SUMIFS('Shipments data'!L:L,'Shipments data'!F:F,'Supply planning data'!C355,'Shipments data'!A:A,'Supply planning data'!A355,'Shipments data'!O:O,"received",'Shipments data'!Q:Q,"&lt;"&amp;'Supply planning data'!D370,'Shipments data'!AC:AC,"&lt;"&amp;'Supply planning data'!D370)-SUMIFS(M:M,D:D,"&lt;="&amp;D355,C:C,C355)-SUMIFS(AA:AA,D:D,"&lt;="&amp;D355,C:C,C355)+SUMIFS(N:N,D:D,"&lt;="&amp;D355,C:C,C355)+SUMIFS(P:P,D:D,"&lt;="&amp;D355,C:C,C355))</f>
        <v>0</v>
      </c>
      <c r="AD355" s="111">
        <f t="shared" si="118"/>
        <v>0</v>
      </c>
      <c r="AE355" s="111">
        <f t="shared" si="112"/>
        <v>0</v>
      </c>
      <c r="AF355" s="204" t="str">
        <f t="shared" si="121"/>
        <v/>
      </c>
      <c r="AG355" s="111">
        <f t="shared" si="119"/>
        <v>0</v>
      </c>
      <c r="AH355" s="110"/>
      <c r="AI355" s="313"/>
      <c r="AJ355" s="111">
        <f t="shared" si="111"/>
        <v>0</v>
      </c>
      <c r="AK355" s="235"/>
      <c r="AL355" s="111">
        <f>IF(SUMIFS('Shipments data'!L:L,'Shipments data'!F:F,'Supply planning data'!C355,'Shipments data'!A:A,'Supply planning data'!A355,'Shipments data'!O:O,"received",'Shipments data'!Q:Q,"&lt;"&amp;'Supply planning data'!D370,'Shipments data'!AC:AC,"&lt;"&amp;'Supply planning data'!D370)-SUMIFS(M:M,D:D,"&lt;="&amp;D355,C:C,C355)-SUMIFS(AJ:AJ,D:D,"&lt;="&amp;D355,C:C,C355)+SUMIFS(N:N,D:D,"&lt;="&amp;D355,C:C,C355)+SUMIFS(P:P,D:D,"&lt;="&amp;D355,C:C,C355)&lt;0,0,SUMIFS('Shipments data'!L:L,'Shipments data'!F:F,'Supply planning data'!C355,'Shipments data'!A:A,'Supply planning data'!A355,'Shipments data'!O:O,"received",'Shipments data'!Q:Q,"&lt;"&amp;'Supply planning data'!D370,'Shipments data'!AC:AC,"&lt;"&amp;'Supply planning data'!D370)-SUMIFS(M:M,D:D,"&lt;="&amp;D355,C:C,C355)-SUMIFS(AJ:AJ,D:D,"&lt;="&amp;D355,C:C,C355)+SUMIFS(N:N,D:D,"&lt;="&amp;D355,C:C,C355)+SUMIFS(P:P,D:D,"&lt;="&amp;D355,C:C,C355))</f>
        <v>0</v>
      </c>
      <c r="AM355" s="111">
        <f t="shared" si="120"/>
        <v>0</v>
      </c>
      <c r="AN355" s="111">
        <f t="shared" si="113"/>
        <v>0</v>
      </c>
      <c r="AO355" s="204" t="str">
        <f t="shared" si="105"/>
        <v/>
      </c>
    </row>
    <row r="356" spans="1:41" hidden="1" x14ac:dyDescent="0.25">
      <c r="A356" s="103" t="str">
        <f>Start!D$7</f>
        <v>Anyland</v>
      </c>
      <c r="B356" s="109" t="str">
        <f>VLOOKUP(A356,list!B:C,2,FALSE)</f>
        <v>ANY</v>
      </c>
      <c r="C356" s="104" t="str">
        <f>IF(Start!$C$23="","",Start!$C$23)</f>
        <v/>
      </c>
      <c r="D356" s="298">
        <f t="shared" si="114"/>
        <v>44896</v>
      </c>
      <c r="E356" s="105" t="str">
        <f>IFERROR(VLOOKUP(C356,Start!C$15:D$31,2,FALSE),"No")</f>
        <v>No</v>
      </c>
      <c r="F356" s="105">
        <f t="shared" si="115"/>
        <v>0</v>
      </c>
      <c r="G356" s="106"/>
      <c r="H356" s="106"/>
      <c r="I356" s="106"/>
      <c r="J356" s="105">
        <f t="shared" si="107"/>
        <v>0</v>
      </c>
      <c r="K356" s="106"/>
      <c r="L356" s="177" t="str">
        <f t="shared" si="108"/>
        <v/>
      </c>
      <c r="M356" s="105">
        <f t="shared" si="109"/>
        <v>0</v>
      </c>
      <c r="N356" s="110"/>
      <c r="O356" s="124"/>
      <c r="P356" s="110"/>
      <c r="Q356" s="124"/>
      <c r="R356" s="111">
        <f>SUMIFS('Shipments data'!L:L,'Shipments data'!F:F,'Supply planning data'!C356,'Shipments data'!A:A,'Supply planning data'!A356,'Shipments data'!Y:Y,'Supply planning data'!D356,'Shipments data'!O:O,"received", 'Shipments data'!N:N, "Public")</f>
        <v>0</v>
      </c>
      <c r="S356" s="111">
        <f>SUMIFS('Shipments data'!L:L,'Shipments data'!F:F,'Supply planning data'!C356,'Shipments data'!A:A,'Supply planning data'!A356,'Shipments data'!Y:Y,'Supply planning data'!D356,'Shipments data'!O:O,"ordered", 'Shipments data'!N:N, "Public")</f>
        <v>0</v>
      </c>
      <c r="T356" s="111">
        <f>IF(SUMIFS('Shipments data'!L:L,'Shipments data'!F:F,'Supply planning data'!C356,'Shipments data'!A:A,'Supply planning data'!A356,'Shipments data'!O:O,"received",'Shipments data'!Q:Q,"&lt;"&amp;'Supply planning data'!D371,'Shipments data'!AC:AC,"&lt;"&amp;'Supply planning data'!D371)-SUMIFS(M:M,D:D,"&lt;="&amp;D356,C:C,C356)+SUMIFS(N:N,D:D,"&lt;="&amp;D356,C:C,C356)+SUMIFS(P:P,D:D,"&lt;="&amp;D356,C:C,C356)&lt;0,0,SUMIFS('Shipments data'!L:L,'Shipments data'!F:F,'Supply planning data'!C356,'Shipments data'!A:A,'Supply planning data'!A356,'Shipments data'!O:O,"received",'Shipments data'!Q:Q,"&lt;"&amp;'Supply planning data'!D371,'Shipments data'!AC:AC,"&lt;"&amp;'Supply planning data'!D371)-SUMIFS(M:M,D:D,"&lt;="&amp;D356,C:C,C356)+SUMIFS(N:N,D:D,"&lt;="&amp;D356,C:C,C356)+SUMIFS(P:P,D:D,"&lt;="&amp;D356,C:C,C356))</f>
        <v>0</v>
      </c>
      <c r="U356" s="112">
        <f t="shared" si="116"/>
        <v>0</v>
      </c>
      <c r="V356" s="111">
        <f t="shared" si="106"/>
        <v>0</v>
      </c>
      <c r="W356" s="204" t="str">
        <f t="shared" ref="W356:W419" si="122">IF(M356&lt;=0,"",IFERROR(V356/(SUM(M356,M341,M326)/3),""))</f>
        <v/>
      </c>
      <c r="X356" s="111">
        <f t="shared" si="117"/>
        <v>0</v>
      </c>
      <c r="Y356" s="110"/>
      <c r="Z356" s="107"/>
      <c r="AA356" s="111">
        <f t="shared" si="110"/>
        <v>0</v>
      </c>
      <c r="AB356" s="235"/>
      <c r="AC356" s="111">
        <f>IF(SUMIFS('Shipments data'!L:L,'Shipments data'!F:F,'Supply planning data'!C356,'Shipments data'!A:A,'Supply planning data'!A356,'Shipments data'!O:O,"received",'Shipments data'!Q:Q,"&lt;"&amp;'Supply planning data'!D371,'Shipments data'!AC:AC,"&lt;"&amp;'Supply planning data'!D371)-SUMIFS(M:M,D:D,"&lt;="&amp;D356,C:C,C356)-SUMIFS(AA:AA,D:D,"&lt;="&amp;D356,C:C,C356)+SUMIFS(N:N,D:D,"&lt;="&amp;D356,C:C,C356)+SUMIFS(P:P,D:D,"&lt;="&amp;D356,C:C,C356)&lt;0,0,SUMIFS('Shipments data'!L:L,'Shipments data'!F:F,'Supply planning data'!C356,'Shipments data'!A:A,'Supply planning data'!A356,'Shipments data'!O:O,"received",'Shipments data'!Q:Q,"&lt;"&amp;'Supply planning data'!D371,'Shipments data'!AC:AC,"&lt;"&amp;'Supply planning data'!D371)-SUMIFS(M:M,D:D,"&lt;="&amp;D356,C:C,C356)-SUMIFS(AA:AA,D:D,"&lt;="&amp;D356,C:C,C356)+SUMIFS(N:N,D:D,"&lt;="&amp;D356,C:C,C356)+SUMIFS(P:P,D:D,"&lt;="&amp;D356,C:C,C356))</f>
        <v>0</v>
      </c>
      <c r="AD356" s="111">
        <f t="shared" si="118"/>
        <v>0</v>
      </c>
      <c r="AE356" s="111">
        <f t="shared" si="112"/>
        <v>0</v>
      </c>
      <c r="AF356" s="204" t="str">
        <f t="shared" si="121"/>
        <v/>
      </c>
      <c r="AG356" s="111">
        <f t="shared" si="119"/>
        <v>0</v>
      </c>
      <c r="AH356" s="110"/>
      <c r="AI356" s="313"/>
      <c r="AJ356" s="111">
        <f t="shared" si="111"/>
        <v>0</v>
      </c>
      <c r="AK356" s="235"/>
      <c r="AL356" s="111">
        <f>IF(SUMIFS('Shipments data'!L:L,'Shipments data'!F:F,'Supply planning data'!C356,'Shipments data'!A:A,'Supply planning data'!A356,'Shipments data'!O:O,"received",'Shipments data'!Q:Q,"&lt;"&amp;'Supply planning data'!D371,'Shipments data'!AC:AC,"&lt;"&amp;'Supply planning data'!D371)-SUMIFS(M:M,D:D,"&lt;="&amp;D356,C:C,C356)-SUMIFS(AJ:AJ,D:D,"&lt;="&amp;D356,C:C,C356)+SUMIFS(N:N,D:D,"&lt;="&amp;D356,C:C,C356)+SUMIFS(P:P,D:D,"&lt;="&amp;D356,C:C,C356)&lt;0,0,SUMIFS('Shipments data'!L:L,'Shipments data'!F:F,'Supply planning data'!C356,'Shipments data'!A:A,'Supply planning data'!A356,'Shipments data'!O:O,"received",'Shipments data'!Q:Q,"&lt;"&amp;'Supply planning data'!D371,'Shipments data'!AC:AC,"&lt;"&amp;'Supply planning data'!D371)-SUMIFS(M:M,D:D,"&lt;="&amp;D356,C:C,C356)-SUMIFS(AJ:AJ,D:D,"&lt;="&amp;D356,C:C,C356)+SUMIFS(N:N,D:D,"&lt;="&amp;D356,C:C,C356)+SUMIFS(P:P,D:D,"&lt;="&amp;D356,C:C,C356))</f>
        <v>0</v>
      </c>
      <c r="AM356" s="111">
        <f t="shared" si="120"/>
        <v>0</v>
      </c>
      <c r="AN356" s="111">
        <f t="shared" si="113"/>
        <v>0</v>
      </c>
      <c r="AO356" s="204" t="str">
        <f t="shared" ref="AO356:AO419" si="123">IF(M356+AJ356&lt;=0,"",IFERROR(AN356/(SUM(M356,M386,M371,AJ356,AJ386,AJ371)/3),""))</f>
        <v/>
      </c>
    </row>
    <row r="357" spans="1:41" hidden="1" x14ac:dyDescent="0.25">
      <c r="A357" s="103" t="str">
        <f>Start!D$7</f>
        <v>Anyland</v>
      </c>
      <c r="B357" s="109" t="str">
        <f>VLOOKUP(A357,list!B:C,2,FALSE)</f>
        <v>ANY</v>
      </c>
      <c r="C357" s="109" t="str">
        <f>IF(Start!$C$24="","",Start!$C$24)</f>
        <v/>
      </c>
      <c r="D357" s="298">
        <f t="shared" si="114"/>
        <v>44896</v>
      </c>
      <c r="E357" s="105" t="str">
        <f>IFERROR(VLOOKUP(C357,Start!C$15:D$31,2,FALSE),"No")</f>
        <v>No</v>
      </c>
      <c r="F357" s="105">
        <f t="shared" si="115"/>
        <v>0</v>
      </c>
      <c r="G357" s="106"/>
      <c r="H357" s="106"/>
      <c r="I357" s="106"/>
      <c r="J357" s="105">
        <f t="shared" si="107"/>
        <v>0</v>
      </c>
      <c r="K357" s="106"/>
      <c r="L357" s="177" t="str">
        <f t="shared" si="108"/>
        <v/>
      </c>
      <c r="M357" s="105">
        <f t="shared" si="109"/>
        <v>0</v>
      </c>
      <c r="N357" s="110"/>
      <c r="O357" s="124"/>
      <c r="P357" s="110"/>
      <c r="Q357" s="124"/>
      <c r="R357" s="111">
        <f>SUMIFS('Shipments data'!L:L,'Shipments data'!F:F,'Supply planning data'!C357,'Shipments data'!A:A,'Supply planning data'!A357,'Shipments data'!Y:Y,'Supply planning data'!D357,'Shipments data'!O:O,"received", 'Shipments data'!N:N, "Public")</f>
        <v>0</v>
      </c>
      <c r="S357" s="111">
        <f>SUMIFS('Shipments data'!L:L,'Shipments data'!F:F,'Supply planning data'!C357,'Shipments data'!A:A,'Supply planning data'!A357,'Shipments data'!Y:Y,'Supply planning data'!D357,'Shipments data'!O:O,"ordered", 'Shipments data'!N:N, "Public")</f>
        <v>0</v>
      </c>
      <c r="T357" s="111">
        <f>IF(SUMIFS('Shipments data'!L:L,'Shipments data'!F:F,'Supply planning data'!C357,'Shipments data'!A:A,'Supply planning data'!A357,'Shipments data'!O:O,"received",'Shipments data'!Q:Q,"&lt;"&amp;'Supply planning data'!D372,'Shipments data'!AC:AC,"&lt;"&amp;'Supply planning data'!D372)-SUMIFS(M:M,D:D,"&lt;="&amp;D357,C:C,C357)+SUMIFS(N:N,D:D,"&lt;="&amp;D357,C:C,C357)+SUMIFS(P:P,D:D,"&lt;="&amp;D357,C:C,C357)&lt;0,0,SUMIFS('Shipments data'!L:L,'Shipments data'!F:F,'Supply planning data'!C357,'Shipments data'!A:A,'Supply planning data'!A357,'Shipments data'!O:O,"received",'Shipments data'!Q:Q,"&lt;"&amp;'Supply planning data'!D372,'Shipments data'!AC:AC,"&lt;"&amp;'Supply planning data'!D372)-SUMIFS(M:M,D:D,"&lt;="&amp;D357,C:C,C357)+SUMIFS(N:N,D:D,"&lt;="&amp;D357,C:C,C357)+SUMIFS(P:P,D:D,"&lt;="&amp;D357,C:C,C357))</f>
        <v>0</v>
      </c>
      <c r="U357" s="112">
        <f t="shared" si="116"/>
        <v>0</v>
      </c>
      <c r="V357" s="111">
        <f t="shared" si="106"/>
        <v>0</v>
      </c>
      <c r="W357" s="204" t="str">
        <f t="shared" si="122"/>
        <v/>
      </c>
      <c r="X357" s="111">
        <f t="shared" si="117"/>
        <v>0</v>
      </c>
      <c r="Y357" s="110"/>
      <c r="Z357" s="107"/>
      <c r="AA357" s="111">
        <f t="shared" si="110"/>
        <v>0</v>
      </c>
      <c r="AB357" s="235"/>
      <c r="AC357" s="111">
        <f>IF(SUMIFS('Shipments data'!L:L,'Shipments data'!F:F,'Supply planning data'!C357,'Shipments data'!A:A,'Supply planning data'!A357,'Shipments data'!O:O,"received",'Shipments data'!Q:Q,"&lt;"&amp;'Supply planning data'!D372,'Shipments data'!AC:AC,"&lt;"&amp;'Supply planning data'!D372)-SUMIFS(M:M,D:D,"&lt;="&amp;D357,C:C,C357)-SUMIFS(AA:AA,D:D,"&lt;="&amp;D357,C:C,C357)+SUMIFS(N:N,D:D,"&lt;="&amp;D357,C:C,C357)+SUMIFS(P:P,D:D,"&lt;="&amp;D357,C:C,C357)&lt;0,0,SUMIFS('Shipments data'!L:L,'Shipments data'!F:F,'Supply planning data'!C357,'Shipments data'!A:A,'Supply planning data'!A357,'Shipments data'!O:O,"received",'Shipments data'!Q:Q,"&lt;"&amp;'Supply planning data'!D372,'Shipments data'!AC:AC,"&lt;"&amp;'Supply planning data'!D372)-SUMIFS(M:M,D:D,"&lt;="&amp;D357,C:C,C357)-SUMIFS(AA:AA,D:D,"&lt;="&amp;D357,C:C,C357)+SUMIFS(N:N,D:D,"&lt;="&amp;D357,C:C,C357)+SUMIFS(P:P,D:D,"&lt;="&amp;D357,C:C,C357))</f>
        <v>0</v>
      </c>
      <c r="AD357" s="111">
        <f t="shared" si="118"/>
        <v>0</v>
      </c>
      <c r="AE357" s="111">
        <f t="shared" si="112"/>
        <v>0</v>
      </c>
      <c r="AF357" s="204" t="str">
        <f t="shared" si="121"/>
        <v/>
      </c>
      <c r="AG357" s="111">
        <f t="shared" si="119"/>
        <v>0</v>
      </c>
      <c r="AH357" s="110"/>
      <c r="AI357" s="313"/>
      <c r="AJ357" s="111">
        <f t="shared" si="111"/>
        <v>0</v>
      </c>
      <c r="AK357" s="235"/>
      <c r="AL357" s="111">
        <f>IF(SUMIFS('Shipments data'!L:L,'Shipments data'!F:F,'Supply planning data'!C357,'Shipments data'!A:A,'Supply planning data'!A357,'Shipments data'!O:O,"received",'Shipments data'!Q:Q,"&lt;"&amp;'Supply planning data'!D372,'Shipments data'!AC:AC,"&lt;"&amp;'Supply planning data'!D372)-SUMIFS(M:M,D:D,"&lt;="&amp;D357,C:C,C357)-SUMIFS(AJ:AJ,D:D,"&lt;="&amp;D357,C:C,C357)+SUMIFS(N:N,D:D,"&lt;="&amp;D357,C:C,C357)+SUMIFS(P:P,D:D,"&lt;="&amp;D357,C:C,C357)&lt;0,0,SUMIFS('Shipments data'!L:L,'Shipments data'!F:F,'Supply planning data'!C357,'Shipments data'!A:A,'Supply planning data'!A357,'Shipments data'!O:O,"received",'Shipments data'!Q:Q,"&lt;"&amp;'Supply planning data'!D372,'Shipments data'!AC:AC,"&lt;"&amp;'Supply planning data'!D372)-SUMIFS(M:M,D:D,"&lt;="&amp;D357,C:C,C357)-SUMIFS(AJ:AJ,D:D,"&lt;="&amp;D357,C:C,C357)+SUMIFS(N:N,D:D,"&lt;="&amp;D357,C:C,C357)+SUMIFS(P:P,D:D,"&lt;="&amp;D357,C:C,C357))</f>
        <v>0</v>
      </c>
      <c r="AM357" s="111">
        <f t="shared" si="120"/>
        <v>0</v>
      </c>
      <c r="AN357" s="111">
        <f t="shared" si="113"/>
        <v>0</v>
      </c>
      <c r="AO357" s="204" t="str">
        <f t="shared" si="123"/>
        <v/>
      </c>
    </row>
    <row r="358" spans="1:41" hidden="1" x14ac:dyDescent="0.25">
      <c r="A358" s="103" t="str">
        <f>Start!D$7</f>
        <v>Anyland</v>
      </c>
      <c r="B358" s="109" t="str">
        <f>VLOOKUP(A358,list!B:C,2,FALSE)</f>
        <v>ANY</v>
      </c>
      <c r="C358" s="104" t="str">
        <f>IF(Start!$C$25="","",Start!$C$25)</f>
        <v/>
      </c>
      <c r="D358" s="298">
        <f t="shared" si="114"/>
        <v>44896</v>
      </c>
      <c r="E358" s="105" t="str">
        <f>IFERROR(VLOOKUP(C358,Start!C$15:D$31,2,FALSE),"No")</f>
        <v>No</v>
      </c>
      <c r="F358" s="105">
        <f t="shared" si="115"/>
        <v>0</v>
      </c>
      <c r="G358" s="106"/>
      <c r="H358" s="106"/>
      <c r="I358" s="106"/>
      <c r="J358" s="105">
        <f t="shared" si="107"/>
        <v>0</v>
      </c>
      <c r="K358" s="106"/>
      <c r="L358" s="177" t="str">
        <f t="shared" si="108"/>
        <v/>
      </c>
      <c r="M358" s="105">
        <f t="shared" si="109"/>
        <v>0</v>
      </c>
      <c r="N358" s="110"/>
      <c r="O358" s="124"/>
      <c r="P358" s="110"/>
      <c r="Q358" s="124"/>
      <c r="R358" s="111">
        <f>SUMIFS('Shipments data'!L:L,'Shipments data'!F:F,'Supply planning data'!C358,'Shipments data'!A:A,'Supply planning data'!A358,'Shipments data'!Y:Y,'Supply planning data'!D358,'Shipments data'!O:O,"received", 'Shipments data'!N:N, "Public")</f>
        <v>0</v>
      </c>
      <c r="S358" s="111">
        <f>SUMIFS('Shipments data'!L:L,'Shipments data'!F:F,'Supply planning data'!C358,'Shipments data'!A:A,'Supply planning data'!A358,'Shipments data'!Y:Y,'Supply planning data'!D358,'Shipments data'!O:O,"ordered", 'Shipments data'!N:N, "Public")</f>
        <v>0</v>
      </c>
      <c r="T358" s="111">
        <f>IF(SUMIFS('Shipments data'!L:L,'Shipments data'!F:F,'Supply planning data'!C358,'Shipments data'!A:A,'Supply planning data'!A358,'Shipments data'!O:O,"received",'Shipments data'!Q:Q,"&lt;"&amp;'Supply planning data'!D373,'Shipments data'!AC:AC,"&lt;"&amp;'Supply planning data'!D373)-SUMIFS(M:M,D:D,"&lt;="&amp;D358,C:C,C358)+SUMIFS(N:N,D:D,"&lt;="&amp;D358,C:C,C358)+SUMIFS(P:P,D:D,"&lt;="&amp;D358,C:C,C358)&lt;0,0,SUMIFS('Shipments data'!L:L,'Shipments data'!F:F,'Supply planning data'!C358,'Shipments data'!A:A,'Supply planning data'!A358,'Shipments data'!O:O,"received",'Shipments data'!Q:Q,"&lt;"&amp;'Supply planning data'!D373,'Shipments data'!AC:AC,"&lt;"&amp;'Supply planning data'!D373)-SUMIFS(M:M,D:D,"&lt;="&amp;D358,C:C,C358)+SUMIFS(N:N,D:D,"&lt;="&amp;D358,C:C,C358)+SUMIFS(P:P,D:D,"&lt;="&amp;D358,C:C,C358))</f>
        <v>0</v>
      </c>
      <c r="U358" s="112">
        <f t="shared" si="116"/>
        <v>0</v>
      </c>
      <c r="V358" s="111">
        <f t="shared" si="106"/>
        <v>0</v>
      </c>
      <c r="W358" s="204" t="str">
        <f t="shared" si="122"/>
        <v/>
      </c>
      <c r="X358" s="111">
        <f t="shared" si="117"/>
        <v>0</v>
      </c>
      <c r="Y358" s="110"/>
      <c r="Z358" s="107"/>
      <c r="AA358" s="111">
        <f t="shared" si="110"/>
        <v>0</v>
      </c>
      <c r="AB358" s="235"/>
      <c r="AC358" s="111">
        <f>IF(SUMIFS('Shipments data'!L:L,'Shipments data'!F:F,'Supply planning data'!C358,'Shipments data'!A:A,'Supply planning data'!A358,'Shipments data'!O:O,"received",'Shipments data'!Q:Q,"&lt;"&amp;'Supply planning data'!D373,'Shipments data'!AC:AC,"&lt;"&amp;'Supply planning data'!D373)-SUMIFS(M:M,D:D,"&lt;="&amp;D358,C:C,C358)-SUMIFS(AA:AA,D:D,"&lt;="&amp;D358,C:C,C358)+SUMIFS(N:N,D:D,"&lt;="&amp;D358,C:C,C358)+SUMIFS(P:P,D:D,"&lt;="&amp;D358,C:C,C358)&lt;0,0,SUMIFS('Shipments data'!L:L,'Shipments data'!F:F,'Supply planning data'!C358,'Shipments data'!A:A,'Supply planning data'!A358,'Shipments data'!O:O,"received",'Shipments data'!Q:Q,"&lt;"&amp;'Supply planning data'!D373,'Shipments data'!AC:AC,"&lt;"&amp;'Supply planning data'!D373)-SUMIFS(M:M,D:D,"&lt;="&amp;D358,C:C,C358)-SUMIFS(AA:AA,D:D,"&lt;="&amp;D358,C:C,C358)+SUMIFS(N:N,D:D,"&lt;="&amp;D358,C:C,C358)+SUMIFS(P:P,D:D,"&lt;="&amp;D358,C:C,C358))</f>
        <v>0</v>
      </c>
      <c r="AD358" s="111">
        <f t="shared" si="118"/>
        <v>0</v>
      </c>
      <c r="AE358" s="111">
        <f t="shared" si="112"/>
        <v>0</v>
      </c>
      <c r="AF358" s="204" t="str">
        <f t="shared" si="121"/>
        <v/>
      </c>
      <c r="AG358" s="111">
        <f t="shared" si="119"/>
        <v>0</v>
      </c>
      <c r="AH358" s="110"/>
      <c r="AI358" s="313"/>
      <c r="AJ358" s="111">
        <f t="shared" si="111"/>
        <v>0</v>
      </c>
      <c r="AK358" s="235"/>
      <c r="AL358" s="111">
        <f>IF(SUMIFS('Shipments data'!L:L,'Shipments data'!F:F,'Supply planning data'!C358,'Shipments data'!A:A,'Supply planning data'!A358,'Shipments data'!O:O,"received",'Shipments data'!Q:Q,"&lt;"&amp;'Supply planning data'!D373,'Shipments data'!AC:AC,"&lt;"&amp;'Supply planning data'!D373)-SUMIFS(M:M,D:D,"&lt;="&amp;D358,C:C,C358)-SUMIFS(AJ:AJ,D:D,"&lt;="&amp;D358,C:C,C358)+SUMIFS(N:N,D:D,"&lt;="&amp;D358,C:C,C358)+SUMIFS(P:P,D:D,"&lt;="&amp;D358,C:C,C358)&lt;0,0,SUMIFS('Shipments data'!L:L,'Shipments data'!F:F,'Supply planning data'!C358,'Shipments data'!A:A,'Supply planning data'!A358,'Shipments data'!O:O,"received",'Shipments data'!Q:Q,"&lt;"&amp;'Supply planning data'!D373,'Shipments data'!AC:AC,"&lt;"&amp;'Supply planning data'!D373)-SUMIFS(M:M,D:D,"&lt;="&amp;D358,C:C,C358)-SUMIFS(AJ:AJ,D:D,"&lt;="&amp;D358,C:C,C358)+SUMIFS(N:N,D:D,"&lt;="&amp;D358,C:C,C358)+SUMIFS(P:P,D:D,"&lt;="&amp;D358,C:C,C358))</f>
        <v>0</v>
      </c>
      <c r="AM358" s="111">
        <f t="shared" si="120"/>
        <v>0</v>
      </c>
      <c r="AN358" s="111">
        <f t="shared" si="113"/>
        <v>0</v>
      </c>
      <c r="AO358" s="204" t="str">
        <f t="shared" si="123"/>
        <v/>
      </c>
    </row>
    <row r="359" spans="1:41" hidden="1" x14ac:dyDescent="0.25">
      <c r="A359" s="103" t="str">
        <f>Start!D$7</f>
        <v>Anyland</v>
      </c>
      <c r="B359" s="109" t="str">
        <f>VLOOKUP(A359,list!B:C,2,FALSE)</f>
        <v>ANY</v>
      </c>
      <c r="C359" s="109" t="str">
        <f>IF(Start!$C$26="","",Start!$C$26)</f>
        <v/>
      </c>
      <c r="D359" s="298">
        <f t="shared" si="114"/>
        <v>44896</v>
      </c>
      <c r="E359" s="105" t="str">
        <f>IFERROR(VLOOKUP(C359,Start!C$15:D$31,2,FALSE),"No")</f>
        <v>No</v>
      </c>
      <c r="F359" s="105">
        <f t="shared" si="115"/>
        <v>0</v>
      </c>
      <c r="G359" s="106"/>
      <c r="H359" s="106"/>
      <c r="I359" s="106"/>
      <c r="J359" s="105">
        <f t="shared" si="107"/>
        <v>0</v>
      </c>
      <c r="K359" s="106"/>
      <c r="L359" s="177" t="str">
        <f t="shared" si="108"/>
        <v/>
      </c>
      <c r="M359" s="105">
        <f t="shared" si="109"/>
        <v>0</v>
      </c>
      <c r="N359" s="110"/>
      <c r="O359" s="124"/>
      <c r="P359" s="110"/>
      <c r="Q359" s="124"/>
      <c r="R359" s="111">
        <f>SUMIFS('Shipments data'!L:L,'Shipments data'!F:F,'Supply planning data'!C359,'Shipments data'!A:A,'Supply planning data'!A359,'Shipments data'!Y:Y,'Supply planning data'!D359,'Shipments data'!O:O,"received", 'Shipments data'!N:N, "Public")</f>
        <v>0</v>
      </c>
      <c r="S359" s="111">
        <f>SUMIFS('Shipments data'!L:L,'Shipments data'!F:F,'Supply planning data'!C359,'Shipments data'!A:A,'Supply planning data'!A359,'Shipments data'!Y:Y,'Supply planning data'!D359,'Shipments data'!O:O,"ordered", 'Shipments data'!N:N, "Public")</f>
        <v>0</v>
      </c>
      <c r="T359" s="111">
        <f>IF(SUMIFS('Shipments data'!L:L,'Shipments data'!F:F,'Supply planning data'!C359,'Shipments data'!A:A,'Supply planning data'!A359,'Shipments data'!O:O,"received",'Shipments data'!Q:Q,"&lt;"&amp;'Supply planning data'!D374,'Shipments data'!AC:AC,"&lt;"&amp;'Supply planning data'!D374)-SUMIFS(M:M,D:D,"&lt;="&amp;D359,C:C,C359)+SUMIFS(N:N,D:D,"&lt;="&amp;D359,C:C,C359)+SUMIFS(P:P,D:D,"&lt;="&amp;D359,C:C,C359)&lt;0,0,SUMIFS('Shipments data'!L:L,'Shipments data'!F:F,'Supply planning data'!C359,'Shipments data'!A:A,'Supply planning data'!A359,'Shipments data'!O:O,"received",'Shipments data'!Q:Q,"&lt;"&amp;'Supply planning data'!D374,'Shipments data'!AC:AC,"&lt;"&amp;'Supply planning data'!D374)-SUMIFS(M:M,D:D,"&lt;="&amp;D359,C:C,C359)+SUMIFS(N:N,D:D,"&lt;="&amp;D359,C:C,C359)+SUMIFS(P:P,D:D,"&lt;="&amp;D359,C:C,C359))</f>
        <v>0</v>
      </c>
      <c r="U359" s="112">
        <f t="shared" si="116"/>
        <v>0</v>
      </c>
      <c r="V359" s="111">
        <f t="shared" si="106"/>
        <v>0</v>
      </c>
      <c r="W359" s="204" t="str">
        <f t="shared" si="122"/>
        <v/>
      </c>
      <c r="X359" s="111">
        <f t="shared" si="117"/>
        <v>0</v>
      </c>
      <c r="Y359" s="110"/>
      <c r="Z359" s="107"/>
      <c r="AA359" s="111">
        <f t="shared" si="110"/>
        <v>0</v>
      </c>
      <c r="AB359" s="235"/>
      <c r="AC359" s="111">
        <f>IF(SUMIFS('Shipments data'!L:L,'Shipments data'!F:F,'Supply planning data'!C359,'Shipments data'!A:A,'Supply planning data'!A359,'Shipments data'!O:O,"received",'Shipments data'!Q:Q,"&lt;"&amp;'Supply planning data'!D374,'Shipments data'!AC:AC,"&lt;"&amp;'Supply planning data'!D374)-SUMIFS(M:M,D:D,"&lt;="&amp;D359,C:C,C359)-SUMIFS(AA:AA,D:D,"&lt;="&amp;D359,C:C,C359)+SUMIFS(N:N,D:D,"&lt;="&amp;D359,C:C,C359)+SUMIFS(P:P,D:D,"&lt;="&amp;D359,C:C,C359)&lt;0,0,SUMIFS('Shipments data'!L:L,'Shipments data'!F:F,'Supply planning data'!C359,'Shipments data'!A:A,'Supply planning data'!A359,'Shipments data'!O:O,"received",'Shipments data'!Q:Q,"&lt;"&amp;'Supply planning data'!D374,'Shipments data'!AC:AC,"&lt;"&amp;'Supply planning data'!D374)-SUMIFS(M:M,D:D,"&lt;="&amp;D359,C:C,C359)-SUMIFS(AA:AA,D:D,"&lt;="&amp;D359,C:C,C359)+SUMIFS(N:N,D:D,"&lt;="&amp;D359,C:C,C359)+SUMIFS(P:P,D:D,"&lt;="&amp;D359,C:C,C359))</f>
        <v>0</v>
      </c>
      <c r="AD359" s="111">
        <f t="shared" si="118"/>
        <v>0</v>
      </c>
      <c r="AE359" s="111">
        <f t="shared" si="112"/>
        <v>0</v>
      </c>
      <c r="AF359" s="204" t="str">
        <f t="shared" si="121"/>
        <v/>
      </c>
      <c r="AG359" s="111">
        <f t="shared" si="119"/>
        <v>0</v>
      </c>
      <c r="AH359" s="110"/>
      <c r="AI359" s="313"/>
      <c r="AJ359" s="111">
        <f t="shared" si="111"/>
        <v>0</v>
      </c>
      <c r="AK359" s="235"/>
      <c r="AL359" s="111">
        <f>IF(SUMIFS('Shipments data'!L:L,'Shipments data'!F:F,'Supply planning data'!C359,'Shipments data'!A:A,'Supply planning data'!A359,'Shipments data'!O:O,"received",'Shipments data'!Q:Q,"&lt;"&amp;'Supply planning data'!D374,'Shipments data'!AC:AC,"&lt;"&amp;'Supply planning data'!D374)-SUMIFS(M:M,D:D,"&lt;="&amp;D359,C:C,C359)-SUMIFS(AJ:AJ,D:D,"&lt;="&amp;D359,C:C,C359)+SUMIFS(N:N,D:D,"&lt;="&amp;D359,C:C,C359)+SUMIFS(P:P,D:D,"&lt;="&amp;D359,C:C,C359)&lt;0,0,SUMIFS('Shipments data'!L:L,'Shipments data'!F:F,'Supply planning data'!C359,'Shipments data'!A:A,'Supply planning data'!A359,'Shipments data'!O:O,"received",'Shipments data'!Q:Q,"&lt;"&amp;'Supply planning data'!D374,'Shipments data'!AC:AC,"&lt;"&amp;'Supply planning data'!D374)-SUMIFS(M:M,D:D,"&lt;="&amp;D359,C:C,C359)-SUMIFS(AJ:AJ,D:D,"&lt;="&amp;D359,C:C,C359)+SUMIFS(N:N,D:D,"&lt;="&amp;D359,C:C,C359)+SUMIFS(P:P,D:D,"&lt;="&amp;D359,C:C,C359))</f>
        <v>0</v>
      </c>
      <c r="AM359" s="111">
        <f t="shared" si="120"/>
        <v>0</v>
      </c>
      <c r="AN359" s="111">
        <f t="shared" si="113"/>
        <v>0</v>
      </c>
      <c r="AO359" s="204" t="str">
        <f t="shared" si="123"/>
        <v/>
      </c>
    </row>
    <row r="360" spans="1:41" hidden="1" x14ac:dyDescent="0.25">
      <c r="A360" s="103" t="str">
        <f>Start!D$7</f>
        <v>Anyland</v>
      </c>
      <c r="B360" s="109" t="str">
        <f>VLOOKUP(A360,list!B:C,2,FALSE)</f>
        <v>ANY</v>
      </c>
      <c r="C360" s="104" t="str">
        <f>IF(Start!$C$27="","",Start!$C$27)</f>
        <v/>
      </c>
      <c r="D360" s="298">
        <f t="shared" si="114"/>
        <v>44896</v>
      </c>
      <c r="E360" s="105" t="str">
        <f>IFERROR(VLOOKUP(C360,Start!C$15:D$31,2,FALSE),"No")</f>
        <v>No</v>
      </c>
      <c r="F360" s="105">
        <f t="shared" si="115"/>
        <v>0</v>
      </c>
      <c r="G360" s="106"/>
      <c r="H360" s="106"/>
      <c r="I360" s="106"/>
      <c r="J360" s="105">
        <f t="shared" si="107"/>
        <v>0</v>
      </c>
      <c r="K360" s="106"/>
      <c r="L360" s="177" t="str">
        <f t="shared" si="108"/>
        <v/>
      </c>
      <c r="M360" s="105">
        <f t="shared" si="109"/>
        <v>0</v>
      </c>
      <c r="N360" s="110"/>
      <c r="O360" s="124"/>
      <c r="P360" s="110"/>
      <c r="Q360" s="124"/>
      <c r="R360" s="111">
        <f>SUMIFS('Shipments data'!L:L,'Shipments data'!F:F,'Supply planning data'!C360,'Shipments data'!A:A,'Supply planning data'!A360,'Shipments data'!Y:Y,'Supply planning data'!D360,'Shipments data'!O:O,"received", 'Shipments data'!N:N, "Public")</f>
        <v>0</v>
      </c>
      <c r="S360" s="111">
        <f>SUMIFS('Shipments data'!L:L,'Shipments data'!F:F,'Supply planning data'!C360,'Shipments data'!A:A,'Supply planning data'!A360,'Shipments data'!Y:Y,'Supply planning data'!D360,'Shipments data'!O:O,"ordered", 'Shipments data'!N:N, "Public")</f>
        <v>0</v>
      </c>
      <c r="T360" s="111">
        <f>IF(SUMIFS('Shipments data'!L:L,'Shipments data'!F:F,'Supply planning data'!C360,'Shipments data'!A:A,'Supply planning data'!A360,'Shipments data'!O:O,"received",'Shipments data'!Q:Q,"&lt;"&amp;'Supply planning data'!D375,'Shipments data'!AC:AC,"&lt;"&amp;'Supply planning data'!D375)-SUMIFS(M:M,D:D,"&lt;="&amp;D360,C:C,C360)+SUMIFS(N:N,D:D,"&lt;="&amp;D360,C:C,C360)+SUMIFS(P:P,D:D,"&lt;="&amp;D360,C:C,C360)&lt;0,0,SUMIFS('Shipments data'!L:L,'Shipments data'!F:F,'Supply planning data'!C360,'Shipments data'!A:A,'Supply planning data'!A360,'Shipments data'!O:O,"received",'Shipments data'!Q:Q,"&lt;"&amp;'Supply planning data'!D375,'Shipments data'!AC:AC,"&lt;"&amp;'Supply planning data'!D375)-SUMIFS(M:M,D:D,"&lt;="&amp;D360,C:C,C360)+SUMIFS(N:N,D:D,"&lt;="&amp;D360,C:C,C360)+SUMIFS(P:P,D:D,"&lt;="&amp;D360,C:C,C360))</f>
        <v>0</v>
      </c>
      <c r="U360" s="112">
        <f t="shared" si="116"/>
        <v>0</v>
      </c>
      <c r="V360" s="111">
        <f t="shared" si="106"/>
        <v>0</v>
      </c>
      <c r="W360" s="204" t="str">
        <f t="shared" si="122"/>
        <v/>
      </c>
      <c r="X360" s="111">
        <f t="shared" si="117"/>
        <v>0</v>
      </c>
      <c r="Y360" s="110"/>
      <c r="Z360" s="107"/>
      <c r="AA360" s="111">
        <f t="shared" si="110"/>
        <v>0</v>
      </c>
      <c r="AB360" s="235"/>
      <c r="AC360" s="111">
        <f>IF(SUMIFS('Shipments data'!L:L,'Shipments data'!F:F,'Supply planning data'!C360,'Shipments data'!A:A,'Supply planning data'!A360,'Shipments data'!O:O,"received",'Shipments data'!Q:Q,"&lt;"&amp;'Supply planning data'!D375,'Shipments data'!AC:AC,"&lt;"&amp;'Supply planning data'!D375)-SUMIFS(M:M,D:D,"&lt;="&amp;D360,C:C,C360)-SUMIFS(AA:AA,D:D,"&lt;="&amp;D360,C:C,C360)+SUMIFS(N:N,D:D,"&lt;="&amp;D360,C:C,C360)+SUMIFS(P:P,D:D,"&lt;="&amp;D360,C:C,C360)&lt;0,0,SUMIFS('Shipments data'!L:L,'Shipments data'!F:F,'Supply planning data'!C360,'Shipments data'!A:A,'Supply planning data'!A360,'Shipments data'!O:O,"received",'Shipments data'!Q:Q,"&lt;"&amp;'Supply planning data'!D375,'Shipments data'!AC:AC,"&lt;"&amp;'Supply planning data'!D375)-SUMIFS(M:M,D:D,"&lt;="&amp;D360,C:C,C360)-SUMIFS(AA:AA,D:D,"&lt;="&amp;D360,C:C,C360)+SUMIFS(N:N,D:D,"&lt;="&amp;D360,C:C,C360)+SUMIFS(P:P,D:D,"&lt;="&amp;D360,C:C,C360))</f>
        <v>0</v>
      </c>
      <c r="AD360" s="111">
        <f t="shared" si="118"/>
        <v>0</v>
      </c>
      <c r="AE360" s="111">
        <f t="shared" si="112"/>
        <v>0</v>
      </c>
      <c r="AF360" s="204" t="str">
        <f t="shared" si="121"/>
        <v/>
      </c>
      <c r="AG360" s="111">
        <f t="shared" si="119"/>
        <v>0</v>
      </c>
      <c r="AH360" s="110"/>
      <c r="AI360" s="313"/>
      <c r="AJ360" s="111">
        <f t="shared" si="111"/>
        <v>0</v>
      </c>
      <c r="AK360" s="235"/>
      <c r="AL360" s="111">
        <f>IF(SUMIFS('Shipments data'!L:L,'Shipments data'!F:F,'Supply planning data'!C360,'Shipments data'!A:A,'Supply planning data'!A360,'Shipments data'!O:O,"received",'Shipments data'!Q:Q,"&lt;"&amp;'Supply planning data'!D375,'Shipments data'!AC:AC,"&lt;"&amp;'Supply planning data'!D375)-SUMIFS(M:M,D:D,"&lt;="&amp;D360,C:C,C360)-SUMIFS(AJ:AJ,D:D,"&lt;="&amp;D360,C:C,C360)+SUMIFS(N:N,D:D,"&lt;="&amp;D360,C:C,C360)+SUMIFS(P:P,D:D,"&lt;="&amp;D360,C:C,C360)&lt;0,0,SUMIFS('Shipments data'!L:L,'Shipments data'!F:F,'Supply planning data'!C360,'Shipments data'!A:A,'Supply planning data'!A360,'Shipments data'!O:O,"received",'Shipments data'!Q:Q,"&lt;"&amp;'Supply planning data'!D375,'Shipments data'!AC:AC,"&lt;"&amp;'Supply planning data'!D375)-SUMIFS(M:M,D:D,"&lt;="&amp;D360,C:C,C360)-SUMIFS(AJ:AJ,D:D,"&lt;="&amp;D360,C:C,C360)+SUMIFS(N:N,D:D,"&lt;="&amp;D360,C:C,C360)+SUMIFS(P:P,D:D,"&lt;="&amp;D360,C:C,C360))</f>
        <v>0</v>
      </c>
      <c r="AM360" s="111">
        <f t="shared" si="120"/>
        <v>0</v>
      </c>
      <c r="AN360" s="111">
        <f t="shared" si="113"/>
        <v>0</v>
      </c>
      <c r="AO360" s="204" t="str">
        <f t="shared" si="123"/>
        <v/>
      </c>
    </row>
    <row r="361" spans="1:41" hidden="1" x14ac:dyDescent="0.25">
      <c r="A361" s="103" t="str">
        <f>Start!D$7</f>
        <v>Anyland</v>
      </c>
      <c r="B361" s="109" t="str">
        <f>VLOOKUP(A361,list!B:C,2,FALSE)</f>
        <v>ANY</v>
      </c>
      <c r="C361" s="109" t="str">
        <f>IF(Start!$C$28="","",Start!$C$28)</f>
        <v/>
      </c>
      <c r="D361" s="298">
        <f t="shared" si="114"/>
        <v>44896</v>
      </c>
      <c r="E361" s="105" t="str">
        <f>IFERROR(VLOOKUP(C361,Start!C$15:D$31,2,FALSE),"No")</f>
        <v>No</v>
      </c>
      <c r="F361" s="105">
        <f t="shared" si="115"/>
        <v>0</v>
      </c>
      <c r="G361" s="106"/>
      <c r="H361" s="106"/>
      <c r="I361" s="106"/>
      <c r="J361" s="105">
        <f t="shared" si="107"/>
        <v>0</v>
      </c>
      <c r="K361" s="106"/>
      <c r="L361" s="177" t="str">
        <f t="shared" si="108"/>
        <v/>
      </c>
      <c r="M361" s="105">
        <f t="shared" si="109"/>
        <v>0</v>
      </c>
      <c r="N361" s="110"/>
      <c r="O361" s="124"/>
      <c r="P361" s="110"/>
      <c r="Q361" s="124"/>
      <c r="R361" s="111">
        <f>SUMIFS('Shipments data'!L:L,'Shipments data'!F:F,'Supply planning data'!C361,'Shipments data'!A:A,'Supply planning data'!A361,'Shipments data'!Y:Y,'Supply planning data'!D361,'Shipments data'!O:O,"received", 'Shipments data'!N:N, "Public")</f>
        <v>0</v>
      </c>
      <c r="S361" s="111">
        <f>SUMIFS('Shipments data'!L:L,'Shipments data'!F:F,'Supply planning data'!C361,'Shipments data'!A:A,'Supply planning data'!A361,'Shipments data'!Y:Y,'Supply planning data'!D361,'Shipments data'!O:O,"ordered", 'Shipments data'!N:N, "Public")</f>
        <v>0</v>
      </c>
      <c r="T361" s="111">
        <f>IF(SUMIFS('Shipments data'!L:L,'Shipments data'!F:F,'Supply planning data'!C361,'Shipments data'!A:A,'Supply planning data'!A361,'Shipments data'!O:O,"received",'Shipments data'!Q:Q,"&lt;"&amp;'Supply planning data'!D376,'Shipments data'!AC:AC,"&lt;"&amp;'Supply planning data'!D376)-SUMIFS(M:M,D:D,"&lt;="&amp;D361,C:C,C361)+SUMIFS(N:N,D:D,"&lt;="&amp;D361,C:C,C361)+SUMIFS(P:P,D:D,"&lt;="&amp;D361,C:C,C361)&lt;0,0,SUMIFS('Shipments data'!L:L,'Shipments data'!F:F,'Supply planning data'!C361,'Shipments data'!A:A,'Supply planning data'!A361,'Shipments data'!O:O,"received",'Shipments data'!Q:Q,"&lt;"&amp;'Supply planning data'!D376,'Shipments data'!AC:AC,"&lt;"&amp;'Supply planning data'!D376)-SUMIFS(M:M,D:D,"&lt;="&amp;D361,C:C,C361)+SUMIFS(N:N,D:D,"&lt;="&amp;D361,C:C,C361)+SUMIFS(P:P,D:D,"&lt;="&amp;D361,C:C,C361))</f>
        <v>0</v>
      </c>
      <c r="U361" s="112">
        <f t="shared" si="116"/>
        <v>0</v>
      </c>
      <c r="V361" s="111">
        <f t="shared" si="106"/>
        <v>0</v>
      </c>
      <c r="W361" s="204" t="str">
        <f t="shared" si="122"/>
        <v/>
      </c>
      <c r="X361" s="111">
        <f t="shared" si="117"/>
        <v>0</v>
      </c>
      <c r="Y361" s="110"/>
      <c r="Z361" s="107"/>
      <c r="AA361" s="111">
        <f t="shared" si="110"/>
        <v>0</v>
      </c>
      <c r="AB361" s="235"/>
      <c r="AC361" s="111">
        <f>IF(SUMIFS('Shipments data'!L:L,'Shipments data'!F:F,'Supply planning data'!C361,'Shipments data'!A:A,'Supply planning data'!A361,'Shipments data'!O:O,"received",'Shipments data'!Q:Q,"&lt;"&amp;'Supply planning data'!D376,'Shipments data'!AC:AC,"&lt;"&amp;'Supply planning data'!D376)-SUMIFS(M:M,D:D,"&lt;="&amp;D361,C:C,C361)-SUMIFS(AA:AA,D:D,"&lt;="&amp;D361,C:C,C361)+SUMIFS(N:N,D:D,"&lt;="&amp;D361,C:C,C361)+SUMIFS(P:P,D:D,"&lt;="&amp;D361,C:C,C361)&lt;0,0,SUMIFS('Shipments data'!L:L,'Shipments data'!F:F,'Supply planning data'!C361,'Shipments data'!A:A,'Supply planning data'!A361,'Shipments data'!O:O,"received",'Shipments data'!Q:Q,"&lt;"&amp;'Supply planning data'!D376,'Shipments data'!AC:AC,"&lt;"&amp;'Supply planning data'!D376)-SUMIFS(M:M,D:D,"&lt;="&amp;D361,C:C,C361)-SUMIFS(AA:AA,D:D,"&lt;="&amp;D361,C:C,C361)+SUMIFS(N:N,D:D,"&lt;="&amp;D361,C:C,C361)+SUMIFS(P:P,D:D,"&lt;="&amp;D361,C:C,C361))</f>
        <v>0</v>
      </c>
      <c r="AD361" s="111">
        <f t="shared" si="118"/>
        <v>0</v>
      </c>
      <c r="AE361" s="111">
        <f t="shared" si="112"/>
        <v>0</v>
      </c>
      <c r="AF361" s="204" t="str">
        <f t="shared" si="121"/>
        <v/>
      </c>
      <c r="AG361" s="111">
        <f t="shared" si="119"/>
        <v>0</v>
      </c>
      <c r="AH361" s="110"/>
      <c r="AI361" s="313"/>
      <c r="AJ361" s="111">
        <f t="shared" si="111"/>
        <v>0</v>
      </c>
      <c r="AK361" s="235"/>
      <c r="AL361" s="111">
        <f>IF(SUMIFS('Shipments data'!L:L,'Shipments data'!F:F,'Supply planning data'!C361,'Shipments data'!A:A,'Supply planning data'!A361,'Shipments data'!O:O,"received",'Shipments data'!Q:Q,"&lt;"&amp;'Supply planning data'!D376,'Shipments data'!AC:AC,"&lt;"&amp;'Supply planning data'!D376)-SUMIFS(M:M,D:D,"&lt;="&amp;D361,C:C,C361)-SUMIFS(AJ:AJ,D:D,"&lt;="&amp;D361,C:C,C361)+SUMIFS(N:N,D:D,"&lt;="&amp;D361,C:C,C361)+SUMIFS(P:P,D:D,"&lt;="&amp;D361,C:C,C361)&lt;0,0,SUMIFS('Shipments data'!L:L,'Shipments data'!F:F,'Supply planning data'!C361,'Shipments data'!A:A,'Supply planning data'!A361,'Shipments data'!O:O,"received",'Shipments data'!Q:Q,"&lt;"&amp;'Supply planning data'!D376,'Shipments data'!AC:AC,"&lt;"&amp;'Supply planning data'!D376)-SUMIFS(M:M,D:D,"&lt;="&amp;D361,C:C,C361)-SUMIFS(AJ:AJ,D:D,"&lt;="&amp;D361,C:C,C361)+SUMIFS(N:N,D:D,"&lt;="&amp;D361,C:C,C361)+SUMIFS(P:P,D:D,"&lt;="&amp;D361,C:C,C361))</f>
        <v>0</v>
      </c>
      <c r="AM361" s="111">
        <f t="shared" si="120"/>
        <v>0</v>
      </c>
      <c r="AN361" s="111">
        <f t="shared" si="113"/>
        <v>0</v>
      </c>
      <c r="AO361" s="204" t="str">
        <f t="shared" si="123"/>
        <v/>
      </c>
    </row>
    <row r="362" spans="1:41" hidden="1" x14ac:dyDescent="0.25">
      <c r="A362" s="103" t="str">
        <f>Start!D$7</f>
        <v>Anyland</v>
      </c>
      <c r="B362" s="109" t="str">
        <f>VLOOKUP(A362,list!B:C,2,FALSE)</f>
        <v>ANY</v>
      </c>
      <c r="C362" s="104" t="str">
        <f>IF(Start!$C$29="","",Start!$C$29)</f>
        <v/>
      </c>
      <c r="D362" s="298">
        <f t="shared" si="114"/>
        <v>44896</v>
      </c>
      <c r="E362" s="105" t="str">
        <f>IFERROR(VLOOKUP(C362,Start!C$15:D$31,2,FALSE),"No")</f>
        <v>No</v>
      </c>
      <c r="F362" s="105">
        <f t="shared" si="115"/>
        <v>0</v>
      </c>
      <c r="G362" s="106"/>
      <c r="H362" s="106"/>
      <c r="I362" s="106"/>
      <c r="J362" s="105">
        <f t="shared" si="107"/>
        <v>0</v>
      </c>
      <c r="K362" s="106"/>
      <c r="L362" s="177" t="str">
        <f t="shared" si="108"/>
        <v/>
      </c>
      <c r="M362" s="105">
        <f t="shared" si="109"/>
        <v>0</v>
      </c>
      <c r="N362" s="110"/>
      <c r="O362" s="124"/>
      <c r="P362" s="110"/>
      <c r="Q362" s="124"/>
      <c r="R362" s="111">
        <f>SUMIFS('Shipments data'!L:L,'Shipments data'!F:F,'Supply planning data'!C362,'Shipments data'!A:A,'Supply planning data'!A362,'Shipments data'!Y:Y,'Supply planning data'!D362,'Shipments data'!O:O,"received", 'Shipments data'!N:N, "Public")</f>
        <v>0</v>
      </c>
      <c r="S362" s="111">
        <f>SUMIFS('Shipments data'!L:L,'Shipments data'!F:F,'Supply planning data'!C362,'Shipments data'!A:A,'Supply planning data'!A362,'Shipments data'!Y:Y,'Supply planning data'!D362,'Shipments data'!O:O,"ordered", 'Shipments data'!N:N, "Public")</f>
        <v>0</v>
      </c>
      <c r="T362" s="111">
        <f>IF(SUMIFS('Shipments data'!L:L,'Shipments data'!F:F,'Supply planning data'!C362,'Shipments data'!A:A,'Supply planning data'!A362,'Shipments data'!O:O,"received",'Shipments data'!Q:Q,"&lt;"&amp;'Supply planning data'!D377,'Shipments data'!AC:AC,"&lt;"&amp;'Supply planning data'!D377)-SUMIFS(M:M,D:D,"&lt;="&amp;D362,C:C,C362)+SUMIFS(N:N,D:D,"&lt;="&amp;D362,C:C,C362)+SUMIFS(P:P,D:D,"&lt;="&amp;D362,C:C,C362)&lt;0,0,SUMIFS('Shipments data'!L:L,'Shipments data'!F:F,'Supply planning data'!C362,'Shipments data'!A:A,'Supply planning data'!A362,'Shipments data'!O:O,"received",'Shipments data'!Q:Q,"&lt;"&amp;'Supply planning data'!D377,'Shipments data'!AC:AC,"&lt;"&amp;'Supply planning data'!D377)-SUMIFS(M:M,D:D,"&lt;="&amp;D362,C:C,C362)+SUMIFS(N:N,D:D,"&lt;="&amp;D362,C:C,C362)+SUMIFS(P:P,D:D,"&lt;="&amp;D362,C:C,C362))</f>
        <v>0</v>
      </c>
      <c r="U362" s="112">
        <f t="shared" si="116"/>
        <v>0</v>
      </c>
      <c r="V362" s="111">
        <f t="shared" si="106"/>
        <v>0</v>
      </c>
      <c r="W362" s="204" t="str">
        <f t="shared" si="122"/>
        <v/>
      </c>
      <c r="X362" s="111">
        <f t="shared" si="117"/>
        <v>0</v>
      </c>
      <c r="Y362" s="110"/>
      <c r="Z362" s="107"/>
      <c r="AA362" s="111">
        <f t="shared" si="110"/>
        <v>0</v>
      </c>
      <c r="AB362" s="235"/>
      <c r="AC362" s="111">
        <f>IF(SUMIFS('Shipments data'!L:L,'Shipments data'!F:F,'Supply planning data'!C362,'Shipments data'!A:A,'Supply planning data'!A362,'Shipments data'!O:O,"received",'Shipments data'!Q:Q,"&lt;"&amp;'Supply planning data'!D377,'Shipments data'!AC:AC,"&lt;"&amp;'Supply planning data'!D377)-SUMIFS(M:M,D:D,"&lt;="&amp;D362,C:C,C362)-SUMIFS(AA:AA,D:D,"&lt;="&amp;D362,C:C,C362)+SUMIFS(N:N,D:D,"&lt;="&amp;D362,C:C,C362)+SUMIFS(P:P,D:D,"&lt;="&amp;D362,C:C,C362)&lt;0,0,SUMIFS('Shipments data'!L:L,'Shipments data'!F:F,'Supply planning data'!C362,'Shipments data'!A:A,'Supply planning data'!A362,'Shipments data'!O:O,"received",'Shipments data'!Q:Q,"&lt;"&amp;'Supply planning data'!D377,'Shipments data'!AC:AC,"&lt;"&amp;'Supply planning data'!D377)-SUMIFS(M:M,D:D,"&lt;="&amp;D362,C:C,C362)-SUMIFS(AA:AA,D:D,"&lt;="&amp;D362,C:C,C362)+SUMIFS(N:N,D:D,"&lt;="&amp;D362,C:C,C362)+SUMIFS(P:P,D:D,"&lt;="&amp;D362,C:C,C362))</f>
        <v>0</v>
      </c>
      <c r="AD362" s="111">
        <f t="shared" si="118"/>
        <v>0</v>
      </c>
      <c r="AE362" s="111">
        <f t="shared" si="112"/>
        <v>0</v>
      </c>
      <c r="AF362" s="204" t="str">
        <f t="shared" si="121"/>
        <v/>
      </c>
      <c r="AG362" s="111">
        <f t="shared" si="119"/>
        <v>0</v>
      </c>
      <c r="AH362" s="110"/>
      <c r="AI362" s="313"/>
      <c r="AJ362" s="111">
        <f t="shared" si="111"/>
        <v>0</v>
      </c>
      <c r="AK362" s="235"/>
      <c r="AL362" s="111">
        <f>IF(SUMIFS('Shipments data'!L:L,'Shipments data'!F:F,'Supply planning data'!C362,'Shipments data'!A:A,'Supply planning data'!A362,'Shipments data'!O:O,"received",'Shipments data'!Q:Q,"&lt;"&amp;'Supply planning data'!D377,'Shipments data'!AC:AC,"&lt;"&amp;'Supply planning data'!D377)-SUMIFS(M:M,D:D,"&lt;="&amp;D362,C:C,C362)-SUMIFS(AJ:AJ,D:D,"&lt;="&amp;D362,C:C,C362)+SUMIFS(N:N,D:D,"&lt;="&amp;D362,C:C,C362)+SUMIFS(P:P,D:D,"&lt;="&amp;D362,C:C,C362)&lt;0,0,SUMIFS('Shipments data'!L:L,'Shipments data'!F:F,'Supply planning data'!C362,'Shipments data'!A:A,'Supply planning data'!A362,'Shipments data'!O:O,"received",'Shipments data'!Q:Q,"&lt;"&amp;'Supply planning data'!D377,'Shipments data'!AC:AC,"&lt;"&amp;'Supply planning data'!D377)-SUMIFS(M:M,D:D,"&lt;="&amp;D362,C:C,C362)-SUMIFS(AJ:AJ,D:D,"&lt;="&amp;D362,C:C,C362)+SUMIFS(N:N,D:D,"&lt;="&amp;D362,C:C,C362)+SUMIFS(P:P,D:D,"&lt;="&amp;D362,C:C,C362))</f>
        <v>0</v>
      </c>
      <c r="AM362" s="111">
        <f t="shared" si="120"/>
        <v>0</v>
      </c>
      <c r="AN362" s="111">
        <f t="shared" si="113"/>
        <v>0</v>
      </c>
      <c r="AO362" s="204" t="str">
        <f t="shared" si="123"/>
        <v/>
      </c>
    </row>
    <row r="363" spans="1:41" hidden="1" x14ac:dyDescent="0.25">
      <c r="A363" s="103" t="str">
        <f>Start!D$7</f>
        <v>Anyland</v>
      </c>
      <c r="B363" s="109" t="str">
        <f>VLOOKUP(A363,list!B:C,2,FALSE)</f>
        <v>ANY</v>
      </c>
      <c r="C363" s="109" t="str">
        <f>IF(Start!$C$30="","",Start!$C$30)</f>
        <v/>
      </c>
      <c r="D363" s="298">
        <f t="shared" si="114"/>
        <v>44896</v>
      </c>
      <c r="E363" s="105" t="str">
        <f>IFERROR(VLOOKUP(C363,Start!C$15:D$31,2,FALSE),"No")</f>
        <v>No</v>
      </c>
      <c r="F363" s="105">
        <f t="shared" si="115"/>
        <v>0</v>
      </c>
      <c r="G363" s="106"/>
      <c r="H363" s="106"/>
      <c r="I363" s="106"/>
      <c r="J363" s="105">
        <f t="shared" si="107"/>
        <v>0</v>
      </c>
      <c r="K363" s="106"/>
      <c r="L363" s="177" t="str">
        <f t="shared" si="108"/>
        <v/>
      </c>
      <c r="M363" s="105">
        <f t="shared" si="109"/>
        <v>0</v>
      </c>
      <c r="N363" s="110"/>
      <c r="O363" s="124"/>
      <c r="P363" s="110"/>
      <c r="Q363" s="124"/>
      <c r="R363" s="111">
        <f>SUMIFS('Shipments data'!L:L,'Shipments data'!F:F,'Supply planning data'!C363,'Shipments data'!A:A,'Supply planning data'!A363,'Shipments data'!Y:Y,'Supply planning data'!D363,'Shipments data'!O:O,"received", 'Shipments data'!N:N, "Public")</f>
        <v>0</v>
      </c>
      <c r="S363" s="111">
        <f>SUMIFS('Shipments data'!L:L,'Shipments data'!F:F,'Supply planning data'!C363,'Shipments data'!A:A,'Supply planning data'!A363,'Shipments data'!Y:Y,'Supply planning data'!D363,'Shipments data'!O:O,"ordered", 'Shipments data'!N:N, "Public")</f>
        <v>0</v>
      </c>
      <c r="T363" s="111">
        <f>IF(SUMIFS('Shipments data'!L:L,'Shipments data'!F:F,'Supply planning data'!C363,'Shipments data'!A:A,'Supply planning data'!A363,'Shipments data'!O:O,"received",'Shipments data'!Q:Q,"&lt;"&amp;'Supply planning data'!D378,'Shipments data'!AC:AC,"&lt;"&amp;'Supply planning data'!D378)-SUMIFS(M:M,D:D,"&lt;="&amp;D363,C:C,C363)+SUMIFS(N:N,D:D,"&lt;="&amp;D363,C:C,C363)+SUMIFS(P:P,D:D,"&lt;="&amp;D363,C:C,C363)&lt;0,0,SUMIFS('Shipments data'!L:L,'Shipments data'!F:F,'Supply planning data'!C363,'Shipments data'!A:A,'Supply planning data'!A363,'Shipments data'!O:O,"received",'Shipments data'!Q:Q,"&lt;"&amp;'Supply planning data'!D378,'Shipments data'!AC:AC,"&lt;"&amp;'Supply planning data'!D378)-SUMIFS(M:M,D:D,"&lt;="&amp;D363,C:C,C363)+SUMIFS(N:N,D:D,"&lt;="&amp;D363,C:C,C363)+SUMIFS(P:P,D:D,"&lt;="&amp;D363,C:C,C363))</f>
        <v>0</v>
      </c>
      <c r="U363" s="112">
        <f t="shared" si="116"/>
        <v>0</v>
      </c>
      <c r="V363" s="111">
        <f t="shared" si="106"/>
        <v>0</v>
      </c>
      <c r="W363" s="204" t="str">
        <f t="shared" si="122"/>
        <v/>
      </c>
      <c r="X363" s="111">
        <f t="shared" si="117"/>
        <v>0</v>
      </c>
      <c r="Y363" s="110"/>
      <c r="Z363" s="107"/>
      <c r="AA363" s="111">
        <f t="shared" si="110"/>
        <v>0</v>
      </c>
      <c r="AB363" s="235"/>
      <c r="AC363" s="111">
        <f>IF(SUMIFS('Shipments data'!L:L,'Shipments data'!F:F,'Supply planning data'!C363,'Shipments data'!A:A,'Supply planning data'!A363,'Shipments data'!O:O,"received",'Shipments data'!Q:Q,"&lt;"&amp;'Supply planning data'!D378,'Shipments data'!AC:AC,"&lt;"&amp;'Supply planning data'!D378)-SUMIFS(M:M,D:D,"&lt;="&amp;D363,C:C,C363)-SUMIFS(AA:AA,D:D,"&lt;="&amp;D363,C:C,C363)+SUMIFS(N:N,D:D,"&lt;="&amp;D363,C:C,C363)+SUMIFS(P:P,D:D,"&lt;="&amp;D363,C:C,C363)&lt;0,0,SUMIFS('Shipments data'!L:L,'Shipments data'!F:F,'Supply planning data'!C363,'Shipments data'!A:A,'Supply planning data'!A363,'Shipments data'!O:O,"received",'Shipments data'!Q:Q,"&lt;"&amp;'Supply planning data'!D378,'Shipments data'!AC:AC,"&lt;"&amp;'Supply planning data'!D378)-SUMIFS(M:M,D:D,"&lt;="&amp;D363,C:C,C363)-SUMIFS(AA:AA,D:D,"&lt;="&amp;D363,C:C,C363)+SUMIFS(N:N,D:D,"&lt;="&amp;D363,C:C,C363)+SUMIFS(P:P,D:D,"&lt;="&amp;D363,C:C,C363))</f>
        <v>0</v>
      </c>
      <c r="AD363" s="111">
        <f t="shared" si="118"/>
        <v>0</v>
      </c>
      <c r="AE363" s="111">
        <f t="shared" si="112"/>
        <v>0</v>
      </c>
      <c r="AF363" s="204" t="str">
        <f t="shared" si="121"/>
        <v/>
      </c>
      <c r="AG363" s="111">
        <f t="shared" si="119"/>
        <v>0</v>
      </c>
      <c r="AH363" s="110"/>
      <c r="AI363" s="313"/>
      <c r="AJ363" s="111">
        <f t="shared" si="111"/>
        <v>0</v>
      </c>
      <c r="AK363" s="235"/>
      <c r="AL363" s="111">
        <f>IF(SUMIFS('Shipments data'!L:L,'Shipments data'!F:F,'Supply planning data'!C363,'Shipments data'!A:A,'Supply planning data'!A363,'Shipments data'!O:O,"received",'Shipments data'!Q:Q,"&lt;"&amp;'Supply planning data'!D378,'Shipments data'!AC:AC,"&lt;"&amp;'Supply planning data'!D378)-SUMIFS(M:M,D:D,"&lt;="&amp;D363,C:C,C363)-SUMIFS(AJ:AJ,D:D,"&lt;="&amp;D363,C:C,C363)+SUMIFS(N:N,D:D,"&lt;="&amp;D363,C:C,C363)+SUMIFS(P:P,D:D,"&lt;="&amp;D363,C:C,C363)&lt;0,0,SUMIFS('Shipments data'!L:L,'Shipments data'!F:F,'Supply planning data'!C363,'Shipments data'!A:A,'Supply planning data'!A363,'Shipments data'!O:O,"received",'Shipments data'!Q:Q,"&lt;"&amp;'Supply planning data'!D378,'Shipments data'!AC:AC,"&lt;"&amp;'Supply planning data'!D378)-SUMIFS(M:M,D:D,"&lt;="&amp;D363,C:C,C363)-SUMIFS(AJ:AJ,D:D,"&lt;="&amp;D363,C:C,C363)+SUMIFS(N:N,D:D,"&lt;="&amp;D363,C:C,C363)+SUMIFS(P:P,D:D,"&lt;="&amp;D363,C:C,C363))</f>
        <v>0</v>
      </c>
      <c r="AM363" s="111">
        <f t="shared" si="120"/>
        <v>0</v>
      </c>
      <c r="AN363" s="111">
        <f t="shared" si="113"/>
        <v>0</v>
      </c>
      <c r="AO363" s="204" t="str">
        <f t="shared" si="123"/>
        <v/>
      </c>
    </row>
    <row r="364" spans="1:41" hidden="1" x14ac:dyDescent="0.25">
      <c r="A364" s="113" t="str">
        <f>Start!D$7</f>
        <v>Anyland</v>
      </c>
      <c r="B364" s="114" t="str">
        <f>VLOOKUP(A364,list!B:C,2,FALSE)</f>
        <v>ANY</v>
      </c>
      <c r="C364" s="104" t="str">
        <f>IF(Start!$C$31="","",Start!$C$31)</f>
        <v/>
      </c>
      <c r="D364" s="298">
        <f t="shared" si="114"/>
        <v>44896</v>
      </c>
      <c r="E364" s="105" t="str">
        <f>IFERROR(VLOOKUP(C364,Start!C$15:D$31,2,FALSE),"No")</f>
        <v>No</v>
      </c>
      <c r="F364" s="105">
        <f t="shared" si="115"/>
        <v>0</v>
      </c>
      <c r="G364" s="106"/>
      <c r="H364" s="106"/>
      <c r="I364" s="106"/>
      <c r="J364" s="105">
        <f t="shared" si="107"/>
        <v>0</v>
      </c>
      <c r="K364" s="106"/>
      <c r="L364" s="177" t="str">
        <f t="shared" si="108"/>
        <v/>
      </c>
      <c r="M364" s="105">
        <f t="shared" si="109"/>
        <v>0</v>
      </c>
      <c r="N364" s="110"/>
      <c r="O364" s="124"/>
      <c r="P364" s="110"/>
      <c r="Q364" s="124"/>
      <c r="R364" s="111">
        <f>SUMIFS('Shipments data'!L:L,'Shipments data'!F:F,'Supply planning data'!C364,'Shipments data'!A:A,'Supply planning data'!A364,'Shipments data'!Y:Y,'Supply planning data'!D364,'Shipments data'!O:O,"received", 'Shipments data'!N:N, "Public")</f>
        <v>0</v>
      </c>
      <c r="S364" s="111">
        <f>SUMIFS('Shipments data'!L:L,'Shipments data'!F:F,'Supply planning data'!C364,'Shipments data'!A:A,'Supply planning data'!A364,'Shipments data'!Y:Y,'Supply planning data'!D364,'Shipments data'!O:O,"ordered", 'Shipments data'!N:N, "Public")</f>
        <v>0</v>
      </c>
      <c r="T364" s="111">
        <f>IF(SUMIFS('Shipments data'!L:L,'Shipments data'!F:F,'Supply planning data'!C364,'Shipments data'!A:A,'Supply planning data'!A364,'Shipments data'!O:O,"received",'Shipments data'!Q:Q,"&lt;"&amp;'Supply planning data'!D379,'Shipments data'!AC:AC,"&lt;"&amp;'Supply planning data'!D379)-SUMIFS(M:M,D:D,"&lt;="&amp;D364,C:C,C364)+SUMIFS(N:N,D:D,"&lt;="&amp;D364,C:C,C364)+SUMIFS(P:P,D:D,"&lt;="&amp;D364,C:C,C364)&lt;0,0,SUMIFS('Shipments data'!L:L,'Shipments data'!F:F,'Supply planning data'!C364,'Shipments data'!A:A,'Supply planning data'!A364,'Shipments data'!O:O,"received",'Shipments data'!Q:Q,"&lt;"&amp;'Supply planning data'!D379,'Shipments data'!AC:AC,"&lt;"&amp;'Supply planning data'!D379)-SUMIFS(M:M,D:D,"&lt;="&amp;D364,C:C,C364)+SUMIFS(N:N,D:D,"&lt;="&amp;D364,C:C,C364)+SUMIFS(P:P,D:D,"&lt;="&amp;D364,C:C,C364))</f>
        <v>0</v>
      </c>
      <c r="U364" s="112">
        <f t="shared" si="116"/>
        <v>0</v>
      </c>
      <c r="V364" s="111">
        <f t="shared" si="106"/>
        <v>0</v>
      </c>
      <c r="W364" s="204" t="str">
        <f t="shared" si="122"/>
        <v/>
      </c>
      <c r="X364" s="111">
        <f t="shared" si="117"/>
        <v>0</v>
      </c>
      <c r="Y364" s="110"/>
      <c r="Z364" s="107"/>
      <c r="AA364" s="111">
        <f t="shared" si="110"/>
        <v>0</v>
      </c>
      <c r="AB364" s="235"/>
      <c r="AC364" s="111">
        <f>IF(SUMIFS('Shipments data'!L:L,'Shipments data'!F:F,'Supply planning data'!C364,'Shipments data'!A:A,'Supply planning data'!A364,'Shipments data'!O:O,"received",'Shipments data'!Q:Q,"&lt;"&amp;'Supply planning data'!D379,'Shipments data'!AC:AC,"&lt;"&amp;'Supply planning data'!D379)-SUMIFS(M:M,D:D,"&lt;="&amp;D364,C:C,C364)-SUMIFS(AA:AA,D:D,"&lt;="&amp;D364,C:C,C364)+SUMIFS(N:N,D:D,"&lt;="&amp;D364,C:C,C364)+SUMIFS(P:P,D:D,"&lt;="&amp;D364,C:C,C364)&lt;0,0,SUMIFS('Shipments data'!L:L,'Shipments data'!F:F,'Supply planning data'!C364,'Shipments data'!A:A,'Supply planning data'!A364,'Shipments data'!O:O,"received",'Shipments data'!Q:Q,"&lt;"&amp;'Supply planning data'!D379,'Shipments data'!AC:AC,"&lt;"&amp;'Supply planning data'!D379)-SUMIFS(M:M,D:D,"&lt;="&amp;D364,C:C,C364)-SUMIFS(AA:AA,D:D,"&lt;="&amp;D364,C:C,C364)+SUMIFS(N:N,D:D,"&lt;="&amp;D364,C:C,C364)+SUMIFS(P:P,D:D,"&lt;="&amp;D364,C:C,C364))</f>
        <v>0</v>
      </c>
      <c r="AD364" s="111">
        <f t="shared" si="118"/>
        <v>0</v>
      </c>
      <c r="AE364" s="111">
        <f t="shared" si="112"/>
        <v>0</v>
      </c>
      <c r="AF364" s="204" t="str">
        <f t="shared" si="121"/>
        <v/>
      </c>
      <c r="AG364" s="111">
        <f t="shared" si="119"/>
        <v>0</v>
      </c>
      <c r="AH364" s="110"/>
      <c r="AI364" s="313"/>
      <c r="AJ364" s="111">
        <f t="shared" si="111"/>
        <v>0</v>
      </c>
      <c r="AK364" s="235"/>
      <c r="AL364" s="111">
        <f>IF(SUMIFS('Shipments data'!L:L,'Shipments data'!F:F,'Supply planning data'!C364,'Shipments data'!A:A,'Supply planning data'!A364,'Shipments data'!O:O,"received",'Shipments data'!Q:Q,"&lt;"&amp;'Supply planning data'!D379,'Shipments data'!AC:AC,"&lt;"&amp;'Supply planning data'!D379)-SUMIFS(M:M,D:D,"&lt;="&amp;D364,C:C,C364)-SUMIFS(AJ:AJ,D:D,"&lt;="&amp;D364,C:C,C364)+SUMIFS(N:N,D:D,"&lt;="&amp;D364,C:C,C364)+SUMIFS(P:P,D:D,"&lt;="&amp;D364,C:C,C364)&lt;0,0,SUMIFS('Shipments data'!L:L,'Shipments data'!F:F,'Supply planning data'!C364,'Shipments data'!A:A,'Supply planning data'!A364,'Shipments data'!O:O,"received",'Shipments data'!Q:Q,"&lt;"&amp;'Supply planning data'!D379,'Shipments data'!AC:AC,"&lt;"&amp;'Supply planning data'!D379)-SUMIFS(M:M,D:D,"&lt;="&amp;D364,C:C,C364)-SUMIFS(AJ:AJ,D:D,"&lt;="&amp;D364,C:C,C364)+SUMIFS(N:N,D:D,"&lt;="&amp;D364,C:C,C364)+SUMIFS(P:P,D:D,"&lt;="&amp;D364,C:C,C364))</f>
        <v>0</v>
      </c>
      <c r="AM364" s="111">
        <f t="shared" si="120"/>
        <v>0</v>
      </c>
      <c r="AN364" s="111">
        <f t="shared" si="113"/>
        <v>0</v>
      </c>
      <c r="AO364" s="204" t="str">
        <f t="shared" si="123"/>
        <v/>
      </c>
    </row>
    <row r="365" spans="1:41" x14ac:dyDescent="0.25">
      <c r="A365" s="89" t="str">
        <f>Start!D$7</f>
        <v>Anyland</v>
      </c>
      <c r="B365" s="90" t="str">
        <f>VLOOKUP(A365,list!B:C,2,FALSE)</f>
        <v>ANY</v>
      </c>
      <c r="C365" s="90" t="str">
        <f>IF(Start!$C$17="","",Start!$C$17)</f>
        <v>AstraZeneca</v>
      </c>
      <c r="D365" s="296">
        <f t="shared" si="114"/>
        <v>44927</v>
      </c>
      <c r="E365" s="92" t="str">
        <f>IFERROR(VLOOKUP(C365,Start!C$15:D$31,2,FALSE),"No")</f>
        <v>Yes</v>
      </c>
      <c r="F365" s="92">
        <f t="shared" si="115"/>
        <v>0</v>
      </c>
      <c r="G365" s="91"/>
      <c r="H365" s="91"/>
      <c r="I365" s="91"/>
      <c r="J365" s="92">
        <f t="shared" si="107"/>
        <v>0</v>
      </c>
      <c r="K365" s="91"/>
      <c r="L365" s="174" t="str">
        <f t="shared" si="108"/>
        <v/>
      </c>
      <c r="M365" s="92">
        <f t="shared" si="109"/>
        <v>0</v>
      </c>
      <c r="N365" s="91"/>
      <c r="O365" s="121"/>
      <c r="P365" s="91"/>
      <c r="Q365" s="121"/>
      <c r="R365" s="92">
        <f>SUMIFS('Shipments data'!L:L,'Shipments data'!F:F,'Supply planning data'!C365,'Shipments data'!A:A,'Supply planning data'!A365,'Shipments data'!Y:Y,'Supply planning data'!D365,'Shipments data'!O:O,"received", 'Shipments data'!N:N, "Public")</f>
        <v>0</v>
      </c>
      <c r="S365" s="92">
        <f>SUMIFS('Shipments data'!L:L,'Shipments data'!F:F,'Supply planning data'!C365,'Shipments data'!A:A,'Supply planning data'!A365,'Shipments data'!Y:Y,'Supply planning data'!D365,'Shipments data'!O:O,"ordered", 'Shipments data'!N:N, "Public")</f>
        <v>0</v>
      </c>
      <c r="T365" s="92">
        <f>IF(SUMIFS('Shipments data'!L:L,'Shipments data'!F:F,'Supply planning data'!C365,'Shipments data'!A:A,'Supply planning data'!A365,'Shipments data'!O:O,"received",'Shipments data'!Q:Q,"&lt;"&amp;'Supply planning data'!D380,'Shipments data'!AC:AC,"&lt;"&amp;'Supply planning data'!D380)-SUMIFS(M:M,D:D,"&lt;="&amp;D365,C:C,C365)+SUMIFS(N:N,D:D,"&lt;="&amp;D365,C:C,C365)+SUMIFS(P:P,D:D,"&lt;="&amp;D365,C:C,C365)&lt;0,0,SUMIFS('Shipments data'!L:L,'Shipments data'!F:F,'Supply planning data'!C365,'Shipments data'!A:A,'Supply planning data'!A365,'Shipments data'!O:O,"received",'Shipments data'!Q:Q,"&lt;"&amp;'Supply planning data'!D380,'Shipments data'!AC:AC,"&lt;"&amp;'Supply planning data'!D380)-SUMIFS(M:M,D:D,"&lt;="&amp;D365,C:C,C365)+SUMIFS(N:N,D:D,"&lt;="&amp;D365,C:C,C365)+SUMIFS(P:P,D:D,"&lt;="&amp;D365,C:C,C365))</f>
        <v>0</v>
      </c>
      <c r="U365" s="94">
        <f t="shared" si="116"/>
        <v>0</v>
      </c>
      <c r="V365" s="92">
        <f t="shared" si="106"/>
        <v>0</v>
      </c>
      <c r="W365" s="205" t="str">
        <f t="shared" si="122"/>
        <v/>
      </c>
      <c r="X365" s="92">
        <f t="shared" si="117"/>
        <v>154701</v>
      </c>
      <c r="Y365" s="91"/>
      <c r="Z365" s="93"/>
      <c r="AA365" s="92">
        <f t="shared" si="110"/>
        <v>0</v>
      </c>
      <c r="AB365" s="232"/>
      <c r="AC365" s="92">
        <f>IF(SUMIFS('Shipments data'!L:L,'Shipments data'!F:F,'Supply planning data'!C365,'Shipments data'!A:A,'Supply planning data'!A365,'Shipments data'!O:O,"received",'Shipments data'!Q:Q,"&lt;"&amp;'Supply planning data'!D380,'Shipments data'!AC:AC,"&lt;"&amp;'Supply planning data'!D380)-SUMIFS(M:M,D:D,"&lt;="&amp;D365,C:C,C365)-SUMIFS(AA:AA,D:D,"&lt;="&amp;D365,C:C,C365)+SUMIFS(N:N,D:D,"&lt;="&amp;D365,C:C,C365)+SUMIFS(P:P,D:D,"&lt;="&amp;D365,C:C,C365)&lt;0,0,SUMIFS('Shipments data'!L:L,'Shipments data'!F:F,'Supply planning data'!C365,'Shipments data'!A:A,'Supply planning data'!A365,'Shipments data'!O:O,"received",'Shipments data'!Q:Q,"&lt;"&amp;'Supply planning data'!D380,'Shipments data'!AC:AC,"&lt;"&amp;'Supply planning data'!D380)-SUMIFS(M:M,D:D,"&lt;="&amp;D365,C:C,C365)-SUMIFS(AA:AA,D:D,"&lt;="&amp;D365,C:C,C365)+SUMIFS(N:N,D:D,"&lt;="&amp;D365,C:C,C365)+SUMIFS(P:P,D:D,"&lt;="&amp;D365,C:C,C365))</f>
        <v>0</v>
      </c>
      <c r="AD365" s="92">
        <f t="shared" si="118"/>
        <v>0</v>
      </c>
      <c r="AE365" s="92">
        <f t="shared" si="112"/>
        <v>154701</v>
      </c>
      <c r="AF365" s="205" t="str">
        <f t="shared" si="121"/>
        <v/>
      </c>
      <c r="AG365" s="92">
        <f t="shared" si="119"/>
        <v>0</v>
      </c>
      <c r="AH365" s="91"/>
      <c r="AI365" s="310"/>
      <c r="AJ365" s="92">
        <f t="shared" si="111"/>
        <v>0</v>
      </c>
      <c r="AK365" s="232"/>
      <c r="AL365" s="92">
        <f>IF(SUMIFS('Shipments data'!L:L,'Shipments data'!F:F,'Supply planning data'!C365,'Shipments data'!A:A,'Supply planning data'!A365,'Shipments data'!O:O,"received",'Shipments data'!Q:Q,"&lt;"&amp;'Supply planning data'!D380,'Shipments data'!AC:AC,"&lt;"&amp;'Supply planning data'!D380)-SUMIFS(M:M,D:D,"&lt;="&amp;D365,C:C,C365)-SUMIFS(AJ:AJ,D:D,"&lt;="&amp;D365,C:C,C365)+SUMIFS(N:N,D:D,"&lt;="&amp;D365,C:C,C365)+SUMIFS(P:P,D:D,"&lt;="&amp;D365,C:C,C365)&lt;0,0,SUMIFS('Shipments data'!L:L,'Shipments data'!F:F,'Supply planning data'!C365,'Shipments data'!A:A,'Supply planning data'!A365,'Shipments data'!O:O,"received",'Shipments data'!Q:Q,"&lt;"&amp;'Supply planning data'!D380,'Shipments data'!AC:AC,"&lt;"&amp;'Supply planning data'!D380)-SUMIFS(M:M,D:D,"&lt;="&amp;D365,C:C,C365)-SUMIFS(AJ:AJ,D:D,"&lt;="&amp;D365,C:C,C365)+SUMIFS(N:N,D:D,"&lt;="&amp;D365,C:C,C365)+SUMIFS(P:P,D:D,"&lt;="&amp;D365,C:C,C365))</f>
        <v>0</v>
      </c>
      <c r="AM365" s="92">
        <f t="shared" si="120"/>
        <v>0</v>
      </c>
      <c r="AN365" s="92">
        <f t="shared" si="113"/>
        <v>0</v>
      </c>
      <c r="AO365" s="205" t="str">
        <f t="shared" si="123"/>
        <v/>
      </c>
    </row>
    <row r="366" spans="1:41" x14ac:dyDescent="0.25">
      <c r="A366" s="95" t="str">
        <f>Start!D$7</f>
        <v>Anyland</v>
      </c>
      <c r="B366" s="96" t="str">
        <f>VLOOKUP(A366,list!B:C,2,FALSE)</f>
        <v>ANY</v>
      </c>
      <c r="C366" s="90" t="str">
        <f>IF(Start!$C$18="","",Start!$C$18)</f>
        <v>Jansen</v>
      </c>
      <c r="D366" s="296">
        <f t="shared" si="114"/>
        <v>44927</v>
      </c>
      <c r="E366" s="92" t="str">
        <f>IFERROR(VLOOKUP(C366,Start!C$15:D$31,2,FALSE),"No")</f>
        <v>Yes</v>
      </c>
      <c r="F366" s="92">
        <f t="shared" si="115"/>
        <v>2258747</v>
      </c>
      <c r="G366" s="91"/>
      <c r="H366" s="97"/>
      <c r="I366" s="97"/>
      <c r="J366" s="98">
        <f t="shared" si="107"/>
        <v>0</v>
      </c>
      <c r="K366" s="97"/>
      <c r="L366" s="175" t="str">
        <f t="shared" si="108"/>
        <v/>
      </c>
      <c r="M366" s="98">
        <f t="shared" si="109"/>
        <v>0</v>
      </c>
      <c r="N366" s="97"/>
      <c r="O366" s="122"/>
      <c r="P366" s="97"/>
      <c r="Q366" s="122"/>
      <c r="R366" s="98">
        <f>SUMIFS('Shipments data'!L:L,'Shipments data'!F:F,'Supply planning data'!C366,'Shipments data'!A:A,'Supply planning data'!A366,'Shipments data'!Y:Y,'Supply planning data'!D366,'Shipments data'!O:O,"received", 'Shipments data'!N:N, "Public")</f>
        <v>0</v>
      </c>
      <c r="S366" s="98">
        <f>SUMIFS('Shipments data'!L:L,'Shipments data'!F:F,'Supply planning data'!C366,'Shipments data'!A:A,'Supply planning data'!A366,'Shipments data'!Y:Y,'Supply planning data'!D366,'Shipments data'!O:O,"ordered", 'Shipments data'!N:N, "Public")</f>
        <v>0</v>
      </c>
      <c r="T366" s="98">
        <f>IF(SUMIFS('Shipments data'!L:L,'Shipments data'!F:F,'Supply planning data'!C366,'Shipments data'!A:A,'Supply planning data'!A366,'Shipments data'!O:O,"received",'Shipments data'!Q:Q,"&lt;"&amp;'Supply planning data'!D381,'Shipments data'!AC:AC,"&lt;"&amp;'Supply planning data'!D381)-SUMIFS(M:M,D:D,"&lt;="&amp;D366,C:C,C366)+SUMIFS(N:N,D:D,"&lt;="&amp;D366,C:C,C366)+SUMIFS(P:P,D:D,"&lt;="&amp;D366,C:C,C366)&lt;0,0,SUMIFS('Shipments data'!L:L,'Shipments data'!F:F,'Supply planning data'!C366,'Shipments data'!A:A,'Supply planning data'!A366,'Shipments data'!O:O,"received",'Shipments data'!Q:Q,"&lt;"&amp;'Supply planning data'!D381,'Shipments data'!AC:AC,"&lt;"&amp;'Supply planning data'!D381)-SUMIFS(M:M,D:D,"&lt;="&amp;D366,C:C,C366)+SUMIFS(N:N,D:D,"&lt;="&amp;D366,C:C,C366)+SUMIFS(P:P,D:D,"&lt;="&amp;D366,C:C,C366))</f>
        <v>0</v>
      </c>
      <c r="U366" s="99">
        <f t="shared" si="116"/>
        <v>0</v>
      </c>
      <c r="V366" s="98">
        <f t="shared" si="106"/>
        <v>2258747</v>
      </c>
      <c r="W366" s="203" t="str">
        <f t="shared" si="122"/>
        <v/>
      </c>
      <c r="X366" s="98">
        <f t="shared" si="117"/>
        <v>1698747</v>
      </c>
      <c r="Y366" s="97"/>
      <c r="Z366" s="93"/>
      <c r="AA366" s="98">
        <f t="shared" si="110"/>
        <v>0</v>
      </c>
      <c r="AB366" s="233"/>
      <c r="AC366" s="98">
        <f>IF(SUMIFS('Shipments data'!L:L,'Shipments data'!F:F,'Supply planning data'!C366,'Shipments data'!A:A,'Supply planning data'!A366,'Shipments data'!O:O,"received",'Shipments data'!Q:Q,"&lt;"&amp;'Supply planning data'!D381,'Shipments data'!AC:AC,"&lt;"&amp;'Supply planning data'!D381)-SUMIFS(M:M,D:D,"&lt;="&amp;D366,C:C,C366)-SUMIFS(AA:AA,D:D,"&lt;="&amp;D366,C:C,C366)+SUMIFS(N:N,D:D,"&lt;="&amp;D366,C:C,C366)+SUMIFS(P:P,D:D,"&lt;="&amp;D366,C:C,C366)&lt;0,0,SUMIFS('Shipments data'!L:L,'Shipments data'!F:F,'Supply planning data'!C366,'Shipments data'!A:A,'Supply planning data'!A366,'Shipments data'!O:O,"received",'Shipments data'!Q:Q,"&lt;"&amp;'Supply planning data'!D381,'Shipments data'!AC:AC,"&lt;"&amp;'Supply planning data'!D381)-SUMIFS(M:M,D:D,"&lt;="&amp;D366,C:C,C366)-SUMIFS(AA:AA,D:D,"&lt;="&amp;D366,C:C,C366)+SUMIFS(N:N,D:D,"&lt;="&amp;D366,C:C,C366)+SUMIFS(P:P,D:D,"&lt;="&amp;D366,C:C,C366))</f>
        <v>0</v>
      </c>
      <c r="AD366" s="98">
        <f t="shared" si="118"/>
        <v>0</v>
      </c>
      <c r="AE366" s="98">
        <f t="shared" si="112"/>
        <v>1698747</v>
      </c>
      <c r="AF366" s="205" t="str">
        <f t="shared" si="121"/>
        <v/>
      </c>
      <c r="AG366" s="98">
        <f t="shared" si="119"/>
        <v>2258747</v>
      </c>
      <c r="AH366" s="97"/>
      <c r="AI366" s="311"/>
      <c r="AJ366" s="98">
        <f t="shared" si="111"/>
        <v>0</v>
      </c>
      <c r="AK366" s="233"/>
      <c r="AL366" s="98">
        <f>IF(SUMIFS('Shipments data'!L:L,'Shipments data'!F:F,'Supply planning data'!C366,'Shipments data'!A:A,'Supply planning data'!A366,'Shipments data'!O:O,"received",'Shipments data'!Q:Q,"&lt;"&amp;'Supply planning data'!D381,'Shipments data'!AC:AC,"&lt;"&amp;'Supply planning data'!D381)-SUMIFS(M:M,D:D,"&lt;="&amp;D366,C:C,C366)-SUMIFS(AJ:AJ,D:D,"&lt;="&amp;D366,C:C,C366)+SUMIFS(N:N,D:D,"&lt;="&amp;D366,C:C,C366)+SUMIFS(P:P,D:D,"&lt;="&amp;D366,C:C,C366)&lt;0,0,SUMIFS('Shipments data'!L:L,'Shipments data'!F:F,'Supply planning data'!C366,'Shipments data'!A:A,'Supply planning data'!A366,'Shipments data'!O:O,"received",'Shipments data'!Q:Q,"&lt;"&amp;'Supply planning data'!D381,'Shipments data'!AC:AC,"&lt;"&amp;'Supply planning data'!D381)-SUMIFS(M:M,D:D,"&lt;="&amp;D366,C:C,C366)-SUMIFS(AJ:AJ,D:D,"&lt;="&amp;D366,C:C,C366)+SUMIFS(N:N,D:D,"&lt;="&amp;D366,C:C,C366)+SUMIFS(P:P,D:D,"&lt;="&amp;D366,C:C,C366))</f>
        <v>0</v>
      </c>
      <c r="AM366" s="98">
        <f t="shared" si="120"/>
        <v>0</v>
      </c>
      <c r="AN366" s="98">
        <f t="shared" si="113"/>
        <v>2258747</v>
      </c>
      <c r="AO366" s="203" t="str">
        <f t="shared" si="123"/>
        <v/>
      </c>
    </row>
    <row r="367" spans="1:41" x14ac:dyDescent="0.25">
      <c r="A367" s="95" t="str">
        <f>Start!D$7</f>
        <v>Anyland</v>
      </c>
      <c r="B367" s="96" t="str">
        <f>VLOOKUP(A367,list!B:C,2,FALSE)</f>
        <v>ANY</v>
      </c>
      <c r="C367" s="90" t="str">
        <f>IF(Start!$C$19="","",Start!$C$19)</f>
        <v>Moderna</v>
      </c>
      <c r="D367" s="296">
        <f t="shared" si="114"/>
        <v>44927</v>
      </c>
      <c r="E367" s="92" t="str">
        <f>IFERROR(VLOOKUP(C367,Start!C$15:D$31,2,FALSE),"No")</f>
        <v>No</v>
      </c>
      <c r="F367" s="92">
        <f t="shared" si="115"/>
        <v>0</v>
      </c>
      <c r="G367" s="91"/>
      <c r="H367" s="97"/>
      <c r="I367" s="97"/>
      <c r="J367" s="98">
        <f t="shared" si="107"/>
        <v>0</v>
      </c>
      <c r="K367" s="97"/>
      <c r="L367" s="175" t="str">
        <f t="shared" si="108"/>
        <v/>
      </c>
      <c r="M367" s="98">
        <f t="shared" si="109"/>
        <v>0</v>
      </c>
      <c r="N367" s="97"/>
      <c r="O367" s="122"/>
      <c r="P367" s="97"/>
      <c r="Q367" s="122"/>
      <c r="R367" s="98">
        <f>SUMIFS('Shipments data'!L:L,'Shipments data'!F:F,'Supply planning data'!C367,'Shipments data'!A:A,'Supply planning data'!A367,'Shipments data'!Y:Y,'Supply planning data'!D367,'Shipments data'!O:O,"received", 'Shipments data'!N:N, "Public")</f>
        <v>0</v>
      </c>
      <c r="S367" s="98">
        <f>SUMIFS('Shipments data'!L:L,'Shipments data'!F:F,'Supply planning data'!C367,'Shipments data'!A:A,'Supply planning data'!A367,'Shipments data'!Y:Y,'Supply planning data'!D367,'Shipments data'!O:O,"ordered", 'Shipments data'!N:N, "Public")</f>
        <v>0</v>
      </c>
      <c r="T367" s="98">
        <f>IF(SUMIFS('Shipments data'!L:L,'Shipments data'!F:F,'Supply planning data'!C367,'Shipments data'!A:A,'Supply planning data'!A367,'Shipments data'!O:O,"received",'Shipments data'!Q:Q,"&lt;"&amp;'Supply planning data'!D382,'Shipments data'!AC:AC,"&lt;"&amp;'Supply planning data'!D382)-SUMIFS(M:M,D:D,"&lt;="&amp;D367,C:C,C367)+SUMIFS(N:N,D:D,"&lt;="&amp;D367,C:C,C367)+SUMIFS(P:P,D:D,"&lt;="&amp;D367,C:C,C367)&lt;0,0,SUMIFS('Shipments data'!L:L,'Shipments data'!F:F,'Supply planning data'!C367,'Shipments data'!A:A,'Supply planning data'!A367,'Shipments data'!O:O,"received",'Shipments data'!Q:Q,"&lt;"&amp;'Supply planning data'!D382,'Shipments data'!AC:AC,"&lt;"&amp;'Supply planning data'!D382)-SUMIFS(M:M,D:D,"&lt;="&amp;D367,C:C,C367)+SUMIFS(N:N,D:D,"&lt;="&amp;D367,C:C,C367)+SUMIFS(P:P,D:D,"&lt;="&amp;D367,C:C,C367))</f>
        <v>0</v>
      </c>
      <c r="U367" s="99">
        <f t="shared" si="116"/>
        <v>0</v>
      </c>
      <c r="V367" s="98">
        <f t="shared" si="106"/>
        <v>0</v>
      </c>
      <c r="W367" s="203" t="str">
        <f t="shared" si="122"/>
        <v/>
      </c>
      <c r="X367" s="98">
        <f t="shared" si="117"/>
        <v>0</v>
      </c>
      <c r="Y367" s="97"/>
      <c r="Z367" s="93"/>
      <c r="AA367" s="98">
        <f t="shared" si="110"/>
        <v>0</v>
      </c>
      <c r="AB367" s="233"/>
      <c r="AC367" s="98">
        <f>IF(SUMIFS('Shipments data'!L:L,'Shipments data'!F:F,'Supply planning data'!C367,'Shipments data'!A:A,'Supply planning data'!A367,'Shipments data'!O:O,"received",'Shipments data'!Q:Q,"&lt;"&amp;'Supply planning data'!D382,'Shipments data'!AC:AC,"&lt;"&amp;'Supply planning data'!D382)-SUMIFS(M:M,D:D,"&lt;="&amp;D367,C:C,C367)-SUMIFS(AA:AA,D:D,"&lt;="&amp;D367,C:C,C367)+SUMIFS(N:N,D:D,"&lt;="&amp;D367,C:C,C367)+SUMIFS(P:P,D:D,"&lt;="&amp;D367,C:C,C367)&lt;0,0,SUMIFS('Shipments data'!L:L,'Shipments data'!F:F,'Supply planning data'!C367,'Shipments data'!A:A,'Supply planning data'!A367,'Shipments data'!O:O,"received",'Shipments data'!Q:Q,"&lt;"&amp;'Supply planning data'!D382,'Shipments data'!AC:AC,"&lt;"&amp;'Supply planning data'!D382)-SUMIFS(M:M,D:D,"&lt;="&amp;D367,C:C,C367)-SUMIFS(AA:AA,D:D,"&lt;="&amp;D367,C:C,C367)+SUMIFS(N:N,D:D,"&lt;="&amp;D367,C:C,C367)+SUMIFS(P:P,D:D,"&lt;="&amp;D367,C:C,C367))</f>
        <v>0</v>
      </c>
      <c r="AD367" s="98">
        <f t="shared" si="118"/>
        <v>0</v>
      </c>
      <c r="AE367" s="98">
        <f t="shared" si="112"/>
        <v>0</v>
      </c>
      <c r="AF367" s="205" t="str">
        <f t="shared" si="121"/>
        <v/>
      </c>
      <c r="AG367" s="98">
        <f t="shared" si="119"/>
        <v>0</v>
      </c>
      <c r="AH367" s="97"/>
      <c r="AI367" s="311"/>
      <c r="AJ367" s="98">
        <f t="shared" si="111"/>
        <v>0</v>
      </c>
      <c r="AK367" s="233"/>
      <c r="AL367" s="98">
        <f>IF(SUMIFS('Shipments data'!L:L,'Shipments data'!F:F,'Supply planning data'!C367,'Shipments data'!A:A,'Supply planning data'!A367,'Shipments data'!O:O,"received",'Shipments data'!Q:Q,"&lt;"&amp;'Supply planning data'!D382,'Shipments data'!AC:AC,"&lt;"&amp;'Supply planning data'!D382)-SUMIFS(M:M,D:D,"&lt;="&amp;D367,C:C,C367)-SUMIFS(AJ:AJ,D:D,"&lt;="&amp;D367,C:C,C367)+SUMIFS(N:N,D:D,"&lt;="&amp;D367,C:C,C367)+SUMIFS(P:P,D:D,"&lt;="&amp;D367,C:C,C367)&lt;0,0,SUMIFS('Shipments data'!L:L,'Shipments data'!F:F,'Supply planning data'!C367,'Shipments data'!A:A,'Supply planning data'!A367,'Shipments data'!O:O,"received",'Shipments data'!Q:Q,"&lt;"&amp;'Supply planning data'!D382,'Shipments data'!AC:AC,"&lt;"&amp;'Supply planning data'!D382)-SUMIFS(M:M,D:D,"&lt;="&amp;D367,C:C,C367)-SUMIFS(AJ:AJ,D:D,"&lt;="&amp;D367,C:C,C367)+SUMIFS(N:N,D:D,"&lt;="&amp;D367,C:C,C367)+SUMIFS(P:P,D:D,"&lt;="&amp;D367,C:C,C367))</f>
        <v>0</v>
      </c>
      <c r="AM367" s="98">
        <f t="shared" si="120"/>
        <v>0</v>
      </c>
      <c r="AN367" s="98">
        <f t="shared" si="113"/>
        <v>0</v>
      </c>
      <c r="AO367" s="203" t="str">
        <f t="shared" si="123"/>
        <v/>
      </c>
    </row>
    <row r="368" spans="1:41" x14ac:dyDescent="0.25">
      <c r="A368" s="95" t="str">
        <f>Start!D$7</f>
        <v>Anyland</v>
      </c>
      <c r="B368" s="96" t="str">
        <f>VLOOKUP(A368,list!B:C,2,FALSE)</f>
        <v>ANY</v>
      </c>
      <c r="C368" s="90" t="str">
        <f>IF(Start!$C$20="","",Start!$C$20)</f>
        <v>Pfizer</v>
      </c>
      <c r="D368" s="296">
        <f t="shared" si="114"/>
        <v>44927</v>
      </c>
      <c r="E368" s="92" t="str">
        <f>IFERROR(VLOOKUP(C368,Start!C$15:D$31,2,FALSE),"No")</f>
        <v>Yes</v>
      </c>
      <c r="F368" s="92">
        <f t="shared" si="115"/>
        <v>3000000</v>
      </c>
      <c r="G368" s="91"/>
      <c r="H368" s="97"/>
      <c r="I368" s="97"/>
      <c r="J368" s="98">
        <f t="shared" si="107"/>
        <v>0</v>
      </c>
      <c r="K368" s="97"/>
      <c r="L368" s="175" t="str">
        <f t="shared" si="108"/>
        <v/>
      </c>
      <c r="M368" s="98">
        <f t="shared" si="109"/>
        <v>0</v>
      </c>
      <c r="N368" s="97"/>
      <c r="O368" s="122"/>
      <c r="P368" s="97"/>
      <c r="Q368" s="122"/>
      <c r="R368" s="98">
        <f>SUMIFS('Shipments data'!L:L,'Shipments data'!F:F,'Supply planning data'!C368,'Shipments data'!A:A,'Supply planning data'!A368,'Shipments data'!Y:Y,'Supply planning data'!D368,'Shipments data'!O:O,"received", 'Shipments data'!N:N, "Public")</f>
        <v>0</v>
      </c>
      <c r="S368" s="98">
        <f>SUMIFS('Shipments data'!L:L,'Shipments data'!F:F,'Supply planning data'!C368,'Shipments data'!A:A,'Supply planning data'!A368,'Shipments data'!Y:Y,'Supply planning data'!D368,'Shipments data'!O:O,"ordered", 'Shipments data'!N:N, "Public")</f>
        <v>0</v>
      </c>
      <c r="T368" s="98">
        <f>IF(SUMIFS('Shipments data'!L:L,'Shipments data'!F:F,'Supply planning data'!C368,'Shipments data'!A:A,'Supply planning data'!A368,'Shipments data'!O:O,"received",'Shipments data'!Q:Q,"&lt;"&amp;'Supply planning data'!D383,'Shipments data'!AC:AC,"&lt;"&amp;'Supply planning data'!D383)-SUMIFS(M:M,D:D,"&lt;="&amp;D368,C:C,C368)+SUMIFS(N:N,D:D,"&lt;="&amp;D368,C:C,C368)+SUMIFS(P:P,D:D,"&lt;="&amp;D368,C:C,C368)&lt;0,0,SUMIFS('Shipments data'!L:L,'Shipments data'!F:F,'Supply planning data'!C368,'Shipments data'!A:A,'Supply planning data'!A368,'Shipments data'!O:O,"received",'Shipments data'!Q:Q,"&lt;"&amp;'Supply planning data'!D383,'Shipments data'!AC:AC,"&lt;"&amp;'Supply planning data'!D383)-SUMIFS(M:M,D:D,"&lt;="&amp;D368,C:C,C368)+SUMIFS(N:N,D:D,"&lt;="&amp;D368,C:C,C368)+SUMIFS(P:P,D:D,"&lt;="&amp;D368,C:C,C368))</f>
        <v>110538</v>
      </c>
      <c r="U368" s="99">
        <f t="shared" si="116"/>
        <v>0</v>
      </c>
      <c r="V368" s="98">
        <f t="shared" si="106"/>
        <v>3000000</v>
      </c>
      <c r="W368" s="203" t="str">
        <f t="shared" si="122"/>
        <v/>
      </c>
      <c r="X368" s="98">
        <f t="shared" si="117"/>
        <v>2440000</v>
      </c>
      <c r="Y368" s="97"/>
      <c r="Z368" s="93"/>
      <c r="AA368" s="98">
        <f t="shared" si="110"/>
        <v>0</v>
      </c>
      <c r="AB368" s="233"/>
      <c r="AC368" s="98">
        <f>IF(SUMIFS('Shipments data'!L:L,'Shipments data'!F:F,'Supply planning data'!C368,'Shipments data'!A:A,'Supply planning data'!A368,'Shipments data'!O:O,"received",'Shipments data'!Q:Q,"&lt;"&amp;'Supply planning data'!D383,'Shipments data'!AC:AC,"&lt;"&amp;'Supply planning data'!D383)-SUMIFS(M:M,D:D,"&lt;="&amp;D368,C:C,C368)-SUMIFS(AA:AA,D:D,"&lt;="&amp;D368,C:C,C368)+SUMIFS(N:N,D:D,"&lt;="&amp;D368,C:C,C368)+SUMIFS(P:P,D:D,"&lt;="&amp;D368,C:C,C368)&lt;0,0,SUMIFS('Shipments data'!L:L,'Shipments data'!F:F,'Supply planning data'!C368,'Shipments data'!A:A,'Supply planning data'!A368,'Shipments data'!O:O,"received",'Shipments data'!Q:Q,"&lt;"&amp;'Supply planning data'!D383,'Shipments data'!AC:AC,"&lt;"&amp;'Supply planning data'!D383)-SUMIFS(M:M,D:D,"&lt;="&amp;D368,C:C,C368)-SUMIFS(AA:AA,D:D,"&lt;="&amp;D368,C:C,C368)+SUMIFS(N:N,D:D,"&lt;="&amp;D368,C:C,C368)+SUMIFS(P:P,D:D,"&lt;="&amp;D368,C:C,C368))</f>
        <v>0</v>
      </c>
      <c r="AD368" s="98">
        <f t="shared" si="118"/>
        <v>0</v>
      </c>
      <c r="AE368" s="98">
        <f t="shared" si="112"/>
        <v>2440000</v>
      </c>
      <c r="AF368" s="205" t="str">
        <f t="shared" si="121"/>
        <v/>
      </c>
      <c r="AG368" s="98">
        <f t="shared" si="119"/>
        <v>3000000</v>
      </c>
      <c r="AH368" s="97"/>
      <c r="AI368" s="311"/>
      <c r="AJ368" s="98">
        <f t="shared" si="111"/>
        <v>0</v>
      </c>
      <c r="AK368" s="233"/>
      <c r="AL368" s="98">
        <f>IF(SUMIFS('Shipments data'!L:L,'Shipments data'!F:F,'Supply planning data'!C368,'Shipments data'!A:A,'Supply planning data'!A368,'Shipments data'!O:O,"received",'Shipments data'!Q:Q,"&lt;"&amp;'Supply planning data'!D383,'Shipments data'!AC:AC,"&lt;"&amp;'Supply planning data'!D383)-SUMIFS(M:M,D:D,"&lt;="&amp;D368,C:C,C368)-SUMIFS(AJ:AJ,D:D,"&lt;="&amp;D368,C:C,C368)+SUMIFS(N:N,D:D,"&lt;="&amp;D368,C:C,C368)+SUMIFS(P:P,D:D,"&lt;="&amp;D368,C:C,C368)&lt;0,0,SUMIFS('Shipments data'!L:L,'Shipments data'!F:F,'Supply planning data'!C368,'Shipments data'!A:A,'Supply planning data'!A368,'Shipments data'!O:O,"received",'Shipments data'!Q:Q,"&lt;"&amp;'Supply planning data'!D383,'Shipments data'!AC:AC,"&lt;"&amp;'Supply planning data'!D383)-SUMIFS(M:M,D:D,"&lt;="&amp;D368,C:C,C368)-SUMIFS(AJ:AJ,D:D,"&lt;="&amp;D368,C:C,C368)+SUMIFS(N:N,D:D,"&lt;="&amp;D368,C:C,C368)+SUMIFS(P:P,D:D,"&lt;="&amp;D368,C:C,C368))</f>
        <v>110538</v>
      </c>
      <c r="AM368" s="98">
        <f t="shared" si="120"/>
        <v>0</v>
      </c>
      <c r="AN368" s="98">
        <f t="shared" si="113"/>
        <v>3000000</v>
      </c>
      <c r="AO368" s="203" t="str">
        <f t="shared" si="123"/>
        <v/>
      </c>
    </row>
    <row r="369" spans="1:41" x14ac:dyDescent="0.25">
      <c r="A369" s="95" t="str">
        <f>Start!D$7</f>
        <v>Anyland</v>
      </c>
      <c r="B369" s="96" t="str">
        <f>VLOOKUP(A369,list!B:C,2,FALSE)</f>
        <v>ANY</v>
      </c>
      <c r="C369" s="90" t="str">
        <f>IF(Start!$C$21="","",Start!$C$21)</f>
        <v>Sinovac</v>
      </c>
      <c r="D369" s="296">
        <f t="shared" si="114"/>
        <v>44927</v>
      </c>
      <c r="E369" s="92" t="str">
        <f>IFERROR(VLOOKUP(C369,Start!C$15:D$31,2,FALSE),"No")</f>
        <v>No</v>
      </c>
      <c r="F369" s="92">
        <f t="shared" si="115"/>
        <v>0</v>
      </c>
      <c r="G369" s="91"/>
      <c r="H369" s="97"/>
      <c r="I369" s="97"/>
      <c r="J369" s="98">
        <f t="shared" si="107"/>
        <v>0</v>
      </c>
      <c r="K369" s="97"/>
      <c r="L369" s="175" t="str">
        <f t="shared" si="108"/>
        <v/>
      </c>
      <c r="M369" s="98">
        <f t="shared" si="109"/>
        <v>0</v>
      </c>
      <c r="N369" s="97"/>
      <c r="O369" s="122"/>
      <c r="P369" s="97"/>
      <c r="Q369" s="122"/>
      <c r="R369" s="98">
        <f>SUMIFS('Shipments data'!L:L,'Shipments data'!F:F,'Supply planning data'!C369,'Shipments data'!A:A,'Supply planning data'!A369,'Shipments data'!Y:Y,'Supply planning data'!D369,'Shipments data'!O:O,"received", 'Shipments data'!N:N, "Public")</f>
        <v>0</v>
      </c>
      <c r="S369" s="98">
        <f>SUMIFS('Shipments data'!L:L,'Shipments data'!F:F,'Supply planning data'!C369,'Shipments data'!A:A,'Supply planning data'!A369,'Shipments data'!Y:Y,'Supply planning data'!D369,'Shipments data'!O:O,"ordered", 'Shipments data'!N:N, "Public")</f>
        <v>0</v>
      </c>
      <c r="T369" s="98">
        <f>IF(SUMIFS('Shipments data'!L:L,'Shipments data'!F:F,'Supply planning data'!C369,'Shipments data'!A:A,'Supply planning data'!A369,'Shipments data'!O:O,"received",'Shipments data'!Q:Q,"&lt;"&amp;'Supply planning data'!D384,'Shipments data'!AC:AC,"&lt;"&amp;'Supply planning data'!D384)-SUMIFS(M:M,D:D,"&lt;="&amp;D369,C:C,C369)+SUMIFS(N:N,D:D,"&lt;="&amp;D369,C:C,C369)+SUMIFS(P:P,D:D,"&lt;="&amp;D369,C:C,C369)&lt;0,0,SUMIFS('Shipments data'!L:L,'Shipments data'!F:F,'Supply planning data'!C369,'Shipments data'!A:A,'Supply planning data'!A369,'Shipments data'!O:O,"received",'Shipments data'!Q:Q,"&lt;"&amp;'Supply planning data'!D384,'Shipments data'!AC:AC,"&lt;"&amp;'Supply planning data'!D384)-SUMIFS(M:M,D:D,"&lt;="&amp;D369,C:C,C369)+SUMIFS(N:N,D:D,"&lt;="&amp;D369,C:C,C369)+SUMIFS(P:P,D:D,"&lt;="&amp;D369,C:C,C369))</f>
        <v>0</v>
      </c>
      <c r="U369" s="99">
        <f t="shared" si="116"/>
        <v>0</v>
      </c>
      <c r="V369" s="98">
        <f t="shared" si="106"/>
        <v>0</v>
      </c>
      <c r="W369" s="203" t="str">
        <f t="shared" si="122"/>
        <v/>
      </c>
      <c r="X369" s="98">
        <f t="shared" si="117"/>
        <v>0</v>
      </c>
      <c r="Y369" s="97"/>
      <c r="Z369" s="93"/>
      <c r="AA369" s="98">
        <f t="shared" si="110"/>
        <v>0</v>
      </c>
      <c r="AB369" s="233"/>
      <c r="AC369" s="98">
        <f>IF(SUMIFS('Shipments data'!L:L,'Shipments data'!F:F,'Supply planning data'!C369,'Shipments data'!A:A,'Supply planning data'!A369,'Shipments data'!O:O,"received",'Shipments data'!Q:Q,"&lt;"&amp;'Supply planning data'!D384,'Shipments data'!AC:AC,"&lt;"&amp;'Supply planning data'!D384)-SUMIFS(M:M,D:D,"&lt;="&amp;D369,C:C,C369)-SUMIFS(AA:AA,D:D,"&lt;="&amp;D369,C:C,C369)+SUMIFS(N:N,D:D,"&lt;="&amp;D369,C:C,C369)+SUMIFS(P:P,D:D,"&lt;="&amp;D369,C:C,C369)&lt;0,0,SUMIFS('Shipments data'!L:L,'Shipments data'!F:F,'Supply planning data'!C369,'Shipments data'!A:A,'Supply planning data'!A369,'Shipments data'!O:O,"received",'Shipments data'!Q:Q,"&lt;"&amp;'Supply planning data'!D384,'Shipments data'!AC:AC,"&lt;"&amp;'Supply planning data'!D384)-SUMIFS(M:M,D:D,"&lt;="&amp;D369,C:C,C369)-SUMIFS(AA:AA,D:D,"&lt;="&amp;D369,C:C,C369)+SUMIFS(N:N,D:D,"&lt;="&amp;D369,C:C,C369)+SUMIFS(P:P,D:D,"&lt;="&amp;D369,C:C,C369))</f>
        <v>0</v>
      </c>
      <c r="AD369" s="98">
        <f t="shared" si="118"/>
        <v>0</v>
      </c>
      <c r="AE369" s="98">
        <f t="shared" si="112"/>
        <v>0</v>
      </c>
      <c r="AF369" s="205" t="str">
        <f t="shared" si="121"/>
        <v/>
      </c>
      <c r="AG369" s="98">
        <f t="shared" si="119"/>
        <v>0</v>
      </c>
      <c r="AH369" s="97"/>
      <c r="AI369" s="311"/>
      <c r="AJ369" s="98">
        <f t="shared" si="111"/>
        <v>0</v>
      </c>
      <c r="AK369" s="233"/>
      <c r="AL369" s="98">
        <f>IF(SUMIFS('Shipments data'!L:L,'Shipments data'!F:F,'Supply planning data'!C369,'Shipments data'!A:A,'Supply planning data'!A369,'Shipments data'!O:O,"received",'Shipments data'!Q:Q,"&lt;"&amp;'Supply planning data'!D384,'Shipments data'!AC:AC,"&lt;"&amp;'Supply planning data'!D384)-SUMIFS(M:M,D:D,"&lt;="&amp;D369,C:C,C369)-SUMIFS(AJ:AJ,D:D,"&lt;="&amp;D369,C:C,C369)+SUMIFS(N:N,D:D,"&lt;="&amp;D369,C:C,C369)+SUMIFS(P:P,D:D,"&lt;="&amp;D369,C:C,C369)&lt;0,0,SUMIFS('Shipments data'!L:L,'Shipments data'!F:F,'Supply planning data'!C369,'Shipments data'!A:A,'Supply planning data'!A369,'Shipments data'!O:O,"received",'Shipments data'!Q:Q,"&lt;"&amp;'Supply planning data'!D384,'Shipments data'!AC:AC,"&lt;"&amp;'Supply planning data'!D384)-SUMIFS(M:M,D:D,"&lt;="&amp;D369,C:C,C369)-SUMIFS(AJ:AJ,D:D,"&lt;="&amp;D369,C:C,C369)+SUMIFS(N:N,D:D,"&lt;="&amp;D369,C:C,C369)+SUMIFS(P:P,D:D,"&lt;="&amp;D369,C:C,C369))</f>
        <v>0</v>
      </c>
      <c r="AM369" s="98">
        <f t="shared" si="120"/>
        <v>0</v>
      </c>
      <c r="AN369" s="98">
        <f t="shared" si="113"/>
        <v>0</v>
      </c>
      <c r="AO369" s="203" t="str">
        <f t="shared" si="123"/>
        <v/>
      </c>
    </row>
    <row r="370" spans="1:41" hidden="1" x14ac:dyDescent="0.25">
      <c r="A370" s="95" t="str">
        <f>Start!D$7</f>
        <v>Anyland</v>
      </c>
      <c r="B370" s="96" t="str">
        <f>VLOOKUP(A370,list!B:C,2,FALSE)</f>
        <v>ANY</v>
      </c>
      <c r="C370" s="90" t="str">
        <f>IF(Start!$C$22="","",Start!$C$22)</f>
        <v/>
      </c>
      <c r="D370" s="296">
        <f t="shared" si="114"/>
        <v>44927</v>
      </c>
      <c r="E370" s="92" t="str">
        <f>IFERROR(VLOOKUP(C370,Start!C$15:D$31,2,FALSE),"No")</f>
        <v>No</v>
      </c>
      <c r="F370" s="92">
        <f t="shared" si="115"/>
        <v>0</v>
      </c>
      <c r="G370" s="91"/>
      <c r="H370" s="97"/>
      <c r="I370" s="97"/>
      <c r="J370" s="98">
        <f t="shared" si="107"/>
        <v>0</v>
      </c>
      <c r="K370" s="97"/>
      <c r="L370" s="175" t="str">
        <f t="shared" si="108"/>
        <v/>
      </c>
      <c r="M370" s="98">
        <f t="shared" si="109"/>
        <v>0</v>
      </c>
      <c r="N370" s="97"/>
      <c r="O370" s="122"/>
      <c r="P370" s="97"/>
      <c r="Q370" s="122"/>
      <c r="R370" s="98">
        <f>SUMIFS('Shipments data'!L:L,'Shipments data'!F:F,'Supply planning data'!C370,'Shipments data'!A:A,'Supply planning data'!A370,'Shipments data'!Y:Y,'Supply planning data'!D370,'Shipments data'!O:O,"received", 'Shipments data'!N:N, "Public")</f>
        <v>0</v>
      </c>
      <c r="S370" s="98">
        <f>SUMIFS('Shipments data'!L:L,'Shipments data'!F:F,'Supply planning data'!C370,'Shipments data'!A:A,'Supply planning data'!A370,'Shipments data'!Y:Y,'Supply planning data'!D370,'Shipments data'!O:O,"ordered", 'Shipments data'!N:N, "Public")</f>
        <v>0</v>
      </c>
      <c r="T370" s="98">
        <f>IF(SUMIFS('Shipments data'!L:L,'Shipments data'!F:F,'Supply planning data'!C370,'Shipments data'!A:A,'Supply planning data'!A370,'Shipments data'!O:O,"received",'Shipments data'!Q:Q,"&lt;"&amp;'Supply planning data'!D385,'Shipments data'!AC:AC,"&lt;"&amp;'Supply planning data'!D385)-SUMIFS(M:M,D:D,"&lt;="&amp;D370,C:C,C370)+SUMIFS(N:N,D:D,"&lt;="&amp;D370,C:C,C370)+SUMIFS(P:P,D:D,"&lt;="&amp;D370,C:C,C370)&lt;0,0,SUMIFS('Shipments data'!L:L,'Shipments data'!F:F,'Supply planning data'!C370,'Shipments data'!A:A,'Supply planning data'!A370,'Shipments data'!O:O,"received",'Shipments data'!Q:Q,"&lt;"&amp;'Supply planning data'!D385,'Shipments data'!AC:AC,"&lt;"&amp;'Supply planning data'!D385)-SUMIFS(M:M,D:D,"&lt;="&amp;D370,C:C,C370)+SUMIFS(N:N,D:D,"&lt;="&amp;D370,C:C,C370)+SUMIFS(P:P,D:D,"&lt;="&amp;D370,C:C,C370))</f>
        <v>0</v>
      </c>
      <c r="U370" s="99">
        <f t="shared" si="116"/>
        <v>0</v>
      </c>
      <c r="V370" s="98">
        <f t="shared" si="106"/>
        <v>0</v>
      </c>
      <c r="W370" s="203" t="str">
        <f t="shared" si="122"/>
        <v/>
      </c>
      <c r="X370" s="98">
        <f t="shared" si="117"/>
        <v>0</v>
      </c>
      <c r="Y370" s="97"/>
      <c r="Z370" s="93"/>
      <c r="AA370" s="98">
        <f t="shared" si="110"/>
        <v>0</v>
      </c>
      <c r="AB370" s="233"/>
      <c r="AC370" s="98">
        <f>IF(SUMIFS('Shipments data'!L:L,'Shipments data'!F:F,'Supply planning data'!C370,'Shipments data'!A:A,'Supply planning data'!A370,'Shipments data'!O:O,"received",'Shipments data'!Q:Q,"&lt;"&amp;'Supply planning data'!D385,'Shipments data'!AC:AC,"&lt;"&amp;'Supply planning data'!D385)-SUMIFS(M:M,D:D,"&lt;="&amp;D370,C:C,C370)-SUMIFS(AA:AA,D:D,"&lt;="&amp;D370,C:C,C370)+SUMIFS(N:N,D:D,"&lt;="&amp;D370,C:C,C370)+SUMIFS(P:P,D:D,"&lt;="&amp;D370,C:C,C370)&lt;0,0,SUMIFS('Shipments data'!L:L,'Shipments data'!F:F,'Supply planning data'!C370,'Shipments data'!A:A,'Supply planning data'!A370,'Shipments data'!O:O,"received",'Shipments data'!Q:Q,"&lt;"&amp;'Supply planning data'!D385,'Shipments data'!AC:AC,"&lt;"&amp;'Supply planning data'!D385)-SUMIFS(M:M,D:D,"&lt;="&amp;D370,C:C,C370)-SUMIFS(AA:AA,D:D,"&lt;="&amp;D370,C:C,C370)+SUMIFS(N:N,D:D,"&lt;="&amp;D370,C:C,C370)+SUMIFS(P:P,D:D,"&lt;="&amp;D370,C:C,C370))</f>
        <v>0</v>
      </c>
      <c r="AD370" s="98">
        <f t="shared" si="118"/>
        <v>0</v>
      </c>
      <c r="AE370" s="98">
        <f t="shared" si="112"/>
        <v>0</v>
      </c>
      <c r="AF370" s="205" t="str">
        <f t="shared" si="121"/>
        <v/>
      </c>
      <c r="AG370" s="98">
        <f t="shared" si="119"/>
        <v>0</v>
      </c>
      <c r="AH370" s="97"/>
      <c r="AI370" s="311"/>
      <c r="AJ370" s="98">
        <f t="shared" si="111"/>
        <v>0</v>
      </c>
      <c r="AK370" s="233"/>
      <c r="AL370" s="98">
        <f>IF(SUMIFS('Shipments data'!L:L,'Shipments data'!F:F,'Supply planning data'!C370,'Shipments data'!A:A,'Supply planning data'!A370,'Shipments data'!O:O,"received",'Shipments data'!Q:Q,"&lt;"&amp;'Supply planning data'!D385,'Shipments data'!AC:AC,"&lt;"&amp;'Supply planning data'!D385)-SUMIFS(M:M,D:D,"&lt;="&amp;D370,C:C,C370)-SUMIFS(AJ:AJ,D:D,"&lt;="&amp;D370,C:C,C370)+SUMIFS(N:N,D:D,"&lt;="&amp;D370,C:C,C370)+SUMIFS(P:P,D:D,"&lt;="&amp;D370,C:C,C370)&lt;0,0,SUMIFS('Shipments data'!L:L,'Shipments data'!F:F,'Supply planning data'!C370,'Shipments data'!A:A,'Supply planning data'!A370,'Shipments data'!O:O,"received",'Shipments data'!Q:Q,"&lt;"&amp;'Supply planning data'!D385,'Shipments data'!AC:AC,"&lt;"&amp;'Supply planning data'!D385)-SUMIFS(M:M,D:D,"&lt;="&amp;D370,C:C,C370)-SUMIFS(AJ:AJ,D:D,"&lt;="&amp;D370,C:C,C370)+SUMIFS(N:N,D:D,"&lt;="&amp;D370,C:C,C370)+SUMIFS(P:P,D:D,"&lt;="&amp;D370,C:C,C370))</f>
        <v>0</v>
      </c>
      <c r="AM370" s="98">
        <f t="shared" si="120"/>
        <v>0</v>
      </c>
      <c r="AN370" s="98">
        <f t="shared" si="113"/>
        <v>0</v>
      </c>
      <c r="AO370" s="203" t="str">
        <f t="shared" si="123"/>
        <v/>
      </c>
    </row>
    <row r="371" spans="1:41" hidden="1" x14ac:dyDescent="0.25">
      <c r="A371" s="95" t="str">
        <f>Start!D$7</f>
        <v>Anyland</v>
      </c>
      <c r="B371" s="96" t="str">
        <f>VLOOKUP(A371,list!B:C,2,FALSE)</f>
        <v>ANY</v>
      </c>
      <c r="C371" s="90" t="str">
        <f>IF(Start!$C$23="","",Start!$C$23)</f>
        <v/>
      </c>
      <c r="D371" s="296">
        <f t="shared" si="114"/>
        <v>44927</v>
      </c>
      <c r="E371" s="92" t="str">
        <f>IFERROR(VLOOKUP(C371,Start!C$15:D$31,2,FALSE),"No")</f>
        <v>No</v>
      </c>
      <c r="F371" s="92">
        <f t="shared" si="115"/>
        <v>0</v>
      </c>
      <c r="G371" s="91"/>
      <c r="H371" s="97"/>
      <c r="I371" s="97"/>
      <c r="J371" s="98">
        <f t="shared" si="107"/>
        <v>0</v>
      </c>
      <c r="K371" s="97"/>
      <c r="L371" s="175" t="str">
        <f t="shared" si="108"/>
        <v/>
      </c>
      <c r="M371" s="98">
        <f t="shared" si="109"/>
        <v>0</v>
      </c>
      <c r="N371" s="97"/>
      <c r="O371" s="122"/>
      <c r="P371" s="97"/>
      <c r="Q371" s="122"/>
      <c r="R371" s="98">
        <f>SUMIFS('Shipments data'!L:L,'Shipments data'!F:F,'Supply planning data'!C371,'Shipments data'!A:A,'Supply planning data'!A371,'Shipments data'!Y:Y,'Supply planning data'!D371,'Shipments data'!O:O,"received", 'Shipments data'!N:N, "Public")</f>
        <v>0</v>
      </c>
      <c r="S371" s="98">
        <f>SUMIFS('Shipments data'!L:L,'Shipments data'!F:F,'Supply planning data'!C371,'Shipments data'!A:A,'Supply planning data'!A371,'Shipments data'!Y:Y,'Supply planning data'!D371,'Shipments data'!O:O,"ordered", 'Shipments data'!N:N, "Public")</f>
        <v>0</v>
      </c>
      <c r="T371" s="98">
        <f>IF(SUMIFS('Shipments data'!L:L,'Shipments data'!F:F,'Supply planning data'!C371,'Shipments data'!A:A,'Supply planning data'!A371,'Shipments data'!O:O,"received",'Shipments data'!Q:Q,"&lt;"&amp;'Supply planning data'!D386,'Shipments data'!AC:AC,"&lt;"&amp;'Supply planning data'!D386)-SUMIFS(M:M,D:D,"&lt;="&amp;D371,C:C,C371)+SUMIFS(N:N,D:D,"&lt;="&amp;D371,C:C,C371)+SUMIFS(P:P,D:D,"&lt;="&amp;D371,C:C,C371)&lt;0,0,SUMIFS('Shipments data'!L:L,'Shipments data'!F:F,'Supply planning data'!C371,'Shipments data'!A:A,'Supply planning data'!A371,'Shipments data'!O:O,"received",'Shipments data'!Q:Q,"&lt;"&amp;'Supply planning data'!D386,'Shipments data'!AC:AC,"&lt;"&amp;'Supply planning data'!D386)-SUMIFS(M:M,D:D,"&lt;="&amp;D371,C:C,C371)+SUMIFS(N:N,D:D,"&lt;="&amp;D371,C:C,C371)+SUMIFS(P:P,D:D,"&lt;="&amp;D371,C:C,C371))</f>
        <v>0</v>
      </c>
      <c r="U371" s="99">
        <f t="shared" si="116"/>
        <v>0</v>
      </c>
      <c r="V371" s="98">
        <f t="shared" ref="V371:V434" si="124">IF(F371-M371+N371+P371+R371+S371-U371&lt;0,0,F371-M371+N371+P371+R371+S371-U371)</f>
        <v>0</v>
      </c>
      <c r="W371" s="203" t="str">
        <f t="shared" si="122"/>
        <v/>
      </c>
      <c r="X371" s="98">
        <f t="shared" si="117"/>
        <v>0</v>
      </c>
      <c r="Y371" s="97"/>
      <c r="Z371" s="93"/>
      <c r="AA371" s="98">
        <f t="shared" si="110"/>
        <v>0</v>
      </c>
      <c r="AB371" s="233"/>
      <c r="AC371" s="98">
        <f>IF(SUMIFS('Shipments data'!L:L,'Shipments data'!F:F,'Supply planning data'!C371,'Shipments data'!A:A,'Supply planning data'!A371,'Shipments data'!O:O,"received",'Shipments data'!Q:Q,"&lt;"&amp;'Supply planning data'!D386,'Shipments data'!AC:AC,"&lt;"&amp;'Supply planning data'!D386)-SUMIFS(M:M,D:D,"&lt;="&amp;D371,C:C,C371)-SUMIFS(AA:AA,D:D,"&lt;="&amp;D371,C:C,C371)+SUMIFS(N:N,D:D,"&lt;="&amp;D371,C:C,C371)+SUMIFS(P:P,D:D,"&lt;="&amp;D371,C:C,C371)&lt;0,0,SUMIFS('Shipments data'!L:L,'Shipments data'!F:F,'Supply planning data'!C371,'Shipments data'!A:A,'Supply planning data'!A371,'Shipments data'!O:O,"received",'Shipments data'!Q:Q,"&lt;"&amp;'Supply planning data'!D386,'Shipments data'!AC:AC,"&lt;"&amp;'Supply planning data'!D386)-SUMIFS(M:M,D:D,"&lt;="&amp;D371,C:C,C371)-SUMIFS(AA:AA,D:D,"&lt;="&amp;D371,C:C,C371)+SUMIFS(N:N,D:D,"&lt;="&amp;D371,C:C,C371)+SUMIFS(P:P,D:D,"&lt;="&amp;D371,C:C,C371))</f>
        <v>0</v>
      </c>
      <c r="AD371" s="98">
        <f t="shared" si="118"/>
        <v>0</v>
      </c>
      <c r="AE371" s="98">
        <f t="shared" si="112"/>
        <v>0</v>
      </c>
      <c r="AF371" s="205" t="str">
        <f t="shared" si="121"/>
        <v/>
      </c>
      <c r="AG371" s="98">
        <f t="shared" si="119"/>
        <v>0</v>
      </c>
      <c r="AH371" s="97"/>
      <c r="AI371" s="311"/>
      <c r="AJ371" s="98">
        <f t="shared" si="111"/>
        <v>0</v>
      </c>
      <c r="AK371" s="233"/>
      <c r="AL371" s="98">
        <f>IF(SUMIFS('Shipments data'!L:L,'Shipments data'!F:F,'Supply planning data'!C371,'Shipments data'!A:A,'Supply planning data'!A371,'Shipments data'!O:O,"received",'Shipments data'!Q:Q,"&lt;"&amp;'Supply planning data'!D386,'Shipments data'!AC:AC,"&lt;"&amp;'Supply planning data'!D386)-SUMIFS(M:M,D:D,"&lt;="&amp;D371,C:C,C371)-SUMIFS(AJ:AJ,D:D,"&lt;="&amp;D371,C:C,C371)+SUMIFS(N:N,D:D,"&lt;="&amp;D371,C:C,C371)+SUMIFS(P:P,D:D,"&lt;="&amp;D371,C:C,C371)&lt;0,0,SUMIFS('Shipments data'!L:L,'Shipments data'!F:F,'Supply planning data'!C371,'Shipments data'!A:A,'Supply planning data'!A371,'Shipments data'!O:O,"received",'Shipments data'!Q:Q,"&lt;"&amp;'Supply planning data'!D386,'Shipments data'!AC:AC,"&lt;"&amp;'Supply planning data'!D386)-SUMIFS(M:M,D:D,"&lt;="&amp;D371,C:C,C371)-SUMIFS(AJ:AJ,D:D,"&lt;="&amp;D371,C:C,C371)+SUMIFS(N:N,D:D,"&lt;="&amp;D371,C:C,C371)+SUMIFS(P:P,D:D,"&lt;="&amp;D371,C:C,C371))</f>
        <v>0</v>
      </c>
      <c r="AM371" s="98">
        <f t="shared" si="120"/>
        <v>0</v>
      </c>
      <c r="AN371" s="98">
        <f t="shared" si="113"/>
        <v>0</v>
      </c>
      <c r="AO371" s="203" t="str">
        <f t="shared" si="123"/>
        <v/>
      </c>
    </row>
    <row r="372" spans="1:41" hidden="1" x14ac:dyDescent="0.25">
      <c r="A372" s="95" t="str">
        <f>Start!D$7</f>
        <v>Anyland</v>
      </c>
      <c r="B372" s="96" t="str">
        <f>VLOOKUP(A372,list!B:C,2,FALSE)</f>
        <v>ANY</v>
      </c>
      <c r="C372" s="90" t="str">
        <f>IF(Start!$C$24="","",Start!$C$24)</f>
        <v/>
      </c>
      <c r="D372" s="296">
        <f t="shared" si="114"/>
        <v>44927</v>
      </c>
      <c r="E372" s="92" t="str">
        <f>IFERROR(VLOOKUP(C372,Start!C$15:D$31,2,FALSE),"No")</f>
        <v>No</v>
      </c>
      <c r="F372" s="92">
        <f t="shared" si="115"/>
        <v>0</v>
      </c>
      <c r="G372" s="91"/>
      <c r="H372" s="97"/>
      <c r="I372" s="97"/>
      <c r="J372" s="98">
        <f t="shared" si="107"/>
        <v>0</v>
      </c>
      <c r="K372" s="97"/>
      <c r="L372" s="175" t="str">
        <f t="shared" si="108"/>
        <v/>
      </c>
      <c r="M372" s="98">
        <f t="shared" si="109"/>
        <v>0</v>
      </c>
      <c r="N372" s="97"/>
      <c r="O372" s="122"/>
      <c r="P372" s="97"/>
      <c r="Q372" s="122"/>
      <c r="R372" s="98">
        <f>SUMIFS('Shipments data'!L:L,'Shipments data'!F:F,'Supply planning data'!C372,'Shipments data'!A:A,'Supply planning data'!A372,'Shipments data'!Y:Y,'Supply planning data'!D372,'Shipments data'!O:O,"received", 'Shipments data'!N:N, "Public")</f>
        <v>0</v>
      </c>
      <c r="S372" s="98">
        <f>SUMIFS('Shipments data'!L:L,'Shipments data'!F:F,'Supply planning data'!C372,'Shipments data'!A:A,'Supply planning data'!A372,'Shipments data'!Y:Y,'Supply planning data'!D372,'Shipments data'!O:O,"ordered", 'Shipments data'!N:N, "Public")</f>
        <v>0</v>
      </c>
      <c r="T372" s="98">
        <f>IF(SUMIFS('Shipments data'!L:L,'Shipments data'!F:F,'Supply planning data'!C372,'Shipments data'!A:A,'Supply planning data'!A372,'Shipments data'!O:O,"received",'Shipments data'!Q:Q,"&lt;"&amp;'Supply planning data'!D387,'Shipments data'!AC:AC,"&lt;"&amp;'Supply planning data'!D387)-SUMIFS(M:M,D:D,"&lt;="&amp;D372,C:C,C372)+SUMIFS(N:N,D:D,"&lt;="&amp;D372,C:C,C372)+SUMIFS(P:P,D:D,"&lt;="&amp;D372,C:C,C372)&lt;0,0,SUMIFS('Shipments data'!L:L,'Shipments data'!F:F,'Supply planning data'!C372,'Shipments data'!A:A,'Supply planning data'!A372,'Shipments data'!O:O,"received",'Shipments data'!Q:Q,"&lt;"&amp;'Supply planning data'!D387,'Shipments data'!AC:AC,"&lt;"&amp;'Supply planning data'!D387)-SUMIFS(M:M,D:D,"&lt;="&amp;D372,C:C,C372)+SUMIFS(N:N,D:D,"&lt;="&amp;D372,C:C,C372)+SUMIFS(P:P,D:D,"&lt;="&amp;D372,C:C,C372))</f>
        <v>0</v>
      </c>
      <c r="U372" s="99">
        <f t="shared" si="116"/>
        <v>0</v>
      </c>
      <c r="V372" s="98">
        <f t="shared" si="124"/>
        <v>0</v>
      </c>
      <c r="W372" s="203" t="str">
        <f t="shared" si="122"/>
        <v/>
      </c>
      <c r="X372" s="98">
        <f t="shared" si="117"/>
        <v>0</v>
      </c>
      <c r="Y372" s="97"/>
      <c r="Z372" s="93"/>
      <c r="AA372" s="98">
        <f t="shared" si="110"/>
        <v>0</v>
      </c>
      <c r="AB372" s="233"/>
      <c r="AC372" s="98">
        <f>IF(SUMIFS('Shipments data'!L:L,'Shipments data'!F:F,'Supply planning data'!C372,'Shipments data'!A:A,'Supply planning data'!A372,'Shipments data'!O:O,"received",'Shipments data'!Q:Q,"&lt;"&amp;'Supply planning data'!D387,'Shipments data'!AC:AC,"&lt;"&amp;'Supply planning data'!D387)-SUMIFS(M:M,D:D,"&lt;="&amp;D372,C:C,C372)-SUMIFS(AA:AA,D:D,"&lt;="&amp;D372,C:C,C372)+SUMIFS(N:N,D:D,"&lt;="&amp;D372,C:C,C372)+SUMIFS(P:P,D:D,"&lt;="&amp;D372,C:C,C372)&lt;0,0,SUMIFS('Shipments data'!L:L,'Shipments data'!F:F,'Supply planning data'!C372,'Shipments data'!A:A,'Supply planning data'!A372,'Shipments data'!O:O,"received",'Shipments data'!Q:Q,"&lt;"&amp;'Supply planning data'!D387,'Shipments data'!AC:AC,"&lt;"&amp;'Supply planning data'!D387)-SUMIFS(M:M,D:D,"&lt;="&amp;D372,C:C,C372)-SUMIFS(AA:AA,D:D,"&lt;="&amp;D372,C:C,C372)+SUMIFS(N:N,D:D,"&lt;="&amp;D372,C:C,C372)+SUMIFS(P:P,D:D,"&lt;="&amp;D372,C:C,C372))</f>
        <v>0</v>
      </c>
      <c r="AD372" s="98">
        <f t="shared" si="118"/>
        <v>0</v>
      </c>
      <c r="AE372" s="98">
        <f t="shared" si="112"/>
        <v>0</v>
      </c>
      <c r="AF372" s="205" t="str">
        <f t="shared" si="121"/>
        <v/>
      </c>
      <c r="AG372" s="98">
        <f t="shared" si="119"/>
        <v>0</v>
      </c>
      <c r="AH372" s="97"/>
      <c r="AI372" s="311"/>
      <c r="AJ372" s="98">
        <f t="shared" si="111"/>
        <v>0</v>
      </c>
      <c r="AK372" s="233"/>
      <c r="AL372" s="98">
        <f>IF(SUMIFS('Shipments data'!L:L,'Shipments data'!F:F,'Supply planning data'!C372,'Shipments data'!A:A,'Supply planning data'!A372,'Shipments data'!O:O,"received",'Shipments data'!Q:Q,"&lt;"&amp;'Supply planning data'!D387,'Shipments data'!AC:AC,"&lt;"&amp;'Supply planning data'!D387)-SUMIFS(M:M,D:D,"&lt;="&amp;D372,C:C,C372)-SUMIFS(AJ:AJ,D:D,"&lt;="&amp;D372,C:C,C372)+SUMIFS(N:N,D:D,"&lt;="&amp;D372,C:C,C372)+SUMIFS(P:P,D:D,"&lt;="&amp;D372,C:C,C372)&lt;0,0,SUMIFS('Shipments data'!L:L,'Shipments data'!F:F,'Supply planning data'!C372,'Shipments data'!A:A,'Supply planning data'!A372,'Shipments data'!O:O,"received",'Shipments data'!Q:Q,"&lt;"&amp;'Supply planning data'!D387,'Shipments data'!AC:AC,"&lt;"&amp;'Supply planning data'!D387)-SUMIFS(M:M,D:D,"&lt;="&amp;D372,C:C,C372)-SUMIFS(AJ:AJ,D:D,"&lt;="&amp;D372,C:C,C372)+SUMIFS(N:N,D:D,"&lt;="&amp;D372,C:C,C372)+SUMIFS(P:P,D:D,"&lt;="&amp;D372,C:C,C372))</f>
        <v>0</v>
      </c>
      <c r="AM372" s="98">
        <f t="shared" si="120"/>
        <v>0</v>
      </c>
      <c r="AN372" s="98">
        <f t="shared" si="113"/>
        <v>0</v>
      </c>
      <c r="AO372" s="203" t="str">
        <f t="shared" si="123"/>
        <v/>
      </c>
    </row>
    <row r="373" spans="1:41" hidden="1" x14ac:dyDescent="0.25">
      <c r="A373" s="95" t="str">
        <f>Start!D$7</f>
        <v>Anyland</v>
      </c>
      <c r="B373" s="96" t="str">
        <f>VLOOKUP(A373,list!B:C,2,FALSE)</f>
        <v>ANY</v>
      </c>
      <c r="C373" s="90" t="str">
        <f>IF(Start!$C$25="","",Start!$C$25)</f>
        <v/>
      </c>
      <c r="D373" s="296">
        <f t="shared" si="114"/>
        <v>44927</v>
      </c>
      <c r="E373" s="92" t="str">
        <f>IFERROR(VLOOKUP(C373,Start!C$15:D$31,2,FALSE),"No")</f>
        <v>No</v>
      </c>
      <c r="F373" s="92">
        <f t="shared" si="115"/>
        <v>0</v>
      </c>
      <c r="G373" s="91"/>
      <c r="H373" s="97"/>
      <c r="I373" s="97"/>
      <c r="J373" s="98">
        <f t="shared" si="107"/>
        <v>0</v>
      </c>
      <c r="K373" s="97"/>
      <c r="L373" s="175" t="str">
        <f t="shared" si="108"/>
        <v/>
      </c>
      <c r="M373" s="98">
        <f t="shared" si="109"/>
        <v>0</v>
      </c>
      <c r="N373" s="97"/>
      <c r="O373" s="122"/>
      <c r="P373" s="97"/>
      <c r="Q373" s="122"/>
      <c r="R373" s="98">
        <f>SUMIFS('Shipments data'!L:L,'Shipments data'!F:F,'Supply planning data'!C373,'Shipments data'!A:A,'Supply planning data'!A373,'Shipments data'!Y:Y,'Supply planning data'!D373,'Shipments data'!O:O,"received", 'Shipments data'!N:N, "Public")</f>
        <v>0</v>
      </c>
      <c r="S373" s="98">
        <f>SUMIFS('Shipments data'!L:L,'Shipments data'!F:F,'Supply planning data'!C373,'Shipments data'!A:A,'Supply planning data'!A373,'Shipments data'!Y:Y,'Supply planning data'!D373,'Shipments data'!O:O,"ordered", 'Shipments data'!N:N, "Public")</f>
        <v>0</v>
      </c>
      <c r="T373" s="98">
        <f>IF(SUMIFS('Shipments data'!L:L,'Shipments data'!F:F,'Supply planning data'!C373,'Shipments data'!A:A,'Supply planning data'!A373,'Shipments data'!O:O,"received",'Shipments data'!Q:Q,"&lt;"&amp;'Supply planning data'!D388,'Shipments data'!AC:AC,"&lt;"&amp;'Supply planning data'!D388)-SUMIFS(M:M,D:D,"&lt;="&amp;D373,C:C,C373)+SUMIFS(N:N,D:D,"&lt;="&amp;D373,C:C,C373)+SUMIFS(P:P,D:D,"&lt;="&amp;D373,C:C,C373)&lt;0,0,SUMIFS('Shipments data'!L:L,'Shipments data'!F:F,'Supply planning data'!C373,'Shipments data'!A:A,'Supply planning data'!A373,'Shipments data'!O:O,"received",'Shipments data'!Q:Q,"&lt;"&amp;'Supply planning data'!D388,'Shipments data'!AC:AC,"&lt;"&amp;'Supply planning data'!D388)-SUMIFS(M:M,D:D,"&lt;="&amp;D373,C:C,C373)+SUMIFS(N:N,D:D,"&lt;="&amp;D373,C:C,C373)+SUMIFS(P:P,D:D,"&lt;="&amp;D373,C:C,C373))</f>
        <v>0</v>
      </c>
      <c r="U373" s="99">
        <f t="shared" si="116"/>
        <v>0</v>
      </c>
      <c r="V373" s="98">
        <f t="shared" si="124"/>
        <v>0</v>
      </c>
      <c r="W373" s="203" t="str">
        <f t="shared" si="122"/>
        <v/>
      </c>
      <c r="X373" s="98">
        <f t="shared" si="117"/>
        <v>0</v>
      </c>
      <c r="Y373" s="97"/>
      <c r="Z373" s="93"/>
      <c r="AA373" s="98">
        <f t="shared" si="110"/>
        <v>0</v>
      </c>
      <c r="AB373" s="233"/>
      <c r="AC373" s="98">
        <f>IF(SUMIFS('Shipments data'!L:L,'Shipments data'!F:F,'Supply planning data'!C373,'Shipments data'!A:A,'Supply planning data'!A373,'Shipments data'!O:O,"received",'Shipments data'!Q:Q,"&lt;"&amp;'Supply planning data'!D388,'Shipments data'!AC:AC,"&lt;"&amp;'Supply planning data'!D388)-SUMIFS(M:M,D:D,"&lt;="&amp;D373,C:C,C373)-SUMIFS(AA:AA,D:D,"&lt;="&amp;D373,C:C,C373)+SUMIFS(N:N,D:D,"&lt;="&amp;D373,C:C,C373)+SUMIFS(P:P,D:D,"&lt;="&amp;D373,C:C,C373)&lt;0,0,SUMIFS('Shipments data'!L:L,'Shipments data'!F:F,'Supply planning data'!C373,'Shipments data'!A:A,'Supply planning data'!A373,'Shipments data'!O:O,"received",'Shipments data'!Q:Q,"&lt;"&amp;'Supply planning data'!D388,'Shipments data'!AC:AC,"&lt;"&amp;'Supply planning data'!D388)-SUMIFS(M:M,D:D,"&lt;="&amp;D373,C:C,C373)-SUMIFS(AA:AA,D:D,"&lt;="&amp;D373,C:C,C373)+SUMIFS(N:N,D:D,"&lt;="&amp;D373,C:C,C373)+SUMIFS(P:P,D:D,"&lt;="&amp;D373,C:C,C373))</f>
        <v>0</v>
      </c>
      <c r="AD373" s="98">
        <f t="shared" si="118"/>
        <v>0</v>
      </c>
      <c r="AE373" s="98">
        <f t="shared" si="112"/>
        <v>0</v>
      </c>
      <c r="AF373" s="205" t="str">
        <f t="shared" si="121"/>
        <v/>
      </c>
      <c r="AG373" s="98">
        <f t="shared" si="119"/>
        <v>0</v>
      </c>
      <c r="AH373" s="97"/>
      <c r="AI373" s="311"/>
      <c r="AJ373" s="98">
        <f t="shared" si="111"/>
        <v>0</v>
      </c>
      <c r="AK373" s="233"/>
      <c r="AL373" s="98">
        <f>IF(SUMIFS('Shipments data'!L:L,'Shipments data'!F:F,'Supply planning data'!C373,'Shipments data'!A:A,'Supply planning data'!A373,'Shipments data'!O:O,"received",'Shipments data'!Q:Q,"&lt;"&amp;'Supply planning data'!D388,'Shipments data'!AC:AC,"&lt;"&amp;'Supply planning data'!D388)-SUMIFS(M:M,D:D,"&lt;="&amp;D373,C:C,C373)-SUMIFS(AJ:AJ,D:D,"&lt;="&amp;D373,C:C,C373)+SUMIFS(N:N,D:D,"&lt;="&amp;D373,C:C,C373)+SUMIFS(P:P,D:D,"&lt;="&amp;D373,C:C,C373)&lt;0,0,SUMIFS('Shipments data'!L:L,'Shipments data'!F:F,'Supply planning data'!C373,'Shipments data'!A:A,'Supply planning data'!A373,'Shipments data'!O:O,"received",'Shipments data'!Q:Q,"&lt;"&amp;'Supply planning data'!D388,'Shipments data'!AC:AC,"&lt;"&amp;'Supply planning data'!D388)-SUMIFS(M:M,D:D,"&lt;="&amp;D373,C:C,C373)-SUMIFS(AJ:AJ,D:D,"&lt;="&amp;D373,C:C,C373)+SUMIFS(N:N,D:D,"&lt;="&amp;D373,C:C,C373)+SUMIFS(P:P,D:D,"&lt;="&amp;D373,C:C,C373))</f>
        <v>0</v>
      </c>
      <c r="AM373" s="98">
        <f t="shared" si="120"/>
        <v>0</v>
      </c>
      <c r="AN373" s="98">
        <f t="shared" si="113"/>
        <v>0</v>
      </c>
      <c r="AO373" s="203" t="str">
        <f t="shared" si="123"/>
        <v/>
      </c>
    </row>
    <row r="374" spans="1:41" hidden="1" x14ac:dyDescent="0.25">
      <c r="A374" s="95" t="str">
        <f>Start!D$7</f>
        <v>Anyland</v>
      </c>
      <c r="B374" s="96" t="str">
        <f>VLOOKUP(A374,list!B:C,2,FALSE)</f>
        <v>ANY</v>
      </c>
      <c r="C374" s="90" t="str">
        <f>IF(Start!$C$26="","",Start!$C$26)</f>
        <v/>
      </c>
      <c r="D374" s="296">
        <f t="shared" si="114"/>
        <v>44927</v>
      </c>
      <c r="E374" s="92" t="str">
        <f>IFERROR(VLOOKUP(C374,Start!C$15:D$31,2,FALSE),"No")</f>
        <v>No</v>
      </c>
      <c r="F374" s="92">
        <f t="shared" si="115"/>
        <v>0</v>
      </c>
      <c r="G374" s="91"/>
      <c r="H374" s="97"/>
      <c r="I374" s="97"/>
      <c r="J374" s="98">
        <f t="shared" si="107"/>
        <v>0</v>
      </c>
      <c r="K374" s="97"/>
      <c r="L374" s="175" t="str">
        <f t="shared" si="108"/>
        <v/>
      </c>
      <c r="M374" s="98">
        <f t="shared" si="109"/>
        <v>0</v>
      </c>
      <c r="N374" s="97"/>
      <c r="O374" s="122"/>
      <c r="P374" s="97"/>
      <c r="Q374" s="122"/>
      <c r="R374" s="98">
        <f>SUMIFS('Shipments data'!L:L,'Shipments data'!F:F,'Supply planning data'!C374,'Shipments data'!A:A,'Supply planning data'!A374,'Shipments data'!Y:Y,'Supply planning data'!D374,'Shipments data'!O:O,"received", 'Shipments data'!N:N, "Public")</f>
        <v>0</v>
      </c>
      <c r="S374" s="98">
        <f>SUMIFS('Shipments data'!L:L,'Shipments data'!F:F,'Supply planning data'!C374,'Shipments data'!A:A,'Supply planning data'!A374,'Shipments data'!Y:Y,'Supply planning data'!D374,'Shipments data'!O:O,"ordered", 'Shipments data'!N:N, "Public")</f>
        <v>0</v>
      </c>
      <c r="T374" s="98">
        <f>IF(SUMIFS('Shipments data'!L:L,'Shipments data'!F:F,'Supply planning data'!C374,'Shipments data'!A:A,'Supply planning data'!A374,'Shipments data'!O:O,"received",'Shipments data'!Q:Q,"&lt;"&amp;'Supply planning data'!D389,'Shipments data'!AC:AC,"&lt;"&amp;'Supply planning data'!D389)-SUMIFS(M:M,D:D,"&lt;="&amp;D374,C:C,C374)+SUMIFS(N:N,D:D,"&lt;="&amp;D374,C:C,C374)+SUMIFS(P:P,D:D,"&lt;="&amp;D374,C:C,C374)&lt;0,0,SUMIFS('Shipments data'!L:L,'Shipments data'!F:F,'Supply planning data'!C374,'Shipments data'!A:A,'Supply planning data'!A374,'Shipments data'!O:O,"received",'Shipments data'!Q:Q,"&lt;"&amp;'Supply planning data'!D389,'Shipments data'!AC:AC,"&lt;"&amp;'Supply planning data'!D389)-SUMIFS(M:M,D:D,"&lt;="&amp;D374,C:C,C374)+SUMIFS(N:N,D:D,"&lt;="&amp;D374,C:C,C374)+SUMIFS(P:P,D:D,"&lt;="&amp;D374,C:C,C374))</f>
        <v>0</v>
      </c>
      <c r="U374" s="99">
        <f t="shared" si="116"/>
        <v>0</v>
      </c>
      <c r="V374" s="98">
        <f t="shared" si="124"/>
        <v>0</v>
      </c>
      <c r="W374" s="203" t="str">
        <f t="shared" si="122"/>
        <v/>
      </c>
      <c r="X374" s="98">
        <f t="shared" si="117"/>
        <v>0</v>
      </c>
      <c r="Y374" s="97"/>
      <c r="Z374" s="93"/>
      <c r="AA374" s="98">
        <f t="shared" si="110"/>
        <v>0</v>
      </c>
      <c r="AB374" s="233"/>
      <c r="AC374" s="98">
        <f>IF(SUMIFS('Shipments data'!L:L,'Shipments data'!F:F,'Supply planning data'!C374,'Shipments data'!A:A,'Supply planning data'!A374,'Shipments data'!O:O,"received",'Shipments data'!Q:Q,"&lt;"&amp;'Supply planning data'!D389,'Shipments data'!AC:AC,"&lt;"&amp;'Supply planning data'!D389)-SUMIFS(M:M,D:D,"&lt;="&amp;D374,C:C,C374)-SUMIFS(AA:AA,D:D,"&lt;="&amp;D374,C:C,C374)+SUMIFS(N:N,D:D,"&lt;="&amp;D374,C:C,C374)+SUMIFS(P:P,D:D,"&lt;="&amp;D374,C:C,C374)&lt;0,0,SUMIFS('Shipments data'!L:L,'Shipments data'!F:F,'Supply planning data'!C374,'Shipments data'!A:A,'Supply planning data'!A374,'Shipments data'!O:O,"received",'Shipments data'!Q:Q,"&lt;"&amp;'Supply planning data'!D389,'Shipments data'!AC:AC,"&lt;"&amp;'Supply planning data'!D389)-SUMIFS(M:M,D:D,"&lt;="&amp;D374,C:C,C374)-SUMIFS(AA:AA,D:D,"&lt;="&amp;D374,C:C,C374)+SUMIFS(N:N,D:D,"&lt;="&amp;D374,C:C,C374)+SUMIFS(P:P,D:D,"&lt;="&amp;D374,C:C,C374))</f>
        <v>0</v>
      </c>
      <c r="AD374" s="98">
        <f t="shared" si="118"/>
        <v>0</v>
      </c>
      <c r="AE374" s="98">
        <f t="shared" si="112"/>
        <v>0</v>
      </c>
      <c r="AF374" s="205" t="str">
        <f t="shared" si="121"/>
        <v/>
      </c>
      <c r="AG374" s="98">
        <f t="shared" si="119"/>
        <v>0</v>
      </c>
      <c r="AH374" s="97"/>
      <c r="AI374" s="311"/>
      <c r="AJ374" s="98">
        <f t="shared" si="111"/>
        <v>0</v>
      </c>
      <c r="AK374" s="233"/>
      <c r="AL374" s="98">
        <f>IF(SUMIFS('Shipments data'!L:L,'Shipments data'!F:F,'Supply planning data'!C374,'Shipments data'!A:A,'Supply planning data'!A374,'Shipments data'!O:O,"received",'Shipments data'!Q:Q,"&lt;"&amp;'Supply planning data'!D389,'Shipments data'!AC:AC,"&lt;"&amp;'Supply planning data'!D389)-SUMIFS(M:M,D:D,"&lt;="&amp;D374,C:C,C374)-SUMIFS(AJ:AJ,D:D,"&lt;="&amp;D374,C:C,C374)+SUMIFS(N:N,D:D,"&lt;="&amp;D374,C:C,C374)+SUMIFS(P:P,D:D,"&lt;="&amp;D374,C:C,C374)&lt;0,0,SUMIFS('Shipments data'!L:L,'Shipments data'!F:F,'Supply planning data'!C374,'Shipments data'!A:A,'Supply planning data'!A374,'Shipments data'!O:O,"received",'Shipments data'!Q:Q,"&lt;"&amp;'Supply planning data'!D389,'Shipments data'!AC:AC,"&lt;"&amp;'Supply planning data'!D389)-SUMIFS(M:M,D:D,"&lt;="&amp;D374,C:C,C374)-SUMIFS(AJ:AJ,D:D,"&lt;="&amp;D374,C:C,C374)+SUMIFS(N:N,D:D,"&lt;="&amp;D374,C:C,C374)+SUMIFS(P:P,D:D,"&lt;="&amp;D374,C:C,C374))</f>
        <v>0</v>
      </c>
      <c r="AM374" s="98">
        <f t="shared" si="120"/>
        <v>0</v>
      </c>
      <c r="AN374" s="98">
        <f t="shared" si="113"/>
        <v>0</v>
      </c>
      <c r="AO374" s="203" t="str">
        <f t="shared" si="123"/>
        <v/>
      </c>
    </row>
    <row r="375" spans="1:41" hidden="1" x14ac:dyDescent="0.25">
      <c r="A375" s="95" t="str">
        <f>Start!D$7</f>
        <v>Anyland</v>
      </c>
      <c r="B375" s="96" t="str">
        <f>VLOOKUP(A375,list!B:C,2,FALSE)</f>
        <v>ANY</v>
      </c>
      <c r="C375" s="90" t="str">
        <f>IF(Start!$C$27="","",Start!$C$27)</f>
        <v/>
      </c>
      <c r="D375" s="296">
        <f t="shared" si="114"/>
        <v>44927</v>
      </c>
      <c r="E375" s="92" t="str">
        <f>IFERROR(VLOOKUP(C375,Start!C$15:D$31,2,FALSE),"No")</f>
        <v>No</v>
      </c>
      <c r="F375" s="92">
        <f t="shared" si="115"/>
        <v>0</v>
      </c>
      <c r="G375" s="91"/>
      <c r="H375" s="97"/>
      <c r="I375" s="97"/>
      <c r="J375" s="98">
        <f t="shared" si="107"/>
        <v>0</v>
      </c>
      <c r="K375" s="97"/>
      <c r="L375" s="175" t="str">
        <f t="shared" si="108"/>
        <v/>
      </c>
      <c r="M375" s="98">
        <f t="shared" si="109"/>
        <v>0</v>
      </c>
      <c r="N375" s="97"/>
      <c r="O375" s="122"/>
      <c r="P375" s="97"/>
      <c r="Q375" s="122"/>
      <c r="R375" s="98">
        <f>SUMIFS('Shipments data'!L:L,'Shipments data'!F:F,'Supply planning data'!C375,'Shipments data'!A:A,'Supply planning data'!A375,'Shipments data'!Y:Y,'Supply planning data'!D375,'Shipments data'!O:O,"received", 'Shipments data'!N:N, "Public")</f>
        <v>0</v>
      </c>
      <c r="S375" s="98">
        <f>SUMIFS('Shipments data'!L:L,'Shipments data'!F:F,'Supply planning data'!C375,'Shipments data'!A:A,'Supply planning data'!A375,'Shipments data'!Y:Y,'Supply planning data'!D375,'Shipments data'!O:O,"ordered", 'Shipments data'!N:N, "Public")</f>
        <v>0</v>
      </c>
      <c r="T375" s="98">
        <f>IF(SUMIFS('Shipments data'!L:L,'Shipments data'!F:F,'Supply planning data'!C375,'Shipments data'!A:A,'Supply planning data'!A375,'Shipments data'!O:O,"received",'Shipments data'!Q:Q,"&lt;"&amp;'Supply planning data'!D390,'Shipments data'!AC:AC,"&lt;"&amp;'Supply planning data'!D390)-SUMIFS(M:M,D:D,"&lt;="&amp;D375,C:C,C375)+SUMIFS(N:N,D:D,"&lt;="&amp;D375,C:C,C375)+SUMIFS(P:P,D:D,"&lt;="&amp;D375,C:C,C375)&lt;0,0,SUMIFS('Shipments data'!L:L,'Shipments data'!F:F,'Supply planning data'!C375,'Shipments data'!A:A,'Supply planning data'!A375,'Shipments data'!O:O,"received",'Shipments data'!Q:Q,"&lt;"&amp;'Supply planning data'!D390,'Shipments data'!AC:AC,"&lt;"&amp;'Supply planning data'!D390)-SUMIFS(M:M,D:D,"&lt;="&amp;D375,C:C,C375)+SUMIFS(N:N,D:D,"&lt;="&amp;D375,C:C,C375)+SUMIFS(P:P,D:D,"&lt;="&amp;D375,C:C,C375))</f>
        <v>0</v>
      </c>
      <c r="U375" s="99">
        <f t="shared" si="116"/>
        <v>0</v>
      </c>
      <c r="V375" s="98">
        <f t="shared" si="124"/>
        <v>0</v>
      </c>
      <c r="W375" s="203" t="str">
        <f t="shared" si="122"/>
        <v/>
      </c>
      <c r="X375" s="98">
        <f t="shared" si="117"/>
        <v>0</v>
      </c>
      <c r="Y375" s="97"/>
      <c r="Z375" s="93"/>
      <c r="AA375" s="98">
        <f t="shared" si="110"/>
        <v>0</v>
      </c>
      <c r="AB375" s="233"/>
      <c r="AC375" s="98">
        <f>IF(SUMIFS('Shipments data'!L:L,'Shipments data'!F:F,'Supply planning data'!C375,'Shipments data'!A:A,'Supply planning data'!A375,'Shipments data'!O:O,"received",'Shipments data'!Q:Q,"&lt;"&amp;'Supply planning data'!D390,'Shipments data'!AC:AC,"&lt;"&amp;'Supply planning data'!D390)-SUMIFS(M:M,D:D,"&lt;="&amp;D375,C:C,C375)-SUMIFS(AA:AA,D:D,"&lt;="&amp;D375,C:C,C375)+SUMIFS(N:N,D:D,"&lt;="&amp;D375,C:C,C375)+SUMIFS(P:P,D:D,"&lt;="&amp;D375,C:C,C375)&lt;0,0,SUMIFS('Shipments data'!L:L,'Shipments data'!F:F,'Supply planning data'!C375,'Shipments data'!A:A,'Supply planning data'!A375,'Shipments data'!O:O,"received",'Shipments data'!Q:Q,"&lt;"&amp;'Supply planning data'!D390,'Shipments data'!AC:AC,"&lt;"&amp;'Supply planning data'!D390)-SUMIFS(M:M,D:D,"&lt;="&amp;D375,C:C,C375)-SUMIFS(AA:AA,D:D,"&lt;="&amp;D375,C:C,C375)+SUMIFS(N:N,D:D,"&lt;="&amp;D375,C:C,C375)+SUMIFS(P:P,D:D,"&lt;="&amp;D375,C:C,C375))</f>
        <v>0</v>
      </c>
      <c r="AD375" s="98">
        <f t="shared" si="118"/>
        <v>0</v>
      </c>
      <c r="AE375" s="98">
        <f t="shared" si="112"/>
        <v>0</v>
      </c>
      <c r="AF375" s="205" t="str">
        <f t="shared" si="121"/>
        <v/>
      </c>
      <c r="AG375" s="98">
        <f t="shared" si="119"/>
        <v>0</v>
      </c>
      <c r="AH375" s="97"/>
      <c r="AI375" s="311"/>
      <c r="AJ375" s="98">
        <f t="shared" si="111"/>
        <v>0</v>
      </c>
      <c r="AK375" s="233"/>
      <c r="AL375" s="98">
        <f>IF(SUMIFS('Shipments data'!L:L,'Shipments data'!F:F,'Supply planning data'!C375,'Shipments data'!A:A,'Supply planning data'!A375,'Shipments data'!O:O,"received",'Shipments data'!Q:Q,"&lt;"&amp;'Supply planning data'!D390,'Shipments data'!AC:AC,"&lt;"&amp;'Supply planning data'!D390)-SUMIFS(M:M,D:D,"&lt;="&amp;D375,C:C,C375)-SUMIFS(AJ:AJ,D:D,"&lt;="&amp;D375,C:C,C375)+SUMIFS(N:N,D:D,"&lt;="&amp;D375,C:C,C375)+SUMIFS(P:P,D:D,"&lt;="&amp;D375,C:C,C375)&lt;0,0,SUMIFS('Shipments data'!L:L,'Shipments data'!F:F,'Supply planning data'!C375,'Shipments data'!A:A,'Supply planning data'!A375,'Shipments data'!O:O,"received",'Shipments data'!Q:Q,"&lt;"&amp;'Supply planning data'!D390,'Shipments data'!AC:AC,"&lt;"&amp;'Supply planning data'!D390)-SUMIFS(M:M,D:D,"&lt;="&amp;D375,C:C,C375)-SUMIFS(AJ:AJ,D:D,"&lt;="&amp;D375,C:C,C375)+SUMIFS(N:N,D:D,"&lt;="&amp;D375,C:C,C375)+SUMIFS(P:P,D:D,"&lt;="&amp;D375,C:C,C375))</f>
        <v>0</v>
      </c>
      <c r="AM375" s="98">
        <f t="shared" si="120"/>
        <v>0</v>
      </c>
      <c r="AN375" s="98">
        <f t="shared" si="113"/>
        <v>0</v>
      </c>
      <c r="AO375" s="203" t="str">
        <f t="shared" si="123"/>
        <v/>
      </c>
    </row>
    <row r="376" spans="1:41" hidden="1" x14ac:dyDescent="0.25">
      <c r="A376" s="95" t="str">
        <f>Start!D$7</f>
        <v>Anyland</v>
      </c>
      <c r="B376" s="96" t="str">
        <f>VLOOKUP(A376,list!B:C,2,FALSE)</f>
        <v>ANY</v>
      </c>
      <c r="C376" s="90" t="str">
        <f>IF(Start!$C$28="","",Start!$C$28)</f>
        <v/>
      </c>
      <c r="D376" s="296">
        <f t="shared" si="114"/>
        <v>44927</v>
      </c>
      <c r="E376" s="92" t="str">
        <f>IFERROR(VLOOKUP(C376,Start!C$15:D$31,2,FALSE),"No")</f>
        <v>No</v>
      </c>
      <c r="F376" s="92">
        <f t="shared" si="115"/>
        <v>0</v>
      </c>
      <c r="G376" s="91"/>
      <c r="H376" s="97"/>
      <c r="I376" s="97"/>
      <c r="J376" s="98">
        <f t="shared" si="107"/>
        <v>0</v>
      </c>
      <c r="K376" s="97"/>
      <c r="L376" s="175" t="str">
        <f t="shared" si="108"/>
        <v/>
      </c>
      <c r="M376" s="98">
        <f t="shared" si="109"/>
        <v>0</v>
      </c>
      <c r="N376" s="97"/>
      <c r="O376" s="122"/>
      <c r="P376" s="97"/>
      <c r="Q376" s="122"/>
      <c r="R376" s="98">
        <f>SUMIFS('Shipments data'!L:L,'Shipments data'!F:F,'Supply planning data'!C376,'Shipments data'!A:A,'Supply planning data'!A376,'Shipments data'!Y:Y,'Supply planning data'!D376,'Shipments data'!O:O,"received", 'Shipments data'!N:N, "Public")</f>
        <v>0</v>
      </c>
      <c r="S376" s="98">
        <f>SUMIFS('Shipments data'!L:L,'Shipments data'!F:F,'Supply planning data'!C376,'Shipments data'!A:A,'Supply planning data'!A376,'Shipments data'!Y:Y,'Supply planning data'!D376,'Shipments data'!O:O,"ordered", 'Shipments data'!N:N, "Public")</f>
        <v>0</v>
      </c>
      <c r="T376" s="98">
        <f>IF(SUMIFS('Shipments data'!L:L,'Shipments data'!F:F,'Supply planning data'!C376,'Shipments data'!A:A,'Supply planning data'!A376,'Shipments data'!O:O,"received",'Shipments data'!Q:Q,"&lt;"&amp;'Supply planning data'!D391,'Shipments data'!AC:AC,"&lt;"&amp;'Supply planning data'!D391)-SUMIFS(M:M,D:D,"&lt;="&amp;D376,C:C,C376)+SUMIFS(N:N,D:D,"&lt;="&amp;D376,C:C,C376)+SUMIFS(P:P,D:D,"&lt;="&amp;D376,C:C,C376)&lt;0,0,SUMIFS('Shipments data'!L:L,'Shipments data'!F:F,'Supply planning data'!C376,'Shipments data'!A:A,'Supply planning data'!A376,'Shipments data'!O:O,"received",'Shipments data'!Q:Q,"&lt;"&amp;'Supply planning data'!D391,'Shipments data'!AC:AC,"&lt;"&amp;'Supply planning data'!D391)-SUMIFS(M:M,D:D,"&lt;="&amp;D376,C:C,C376)+SUMIFS(N:N,D:D,"&lt;="&amp;D376,C:C,C376)+SUMIFS(P:P,D:D,"&lt;="&amp;D376,C:C,C376))</f>
        <v>0</v>
      </c>
      <c r="U376" s="99">
        <f t="shared" si="116"/>
        <v>0</v>
      </c>
      <c r="V376" s="98">
        <f t="shared" si="124"/>
        <v>0</v>
      </c>
      <c r="W376" s="203" t="str">
        <f t="shared" si="122"/>
        <v/>
      </c>
      <c r="X376" s="98">
        <f t="shared" si="117"/>
        <v>0</v>
      </c>
      <c r="Y376" s="97"/>
      <c r="Z376" s="93"/>
      <c r="AA376" s="98">
        <f t="shared" si="110"/>
        <v>0</v>
      </c>
      <c r="AB376" s="233"/>
      <c r="AC376" s="98">
        <f>IF(SUMIFS('Shipments data'!L:L,'Shipments data'!F:F,'Supply planning data'!C376,'Shipments data'!A:A,'Supply planning data'!A376,'Shipments data'!O:O,"received",'Shipments data'!Q:Q,"&lt;"&amp;'Supply planning data'!D391,'Shipments data'!AC:AC,"&lt;"&amp;'Supply planning data'!D391)-SUMIFS(M:M,D:D,"&lt;="&amp;D376,C:C,C376)-SUMIFS(AA:AA,D:D,"&lt;="&amp;D376,C:C,C376)+SUMIFS(N:N,D:D,"&lt;="&amp;D376,C:C,C376)+SUMIFS(P:P,D:D,"&lt;="&amp;D376,C:C,C376)&lt;0,0,SUMIFS('Shipments data'!L:L,'Shipments data'!F:F,'Supply planning data'!C376,'Shipments data'!A:A,'Supply planning data'!A376,'Shipments data'!O:O,"received",'Shipments data'!Q:Q,"&lt;"&amp;'Supply planning data'!D391,'Shipments data'!AC:AC,"&lt;"&amp;'Supply planning data'!D391)-SUMIFS(M:M,D:D,"&lt;="&amp;D376,C:C,C376)-SUMIFS(AA:AA,D:D,"&lt;="&amp;D376,C:C,C376)+SUMIFS(N:N,D:D,"&lt;="&amp;D376,C:C,C376)+SUMIFS(P:P,D:D,"&lt;="&amp;D376,C:C,C376))</f>
        <v>0</v>
      </c>
      <c r="AD376" s="98">
        <f t="shared" si="118"/>
        <v>0</v>
      </c>
      <c r="AE376" s="98">
        <f t="shared" si="112"/>
        <v>0</v>
      </c>
      <c r="AF376" s="205" t="str">
        <f t="shared" si="121"/>
        <v/>
      </c>
      <c r="AG376" s="98">
        <f t="shared" si="119"/>
        <v>0</v>
      </c>
      <c r="AH376" s="97"/>
      <c r="AI376" s="311"/>
      <c r="AJ376" s="98">
        <f t="shared" si="111"/>
        <v>0</v>
      </c>
      <c r="AK376" s="233"/>
      <c r="AL376" s="98">
        <f>IF(SUMIFS('Shipments data'!L:L,'Shipments data'!F:F,'Supply planning data'!C376,'Shipments data'!A:A,'Supply planning data'!A376,'Shipments data'!O:O,"received",'Shipments data'!Q:Q,"&lt;"&amp;'Supply planning data'!D391,'Shipments data'!AC:AC,"&lt;"&amp;'Supply planning data'!D391)-SUMIFS(M:M,D:D,"&lt;="&amp;D376,C:C,C376)-SUMIFS(AJ:AJ,D:D,"&lt;="&amp;D376,C:C,C376)+SUMIFS(N:N,D:D,"&lt;="&amp;D376,C:C,C376)+SUMIFS(P:P,D:D,"&lt;="&amp;D376,C:C,C376)&lt;0,0,SUMIFS('Shipments data'!L:L,'Shipments data'!F:F,'Supply planning data'!C376,'Shipments data'!A:A,'Supply planning data'!A376,'Shipments data'!O:O,"received",'Shipments data'!Q:Q,"&lt;"&amp;'Supply planning data'!D391,'Shipments data'!AC:AC,"&lt;"&amp;'Supply planning data'!D391)-SUMIFS(M:M,D:D,"&lt;="&amp;D376,C:C,C376)-SUMIFS(AJ:AJ,D:D,"&lt;="&amp;D376,C:C,C376)+SUMIFS(N:N,D:D,"&lt;="&amp;D376,C:C,C376)+SUMIFS(P:P,D:D,"&lt;="&amp;D376,C:C,C376))</f>
        <v>0</v>
      </c>
      <c r="AM376" s="98">
        <f t="shared" si="120"/>
        <v>0</v>
      </c>
      <c r="AN376" s="98">
        <f t="shared" si="113"/>
        <v>0</v>
      </c>
      <c r="AO376" s="203" t="str">
        <f t="shared" si="123"/>
        <v/>
      </c>
    </row>
    <row r="377" spans="1:41" hidden="1" x14ac:dyDescent="0.25">
      <c r="A377" s="95" t="str">
        <f>Start!D$7</f>
        <v>Anyland</v>
      </c>
      <c r="B377" s="96" t="str">
        <f>VLOOKUP(A377,list!B:C,2,FALSE)</f>
        <v>ANY</v>
      </c>
      <c r="C377" s="90" t="str">
        <f>IF(Start!$C$29="","",Start!$C$29)</f>
        <v/>
      </c>
      <c r="D377" s="296">
        <f t="shared" si="114"/>
        <v>44927</v>
      </c>
      <c r="E377" s="92" t="str">
        <f>IFERROR(VLOOKUP(C377,Start!C$15:D$31,2,FALSE),"No")</f>
        <v>No</v>
      </c>
      <c r="F377" s="92">
        <f t="shared" si="115"/>
        <v>0</v>
      </c>
      <c r="G377" s="91"/>
      <c r="H377" s="97"/>
      <c r="I377" s="97"/>
      <c r="J377" s="98">
        <f t="shared" si="107"/>
        <v>0</v>
      </c>
      <c r="K377" s="97"/>
      <c r="L377" s="175" t="str">
        <f t="shared" si="108"/>
        <v/>
      </c>
      <c r="M377" s="98">
        <f t="shared" si="109"/>
        <v>0</v>
      </c>
      <c r="N377" s="97"/>
      <c r="O377" s="122"/>
      <c r="P377" s="97"/>
      <c r="Q377" s="122"/>
      <c r="R377" s="98">
        <f>SUMIFS('Shipments data'!L:L,'Shipments data'!F:F,'Supply planning data'!C377,'Shipments data'!A:A,'Supply planning data'!A377,'Shipments data'!Y:Y,'Supply planning data'!D377,'Shipments data'!O:O,"received", 'Shipments data'!N:N, "Public")</f>
        <v>0</v>
      </c>
      <c r="S377" s="98">
        <f>SUMIFS('Shipments data'!L:L,'Shipments data'!F:F,'Supply planning data'!C377,'Shipments data'!A:A,'Supply planning data'!A377,'Shipments data'!Y:Y,'Supply planning data'!D377,'Shipments data'!O:O,"ordered", 'Shipments data'!N:N, "Public")</f>
        <v>0</v>
      </c>
      <c r="T377" s="98">
        <f>IF(SUMIFS('Shipments data'!L:L,'Shipments data'!F:F,'Supply planning data'!C377,'Shipments data'!A:A,'Supply planning data'!A377,'Shipments data'!O:O,"received",'Shipments data'!Q:Q,"&lt;"&amp;'Supply planning data'!D392,'Shipments data'!AC:AC,"&lt;"&amp;'Supply planning data'!D392)-SUMIFS(M:M,D:D,"&lt;="&amp;D377,C:C,C377)+SUMIFS(N:N,D:D,"&lt;="&amp;D377,C:C,C377)+SUMIFS(P:P,D:D,"&lt;="&amp;D377,C:C,C377)&lt;0,0,SUMIFS('Shipments data'!L:L,'Shipments data'!F:F,'Supply planning data'!C377,'Shipments data'!A:A,'Supply planning data'!A377,'Shipments data'!O:O,"received",'Shipments data'!Q:Q,"&lt;"&amp;'Supply planning data'!D392,'Shipments data'!AC:AC,"&lt;"&amp;'Supply planning data'!D392)-SUMIFS(M:M,D:D,"&lt;="&amp;D377,C:C,C377)+SUMIFS(N:N,D:D,"&lt;="&amp;D377,C:C,C377)+SUMIFS(P:P,D:D,"&lt;="&amp;D377,C:C,C377))</f>
        <v>0</v>
      </c>
      <c r="U377" s="99">
        <f t="shared" si="116"/>
        <v>0</v>
      </c>
      <c r="V377" s="98">
        <f t="shared" si="124"/>
        <v>0</v>
      </c>
      <c r="W377" s="203" t="str">
        <f t="shared" si="122"/>
        <v/>
      </c>
      <c r="X377" s="98">
        <f t="shared" si="117"/>
        <v>0</v>
      </c>
      <c r="Y377" s="97"/>
      <c r="Z377" s="93"/>
      <c r="AA377" s="98">
        <f t="shared" si="110"/>
        <v>0</v>
      </c>
      <c r="AB377" s="233"/>
      <c r="AC377" s="98">
        <f>IF(SUMIFS('Shipments data'!L:L,'Shipments data'!F:F,'Supply planning data'!C377,'Shipments data'!A:A,'Supply planning data'!A377,'Shipments data'!O:O,"received",'Shipments data'!Q:Q,"&lt;"&amp;'Supply planning data'!D392,'Shipments data'!AC:AC,"&lt;"&amp;'Supply planning data'!D392)-SUMIFS(M:M,D:D,"&lt;="&amp;D377,C:C,C377)-SUMIFS(AA:AA,D:D,"&lt;="&amp;D377,C:C,C377)+SUMIFS(N:N,D:D,"&lt;="&amp;D377,C:C,C377)+SUMIFS(P:P,D:D,"&lt;="&amp;D377,C:C,C377)&lt;0,0,SUMIFS('Shipments data'!L:L,'Shipments data'!F:F,'Supply planning data'!C377,'Shipments data'!A:A,'Supply planning data'!A377,'Shipments data'!O:O,"received",'Shipments data'!Q:Q,"&lt;"&amp;'Supply planning data'!D392,'Shipments data'!AC:AC,"&lt;"&amp;'Supply planning data'!D392)-SUMIFS(M:M,D:D,"&lt;="&amp;D377,C:C,C377)-SUMIFS(AA:AA,D:D,"&lt;="&amp;D377,C:C,C377)+SUMIFS(N:N,D:D,"&lt;="&amp;D377,C:C,C377)+SUMIFS(P:P,D:D,"&lt;="&amp;D377,C:C,C377))</f>
        <v>0</v>
      </c>
      <c r="AD377" s="98">
        <f t="shared" si="118"/>
        <v>0</v>
      </c>
      <c r="AE377" s="98">
        <f t="shared" si="112"/>
        <v>0</v>
      </c>
      <c r="AF377" s="205" t="str">
        <f t="shared" si="121"/>
        <v/>
      </c>
      <c r="AG377" s="98">
        <f t="shared" si="119"/>
        <v>0</v>
      </c>
      <c r="AH377" s="97"/>
      <c r="AI377" s="311"/>
      <c r="AJ377" s="98">
        <f t="shared" si="111"/>
        <v>0</v>
      </c>
      <c r="AK377" s="233"/>
      <c r="AL377" s="98">
        <f>IF(SUMIFS('Shipments data'!L:L,'Shipments data'!F:F,'Supply planning data'!C377,'Shipments data'!A:A,'Supply planning data'!A377,'Shipments data'!O:O,"received",'Shipments data'!Q:Q,"&lt;"&amp;'Supply planning data'!D392,'Shipments data'!AC:AC,"&lt;"&amp;'Supply planning data'!D392)-SUMIFS(M:M,D:D,"&lt;="&amp;D377,C:C,C377)-SUMIFS(AJ:AJ,D:D,"&lt;="&amp;D377,C:C,C377)+SUMIFS(N:N,D:D,"&lt;="&amp;D377,C:C,C377)+SUMIFS(P:P,D:D,"&lt;="&amp;D377,C:C,C377)&lt;0,0,SUMIFS('Shipments data'!L:L,'Shipments data'!F:F,'Supply planning data'!C377,'Shipments data'!A:A,'Supply planning data'!A377,'Shipments data'!O:O,"received",'Shipments data'!Q:Q,"&lt;"&amp;'Supply planning data'!D392,'Shipments data'!AC:AC,"&lt;"&amp;'Supply planning data'!D392)-SUMIFS(M:M,D:D,"&lt;="&amp;D377,C:C,C377)-SUMIFS(AJ:AJ,D:D,"&lt;="&amp;D377,C:C,C377)+SUMIFS(N:N,D:D,"&lt;="&amp;D377,C:C,C377)+SUMIFS(P:P,D:D,"&lt;="&amp;D377,C:C,C377))</f>
        <v>0</v>
      </c>
      <c r="AM377" s="98">
        <f t="shared" si="120"/>
        <v>0</v>
      </c>
      <c r="AN377" s="98">
        <f t="shared" si="113"/>
        <v>0</v>
      </c>
      <c r="AO377" s="203" t="str">
        <f t="shared" si="123"/>
        <v/>
      </c>
    </row>
    <row r="378" spans="1:41" hidden="1" x14ac:dyDescent="0.25">
      <c r="A378" s="95" t="str">
        <f>Start!D$7</f>
        <v>Anyland</v>
      </c>
      <c r="B378" s="96" t="str">
        <f>VLOOKUP(A378,list!B:C,2,FALSE)</f>
        <v>ANY</v>
      </c>
      <c r="C378" s="90" t="str">
        <f>IF(Start!$C$30="","",Start!$C$30)</f>
        <v/>
      </c>
      <c r="D378" s="296">
        <f t="shared" si="114"/>
        <v>44927</v>
      </c>
      <c r="E378" s="92" t="str">
        <f>IFERROR(VLOOKUP(C378,Start!C$15:D$31,2,FALSE),"No")</f>
        <v>No</v>
      </c>
      <c r="F378" s="92">
        <f t="shared" si="115"/>
        <v>0</v>
      </c>
      <c r="G378" s="91"/>
      <c r="H378" s="97"/>
      <c r="I378" s="97"/>
      <c r="J378" s="98">
        <f t="shared" si="107"/>
        <v>0</v>
      </c>
      <c r="K378" s="97"/>
      <c r="L378" s="175" t="str">
        <f t="shared" si="108"/>
        <v/>
      </c>
      <c r="M378" s="98">
        <f t="shared" si="109"/>
        <v>0</v>
      </c>
      <c r="N378" s="97"/>
      <c r="O378" s="122"/>
      <c r="P378" s="97"/>
      <c r="Q378" s="122"/>
      <c r="R378" s="98">
        <f>SUMIFS('Shipments data'!L:L,'Shipments data'!F:F,'Supply planning data'!C378,'Shipments data'!A:A,'Supply planning data'!A378,'Shipments data'!Y:Y,'Supply planning data'!D378,'Shipments data'!O:O,"received", 'Shipments data'!N:N, "Public")</f>
        <v>0</v>
      </c>
      <c r="S378" s="98">
        <f>SUMIFS('Shipments data'!L:L,'Shipments data'!F:F,'Supply planning data'!C378,'Shipments data'!A:A,'Supply planning data'!A378,'Shipments data'!Y:Y,'Supply planning data'!D378,'Shipments data'!O:O,"ordered", 'Shipments data'!N:N, "Public")</f>
        <v>0</v>
      </c>
      <c r="T378" s="98">
        <f>IF(SUMIFS('Shipments data'!L:L,'Shipments data'!F:F,'Supply planning data'!C378,'Shipments data'!A:A,'Supply planning data'!A378,'Shipments data'!O:O,"received",'Shipments data'!Q:Q,"&lt;"&amp;'Supply planning data'!D393,'Shipments data'!AC:AC,"&lt;"&amp;'Supply planning data'!D393)-SUMIFS(M:M,D:D,"&lt;="&amp;D378,C:C,C378)+SUMIFS(N:N,D:D,"&lt;="&amp;D378,C:C,C378)+SUMIFS(P:P,D:D,"&lt;="&amp;D378,C:C,C378)&lt;0,0,SUMIFS('Shipments data'!L:L,'Shipments data'!F:F,'Supply planning data'!C378,'Shipments data'!A:A,'Supply planning data'!A378,'Shipments data'!O:O,"received",'Shipments data'!Q:Q,"&lt;"&amp;'Supply planning data'!D393,'Shipments data'!AC:AC,"&lt;"&amp;'Supply planning data'!D393)-SUMIFS(M:M,D:D,"&lt;="&amp;D378,C:C,C378)+SUMIFS(N:N,D:D,"&lt;="&amp;D378,C:C,C378)+SUMIFS(P:P,D:D,"&lt;="&amp;D378,C:C,C378))</f>
        <v>0</v>
      </c>
      <c r="U378" s="99">
        <f t="shared" si="116"/>
        <v>0</v>
      </c>
      <c r="V378" s="98">
        <f t="shared" si="124"/>
        <v>0</v>
      </c>
      <c r="W378" s="203" t="str">
        <f t="shared" si="122"/>
        <v/>
      </c>
      <c r="X378" s="98">
        <f t="shared" si="117"/>
        <v>0</v>
      </c>
      <c r="Y378" s="97"/>
      <c r="Z378" s="93"/>
      <c r="AA378" s="98">
        <f t="shared" si="110"/>
        <v>0</v>
      </c>
      <c r="AB378" s="233"/>
      <c r="AC378" s="98">
        <f>IF(SUMIFS('Shipments data'!L:L,'Shipments data'!F:F,'Supply planning data'!C378,'Shipments data'!A:A,'Supply planning data'!A378,'Shipments data'!O:O,"received",'Shipments data'!Q:Q,"&lt;"&amp;'Supply planning data'!D393,'Shipments data'!AC:AC,"&lt;"&amp;'Supply planning data'!D393)-SUMIFS(M:M,D:D,"&lt;="&amp;D378,C:C,C378)-SUMIFS(AA:AA,D:D,"&lt;="&amp;D378,C:C,C378)+SUMIFS(N:N,D:D,"&lt;="&amp;D378,C:C,C378)+SUMIFS(P:P,D:D,"&lt;="&amp;D378,C:C,C378)&lt;0,0,SUMIFS('Shipments data'!L:L,'Shipments data'!F:F,'Supply planning data'!C378,'Shipments data'!A:A,'Supply planning data'!A378,'Shipments data'!O:O,"received",'Shipments data'!Q:Q,"&lt;"&amp;'Supply planning data'!D393,'Shipments data'!AC:AC,"&lt;"&amp;'Supply planning data'!D393)-SUMIFS(M:M,D:D,"&lt;="&amp;D378,C:C,C378)-SUMIFS(AA:AA,D:D,"&lt;="&amp;D378,C:C,C378)+SUMIFS(N:N,D:D,"&lt;="&amp;D378,C:C,C378)+SUMIFS(P:P,D:D,"&lt;="&amp;D378,C:C,C378))</f>
        <v>0</v>
      </c>
      <c r="AD378" s="98">
        <f t="shared" si="118"/>
        <v>0</v>
      </c>
      <c r="AE378" s="98">
        <f t="shared" si="112"/>
        <v>0</v>
      </c>
      <c r="AF378" s="205" t="str">
        <f t="shared" si="121"/>
        <v/>
      </c>
      <c r="AG378" s="98">
        <f t="shared" si="119"/>
        <v>0</v>
      </c>
      <c r="AH378" s="97"/>
      <c r="AI378" s="311"/>
      <c r="AJ378" s="98">
        <f t="shared" si="111"/>
        <v>0</v>
      </c>
      <c r="AK378" s="233"/>
      <c r="AL378" s="98">
        <f>IF(SUMIFS('Shipments data'!L:L,'Shipments data'!F:F,'Supply planning data'!C378,'Shipments data'!A:A,'Supply planning data'!A378,'Shipments data'!O:O,"received",'Shipments data'!Q:Q,"&lt;"&amp;'Supply planning data'!D393,'Shipments data'!AC:AC,"&lt;"&amp;'Supply planning data'!D393)-SUMIFS(M:M,D:D,"&lt;="&amp;D378,C:C,C378)-SUMIFS(AJ:AJ,D:D,"&lt;="&amp;D378,C:C,C378)+SUMIFS(N:N,D:D,"&lt;="&amp;D378,C:C,C378)+SUMIFS(P:P,D:D,"&lt;="&amp;D378,C:C,C378)&lt;0,0,SUMIFS('Shipments data'!L:L,'Shipments data'!F:F,'Supply planning data'!C378,'Shipments data'!A:A,'Supply planning data'!A378,'Shipments data'!O:O,"received",'Shipments data'!Q:Q,"&lt;"&amp;'Supply planning data'!D393,'Shipments data'!AC:AC,"&lt;"&amp;'Supply planning data'!D393)-SUMIFS(M:M,D:D,"&lt;="&amp;D378,C:C,C378)-SUMIFS(AJ:AJ,D:D,"&lt;="&amp;D378,C:C,C378)+SUMIFS(N:N,D:D,"&lt;="&amp;D378,C:C,C378)+SUMIFS(P:P,D:D,"&lt;="&amp;D378,C:C,C378))</f>
        <v>0</v>
      </c>
      <c r="AM378" s="98">
        <f t="shared" si="120"/>
        <v>0</v>
      </c>
      <c r="AN378" s="98">
        <f t="shared" si="113"/>
        <v>0</v>
      </c>
      <c r="AO378" s="203" t="str">
        <f t="shared" si="123"/>
        <v/>
      </c>
    </row>
    <row r="379" spans="1:41" hidden="1" x14ac:dyDescent="0.25">
      <c r="A379" s="95" t="str">
        <f>Start!D$7</f>
        <v>Anyland</v>
      </c>
      <c r="B379" s="100" t="str">
        <f>VLOOKUP(A379,list!B:C,2,FALSE)</f>
        <v>ANY</v>
      </c>
      <c r="C379" s="90" t="str">
        <f>IF(Start!$C$31="","",Start!$C$31)</f>
        <v/>
      </c>
      <c r="D379" s="296">
        <f t="shared" si="114"/>
        <v>44927</v>
      </c>
      <c r="E379" s="92" t="str">
        <f>IFERROR(VLOOKUP(C379,Start!C$15:D$31,2,FALSE),"No")</f>
        <v>No</v>
      </c>
      <c r="F379" s="92">
        <f t="shared" si="115"/>
        <v>0</v>
      </c>
      <c r="G379" s="91"/>
      <c r="H379" s="97"/>
      <c r="I379" s="97"/>
      <c r="J379" s="98">
        <f t="shared" si="107"/>
        <v>0</v>
      </c>
      <c r="K379" s="97"/>
      <c r="L379" s="175" t="str">
        <f t="shared" si="108"/>
        <v/>
      </c>
      <c r="M379" s="98">
        <f t="shared" si="109"/>
        <v>0</v>
      </c>
      <c r="N379" s="97"/>
      <c r="O379" s="122"/>
      <c r="P379" s="97"/>
      <c r="Q379" s="122"/>
      <c r="R379" s="98">
        <f>SUMIFS('Shipments data'!L:L,'Shipments data'!F:F,'Supply planning data'!C379,'Shipments data'!A:A,'Supply planning data'!A379,'Shipments data'!Y:Y,'Supply planning data'!D379,'Shipments data'!O:O,"received", 'Shipments data'!N:N, "Public")</f>
        <v>0</v>
      </c>
      <c r="S379" s="98">
        <f>SUMIFS('Shipments data'!L:L,'Shipments data'!F:F,'Supply planning data'!C379,'Shipments data'!A:A,'Supply planning data'!A379,'Shipments data'!Y:Y,'Supply planning data'!D379,'Shipments data'!O:O,"ordered", 'Shipments data'!N:N, "Public")</f>
        <v>0</v>
      </c>
      <c r="T379" s="98">
        <f>IF(SUMIFS('Shipments data'!L:L,'Shipments data'!F:F,'Supply planning data'!C379,'Shipments data'!A:A,'Supply planning data'!A379,'Shipments data'!O:O,"received",'Shipments data'!Q:Q,"&lt;"&amp;'Supply planning data'!D394,'Shipments data'!AC:AC,"&lt;"&amp;'Supply planning data'!D394)-SUMIFS(M:M,D:D,"&lt;="&amp;D379,C:C,C379)+SUMIFS(N:N,D:D,"&lt;="&amp;D379,C:C,C379)+SUMIFS(P:P,D:D,"&lt;="&amp;D379,C:C,C379)&lt;0,0,SUMIFS('Shipments data'!L:L,'Shipments data'!F:F,'Supply planning data'!C379,'Shipments data'!A:A,'Supply planning data'!A379,'Shipments data'!O:O,"received",'Shipments data'!Q:Q,"&lt;"&amp;'Supply planning data'!D394,'Shipments data'!AC:AC,"&lt;"&amp;'Supply planning data'!D394)-SUMIFS(M:M,D:D,"&lt;="&amp;D379,C:C,C379)+SUMIFS(N:N,D:D,"&lt;="&amp;D379,C:C,C379)+SUMIFS(P:P,D:D,"&lt;="&amp;D379,C:C,C379))</f>
        <v>0</v>
      </c>
      <c r="U379" s="99">
        <f t="shared" si="116"/>
        <v>0</v>
      </c>
      <c r="V379" s="98">
        <f t="shared" si="124"/>
        <v>0</v>
      </c>
      <c r="W379" s="203" t="str">
        <f t="shared" si="122"/>
        <v/>
      </c>
      <c r="X379" s="98">
        <f t="shared" si="117"/>
        <v>0</v>
      </c>
      <c r="Y379" s="97"/>
      <c r="Z379" s="93"/>
      <c r="AA379" s="98">
        <f t="shared" si="110"/>
        <v>0</v>
      </c>
      <c r="AB379" s="233"/>
      <c r="AC379" s="98">
        <f>IF(SUMIFS('Shipments data'!L:L,'Shipments data'!F:F,'Supply planning data'!C379,'Shipments data'!A:A,'Supply planning data'!A379,'Shipments data'!O:O,"received",'Shipments data'!Q:Q,"&lt;"&amp;'Supply planning data'!D394,'Shipments data'!AC:AC,"&lt;"&amp;'Supply planning data'!D394)-SUMIFS(M:M,D:D,"&lt;="&amp;D379,C:C,C379)-SUMIFS(AA:AA,D:D,"&lt;="&amp;D379,C:C,C379)+SUMIFS(N:N,D:D,"&lt;="&amp;D379,C:C,C379)+SUMIFS(P:P,D:D,"&lt;="&amp;D379,C:C,C379)&lt;0,0,SUMIFS('Shipments data'!L:L,'Shipments data'!F:F,'Supply planning data'!C379,'Shipments data'!A:A,'Supply planning data'!A379,'Shipments data'!O:O,"received",'Shipments data'!Q:Q,"&lt;"&amp;'Supply planning data'!D394,'Shipments data'!AC:AC,"&lt;"&amp;'Supply planning data'!D394)-SUMIFS(M:M,D:D,"&lt;="&amp;D379,C:C,C379)-SUMIFS(AA:AA,D:D,"&lt;="&amp;D379,C:C,C379)+SUMIFS(N:N,D:D,"&lt;="&amp;D379,C:C,C379)+SUMIFS(P:P,D:D,"&lt;="&amp;D379,C:C,C379))</f>
        <v>0</v>
      </c>
      <c r="AD379" s="98">
        <f t="shared" si="118"/>
        <v>0</v>
      </c>
      <c r="AE379" s="98">
        <f t="shared" si="112"/>
        <v>0</v>
      </c>
      <c r="AF379" s="205" t="str">
        <f t="shared" si="121"/>
        <v/>
      </c>
      <c r="AG379" s="98">
        <f t="shared" si="119"/>
        <v>0</v>
      </c>
      <c r="AH379" s="97"/>
      <c r="AI379" s="311"/>
      <c r="AJ379" s="98">
        <f t="shared" si="111"/>
        <v>0</v>
      </c>
      <c r="AK379" s="233"/>
      <c r="AL379" s="98">
        <f>IF(SUMIFS('Shipments data'!L:L,'Shipments data'!F:F,'Supply planning data'!C379,'Shipments data'!A:A,'Supply planning data'!A379,'Shipments data'!O:O,"received",'Shipments data'!Q:Q,"&lt;"&amp;'Supply planning data'!D394,'Shipments data'!AC:AC,"&lt;"&amp;'Supply planning data'!D394)-SUMIFS(M:M,D:D,"&lt;="&amp;D379,C:C,C379)-SUMIFS(AJ:AJ,D:D,"&lt;="&amp;D379,C:C,C379)+SUMIFS(N:N,D:D,"&lt;="&amp;D379,C:C,C379)+SUMIFS(P:P,D:D,"&lt;="&amp;D379,C:C,C379)&lt;0,0,SUMIFS('Shipments data'!L:L,'Shipments data'!F:F,'Supply planning data'!C379,'Shipments data'!A:A,'Supply planning data'!A379,'Shipments data'!O:O,"received",'Shipments data'!Q:Q,"&lt;"&amp;'Supply planning data'!D394,'Shipments data'!AC:AC,"&lt;"&amp;'Supply planning data'!D394)-SUMIFS(M:M,D:D,"&lt;="&amp;D379,C:C,C379)-SUMIFS(AJ:AJ,D:D,"&lt;="&amp;D379,C:C,C379)+SUMIFS(N:N,D:D,"&lt;="&amp;D379,C:C,C379)+SUMIFS(P:P,D:D,"&lt;="&amp;D379,C:C,C379))</f>
        <v>0</v>
      </c>
      <c r="AM379" s="98">
        <f t="shared" si="120"/>
        <v>0</v>
      </c>
      <c r="AN379" s="98">
        <f t="shared" si="113"/>
        <v>0</v>
      </c>
      <c r="AO379" s="203" t="str">
        <f t="shared" si="123"/>
        <v/>
      </c>
    </row>
    <row r="380" spans="1:41" x14ac:dyDescent="0.25">
      <c r="A380" s="103" t="str">
        <f>Start!D$7</f>
        <v>Anyland</v>
      </c>
      <c r="B380" s="104" t="str">
        <f>VLOOKUP(A380,list!B:C,2,FALSE)</f>
        <v>ANY</v>
      </c>
      <c r="C380" s="104" t="str">
        <f>IF(Start!$C$17="","",Start!$C$17)</f>
        <v>AstraZeneca</v>
      </c>
      <c r="D380" s="298">
        <f t="shared" si="114"/>
        <v>44958</v>
      </c>
      <c r="E380" s="105" t="str">
        <f>IFERROR(VLOOKUP(C380,Start!C$15:D$31,2,FALSE),"No")</f>
        <v>Yes</v>
      </c>
      <c r="F380" s="105">
        <f t="shared" si="115"/>
        <v>0</v>
      </c>
      <c r="G380" s="106"/>
      <c r="H380" s="106"/>
      <c r="I380" s="106"/>
      <c r="J380" s="105">
        <f t="shared" si="107"/>
        <v>0</v>
      </c>
      <c r="K380" s="106"/>
      <c r="L380" s="177" t="str">
        <f t="shared" si="108"/>
        <v/>
      </c>
      <c r="M380" s="105">
        <f t="shared" si="109"/>
        <v>0</v>
      </c>
      <c r="N380" s="106"/>
      <c r="O380" s="123"/>
      <c r="P380" s="106"/>
      <c r="Q380" s="123"/>
      <c r="R380" s="105">
        <f>SUMIFS('Shipments data'!L:L,'Shipments data'!F:F,'Supply planning data'!C380,'Shipments data'!A:A,'Supply planning data'!A380,'Shipments data'!Y:Y,'Supply planning data'!D380,'Shipments data'!O:O,"received", 'Shipments data'!N:N, "Public")</f>
        <v>0</v>
      </c>
      <c r="S380" s="105">
        <f>SUMIFS('Shipments data'!L:L,'Shipments data'!F:F,'Supply planning data'!C380,'Shipments data'!A:A,'Supply planning data'!A380,'Shipments data'!Y:Y,'Supply planning data'!D380,'Shipments data'!O:O,"ordered", 'Shipments data'!N:N, "Public")</f>
        <v>0</v>
      </c>
      <c r="T380" s="105">
        <f>IF(SUMIFS('Shipments data'!L:L,'Shipments data'!F:F,'Supply planning data'!C380,'Shipments data'!A:A,'Supply planning data'!A380,'Shipments data'!O:O,"received",'Shipments data'!Q:Q,"&lt;"&amp;'Supply planning data'!D395,'Shipments data'!AC:AC,"&lt;"&amp;'Supply planning data'!D395)-SUMIFS(M:M,D:D,"&lt;="&amp;D380,C:C,C380)+SUMIFS(N:N,D:D,"&lt;="&amp;D380,C:C,C380)+SUMIFS(P:P,D:D,"&lt;="&amp;D380,C:C,C380)&lt;0,0,SUMIFS('Shipments data'!L:L,'Shipments data'!F:F,'Supply planning data'!C380,'Shipments data'!A:A,'Supply planning data'!A380,'Shipments data'!O:O,"received",'Shipments data'!Q:Q,"&lt;"&amp;'Supply planning data'!D395,'Shipments data'!AC:AC,"&lt;"&amp;'Supply planning data'!D395)-SUMIFS(M:M,D:D,"&lt;="&amp;D380,C:C,C380)+SUMIFS(N:N,D:D,"&lt;="&amp;D380,C:C,C380)+SUMIFS(P:P,D:D,"&lt;="&amp;D380,C:C,C380))</f>
        <v>0</v>
      </c>
      <c r="U380" s="108">
        <f t="shared" si="116"/>
        <v>0</v>
      </c>
      <c r="V380" s="105">
        <f t="shared" si="124"/>
        <v>0</v>
      </c>
      <c r="W380" s="206" t="str">
        <f t="shared" si="122"/>
        <v/>
      </c>
      <c r="X380" s="105">
        <f t="shared" si="117"/>
        <v>154701</v>
      </c>
      <c r="Y380" s="106"/>
      <c r="Z380" s="107"/>
      <c r="AA380" s="105">
        <f t="shared" si="110"/>
        <v>0</v>
      </c>
      <c r="AB380" s="234"/>
      <c r="AC380" s="105">
        <f>IF(SUMIFS('Shipments data'!L:L,'Shipments data'!F:F,'Supply planning data'!C380,'Shipments data'!A:A,'Supply planning data'!A380,'Shipments data'!O:O,"received",'Shipments data'!Q:Q,"&lt;"&amp;'Supply planning data'!D395,'Shipments data'!AC:AC,"&lt;"&amp;'Supply planning data'!D395)-SUMIFS(M:M,D:D,"&lt;="&amp;D380,C:C,C380)-SUMIFS(AA:AA,D:D,"&lt;="&amp;D380,C:C,C380)+SUMIFS(N:N,D:D,"&lt;="&amp;D380,C:C,C380)+SUMIFS(P:P,D:D,"&lt;="&amp;D380,C:C,C380)&lt;0,0,SUMIFS('Shipments data'!L:L,'Shipments data'!F:F,'Supply planning data'!C380,'Shipments data'!A:A,'Supply planning data'!A380,'Shipments data'!O:O,"received",'Shipments data'!Q:Q,"&lt;"&amp;'Supply planning data'!D395,'Shipments data'!AC:AC,"&lt;"&amp;'Supply planning data'!D395)-SUMIFS(M:M,D:D,"&lt;="&amp;D380,C:C,C380)-SUMIFS(AA:AA,D:D,"&lt;="&amp;D380,C:C,C380)+SUMIFS(N:N,D:D,"&lt;="&amp;D380,C:C,C380)+SUMIFS(P:P,D:D,"&lt;="&amp;D380,C:C,C380))</f>
        <v>0</v>
      </c>
      <c r="AD380" s="105">
        <f t="shared" si="118"/>
        <v>0</v>
      </c>
      <c r="AE380" s="105">
        <f t="shared" si="112"/>
        <v>154701</v>
      </c>
      <c r="AF380" s="206" t="str">
        <f t="shared" si="121"/>
        <v/>
      </c>
      <c r="AG380" s="105">
        <f t="shared" si="119"/>
        <v>0</v>
      </c>
      <c r="AH380" s="106"/>
      <c r="AI380" s="312"/>
      <c r="AJ380" s="105">
        <f t="shared" si="111"/>
        <v>0</v>
      </c>
      <c r="AK380" s="234"/>
      <c r="AL380" s="105">
        <f>IF(SUMIFS('Shipments data'!L:L,'Shipments data'!F:F,'Supply planning data'!C380,'Shipments data'!A:A,'Supply planning data'!A380,'Shipments data'!O:O,"received",'Shipments data'!Q:Q,"&lt;"&amp;'Supply planning data'!D395,'Shipments data'!AC:AC,"&lt;"&amp;'Supply planning data'!D395)-SUMIFS(M:M,D:D,"&lt;="&amp;D380,C:C,C380)-SUMIFS(AJ:AJ,D:D,"&lt;="&amp;D380,C:C,C380)+SUMIFS(N:N,D:D,"&lt;="&amp;D380,C:C,C380)+SUMIFS(P:P,D:D,"&lt;="&amp;D380,C:C,C380)&lt;0,0,SUMIFS('Shipments data'!L:L,'Shipments data'!F:F,'Supply planning data'!C380,'Shipments data'!A:A,'Supply planning data'!A380,'Shipments data'!O:O,"received",'Shipments data'!Q:Q,"&lt;"&amp;'Supply planning data'!D395,'Shipments data'!AC:AC,"&lt;"&amp;'Supply planning data'!D395)-SUMIFS(M:M,D:D,"&lt;="&amp;D380,C:C,C380)-SUMIFS(AJ:AJ,D:D,"&lt;="&amp;D380,C:C,C380)+SUMIFS(N:N,D:D,"&lt;="&amp;D380,C:C,C380)+SUMIFS(P:P,D:D,"&lt;="&amp;D380,C:C,C380))</f>
        <v>0</v>
      </c>
      <c r="AM380" s="105">
        <f t="shared" si="120"/>
        <v>0</v>
      </c>
      <c r="AN380" s="105">
        <f t="shared" si="113"/>
        <v>0</v>
      </c>
      <c r="AO380" s="206" t="str">
        <f t="shared" si="123"/>
        <v/>
      </c>
    </row>
    <row r="381" spans="1:41" x14ac:dyDescent="0.25">
      <c r="A381" s="103" t="str">
        <f>Start!D$7</f>
        <v>Anyland</v>
      </c>
      <c r="B381" s="109" t="str">
        <f>VLOOKUP(A381,list!B:C,2,FALSE)</f>
        <v>ANY</v>
      </c>
      <c r="C381" s="109" t="str">
        <f>IF(Start!$C$18="","",Start!$C$18)</f>
        <v>Jansen</v>
      </c>
      <c r="D381" s="298">
        <f t="shared" si="114"/>
        <v>44958</v>
      </c>
      <c r="E381" s="105" t="str">
        <f>IFERROR(VLOOKUP(C381,Start!C$15:D$31,2,FALSE),"No")</f>
        <v>Yes</v>
      </c>
      <c r="F381" s="105">
        <f t="shared" si="115"/>
        <v>2258747</v>
      </c>
      <c r="G381" s="106"/>
      <c r="H381" s="106"/>
      <c r="I381" s="106"/>
      <c r="J381" s="105">
        <f t="shared" si="107"/>
        <v>0</v>
      </c>
      <c r="K381" s="106"/>
      <c r="L381" s="177" t="str">
        <f t="shared" si="108"/>
        <v/>
      </c>
      <c r="M381" s="105">
        <f t="shared" si="109"/>
        <v>0</v>
      </c>
      <c r="N381" s="110"/>
      <c r="O381" s="124"/>
      <c r="P381" s="110"/>
      <c r="Q381" s="124"/>
      <c r="R381" s="111">
        <f>SUMIFS('Shipments data'!L:L,'Shipments data'!F:F,'Supply planning data'!C381,'Shipments data'!A:A,'Supply planning data'!A381,'Shipments data'!Y:Y,'Supply planning data'!D381,'Shipments data'!O:O,"received", 'Shipments data'!N:N, "Public")</f>
        <v>0</v>
      </c>
      <c r="S381" s="111">
        <f>SUMIFS('Shipments data'!L:L,'Shipments data'!F:F,'Supply planning data'!C381,'Shipments data'!A:A,'Supply planning data'!A381,'Shipments data'!Y:Y,'Supply planning data'!D381,'Shipments data'!O:O,"ordered", 'Shipments data'!N:N, "Public")</f>
        <v>0</v>
      </c>
      <c r="T381" s="111">
        <f>IF(SUMIFS('Shipments data'!L:L,'Shipments data'!F:F,'Supply planning data'!C381,'Shipments data'!A:A,'Supply planning data'!A381,'Shipments data'!O:O,"received",'Shipments data'!Q:Q,"&lt;"&amp;'Supply planning data'!D396,'Shipments data'!AC:AC,"&lt;"&amp;'Supply planning data'!D396)-SUMIFS(M:M,D:D,"&lt;="&amp;D381,C:C,C381)+SUMIFS(N:N,D:D,"&lt;="&amp;D381,C:C,C381)+SUMIFS(P:P,D:D,"&lt;="&amp;D381,C:C,C381)&lt;0,0,SUMIFS('Shipments data'!L:L,'Shipments data'!F:F,'Supply planning data'!C381,'Shipments data'!A:A,'Supply planning data'!A381,'Shipments data'!O:O,"received",'Shipments data'!Q:Q,"&lt;"&amp;'Supply planning data'!D396,'Shipments data'!AC:AC,"&lt;"&amp;'Supply planning data'!D396)-SUMIFS(M:M,D:D,"&lt;="&amp;D381,C:C,C381)+SUMIFS(N:N,D:D,"&lt;="&amp;D381,C:C,C381)+SUMIFS(P:P,D:D,"&lt;="&amp;D381,C:C,C381))</f>
        <v>0</v>
      </c>
      <c r="U381" s="112">
        <f t="shared" si="116"/>
        <v>0</v>
      </c>
      <c r="V381" s="111">
        <f t="shared" si="124"/>
        <v>2258747</v>
      </c>
      <c r="W381" s="204" t="str">
        <f t="shared" si="122"/>
        <v/>
      </c>
      <c r="X381" s="111">
        <f t="shared" si="117"/>
        <v>1698747</v>
      </c>
      <c r="Y381" s="110"/>
      <c r="Z381" s="107"/>
      <c r="AA381" s="111">
        <f t="shared" si="110"/>
        <v>0</v>
      </c>
      <c r="AB381" s="235"/>
      <c r="AC381" s="111">
        <f>IF(SUMIFS('Shipments data'!L:L,'Shipments data'!F:F,'Supply planning data'!C381,'Shipments data'!A:A,'Supply planning data'!A381,'Shipments data'!O:O,"received",'Shipments data'!Q:Q,"&lt;"&amp;'Supply planning data'!D396,'Shipments data'!AC:AC,"&lt;"&amp;'Supply planning data'!D396)-SUMIFS(M:M,D:D,"&lt;="&amp;D381,C:C,C381)-SUMIFS(AA:AA,D:D,"&lt;="&amp;D381,C:C,C381)+SUMIFS(N:N,D:D,"&lt;="&amp;D381,C:C,C381)+SUMIFS(P:P,D:D,"&lt;="&amp;D381,C:C,C381)&lt;0,0,SUMIFS('Shipments data'!L:L,'Shipments data'!F:F,'Supply planning data'!C381,'Shipments data'!A:A,'Supply planning data'!A381,'Shipments data'!O:O,"received",'Shipments data'!Q:Q,"&lt;"&amp;'Supply planning data'!D396,'Shipments data'!AC:AC,"&lt;"&amp;'Supply planning data'!D396)-SUMIFS(M:M,D:D,"&lt;="&amp;D381,C:C,C381)-SUMIFS(AA:AA,D:D,"&lt;="&amp;D381,C:C,C381)+SUMIFS(N:N,D:D,"&lt;="&amp;D381,C:C,C381)+SUMIFS(P:P,D:D,"&lt;="&amp;D381,C:C,C381))</f>
        <v>0</v>
      </c>
      <c r="AD381" s="111">
        <f t="shared" si="118"/>
        <v>0</v>
      </c>
      <c r="AE381" s="111">
        <f t="shared" si="112"/>
        <v>1698747</v>
      </c>
      <c r="AF381" s="204" t="str">
        <f t="shared" si="121"/>
        <v/>
      </c>
      <c r="AG381" s="111">
        <f t="shared" si="119"/>
        <v>2258747</v>
      </c>
      <c r="AH381" s="110"/>
      <c r="AI381" s="313"/>
      <c r="AJ381" s="111">
        <f t="shared" si="111"/>
        <v>0</v>
      </c>
      <c r="AK381" s="235"/>
      <c r="AL381" s="111">
        <f>IF(SUMIFS('Shipments data'!L:L,'Shipments data'!F:F,'Supply planning data'!C381,'Shipments data'!A:A,'Supply planning data'!A381,'Shipments data'!O:O,"received",'Shipments data'!Q:Q,"&lt;"&amp;'Supply planning data'!D396,'Shipments data'!AC:AC,"&lt;"&amp;'Supply planning data'!D396)-SUMIFS(M:M,D:D,"&lt;="&amp;D381,C:C,C381)-SUMIFS(AJ:AJ,D:D,"&lt;="&amp;D381,C:C,C381)+SUMIFS(N:N,D:D,"&lt;="&amp;D381,C:C,C381)+SUMIFS(P:P,D:D,"&lt;="&amp;D381,C:C,C381)&lt;0,0,SUMIFS('Shipments data'!L:L,'Shipments data'!F:F,'Supply planning data'!C381,'Shipments data'!A:A,'Supply planning data'!A381,'Shipments data'!O:O,"received",'Shipments data'!Q:Q,"&lt;"&amp;'Supply planning data'!D396,'Shipments data'!AC:AC,"&lt;"&amp;'Supply planning data'!D396)-SUMIFS(M:M,D:D,"&lt;="&amp;D381,C:C,C381)-SUMIFS(AJ:AJ,D:D,"&lt;="&amp;D381,C:C,C381)+SUMIFS(N:N,D:D,"&lt;="&amp;D381,C:C,C381)+SUMIFS(P:P,D:D,"&lt;="&amp;D381,C:C,C381))</f>
        <v>0</v>
      </c>
      <c r="AM381" s="111">
        <f t="shared" si="120"/>
        <v>0</v>
      </c>
      <c r="AN381" s="111">
        <f t="shared" si="113"/>
        <v>2258747</v>
      </c>
      <c r="AO381" s="204" t="str">
        <f t="shared" si="123"/>
        <v/>
      </c>
    </row>
    <row r="382" spans="1:41" x14ac:dyDescent="0.25">
      <c r="A382" s="103" t="str">
        <f>Start!D$7</f>
        <v>Anyland</v>
      </c>
      <c r="B382" s="109" t="str">
        <f>VLOOKUP(A382,list!B:C,2,FALSE)</f>
        <v>ANY</v>
      </c>
      <c r="C382" s="104" t="str">
        <f>IF(Start!$C$19="","",Start!$C$19)</f>
        <v>Moderna</v>
      </c>
      <c r="D382" s="298">
        <f t="shared" si="114"/>
        <v>44958</v>
      </c>
      <c r="E382" s="105" t="str">
        <f>IFERROR(VLOOKUP(C382,Start!C$15:D$31,2,FALSE),"No")</f>
        <v>No</v>
      </c>
      <c r="F382" s="105">
        <f t="shared" si="115"/>
        <v>0</v>
      </c>
      <c r="G382" s="106"/>
      <c r="H382" s="106"/>
      <c r="I382" s="106"/>
      <c r="J382" s="105">
        <f t="shared" si="107"/>
        <v>0</v>
      </c>
      <c r="K382" s="106"/>
      <c r="L382" s="177" t="str">
        <f t="shared" si="108"/>
        <v/>
      </c>
      <c r="M382" s="105">
        <f t="shared" si="109"/>
        <v>0</v>
      </c>
      <c r="N382" s="110"/>
      <c r="O382" s="124"/>
      <c r="P382" s="110"/>
      <c r="Q382" s="124"/>
      <c r="R382" s="111">
        <f>SUMIFS('Shipments data'!L:L,'Shipments data'!F:F,'Supply planning data'!C382,'Shipments data'!A:A,'Supply planning data'!A382,'Shipments data'!Y:Y,'Supply planning data'!D382,'Shipments data'!O:O,"received", 'Shipments data'!N:N, "Public")</f>
        <v>0</v>
      </c>
      <c r="S382" s="111">
        <f>SUMIFS('Shipments data'!L:L,'Shipments data'!F:F,'Supply planning data'!C382,'Shipments data'!A:A,'Supply planning data'!A382,'Shipments data'!Y:Y,'Supply planning data'!D382,'Shipments data'!O:O,"ordered", 'Shipments data'!N:N, "Public")</f>
        <v>0</v>
      </c>
      <c r="T382" s="111">
        <f>IF(SUMIFS('Shipments data'!L:L,'Shipments data'!F:F,'Supply planning data'!C382,'Shipments data'!A:A,'Supply planning data'!A382,'Shipments data'!O:O,"received",'Shipments data'!Q:Q,"&lt;"&amp;'Supply planning data'!D397,'Shipments data'!AC:AC,"&lt;"&amp;'Supply planning data'!D397)-SUMIFS(M:M,D:D,"&lt;="&amp;D382,C:C,C382)+SUMIFS(N:N,D:D,"&lt;="&amp;D382,C:C,C382)+SUMIFS(P:P,D:D,"&lt;="&amp;D382,C:C,C382)&lt;0,0,SUMIFS('Shipments data'!L:L,'Shipments data'!F:F,'Supply planning data'!C382,'Shipments data'!A:A,'Supply planning data'!A382,'Shipments data'!O:O,"received",'Shipments data'!Q:Q,"&lt;"&amp;'Supply planning data'!D397,'Shipments data'!AC:AC,"&lt;"&amp;'Supply planning data'!D397)-SUMIFS(M:M,D:D,"&lt;="&amp;D382,C:C,C382)+SUMIFS(N:N,D:D,"&lt;="&amp;D382,C:C,C382)+SUMIFS(P:P,D:D,"&lt;="&amp;D382,C:C,C382))</f>
        <v>0</v>
      </c>
      <c r="U382" s="112">
        <f t="shared" si="116"/>
        <v>0</v>
      </c>
      <c r="V382" s="111">
        <f t="shared" si="124"/>
        <v>0</v>
      </c>
      <c r="W382" s="204" t="str">
        <f t="shared" si="122"/>
        <v/>
      </c>
      <c r="X382" s="111">
        <f t="shared" si="117"/>
        <v>0</v>
      </c>
      <c r="Y382" s="110"/>
      <c r="Z382" s="107"/>
      <c r="AA382" s="111">
        <f t="shared" si="110"/>
        <v>0</v>
      </c>
      <c r="AB382" s="235"/>
      <c r="AC382" s="111">
        <f>IF(SUMIFS('Shipments data'!L:L,'Shipments data'!F:F,'Supply planning data'!C382,'Shipments data'!A:A,'Supply planning data'!A382,'Shipments data'!O:O,"received",'Shipments data'!Q:Q,"&lt;"&amp;'Supply planning data'!D397,'Shipments data'!AC:AC,"&lt;"&amp;'Supply planning data'!D397)-SUMIFS(M:M,D:D,"&lt;="&amp;D382,C:C,C382)-SUMIFS(AA:AA,D:D,"&lt;="&amp;D382,C:C,C382)+SUMIFS(N:N,D:D,"&lt;="&amp;D382,C:C,C382)+SUMIFS(P:P,D:D,"&lt;="&amp;D382,C:C,C382)&lt;0,0,SUMIFS('Shipments data'!L:L,'Shipments data'!F:F,'Supply planning data'!C382,'Shipments data'!A:A,'Supply planning data'!A382,'Shipments data'!O:O,"received",'Shipments data'!Q:Q,"&lt;"&amp;'Supply planning data'!D397,'Shipments data'!AC:AC,"&lt;"&amp;'Supply planning data'!D397)-SUMIFS(M:M,D:D,"&lt;="&amp;D382,C:C,C382)-SUMIFS(AA:AA,D:D,"&lt;="&amp;D382,C:C,C382)+SUMIFS(N:N,D:D,"&lt;="&amp;D382,C:C,C382)+SUMIFS(P:P,D:D,"&lt;="&amp;D382,C:C,C382))</f>
        <v>0</v>
      </c>
      <c r="AD382" s="111">
        <f t="shared" si="118"/>
        <v>0</v>
      </c>
      <c r="AE382" s="111">
        <f t="shared" si="112"/>
        <v>0</v>
      </c>
      <c r="AF382" s="204" t="str">
        <f t="shared" si="121"/>
        <v/>
      </c>
      <c r="AG382" s="111">
        <f t="shared" si="119"/>
        <v>0</v>
      </c>
      <c r="AH382" s="110"/>
      <c r="AI382" s="313"/>
      <c r="AJ382" s="111">
        <f t="shared" si="111"/>
        <v>0</v>
      </c>
      <c r="AK382" s="235"/>
      <c r="AL382" s="111">
        <f>IF(SUMIFS('Shipments data'!L:L,'Shipments data'!F:F,'Supply planning data'!C382,'Shipments data'!A:A,'Supply planning data'!A382,'Shipments data'!O:O,"received",'Shipments data'!Q:Q,"&lt;"&amp;'Supply planning data'!D397,'Shipments data'!AC:AC,"&lt;"&amp;'Supply planning data'!D397)-SUMIFS(M:M,D:D,"&lt;="&amp;D382,C:C,C382)-SUMIFS(AJ:AJ,D:D,"&lt;="&amp;D382,C:C,C382)+SUMIFS(N:N,D:D,"&lt;="&amp;D382,C:C,C382)+SUMIFS(P:P,D:D,"&lt;="&amp;D382,C:C,C382)&lt;0,0,SUMIFS('Shipments data'!L:L,'Shipments data'!F:F,'Supply planning data'!C382,'Shipments data'!A:A,'Supply planning data'!A382,'Shipments data'!O:O,"received",'Shipments data'!Q:Q,"&lt;"&amp;'Supply planning data'!D397,'Shipments data'!AC:AC,"&lt;"&amp;'Supply planning data'!D397)-SUMIFS(M:M,D:D,"&lt;="&amp;D382,C:C,C382)-SUMIFS(AJ:AJ,D:D,"&lt;="&amp;D382,C:C,C382)+SUMIFS(N:N,D:D,"&lt;="&amp;D382,C:C,C382)+SUMIFS(P:P,D:D,"&lt;="&amp;D382,C:C,C382))</f>
        <v>0</v>
      </c>
      <c r="AM382" s="111">
        <f t="shared" si="120"/>
        <v>0</v>
      </c>
      <c r="AN382" s="111">
        <f t="shared" si="113"/>
        <v>0</v>
      </c>
      <c r="AO382" s="204" t="str">
        <f t="shared" si="123"/>
        <v/>
      </c>
    </row>
    <row r="383" spans="1:41" x14ac:dyDescent="0.25">
      <c r="A383" s="103" t="str">
        <f>Start!D$7</f>
        <v>Anyland</v>
      </c>
      <c r="B383" s="109" t="str">
        <f>VLOOKUP(A383,list!B:C,2,FALSE)</f>
        <v>ANY</v>
      </c>
      <c r="C383" s="109" t="str">
        <f>IF(Start!$C$20="","",Start!$C$20)</f>
        <v>Pfizer</v>
      </c>
      <c r="D383" s="298">
        <f t="shared" si="114"/>
        <v>44958</v>
      </c>
      <c r="E383" s="105" t="str">
        <f>IFERROR(VLOOKUP(C383,Start!C$15:D$31,2,FALSE),"No")</f>
        <v>Yes</v>
      </c>
      <c r="F383" s="105">
        <f t="shared" si="115"/>
        <v>3000000</v>
      </c>
      <c r="G383" s="106"/>
      <c r="H383" s="106"/>
      <c r="I383" s="106"/>
      <c r="J383" s="105">
        <f t="shared" si="107"/>
        <v>0</v>
      </c>
      <c r="K383" s="106"/>
      <c r="L383" s="177" t="str">
        <f t="shared" si="108"/>
        <v/>
      </c>
      <c r="M383" s="105">
        <f t="shared" si="109"/>
        <v>0</v>
      </c>
      <c r="N383" s="110"/>
      <c r="O383" s="124"/>
      <c r="P383" s="110"/>
      <c r="Q383" s="124"/>
      <c r="R383" s="111">
        <f>SUMIFS('Shipments data'!L:L,'Shipments data'!F:F,'Supply planning data'!C383,'Shipments data'!A:A,'Supply planning data'!A383,'Shipments data'!Y:Y,'Supply planning data'!D383,'Shipments data'!O:O,"received", 'Shipments data'!N:N, "Public")</f>
        <v>0</v>
      </c>
      <c r="S383" s="111">
        <f>SUMIFS('Shipments data'!L:L,'Shipments data'!F:F,'Supply planning data'!C383,'Shipments data'!A:A,'Supply planning data'!A383,'Shipments data'!Y:Y,'Supply planning data'!D383,'Shipments data'!O:O,"ordered", 'Shipments data'!N:N, "Public")</f>
        <v>0</v>
      </c>
      <c r="T383" s="111">
        <f>IF(SUMIFS('Shipments data'!L:L,'Shipments data'!F:F,'Supply planning data'!C383,'Shipments data'!A:A,'Supply planning data'!A383,'Shipments data'!O:O,"received",'Shipments data'!Q:Q,"&lt;"&amp;'Supply planning data'!D398,'Shipments data'!AC:AC,"&lt;"&amp;'Supply planning data'!D398)-SUMIFS(M:M,D:D,"&lt;="&amp;D383,C:C,C383)+SUMIFS(N:N,D:D,"&lt;="&amp;D383,C:C,C383)+SUMIFS(P:P,D:D,"&lt;="&amp;D383,C:C,C383)&lt;0,0,SUMIFS('Shipments data'!L:L,'Shipments data'!F:F,'Supply planning data'!C383,'Shipments data'!A:A,'Supply planning data'!A383,'Shipments data'!O:O,"received",'Shipments data'!Q:Q,"&lt;"&amp;'Supply planning data'!D398,'Shipments data'!AC:AC,"&lt;"&amp;'Supply planning data'!D398)-SUMIFS(M:M,D:D,"&lt;="&amp;D383,C:C,C383)+SUMIFS(N:N,D:D,"&lt;="&amp;D383,C:C,C383)+SUMIFS(P:P,D:D,"&lt;="&amp;D383,C:C,C383))</f>
        <v>110538</v>
      </c>
      <c r="U383" s="112">
        <f t="shared" si="116"/>
        <v>0</v>
      </c>
      <c r="V383" s="111">
        <f t="shared" si="124"/>
        <v>3000000</v>
      </c>
      <c r="W383" s="204" t="str">
        <f t="shared" si="122"/>
        <v/>
      </c>
      <c r="X383" s="111">
        <f t="shared" si="117"/>
        <v>2440000</v>
      </c>
      <c r="Y383" s="110"/>
      <c r="Z383" s="107"/>
      <c r="AA383" s="111">
        <f t="shared" si="110"/>
        <v>0</v>
      </c>
      <c r="AB383" s="235"/>
      <c r="AC383" s="111">
        <f>IF(SUMIFS('Shipments data'!L:L,'Shipments data'!F:F,'Supply planning data'!C383,'Shipments data'!A:A,'Supply planning data'!A383,'Shipments data'!O:O,"received",'Shipments data'!Q:Q,"&lt;"&amp;'Supply planning data'!D398,'Shipments data'!AC:AC,"&lt;"&amp;'Supply planning data'!D398)-SUMIFS(M:M,D:D,"&lt;="&amp;D383,C:C,C383)-SUMIFS(AA:AA,D:D,"&lt;="&amp;D383,C:C,C383)+SUMIFS(N:N,D:D,"&lt;="&amp;D383,C:C,C383)+SUMIFS(P:P,D:D,"&lt;="&amp;D383,C:C,C383)&lt;0,0,SUMIFS('Shipments data'!L:L,'Shipments data'!F:F,'Supply planning data'!C383,'Shipments data'!A:A,'Supply planning data'!A383,'Shipments data'!O:O,"received",'Shipments data'!Q:Q,"&lt;"&amp;'Supply planning data'!D398,'Shipments data'!AC:AC,"&lt;"&amp;'Supply planning data'!D398)-SUMIFS(M:M,D:D,"&lt;="&amp;D383,C:C,C383)-SUMIFS(AA:AA,D:D,"&lt;="&amp;D383,C:C,C383)+SUMIFS(N:N,D:D,"&lt;="&amp;D383,C:C,C383)+SUMIFS(P:P,D:D,"&lt;="&amp;D383,C:C,C383))</f>
        <v>0</v>
      </c>
      <c r="AD383" s="111">
        <f t="shared" si="118"/>
        <v>0</v>
      </c>
      <c r="AE383" s="111">
        <f t="shared" si="112"/>
        <v>2440000</v>
      </c>
      <c r="AF383" s="204" t="str">
        <f t="shared" si="121"/>
        <v/>
      </c>
      <c r="AG383" s="111">
        <f t="shared" si="119"/>
        <v>3000000</v>
      </c>
      <c r="AH383" s="110"/>
      <c r="AI383" s="313"/>
      <c r="AJ383" s="111">
        <f t="shared" si="111"/>
        <v>0</v>
      </c>
      <c r="AK383" s="235"/>
      <c r="AL383" s="111">
        <f>IF(SUMIFS('Shipments data'!L:L,'Shipments data'!F:F,'Supply planning data'!C383,'Shipments data'!A:A,'Supply planning data'!A383,'Shipments data'!O:O,"received",'Shipments data'!Q:Q,"&lt;"&amp;'Supply planning data'!D398,'Shipments data'!AC:AC,"&lt;"&amp;'Supply planning data'!D398)-SUMIFS(M:M,D:D,"&lt;="&amp;D383,C:C,C383)-SUMIFS(AJ:AJ,D:D,"&lt;="&amp;D383,C:C,C383)+SUMIFS(N:N,D:D,"&lt;="&amp;D383,C:C,C383)+SUMIFS(P:P,D:D,"&lt;="&amp;D383,C:C,C383)&lt;0,0,SUMIFS('Shipments data'!L:L,'Shipments data'!F:F,'Supply planning data'!C383,'Shipments data'!A:A,'Supply planning data'!A383,'Shipments data'!O:O,"received",'Shipments data'!Q:Q,"&lt;"&amp;'Supply planning data'!D398,'Shipments data'!AC:AC,"&lt;"&amp;'Supply planning data'!D398)-SUMIFS(M:M,D:D,"&lt;="&amp;D383,C:C,C383)-SUMIFS(AJ:AJ,D:D,"&lt;="&amp;D383,C:C,C383)+SUMIFS(N:N,D:D,"&lt;="&amp;D383,C:C,C383)+SUMIFS(P:P,D:D,"&lt;="&amp;D383,C:C,C383))</f>
        <v>110538</v>
      </c>
      <c r="AM383" s="111">
        <f t="shared" si="120"/>
        <v>0</v>
      </c>
      <c r="AN383" s="111">
        <f t="shared" si="113"/>
        <v>3000000</v>
      </c>
      <c r="AO383" s="204" t="str">
        <f t="shared" si="123"/>
        <v/>
      </c>
    </row>
    <row r="384" spans="1:41" x14ac:dyDescent="0.25">
      <c r="A384" s="103" t="str">
        <f>Start!D$7</f>
        <v>Anyland</v>
      </c>
      <c r="B384" s="109" t="str">
        <f>VLOOKUP(A384,list!B:C,2,FALSE)</f>
        <v>ANY</v>
      </c>
      <c r="C384" s="104" t="str">
        <f>IF(Start!$C$21="","",Start!$C$21)</f>
        <v>Sinovac</v>
      </c>
      <c r="D384" s="298">
        <f t="shared" si="114"/>
        <v>44958</v>
      </c>
      <c r="E384" s="105" t="str">
        <f>IFERROR(VLOOKUP(C384,Start!C$15:D$31,2,FALSE),"No")</f>
        <v>No</v>
      </c>
      <c r="F384" s="105">
        <f t="shared" si="115"/>
        <v>0</v>
      </c>
      <c r="G384" s="106"/>
      <c r="H384" s="106"/>
      <c r="I384" s="106"/>
      <c r="J384" s="105">
        <f t="shared" si="107"/>
        <v>0</v>
      </c>
      <c r="K384" s="106"/>
      <c r="L384" s="177" t="str">
        <f t="shared" si="108"/>
        <v/>
      </c>
      <c r="M384" s="105">
        <f t="shared" si="109"/>
        <v>0</v>
      </c>
      <c r="N384" s="110"/>
      <c r="O384" s="124"/>
      <c r="P384" s="110"/>
      <c r="Q384" s="124"/>
      <c r="R384" s="111">
        <f>SUMIFS('Shipments data'!L:L,'Shipments data'!F:F,'Supply planning data'!C384,'Shipments data'!A:A,'Supply planning data'!A384,'Shipments data'!Y:Y,'Supply planning data'!D384,'Shipments data'!O:O,"received", 'Shipments data'!N:N, "Public")</f>
        <v>0</v>
      </c>
      <c r="S384" s="111">
        <f>SUMIFS('Shipments data'!L:L,'Shipments data'!F:F,'Supply planning data'!C384,'Shipments data'!A:A,'Supply planning data'!A384,'Shipments data'!Y:Y,'Supply planning data'!D384,'Shipments data'!O:O,"ordered", 'Shipments data'!N:N, "Public")</f>
        <v>0</v>
      </c>
      <c r="T384" s="111">
        <f>IF(SUMIFS('Shipments data'!L:L,'Shipments data'!F:F,'Supply planning data'!C384,'Shipments data'!A:A,'Supply planning data'!A384,'Shipments data'!O:O,"received",'Shipments data'!Q:Q,"&lt;"&amp;'Supply planning data'!D399,'Shipments data'!AC:AC,"&lt;"&amp;'Supply planning data'!D399)-SUMIFS(M:M,D:D,"&lt;="&amp;D384,C:C,C384)+SUMIFS(N:N,D:D,"&lt;="&amp;D384,C:C,C384)+SUMIFS(P:P,D:D,"&lt;="&amp;D384,C:C,C384)&lt;0,0,SUMIFS('Shipments data'!L:L,'Shipments data'!F:F,'Supply planning data'!C384,'Shipments data'!A:A,'Supply planning data'!A384,'Shipments data'!O:O,"received",'Shipments data'!Q:Q,"&lt;"&amp;'Supply planning data'!D399,'Shipments data'!AC:AC,"&lt;"&amp;'Supply planning data'!D399)-SUMIFS(M:M,D:D,"&lt;="&amp;D384,C:C,C384)+SUMIFS(N:N,D:D,"&lt;="&amp;D384,C:C,C384)+SUMIFS(P:P,D:D,"&lt;="&amp;D384,C:C,C384))</f>
        <v>0</v>
      </c>
      <c r="U384" s="112">
        <f t="shared" si="116"/>
        <v>0</v>
      </c>
      <c r="V384" s="111">
        <f t="shared" si="124"/>
        <v>0</v>
      </c>
      <c r="W384" s="204" t="str">
        <f t="shared" si="122"/>
        <v/>
      </c>
      <c r="X384" s="111">
        <f t="shared" si="117"/>
        <v>0</v>
      </c>
      <c r="Y384" s="110"/>
      <c r="Z384" s="107"/>
      <c r="AA384" s="111">
        <f t="shared" si="110"/>
        <v>0</v>
      </c>
      <c r="AB384" s="235"/>
      <c r="AC384" s="111">
        <f>IF(SUMIFS('Shipments data'!L:L,'Shipments data'!F:F,'Supply planning data'!C384,'Shipments data'!A:A,'Supply planning data'!A384,'Shipments data'!O:O,"received",'Shipments data'!Q:Q,"&lt;"&amp;'Supply planning data'!D399,'Shipments data'!AC:AC,"&lt;"&amp;'Supply planning data'!D399)-SUMIFS(M:M,D:D,"&lt;="&amp;D384,C:C,C384)-SUMIFS(AA:AA,D:D,"&lt;="&amp;D384,C:C,C384)+SUMIFS(N:N,D:D,"&lt;="&amp;D384,C:C,C384)+SUMIFS(P:P,D:D,"&lt;="&amp;D384,C:C,C384)&lt;0,0,SUMIFS('Shipments data'!L:L,'Shipments data'!F:F,'Supply planning data'!C384,'Shipments data'!A:A,'Supply planning data'!A384,'Shipments data'!O:O,"received",'Shipments data'!Q:Q,"&lt;"&amp;'Supply planning data'!D399,'Shipments data'!AC:AC,"&lt;"&amp;'Supply planning data'!D399)-SUMIFS(M:M,D:D,"&lt;="&amp;D384,C:C,C384)-SUMIFS(AA:AA,D:D,"&lt;="&amp;D384,C:C,C384)+SUMIFS(N:N,D:D,"&lt;="&amp;D384,C:C,C384)+SUMIFS(P:P,D:D,"&lt;="&amp;D384,C:C,C384))</f>
        <v>0</v>
      </c>
      <c r="AD384" s="111">
        <f t="shared" si="118"/>
        <v>0</v>
      </c>
      <c r="AE384" s="111">
        <f t="shared" si="112"/>
        <v>0</v>
      </c>
      <c r="AF384" s="204" t="str">
        <f t="shared" si="121"/>
        <v/>
      </c>
      <c r="AG384" s="111">
        <f t="shared" si="119"/>
        <v>0</v>
      </c>
      <c r="AH384" s="110"/>
      <c r="AI384" s="313"/>
      <c r="AJ384" s="111">
        <f t="shared" si="111"/>
        <v>0</v>
      </c>
      <c r="AK384" s="235"/>
      <c r="AL384" s="111">
        <f>IF(SUMIFS('Shipments data'!L:L,'Shipments data'!F:F,'Supply planning data'!C384,'Shipments data'!A:A,'Supply planning data'!A384,'Shipments data'!O:O,"received",'Shipments data'!Q:Q,"&lt;"&amp;'Supply planning data'!D399,'Shipments data'!AC:AC,"&lt;"&amp;'Supply planning data'!D399)-SUMIFS(M:M,D:D,"&lt;="&amp;D384,C:C,C384)-SUMIFS(AJ:AJ,D:D,"&lt;="&amp;D384,C:C,C384)+SUMIFS(N:N,D:D,"&lt;="&amp;D384,C:C,C384)+SUMIFS(P:P,D:D,"&lt;="&amp;D384,C:C,C384)&lt;0,0,SUMIFS('Shipments data'!L:L,'Shipments data'!F:F,'Supply planning data'!C384,'Shipments data'!A:A,'Supply planning data'!A384,'Shipments data'!O:O,"received",'Shipments data'!Q:Q,"&lt;"&amp;'Supply planning data'!D399,'Shipments data'!AC:AC,"&lt;"&amp;'Supply planning data'!D399)-SUMIFS(M:M,D:D,"&lt;="&amp;D384,C:C,C384)-SUMIFS(AJ:AJ,D:D,"&lt;="&amp;D384,C:C,C384)+SUMIFS(N:N,D:D,"&lt;="&amp;D384,C:C,C384)+SUMIFS(P:P,D:D,"&lt;="&amp;D384,C:C,C384))</f>
        <v>0</v>
      </c>
      <c r="AM384" s="111">
        <f t="shared" si="120"/>
        <v>0</v>
      </c>
      <c r="AN384" s="111">
        <f t="shared" si="113"/>
        <v>0</v>
      </c>
      <c r="AO384" s="204" t="str">
        <f t="shared" si="123"/>
        <v/>
      </c>
    </row>
    <row r="385" spans="1:41" hidden="1" x14ac:dyDescent="0.25">
      <c r="A385" s="103" t="str">
        <f>Start!D$7</f>
        <v>Anyland</v>
      </c>
      <c r="B385" s="109" t="str">
        <f>VLOOKUP(A385,list!B:C,2,FALSE)</f>
        <v>ANY</v>
      </c>
      <c r="C385" s="109" t="str">
        <f>IF(Start!$C$22="","",Start!$C$22)</f>
        <v/>
      </c>
      <c r="D385" s="298">
        <f t="shared" si="114"/>
        <v>44958</v>
      </c>
      <c r="E385" s="105" t="str">
        <f>IFERROR(VLOOKUP(C385,Start!C$15:D$31,2,FALSE),"No")</f>
        <v>No</v>
      </c>
      <c r="F385" s="105">
        <f t="shared" si="115"/>
        <v>0</v>
      </c>
      <c r="G385" s="106"/>
      <c r="H385" s="106"/>
      <c r="I385" s="106"/>
      <c r="J385" s="105">
        <f t="shared" si="107"/>
        <v>0</v>
      </c>
      <c r="K385" s="106"/>
      <c r="L385" s="177" t="str">
        <f t="shared" si="108"/>
        <v/>
      </c>
      <c r="M385" s="105">
        <f t="shared" si="109"/>
        <v>0</v>
      </c>
      <c r="N385" s="110"/>
      <c r="O385" s="124"/>
      <c r="P385" s="110"/>
      <c r="Q385" s="124"/>
      <c r="R385" s="111">
        <f>SUMIFS('Shipments data'!L:L,'Shipments data'!F:F,'Supply planning data'!C385,'Shipments data'!A:A,'Supply planning data'!A385,'Shipments data'!Y:Y,'Supply planning data'!D385,'Shipments data'!O:O,"received", 'Shipments data'!N:N, "Public")</f>
        <v>0</v>
      </c>
      <c r="S385" s="111">
        <f>SUMIFS('Shipments data'!L:L,'Shipments data'!F:F,'Supply planning data'!C385,'Shipments data'!A:A,'Supply planning data'!A385,'Shipments data'!Y:Y,'Supply planning data'!D385,'Shipments data'!O:O,"ordered", 'Shipments data'!N:N, "Public")</f>
        <v>0</v>
      </c>
      <c r="T385" s="111">
        <f>IF(SUMIFS('Shipments data'!L:L,'Shipments data'!F:F,'Supply planning data'!C385,'Shipments data'!A:A,'Supply planning data'!A385,'Shipments data'!O:O,"received",'Shipments data'!Q:Q,"&lt;"&amp;'Supply planning data'!D400,'Shipments data'!AC:AC,"&lt;"&amp;'Supply planning data'!D400)-SUMIFS(M:M,D:D,"&lt;="&amp;D385,C:C,C385)+SUMIFS(N:N,D:D,"&lt;="&amp;D385,C:C,C385)+SUMIFS(P:P,D:D,"&lt;="&amp;D385,C:C,C385)&lt;0,0,SUMIFS('Shipments data'!L:L,'Shipments data'!F:F,'Supply planning data'!C385,'Shipments data'!A:A,'Supply planning data'!A385,'Shipments data'!O:O,"received",'Shipments data'!Q:Q,"&lt;"&amp;'Supply planning data'!D400,'Shipments data'!AC:AC,"&lt;"&amp;'Supply planning data'!D400)-SUMIFS(M:M,D:D,"&lt;="&amp;D385,C:C,C385)+SUMIFS(N:N,D:D,"&lt;="&amp;D385,C:C,C385)+SUMIFS(P:P,D:D,"&lt;="&amp;D385,C:C,C385))</f>
        <v>0</v>
      </c>
      <c r="U385" s="112">
        <f t="shared" si="116"/>
        <v>0</v>
      </c>
      <c r="V385" s="111">
        <f t="shared" si="124"/>
        <v>0</v>
      </c>
      <c r="W385" s="204" t="str">
        <f t="shared" si="122"/>
        <v/>
      </c>
      <c r="X385" s="111">
        <f t="shared" si="117"/>
        <v>0</v>
      </c>
      <c r="Y385" s="110"/>
      <c r="Z385" s="107"/>
      <c r="AA385" s="111">
        <f t="shared" si="110"/>
        <v>0</v>
      </c>
      <c r="AB385" s="235"/>
      <c r="AC385" s="111">
        <f>IF(SUMIFS('Shipments data'!L:L,'Shipments data'!F:F,'Supply planning data'!C385,'Shipments data'!A:A,'Supply planning data'!A385,'Shipments data'!O:O,"received",'Shipments data'!Q:Q,"&lt;"&amp;'Supply planning data'!D400,'Shipments data'!AC:AC,"&lt;"&amp;'Supply planning data'!D400)-SUMIFS(M:M,D:D,"&lt;="&amp;D385,C:C,C385)-SUMIFS(AA:AA,D:D,"&lt;="&amp;D385,C:C,C385)+SUMIFS(N:N,D:D,"&lt;="&amp;D385,C:C,C385)+SUMIFS(P:P,D:D,"&lt;="&amp;D385,C:C,C385)&lt;0,0,SUMIFS('Shipments data'!L:L,'Shipments data'!F:F,'Supply planning data'!C385,'Shipments data'!A:A,'Supply planning data'!A385,'Shipments data'!O:O,"received",'Shipments data'!Q:Q,"&lt;"&amp;'Supply planning data'!D400,'Shipments data'!AC:AC,"&lt;"&amp;'Supply planning data'!D400)-SUMIFS(M:M,D:D,"&lt;="&amp;D385,C:C,C385)-SUMIFS(AA:AA,D:D,"&lt;="&amp;D385,C:C,C385)+SUMIFS(N:N,D:D,"&lt;="&amp;D385,C:C,C385)+SUMIFS(P:P,D:D,"&lt;="&amp;D385,C:C,C385))</f>
        <v>0</v>
      </c>
      <c r="AD385" s="111">
        <f t="shared" si="118"/>
        <v>0</v>
      </c>
      <c r="AE385" s="111">
        <f t="shared" si="112"/>
        <v>0</v>
      </c>
      <c r="AF385" s="204" t="str">
        <f t="shared" si="121"/>
        <v/>
      </c>
      <c r="AG385" s="111">
        <f t="shared" si="119"/>
        <v>0</v>
      </c>
      <c r="AH385" s="110"/>
      <c r="AI385" s="313"/>
      <c r="AJ385" s="111">
        <f t="shared" si="111"/>
        <v>0</v>
      </c>
      <c r="AK385" s="235"/>
      <c r="AL385" s="111">
        <f>IF(SUMIFS('Shipments data'!L:L,'Shipments data'!F:F,'Supply planning data'!C385,'Shipments data'!A:A,'Supply planning data'!A385,'Shipments data'!O:O,"received",'Shipments data'!Q:Q,"&lt;"&amp;'Supply planning data'!D400,'Shipments data'!AC:AC,"&lt;"&amp;'Supply planning data'!D400)-SUMIFS(M:M,D:D,"&lt;="&amp;D385,C:C,C385)-SUMIFS(AJ:AJ,D:D,"&lt;="&amp;D385,C:C,C385)+SUMIFS(N:N,D:D,"&lt;="&amp;D385,C:C,C385)+SUMIFS(P:P,D:D,"&lt;="&amp;D385,C:C,C385)&lt;0,0,SUMIFS('Shipments data'!L:L,'Shipments data'!F:F,'Supply planning data'!C385,'Shipments data'!A:A,'Supply planning data'!A385,'Shipments data'!O:O,"received",'Shipments data'!Q:Q,"&lt;"&amp;'Supply planning data'!D400,'Shipments data'!AC:AC,"&lt;"&amp;'Supply planning data'!D400)-SUMIFS(M:M,D:D,"&lt;="&amp;D385,C:C,C385)-SUMIFS(AJ:AJ,D:D,"&lt;="&amp;D385,C:C,C385)+SUMIFS(N:N,D:D,"&lt;="&amp;D385,C:C,C385)+SUMIFS(P:P,D:D,"&lt;="&amp;D385,C:C,C385))</f>
        <v>0</v>
      </c>
      <c r="AM385" s="111">
        <f t="shared" si="120"/>
        <v>0</v>
      </c>
      <c r="AN385" s="111">
        <f t="shared" si="113"/>
        <v>0</v>
      </c>
      <c r="AO385" s="204" t="str">
        <f t="shared" si="123"/>
        <v/>
      </c>
    </row>
    <row r="386" spans="1:41" hidden="1" x14ac:dyDescent="0.25">
      <c r="A386" s="103" t="str">
        <f>Start!D$7</f>
        <v>Anyland</v>
      </c>
      <c r="B386" s="109" t="str">
        <f>VLOOKUP(A386,list!B:C,2,FALSE)</f>
        <v>ANY</v>
      </c>
      <c r="C386" s="104" t="str">
        <f>IF(Start!$C$23="","",Start!$C$23)</f>
        <v/>
      </c>
      <c r="D386" s="298">
        <f t="shared" si="114"/>
        <v>44958</v>
      </c>
      <c r="E386" s="105" t="str">
        <f>IFERROR(VLOOKUP(C386,Start!C$15:D$31,2,FALSE),"No")</f>
        <v>No</v>
      </c>
      <c r="F386" s="105">
        <f t="shared" si="115"/>
        <v>0</v>
      </c>
      <c r="G386" s="106"/>
      <c r="H386" s="106"/>
      <c r="I386" s="106"/>
      <c r="J386" s="105">
        <f t="shared" si="107"/>
        <v>0</v>
      </c>
      <c r="K386" s="106"/>
      <c r="L386" s="177" t="str">
        <f t="shared" si="108"/>
        <v/>
      </c>
      <c r="M386" s="105">
        <f t="shared" si="109"/>
        <v>0</v>
      </c>
      <c r="N386" s="110"/>
      <c r="O386" s="124"/>
      <c r="P386" s="110"/>
      <c r="Q386" s="124"/>
      <c r="R386" s="111">
        <f>SUMIFS('Shipments data'!L:L,'Shipments data'!F:F,'Supply planning data'!C386,'Shipments data'!A:A,'Supply planning data'!A386,'Shipments data'!Y:Y,'Supply planning data'!D386,'Shipments data'!O:O,"received", 'Shipments data'!N:N, "Public")</f>
        <v>0</v>
      </c>
      <c r="S386" s="111">
        <f>SUMIFS('Shipments data'!L:L,'Shipments data'!F:F,'Supply planning data'!C386,'Shipments data'!A:A,'Supply planning data'!A386,'Shipments data'!Y:Y,'Supply planning data'!D386,'Shipments data'!O:O,"ordered", 'Shipments data'!N:N, "Public")</f>
        <v>0</v>
      </c>
      <c r="T386" s="111">
        <f>IF(SUMIFS('Shipments data'!L:L,'Shipments data'!F:F,'Supply planning data'!C386,'Shipments data'!A:A,'Supply planning data'!A386,'Shipments data'!O:O,"received",'Shipments data'!Q:Q,"&lt;"&amp;'Supply planning data'!D401,'Shipments data'!AC:AC,"&lt;"&amp;'Supply planning data'!D401)-SUMIFS(M:M,D:D,"&lt;="&amp;D386,C:C,C386)+SUMIFS(N:N,D:D,"&lt;="&amp;D386,C:C,C386)+SUMIFS(P:P,D:D,"&lt;="&amp;D386,C:C,C386)&lt;0,0,SUMIFS('Shipments data'!L:L,'Shipments data'!F:F,'Supply planning data'!C386,'Shipments data'!A:A,'Supply planning data'!A386,'Shipments data'!O:O,"received",'Shipments data'!Q:Q,"&lt;"&amp;'Supply planning data'!D401,'Shipments data'!AC:AC,"&lt;"&amp;'Supply planning data'!D401)-SUMIFS(M:M,D:D,"&lt;="&amp;D386,C:C,C386)+SUMIFS(N:N,D:D,"&lt;="&amp;D386,C:C,C386)+SUMIFS(P:P,D:D,"&lt;="&amp;D386,C:C,C386))</f>
        <v>0</v>
      </c>
      <c r="U386" s="112">
        <f t="shared" si="116"/>
        <v>0</v>
      </c>
      <c r="V386" s="111">
        <f t="shared" si="124"/>
        <v>0</v>
      </c>
      <c r="W386" s="204" t="str">
        <f t="shared" si="122"/>
        <v/>
      </c>
      <c r="X386" s="111">
        <f t="shared" si="117"/>
        <v>0</v>
      </c>
      <c r="Y386" s="110"/>
      <c r="Z386" s="107"/>
      <c r="AA386" s="111">
        <f t="shared" si="110"/>
        <v>0</v>
      </c>
      <c r="AB386" s="235"/>
      <c r="AC386" s="111">
        <f>IF(SUMIFS('Shipments data'!L:L,'Shipments data'!F:F,'Supply planning data'!C386,'Shipments data'!A:A,'Supply planning data'!A386,'Shipments data'!O:O,"received",'Shipments data'!Q:Q,"&lt;"&amp;'Supply planning data'!D401,'Shipments data'!AC:AC,"&lt;"&amp;'Supply planning data'!D401)-SUMIFS(M:M,D:D,"&lt;="&amp;D386,C:C,C386)-SUMIFS(AA:AA,D:D,"&lt;="&amp;D386,C:C,C386)+SUMIFS(N:N,D:D,"&lt;="&amp;D386,C:C,C386)+SUMIFS(P:P,D:D,"&lt;="&amp;D386,C:C,C386)&lt;0,0,SUMIFS('Shipments data'!L:L,'Shipments data'!F:F,'Supply planning data'!C386,'Shipments data'!A:A,'Supply planning data'!A386,'Shipments data'!O:O,"received",'Shipments data'!Q:Q,"&lt;"&amp;'Supply planning data'!D401,'Shipments data'!AC:AC,"&lt;"&amp;'Supply planning data'!D401)-SUMIFS(M:M,D:D,"&lt;="&amp;D386,C:C,C386)-SUMIFS(AA:AA,D:D,"&lt;="&amp;D386,C:C,C386)+SUMIFS(N:N,D:D,"&lt;="&amp;D386,C:C,C386)+SUMIFS(P:P,D:D,"&lt;="&amp;D386,C:C,C386))</f>
        <v>0</v>
      </c>
      <c r="AD386" s="111">
        <f t="shared" si="118"/>
        <v>0</v>
      </c>
      <c r="AE386" s="111">
        <f t="shared" si="112"/>
        <v>0</v>
      </c>
      <c r="AF386" s="204" t="str">
        <f t="shared" si="121"/>
        <v/>
      </c>
      <c r="AG386" s="111">
        <f t="shared" si="119"/>
        <v>0</v>
      </c>
      <c r="AH386" s="110"/>
      <c r="AI386" s="313"/>
      <c r="AJ386" s="111">
        <f t="shared" si="111"/>
        <v>0</v>
      </c>
      <c r="AK386" s="235"/>
      <c r="AL386" s="111">
        <f>IF(SUMIFS('Shipments data'!L:L,'Shipments data'!F:F,'Supply planning data'!C386,'Shipments data'!A:A,'Supply planning data'!A386,'Shipments data'!O:O,"received",'Shipments data'!Q:Q,"&lt;"&amp;'Supply planning data'!D401,'Shipments data'!AC:AC,"&lt;"&amp;'Supply planning data'!D401)-SUMIFS(M:M,D:D,"&lt;="&amp;D386,C:C,C386)-SUMIFS(AJ:AJ,D:D,"&lt;="&amp;D386,C:C,C386)+SUMIFS(N:N,D:D,"&lt;="&amp;D386,C:C,C386)+SUMIFS(P:P,D:D,"&lt;="&amp;D386,C:C,C386)&lt;0,0,SUMIFS('Shipments data'!L:L,'Shipments data'!F:F,'Supply planning data'!C386,'Shipments data'!A:A,'Supply planning data'!A386,'Shipments data'!O:O,"received",'Shipments data'!Q:Q,"&lt;"&amp;'Supply planning data'!D401,'Shipments data'!AC:AC,"&lt;"&amp;'Supply planning data'!D401)-SUMIFS(M:M,D:D,"&lt;="&amp;D386,C:C,C386)-SUMIFS(AJ:AJ,D:D,"&lt;="&amp;D386,C:C,C386)+SUMIFS(N:N,D:D,"&lt;="&amp;D386,C:C,C386)+SUMIFS(P:P,D:D,"&lt;="&amp;D386,C:C,C386))</f>
        <v>0</v>
      </c>
      <c r="AM386" s="111">
        <f t="shared" si="120"/>
        <v>0</v>
      </c>
      <c r="AN386" s="111">
        <f t="shared" si="113"/>
        <v>0</v>
      </c>
      <c r="AO386" s="204" t="str">
        <f t="shared" si="123"/>
        <v/>
      </c>
    </row>
    <row r="387" spans="1:41" hidden="1" x14ac:dyDescent="0.25">
      <c r="A387" s="103" t="str">
        <f>Start!D$7</f>
        <v>Anyland</v>
      </c>
      <c r="B387" s="109" t="str">
        <f>VLOOKUP(A387,list!B:C,2,FALSE)</f>
        <v>ANY</v>
      </c>
      <c r="C387" s="109" t="str">
        <f>IF(Start!$C$24="","",Start!$C$24)</f>
        <v/>
      </c>
      <c r="D387" s="298">
        <f t="shared" si="114"/>
        <v>44958</v>
      </c>
      <c r="E387" s="105" t="str">
        <f>IFERROR(VLOOKUP(C387,Start!C$15:D$31,2,FALSE),"No")</f>
        <v>No</v>
      </c>
      <c r="F387" s="105">
        <f t="shared" si="115"/>
        <v>0</v>
      </c>
      <c r="G387" s="106"/>
      <c r="H387" s="106"/>
      <c r="I387" s="106"/>
      <c r="J387" s="105">
        <f t="shared" si="107"/>
        <v>0</v>
      </c>
      <c r="K387" s="106"/>
      <c r="L387" s="177" t="str">
        <f t="shared" si="108"/>
        <v/>
      </c>
      <c r="M387" s="105">
        <f t="shared" si="109"/>
        <v>0</v>
      </c>
      <c r="N387" s="110"/>
      <c r="O387" s="124"/>
      <c r="P387" s="110"/>
      <c r="Q387" s="124"/>
      <c r="R387" s="111">
        <f>SUMIFS('Shipments data'!L:L,'Shipments data'!F:F,'Supply planning data'!C387,'Shipments data'!A:A,'Supply planning data'!A387,'Shipments data'!Y:Y,'Supply planning data'!D387,'Shipments data'!O:O,"received", 'Shipments data'!N:N, "Public")</f>
        <v>0</v>
      </c>
      <c r="S387" s="111">
        <f>SUMIFS('Shipments data'!L:L,'Shipments data'!F:F,'Supply planning data'!C387,'Shipments data'!A:A,'Supply planning data'!A387,'Shipments data'!Y:Y,'Supply planning data'!D387,'Shipments data'!O:O,"ordered", 'Shipments data'!N:N, "Public")</f>
        <v>0</v>
      </c>
      <c r="T387" s="111">
        <f>IF(SUMIFS('Shipments data'!L:L,'Shipments data'!F:F,'Supply planning data'!C387,'Shipments data'!A:A,'Supply planning data'!A387,'Shipments data'!O:O,"received",'Shipments data'!Q:Q,"&lt;"&amp;'Supply planning data'!D402,'Shipments data'!AC:AC,"&lt;"&amp;'Supply planning data'!D402)-SUMIFS(M:M,D:D,"&lt;="&amp;D387,C:C,C387)+SUMIFS(N:N,D:D,"&lt;="&amp;D387,C:C,C387)+SUMIFS(P:P,D:D,"&lt;="&amp;D387,C:C,C387)&lt;0,0,SUMIFS('Shipments data'!L:L,'Shipments data'!F:F,'Supply planning data'!C387,'Shipments data'!A:A,'Supply planning data'!A387,'Shipments data'!O:O,"received",'Shipments data'!Q:Q,"&lt;"&amp;'Supply planning data'!D402,'Shipments data'!AC:AC,"&lt;"&amp;'Supply planning data'!D402)-SUMIFS(M:M,D:D,"&lt;="&amp;D387,C:C,C387)+SUMIFS(N:N,D:D,"&lt;="&amp;D387,C:C,C387)+SUMIFS(P:P,D:D,"&lt;="&amp;D387,C:C,C387))</f>
        <v>0</v>
      </c>
      <c r="U387" s="112">
        <f t="shared" si="116"/>
        <v>0</v>
      </c>
      <c r="V387" s="111">
        <f t="shared" si="124"/>
        <v>0</v>
      </c>
      <c r="W387" s="204" t="str">
        <f t="shared" si="122"/>
        <v/>
      </c>
      <c r="X387" s="111">
        <f t="shared" si="117"/>
        <v>0</v>
      </c>
      <c r="Y387" s="110"/>
      <c r="Z387" s="107"/>
      <c r="AA387" s="111">
        <f t="shared" si="110"/>
        <v>0</v>
      </c>
      <c r="AB387" s="235"/>
      <c r="AC387" s="111">
        <f>IF(SUMIFS('Shipments data'!L:L,'Shipments data'!F:F,'Supply planning data'!C387,'Shipments data'!A:A,'Supply planning data'!A387,'Shipments data'!O:O,"received",'Shipments data'!Q:Q,"&lt;"&amp;'Supply planning data'!D402,'Shipments data'!AC:AC,"&lt;"&amp;'Supply planning data'!D402)-SUMIFS(M:M,D:D,"&lt;="&amp;D387,C:C,C387)-SUMIFS(AA:AA,D:D,"&lt;="&amp;D387,C:C,C387)+SUMIFS(N:N,D:D,"&lt;="&amp;D387,C:C,C387)+SUMIFS(P:P,D:D,"&lt;="&amp;D387,C:C,C387)&lt;0,0,SUMIFS('Shipments data'!L:L,'Shipments data'!F:F,'Supply planning data'!C387,'Shipments data'!A:A,'Supply planning data'!A387,'Shipments data'!O:O,"received",'Shipments data'!Q:Q,"&lt;"&amp;'Supply planning data'!D402,'Shipments data'!AC:AC,"&lt;"&amp;'Supply planning data'!D402)-SUMIFS(M:M,D:D,"&lt;="&amp;D387,C:C,C387)-SUMIFS(AA:AA,D:D,"&lt;="&amp;D387,C:C,C387)+SUMIFS(N:N,D:D,"&lt;="&amp;D387,C:C,C387)+SUMIFS(P:P,D:D,"&lt;="&amp;D387,C:C,C387))</f>
        <v>0</v>
      </c>
      <c r="AD387" s="111">
        <f t="shared" si="118"/>
        <v>0</v>
      </c>
      <c r="AE387" s="111">
        <f t="shared" si="112"/>
        <v>0</v>
      </c>
      <c r="AF387" s="204" t="str">
        <f t="shared" si="121"/>
        <v/>
      </c>
      <c r="AG387" s="111">
        <f t="shared" si="119"/>
        <v>0</v>
      </c>
      <c r="AH387" s="110"/>
      <c r="AI387" s="313"/>
      <c r="AJ387" s="111">
        <f t="shared" si="111"/>
        <v>0</v>
      </c>
      <c r="AK387" s="235"/>
      <c r="AL387" s="111">
        <f>IF(SUMIFS('Shipments data'!L:L,'Shipments data'!F:F,'Supply planning data'!C387,'Shipments data'!A:A,'Supply planning data'!A387,'Shipments data'!O:O,"received",'Shipments data'!Q:Q,"&lt;"&amp;'Supply planning data'!D402,'Shipments data'!AC:AC,"&lt;"&amp;'Supply planning data'!D402)-SUMIFS(M:M,D:D,"&lt;="&amp;D387,C:C,C387)-SUMIFS(AJ:AJ,D:D,"&lt;="&amp;D387,C:C,C387)+SUMIFS(N:N,D:D,"&lt;="&amp;D387,C:C,C387)+SUMIFS(P:P,D:D,"&lt;="&amp;D387,C:C,C387)&lt;0,0,SUMIFS('Shipments data'!L:L,'Shipments data'!F:F,'Supply planning data'!C387,'Shipments data'!A:A,'Supply planning data'!A387,'Shipments data'!O:O,"received",'Shipments data'!Q:Q,"&lt;"&amp;'Supply planning data'!D402,'Shipments data'!AC:AC,"&lt;"&amp;'Supply planning data'!D402)-SUMIFS(M:M,D:D,"&lt;="&amp;D387,C:C,C387)-SUMIFS(AJ:AJ,D:D,"&lt;="&amp;D387,C:C,C387)+SUMIFS(N:N,D:D,"&lt;="&amp;D387,C:C,C387)+SUMIFS(P:P,D:D,"&lt;="&amp;D387,C:C,C387))</f>
        <v>0</v>
      </c>
      <c r="AM387" s="111">
        <f t="shared" si="120"/>
        <v>0</v>
      </c>
      <c r="AN387" s="111">
        <f t="shared" si="113"/>
        <v>0</v>
      </c>
      <c r="AO387" s="204" t="str">
        <f t="shared" si="123"/>
        <v/>
      </c>
    </row>
    <row r="388" spans="1:41" hidden="1" x14ac:dyDescent="0.25">
      <c r="A388" s="103" t="str">
        <f>Start!D$7</f>
        <v>Anyland</v>
      </c>
      <c r="B388" s="109" t="str">
        <f>VLOOKUP(A388,list!B:C,2,FALSE)</f>
        <v>ANY</v>
      </c>
      <c r="C388" s="104" t="str">
        <f>IF(Start!$C$25="","",Start!$C$25)</f>
        <v/>
      </c>
      <c r="D388" s="298">
        <f t="shared" si="114"/>
        <v>44958</v>
      </c>
      <c r="E388" s="105" t="str">
        <f>IFERROR(VLOOKUP(C388,Start!C$15:D$31,2,FALSE),"No")</f>
        <v>No</v>
      </c>
      <c r="F388" s="105">
        <f t="shared" si="115"/>
        <v>0</v>
      </c>
      <c r="G388" s="106"/>
      <c r="H388" s="106"/>
      <c r="I388" s="106"/>
      <c r="J388" s="105">
        <f t="shared" si="107"/>
        <v>0</v>
      </c>
      <c r="K388" s="106"/>
      <c r="L388" s="177" t="str">
        <f t="shared" si="108"/>
        <v/>
      </c>
      <c r="M388" s="105">
        <f t="shared" si="109"/>
        <v>0</v>
      </c>
      <c r="N388" s="110"/>
      <c r="O388" s="124"/>
      <c r="P388" s="110"/>
      <c r="Q388" s="124"/>
      <c r="R388" s="111">
        <f>SUMIFS('Shipments data'!L:L,'Shipments data'!F:F,'Supply planning data'!C388,'Shipments data'!A:A,'Supply planning data'!A388,'Shipments data'!Y:Y,'Supply planning data'!D388,'Shipments data'!O:O,"received", 'Shipments data'!N:N, "Public")</f>
        <v>0</v>
      </c>
      <c r="S388" s="111">
        <f>SUMIFS('Shipments data'!L:L,'Shipments data'!F:F,'Supply planning data'!C388,'Shipments data'!A:A,'Supply planning data'!A388,'Shipments data'!Y:Y,'Supply planning data'!D388,'Shipments data'!O:O,"ordered", 'Shipments data'!N:N, "Public")</f>
        <v>0</v>
      </c>
      <c r="T388" s="111">
        <f>IF(SUMIFS('Shipments data'!L:L,'Shipments data'!F:F,'Supply planning data'!C388,'Shipments data'!A:A,'Supply planning data'!A388,'Shipments data'!O:O,"received",'Shipments data'!Q:Q,"&lt;"&amp;'Supply planning data'!D403,'Shipments data'!AC:AC,"&lt;"&amp;'Supply planning data'!D403)-SUMIFS(M:M,D:D,"&lt;="&amp;D388,C:C,C388)+SUMIFS(N:N,D:D,"&lt;="&amp;D388,C:C,C388)+SUMIFS(P:P,D:D,"&lt;="&amp;D388,C:C,C388)&lt;0,0,SUMIFS('Shipments data'!L:L,'Shipments data'!F:F,'Supply planning data'!C388,'Shipments data'!A:A,'Supply planning data'!A388,'Shipments data'!O:O,"received",'Shipments data'!Q:Q,"&lt;"&amp;'Supply planning data'!D403,'Shipments data'!AC:AC,"&lt;"&amp;'Supply planning data'!D403)-SUMIFS(M:M,D:D,"&lt;="&amp;D388,C:C,C388)+SUMIFS(N:N,D:D,"&lt;="&amp;D388,C:C,C388)+SUMIFS(P:P,D:D,"&lt;="&amp;D388,C:C,C388))</f>
        <v>0</v>
      </c>
      <c r="U388" s="112">
        <f t="shared" si="116"/>
        <v>0</v>
      </c>
      <c r="V388" s="111">
        <f t="shared" si="124"/>
        <v>0</v>
      </c>
      <c r="W388" s="204" t="str">
        <f t="shared" si="122"/>
        <v/>
      </c>
      <c r="X388" s="111">
        <f t="shared" si="117"/>
        <v>0</v>
      </c>
      <c r="Y388" s="110"/>
      <c r="Z388" s="107"/>
      <c r="AA388" s="111">
        <f t="shared" si="110"/>
        <v>0</v>
      </c>
      <c r="AB388" s="235"/>
      <c r="AC388" s="111">
        <f>IF(SUMIFS('Shipments data'!L:L,'Shipments data'!F:F,'Supply planning data'!C388,'Shipments data'!A:A,'Supply planning data'!A388,'Shipments data'!O:O,"received",'Shipments data'!Q:Q,"&lt;"&amp;'Supply planning data'!D403,'Shipments data'!AC:AC,"&lt;"&amp;'Supply planning data'!D403)-SUMIFS(M:M,D:D,"&lt;="&amp;D388,C:C,C388)-SUMIFS(AA:AA,D:D,"&lt;="&amp;D388,C:C,C388)+SUMIFS(N:N,D:D,"&lt;="&amp;D388,C:C,C388)+SUMIFS(P:P,D:D,"&lt;="&amp;D388,C:C,C388)&lt;0,0,SUMIFS('Shipments data'!L:L,'Shipments data'!F:F,'Supply planning data'!C388,'Shipments data'!A:A,'Supply planning data'!A388,'Shipments data'!O:O,"received",'Shipments data'!Q:Q,"&lt;"&amp;'Supply planning data'!D403,'Shipments data'!AC:AC,"&lt;"&amp;'Supply planning data'!D403)-SUMIFS(M:M,D:D,"&lt;="&amp;D388,C:C,C388)-SUMIFS(AA:AA,D:D,"&lt;="&amp;D388,C:C,C388)+SUMIFS(N:N,D:D,"&lt;="&amp;D388,C:C,C388)+SUMIFS(P:P,D:D,"&lt;="&amp;D388,C:C,C388))</f>
        <v>0</v>
      </c>
      <c r="AD388" s="111">
        <f t="shared" si="118"/>
        <v>0</v>
      </c>
      <c r="AE388" s="111">
        <f t="shared" si="112"/>
        <v>0</v>
      </c>
      <c r="AF388" s="204" t="str">
        <f t="shared" si="121"/>
        <v/>
      </c>
      <c r="AG388" s="111">
        <f t="shared" si="119"/>
        <v>0</v>
      </c>
      <c r="AH388" s="110"/>
      <c r="AI388" s="313"/>
      <c r="AJ388" s="111">
        <f t="shared" si="111"/>
        <v>0</v>
      </c>
      <c r="AK388" s="235"/>
      <c r="AL388" s="111">
        <f>IF(SUMIFS('Shipments data'!L:L,'Shipments data'!F:F,'Supply planning data'!C388,'Shipments data'!A:A,'Supply planning data'!A388,'Shipments data'!O:O,"received",'Shipments data'!Q:Q,"&lt;"&amp;'Supply planning data'!D403,'Shipments data'!AC:AC,"&lt;"&amp;'Supply planning data'!D403)-SUMIFS(M:M,D:D,"&lt;="&amp;D388,C:C,C388)-SUMIFS(AJ:AJ,D:D,"&lt;="&amp;D388,C:C,C388)+SUMIFS(N:N,D:D,"&lt;="&amp;D388,C:C,C388)+SUMIFS(P:P,D:D,"&lt;="&amp;D388,C:C,C388)&lt;0,0,SUMIFS('Shipments data'!L:L,'Shipments data'!F:F,'Supply planning data'!C388,'Shipments data'!A:A,'Supply planning data'!A388,'Shipments data'!O:O,"received",'Shipments data'!Q:Q,"&lt;"&amp;'Supply planning data'!D403,'Shipments data'!AC:AC,"&lt;"&amp;'Supply planning data'!D403)-SUMIFS(M:M,D:D,"&lt;="&amp;D388,C:C,C388)-SUMIFS(AJ:AJ,D:D,"&lt;="&amp;D388,C:C,C388)+SUMIFS(N:N,D:D,"&lt;="&amp;D388,C:C,C388)+SUMIFS(P:P,D:D,"&lt;="&amp;D388,C:C,C388))</f>
        <v>0</v>
      </c>
      <c r="AM388" s="111">
        <f t="shared" si="120"/>
        <v>0</v>
      </c>
      <c r="AN388" s="111">
        <f t="shared" si="113"/>
        <v>0</v>
      </c>
      <c r="AO388" s="204" t="str">
        <f t="shared" si="123"/>
        <v/>
      </c>
    </row>
    <row r="389" spans="1:41" hidden="1" x14ac:dyDescent="0.25">
      <c r="A389" s="103" t="str">
        <f>Start!D$7</f>
        <v>Anyland</v>
      </c>
      <c r="B389" s="109" t="str">
        <f>VLOOKUP(A389,list!B:C,2,FALSE)</f>
        <v>ANY</v>
      </c>
      <c r="C389" s="109" t="str">
        <f>IF(Start!$C$26="","",Start!$C$26)</f>
        <v/>
      </c>
      <c r="D389" s="298">
        <f t="shared" si="114"/>
        <v>44958</v>
      </c>
      <c r="E389" s="105" t="str">
        <f>IFERROR(VLOOKUP(C389,Start!C$15:D$31,2,FALSE),"No")</f>
        <v>No</v>
      </c>
      <c r="F389" s="105">
        <f t="shared" si="115"/>
        <v>0</v>
      </c>
      <c r="G389" s="106"/>
      <c r="H389" s="106"/>
      <c r="I389" s="106"/>
      <c r="J389" s="105">
        <f t="shared" ref="J389:J452" si="125">SUM(G389:I389)</f>
        <v>0</v>
      </c>
      <c r="K389" s="106"/>
      <c r="L389" s="177" t="str">
        <f t="shared" ref="L389:L452" si="126">IFERROR(K389/J389, "")</f>
        <v/>
      </c>
      <c r="M389" s="105">
        <f t="shared" ref="M389:M452" si="127">SUM(J389,K389)</f>
        <v>0</v>
      </c>
      <c r="N389" s="110"/>
      <c r="O389" s="124"/>
      <c r="P389" s="110"/>
      <c r="Q389" s="124"/>
      <c r="R389" s="111">
        <f>SUMIFS('Shipments data'!L:L,'Shipments data'!F:F,'Supply planning data'!C389,'Shipments data'!A:A,'Supply planning data'!A389,'Shipments data'!Y:Y,'Supply planning data'!D389,'Shipments data'!O:O,"received", 'Shipments data'!N:N, "Public")</f>
        <v>0</v>
      </c>
      <c r="S389" s="111">
        <f>SUMIFS('Shipments data'!L:L,'Shipments data'!F:F,'Supply planning data'!C389,'Shipments data'!A:A,'Supply planning data'!A389,'Shipments data'!Y:Y,'Supply planning data'!D389,'Shipments data'!O:O,"ordered", 'Shipments data'!N:N, "Public")</f>
        <v>0</v>
      </c>
      <c r="T389" s="111">
        <f>IF(SUMIFS('Shipments data'!L:L,'Shipments data'!F:F,'Supply planning data'!C389,'Shipments data'!A:A,'Supply planning data'!A389,'Shipments data'!O:O,"received",'Shipments data'!Q:Q,"&lt;"&amp;'Supply planning data'!D404,'Shipments data'!AC:AC,"&lt;"&amp;'Supply planning data'!D404)-SUMIFS(M:M,D:D,"&lt;="&amp;D389,C:C,C389)+SUMIFS(N:N,D:D,"&lt;="&amp;D389,C:C,C389)+SUMIFS(P:P,D:D,"&lt;="&amp;D389,C:C,C389)&lt;0,0,SUMIFS('Shipments data'!L:L,'Shipments data'!F:F,'Supply planning data'!C389,'Shipments data'!A:A,'Supply planning data'!A389,'Shipments data'!O:O,"received",'Shipments data'!Q:Q,"&lt;"&amp;'Supply planning data'!D404,'Shipments data'!AC:AC,"&lt;"&amp;'Supply planning data'!D404)-SUMIFS(M:M,D:D,"&lt;="&amp;D389,C:C,C389)+SUMIFS(N:N,D:D,"&lt;="&amp;D389,C:C,C389)+SUMIFS(P:P,D:D,"&lt;="&amp;D389,C:C,C389))</f>
        <v>0</v>
      </c>
      <c r="U389" s="112">
        <f t="shared" si="116"/>
        <v>0</v>
      </c>
      <c r="V389" s="111">
        <f t="shared" si="124"/>
        <v>0</v>
      </c>
      <c r="W389" s="204" t="str">
        <f t="shared" si="122"/>
        <v/>
      </c>
      <c r="X389" s="111">
        <f t="shared" si="117"/>
        <v>0</v>
      </c>
      <c r="Y389" s="110"/>
      <c r="Z389" s="107"/>
      <c r="AA389" s="111">
        <f t="shared" ref="AA389:AA452" si="128">IFERROR(Z389*Y389,0)+Y389</f>
        <v>0</v>
      </c>
      <c r="AB389" s="235"/>
      <c r="AC389" s="111">
        <f>IF(SUMIFS('Shipments data'!L:L,'Shipments data'!F:F,'Supply planning data'!C389,'Shipments data'!A:A,'Supply planning data'!A389,'Shipments data'!O:O,"received",'Shipments data'!Q:Q,"&lt;"&amp;'Supply planning data'!D404,'Shipments data'!AC:AC,"&lt;"&amp;'Supply planning data'!D404)-SUMIFS(M:M,D:D,"&lt;="&amp;D389,C:C,C389)-SUMIFS(AA:AA,D:D,"&lt;="&amp;D389,C:C,C389)+SUMIFS(N:N,D:D,"&lt;="&amp;D389,C:C,C389)+SUMIFS(P:P,D:D,"&lt;="&amp;D389,C:C,C389)&lt;0,0,SUMIFS('Shipments data'!L:L,'Shipments data'!F:F,'Supply planning data'!C389,'Shipments data'!A:A,'Supply planning data'!A389,'Shipments data'!O:O,"received",'Shipments data'!Q:Q,"&lt;"&amp;'Supply planning data'!D404,'Shipments data'!AC:AC,"&lt;"&amp;'Supply planning data'!D404)-SUMIFS(M:M,D:D,"&lt;="&amp;D389,C:C,C389)-SUMIFS(AA:AA,D:D,"&lt;="&amp;D389,C:C,C389)+SUMIFS(N:N,D:D,"&lt;="&amp;D389,C:C,C389)+SUMIFS(P:P,D:D,"&lt;="&amp;D389,C:C,C389))</f>
        <v>0</v>
      </c>
      <c r="AD389" s="111">
        <f t="shared" si="118"/>
        <v>0</v>
      </c>
      <c r="AE389" s="111">
        <f t="shared" si="112"/>
        <v>0</v>
      </c>
      <c r="AF389" s="204" t="str">
        <f t="shared" si="121"/>
        <v/>
      </c>
      <c r="AG389" s="111">
        <f t="shared" si="119"/>
        <v>0</v>
      </c>
      <c r="AH389" s="110"/>
      <c r="AI389" s="313"/>
      <c r="AJ389" s="111">
        <f t="shared" ref="AJ389:AJ452" si="129">IFERROR(AI389*AH389,0)+AH389</f>
        <v>0</v>
      </c>
      <c r="AK389" s="235"/>
      <c r="AL389" s="111">
        <f>IF(SUMIFS('Shipments data'!L:L,'Shipments data'!F:F,'Supply planning data'!C389,'Shipments data'!A:A,'Supply planning data'!A389,'Shipments data'!O:O,"received",'Shipments data'!Q:Q,"&lt;"&amp;'Supply planning data'!D404,'Shipments data'!AC:AC,"&lt;"&amp;'Supply planning data'!D404)-SUMIFS(M:M,D:D,"&lt;="&amp;D389,C:C,C389)-SUMIFS(AJ:AJ,D:D,"&lt;="&amp;D389,C:C,C389)+SUMIFS(N:N,D:D,"&lt;="&amp;D389,C:C,C389)+SUMIFS(P:P,D:D,"&lt;="&amp;D389,C:C,C389)&lt;0,0,SUMIFS('Shipments data'!L:L,'Shipments data'!F:F,'Supply planning data'!C389,'Shipments data'!A:A,'Supply planning data'!A389,'Shipments data'!O:O,"received",'Shipments data'!Q:Q,"&lt;"&amp;'Supply planning data'!D404,'Shipments data'!AC:AC,"&lt;"&amp;'Supply planning data'!D404)-SUMIFS(M:M,D:D,"&lt;="&amp;D389,C:C,C389)-SUMIFS(AJ:AJ,D:D,"&lt;="&amp;D389,C:C,C389)+SUMIFS(N:N,D:D,"&lt;="&amp;D389,C:C,C389)+SUMIFS(P:P,D:D,"&lt;="&amp;D389,C:C,C389))</f>
        <v>0</v>
      </c>
      <c r="AM389" s="111">
        <f t="shared" si="120"/>
        <v>0</v>
      </c>
      <c r="AN389" s="111">
        <f t="shared" si="113"/>
        <v>0</v>
      </c>
      <c r="AO389" s="204" t="str">
        <f t="shared" si="123"/>
        <v/>
      </c>
    </row>
    <row r="390" spans="1:41" hidden="1" x14ac:dyDescent="0.25">
      <c r="A390" s="103" t="str">
        <f>Start!D$7</f>
        <v>Anyland</v>
      </c>
      <c r="B390" s="109" t="str">
        <f>VLOOKUP(A390,list!B:C,2,FALSE)</f>
        <v>ANY</v>
      </c>
      <c r="C390" s="104" t="str">
        <f>IF(Start!$C$27="","",Start!$C$27)</f>
        <v/>
      </c>
      <c r="D390" s="298">
        <f t="shared" si="114"/>
        <v>44958</v>
      </c>
      <c r="E390" s="105" t="str">
        <f>IFERROR(VLOOKUP(C390,Start!C$15:D$31,2,FALSE),"No")</f>
        <v>No</v>
      </c>
      <c r="F390" s="105">
        <f t="shared" si="115"/>
        <v>0</v>
      </c>
      <c r="G390" s="106"/>
      <c r="H390" s="106"/>
      <c r="I390" s="106"/>
      <c r="J390" s="105">
        <f t="shared" si="125"/>
        <v>0</v>
      </c>
      <c r="K390" s="106"/>
      <c r="L390" s="177" t="str">
        <f t="shared" si="126"/>
        <v/>
      </c>
      <c r="M390" s="105">
        <f t="shared" si="127"/>
        <v>0</v>
      </c>
      <c r="N390" s="110"/>
      <c r="O390" s="124"/>
      <c r="P390" s="110"/>
      <c r="Q390" s="124"/>
      <c r="R390" s="111">
        <f>SUMIFS('Shipments data'!L:L,'Shipments data'!F:F,'Supply planning data'!C390,'Shipments data'!A:A,'Supply planning data'!A390,'Shipments data'!Y:Y,'Supply planning data'!D390,'Shipments data'!O:O,"received", 'Shipments data'!N:N, "Public")</f>
        <v>0</v>
      </c>
      <c r="S390" s="111">
        <f>SUMIFS('Shipments data'!L:L,'Shipments data'!F:F,'Supply planning data'!C390,'Shipments data'!A:A,'Supply planning data'!A390,'Shipments data'!Y:Y,'Supply planning data'!D390,'Shipments data'!O:O,"ordered", 'Shipments data'!N:N, "Public")</f>
        <v>0</v>
      </c>
      <c r="T390" s="111">
        <f>IF(SUMIFS('Shipments data'!L:L,'Shipments data'!F:F,'Supply planning data'!C390,'Shipments data'!A:A,'Supply planning data'!A390,'Shipments data'!O:O,"received",'Shipments data'!Q:Q,"&lt;"&amp;'Supply planning data'!D405,'Shipments data'!AC:AC,"&lt;"&amp;'Supply planning data'!D405)-SUMIFS(M:M,D:D,"&lt;="&amp;D390,C:C,C390)+SUMIFS(N:N,D:D,"&lt;="&amp;D390,C:C,C390)+SUMIFS(P:P,D:D,"&lt;="&amp;D390,C:C,C390)&lt;0,0,SUMIFS('Shipments data'!L:L,'Shipments data'!F:F,'Supply planning data'!C390,'Shipments data'!A:A,'Supply planning data'!A390,'Shipments data'!O:O,"received",'Shipments data'!Q:Q,"&lt;"&amp;'Supply planning data'!D405,'Shipments data'!AC:AC,"&lt;"&amp;'Supply planning data'!D405)-SUMIFS(M:M,D:D,"&lt;="&amp;D390,C:C,C390)+SUMIFS(N:N,D:D,"&lt;="&amp;D390,C:C,C390)+SUMIFS(P:P,D:D,"&lt;="&amp;D390,C:C,C390))</f>
        <v>0</v>
      </c>
      <c r="U390" s="112">
        <f t="shared" si="116"/>
        <v>0</v>
      </c>
      <c r="V390" s="111">
        <f t="shared" si="124"/>
        <v>0</v>
      </c>
      <c r="W390" s="204" t="str">
        <f t="shared" si="122"/>
        <v/>
      </c>
      <c r="X390" s="111">
        <f t="shared" si="117"/>
        <v>0</v>
      </c>
      <c r="Y390" s="110"/>
      <c r="Z390" s="107"/>
      <c r="AA390" s="111">
        <f t="shared" si="128"/>
        <v>0</v>
      </c>
      <c r="AB390" s="235"/>
      <c r="AC390" s="111">
        <f>IF(SUMIFS('Shipments data'!L:L,'Shipments data'!F:F,'Supply planning data'!C390,'Shipments data'!A:A,'Supply planning data'!A390,'Shipments data'!O:O,"received",'Shipments data'!Q:Q,"&lt;"&amp;'Supply planning data'!D405,'Shipments data'!AC:AC,"&lt;"&amp;'Supply planning data'!D405)-SUMIFS(M:M,D:D,"&lt;="&amp;D390,C:C,C390)-SUMIFS(AA:AA,D:D,"&lt;="&amp;D390,C:C,C390)+SUMIFS(N:N,D:D,"&lt;="&amp;D390,C:C,C390)+SUMIFS(P:P,D:D,"&lt;="&amp;D390,C:C,C390)&lt;0,0,SUMIFS('Shipments data'!L:L,'Shipments data'!F:F,'Supply planning data'!C390,'Shipments data'!A:A,'Supply planning data'!A390,'Shipments data'!O:O,"received",'Shipments data'!Q:Q,"&lt;"&amp;'Supply planning data'!D405,'Shipments data'!AC:AC,"&lt;"&amp;'Supply planning data'!D405)-SUMIFS(M:M,D:D,"&lt;="&amp;D390,C:C,C390)-SUMIFS(AA:AA,D:D,"&lt;="&amp;D390,C:C,C390)+SUMIFS(N:N,D:D,"&lt;="&amp;D390,C:C,C390)+SUMIFS(P:P,D:D,"&lt;="&amp;D390,C:C,C390))</f>
        <v>0</v>
      </c>
      <c r="AD390" s="111">
        <f t="shared" si="118"/>
        <v>0</v>
      </c>
      <c r="AE390" s="111">
        <f t="shared" ref="AE390:AE453" si="130">IF(X390+R390+S390+AB390+N390+P390-M390-AA390-U390&lt;0,0,X390+R390+S390+AB390+N390+P390-M390-AA390-U390)</f>
        <v>0</v>
      </c>
      <c r="AF390" s="204" t="str">
        <f t="shared" si="121"/>
        <v/>
      </c>
      <c r="AG390" s="111">
        <f t="shared" si="119"/>
        <v>0</v>
      </c>
      <c r="AH390" s="110"/>
      <c r="AI390" s="313"/>
      <c r="AJ390" s="111">
        <f t="shared" si="129"/>
        <v>0</v>
      </c>
      <c r="AK390" s="235"/>
      <c r="AL390" s="111">
        <f>IF(SUMIFS('Shipments data'!L:L,'Shipments data'!F:F,'Supply planning data'!C390,'Shipments data'!A:A,'Supply planning data'!A390,'Shipments data'!O:O,"received",'Shipments data'!Q:Q,"&lt;"&amp;'Supply planning data'!D405,'Shipments data'!AC:AC,"&lt;"&amp;'Supply planning data'!D405)-SUMIFS(M:M,D:D,"&lt;="&amp;D390,C:C,C390)-SUMIFS(AJ:AJ,D:D,"&lt;="&amp;D390,C:C,C390)+SUMIFS(N:N,D:D,"&lt;="&amp;D390,C:C,C390)+SUMIFS(P:P,D:D,"&lt;="&amp;D390,C:C,C390)&lt;0,0,SUMIFS('Shipments data'!L:L,'Shipments data'!F:F,'Supply planning data'!C390,'Shipments data'!A:A,'Supply planning data'!A390,'Shipments data'!O:O,"received",'Shipments data'!Q:Q,"&lt;"&amp;'Supply planning data'!D405,'Shipments data'!AC:AC,"&lt;"&amp;'Supply planning data'!D405)-SUMIFS(M:M,D:D,"&lt;="&amp;D390,C:C,C390)-SUMIFS(AJ:AJ,D:D,"&lt;="&amp;D390,C:C,C390)+SUMIFS(N:N,D:D,"&lt;="&amp;D390,C:C,C390)+SUMIFS(P:P,D:D,"&lt;="&amp;D390,C:C,C390))</f>
        <v>0</v>
      </c>
      <c r="AM390" s="111">
        <f t="shared" si="120"/>
        <v>0</v>
      </c>
      <c r="AN390" s="111">
        <f t="shared" ref="AN390:AN453" si="131">IF(AG390+$R390+$S390+AK390+$N390+$P390-$M390-AJ390-$AM390&lt;0,0,AG390+$R390+$S390+AK390+$N390+$P390-$M390-AJ390-$AM390)</f>
        <v>0</v>
      </c>
      <c r="AO390" s="204" t="str">
        <f t="shared" si="123"/>
        <v/>
      </c>
    </row>
    <row r="391" spans="1:41" hidden="1" x14ac:dyDescent="0.25">
      <c r="A391" s="103" t="str">
        <f>Start!D$7</f>
        <v>Anyland</v>
      </c>
      <c r="B391" s="109" t="str">
        <f>VLOOKUP(A391,list!B:C,2,FALSE)</f>
        <v>ANY</v>
      </c>
      <c r="C391" s="109" t="str">
        <f>IF(Start!$C$28="","",Start!$C$28)</f>
        <v/>
      </c>
      <c r="D391" s="298">
        <f t="shared" si="114"/>
        <v>44958</v>
      </c>
      <c r="E391" s="105" t="str">
        <f>IFERROR(VLOOKUP(C391,Start!C$15:D$31,2,FALSE),"No")</f>
        <v>No</v>
      </c>
      <c r="F391" s="105">
        <f t="shared" si="115"/>
        <v>0</v>
      </c>
      <c r="G391" s="106"/>
      <c r="H391" s="106"/>
      <c r="I391" s="106"/>
      <c r="J391" s="105">
        <f t="shared" si="125"/>
        <v>0</v>
      </c>
      <c r="K391" s="106"/>
      <c r="L391" s="177" t="str">
        <f t="shared" si="126"/>
        <v/>
      </c>
      <c r="M391" s="105">
        <f t="shared" si="127"/>
        <v>0</v>
      </c>
      <c r="N391" s="110"/>
      <c r="O391" s="124"/>
      <c r="P391" s="110"/>
      <c r="Q391" s="124"/>
      <c r="R391" s="111">
        <f>SUMIFS('Shipments data'!L:L,'Shipments data'!F:F,'Supply planning data'!C391,'Shipments data'!A:A,'Supply planning data'!A391,'Shipments data'!Y:Y,'Supply planning data'!D391,'Shipments data'!O:O,"received", 'Shipments data'!N:N, "Public")</f>
        <v>0</v>
      </c>
      <c r="S391" s="111">
        <f>SUMIFS('Shipments data'!L:L,'Shipments data'!F:F,'Supply planning data'!C391,'Shipments data'!A:A,'Supply planning data'!A391,'Shipments data'!Y:Y,'Supply planning data'!D391,'Shipments data'!O:O,"ordered", 'Shipments data'!N:N, "Public")</f>
        <v>0</v>
      </c>
      <c r="T391" s="111">
        <f>IF(SUMIFS('Shipments data'!L:L,'Shipments data'!F:F,'Supply planning data'!C391,'Shipments data'!A:A,'Supply planning data'!A391,'Shipments data'!O:O,"received",'Shipments data'!Q:Q,"&lt;"&amp;'Supply planning data'!D406,'Shipments data'!AC:AC,"&lt;"&amp;'Supply planning data'!D406)-SUMIFS(M:M,D:D,"&lt;="&amp;D391,C:C,C391)+SUMIFS(N:N,D:D,"&lt;="&amp;D391,C:C,C391)+SUMIFS(P:P,D:D,"&lt;="&amp;D391,C:C,C391)&lt;0,0,SUMIFS('Shipments data'!L:L,'Shipments data'!F:F,'Supply planning data'!C391,'Shipments data'!A:A,'Supply planning data'!A391,'Shipments data'!O:O,"received",'Shipments data'!Q:Q,"&lt;"&amp;'Supply planning data'!D406,'Shipments data'!AC:AC,"&lt;"&amp;'Supply planning data'!D406)-SUMIFS(M:M,D:D,"&lt;="&amp;D391,C:C,C391)+SUMIFS(N:N,D:D,"&lt;="&amp;D391,C:C,C391)+SUMIFS(P:P,D:D,"&lt;="&amp;D391,C:C,C391))</f>
        <v>0</v>
      </c>
      <c r="U391" s="112">
        <f t="shared" si="116"/>
        <v>0</v>
      </c>
      <c r="V391" s="111">
        <f t="shared" si="124"/>
        <v>0</v>
      </c>
      <c r="W391" s="204" t="str">
        <f t="shared" si="122"/>
        <v/>
      </c>
      <c r="X391" s="111">
        <f t="shared" si="117"/>
        <v>0</v>
      </c>
      <c r="Y391" s="110"/>
      <c r="Z391" s="107"/>
      <c r="AA391" s="111">
        <f t="shared" si="128"/>
        <v>0</v>
      </c>
      <c r="AB391" s="235"/>
      <c r="AC391" s="111">
        <f>IF(SUMIFS('Shipments data'!L:L,'Shipments data'!F:F,'Supply planning data'!C391,'Shipments data'!A:A,'Supply planning data'!A391,'Shipments data'!O:O,"received",'Shipments data'!Q:Q,"&lt;"&amp;'Supply planning data'!D406,'Shipments data'!AC:AC,"&lt;"&amp;'Supply planning data'!D406)-SUMIFS(M:M,D:D,"&lt;="&amp;D391,C:C,C391)-SUMIFS(AA:AA,D:D,"&lt;="&amp;D391,C:C,C391)+SUMIFS(N:N,D:D,"&lt;="&amp;D391,C:C,C391)+SUMIFS(P:P,D:D,"&lt;="&amp;D391,C:C,C391)&lt;0,0,SUMIFS('Shipments data'!L:L,'Shipments data'!F:F,'Supply planning data'!C391,'Shipments data'!A:A,'Supply planning data'!A391,'Shipments data'!O:O,"received",'Shipments data'!Q:Q,"&lt;"&amp;'Supply planning data'!D406,'Shipments data'!AC:AC,"&lt;"&amp;'Supply planning data'!D406)-SUMIFS(M:M,D:D,"&lt;="&amp;D391,C:C,C391)-SUMIFS(AA:AA,D:D,"&lt;="&amp;D391,C:C,C391)+SUMIFS(N:N,D:D,"&lt;="&amp;D391,C:C,C391)+SUMIFS(P:P,D:D,"&lt;="&amp;D391,C:C,C391))</f>
        <v>0</v>
      </c>
      <c r="AD391" s="111">
        <f t="shared" si="118"/>
        <v>0</v>
      </c>
      <c r="AE391" s="111">
        <f t="shared" si="130"/>
        <v>0</v>
      </c>
      <c r="AF391" s="204" t="str">
        <f t="shared" si="121"/>
        <v/>
      </c>
      <c r="AG391" s="111">
        <f t="shared" si="119"/>
        <v>0</v>
      </c>
      <c r="AH391" s="110"/>
      <c r="AI391" s="313"/>
      <c r="AJ391" s="111">
        <f t="shared" si="129"/>
        <v>0</v>
      </c>
      <c r="AK391" s="235"/>
      <c r="AL391" s="111">
        <f>IF(SUMIFS('Shipments data'!L:L,'Shipments data'!F:F,'Supply planning data'!C391,'Shipments data'!A:A,'Supply planning data'!A391,'Shipments data'!O:O,"received",'Shipments data'!Q:Q,"&lt;"&amp;'Supply planning data'!D406,'Shipments data'!AC:AC,"&lt;"&amp;'Supply planning data'!D406)-SUMIFS(M:M,D:D,"&lt;="&amp;D391,C:C,C391)-SUMIFS(AJ:AJ,D:D,"&lt;="&amp;D391,C:C,C391)+SUMIFS(N:N,D:D,"&lt;="&amp;D391,C:C,C391)+SUMIFS(P:P,D:D,"&lt;="&amp;D391,C:C,C391)&lt;0,0,SUMIFS('Shipments data'!L:L,'Shipments data'!F:F,'Supply planning data'!C391,'Shipments data'!A:A,'Supply planning data'!A391,'Shipments data'!O:O,"received",'Shipments data'!Q:Q,"&lt;"&amp;'Supply planning data'!D406,'Shipments data'!AC:AC,"&lt;"&amp;'Supply planning data'!D406)-SUMIFS(M:M,D:D,"&lt;="&amp;D391,C:C,C391)-SUMIFS(AJ:AJ,D:D,"&lt;="&amp;D391,C:C,C391)+SUMIFS(N:N,D:D,"&lt;="&amp;D391,C:C,C391)+SUMIFS(P:P,D:D,"&lt;="&amp;D391,C:C,C391))</f>
        <v>0</v>
      </c>
      <c r="AM391" s="111">
        <f t="shared" si="120"/>
        <v>0</v>
      </c>
      <c r="AN391" s="111">
        <f t="shared" si="131"/>
        <v>0</v>
      </c>
      <c r="AO391" s="204" t="str">
        <f t="shared" si="123"/>
        <v/>
      </c>
    </row>
    <row r="392" spans="1:41" hidden="1" x14ac:dyDescent="0.25">
      <c r="A392" s="103" t="str">
        <f>Start!D$7</f>
        <v>Anyland</v>
      </c>
      <c r="B392" s="109" t="str">
        <f>VLOOKUP(A392,list!B:C,2,FALSE)</f>
        <v>ANY</v>
      </c>
      <c r="C392" s="104" t="str">
        <f>IF(Start!$C$29="","",Start!$C$29)</f>
        <v/>
      </c>
      <c r="D392" s="298">
        <f t="shared" si="114"/>
        <v>44958</v>
      </c>
      <c r="E392" s="105" t="str">
        <f>IFERROR(VLOOKUP(C392,Start!C$15:D$31,2,FALSE),"No")</f>
        <v>No</v>
      </c>
      <c r="F392" s="105">
        <f t="shared" si="115"/>
        <v>0</v>
      </c>
      <c r="G392" s="106"/>
      <c r="H392" s="106"/>
      <c r="I392" s="106"/>
      <c r="J392" s="105">
        <f t="shared" si="125"/>
        <v>0</v>
      </c>
      <c r="K392" s="106"/>
      <c r="L392" s="177" t="str">
        <f t="shared" si="126"/>
        <v/>
      </c>
      <c r="M392" s="105">
        <f t="shared" si="127"/>
        <v>0</v>
      </c>
      <c r="N392" s="110"/>
      <c r="O392" s="124"/>
      <c r="P392" s="110"/>
      <c r="Q392" s="124"/>
      <c r="R392" s="111">
        <f>SUMIFS('Shipments data'!L:L,'Shipments data'!F:F,'Supply planning data'!C392,'Shipments data'!A:A,'Supply planning data'!A392,'Shipments data'!Y:Y,'Supply planning data'!D392,'Shipments data'!O:O,"received", 'Shipments data'!N:N, "Public")</f>
        <v>0</v>
      </c>
      <c r="S392" s="111">
        <f>SUMIFS('Shipments data'!L:L,'Shipments data'!F:F,'Supply planning data'!C392,'Shipments data'!A:A,'Supply planning data'!A392,'Shipments data'!Y:Y,'Supply planning data'!D392,'Shipments data'!O:O,"ordered", 'Shipments data'!N:N, "Public")</f>
        <v>0</v>
      </c>
      <c r="T392" s="111">
        <f>IF(SUMIFS('Shipments data'!L:L,'Shipments data'!F:F,'Supply planning data'!C392,'Shipments data'!A:A,'Supply planning data'!A392,'Shipments data'!O:O,"received",'Shipments data'!Q:Q,"&lt;"&amp;'Supply planning data'!D407,'Shipments data'!AC:AC,"&lt;"&amp;'Supply planning data'!D407)-SUMIFS(M:M,D:D,"&lt;="&amp;D392,C:C,C392)+SUMIFS(N:N,D:D,"&lt;="&amp;D392,C:C,C392)+SUMIFS(P:P,D:D,"&lt;="&amp;D392,C:C,C392)&lt;0,0,SUMIFS('Shipments data'!L:L,'Shipments data'!F:F,'Supply planning data'!C392,'Shipments data'!A:A,'Supply planning data'!A392,'Shipments data'!O:O,"received",'Shipments data'!Q:Q,"&lt;"&amp;'Supply planning data'!D407,'Shipments data'!AC:AC,"&lt;"&amp;'Supply planning data'!D407)-SUMIFS(M:M,D:D,"&lt;="&amp;D392,C:C,C392)+SUMIFS(N:N,D:D,"&lt;="&amp;D392,C:C,C392)+SUMIFS(P:P,D:D,"&lt;="&amp;D392,C:C,C392))</f>
        <v>0</v>
      </c>
      <c r="U392" s="112">
        <f t="shared" si="116"/>
        <v>0</v>
      </c>
      <c r="V392" s="111">
        <f t="shared" si="124"/>
        <v>0</v>
      </c>
      <c r="W392" s="204" t="str">
        <f t="shared" si="122"/>
        <v/>
      </c>
      <c r="X392" s="111">
        <f t="shared" si="117"/>
        <v>0</v>
      </c>
      <c r="Y392" s="110"/>
      <c r="Z392" s="107"/>
      <c r="AA392" s="111">
        <f t="shared" si="128"/>
        <v>0</v>
      </c>
      <c r="AB392" s="235"/>
      <c r="AC392" s="111">
        <f>IF(SUMIFS('Shipments data'!L:L,'Shipments data'!F:F,'Supply planning data'!C392,'Shipments data'!A:A,'Supply planning data'!A392,'Shipments data'!O:O,"received",'Shipments data'!Q:Q,"&lt;"&amp;'Supply planning data'!D407,'Shipments data'!AC:AC,"&lt;"&amp;'Supply planning data'!D407)-SUMIFS(M:M,D:D,"&lt;="&amp;D392,C:C,C392)-SUMIFS(AA:AA,D:D,"&lt;="&amp;D392,C:C,C392)+SUMIFS(N:N,D:D,"&lt;="&amp;D392,C:C,C392)+SUMIFS(P:P,D:D,"&lt;="&amp;D392,C:C,C392)&lt;0,0,SUMIFS('Shipments data'!L:L,'Shipments data'!F:F,'Supply planning data'!C392,'Shipments data'!A:A,'Supply planning data'!A392,'Shipments data'!O:O,"received",'Shipments data'!Q:Q,"&lt;"&amp;'Supply planning data'!D407,'Shipments data'!AC:AC,"&lt;"&amp;'Supply planning data'!D407)-SUMIFS(M:M,D:D,"&lt;="&amp;D392,C:C,C392)-SUMIFS(AA:AA,D:D,"&lt;="&amp;D392,C:C,C392)+SUMIFS(N:N,D:D,"&lt;="&amp;D392,C:C,C392)+SUMIFS(P:P,D:D,"&lt;="&amp;D392,C:C,C392))</f>
        <v>0</v>
      </c>
      <c r="AD392" s="111">
        <f t="shared" si="118"/>
        <v>0</v>
      </c>
      <c r="AE392" s="111">
        <f t="shared" si="130"/>
        <v>0</v>
      </c>
      <c r="AF392" s="204" t="str">
        <f t="shared" si="121"/>
        <v/>
      </c>
      <c r="AG392" s="111">
        <f t="shared" si="119"/>
        <v>0</v>
      </c>
      <c r="AH392" s="110"/>
      <c r="AI392" s="313"/>
      <c r="AJ392" s="111">
        <f t="shared" si="129"/>
        <v>0</v>
      </c>
      <c r="AK392" s="235"/>
      <c r="AL392" s="111">
        <f>IF(SUMIFS('Shipments data'!L:L,'Shipments data'!F:F,'Supply planning data'!C392,'Shipments data'!A:A,'Supply planning data'!A392,'Shipments data'!O:O,"received",'Shipments data'!Q:Q,"&lt;"&amp;'Supply planning data'!D407,'Shipments data'!AC:AC,"&lt;"&amp;'Supply planning data'!D407)-SUMIFS(M:M,D:D,"&lt;="&amp;D392,C:C,C392)-SUMIFS(AJ:AJ,D:D,"&lt;="&amp;D392,C:C,C392)+SUMIFS(N:N,D:D,"&lt;="&amp;D392,C:C,C392)+SUMIFS(P:P,D:D,"&lt;="&amp;D392,C:C,C392)&lt;0,0,SUMIFS('Shipments data'!L:L,'Shipments data'!F:F,'Supply planning data'!C392,'Shipments data'!A:A,'Supply planning data'!A392,'Shipments data'!O:O,"received",'Shipments data'!Q:Q,"&lt;"&amp;'Supply planning data'!D407,'Shipments data'!AC:AC,"&lt;"&amp;'Supply planning data'!D407)-SUMIFS(M:M,D:D,"&lt;="&amp;D392,C:C,C392)-SUMIFS(AJ:AJ,D:D,"&lt;="&amp;D392,C:C,C392)+SUMIFS(N:N,D:D,"&lt;="&amp;D392,C:C,C392)+SUMIFS(P:P,D:D,"&lt;="&amp;D392,C:C,C392))</f>
        <v>0</v>
      </c>
      <c r="AM392" s="111">
        <f t="shared" si="120"/>
        <v>0</v>
      </c>
      <c r="AN392" s="111">
        <f t="shared" si="131"/>
        <v>0</v>
      </c>
      <c r="AO392" s="204" t="str">
        <f t="shared" si="123"/>
        <v/>
      </c>
    </row>
    <row r="393" spans="1:41" hidden="1" x14ac:dyDescent="0.25">
      <c r="A393" s="103" t="str">
        <f>Start!D$7</f>
        <v>Anyland</v>
      </c>
      <c r="B393" s="109" t="str">
        <f>VLOOKUP(A393,list!B:C,2,FALSE)</f>
        <v>ANY</v>
      </c>
      <c r="C393" s="109" t="str">
        <f>IF(Start!$C$30="","",Start!$C$30)</f>
        <v/>
      </c>
      <c r="D393" s="298">
        <f t="shared" si="114"/>
        <v>44958</v>
      </c>
      <c r="E393" s="105" t="str">
        <f>IFERROR(VLOOKUP(C393,Start!C$15:D$31,2,FALSE),"No")</f>
        <v>No</v>
      </c>
      <c r="F393" s="105">
        <f t="shared" si="115"/>
        <v>0</v>
      </c>
      <c r="G393" s="106"/>
      <c r="H393" s="106"/>
      <c r="I393" s="106"/>
      <c r="J393" s="105">
        <f t="shared" si="125"/>
        <v>0</v>
      </c>
      <c r="K393" s="106"/>
      <c r="L393" s="177" t="str">
        <f t="shared" si="126"/>
        <v/>
      </c>
      <c r="M393" s="105">
        <f t="shared" si="127"/>
        <v>0</v>
      </c>
      <c r="N393" s="110"/>
      <c r="O393" s="124"/>
      <c r="P393" s="110"/>
      <c r="Q393" s="124"/>
      <c r="R393" s="111">
        <f>SUMIFS('Shipments data'!L:L,'Shipments data'!F:F,'Supply planning data'!C393,'Shipments data'!A:A,'Supply planning data'!A393,'Shipments data'!Y:Y,'Supply planning data'!D393,'Shipments data'!O:O,"received", 'Shipments data'!N:N, "Public")</f>
        <v>0</v>
      </c>
      <c r="S393" s="111">
        <f>SUMIFS('Shipments data'!L:L,'Shipments data'!F:F,'Supply planning data'!C393,'Shipments data'!A:A,'Supply planning data'!A393,'Shipments data'!Y:Y,'Supply planning data'!D393,'Shipments data'!O:O,"ordered", 'Shipments data'!N:N, "Public")</f>
        <v>0</v>
      </c>
      <c r="T393" s="111">
        <f>IF(SUMIFS('Shipments data'!L:L,'Shipments data'!F:F,'Supply planning data'!C393,'Shipments data'!A:A,'Supply planning data'!A393,'Shipments data'!O:O,"received",'Shipments data'!Q:Q,"&lt;"&amp;'Supply planning data'!D408,'Shipments data'!AC:AC,"&lt;"&amp;'Supply planning data'!D408)-SUMIFS(M:M,D:D,"&lt;="&amp;D393,C:C,C393)+SUMIFS(N:N,D:D,"&lt;="&amp;D393,C:C,C393)+SUMIFS(P:P,D:D,"&lt;="&amp;D393,C:C,C393)&lt;0,0,SUMIFS('Shipments data'!L:L,'Shipments data'!F:F,'Supply planning data'!C393,'Shipments data'!A:A,'Supply planning data'!A393,'Shipments data'!O:O,"received",'Shipments data'!Q:Q,"&lt;"&amp;'Supply planning data'!D408,'Shipments data'!AC:AC,"&lt;"&amp;'Supply planning data'!D408)-SUMIFS(M:M,D:D,"&lt;="&amp;D393,C:C,C393)+SUMIFS(N:N,D:D,"&lt;="&amp;D393,C:C,C393)+SUMIFS(P:P,D:D,"&lt;="&amp;D393,C:C,C393))</f>
        <v>0</v>
      </c>
      <c r="U393" s="112">
        <f t="shared" si="116"/>
        <v>0</v>
      </c>
      <c r="V393" s="111">
        <f t="shared" si="124"/>
        <v>0</v>
      </c>
      <c r="W393" s="204" t="str">
        <f t="shared" si="122"/>
        <v/>
      </c>
      <c r="X393" s="111">
        <f t="shared" si="117"/>
        <v>0</v>
      </c>
      <c r="Y393" s="110"/>
      <c r="Z393" s="107"/>
      <c r="AA393" s="111">
        <f t="shared" si="128"/>
        <v>0</v>
      </c>
      <c r="AB393" s="235"/>
      <c r="AC393" s="111">
        <f>IF(SUMIFS('Shipments data'!L:L,'Shipments data'!F:F,'Supply planning data'!C393,'Shipments data'!A:A,'Supply planning data'!A393,'Shipments data'!O:O,"received",'Shipments data'!Q:Q,"&lt;"&amp;'Supply planning data'!D408,'Shipments data'!AC:AC,"&lt;"&amp;'Supply planning data'!D408)-SUMIFS(M:M,D:D,"&lt;="&amp;D393,C:C,C393)-SUMIFS(AA:AA,D:D,"&lt;="&amp;D393,C:C,C393)+SUMIFS(N:N,D:D,"&lt;="&amp;D393,C:C,C393)+SUMIFS(P:P,D:D,"&lt;="&amp;D393,C:C,C393)&lt;0,0,SUMIFS('Shipments data'!L:L,'Shipments data'!F:F,'Supply planning data'!C393,'Shipments data'!A:A,'Supply planning data'!A393,'Shipments data'!O:O,"received",'Shipments data'!Q:Q,"&lt;"&amp;'Supply planning data'!D408,'Shipments data'!AC:AC,"&lt;"&amp;'Supply planning data'!D408)-SUMIFS(M:M,D:D,"&lt;="&amp;D393,C:C,C393)-SUMIFS(AA:AA,D:D,"&lt;="&amp;D393,C:C,C393)+SUMIFS(N:N,D:D,"&lt;="&amp;D393,C:C,C393)+SUMIFS(P:P,D:D,"&lt;="&amp;D393,C:C,C393))</f>
        <v>0</v>
      </c>
      <c r="AD393" s="111">
        <f t="shared" si="118"/>
        <v>0</v>
      </c>
      <c r="AE393" s="111">
        <f t="shared" si="130"/>
        <v>0</v>
      </c>
      <c r="AF393" s="204" t="str">
        <f t="shared" si="121"/>
        <v/>
      </c>
      <c r="AG393" s="111">
        <f t="shared" si="119"/>
        <v>0</v>
      </c>
      <c r="AH393" s="110"/>
      <c r="AI393" s="313"/>
      <c r="AJ393" s="111">
        <f t="shared" si="129"/>
        <v>0</v>
      </c>
      <c r="AK393" s="235"/>
      <c r="AL393" s="111">
        <f>IF(SUMIFS('Shipments data'!L:L,'Shipments data'!F:F,'Supply planning data'!C393,'Shipments data'!A:A,'Supply planning data'!A393,'Shipments data'!O:O,"received",'Shipments data'!Q:Q,"&lt;"&amp;'Supply planning data'!D408,'Shipments data'!AC:AC,"&lt;"&amp;'Supply planning data'!D408)-SUMIFS(M:M,D:D,"&lt;="&amp;D393,C:C,C393)-SUMIFS(AJ:AJ,D:D,"&lt;="&amp;D393,C:C,C393)+SUMIFS(N:N,D:D,"&lt;="&amp;D393,C:C,C393)+SUMIFS(P:P,D:D,"&lt;="&amp;D393,C:C,C393)&lt;0,0,SUMIFS('Shipments data'!L:L,'Shipments data'!F:F,'Supply planning data'!C393,'Shipments data'!A:A,'Supply planning data'!A393,'Shipments data'!O:O,"received",'Shipments data'!Q:Q,"&lt;"&amp;'Supply planning data'!D408,'Shipments data'!AC:AC,"&lt;"&amp;'Supply planning data'!D408)-SUMIFS(M:M,D:D,"&lt;="&amp;D393,C:C,C393)-SUMIFS(AJ:AJ,D:D,"&lt;="&amp;D393,C:C,C393)+SUMIFS(N:N,D:D,"&lt;="&amp;D393,C:C,C393)+SUMIFS(P:P,D:D,"&lt;="&amp;D393,C:C,C393))</f>
        <v>0</v>
      </c>
      <c r="AM393" s="111">
        <f t="shared" si="120"/>
        <v>0</v>
      </c>
      <c r="AN393" s="111">
        <f t="shared" si="131"/>
        <v>0</v>
      </c>
      <c r="AO393" s="204" t="str">
        <f t="shared" si="123"/>
        <v/>
      </c>
    </row>
    <row r="394" spans="1:41" hidden="1" x14ac:dyDescent="0.25">
      <c r="A394" s="113" t="str">
        <f>Start!D$7</f>
        <v>Anyland</v>
      </c>
      <c r="B394" s="114" t="str">
        <f>VLOOKUP(A394,list!B:C,2,FALSE)</f>
        <v>ANY</v>
      </c>
      <c r="C394" s="104" t="str">
        <f>IF(Start!$C$31="","",Start!$C$31)</f>
        <v/>
      </c>
      <c r="D394" s="298">
        <f t="shared" si="114"/>
        <v>44958</v>
      </c>
      <c r="E394" s="105" t="str">
        <f>IFERROR(VLOOKUP(C394,Start!C$15:D$31,2,FALSE),"No")</f>
        <v>No</v>
      </c>
      <c r="F394" s="105">
        <f t="shared" si="115"/>
        <v>0</v>
      </c>
      <c r="G394" s="106"/>
      <c r="H394" s="106"/>
      <c r="I394" s="106"/>
      <c r="J394" s="105">
        <f t="shared" si="125"/>
        <v>0</v>
      </c>
      <c r="K394" s="106"/>
      <c r="L394" s="177" t="str">
        <f t="shared" si="126"/>
        <v/>
      </c>
      <c r="M394" s="105">
        <f t="shared" si="127"/>
        <v>0</v>
      </c>
      <c r="N394" s="110"/>
      <c r="O394" s="124"/>
      <c r="P394" s="110"/>
      <c r="Q394" s="124"/>
      <c r="R394" s="111">
        <f>SUMIFS('Shipments data'!L:L,'Shipments data'!F:F,'Supply planning data'!C394,'Shipments data'!A:A,'Supply planning data'!A394,'Shipments data'!Y:Y,'Supply planning data'!D394,'Shipments data'!O:O,"received", 'Shipments data'!N:N, "Public")</f>
        <v>0</v>
      </c>
      <c r="S394" s="111">
        <f>SUMIFS('Shipments data'!L:L,'Shipments data'!F:F,'Supply planning data'!C394,'Shipments data'!A:A,'Supply planning data'!A394,'Shipments data'!Y:Y,'Supply planning data'!D394,'Shipments data'!O:O,"ordered", 'Shipments data'!N:N, "Public")</f>
        <v>0</v>
      </c>
      <c r="T394" s="111">
        <f>IF(SUMIFS('Shipments data'!L:L,'Shipments data'!F:F,'Supply planning data'!C394,'Shipments data'!A:A,'Supply planning data'!A394,'Shipments data'!O:O,"received",'Shipments data'!Q:Q,"&lt;"&amp;'Supply planning data'!D409,'Shipments data'!AC:AC,"&lt;"&amp;'Supply planning data'!D409)-SUMIFS(M:M,D:D,"&lt;="&amp;D394,C:C,C394)+SUMIFS(N:N,D:D,"&lt;="&amp;D394,C:C,C394)+SUMIFS(P:P,D:D,"&lt;="&amp;D394,C:C,C394)&lt;0,0,SUMIFS('Shipments data'!L:L,'Shipments data'!F:F,'Supply planning data'!C394,'Shipments data'!A:A,'Supply planning data'!A394,'Shipments data'!O:O,"received",'Shipments data'!Q:Q,"&lt;"&amp;'Supply planning data'!D409,'Shipments data'!AC:AC,"&lt;"&amp;'Supply planning data'!D409)-SUMIFS(M:M,D:D,"&lt;="&amp;D394,C:C,C394)+SUMIFS(N:N,D:D,"&lt;="&amp;D394,C:C,C394)+SUMIFS(P:P,D:D,"&lt;="&amp;D394,C:C,C394))</f>
        <v>0</v>
      </c>
      <c r="U394" s="112">
        <f t="shared" si="116"/>
        <v>0</v>
      </c>
      <c r="V394" s="111">
        <f t="shared" si="124"/>
        <v>0</v>
      </c>
      <c r="W394" s="204" t="str">
        <f t="shared" si="122"/>
        <v/>
      </c>
      <c r="X394" s="111">
        <f t="shared" si="117"/>
        <v>0</v>
      </c>
      <c r="Y394" s="110"/>
      <c r="Z394" s="107"/>
      <c r="AA394" s="111">
        <f t="shared" si="128"/>
        <v>0</v>
      </c>
      <c r="AB394" s="235"/>
      <c r="AC394" s="111">
        <f>IF(SUMIFS('Shipments data'!L:L,'Shipments data'!F:F,'Supply planning data'!C394,'Shipments data'!A:A,'Supply planning data'!A394,'Shipments data'!O:O,"received",'Shipments data'!Q:Q,"&lt;"&amp;'Supply planning data'!D409,'Shipments data'!AC:AC,"&lt;"&amp;'Supply planning data'!D409)-SUMIFS(M:M,D:D,"&lt;="&amp;D394,C:C,C394)-SUMIFS(AA:AA,D:D,"&lt;="&amp;D394,C:C,C394)+SUMIFS(N:N,D:D,"&lt;="&amp;D394,C:C,C394)+SUMIFS(P:P,D:D,"&lt;="&amp;D394,C:C,C394)&lt;0,0,SUMIFS('Shipments data'!L:L,'Shipments data'!F:F,'Supply planning data'!C394,'Shipments data'!A:A,'Supply planning data'!A394,'Shipments data'!O:O,"received",'Shipments data'!Q:Q,"&lt;"&amp;'Supply planning data'!D409,'Shipments data'!AC:AC,"&lt;"&amp;'Supply planning data'!D409)-SUMIFS(M:M,D:D,"&lt;="&amp;D394,C:C,C394)-SUMIFS(AA:AA,D:D,"&lt;="&amp;D394,C:C,C394)+SUMIFS(N:N,D:D,"&lt;="&amp;D394,C:C,C394)+SUMIFS(P:P,D:D,"&lt;="&amp;D394,C:C,C394))</f>
        <v>0</v>
      </c>
      <c r="AD394" s="111">
        <f t="shared" si="118"/>
        <v>0</v>
      </c>
      <c r="AE394" s="111">
        <f t="shared" si="130"/>
        <v>0</v>
      </c>
      <c r="AF394" s="204" t="str">
        <f t="shared" si="121"/>
        <v/>
      </c>
      <c r="AG394" s="111">
        <f t="shared" si="119"/>
        <v>0</v>
      </c>
      <c r="AH394" s="110"/>
      <c r="AI394" s="313"/>
      <c r="AJ394" s="111">
        <f t="shared" si="129"/>
        <v>0</v>
      </c>
      <c r="AK394" s="235"/>
      <c r="AL394" s="111">
        <f>IF(SUMIFS('Shipments data'!L:L,'Shipments data'!F:F,'Supply planning data'!C394,'Shipments data'!A:A,'Supply planning data'!A394,'Shipments data'!O:O,"received",'Shipments data'!Q:Q,"&lt;"&amp;'Supply planning data'!D409,'Shipments data'!AC:AC,"&lt;"&amp;'Supply planning data'!D409)-SUMIFS(M:M,D:D,"&lt;="&amp;D394,C:C,C394)-SUMIFS(AJ:AJ,D:D,"&lt;="&amp;D394,C:C,C394)+SUMIFS(N:N,D:D,"&lt;="&amp;D394,C:C,C394)+SUMIFS(P:P,D:D,"&lt;="&amp;D394,C:C,C394)&lt;0,0,SUMIFS('Shipments data'!L:L,'Shipments data'!F:F,'Supply planning data'!C394,'Shipments data'!A:A,'Supply planning data'!A394,'Shipments data'!O:O,"received",'Shipments data'!Q:Q,"&lt;"&amp;'Supply planning data'!D409,'Shipments data'!AC:AC,"&lt;"&amp;'Supply planning data'!D409)-SUMIFS(M:M,D:D,"&lt;="&amp;D394,C:C,C394)-SUMIFS(AJ:AJ,D:D,"&lt;="&amp;D394,C:C,C394)+SUMIFS(N:N,D:D,"&lt;="&amp;D394,C:C,C394)+SUMIFS(P:P,D:D,"&lt;="&amp;D394,C:C,C394))</f>
        <v>0</v>
      </c>
      <c r="AM394" s="111">
        <f t="shared" si="120"/>
        <v>0</v>
      </c>
      <c r="AN394" s="111">
        <f t="shared" si="131"/>
        <v>0</v>
      </c>
      <c r="AO394" s="204" t="str">
        <f t="shared" si="123"/>
        <v/>
      </c>
    </row>
    <row r="395" spans="1:41" x14ac:dyDescent="0.25">
      <c r="A395" s="89" t="str">
        <f>Start!D$7</f>
        <v>Anyland</v>
      </c>
      <c r="B395" s="90" t="str">
        <f>VLOOKUP(A395,list!B:C,2,FALSE)</f>
        <v>ANY</v>
      </c>
      <c r="C395" s="90" t="str">
        <f>IF(Start!$C$17="","",Start!$C$17)</f>
        <v>AstraZeneca</v>
      </c>
      <c r="D395" s="296">
        <f t="shared" si="114"/>
        <v>44986</v>
      </c>
      <c r="E395" s="92" t="str">
        <f>IFERROR(VLOOKUP(C395,Start!C$15:D$31,2,FALSE),"No")</f>
        <v>Yes</v>
      </c>
      <c r="F395" s="92">
        <f t="shared" si="115"/>
        <v>0</v>
      </c>
      <c r="G395" s="91"/>
      <c r="H395" s="91"/>
      <c r="I395" s="91"/>
      <c r="J395" s="92">
        <f t="shared" si="125"/>
        <v>0</v>
      </c>
      <c r="K395" s="91"/>
      <c r="L395" s="174" t="str">
        <f t="shared" si="126"/>
        <v/>
      </c>
      <c r="M395" s="92">
        <f t="shared" si="127"/>
        <v>0</v>
      </c>
      <c r="N395" s="91"/>
      <c r="O395" s="121"/>
      <c r="P395" s="91"/>
      <c r="Q395" s="121"/>
      <c r="R395" s="92">
        <f>SUMIFS('Shipments data'!L:L,'Shipments data'!F:F,'Supply planning data'!C395,'Shipments data'!A:A,'Supply planning data'!A395,'Shipments data'!Y:Y,'Supply planning data'!D395,'Shipments data'!O:O,"received", 'Shipments data'!N:N, "Public")</f>
        <v>0</v>
      </c>
      <c r="S395" s="92">
        <f>SUMIFS('Shipments data'!L:L,'Shipments data'!F:F,'Supply planning data'!C395,'Shipments data'!A:A,'Supply planning data'!A395,'Shipments data'!Y:Y,'Supply planning data'!D395,'Shipments data'!O:O,"ordered", 'Shipments data'!N:N, "Public")</f>
        <v>0</v>
      </c>
      <c r="T395" s="92">
        <f>IF(SUMIFS('Shipments data'!L:L,'Shipments data'!F:F,'Supply planning data'!C395,'Shipments data'!A:A,'Supply planning data'!A395,'Shipments data'!O:O,"received",'Shipments data'!Q:Q,"&lt;"&amp;'Supply planning data'!D410,'Shipments data'!AC:AC,"&lt;"&amp;'Supply planning data'!D410)-SUMIFS(M:M,D:D,"&lt;="&amp;D395,C:C,C395)+SUMIFS(N:N,D:D,"&lt;="&amp;D395,C:C,C395)+SUMIFS(P:P,D:D,"&lt;="&amp;D395,C:C,C395)&lt;0,0,SUMIFS('Shipments data'!L:L,'Shipments data'!F:F,'Supply planning data'!C395,'Shipments data'!A:A,'Supply planning data'!A395,'Shipments data'!O:O,"received",'Shipments data'!Q:Q,"&lt;"&amp;'Supply planning data'!D410,'Shipments data'!AC:AC,"&lt;"&amp;'Supply planning data'!D410)-SUMIFS(M:M,D:D,"&lt;="&amp;D395,C:C,C395)+SUMIFS(N:N,D:D,"&lt;="&amp;D395,C:C,C395)+SUMIFS(P:P,D:D,"&lt;="&amp;D395,C:C,C395))</f>
        <v>0</v>
      </c>
      <c r="U395" s="94">
        <f t="shared" si="116"/>
        <v>0</v>
      </c>
      <c r="V395" s="92">
        <f t="shared" si="124"/>
        <v>0</v>
      </c>
      <c r="W395" s="205" t="str">
        <f t="shared" si="122"/>
        <v/>
      </c>
      <c r="X395" s="92">
        <f t="shared" si="117"/>
        <v>154701</v>
      </c>
      <c r="Y395" s="91"/>
      <c r="Z395" s="93"/>
      <c r="AA395" s="92">
        <f t="shared" si="128"/>
        <v>0</v>
      </c>
      <c r="AB395" s="232"/>
      <c r="AC395" s="92">
        <f>IF(SUMIFS('Shipments data'!L:L,'Shipments data'!F:F,'Supply planning data'!C395,'Shipments data'!A:A,'Supply planning data'!A395,'Shipments data'!O:O,"received",'Shipments data'!Q:Q,"&lt;"&amp;'Supply planning data'!D410,'Shipments data'!AC:AC,"&lt;"&amp;'Supply planning data'!D410)-SUMIFS(M:M,D:D,"&lt;="&amp;D395,C:C,C395)-SUMIFS(AA:AA,D:D,"&lt;="&amp;D395,C:C,C395)+SUMIFS(N:N,D:D,"&lt;="&amp;D395,C:C,C395)+SUMIFS(P:P,D:D,"&lt;="&amp;D395,C:C,C395)&lt;0,0,SUMIFS('Shipments data'!L:L,'Shipments data'!F:F,'Supply planning data'!C395,'Shipments data'!A:A,'Supply planning data'!A395,'Shipments data'!O:O,"received",'Shipments data'!Q:Q,"&lt;"&amp;'Supply planning data'!D410,'Shipments data'!AC:AC,"&lt;"&amp;'Supply planning data'!D410)-SUMIFS(M:M,D:D,"&lt;="&amp;D395,C:C,C395)-SUMIFS(AA:AA,D:D,"&lt;="&amp;D395,C:C,C395)+SUMIFS(N:N,D:D,"&lt;="&amp;D395,C:C,C395)+SUMIFS(P:P,D:D,"&lt;="&amp;D395,C:C,C395))</f>
        <v>0</v>
      </c>
      <c r="AD395" s="92">
        <f t="shared" si="118"/>
        <v>0</v>
      </c>
      <c r="AE395" s="92">
        <f t="shared" si="130"/>
        <v>154701</v>
      </c>
      <c r="AF395" s="205" t="str">
        <f t="shared" si="121"/>
        <v/>
      </c>
      <c r="AG395" s="92">
        <f t="shared" si="119"/>
        <v>0</v>
      </c>
      <c r="AH395" s="91"/>
      <c r="AI395" s="310"/>
      <c r="AJ395" s="92">
        <f t="shared" si="129"/>
        <v>0</v>
      </c>
      <c r="AK395" s="232"/>
      <c r="AL395" s="92">
        <f>IF(SUMIFS('Shipments data'!L:L,'Shipments data'!F:F,'Supply planning data'!C395,'Shipments data'!A:A,'Supply planning data'!A395,'Shipments data'!O:O,"received",'Shipments data'!Q:Q,"&lt;"&amp;'Supply planning data'!D410,'Shipments data'!AC:AC,"&lt;"&amp;'Supply planning data'!D410)-SUMIFS(M:M,D:D,"&lt;="&amp;D395,C:C,C395)-SUMIFS(AJ:AJ,D:D,"&lt;="&amp;D395,C:C,C395)+SUMIFS(N:N,D:D,"&lt;="&amp;D395,C:C,C395)+SUMIFS(P:P,D:D,"&lt;="&amp;D395,C:C,C395)&lt;0,0,SUMIFS('Shipments data'!L:L,'Shipments data'!F:F,'Supply planning data'!C395,'Shipments data'!A:A,'Supply planning data'!A395,'Shipments data'!O:O,"received",'Shipments data'!Q:Q,"&lt;"&amp;'Supply planning data'!D410,'Shipments data'!AC:AC,"&lt;"&amp;'Supply planning data'!D410)-SUMIFS(M:M,D:D,"&lt;="&amp;D395,C:C,C395)-SUMIFS(AJ:AJ,D:D,"&lt;="&amp;D395,C:C,C395)+SUMIFS(N:N,D:D,"&lt;="&amp;D395,C:C,C395)+SUMIFS(P:P,D:D,"&lt;="&amp;D395,C:C,C395))</f>
        <v>0</v>
      </c>
      <c r="AM395" s="92">
        <f t="shared" si="120"/>
        <v>0</v>
      </c>
      <c r="AN395" s="92">
        <f t="shared" si="131"/>
        <v>0</v>
      </c>
      <c r="AO395" s="205" t="str">
        <f t="shared" si="123"/>
        <v/>
      </c>
    </row>
    <row r="396" spans="1:41" x14ac:dyDescent="0.25">
      <c r="A396" s="95" t="str">
        <f>Start!D$7</f>
        <v>Anyland</v>
      </c>
      <c r="B396" s="96" t="str">
        <f>VLOOKUP(A396,list!B:C,2,FALSE)</f>
        <v>ANY</v>
      </c>
      <c r="C396" s="90" t="str">
        <f>IF(Start!$C$18="","",Start!$C$18)</f>
        <v>Jansen</v>
      </c>
      <c r="D396" s="296">
        <f t="shared" si="114"/>
        <v>44986</v>
      </c>
      <c r="E396" s="92" t="str">
        <f>IFERROR(VLOOKUP(C396,Start!C$15:D$31,2,FALSE),"No")</f>
        <v>Yes</v>
      </c>
      <c r="F396" s="92">
        <f t="shared" si="115"/>
        <v>2258747</v>
      </c>
      <c r="G396" s="91"/>
      <c r="H396" s="97"/>
      <c r="I396" s="97"/>
      <c r="J396" s="98">
        <f t="shared" si="125"/>
        <v>0</v>
      </c>
      <c r="K396" s="97"/>
      <c r="L396" s="175" t="str">
        <f t="shared" si="126"/>
        <v/>
      </c>
      <c r="M396" s="98">
        <f t="shared" si="127"/>
        <v>0</v>
      </c>
      <c r="N396" s="97"/>
      <c r="O396" s="122"/>
      <c r="P396" s="97"/>
      <c r="Q396" s="122"/>
      <c r="R396" s="98">
        <f>SUMIFS('Shipments data'!L:L,'Shipments data'!F:F,'Supply planning data'!C396,'Shipments data'!A:A,'Supply planning data'!A396,'Shipments data'!Y:Y,'Supply planning data'!D396,'Shipments data'!O:O,"received", 'Shipments data'!N:N, "Public")</f>
        <v>0</v>
      </c>
      <c r="S396" s="98">
        <f>SUMIFS('Shipments data'!L:L,'Shipments data'!F:F,'Supply planning data'!C396,'Shipments data'!A:A,'Supply planning data'!A396,'Shipments data'!Y:Y,'Supply planning data'!D396,'Shipments data'!O:O,"ordered", 'Shipments data'!N:N, "Public")</f>
        <v>0</v>
      </c>
      <c r="T396" s="98">
        <f>IF(SUMIFS('Shipments data'!L:L,'Shipments data'!F:F,'Supply planning data'!C396,'Shipments data'!A:A,'Supply planning data'!A396,'Shipments data'!O:O,"received",'Shipments data'!Q:Q,"&lt;"&amp;'Supply planning data'!D411,'Shipments data'!AC:AC,"&lt;"&amp;'Supply planning data'!D411)-SUMIFS(M:M,D:D,"&lt;="&amp;D396,C:C,C396)+SUMIFS(N:N,D:D,"&lt;="&amp;D396,C:C,C396)+SUMIFS(P:P,D:D,"&lt;="&amp;D396,C:C,C396)&lt;0,0,SUMIFS('Shipments data'!L:L,'Shipments data'!F:F,'Supply planning data'!C396,'Shipments data'!A:A,'Supply planning data'!A396,'Shipments data'!O:O,"received",'Shipments data'!Q:Q,"&lt;"&amp;'Supply planning data'!D411,'Shipments data'!AC:AC,"&lt;"&amp;'Supply planning data'!D411)-SUMIFS(M:M,D:D,"&lt;="&amp;D396,C:C,C396)+SUMIFS(N:N,D:D,"&lt;="&amp;D396,C:C,C396)+SUMIFS(P:P,D:D,"&lt;="&amp;D396,C:C,C396))</f>
        <v>0</v>
      </c>
      <c r="U396" s="99">
        <f t="shared" si="116"/>
        <v>0</v>
      </c>
      <c r="V396" s="98">
        <f t="shared" si="124"/>
        <v>2258747</v>
      </c>
      <c r="W396" s="203" t="str">
        <f t="shared" si="122"/>
        <v/>
      </c>
      <c r="X396" s="98">
        <f t="shared" si="117"/>
        <v>1698747</v>
      </c>
      <c r="Y396" s="97"/>
      <c r="Z396" s="93"/>
      <c r="AA396" s="98">
        <f t="shared" si="128"/>
        <v>0</v>
      </c>
      <c r="AB396" s="233"/>
      <c r="AC396" s="98">
        <f>IF(SUMIFS('Shipments data'!L:L,'Shipments data'!F:F,'Supply planning data'!C396,'Shipments data'!A:A,'Supply planning data'!A396,'Shipments data'!O:O,"received",'Shipments data'!Q:Q,"&lt;"&amp;'Supply planning data'!D411,'Shipments data'!AC:AC,"&lt;"&amp;'Supply planning data'!D411)-SUMIFS(M:M,D:D,"&lt;="&amp;D396,C:C,C396)-SUMIFS(AA:AA,D:D,"&lt;="&amp;D396,C:C,C396)+SUMIFS(N:N,D:D,"&lt;="&amp;D396,C:C,C396)+SUMIFS(P:P,D:D,"&lt;="&amp;D396,C:C,C396)&lt;0,0,SUMIFS('Shipments data'!L:L,'Shipments data'!F:F,'Supply planning data'!C396,'Shipments data'!A:A,'Supply planning data'!A396,'Shipments data'!O:O,"received",'Shipments data'!Q:Q,"&lt;"&amp;'Supply planning data'!D411,'Shipments data'!AC:AC,"&lt;"&amp;'Supply planning data'!D411)-SUMIFS(M:M,D:D,"&lt;="&amp;D396,C:C,C396)-SUMIFS(AA:AA,D:D,"&lt;="&amp;D396,C:C,C396)+SUMIFS(N:N,D:D,"&lt;="&amp;D396,C:C,C396)+SUMIFS(P:P,D:D,"&lt;="&amp;D396,C:C,C396))</f>
        <v>0</v>
      </c>
      <c r="AD396" s="98">
        <f t="shared" si="118"/>
        <v>0</v>
      </c>
      <c r="AE396" s="98">
        <f t="shared" si="130"/>
        <v>1698747</v>
      </c>
      <c r="AF396" s="205" t="str">
        <f t="shared" si="121"/>
        <v/>
      </c>
      <c r="AG396" s="98">
        <f t="shared" si="119"/>
        <v>2258747</v>
      </c>
      <c r="AH396" s="97"/>
      <c r="AI396" s="311"/>
      <c r="AJ396" s="98">
        <f t="shared" si="129"/>
        <v>0</v>
      </c>
      <c r="AK396" s="233"/>
      <c r="AL396" s="98">
        <f>IF(SUMIFS('Shipments data'!L:L,'Shipments data'!F:F,'Supply planning data'!C396,'Shipments data'!A:A,'Supply planning data'!A396,'Shipments data'!O:O,"received",'Shipments data'!Q:Q,"&lt;"&amp;'Supply planning data'!D411,'Shipments data'!AC:AC,"&lt;"&amp;'Supply planning data'!D411)-SUMIFS(M:M,D:D,"&lt;="&amp;D396,C:C,C396)-SUMIFS(AJ:AJ,D:D,"&lt;="&amp;D396,C:C,C396)+SUMIFS(N:N,D:D,"&lt;="&amp;D396,C:C,C396)+SUMIFS(P:P,D:D,"&lt;="&amp;D396,C:C,C396)&lt;0,0,SUMIFS('Shipments data'!L:L,'Shipments data'!F:F,'Supply planning data'!C396,'Shipments data'!A:A,'Supply planning data'!A396,'Shipments data'!O:O,"received",'Shipments data'!Q:Q,"&lt;"&amp;'Supply planning data'!D411,'Shipments data'!AC:AC,"&lt;"&amp;'Supply planning data'!D411)-SUMIFS(M:M,D:D,"&lt;="&amp;D396,C:C,C396)-SUMIFS(AJ:AJ,D:D,"&lt;="&amp;D396,C:C,C396)+SUMIFS(N:N,D:D,"&lt;="&amp;D396,C:C,C396)+SUMIFS(P:P,D:D,"&lt;="&amp;D396,C:C,C396))</f>
        <v>0</v>
      </c>
      <c r="AM396" s="98">
        <f t="shared" si="120"/>
        <v>0</v>
      </c>
      <c r="AN396" s="98">
        <f t="shared" si="131"/>
        <v>2258747</v>
      </c>
      <c r="AO396" s="203" t="str">
        <f t="shared" si="123"/>
        <v/>
      </c>
    </row>
    <row r="397" spans="1:41" x14ac:dyDescent="0.25">
      <c r="A397" s="95" t="str">
        <f>Start!D$7</f>
        <v>Anyland</v>
      </c>
      <c r="B397" s="96" t="str">
        <f>VLOOKUP(A397,list!B:C,2,FALSE)</f>
        <v>ANY</v>
      </c>
      <c r="C397" s="90" t="str">
        <f>IF(Start!$C$19="","",Start!$C$19)</f>
        <v>Moderna</v>
      </c>
      <c r="D397" s="296">
        <f t="shared" si="114"/>
        <v>44986</v>
      </c>
      <c r="E397" s="92" t="str">
        <f>IFERROR(VLOOKUP(C397,Start!C$15:D$31,2,FALSE),"No")</f>
        <v>No</v>
      </c>
      <c r="F397" s="92">
        <f t="shared" si="115"/>
        <v>0</v>
      </c>
      <c r="G397" s="91"/>
      <c r="H397" s="97"/>
      <c r="I397" s="97"/>
      <c r="J397" s="98">
        <f t="shared" si="125"/>
        <v>0</v>
      </c>
      <c r="K397" s="97"/>
      <c r="L397" s="175" t="str">
        <f t="shared" si="126"/>
        <v/>
      </c>
      <c r="M397" s="98">
        <f t="shared" si="127"/>
        <v>0</v>
      </c>
      <c r="N397" s="97"/>
      <c r="O397" s="122"/>
      <c r="P397" s="97"/>
      <c r="Q397" s="122"/>
      <c r="R397" s="98">
        <f>SUMIFS('Shipments data'!L:L,'Shipments data'!F:F,'Supply planning data'!C397,'Shipments data'!A:A,'Supply planning data'!A397,'Shipments data'!Y:Y,'Supply planning data'!D397,'Shipments data'!O:O,"received", 'Shipments data'!N:N, "Public")</f>
        <v>0</v>
      </c>
      <c r="S397" s="98">
        <f>SUMIFS('Shipments data'!L:L,'Shipments data'!F:F,'Supply planning data'!C397,'Shipments data'!A:A,'Supply planning data'!A397,'Shipments data'!Y:Y,'Supply planning data'!D397,'Shipments data'!O:O,"ordered", 'Shipments data'!N:N, "Public")</f>
        <v>0</v>
      </c>
      <c r="T397" s="98">
        <f>IF(SUMIFS('Shipments data'!L:L,'Shipments data'!F:F,'Supply planning data'!C397,'Shipments data'!A:A,'Supply planning data'!A397,'Shipments data'!O:O,"received",'Shipments data'!Q:Q,"&lt;"&amp;'Supply planning data'!D412,'Shipments data'!AC:AC,"&lt;"&amp;'Supply planning data'!D412)-SUMIFS(M:M,D:D,"&lt;="&amp;D397,C:C,C397)+SUMIFS(N:N,D:D,"&lt;="&amp;D397,C:C,C397)+SUMIFS(P:P,D:D,"&lt;="&amp;D397,C:C,C397)&lt;0,0,SUMIFS('Shipments data'!L:L,'Shipments data'!F:F,'Supply planning data'!C397,'Shipments data'!A:A,'Supply planning data'!A397,'Shipments data'!O:O,"received",'Shipments data'!Q:Q,"&lt;"&amp;'Supply planning data'!D412,'Shipments data'!AC:AC,"&lt;"&amp;'Supply planning data'!D412)-SUMIFS(M:M,D:D,"&lt;="&amp;D397,C:C,C397)+SUMIFS(N:N,D:D,"&lt;="&amp;D397,C:C,C397)+SUMIFS(P:P,D:D,"&lt;="&amp;D397,C:C,C397))</f>
        <v>0</v>
      </c>
      <c r="U397" s="99">
        <f t="shared" si="116"/>
        <v>0</v>
      </c>
      <c r="V397" s="98">
        <f t="shared" si="124"/>
        <v>0</v>
      </c>
      <c r="W397" s="203" t="str">
        <f t="shared" si="122"/>
        <v/>
      </c>
      <c r="X397" s="98">
        <f t="shared" si="117"/>
        <v>0</v>
      </c>
      <c r="Y397" s="97"/>
      <c r="Z397" s="93"/>
      <c r="AA397" s="98">
        <f t="shared" si="128"/>
        <v>0</v>
      </c>
      <c r="AB397" s="233"/>
      <c r="AC397" s="98">
        <f>IF(SUMIFS('Shipments data'!L:L,'Shipments data'!F:F,'Supply planning data'!C397,'Shipments data'!A:A,'Supply planning data'!A397,'Shipments data'!O:O,"received",'Shipments data'!Q:Q,"&lt;"&amp;'Supply planning data'!D412,'Shipments data'!AC:AC,"&lt;"&amp;'Supply planning data'!D412)-SUMIFS(M:M,D:D,"&lt;="&amp;D397,C:C,C397)-SUMIFS(AA:AA,D:D,"&lt;="&amp;D397,C:C,C397)+SUMIFS(N:N,D:D,"&lt;="&amp;D397,C:C,C397)+SUMIFS(P:P,D:D,"&lt;="&amp;D397,C:C,C397)&lt;0,0,SUMIFS('Shipments data'!L:L,'Shipments data'!F:F,'Supply planning data'!C397,'Shipments data'!A:A,'Supply planning data'!A397,'Shipments data'!O:O,"received",'Shipments data'!Q:Q,"&lt;"&amp;'Supply planning data'!D412,'Shipments data'!AC:AC,"&lt;"&amp;'Supply planning data'!D412)-SUMIFS(M:M,D:D,"&lt;="&amp;D397,C:C,C397)-SUMIFS(AA:AA,D:D,"&lt;="&amp;D397,C:C,C397)+SUMIFS(N:N,D:D,"&lt;="&amp;D397,C:C,C397)+SUMIFS(P:P,D:D,"&lt;="&amp;D397,C:C,C397))</f>
        <v>0</v>
      </c>
      <c r="AD397" s="98">
        <f t="shared" si="118"/>
        <v>0</v>
      </c>
      <c r="AE397" s="98">
        <f t="shared" si="130"/>
        <v>0</v>
      </c>
      <c r="AF397" s="205" t="str">
        <f t="shared" si="121"/>
        <v/>
      </c>
      <c r="AG397" s="98">
        <f t="shared" si="119"/>
        <v>0</v>
      </c>
      <c r="AH397" s="97"/>
      <c r="AI397" s="311"/>
      <c r="AJ397" s="98">
        <f t="shared" si="129"/>
        <v>0</v>
      </c>
      <c r="AK397" s="233"/>
      <c r="AL397" s="98">
        <f>IF(SUMIFS('Shipments data'!L:L,'Shipments data'!F:F,'Supply planning data'!C397,'Shipments data'!A:A,'Supply planning data'!A397,'Shipments data'!O:O,"received",'Shipments data'!Q:Q,"&lt;"&amp;'Supply planning data'!D412,'Shipments data'!AC:AC,"&lt;"&amp;'Supply planning data'!D412)-SUMIFS(M:M,D:D,"&lt;="&amp;D397,C:C,C397)-SUMIFS(AJ:AJ,D:D,"&lt;="&amp;D397,C:C,C397)+SUMIFS(N:N,D:D,"&lt;="&amp;D397,C:C,C397)+SUMIFS(P:P,D:D,"&lt;="&amp;D397,C:C,C397)&lt;0,0,SUMIFS('Shipments data'!L:L,'Shipments data'!F:F,'Supply planning data'!C397,'Shipments data'!A:A,'Supply planning data'!A397,'Shipments data'!O:O,"received",'Shipments data'!Q:Q,"&lt;"&amp;'Supply planning data'!D412,'Shipments data'!AC:AC,"&lt;"&amp;'Supply planning data'!D412)-SUMIFS(M:M,D:D,"&lt;="&amp;D397,C:C,C397)-SUMIFS(AJ:AJ,D:D,"&lt;="&amp;D397,C:C,C397)+SUMIFS(N:N,D:D,"&lt;="&amp;D397,C:C,C397)+SUMIFS(P:P,D:D,"&lt;="&amp;D397,C:C,C397))</f>
        <v>0</v>
      </c>
      <c r="AM397" s="98">
        <f t="shared" si="120"/>
        <v>0</v>
      </c>
      <c r="AN397" s="98">
        <f t="shared" si="131"/>
        <v>0</v>
      </c>
      <c r="AO397" s="203" t="str">
        <f t="shared" si="123"/>
        <v/>
      </c>
    </row>
    <row r="398" spans="1:41" x14ac:dyDescent="0.25">
      <c r="A398" s="95" t="str">
        <f>Start!D$7</f>
        <v>Anyland</v>
      </c>
      <c r="B398" s="96" t="str">
        <f>VLOOKUP(A398,list!B:C,2,FALSE)</f>
        <v>ANY</v>
      </c>
      <c r="C398" s="90" t="str">
        <f>IF(Start!$C$20="","",Start!$C$20)</f>
        <v>Pfizer</v>
      </c>
      <c r="D398" s="296">
        <f t="shared" si="114"/>
        <v>44986</v>
      </c>
      <c r="E398" s="92" t="str">
        <f>IFERROR(VLOOKUP(C398,Start!C$15:D$31,2,FALSE),"No")</f>
        <v>Yes</v>
      </c>
      <c r="F398" s="92">
        <f t="shared" si="115"/>
        <v>3000000</v>
      </c>
      <c r="G398" s="91"/>
      <c r="H398" s="97"/>
      <c r="I398" s="97"/>
      <c r="J398" s="98">
        <f t="shared" si="125"/>
        <v>0</v>
      </c>
      <c r="K398" s="97"/>
      <c r="L398" s="175" t="str">
        <f t="shared" si="126"/>
        <v/>
      </c>
      <c r="M398" s="98">
        <f t="shared" si="127"/>
        <v>0</v>
      </c>
      <c r="N398" s="97"/>
      <c r="O398" s="122"/>
      <c r="P398" s="97"/>
      <c r="Q398" s="122"/>
      <c r="R398" s="98">
        <f>SUMIFS('Shipments data'!L:L,'Shipments data'!F:F,'Supply planning data'!C398,'Shipments data'!A:A,'Supply planning data'!A398,'Shipments data'!Y:Y,'Supply planning data'!D398,'Shipments data'!O:O,"received", 'Shipments data'!N:N, "Public")</f>
        <v>0</v>
      </c>
      <c r="S398" s="98">
        <f>SUMIFS('Shipments data'!L:L,'Shipments data'!F:F,'Supply planning data'!C398,'Shipments data'!A:A,'Supply planning data'!A398,'Shipments data'!Y:Y,'Supply planning data'!D398,'Shipments data'!O:O,"ordered", 'Shipments data'!N:N, "Public")</f>
        <v>0</v>
      </c>
      <c r="T398" s="98">
        <f>IF(SUMIFS('Shipments data'!L:L,'Shipments data'!F:F,'Supply planning data'!C398,'Shipments data'!A:A,'Supply planning data'!A398,'Shipments data'!O:O,"received",'Shipments data'!Q:Q,"&lt;"&amp;'Supply planning data'!D413,'Shipments data'!AC:AC,"&lt;"&amp;'Supply planning data'!D413)-SUMIFS(M:M,D:D,"&lt;="&amp;D398,C:C,C398)+SUMIFS(N:N,D:D,"&lt;="&amp;D398,C:C,C398)+SUMIFS(P:P,D:D,"&lt;="&amp;D398,C:C,C398)&lt;0,0,SUMIFS('Shipments data'!L:L,'Shipments data'!F:F,'Supply planning data'!C398,'Shipments data'!A:A,'Supply planning data'!A398,'Shipments data'!O:O,"received",'Shipments data'!Q:Q,"&lt;"&amp;'Supply planning data'!D413,'Shipments data'!AC:AC,"&lt;"&amp;'Supply planning data'!D413)-SUMIFS(M:M,D:D,"&lt;="&amp;D398,C:C,C398)+SUMIFS(N:N,D:D,"&lt;="&amp;D398,C:C,C398)+SUMIFS(P:P,D:D,"&lt;="&amp;D398,C:C,C398))</f>
        <v>110538</v>
      </c>
      <c r="U398" s="99">
        <f t="shared" si="116"/>
        <v>0</v>
      </c>
      <c r="V398" s="98">
        <f t="shared" si="124"/>
        <v>3000000</v>
      </c>
      <c r="W398" s="203" t="str">
        <f t="shared" si="122"/>
        <v/>
      </c>
      <c r="X398" s="98">
        <f t="shared" si="117"/>
        <v>2440000</v>
      </c>
      <c r="Y398" s="97"/>
      <c r="Z398" s="93"/>
      <c r="AA398" s="98">
        <f t="shared" si="128"/>
        <v>0</v>
      </c>
      <c r="AB398" s="233"/>
      <c r="AC398" s="98">
        <f>IF(SUMIFS('Shipments data'!L:L,'Shipments data'!F:F,'Supply planning data'!C398,'Shipments data'!A:A,'Supply planning data'!A398,'Shipments data'!O:O,"received",'Shipments data'!Q:Q,"&lt;"&amp;'Supply planning data'!D413,'Shipments data'!AC:AC,"&lt;"&amp;'Supply planning data'!D413)-SUMIFS(M:M,D:D,"&lt;="&amp;D398,C:C,C398)-SUMIFS(AA:AA,D:D,"&lt;="&amp;D398,C:C,C398)+SUMIFS(N:N,D:D,"&lt;="&amp;D398,C:C,C398)+SUMIFS(P:P,D:D,"&lt;="&amp;D398,C:C,C398)&lt;0,0,SUMIFS('Shipments data'!L:L,'Shipments data'!F:F,'Supply planning data'!C398,'Shipments data'!A:A,'Supply planning data'!A398,'Shipments data'!O:O,"received",'Shipments data'!Q:Q,"&lt;"&amp;'Supply planning data'!D413,'Shipments data'!AC:AC,"&lt;"&amp;'Supply planning data'!D413)-SUMIFS(M:M,D:D,"&lt;="&amp;D398,C:C,C398)-SUMIFS(AA:AA,D:D,"&lt;="&amp;D398,C:C,C398)+SUMIFS(N:N,D:D,"&lt;="&amp;D398,C:C,C398)+SUMIFS(P:P,D:D,"&lt;="&amp;D398,C:C,C398))</f>
        <v>0</v>
      </c>
      <c r="AD398" s="98">
        <f t="shared" si="118"/>
        <v>0</v>
      </c>
      <c r="AE398" s="98">
        <f t="shared" si="130"/>
        <v>2440000</v>
      </c>
      <c r="AF398" s="205" t="str">
        <f t="shared" si="121"/>
        <v/>
      </c>
      <c r="AG398" s="98">
        <f t="shared" si="119"/>
        <v>3000000</v>
      </c>
      <c r="AH398" s="97"/>
      <c r="AI398" s="311"/>
      <c r="AJ398" s="98">
        <f t="shared" si="129"/>
        <v>0</v>
      </c>
      <c r="AK398" s="233"/>
      <c r="AL398" s="98">
        <f>IF(SUMIFS('Shipments data'!L:L,'Shipments data'!F:F,'Supply planning data'!C398,'Shipments data'!A:A,'Supply planning data'!A398,'Shipments data'!O:O,"received",'Shipments data'!Q:Q,"&lt;"&amp;'Supply planning data'!D413,'Shipments data'!AC:AC,"&lt;"&amp;'Supply planning data'!D413)-SUMIFS(M:M,D:D,"&lt;="&amp;D398,C:C,C398)-SUMIFS(AJ:AJ,D:D,"&lt;="&amp;D398,C:C,C398)+SUMIFS(N:N,D:D,"&lt;="&amp;D398,C:C,C398)+SUMIFS(P:P,D:D,"&lt;="&amp;D398,C:C,C398)&lt;0,0,SUMIFS('Shipments data'!L:L,'Shipments data'!F:F,'Supply planning data'!C398,'Shipments data'!A:A,'Supply planning data'!A398,'Shipments data'!O:O,"received",'Shipments data'!Q:Q,"&lt;"&amp;'Supply planning data'!D413,'Shipments data'!AC:AC,"&lt;"&amp;'Supply planning data'!D413)-SUMIFS(M:M,D:D,"&lt;="&amp;D398,C:C,C398)-SUMIFS(AJ:AJ,D:D,"&lt;="&amp;D398,C:C,C398)+SUMIFS(N:N,D:D,"&lt;="&amp;D398,C:C,C398)+SUMIFS(P:P,D:D,"&lt;="&amp;D398,C:C,C398))</f>
        <v>110538</v>
      </c>
      <c r="AM398" s="98">
        <f t="shared" si="120"/>
        <v>0</v>
      </c>
      <c r="AN398" s="98">
        <f t="shared" si="131"/>
        <v>3000000</v>
      </c>
      <c r="AO398" s="203" t="str">
        <f t="shared" si="123"/>
        <v/>
      </c>
    </row>
    <row r="399" spans="1:41" x14ac:dyDescent="0.25">
      <c r="A399" s="95" t="str">
        <f>Start!D$7</f>
        <v>Anyland</v>
      </c>
      <c r="B399" s="96" t="str">
        <f>VLOOKUP(A399,list!B:C,2,FALSE)</f>
        <v>ANY</v>
      </c>
      <c r="C399" s="90" t="str">
        <f>IF(Start!$C$21="","",Start!$C$21)</f>
        <v>Sinovac</v>
      </c>
      <c r="D399" s="296">
        <f t="shared" si="114"/>
        <v>44986</v>
      </c>
      <c r="E399" s="92" t="str">
        <f>IFERROR(VLOOKUP(C399,Start!C$15:D$31,2,FALSE),"No")</f>
        <v>No</v>
      </c>
      <c r="F399" s="92">
        <f t="shared" si="115"/>
        <v>0</v>
      </c>
      <c r="G399" s="91"/>
      <c r="H399" s="97"/>
      <c r="I399" s="97"/>
      <c r="J399" s="98">
        <f t="shared" si="125"/>
        <v>0</v>
      </c>
      <c r="K399" s="97"/>
      <c r="L399" s="175" t="str">
        <f t="shared" si="126"/>
        <v/>
      </c>
      <c r="M399" s="98">
        <f t="shared" si="127"/>
        <v>0</v>
      </c>
      <c r="N399" s="97"/>
      <c r="O399" s="122"/>
      <c r="P399" s="97"/>
      <c r="Q399" s="122"/>
      <c r="R399" s="98">
        <f>SUMIFS('Shipments data'!L:L,'Shipments data'!F:F,'Supply planning data'!C399,'Shipments data'!A:A,'Supply planning data'!A399,'Shipments data'!Y:Y,'Supply planning data'!D399,'Shipments data'!O:O,"received", 'Shipments data'!N:N, "Public")</f>
        <v>0</v>
      </c>
      <c r="S399" s="98">
        <f>SUMIFS('Shipments data'!L:L,'Shipments data'!F:F,'Supply planning data'!C399,'Shipments data'!A:A,'Supply planning data'!A399,'Shipments data'!Y:Y,'Supply planning data'!D399,'Shipments data'!O:O,"ordered", 'Shipments data'!N:N, "Public")</f>
        <v>0</v>
      </c>
      <c r="T399" s="98">
        <f>IF(SUMIFS('Shipments data'!L:L,'Shipments data'!F:F,'Supply planning data'!C399,'Shipments data'!A:A,'Supply planning data'!A399,'Shipments data'!O:O,"received",'Shipments data'!Q:Q,"&lt;"&amp;'Supply planning data'!D414,'Shipments data'!AC:AC,"&lt;"&amp;'Supply planning data'!D414)-SUMIFS(M:M,D:D,"&lt;="&amp;D399,C:C,C399)+SUMIFS(N:N,D:D,"&lt;="&amp;D399,C:C,C399)+SUMIFS(P:P,D:D,"&lt;="&amp;D399,C:C,C399)&lt;0,0,SUMIFS('Shipments data'!L:L,'Shipments data'!F:F,'Supply planning data'!C399,'Shipments data'!A:A,'Supply planning data'!A399,'Shipments data'!O:O,"received",'Shipments data'!Q:Q,"&lt;"&amp;'Supply planning data'!D414,'Shipments data'!AC:AC,"&lt;"&amp;'Supply planning data'!D414)-SUMIFS(M:M,D:D,"&lt;="&amp;D399,C:C,C399)+SUMIFS(N:N,D:D,"&lt;="&amp;D399,C:C,C399)+SUMIFS(P:P,D:D,"&lt;="&amp;D399,C:C,C399))</f>
        <v>0</v>
      </c>
      <c r="U399" s="99">
        <f t="shared" si="116"/>
        <v>0</v>
      </c>
      <c r="V399" s="98">
        <f t="shared" si="124"/>
        <v>0</v>
      </c>
      <c r="W399" s="203" t="str">
        <f t="shared" si="122"/>
        <v/>
      </c>
      <c r="X399" s="98">
        <f t="shared" si="117"/>
        <v>0</v>
      </c>
      <c r="Y399" s="97"/>
      <c r="Z399" s="93"/>
      <c r="AA399" s="98">
        <f t="shared" si="128"/>
        <v>0</v>
      </c>
      <c r="AB399" s="233"/>
      <c r="AC399" s="98">
        <f>IF(SUMIFS('Shipments data'!L:L,'Shipments data'!F:F,'Supply planning data'!C399,'Shipments data'!A:A,'Supply planning data'!A399,'Shipments data'!O:O,"received",'Shipments data'!Q:Q,"&lt;"&amp;'Supply planning data'!D414,'Shipments data'!AC:AC,"&lt;"&amp;'Supply planning data'!D414)-SUMIFS(M:M,D:D,"&lt;="&amp;D399,C:C,C399)-SUMIFS(AA:AA,D:D,"&lt;="&amp;D399,C:C,C399)+SUMIFS(N:N,D:D,"&lt;="&amp;D399,C:C,C399)+SUMIFS(P:P,D:D,"&lt;="&amp;D399,C:C,C399)&lt;0,0,SUMIFS('Shipments data'!L:L,'Shipments data'!F:F,'Supply planning data'!C399,'Shipments data'!A:A,'Supply planning data'!A399,'Shipments data'!O:O,"received",'Shipments data'!Q:Q,"&lt;"&amp;'Supply planning data'!D414,'Shipments data'!AC:AC,"&lt;"&amp;'Supply planning data'!D414)-SUMIFS(M:M,D:D,"&lt;="&amp;D399,C:C,C399)-SUMIFS(AA:AA,D:D,"&lt;="&amp;D399,C:C,C399)+SUMIFS(N:N,D:D,"&lt;="&amp;D399,C:C,C399)+SUMIFS(P:P,D:D,"&lt;="&amp;D399,C:C,C399))</f>
        <v>0</v>
      </c>
      <c r="AD399" s="98">
        <f t="shared" si="118"/>
        <v>0</v>
      </c>
      <c r="AE399" s="98">
        <f t="shared" si="130"/>
        <v>0</v>
      </c>
      <c r="AF399" s="205" t="str">
        <f t="shared" si="121"/>
        <v/>
      </c>
      <c r="AG399" s="98">
        <f t="shared" si="119"/>
        <v>0</v>
      </c>
      <c r="AH399" s="97"/>
      <c r="AI399" s="311"/>
      <c r="AJ399" s="98">
        <f t="shared" si="129"/>
        <v>0</v>
      </c>
      <c r="AK399" s="233"/>
      <c r="AL399" s="98">
        <f>IF(SUMIFS('Shipments data'!L:L,'Shipments data'!F:F,'Supply planning data'!C399,'Shipments data'!A:A,'Supply planning data'!A399,'Shipments data'!O:O,"received",'Shipments data'!Q:Q,"&lt;"&amp;'Supply planning data'!D414,'Shipments data'!AC:AC,"&lt;"&amp;'Supply planning data'!D414)-SUMIFS(M:M,D:D,"&lt;="&amp;D399,C:C,C399)-SUMIFS(AJ:AJ,D:D,"&lt;="&amp;D399,C:C,C399)+SUMIFS(N:N,D:D,"&lt;="&amp;D399,C:C,C399)+SUMIFS(P:P,D:D,"&lt;="&amp;D399,C:C,C399)&lt;0,0,SUMIFS('Shipments data'!L:L,'Shipments data'!F:F,'Supply planning data'!C399,'Shipments data'!A:A,'Supply planning data'!A399,'Shipments data'!O:O,"received",'Shipments data'!Q:Q,"&lt;"&amp;'Supply planning data'!D414,'Shipments data'!AC:AC,"&lt;"&amp;'Supply planning data'!D414)-SUMIFS(M:M,D:D,"&lt;="&amp;D399,C:C,C399)-SUMIFS(AJ:AJ,D:D,"&lt;="&amp;D399,C:C,C399)+SUMIFS(N:N,D:D,"&lt;="&amp;D399,C:C,C399)+SUMIFS(P:P,D:D,"&lt;="&amp;D399,C:C,C399))</f>
        <v>0</v>
      </c>
      <c r="AM399" s="98">
        <f t="shared" si="120"/>
        <v>0</v>
      </c>
      <c r="AN399" s="98">
        <f t="shared" si="131"/>
        <v>0</v>
      </c>
      <c r="AO399" s="203" t="str">
        <f t="shared" si="123"/>
        <v/>
      </c>
    </row>
    <row r="400" spans="1:41" hidden="1" x14ac:dyDescent="0.25">
      <c r="A400" s="95" t="str">
        <f>Start!D$7</f>
        <v>Anyland</v>
      </c>
      <c r="B400" s="96" t="str">
        <f>VLOOKUP(A400,list!B:C,2,FALSE)</f>
        <v>ANY</v>
      </c>
      <c r="C400" s="90" t="str">
        <f>IF(Start!$C$22="","",Start!$C$22)</f>
        <v/>
      </c>
      <c r="D400" s="296">
        <f t="shared" si="114"/>
        <v>44986</v>
      </c>
      <c r="E400" s="92" t="str">
        <f>IFERROR(VLOOKUP(C400,Start!C$15:D$31,2,FALSE),"No")</f>
        <v>No</v>
      </c>
      <c r="F400" s="92">
        <f t="shared" si="115"/>
        <v>0</v>
      </c>
      <c r="G400" s="91"/>
      <c r="H400" s="97"/>
      <c r="I400" s="97"/>
      <c r="J400" s="98">
        <f t="shared" si="125"/>
        <v>0</v>
      </c>
      <c r="K400" s="97"/>
      <c r="L400" s="175" t="str">
        <f t="shared" si="126"/>
        <v/>
      </c>
      <c r="M400" s="98">
        <f t="shared" si="127"/>
        <v>0</v>
      </c>
      <c r="N400" s="97"/>
      <c r="O400" s="122"/>
      <c r="P400" s="97"/>
      <c r="Q400" s="122"/>
      <c r="R400" s="98">
        <f>SUMIFS('Shipments data'!L:L,'Shipments data'!F:F,'Supply planning data'!C400,'Shipments data'!A:A,'Supply planning data'!A400,'Shipments data'!Y:Y,'Supply planning data'!D400,'Shipments data'!O:O,"received", 'Shipments data'!N:N, "Public")</f>
        <v>0</v>
      </c>
      <c r="S400" s="98">
        <f>SUMIFS('Shipments data'!L:L,'Shipments data'!F:F,'Supply planning data'!C400,'Shipments data'!A:A,'Supply planning data'!A400,'Shipments data'!Y:Y,'Supply planning data'!D400,'Shipments data'!O:O,"ordered", 'Shipments data'!N:N, "Public")</f>
        <v>0</v>
      </c>
      <c r="T400" s="98">
        <f>IF(SUMIFS('Shipments data'!L:L,'Shipments data'!F:F,'Supply planning data'!C400,'Shipments data'!A:A,'Supply planning data'!A400,'Shipments data'!O:O,"received",'Shipments data'!Q:Q,"&lt;"&amp;'Supply planning data'!D415,'Shipments data'!AC:AC,"&lt;"&amp;'Supply planning data'!D415)-SUMIFS(M:M,D:D,"&lt;="&amp;D400,C:C,C400)+SUMIFS(N:N,D:D,"&lt;="&amp;D400,C:C,C400)+SUMIFS(P:P,D:D,"&lt;="&amp;D400,C:C,C400)&lt;0,0,SUMIFS('Shipments data'!L:L,'Shipments data'!F:F,'Supply planning data'!C400,'Shipments data'!A:A,'Supply planning data'!A400,'Shipments data'!O:O,"received",'Shipments data'!Q:Q,"&lt;"&amp;'Supply planning data'!D415,'Shipments data'!AC:AC,"&lt;"&amp;'Supply planning data'!D415)-SUMIFS(M:M,D:D,"&lt;="&amp;D400,C:C,C400)+SUMIFS(N:N,D:D,"&lt;="&amp;D400,C:C,C400)+SUMIFS(P:P,D:D,"&lt;="&amp;D400,C:C,C400))</f>
        <v>0</v>
      </c>
      <c r="U400" s="99">
        <f t="shared" si="116"/>
        <v>0</v>
      </c>
      <c r="V400" s="98">
        <f t="shared" si="124"/>
        <v>0</v>
      </c>
      <c r="W400" s="203" t="str">
        <f t="shared" si="122"/>
        <v/>
      </c>
      <c r="X400" s="98">
        <f t="shared" si="117"/>
        <v>0</v>
      </c>
      <c r="Y400" s="97"/>
      <c r="Z400" s="93"/>
      <c r="AA400" s="98">
        <f t="shared" si="128"/>
        <v>0</v>
      </c>
      <c r="AB400" s="233"/>
      <c r="AC400" s="98">
        <f>IF(SUMIFS('Shipments data'!L:L,'Shipments data'!F:F,'Supply planning data'!C400,'Shipments data'!A:A,'Supply planning data'!A400,'Shipments data'!O:O,"received",'Shipments data'!Q:Q,"&lt;"&amp;'Supply planning data'!D415,'Shipments data'!AC:AC,"&lt;"&amp;'Supply planning data'!D415)-SUMIFS(M:M,D:D,"&lt;="&amp;D400,C:C,C400)-SUMIFS(AA:AA,D:D,"&lt;="&amp;D400,C:C,C400)+SUMIFS(N:N,D:D,"&lt;="&amp;D400,C:C,C400)+SUMIFS(P:P,D:D,"&lt;="&amp;D400,C:C,C400)&lt;0,0,SUMIFS('Shipments data'!L:L,'Shipments data'!F:F,'Supply planning data'!C400,'Shipments data'!A:A,'Supply planning data'!A400,'Shipments data'!O:O,"received",'Shipments data'!Q:Q,"&lt;"&amp;'Supply planning data'!D415,'Shipments data'!AC:AC,"&lt;"&amp;'Supply planning data'!D415)-SUMIFS(M:M,D:D,"&lt;="&amp;D400,C:C,C400)-SUMIFS(AA:AA,D:D,"&lt;="&amp;D400,C:C,C400)+SUMIFS(N:N,D:D,"&lt;="&amp;D400,C:C,C400)+SUMIFS(P:P,D:D,"&lt;="&amp;D400,C:C,C400))</f>
        <v>0</v>
      </c>
      <c r="AD400" s="98">
        <f t="shared" si="118"/>
        <v>0</v>
      </c>
      <c r="AE400" s="98">
        <f t="shared" si="130"/>
        <v>0</v>
      </c>
      <c r="AF400" s="205" t="str">
        <f t="shared" si="121"/>
        <v/>
      </c>
      <c r="AG400" s="98">
        <f t="shared" si="119"/>
        <v>0</v>
      </c>
      <c r="AH400" s="97"/>
      <c r="AI400" s="311"/>
      <c r="AJ400" s="98">
        <f t="shared" si="129"/>
        <v>0</v>
      </c>
      <c r="AK400" s="233"/>
      <c r="AL400" s="98">
        <f>IF(SUMIFS('Shipments data'!L:L,'Shipments data'!F:F,'Supply planning data'!C400,'Shipments data'!A:A,'Supply planning data'!A400,'Shipments data'!O:O,"received",'Shipments data'!Q:Q,"&lt;"&amp;'Supply planning data'!D415,'Shipments data'!AC:AC,"&lt;"&amp;'Supply planning data'!D415)-SUMIFS(M:M,D:D,"&lt;="&amp;D400,C:C,C400)-SUMIFS(AJ:AJ,D:D,"&lt;="&amp;D400,C:C,C400)+SUMIFS(N:N,D:D,"&lt;="&amp;D400,C:C,C400)+SUMIFS(P:P,D:D,"&lt;="&amp;D400,C:C,C400)&lt;0,0,SUMIFS('Shipments data'!L:L,'Shipments data'!F:F,'Supply planning data'!C400,'Shipments data'!A:A,'Supply planning data'!A400,'Shipments data'!O:O,"received",'Shipments data'!Q:Q,"&lt;"&amp;'Supply planning data'!D415,'Shipments data'!AC:AC,"&lt;"&amp;'Supply planning data'!D415)-SUMIFS(M:M,D:D,"&lt;="&amp;D400,C:C,C400)-SUMIFS(AJ:AJ,D:D,"&lt;="&amp;D400,C:C,C400)+SUMIFS(N:N,D:D,"&lt;="&amp;D400,C:C,C400)+SUMIFS(P:P,D:D,"&lt;="&amp;D400,C:C,C400))</f>
        <v>0</v>
      </c>
      <c r="AM400" s="98">
        <f t="shared" si="120"/>
        <v>0</v>
      </c>
      <c r="AN400" s="98">
        <f t="shared" si="131"/>
        <v>0</v>
      </c>
      <c r="AO400" s="203" t="str">
        <f t="shared" si="123"/>
        <v/>
      </c>
    </row>
    <row r="401" spans="1:41" hidden="1" x14ac:dyDescent="0.25">
      <c r="A401" s="95" t="str">
        <f>Start!D$7</f>
        <v>Anyland</v>
      </c>
      <c r="B401" s="96" t="str">
        <f>VLOOKUP(A401,list!B:C,2,FALSE)</f>
        <v>ANY</v>
      </c>
      <c r="C401" s="90" t="str">
        <f>IF(Start!$C$23="","",Start!$C$23)</f>
        <v/>
      </c>
      <c r="D401" s="296">
        <f t="shared" si="114"/>
        <v>44986</v>
      </c>
      <c r="E401" s="92" t="str">
        <f>IFERROR(VLOOKUP(C401,Start!C$15:D$31,2,FALSE),"No")</f>
        <v>No</v>
      </c>
      <c r="F401" s="92">
        <f t="shared" si="115"/>
        <v>0</v>
      </c>
      <c r="G401" s="91"/>
      <c r="H401" s="97"/>
      <c r="I401" s="97"/>
      <c r="J401" s="98">
        <f t="shared" si="125"/>
        <v>0</v>
      </c>
      <c r="K401" s="97"/>
      <c r="L401" s="175" t="str">
        <f t="shared" si="126"/>
        <v/>
      </c>
      <c r="M401" s="98">
        <f t="shared" si="127"/>
        <v>0</v>
      </c>
      <c r="N401" s="97"/>
      <c r="O401" s="122"/>
      <c r="P401" s="97"/>
      <c r="Q401" s="122"/>
      <c r="R401" s="98">
        <f>SUMIFS('Shipments data'!L:L,'Shipments data'!F:F,'Supply planning data'!C401,'Shipments data'!A:A,'Supply planning data'!A401,'Shipments data'!Y:Y,'Supply planning data'!D401,'Shipments data'!O:O,"received", 'Shipments data'!N:N, "Public")</f>
        <v>0</v>
      </c>
      <c r="S401" s="98">
        <f>SUMIFS('Shipments data'!L:L,'Shipments data'!F:F,'Supply planning data'!C401,'Shipments data'!A:A,'Supply planning data'!A401,'Shipments data'!Y:Y,'Supply planning data'!D401,'Shipments data'!O:O,"ordered", 'Shipments data'!N:N, "Public")</f>
        <v>0</v>
      </c>
      <c r="T401" s="98">
        <f>IF(SUMIFS('Shipments data'!L:L,'Shipments data'!F:F,'Supply planning data'!C401,'Shipments data'!A:A,'Supply planning data'!A401,'Shipments data'!O:O,"received",'Shipments data'!Q:Q,"&lt;"&amp;'Supply planning data'!D416,'Shipments data'!AC:AC,"&lt;"&amp;'Supply planning data'!D416)-SUMIFS(M:M,D:D,"&lt;="&amp;D401,C:C,C401)+SUMIFS(N:N,D:D,"&lt;="&amp;D401,C:C,C401)+SUMIFS(P:P,D:D,"&lt;="&amp;D401,C:C,C401)&lt;0,0,SUMIFS('Shipments data'!L:L,'Shipments data'!F:F,'Supply planning data'!C401,'Shipments data'!A:A,'Supply planning data'!A401,'Shipments data'!O:O,"received",'Shipments data'!Q:Q,"&lt;"&amp;'Supply planning data'!D416,'Shipments data'!AC:AC,"&lt;"&amp;'Supply planning data'!D416)-SUMIFS(M:M,D:D,"&lt;="&amp;D401,C:C,C401)+SUMIFS(N:N,D:D,"&lt;="&amp;D401,C:C,C401)+SUMIFS(P:P,D:D,"&lt;="&amp;D401,C:C,C401))</f>
        <v>0</v>
      </c>
      <c r="U401" s="99">
        <f t="shared" si="116"/>
        <v>0</v>
      </c>
      <c r="V401" s="98">
        <f t="shared" si="124"/>
        <v>0</v>
      </c>
      <c r="W401" s="203" t="str">
        <f t="shared" si="122"/>
        <v/>
      </c>
      <c r="X401" s="98">
        <f t="shared" si="117"/>
        <v>0</v>
      </c>
      <c r="Y401" s="97"/>
      <c r="Z401" s="93"/>
      <c r="AA401" s="98">
        <f t="shared" si="128"/>
        <v>0</v>
      </c>
      <c r="AB401" s="233"/>
      <c r="AC401" s="98">
        <f>IF(SUMIFS('Shipments data'!L:L,'Shipments data'!F:F,'Supply planning data'!C401,'Shipments data'!A:A,'Supply planning data'!A401,'Shipments data'!O:O,"received",'Shipments data'!Q:Q,"&lt;"&amp;'Supply planning data'!D416,'Shipments data'!AC:AC,"&lt;"&amp;'Supply planning data'!D416)-SUMIFS(M:M,D:D,"&lt;="&amp;D401,C:C,C401)-SUMIFS(AA:AA,D:D,"&lt;="&amp;D401,C:C,C401)+SUMIFS(N:N,D:D,"&lt;="&amp;D401,C:C,C401)+SUMIFS(P:P,D:D,"&lt;="&amp;D401,C:C,C401)&lt;0,0,SUMIFS('Shipments data'!L:L,'Shipments data'!F:F,'Supply planning data'!C401,'Shipments data'!A:A,'Supply planning data'!A401,'Shipments data'!O:O,"received",'Shipments data'!Q:Q,"&lt;"&amp;'Supply planning data'!D416,'Shipments data'!AC:AC,"&lt;"&amp;'Supply planning data'!D416)-SUMIFS(M:M,D:D,"&lt;="&amp;D401,C:C,C401)-SUMIFS(AA:AA,D:D,"&lt;="&amp;D401,C:C,C401)+SUMIFS(N:N,D:D,"&lt;="&amp;D401,C:C,C401)+SUMIFS(P:P,D:D,"&lt;="&amp;D401,C:C,C401))</f>
        <v>0</v>
      </c>
      <c r="AD401" s="98">
        <f t="shared" si="118"/>
        <v>0</v>
      </c>
      <c r="AE401" s="98">
        <f t="shared" si="130"/>
        <v>0</v>
      </c>
      <c r="AF401" s="205" t="str">
        <f t="shared" si="121"/>
        <v/>
      </c>
      <c r="AG401" s="98">
        <f t="shared" si="119"/>
        <v>0</v>
      </c>
      <c r="AH401" s="97"/>
      <c r="AI401" s="311"/>
      <c r="AJ401" s="98">
        <f t="shared" si="129"/>
        <v>0</v>
      </c>
      <c r="AK401" s="233"/>
      <c r="AL401" s="98">
        <f>IF(SUMIFS('Shipments data'!L:L,'Shipments data'!F:F,'Supply planning data'!C401,'Shipments data'!A:A,'Supply planning data'!A401,'Shipments data'!O:O,"received",'Shipments data'!Q:Q,"&lt;"&amp;'Supply planning data'!D416,'Shipments data'!AC:AC,"&lt;"&amp;'Supply planning data'!D416)-SUMIFS(M:M,D:D,"&lt;="&amp;D401,C:C,C401)-SUMIFS(AJ:AJ,D:D,"&lt;="&amp;D401,C:C,C401)+SUMIFS(N:N,D:D,"&lt;="&amp;D401,C:C,C401)+SUMIFS(P:P,D:D,"&lt;="&amp;D401,C:C,C401)&lt;0,0,SUMIFS('Shipments data'!L:L,'Shipments data'!F:F,'Supply planning data'!C401,'Shipments data'!A:A,'Supply planning data'!A401,'Shipments data'!O:O,"received",'Shipments data'!Q:Q,"&lt;"&amp;'Supply planning data'!D416,'Shipments data'!AC:AC,"&lt;"&amp;'Supply planning data'!D416)-SUMIFS(M:M,D:D,"&lt;="&amp;D401,C:C,C401)-SUMIFS(AJ:AJ,D:D,"&lt;="&amp;D401,C:C,C401)+SUMIFS(N:N,D:D,"&lt;="&amp;D401,C:C,C401)+SUMIFS(P:P,D:D,"&lt;="&amp;D401,C:C,C401))</f>
        <v>0</v>
      </c>
      <c r="AM401" s="98">
        <f t="shared" si="120"/>
        <v>0</v>
      </c>
      <c r="AN401" s="98">
        <f t="shared" si="131"/>
        <v>0</v>
      </c>
      <c r="AO401" s="203" t="str">
        <f t="shared" si="123"/>
        <v/>
      </c>
    </row>
    <row r="402" spans="1:41" hidden="1" x14ac:dyDescent="0.25">
      <c r="A402" s="95" t="str">
        <f>Start!D$7</f>
        <v>Anyland</v>
      </c>
      <c r="B402" s="96" t="str">
        <f>VLOOKUP(A402,list!B:C,2,FALSE)</f>
        <v>ANY</v>
      </c>
      <c r="C402" s="90" t="str">
        <f>IF(Start!$C$24="","",Start!$C$24)</f>
        <v/>
      </c>
      <c r="D402" s="296">
        <f t="shared" si="114"/>
        <v>44986</v>
      </c>
      <c r="E402" s="92" t="str">
        <f>IFERROR(VLOOKUP(C402,Start!C$15:D$31,2,FALSE),"No")</f>
        <v>No</v>
      </c>
      <c r="F402" s="92">
        <f t="shared" si="115"/>
        <v>0</v>
      </c>
      <c r="G402" s="91"/>
      <c r="H402" s="97"/>
      <c r="I402" s="97"/>
      <c r="J402" s="98">
        <f t="shared" si="125"/>
        <v>0</v>
      </c>
      <c r="K402" s="97"/>
      <c r="L402" s="175" t="str">
        <f t="shared" si="126"/>
        <v/>
      </c>
      <c r="M402" s="98">
        <f t="shared" si="127"/>
        <v>0</v>
      </c>
      <c r="N402" s="97"/>
      <c r="O402" s="122"/>
      <c r="P402" s="97"/>
      <c r="Q402" s="122"/>
      <c r="R402" s="98">
        <f>SUMIFS('Shipments data'!L:L,'Shipments data'!F:F,'Supply planning data'!C402,'Shipments data'!A:A,'Supply planning data'!A402,'Shipments data'!Y:Y,'Supply planning data'!D402,'Shipments data'!O:O,"received", 'Shipments data'!N:N, "Public")</f>
        <v>0</v>
      </c>
      <c r="S402" s="98">
        <f>SUMIFS('Shipments data'!L:L,'Shipments data'!F:F,'Supply planning data'!C402,'Shipments data'!A:A,'Supply planning data'!A402,'Shipments data'!Y:Y,'Supply planning data'!D402,'Shipments data'!O:O,"ordered", 'Shipments data'!N:N, "Public")</f>
        <v>0</v>
      </c>
      <c r="T402" s="98">
        <f>IF(SUMIFS('Shipments data'!L:L,'Shipments data'!F:F,'Supply planning data'!C402,'Shipments data'!A:A,'Supply planning data'!A402,'Shipments data'!O:O,"received",'Shipments data'!Q:Q,"&lt;"&amp;'Supply planning data'!D417,'Shipments data'!AC:AC,"&lt;"&amp;'Supply planning data'!D417)-SUMIFS(M:M,D:D,"&lt;="&amp;D402,C:C,C402)+SUMIFS(N:N,D:D,"&lt;="&amp;D402,C:C,C402)+SUMIFS(P:P,D:D,"&lt;="&amp;D402,C:C,C402)&lt;0,0,SUMIFS('Shipments data'!L:L,'Shipments data'!F:F,'Supply planning data'!C402,'Shipments data'!A:A,'Supply planning data'!A402,'Shipments data'!O:O,"received",'Shipments data'!Q:Q,"&lt;"&amp;'Supply planning data'!D417,'Shipments data'!AC:AC,"&lt;"&amp;'Supply planning data'!D417)-SUMIFS(M:M,D:D,"&lt;="&amp;D402,C:C,C402)+SUMIFS(N:N,D:D,"&lt;="&amp;D402,C:C,C402)+SUMIFS(P:P,D:D,"&lt;="&amp;D402,C:C,C402))</f>
        <v>0</v>
      </c>
      <c r="U402" s="99">
        <f t="shared" si="116"/>
        <v>0</v>
      </c>
      <c r="V402" s="98">
        <f t="shared" si="124"/>
        <v>0</v>
      </c>
      <c r="W402" s="203" t="str">
        <f t="shared" si="122"/>
        <v/>
      </c>
      <c r="X402" s="98">
        <f t="shared" si="117"/>
        <v>0</v>
      </c>
      <c r="Y402" s="97"/>
      <c r="Z402" s="93"/>
      <c r="AA402" s="98">
        <f t="shared" si="128"/>
        <v>0</v>
      </c>
      <c r="AB402" s="233"/>
      <c r="AC402" s="98">
        <f>IF(SUMIFS('Shipments data'!L:L,'Shipments data'!F:F,'Supply planning data'!C402,'Shipments data'!A:A,'Supply planning data'!A402,'Shipments data'!O:O,"received",'Shipments data'!Q:Q,"&lt;"&amp;'Supply planning data'!D417,'Shipments data'!AC:AC,"&lt;"&amp;'Supply planning data'!D417)-SUMIFS(M:M,D:D,"&lt;="&amp;D402,C:C,C402)-SUMIFS(AA:AA,D:D,"&lt;="&amp;D402,C:C,C402)+SUMIFS(N:N,D:D,"&lt;="&amp;D402,C:C,C402)+SUMIFS(P:P,D:D,"&lt;="&amp;D402,C:C,C402)&lt;0,0,SUMIFS('Shipments data'!L:L,'Shipments data'!F:F,'Supply planning data'!C402,'Shipments data'!A:A,'Supply planning data'!A402,'Shipments data'!O:O,"received",'Shipments data'!Q:Q,"&lt;"&amp;'Supply planning data'!D417,'Shipments data'!AC:AC,"&lt;"&amp;'Supply planning data'!D417)-SUMIFS(M:M,D:D,"&lt;="&amp;D402,C:C,C402)-SUMIFS(AA:AA,D:D,"&lt;="&amp;D402,C:C,C402)+SUMIFS(N:N,D:D,"&lt;="&amp;D402,C:C,C402)+SUMIFS(P:P,D:D,"&lt;="&amp;D402,C:C,C402))</f>
        <v>0</v>
      </c>
      <c r="AD402" s="98">
        <f t="shared" si="118"/>
        <v>0</v>
      </c>
      <c r="AE402" s="98">
        <f t="shared" si="130"/>
        <v>0</v>
      </c>
      <c r="AF402" s="205" t="str">
        <f t="shared" si="121"/>
        <v/>
      </c>
      <c r="AG402" s="98">
        <f t="shared" si="119"/>
        <v>0</v>
      </c>
      <c r="AH402" s="97"/>
      <c r="AI402" s="311"/>
      <c r="AJ402" s="98">
        <f t="shared" si="129"/>
        <v>0</v>
      </c>
      <c r="AK402" s="233"/>
      <c r="AL402" s="98">
        <f>IF(SUMIFS('Shipments data'!L:L,'Shipments data'!F:F,'Supply planning data'!C402,'Shipments data'!A:A,'Supply planning data'!A402,'Shipments data'!O:O,"received",'Shipments data'!Q:Q,"&lt;"&amp;'Supply planning data'!D417,'Shipments data'!AC:AC,"&lt;"&amp;'Supply planning data'!D417)-SUMIFS(M:M,D:D,"&lt;="&amp;D402,C:C,C402)-SUMIFS(AJ:AJ,D:D,"&lt;="&amp;D402,C:C,C402)+SUMIFS(N:N,D:D,"&lt;="&amp;D402,C:C,C402)+SUMIFS(P:P,D:D,"&lt;="&amp;D402,C:C,C402)&lt;0,0,SUMIFS('Shipments data'!L:L,'Shipments data'!F:F,'Supply planning data'!C402,'Shipments data'!A:A,'Supply planning data'!A402,'Shipments data'!O:O,"received",'Shipments data'!Q:Q,"&lt;"&amp;'Supply planning data'!D417,'Shipments data'!AC:AC,"&lt;"&amp;'Supply planning data'!D417)-SUMIFS(M:M,D:D,"&lt;="&amp;D402,C:C,C402)-SUMIFS(AJ:AJ,D:D,"&lt;="&amp;D402,C:C,C402)+SUMIFS(N:N,D:D,"&lt;="&amp;D402,C:C,C402)+SUMIFS(P:P,D:D,"&lt;="&amp;D402,C:C,C402))</f>
        <v>0</v>
      </c>
      <c r="AM402" s="98">
        <f t="shared" si="120"/>
        <v>0</v>
      </c>
      <c r="AN402" s="98">
        <f t="shared" si="131"/>
        <v>0</v>
      </c>
      <c r="AO402" s="203" t="str">
        <f t="shared" si="123"/>
        <v/>
      </c>
    </row>
    <row r="403" spans="1:41" hidden="1" x14ac:dyDescent="0.25">
      <c r="A403" s="95" t="str">
        <f>Start!D$7</f>
        <v>Anyland</v>
      </c>
      <c r="B403" s="96" t="str">
        <f>VLOOKUP(A403,list!B:C,2,FALSE)</f>
        <v>ANY</v>
      </c>
      <c r="C403" s="90" t="str">
        <f>IF(Start!$C$25="","",Start!$C$25)</f>
        <v/>
      </c>
      <c r="D403" s="296">
        <f t="shared" si="114"/>
        <v>44986</v>
      </c>
      <c r="E403" s="92" t="str">
        <f>IFERROR(VLOOKUP(C403,Start!C$15:D$31,2,FALSE),"No")</f>
        <v>No</v>
      </c>
      <c r="F403" s="92">
        <f t="shared" si="115"/>
        <v>0</v>
      </c>
      <c r="G403" s="91"/>
      <c r="H403" s="97"/>
      <c r="I403" s="97"/>
      <c r="J403" s="98">
        <f t="shared" si="125"/>
        <v>0</v>
      </c>
      <c r="K403" s="97"/>
      <c r="L403" s="175" t="str">
        <f t="shared" si="126"/>
        <v/>
      </c>
      <c r="M403" s="98">
        <f t="shared" si="127"/>
        <v>0</v>
      </c>
      <c r="N403" s="97"/>
      <c r="O403" s="122"/>
      <c r="P403" s="97"/>
      <c r="Q403" s="122"/>
      <c r="R403" s="98">
        <f>SUMIFS('Shipments data'!L:L,'Shipments data'!F:F,'Supply planning data'!C403,'Shipments data'!A:A,'Supply planning data'!A403,'Shipments data'!Y:Y,'Supply planning data'!D403,'Shipments data'!O:O,"received", 'Shipments data'!N:N, "Public")</f>
        <v>0</v>
      </c>
      <c r="S403" s="98">
        <f>SUMIFS('Shipments data'!L:L,'Shipments data'!F:F,'Supply planning data'!C403,'Shipments data'!A:A,'Supply planning data'!A403,'Shipments data'!Y:Y,'Supply planning data'!D403,'Shipments data'!O:O,"ordered", 'Shipments data'!N:N, "Public")</f>
        <v>0</v>
      </c>
      <c r="T403" s="98">
        <f>IF(SUMIFS('Shipments data'!L:L,'Shipments data'!F:F,'Supply planning data'!C403,'Shipments data'!A:A,'Supply planning data'!A403,'Shipments data'!O:O,"received",'Shipments data'!Q:Q,"&lt;"&amp;'Supply planning data'!D418,'Shipments data'!AC:AC,"&lt;"&amp;'Supply planning data'!D418)-SUMIFS(M:M,D:D,"&lt;="&amp;D403,C:C,C403)+SUMIFS(N:N,D:D,"&lt;="&amp;D403,C:C,C403)+SUMIFS(P:P,D:D,"&lt;="&amp;D403,C:C,C403)&lt;0,0,SUMIFS('Shipments data'!L:L,'Shipments data'!F:F,'Supply planning data'!C403,'Shipments data'!A:A,'Supply planning data'!A403,'Shipments data'!O:O,"received",'Shipments data'!Q:Q,"&lt;"&amp;'Supply planning data'!D418,'Shipments data'!AC:AC,"&lt;"&amp;'Supply planning data'!D418)-SUMIFS(M:M,D:D,"&lt;="&amp;D403,C:C,C403)+SUMIFS(N:N,D:D,"&lt;="&amp;D403,C:C,C403)+SUMIFS(P:P,D:D,"&lt;="&amp;D403,C:C,C403))</f>
        <v>0</v>
      </c>
      <c r="U403" s="99">
        <f t="shared" si="116"/>
        <v>0</v>
      </c>
      <c r="V403" s="98">
        <f t="shared" si="124"/>
        <v>0</v>
      </c>
      <c r="W403" s="203" t="str">
        <f t="shared" si="122"/>
        <v/>
      </c>
      <c r="X403" s="98">
        <f t="shared" si="117"/>
        <v>0</v>
      </c>
      <c r="Y403" s="97"/>
      <c r="Z403" s="93"/>
      <c r="AA403" s="98">
        <f t="shared" si="128"/>
        <v>0</v>
      </c>
      <c r="AB403" s="233"/>
      <c r="AC403" s="98">
        <f>IF(SUMIFS('Shipments data'!L:L,'Shipments data'!F:F,'Supply planning data'!C403,'Shipments data'!A:A,'Supply planning data'!A403,'Shipments data'!O:O,"received",'Shipments data'!Q:Q,"&lt;"&amp;'Supply planning data'!D418,'Shipments data'!AC:AC,"&lt;"&amp;'Supply planning data'!D418)-SUMIFS(M:M,D:D,"&lt;="&amp;D403,C:C,C403)-SUMIFS(AA:AA,D:D,"&lt;="&amp;D403,C:C,C403)+SUMIFS(N:N,D:D,"&lt;="&amp;D403,C:C,C403)+SUMIFS(P:P,D:D,"&lt;="&amp;D403,C:C,C403)&lt;0,0,SUMIFS('Shipments data'!L:L,'Shipments data'!F:F,'Supply planning data'!C403,'Shipments data'!A:A,'Supply planning data'!A403,'Shipments data'!O:O,"received",'Shipments data'!Q:Q,"&lt;"&amp;'Supply planning data'!D418,'Shipments data'!AC:AC,"&lt;"&amp;'Supply planning data'!D418)-SUMIFS(M:M,D:D,"&lt;="&amp;D403,C:C,C403)-SUMIFS(AA:AA,D:D,"&lt;="&amp;D403,C:C,C403)+SUMIFS(N:N,D:D,"&lt;="&amp;D403,C:C,C403)+SUMIFS(P:P,D:D,"&lt;="&amp;D403,C:C,C403))</f>
        <v>0</v>
      </c>
      <c r="AD403" s="98">
        <f t="shared" si="118"/>
        <v>0</v>
      </c>
      <c r="AE403" s="98">
        <f t="shared" si="130"/>
        <v>0</v>
      </c>
      <c r="AF403" s="205" t="str">
        <f t="shared" si="121"/>
        <v/>
      </c>
      <c r="AG403" s="98">
        <f t="shared" si="119"/>
        <v>0</v>
      </c>
      <c r="AH403" s="97"/>
      <c r="AI403" s="311"/>
      <c r="AJ403" s="98">
        <f t="shared" si="129"/>
        <v>0</v>
      </c>
      <c r="AK403" s="233"/>
      <c r="AL403" s="98">
        <f>IF(SUMIFS('Shipments data'!L:L,'Shipments data'!F:F,'Supply planning data'!C403,'Shipments data'!A:A,'Supply planning data'!A403,'Shipments data'!O:O,"received",'Shipments data'!Q:Q,"&lt;"&amp;'Supply planning data'!D418,'Shipments data'!AC:AC,"&lt;"&amp;'Supply planning data'!D418)-SUMIFS(M:M,D:D,"&lt;="&amp;D403,C:C,C403)-SUMIFS(AJ:AJ,D:D,"&lt;="&amp;D403,C:C,C403)+SUMIFS(N:N,D:D,"&lt;="&amp;D403,C:C,C403)+SUMIFS(P:P,D:D,"&lt;="&amp;D403,C:C,C403)&lt;0,0,SUMIFS('Shipments data'!L:L,'Shipments data'!F:F,'Supply planning data'!C403,'Shipments data'!A:A,'Supply planning data'!A403,'Shipments data'!O:O,"received",'Shipments data'!Q:Q,"&lt;"&amp;'Supply planning data'!D418,'Shipments data'!AC:AC,"&lt;"&amp;'Supply planning data'!D418)-SUMIFS(M:M,D:D,"&lt;="&amp;D403,C:C,C403)-SUMIFS(AJ:AJ,D:D,"&lt;="&amp;D403,C:C,C403)+SUMIFS(N:N,D:D,"&lt;="&amp;D403,C:C,C403)+SUMIFS(P:P,D:D,"&lt;="&amp;D403,C:C,C403))</f>
        <v>0</v>
      </c>
      <c r="AM403" s="98">
        <f t="shared" si="120"/>
        <v>0</v>
      </c>
      <c r="AN403" s="98">
        <f t="shared" si="131"/>
        <v>0</v>
      </c>
      <c r="AO403" s="203" t="str">
        <f t="shared" si="123"/>
        <v/>
      </c>
    </row>
    <row r="404" spans="1:41" hidden="1" x14ac:dyDescent="0.25">
      <c r="A404" s="95" t="str">
        <f>Start!D$7</f>
        <v>Anyland</v>
      </c>
      <c r="B404" s="96" t="str">
        <f>VLOOKUP(A404,list!B:C,2,FALSE)</f>
        <v>ANY</v>
      </c>
      <c r="C404" s="90" t="str">
        <f>IF(Start!$C$26="","",Start!$C$26)</f>
        <v/>
      </c>
      <c r="D404" s="296">
        <f t="shared" ref="D404:D467" si="132">DATE(YEAR(D389),MONTH(D389)+1,1)</f>
        <v>44986</v>
      </c>
      <c r="E404" s="92" t="str">
        <f>IFERROR(VLOOKUP(C404,Start!C$15:D$31,2,FALSE),"No")</f>
        <v>No</v>
      </c>
      <c r="F404" s="92">
        <f t="shared" ref="F404:F467" si="133">V389</f>
        <v>0</v>
      </c>
      <c r="G404" s="91"/>
      <c r="H404" s="97"/>
      <c r="I404" s="97"/>
      <c r="J404" s="98">
        <f t="shared" si="125"/>
        <v>0</v>
      </c>
      <c r="K404" s="97"/>
      <c r="L404" s="175" t="str">
        <f t="shared" si="126"/>
        <v/>
      </c>
      <c r="M404" s="98">
        <f t="shared" si="127"/>
        <v>0</v>
      </c>
      <c r="N404" s="97"/>
      <c r="O404" s="122"/>
      <c r="P404" s="97"/>
      <c r="Q404" s="122"/>
      <c r="R404" s="98">
        <f>SUMIFS('Shipments data'!L:L,'Shipments data'!F:F,'Supply planning data'!C404,'Shipments data'!A:A,'Supply planning data'!A404,'Shipments data'!Y:Y,'Supply planning data'!D404,'Shipments data'!O:O,"received", 'Shipments data'!N:N, "Public")</f>
        <v>0</v>
      </c>
      <c r="S404" s="98">
        <f>SUMIFS('Shipments data'!L:L,'Shipments data'!F:F,'Supply planning data'!C404,'Shipments data'!A:A,'Supply planning data'!A404,'Shipments data'!Y:Y,'Supply planning data'!D404,'Shipments data'!O:O,"ordered", 'Shipments data'!N:N, "Public")</f>
        <v>0</v>
      </c>
      <c r="T404" s="98">
        <f>IF(SUMIFS('Shipments data'!L:L,'Shipments data'!F:F,'Supply planning data'!C404,'Shipments data'!A:A,'Supply planning data'!A404,'Shipments data'!O:O,"received",'Shipments data'!Q:Q,"&lt;"&amp;'Supply planning data'!D419,'Shipments data'!AC:AC,"&lt;"&amp;'Supply planning data'!D419)-SUMIFS(M:M,D:D,"&lt;="&amp;D404,C:C,C404)+SUMIFS(N:N,D:D,"&lt;="&amp;D404,C:C,C404)+SUMIFS(P:P,D:D,"&lt;="&amp;D404,C:C,C404)&lt;0,0,SUMIFS('Shipments data'!L:L,'Shipments data'!F:F,'Supply planning data'!C404,'Shipments data'!A:A,'Supply planning data'!A404,'Shipments data'!O:O,"received",'Shipments data'!Q:Q,"&lt;"&amp;'Supply planning data'!D419,'Shipments data'!AC:AC,"&lt;"&amp;'Supply planning data'!D419)-SUMIFS(M:M,D:D,"&lt;="&amp;D404,C:C,C404)+SUMIFS(N:N,D:D,"&lt;="&amp;D404,C:C,C404)+SUMIFS(P:P,D:D,"&lt;="&amp;D404,C:C,C404))</f>
        <v>0</v>
      </c>
      <c r="U404" s="99">
        <f t="shared" ref="U404:U467" si="134">IF(T404-T389&lt;0,0,T404-T389)</f>
        <v>0</v>
      </c>
      <c r="V404" s="98">
        <f t="shared" si="124"/>
        <v>0</v>
      </c>
      <c r="W404" s="203" t="str">
        <f t="shared" si="122"/>
        <v/>
      </c>
      <c r="X404" s="98">
        <f t="shared" ref="X404:X467" si="135">AE389</f>
        <v>0</v>
      </c>
      <c r="Y404" s="97"/>
      <c r="Z404" s="93"/>
      <c r="AA404" s="98">
        <f t="shared" si="128"/>
        <v>0</v>
      </c>
      <c r="AB404" s="233"/>
      <c r="AC404" s="98">
        <f>IF(SUMIFS('Shipments data'!L:L,'Shipments data'!F:F,'Supply planning data'!C404,'Shipments data'!A:A,'Supply planning data'!A404,'Shipments data'!O:O,"received",'Shipments data'!Q:Q,"&lt;"&amp;'Supply planning data'!D419,'Shipments data'!AC:AC,"&lt;"&amp;'Supply planning data'!D419)-SUMIFS(M:M,D:D,"&lt;="&amp;D404,C:C,C404)-SUMIFS(AA:AA,D:D,"&lt;="&amp;D404,C:C,C404)+SUMIFS(N:N,D:D,"&lt;="&amp;D404,C:C,C404)+SUMIFS(P:P,D:D,"&lt;="&amp;D404,C:C,C404)&lt;0,0,SUMIFS('Shipments data'!L:L,'Shipments data'!F:F,'Supply planning data'!C404,'Shipments data'!A:A,'Supply planning data'!A404,'Shipments data'!O:O,"received",'Shipments data'!Q:Q,"&lt;"&amp;'Supply planning data'!D419,'Shipments data'!AC:AC,"&lt;"&amp;'Supply planning data'!D419)-SUMIFS(M:M,D:D,"&lt;="&amp;D404,C:C,C404)-SUMIFS(AA:AA,D:D,"&lt;="&amp;D404,C:C,C404)+SUMIFS(N:N,D:D,"&lt;="&amp;D404,C:C,C404)+SUMIFS(P:P,D:D,"&lt;="&amp;D404,C:C,C404))</f>
        <v>0</v>
      </c>
      <c r="AD404" s="98">
        <f t="shared" ref="AD404:AD467" si="136">IF(AC404-AC389&lt;0,0,AC404-AC389)</f>
        <v>0</v>
      </c>
      <c r="AE404" s="98">
        <f t="shared" si="130"/>
        <v>0</v>
      </c>
      <c r="AF404" s="205" t="str">
        <f t="shared" si="121"/>
        <v/>
      </c>
      <c r="AG404" s="98">
        <f t="shared" ref="AG404:AG467" si="137">AN389</f>
        <v>0</v>
      </c>
      <c r="AH404" s="97"/>
      <c r="AI404" s="311"/>
      <c r="AJ404" s="98">
        <f t="shared" si="129"/>
        <v>0</v>
      </c>
      <c r="AK404" s="233"/>
      <c r="AL404" s="98">
        <f>IF(SUMIFS('Shipments data'!L:L,'Shipments data'!F:F,'Supply planning data'!C404,'Shipments data'!A:A,'Supply planning data'!A404,'Shipments data'!O:O,"received",'Shipments data'!Q:Q,"&lt;"&amp;'Supply planning data'!D419,'Shipments data'!AC:AC,"&lt;"&amp;'Supply planning data'!D419)-SUMIFS(M:M,D:D,"&lt;="&amp;D404,C:C,C404)-SUMIFS(AJ:AJ,D:D,"&lt;="&amp;D404,C:C,C404)+SUMIFS(N:N,D:D,"&lt;="&amp;D404,C:C,C404)+SUMIFS(P:P,D:D,"&lt;="&amp;D404,C:C,C404)&lt;0,0,SUMIFS('Shipments data'!L:L,'Shipments data'!F:F,'Supply planning data'!C404,'Shipments data'!A:A,'Supply planning data'!A404,'Shipments data'!O:O,"received",'Shipments data'!Q:Q,"&lt;"&amp;'Supply planning data'!D419,'Shipments data'!AC:AC,"&lt;"&amp;'Supply planning data'!D419)-SUMIFS(M:M,D:D,"&lt;="&amp;D404,C:C,C404)-SUMIFS(AJ:AJ,D:D,"&lt;="&amp;D404,C:C,C404)+SUMIFS(N:N,D:D,"&lt;="&amp;D404,C:C,C404)+SUMIFS(P:P,D:D,"&lt;="&amp;D404,C:C,C404))</f>
        <v>0</v>
      </c>
      <c r="AM404" s="98">
        <f t="shared" ref="AM404:AM467" si="138">IF(AL404-AL389&lt;0,0,AL404-AL389)</f>
        <v>0</v>
      </c>
      <c r="AN404" s="98">
        <f t="shared" si="131"/>
        <v>0</v>
      </c>
      <c r="AO404" s="203" t="str">
        <f t="shared" si="123"/>
        <v/>
      </c>
    </row>
    <row r="405" spans="1:41" hidden="1" x14ac:dyDescent="0.25">
      <c r="A405" s="95" t="str">
        <f>Start!D$7</f>
        <v>Anyland</v>
      </c>
      <c r="B405" s="96" t="str">
        <f>VLOOKUP(A405,list!B:C,2,FALSE)</f>
        <v>ANY</v>
      </c>
      <c r="C405" s="90" t="str">
        <f>IF(Start!$C$27="","",Start!$C$27)</f>
        <v/>
      </c>
      <c r="D405" s="296">
        <f t="shared" si="132"/>
        <v>44986</v>
      </c>
      <c r="E405" s="92" t="str">
        <f>IFERROR(VLOOKUP(C405,Start!C$15:D$31,2,FALSE),"No")</f>
        <v>No</v>
      </c>
      <c r="F405" s="92">
        <f t="shared" si="133"/>
        <v>0</v>
      </c>
      <c r="G405" s="91"/>
      <c r="H405" s="97"/>
      <c r="I405" s="97"/>
      <c r="J405" s="98">
        <f t="shared" si="125"/>
        <v>0</v>
      </c>
      <c r="K405" s="97"/>
      <c r="L405" s="175" t="str">
        <f t="shared" si="126"/>
        <v/>
      </c>
      <c r="M405" s="98">
        <f t="shared" si="127"/>
        <v>0</v>
      </c>
      <c r="N405" s="97"/>
      <c r="O405" s="122"/>
      <c r="P405" s="97"/>
      <c r="Q405" s="122"/>
      <c r="R405" s="98">
        <f>SUMIFS('Shipments data'!L:L,'Shipments data'!F:F,'Supply planning data'!C405,'Shipments data'!A:A,'Supply planning data'!A405,'Shipments data'!Y:Y,'Supply planning data'!D405,'Shipments data'!O:O,"received", 'Shipments data'!N:N, "Public")</f>
        <v>0</v>
      </c>
      <c r="S405" s="98">
        <f>SUMIFS('Shipments data'!L:L,'Shipments data'!F:F,'Supply planning data'!C405,'Shipments data'!A:A,'Supply planning data'!A405,'Shipments data'!Y:Y,'Supply planning data'!D405,'Shipments data'!O:O,"ordered", 'Shipments data'!N:N, "Public")</f>
        <v>0</v>
      </c>
      <c r="T405" s="98">
        <f>IF(SUMIFS('Shipments data'!L:L,'Shipments data'!F:F,'Supply planning data'!C405,'Shipments data'!A:A,'Supply planning data'!A405,'Shipments data'!O:O,"received",'Shipments data'!Q:Q,"&lt;"&amp;'Supply planning data'!D420,'Shipments data'!AC:AC,"&lt;"&amp;'Supply planning data'!D420)-SUMIFS(M:M,D:D,"&lt;="&amp;D405,C:C,C405)+SUMIFS(N:N,D:D,"&lt;="&amp;D405,C:C,C405)+SUMIFS(P:P,D:D,"&lt;="&amp;D405,C:C,C405)&lt;0,0,SUMIFS('Shipments data'!L:L,'Shipments data'!F:F,'Supply planning data'!C405,'Shipments data'!A:A,'Supply planning data'!A405,'Shipments data'!O:O,"received",'Shipments data'!Q:Q,"&lt;"&amp;'Supply planning data'!D420,'Shipments data'!AC:AC,"&lt;"&amp;'Supply planning data'!D420)-SUMIFS(M:M,D:D,"&lt;="&amp;D405,C:C,C405)+SUMIFS(N:N,D:D,"&lt;="&amp;D405,C:C,C405)+SUMIFS(P:P,D:D,"&lt;="&amp;D405,C:C,C405))</f>
        <v>0</v>
      </c>
      <c r="U405" s="99">
        <f t="shared" si="134"/>
        <v>0</v>
      </c>
      <c r="V405" s="98">
        <f t="shared" si="124"/>
        <v>0</v>
      </c>
      <c r="W405" s="203" t="str">
        <f t="shared" si="122"/>
        <v/>
      </c>
      <c r="X405" s="98">
        <f t="shared" si="135"/>
        <v>0</v>
      </c>
      <c r="Y405" s="97"/>
      <c r="Z405" s="93"/>
      <c r="AA405" s="98">
        <f t="shared" si="128"/>
        <v>0</v>
      </c>
      <c r="AB405" s="233"/>
      <c r="AC405" s="98">
        <f>IF(SUMIFS('Shipments data'!L:L,'Shipments data'!F:F,'Supply planning data'!C405,'Shipments data'!A:A,'Supply planning data'!A405,'Shipments data'!O:O,"received",'Shipments data'!Q:Q,"&lt;"&amp;'Supply planning data'!D420,'Shipments data'!AC:AC,"&lt;"&amp;'Supply planning data'!D420)-SUMIFS(M:M,D:D,"&lt;="&amp;D405,C:C,C405)-SUMIFS(AA:AA,D:D,"&lt;="&amp;D405,C:C,C405)+SUMIFS(N:N,D:D,"&lt;="&amp;D405,C:C,C405)+SUMIFS(P:P,D:D,"&lt;="&amp;D405,C:C,C405)&lt;0,0,SUMIFS('Shipments data'!L:L,'Shipments data'!F:F,'Supply planning data'!C405,'Shipments data'!A:A,'Supply planning data'!A405,'Shipments data'!O:O,"received",'Shipments data'!Q:Q,"&lt;"&amp;'Supply planning data'!D420,'Shipments data'!AC:AC,"&lt;"&amp;'Supply planning data'!D420)-SUMIFS(M:M,D:D,"&lt;="&amp;D405,C:C,C405)-SUMIFS(AA:AA,D:D,"&lt;="&amp;D405,C:C,C405)+SUMIFS(N:N,D:D,"&lt;="&amp;D405,C:C,C405)+SUMIFS(P:P,D:D,"&lt;="&amp;D405,C:C,C405))</f>
        <v>0</v>
      </c>
      <c r="AD405" s="98">
        <f t="shared" si="136"/>
        <v>0</v>
      </c>
      <c r="AE405" s="98">
        <f t="shared" si="130"/>
        <v>0</v>
      </c>
      <c r="AF405" s="205" t="str">
        <f t="shared" si="121"/>
        <v/>
      </c>
      <c r="AG405" s="98">
        <f t="shared" si="137"/>
        <v>0</v>
      </c>
      <c r="AH405" s="97"/>
      <c r="AI405" s="311"/>
      <c r="AJ405" s="98">
        <f t="shared" si="129"/>
        <v>0</v>
      </c>
      <c r="AK405" s="233"/>
      <c r="AL405" s="98">
        <f>IF(SUMIFS('Shipments data'!L:L,'Shipments data'!F:F,'Supply planning data'!C405,'Shipments data'!A:A,'Supply planning data'!A405,'Shipments data'!O:O,"received",'Shipments data'!Q:Q,"&lt;"&amp;'Supply planning data'!D420,'Shipments data'!AC:AC,"&lt;"&amp;'Supply planning data'!D420)-SUMIFS(M:M,D:D,"&lt;="&amp;D405,C:C,C405)-SUMIFS(AJ:AJ,D:D,"&lt;="&amp;D405,C:C,C405)+SUMIFS(N:N,D:D,"&lt;="&amp;D405,C:C,C405)+SUMIFS(P:P,D:D,"&lt;="&amp;D405,C:C,C405)&lt;0,0,SUMIFS('Shipments data'!L:L,'Shipments data'!F:F,'Supply planning data'!C405,'Shipments data'!A:A,'Supply planning data'!A405,'Shipments data'!O:O,"received",'Shipments data'!Q:Q,"&lt;"&amp;'Supply planning data'!D420,'Shipments data'!AC:AC,"&lt;"&amp;'Supply planning data'!D420)-SUMIFS(M:M,D:D,"&lt;="&amp;D405,C:C,C405)-SUMIFS(AJ:AJ,D:D,"&lt;="&amp;D405,C:C,C405)+SUMIFS(N:N,D:D,"&lt;="&amp;D405,C:C,C405)+SUMIFS(P:P,D:D,"&lt;="&amp;D405,C:C,C405))</f>
        <v>0</v>
      </c>
      <c r="AM405" s="98">
        <f t="shared" si="138"/>
        <v>0</v>
      </c>
      <c r="AN405" s="98">
        <f t="shared" si="131"/>
        <v>0</v>
      </c>
      <c r="AO405" s="203" t="str">
        <f t="shared" si="123"/>
        <v/>
      </c>
    </row>
    <row r="406" spans="1:41" hidden="1" x14ac:dyDescent="0.25">
      <c r="A406" s="95" t="str">
        <f>Start!D$7</f>
        <v>Anyland</v>
      </c>
      <c r="B406" s="96" t="str">
        <f>VLOOKUP(A406,list!B:C,2,FALSE)</f>
        <v>ANY</v>
      </c>
      <c r="C406" s="90" t="str">
        <f>IF(Start!$C$28="","",Start!$C$28)</f>
        <v/>
      </c>
      <c r="D406" s="296">
        <f t="shared" si="132"/>
        <v>44986</v>
      </c>
      <c r="E406" s="92" t="str">
        <f>IFERROR(VLOOKUP(C406,Start!C$15:D$31,2,FALSE),"No")</f>
        <v>No</v>
      </c>
      <c r="F406" s="92">
        <f t="shared" si="133"/>
        <v>0</v>
      </c>
      <c r="G406" s="91"/>
      <c r="H406" s="97"/>
      <c r="I406" s="97"/>
      <c r="J406" s="98">
        <f t="shared" si="125"/>
        <v>0</v>
      </c>
      <c r="K406" s="97"/>
      <c r="L406" s="175" t="str">
        <f t="shared" si="126"/>
        <v/>
      </c>
      <c r="M406" s="98">
        <f t="shared" si="127"/>
        <v>0</v>
      </c>
      <c r="N406" s="97"/>
      <c r="O406" s="122"/>
      <c r="P406" s="97"/>
      <c r="Q406" s="122"/>
      <c r="R406" s="98">
        <f>SUMIFS('Shipments data'!L:L,'Shipments data'!F:F,'Supply planning data'!C406,'Shipments data'!A:A,'Supply planning data'!A406,'Shipments data'!Y:Y,'Supply planning data'!D406,'Shipments data'!O:O,"received", 'Shipments data'!N:N, "Public")</f>
        <v>0</v>
      </c>
      <c r="S406" s="98">
        <f>SUMIFS('Shipments data'!L:L,'Shipments data'!F:F,'Supply planning data'!C406,'Shipments data'!A:A,'Supply planning data'!A406,'Shipments data'!Y:Y,'Supply planning data'!D406,'Shipments data'!O:O,"ordered", 'Shipments data'!N:N, "Public")</f>
        <v>0</v>
      </c>
      <c r="T406" s="98">
        <f>IF(SUMIFS('Shipments data'!L:L,'Shipments data'!F:F,'Supply planning data'!C406,'Shipments data'!A:A,'Supply planning data'!A406,'Shipments data'!O:O,"received",'Shipments data'!Q:Q,"&lt;"&amp;'Supply planning data'!D421,'Shipments data'!AC:AC,"&lt;"&amp;'Supply planning data'!D421)-SUMIFS(M:M,D:D,"&lt;="&amp;D406,C:C,C406)+SUMIFS(N:N,D:D,"&lt;="&amp;D406,C:C,C406)+SUMIFS(P:P,D:D,"&lt;="&amp;D406,C:C,C406)&lt;0,0,SUMIFS('Shipments data'!L:L,'Shipments data'!F:F,'Supply planning data'!C406,'Shipments data'!A:A,'Supply planning data'!A406,'Shipments data'!O:O,"received",'Shipments data'!Q:Q,"&lt;"&amp;'Supply planning data'!D421,'Shipments data'!AC:AC,"&lt;"&amp;'Supply planning data'!D421)-SUMIFS(M:M,D:D,"&lt;="&amp;D406,C:C,C406)+SUMIFS(N:N,D:D,"&lt;="&amp;D406,C:C,C406)+SUMIFS(P:P,D:D,"&lt;="&amp;D406,C:C,C406))</f>
        <v>0</v>
      </c>
      <c r="U406" s="99">
        <f t="shared" si="134"/>
        <v>0</v>
      </c>
      <c r="V406" s="98">
        <f t="shared" si="124"/>
        <v>0</v>
      </c>
      <c r="W406" s="203" t="str">
        <f t="shared" si="122"/>
        <v/>
      </c>
      <c r="X406" s="98">
        <f t="shared" si="135"/>
        <v>0</v>
      </c>
      <c r="Y406" s="97"/>
      <c r="Z406" s="93"/>
      <c r="AA406" s="98">
        <f t="shared" si="128"/>
        <v>0</v>
      </c>
      <c r="AB406" s="233"/>
      <c r="AC406" s="98">
        <f>IF(SUMIFS('Shipments data'!L:L,'Shipments data'!F:F,'Supply planning data'!C406,'Shipments data'!A:A,'Supply planning data'!A406,'Shipments data'!O:O,"received",'Shipments data'!Q:Q,"&lt;"&amp;'Supply planning data'!D421,'Shipments data'!AC:AC,"&lt;"&amp;'Supply planning data'!D421)-SUMIFS(M:M,D:D,"&lt;="&amp;D406,C:C,C406)-SUMIFS(AA:AA,D:D,"&lt;="&amp;D406,C:C,C406)+SUMIFS(N:N,D:D,"&lt;="&amp;D406,C:C,C406)+SUMIFS(P:P,D:D,"&lt;="&amp;D406,C:C,C406)&lt;0,0,SUMIFS('Shipments data'!L:L,'Shipments data'!F:F,'Supply planning data'!C406,'Shipments data'!A:A,'Supply planning data'!A406,'Shipments data'!O:O,"received",'Shipments data'!Q:Q,"&lt;"&amp;'Supply planning data'!D421,'Shipments data'!AC:AC,"&lt;"&amp;'Supply planning data'!D421)-SUMIFS(M:M,D:D,"&lt;="&amp;D406,C:C,C406)-SUMIFS(AA:AA,D:D,"&lt;="&amp;D406,C:C,C406)+SUMIFS(N:N,D:D,"&lt;="&amp;D406,C:C,C406)+SUMIFS(P:P,D:D,"&lt;="&amp;D406,C:C,C406))</f>
        <v>0</v>
      </c>
      <c r="AD406" s="98">
        <f t="shared" si="136"/>
        <v>0</v>
      </c>
      <c r="AE406" s="98">
        <f t="shared" si="130"/>
        <v>0</v>
      </c>
      <c r="AF406" s="205" t="str">
        <f t="shared" si="121"/>
        <v/>
      </c>
      <c r="AG406" s="98">
        <f t="shared" si="137"/>
        <v>0</v>
      </c>
      <c r="AH406" s="97"/>
      <c r="AI406" s="311"/>
      <c r="AJ406" s="98">
        <f t="shared" si="129"/>
        <v>0</v>
      </c>
      <c r="AK406" s="233"/>
      <c r="AL406" s="98">
        <f>IF(SUMIFS('Shipments data'!L:L,'Shipments data'!F:F,'Supply planning data'!C406,'Shipments data'!A:A,'Supply planning data'!A406,'Shipments data'!O:O,"received",'Shipments data'!Q:Q,"&lt;"&amp;'Supply planning data'!D421,'Shipments data'!AC:AC,"&lt;"&amp;'Supply planning data'!D421)-SUMIFS(M:M,D:D,"&lt;="&amp;D406,C:C,C406)-SUMIFS(AJ:AJ,D:D,"&lt;="&amp;D406,C:C,C406)+SUMIFS(N:N,D:D,"&lt;="&amp;D406,C:C,C406)+SUMIFS(P:P,D:D,"&lt;="&amp;D406,C:C,C406)&lt;0,0,SUMIFS('Shipments data'!L:L,'Shipments data'!F:F,'Supply planning data'!C406,'Shipments data'!A:A,'Supply planning data'!A406,'Shipments data'!O:O,"received",'Shipments data'!Q:Q,"&lt;"&amp;'Supply planning data'!D421,'Shipments data'!AC:AC,"&lt;"&amp;'Supply planning data'!D421)-SUMIFS(M:M,D:D,"&lt;="&amp;D406,C:C,C406)-SUMIFS(AJ:AJ,D:D,"&lt;="&amp;D406,C:C,C406)+SUMIFS(N:N,D:D,"&lt;="&amp;D406,C:C,C406)+SUMIFS(P:P,D:D,"&lt;="&amp;D406,C:C,C406))</f>
        <v>0</v>
      </c>
      <c r="AM406" s="98">
        <f t="shared" si="138"/>
        <v>0</v>
      </c>
      <c r="AN406" s="98">
        <f t="shared" si="131"/>
        <v>0</v>
      </c>
      <c r="AO406" s="203" t="str">
        <f t="shared" si="123"/>
        <v/>
      </c>
    </row>
    <row r="407" spans="1:41" hidden="1" x14ac:dyDescent="0.25">
      <c r="A407" s="95" t="str">
        <f>Start!D$7</f>
        <v>Anyland</v>
      </c>
      <c r="B407" s="96" t="str">
        <f>VLOOKUP(A407,list!B:C,2,FALSE)</f>
        <v>ANY</v>
      </c>
      <c r="C407" s="90" t="str">
        <f>IF(Start!$C$29="","",Start!$C$29)</f>
        <v/>
      </c>
      <c r="D407" s="296">
        <f t="shared" si="132"/>
        <v>44986</v>
      </c>
      <c r="E407" s="92" t="str">
        <f>IFERROR(VLOOKUP(C407,Start!C$15:D$31,2,FALSE),"No")</f>
        <v>No</v>
      </c>
      <c r="F407" s="92">
        <f t="shared" si="133"/>
        <v>0</v>
      </c>
      <c r="G407" s="91"/>
      <c r="H407" s="97"/>
      <c r="I407" s="97"/>
      <c r="J407" s="98">
        <f t="shared" si="125"/>
        <v>0</v>
      </c>
      <c r="K407" s="97"/>
      <c r="L407" s="175" t="str">
        <f t="shared" si="126"/>
        <v/>
      </c>
      <c r="M407" s="98">
        <f t="shared" si="127"/>
        <v>0</v>
      </c>
      <c r="N407" s="97"/>
      <c r="O407" s="122"/>
      <c r="P407" s="97"/>
      <c r="Q407" s="122"/>
      <c r="R407" s="98">
        <f>SUMIFS('Shipments data'!L:L,'Shipments data'!F:F,'Supply planning data'!C407,'Shipments data'!A:A,'Supply planning data'!A407,'Shipments data'!Y:Y,'Supply planning data'!D407,'Shipments data'!O:O,"received", 'Shipments data'!N:N, "Public")</f>
        <v>0</v>
      </c>
      <c r="S407" s="98">
        <f>SUMIFS('Shipments data'!L:L,'Shipments data'!F:F,'Supply planning data'!C407,'Shipments data'!A:A,'Supply planning data'!A407,'Shipments data'!Y:Y,'Supply planning data'!D407,'Shipments data'!O:O,"ordered", 'Shipments data'!N:N, "Public")</f>
        <v>0</v>
      </c>
      <c r="T407" s="98">
        <f>IF(SUMIFS('Shipments data'!L:L,'Shipments data'!F:F,'Supply planning data'!C407,'Shipments data'!A:A,'Supply planning data'!A407,'Shipments data'!O:O,"received",'Shipments data'!Q:Q,"&lt;"&amp;'Supply planning data'!D422,'Shipments data'!AC:AC,"&lt;"&amp;'Supply planning data'!D422)-SUMIFS(M:M,D:D,"&lt;="&amp;D407,C:C,C407)+SUMIFS(N:N,D:D,"&lt;="&amp;D407,C:C,C407)+SUMIFS(P:P,D:D,"&lt;="&amp;D407,C:C,C407)&lt;0,0,SUMIFS('Shipments data'!L:L,'Shipments data'!F:F,'Supply planning data'!C407,'Shipments data'!A:A,'Supply planning data'!A407,'Shipments data'!O:O,"received",'Shipments data'!Q:Q,"&lt;"&amp;'Supply planning data'!D422,'Shipments data'!AC:AC,"&lt;"&amp;'Supply planning data'!D422)-SUMIFS(M:M,D:D,"&lt;="&amp;D407,C:C,C407)+SUMIFS(N:N,D:D,"&lt;="&amp;D407,C:C,C407)+SUMIFS(P:P,D:D,"&lt;="&amp;D407,C:C,C407))</f>
        <v>0</v>
      </c>
      <c r="U407" s="99">
        <f t="shared" si="134"/>
        <v>0</v>
      </c>
      <c r="V407" s="98">
        <f t="shared" si="124"/>
        <v>0</v>
      </c>
      <c r="W407" s="203" t="str">
        <f t="shared" si="122"/>
        <v/>
      </c>
      <c r="X407" s="98">
        <f t="shared" si="135"/>
        <v>0</v>
      </c>
      <c r="Y407" s="97"/>
      <c r="Z407" s="93"/>
      <c r="AA407" s="98">
        <f t="shared" si="128"/>
        <v>0</v>
      </c>
      <c r="AB407" s="233"/>
      <c r="AC407" s="98">
        <f>IF(SUMIFS('Shipments data'!L:L,'Shipments data'!F:F,'Supply planning data'!C407,'Shipments data'!A:A,'Supply planning data'!A407,'Shipments data'!O:O,"received",'Shipments data'!Q:Q,"&lt;"&amp;'Supply planning data'!D422,'Shipments data'!AC:AC,"&lt;"&amp;'Supply planning data'!D422)-SUMIFS(M:M,D:D,"&lt;="&amp;D407,C:C,C407)-SUMIFS(AA:AA,D:D,"&lt;="&amp;D407,C:C,C407)+SUMIFS(N:N,D:D,"&lt;="&amp;D407,C:C,C407)+SUMIFS(P:P,D:D,"&lt;="&amp;D407,C:C,C407)&lt;0,0,SUMIFS('Shipments data'!L:L,'Shipments data'!F:F,'Supply planning data'!C407,'Shipments data'!A:A,'Supply planning data'!A407,'Shipments data'!O:O,"received",'Shipments data'!Q:Q,"&lt;"&amp;'Supply planning data'!D422,'Shipments data'!AC:AC,"&lt;"&amp;'Supply planning data'!D422)-SUMIFS(M:M,D:D,"&lt;="&amp;D407,C:C,C407)-SUMIFS(AA:AA,D:D,"&lt;="&amp;D407,C:C,C407)+SUMIFS(N:N,D:D,"&lt;="&amp;D407,C:C,C407)+SUMIFS(P:P,D:D,"&lt;="&amp;D407,C:C,C407))</f>
        <v>0</v>
      </c>
      <c r="AD407" s="98">
        <f t="shared" si="136"/>
        <v>0</v>
      </c>
      <c r="AE407" s="98">
        <f t="shared" si="130"/>
        <v>0</v>
      </c>
      <c r="AF407" s="205" t="str">
        <f t="shared" si="121"/>
        <v/>
      </c>
      <c r="AG407" s="98">
        <f t="shared" si="137"/>
        <v>0</v>
      </c>
      <c r="AH407" s="97"/>
      <c r="AI407" s="311"/>
      <c r="AJ407" s="98">
        <f t="shared" si="129"/>
        <v>0</v>
      </c>
      <c r="AK407" s="233"/>
      <c r="AL407" s="98">
        <f>IF(SUMIFS('Shipments data'!L:L,'Shipments data'!F:F,'Supply planning data'!C407,'Shipments data'!A:A,'Supply planning data'!A407,'Shipments data'!O:O,"received",'Shipments data'!Q:Q,"&lt;"&amp;'Supply planning data'!D422,'Shipments data'!AC:AC,"&lt;"&amp;'Supply planning data'!D422)-SUMIFS(M:M,D:D,"&lt;="&amp;D407,C:C,C407)-SUMIFS(AJ:AJ,D:D,"&lt;="&amp;D407,C:C,C407)+SUMIFS(N:N,D:D,"&lt;="&amp;D407,C:C,C407)+SUMIFS(P:P,D:D,"&lt;="&amp;D407,C:C,C407)&lt;0,0,SUMIFS('Shipments data'!L:L,'Shipments data'!F:F,'Supply planning data'!C407,'Shipments data'!A:A,'Supply planning data'!A407,'Shipments data'!O:O,"received",'Shipments data'!Q:Q,"&lt;"&amp;'Supply planning data'!D422,'Shipments data'!AC:AC,"&lt;"&amp;'Supply planning data'!D422)-SUMIFS(M:M,D:D,"&lt;="&amp;D407,C:C,C407)-SUMIFS(AJ:AJ,D:D,"&lt;="&amp;D407,C:C,C407)+SUMIFS(N:N,D:D,"&lt;="&amp;D407,C:C,C407)+SUMIFS(P:P,D:D,"&lt;="&amp;D407,C:C,C407))</f>
        <v>0</v>
      </c>
      <c r="AM407" s="98">
        <f t="shared" si="138"/>
        <v>0</v>
      </c>
      <c r="AN407" s="98">
        <f t="shared" si="131"/>
        <v>0</v>
      </c>
      <c r="AO407" s="203" t="str">
        <f t="shared" si="123"/>
        <v/>
      </c>
    </row>
    <row r="408" spans="1:41" hidden="1" x14ac:dyDescent="0.25">
      <c r="A408" s="95" t="str">
        <f>Start!D$7</f>
        <v>Anyland</v>
      </c>
      <c r="B408" s="96" t="str">
        <f>VLOOKUP(A408,list!B:C,2,FALSE)</f>
        <v>ANY</v>
      </c>
      <c r="C408" s="90" t="str">
        <f>IF(Start!$C$30="","",Start!$C$30)</f>
        <v/>
      </c>
      <c r="D408" s="296">
        <f t="shared" si="132"/>
        <v>44986</v>
      </c>
      <c r="E408" s="92" t="str">
        <f>IFERROR(VLOOKUP(C408,Start!C$15:D$31,2,FALSE),"No")</f>
        <v>No</v>
      </c>
      <c r="F408" s="92">
        <f t="shared" si="133"/>
        <v>0</v>
      </c>
      <c r="G408" s="91"/>
      <c r="H408" s="97"/>
      <c r="I408" s="97"/>
      <c r="J408" s="98">
        <f t="shared" si="125"/>
        <v>0</v>
      </c>
      <c r="K408" s="97"/>
      <c r="L408" s="175" t="str">
        <f t="shared" si="126"/>
        <v/>
      </c>
      <c r="M408" s="98">
        <f t="shared" si="127"/>
        <v>0</v>
      </c>
      <c r="N408" s="97"/>
      <c r="O408" s="122"/>
      <c r="P408" s="97"/>
      <c r="Q408" s="122"/>
      <c r="R408" s="98">
        <f>SUMIFS('Shipments data'!L:L,'Shipments data'!F:F,'Supply planning data'!C408,'Shipments data'!A:A,'Supply planning data'!A408,'Shipments data'!Y:Y,'Supply planning data'!D408,'Shipments data'!O:O,"received", 'Shipments data'!N:N, "Public")</f>
        <v>0</v>
      </c>
      <c r="S408" s="98">
        <f>SUMIFS('Shipments data'!L:L,'Shipments data'!F:F,'Supply planning data'!C408,'Shipments data'!A:A,'Supply planning data'!A408,'Shipments data'!Y:Y,'Supply planning data'!D408,'Shipments data'!O:O,"ordered", 'Shipments data'!N:N, "Public")</f>
        <v>0</v>
      </c>
      <c r="T408" s="98">
        <f>IF(SUMIFS('Shipments data'!L:L,'Shipments data'!F:F,'Supply planning data'!C408,'Shipments data'!A:A,'Supply planning data'!A408,'Shipments data'!O:O,"received",'Shipments data'!Q:Q,"&lt;"&amp;'Supply planning data'!D423,'Shipments data'!AC:AC,"&lt;"&amp;'Supply planning data'!D423)-SUMIFS(M:M,D:D,"&lt;="&amp;D408,C:C,C408)+SUMIFS(N:N,D:D,"&lt;="&amp;D408,C:C,C408)+SUMIFS(P:P,D:D,"&lt;="&amp;D408,C:C,C408)&lt;0,0,SUMIFS('Shipments data'!L:L,'Shipments data'!F:F,'Supply planning data'!C408,'Shipments data'!A:A,'Supply planning data'!A408,'Shipments data'!O:O,"received",'Shipments data'!Q:Q,"&lt;"&amp;'Supply planning data'!D423,'Shipments data'!AC:AC,"&lt;"&amp;'Supply planning data'!D423)-SUMIFS(M:M,D:D,"&lt;="&amp;D408,C:C,C408)+SUMIFS(N:N,D:D,"&lt;="&amp;D408,C:C,C408)+SUMIFS(P:P,D:D,"&lt;="&amp;D408,C:C,C408))</f>
        <v>0</v>
      </c>
      <c r="U408" s="99">
        <f t="shared" si="134"/>
        <v>0</v>
      </c>
      <c r="V408" s="98">
        <f t="shared" si="124"/>
        <v>0</v>
      </c>
      <c r="W408" s="203" t="str">
        <f t="shared" si="122"/>
        <v/>
      </c>
      <c r="X408" s="98">
        <f t="shared" si="135"/>
        <v>0</v>
      </c>
      <c r="Y408" s="97"/>
      <c r="Z408" s="93"/>
      <c r="AA408" s="98">
        <f t="shared" si="128"/>
        <v>0</v>
      </c>
      <c r="AB408" s="233"/>
      <c r="AC408" s="98">
        <f>IF(SUMIFS('Shipments data'!L:L,'Shipments data'!F:F,'Supply planning data'!C408,'Shipments data'!A:A,'Supply planning data'!A408,'Shipments data'!O:O,"received",'Shipments data'!Q:Q,"&lt;"&amp;'Supply planning data'!D423,'Shipments data'!AC:AC,"&lt;"&amp;'Supply planning data'!D423)-SUMIFS(M:M,D:D,"&lt;="&amp;D408,C:C,C408)-SUMIFS(AA:AA,D:D,"&lt;="&amp;D408,C:C,C408)+SUMIFS(N:N,D:D,"&lt;="&amp;D408,C:C,C408)+SUMIFS(P:P,D:D,"&lt;="&amp;D408,C:C,C408)&lt;0,0,SUMIFS('Shipments data'!L:L,'Shipments data'!F:F,'Supply planning data'!C408,'Shipments data'!A:A,'Supply planning data'!A408,'Shipments data'!O:O,"received",'Shipments data'!Q:Q,"&lt;"&amp;'Supply planning data'!D423,'Shipments data'!AC:AC,"&lt;"&amp;'Supply planning data'!D423)-SUMIFS(M:M,D:D,"&lt;="&amp;D408,C:C,C408)-SUMIFS(AA:AA,D:D,"&lt;="&amp;D408,C:C,C408)+SUMIFS(N:N,D:D,"&lt;="&amp;D408,C:C,C408)+SUMIFS(P:P,D:D,"&lt;="&amp;D408,C:C,C408))</f>
        <v>0</v>
      </c>
      <c r="AD408" s="98">
        <f t="shared" si="136"/>
        <v>0</v>
      </c>
      <c r="AE408" s="98">
        <f t="shared" si="130"/>
        <v>0</v>
      </c>
      <c r="AF408" s="205" t="str">
        <f t="shared" si="121"/>
        <v/>
      </c>
      <c r="AG408" s="98">
        <f t="shared" si="137"/>
        <v>0</v>
      </c>
      <c r="AH408" s="97"/>
      <c r="AI408" s="311"/>
      <c r="AJ408" s="98">
        <f t="shared" si="129"/>
        <v>0</v>
      </c>
      <c r="AK408" s="233"/>
      <c r="AL408" s="98">
        <f>IF(SUMIFS('Shipments data'!L:L,'Shipments data'!F:F,'Supply planning data'!C408,'Shipments data'!A:A,'Supply planning data'!A408,'Shipments data'!O:O,"received",'Shipments data'!Q:Q,"&lt;"&amp;'Supply planning data'!D423,'Shipments data'!AC:AC,"&lt;"&amp;'Supply planning data'!D423)-SUMIFS(M:M,D:D,"&lt;="&amp;D408,C:C,C408)-SUMIFS(AJ:AJ,D:D,"&lt;="&amp;D408,C:C,C408)+SUMIFS(N:N,D:D,"&lt;="&amp;D408,C:C,C408)+SUMIFS(P:P,D:D,"&lt;="&amp;D408,C:C,C408)&lt;0,0,SUMIFS('Shipments data'!L:L,'Shipments data'!F:F,'Supply planning data'!C408,'Shipments data'!A:A,'Supply planning data'!A408,'Shipments data'!O:O,"received",'Shipments data'!Q:Q,"&lt;"&amp;'Supply planning data'!D423,'Shipments data'!AC:AC,"&lt;"&amp;'Supply planning data'!D423)-SUMIFS(M:M,D:D,"&lt;="&amp;D408,C:C,C408)-SUMIFS(AJ:AJ,D:D,"&lt;="&amp;D408,C:C,C408)+SUMIFS(N:N,D:D,"&lt;="&amp;D408,C:C,C408)+SUMIFS(P:P,D:D,"&lt;="&amp;D408,C:C,C408))</f>
        <v>0</v>
      </c>
      <c r="AM408" s="98">
        <f t="shared" si="138"/>
        <v>0</v>
      </c>
      <c r="AN408" s="98">
        <f t="shared" si="131"/>
        <v>0</v>
      </c>
      <c r="AO408" s="203" t="str">
        <f t="shared" si="123"/>
        <v/>
      </c>
    </row>
    <row r="409" spans="1:41" hidden="1" x14ac:dyDescent="0.25">
      <c r="A409" s="95" t="str">
        <f>Start!D$7</f>
        <v>Anyland</v>
      </c>
      <c r="B409" s="100" t="str">
        <f>VLOOKUP(A409,list!B:C,2,FALSE)</f>
        <v>ANY</v>
      </c>
      <c r="C409" s="90" t="str">
        <f>IF(Start!$C$31="","",Start!$C$31)</f>
        <v/>
      </c>
      <c r="D409" s="296">
        <f t="shared" si="132"/>
        <v>44986</v>
      </c>
      <c r="E409" s="92" t="str">
        <f>IFERROR(VLOOKUP(C409,Start!C$15:D$31,2,FALSE),"No")</f>
        <v>No</v>
      </c>
      <c r="F409" s="92">
        <f t="shared" si="133"/>
        <v>0</v>
      </c>
      <c r="G409" s="91"/>
      <c r="H409" s="97"/>
      <c r="I409" s="97"/>
      <c r="J409" s="98">
        <f t="shared" si="125"/>
        <v>0</v>
      </c>
      <c r="K409" s="97"/>
      <c r="L409" s="175" t="str">
        <f t="shared" si="126"/>
        <v/>
      </c>
      <c r="M409" s="98">
        <f t="shared" si="127"/>
        <v>0</v>
      </c>
      <c r="N409" s="97"/>
      <c r="O409" s="122"/>
      <c r="P409" s="97"/>
      <c r="Q409" s="122"/>
      <c r="R409" s="98">
        <f>SUMIFS('Shipments data'!L:L,'Shipments data'!F:F,'Supply planning data'!C409,'Shipments data'!A:A,'Supply planning data'!A409,'Shipments data'!Y:Y,'Supply planning data'!D409,'Shipments data'!O:O,"received", 'Shipments data'!N:N, "Public")</f>
        <v>0</v>
      </c>
      <c r="S409" s="98">
        <f>SUMIFS('Shipments data'!L:L,'Shipments data'!F:F,'Supply planning data'!C409,'Shipments data'!A:A,'Supply planning data'!A409,'Shipments data'!Y:Y,'Supply planning data'!D409,'Shipments data'!O:O,"ordered", 'Shipments data'!N:N, "Public")</f>
        <v>0</v>
      </c>
      <c r="T409" s="98">
        <f>IF(SUMIFS('Shipments data'!L:L,'Shipments data'!F:F,'Supply planning data'!C409,'Shipments data'!A:A,'Supply planning data'!A409,'Shipments data'!O:O,"received",'Shipments data'!Q:Q,"&lt;"&amp;'Supply planning data'!D424,'Shipments data'!AC:AC,"&lt;"&amp;'Supply planning data'!D424)-SUMIFS(M:M,D:D,"&lt;="&amp;D409,C:C,C409)+SUMIFS(N:N,D:D,"&lt;="&amp;D409,C:C,C409)+SUMIFS(P:P,D:D,"&lt;="&amp;D409,C:C,C409)&lt;0,0,SUMIFS('Shipments data'!L:L,'Shipments data'!F:F,'Supply planning data'!C409,'Shipments data'!A:A,'Supply planning data'!A409,'Shipments data'!O:O,"received",'Shipments data'!Q:Q,"&lt;"&amp;'Supply planning data'!D424,'Shipments data'!AC:AC,"&lt;"&amp;'Supply planning data'!D424)-SUMIFS(M:M,D:D,"&lt;="&amp;D409,C:C,C409)+SUMIFS(N:N,D:D,"&lt;="&amp;D409,C:C,C409)+SUMIFS(P:P,D:D,"&lt;="&amp;D409,C:C,C409))</f>
        <v>0</v>
      </c>
      <c r="U409" s="99">
        <f t="shared" si="134"/>
        <v>0</v>
      </c>
      <c r="V409" s="98">
        <f t="shared" si="124"/>
        <v>0</v>
      </c>
      <c r="W409" s="203" t="str">
        <f t="shared" si="122"/>
        <v/>
      </c>
      <c r="X409" s="98">
        <f t="shared" si="135"/>
        <v>0</v>
      </c>
      <c r="Y409" s="97"/>
      <c r="Z409" s="93"/>
      <c r="AA409" s="98">
        <f t="shared" si="128"/>
        <v>0</v>
      </c>
      <c r="AB409" s="233"/>
      <c r="AC409" s="98">
        <f>IF(SUMIFS('Shipments data'!L:L,'Shipments data'!F:F,'Supply planning data'!C409,'Shipments data'!A:A,'Supply planning data'!A409,'Shipments data'!O:O,"received",'Shipments data'!Q:Q,"&lt;"&amp;'Supply planning data'!D424,'Shipments data'!AC:AC,"&lt;"&amp;'Supply planning data'!D424)-SUMIFS(M:M,D:D,"&lt;="&amp;D409,C:C,C409)-SUMIFS(AA:AA,D:D,"&lt;="&amp;D409,C:C,C409)+SUMIFS(N:N,D:D,"&lt;="&amp;D409,C:C,C409)+SUMIFS(P:P,D:D,"&lt;="&amp;D409,C:C,C409)&lt;0,0,SUMIFS('Shipments data'!L:L,'Shipments data'!F:F,'Supply planning data'!C409,'Shipments data'!A:A,'Supply planning data'!A409,'Shipments data'!O:O,"received",'Shipments data'!Q:Q,"&lt;"&amp;'Supply planning data'!D424,'Shipments data'!AC:AC,"&lt;"&amp;'Supply planning data'!D424)-SUMIFS(M:M,D:D,"&lt;="&amp;D409,C:C,C409)-SUMIFS(AA:AA,D:D,"&lt;="&amp;D409,C:C,C409)+SUMIFS(N:N,D:D,"&lt;="&amp;D409,C:C,C409)+SUMIFS(P:P,D:D,"&lt;="&amp;D409,C:C,C409))</f>
        <v>0</v>
      </c>
      <c r="AD409" s="98">
        <f t="shared" si="136"/>
        <v>0</v>
      </c>
      <c r="AE409" s="98">
        <f t="shared" si="130"/>
        <v>0</v>
      </c>
      <c r="AF409" s="205" t="str">
        <f t="shared" si="121"/>
        <v/>
      </c>
      <c r="AG409" s="98">
        <f t="shared" si="137"/>
        <v>0</v>
      </c>
      <c r="AH409" s="97"/>
      <c r="AI409" s="311"/>
      <c r="AJ409" s="98">
        <f t="shared" si="129"/>
        <v>0</v>
      </c>
      <c r="AK409" s="233"/>
      <c r="AL409" s="98">
        <f>IF(SUMIFS('Shipments data'!L:L,'Shipments data'!F:F,'Supply planning data'!C409,'Shipments data'!A:A,'Supply planning data'!A409,'Shipments data'!O:O,"received",'Shipments data'!Q:Q,"&lt;"&amp;'Supply planning data'!D424,'Shipments data'!AC:AC,"&lt;"&amp;'Supply planning data'!D424)-SUMIFS(M:M,D:D,"&lt;="&amp;D409,C:C,C409)-SUMIFS(AJ:AJ,D:D,"&lt;="&amp;D409,C:C,C409)+SUMIFS(N:N,D:D,"&lt;="&amp;D409,C:C,C409)+SUMIFS(P:P,D:D,"&lt;="&amp;D409,C:C,C409)&lt;0,0,SUMIFS('Shipments data'!L:L,'Shipments data'!F:F,'Supply planning data'!C409,'Shipments data'!A:A,'Supply planning data'!A409,'Shipments data'!O:O,"received",'Shipments data'!Q:Q,"&lt;"&amp;'Supply planning data'!D424,'Shipments data'!AC:AC,"&lt;"&amp;'Supply planning data'!D424)-SUMIFS(M:M,D:D,"&lt;="&amp;D409,C:C,C409)-SUMIFS(AJ:AJ,D:D,"&lt;="&amp;D409,C:C,C409)+SUMIFS(N:N,D:D,"&lt;="&amp;D409,C:C,C409)+SUMIFS(P:P,D:D,"&lt;="&amp;D409,C:C,C409))</f>
        <v>0</v>
      </c>
      <c r="AM409" s="98">
        <f t="shared" si="138"/>
        <v>0</v>
      </c>
      <c r="AN409" s="98">
        <f t="shared" si="131"/>
        <v>0</v>
      </c>
      <c r="AO409" s="203" t="str">
        <f t="shared" si="123"/>
        <v/>
      </c>
    </row>
    <row r="410" spans="1:41" x14ac:dyDescent="0.25">
      <c r="A410" s="103" t="str">
        <f>Start!D$7</f>
        <v>Anyland</v>
      </c>
      <c r="B410" s="104" t="str">
        <f>VLOOKUP(A410,list!B:C,2,FALSE)</f>
        <v>ANY</v>
      </c>
      <c r="C410" s="104" t="str">
        <f>IF(Start!$C$17="","",Start!$C$17)</f>
        <v>AstraZeneca</v>
      </c>
      <c r="D410" s="298">
        <f t="shared" si="132"/>
        <v>45017</v>
      </c>
      <c r="E410" s="105" t="str">
        <f>IFERROR(VLOOKUP(C410,Start!C$15:D$31,2,FALSE),"No")</f>
        <v>Yes</v>
      </c>
      <c r="F410" s="105">
        <f t="shared" si="133"/>
        <v>0</v>
      </c>
      <c r="G410" s="106"/>
      <c r="H410" s="106"/>
      <c r="I410" s="106"/>
      <c r="J410" s="105">
        <f t="shared" si="125"/>
        <v>0</v>
      </c>
      <c r="K410" s="106"/>
      <c r="L410" s="177" t="str">
        <f t="shared" si="126"/>
        <v/>
      </c>
      <c r="M410" s="105">
        <f t="shared" si="127"/>
        <v>0</v>
      </c>
      <c r="N410" s="106"/>
      <c r="O410" s="123"/>
      <c r="P410" s="106"/>
      <c r="Q410" s="123"/>
      <c r="R410" s="105">
        <f>SUMIFS('Shipments data'!L:L,'Shipments data'!F:F,'Supply planning data'!C410,'Shipments data'!A:A,'Supply planning data'!A410,'Shipments data'!Y:Y,'Supply planning data'!D410,'Shipments data'!O:O,"received", 'Shipments data'!N:N, "Public")</f>
        <v>0</v>
      </c>
      <c r="S410" s="105">
        <f>SUMIFS('Shipments data'!L:L,'Shipments data'!F:F,'Supply planning data'!C410,'Shipments data'!A:A,'Supply planning data'!A410,'Shipments data'!Y:Y,'Supply planning data'!D410,'Shipments data'!O:O,"ordered", 'Shipments data'!N:N, "Public")</f>
        <v>0</v>
      </c>
      <c r="T410" s="105">
        <f>IF(SUMIFS('Shipments data'!L:L,'Shipments data'!F:F,'Supply planning data'!C410,'Shipments data'!A:A,'Supply planning data'!A410,'Shipments data'!O:O,"received",'Shipments data'!Q:Q,"&lt;"&amp;'Supply planning data'!D425,'Shipments data'!AC:AC,"&lt;"&amp;'Supply planning data'!D425)-SUMIFS(M:M,D:D,"&lt;="&amp;D410,C:C,C410)+SUMIFS(N:N,D:D,"&lt;="&amp;D410,C:C,C410)+SUMIFS(P:P,D:D,"&lt;="&amp;D410,C:C,C410)&lt;0,0,SUMIFS('Shipments data'!L:L,'Shipments data'!F:F,'Supply planning data'!C410,'Shipments data'!A:A,'Supply planning data'!A410,'Shipments data'!O:O,"received",'Shipments data'!Q:Q,"&lt;"&amp;'Supply planning data'!D425,'Shipments data'!AC:AC,"&lt;"&amp;'Supply planning data'!D425)-SUMIFS(M:M,D:D,"&lt;="&amp;D410,C:C,C410)+SUMIFS(N:N,D:D,"&lt;="&amp;D410,C:C,C410)+SUMIFS(P:P,D:D,"&lt;="&amp;D410,C:C,C410))</f>
        <v>0</v>
      </c>
      <c r="U410" s="108">
        <f t="shared" si="134"/>
        <v>0</v>
      </c>
      <c r="V410" s="105">
        <f t="shared" si="124"/>
        <v>0</v>
      </c>
      <c r="W410" s="206" t="str">
        <f t="shared" si="122"/>
        <v/>
      </c>
      <c r="X410" s="105">
        <f t="shared" si="135"/>
        <v>154701</v>
      </c>
      <c r="Y410" s="106"/>
      <c r="Z410" s="107"/>
      <c r="AA410" s="105">
        <f t="shared" si="128"/>
        <v>0</v>
      </c>
      <c r="AB410" s="234"/>
      <c r="AC410" s="105">
        <f>IF(SUMIFS('Shipments data'!L:L,'Shipments data'!F:F,'Supply planning data'!C410,'Shipments data'!A:A,'Supply planning data'!A410,'Shipments data'!O:O,"received",'Shipments data'!Q:Q,"&lt;"&amp;'Supply planning data'!D425,'Shipments data'!AC:AC,"&lt;"&amp;'Supply planning data'!D425)-SUMIFS(M:M,D:D,"&lt;="&amp;D410,C:C,C410)-SUMIFS(AA:AA,D:D,"&lt;="&amp;D410,C:C,C410)+SUMIFS(N:N,D:D,"&lt;="&amp;D410,C:C,C410)+SUMIFS(P:P,D:D,"&lt;="&amp;D410,C:C,C410)&lt;0,0,SUMIFS('Shipments data'!L:L,'Shipments data'!F:F,'Supply planning data'!C410,'Shipments data'!A:A,'Supply planning data'!A410,'Shipments data'!O:O,"received",'Shipments data'!Q:Q,"&lt;"&amp;'Supply planning data'!D425,'Shipments data'!AC:AC,"&lt;"&amp;'Supply planning data'!D425)-SUMIFS(M:M,D:D,"&lt;="&amp;D410,C:C,C410)-SUMIFS(AA:AA,D:D,"&lt;="&amp;D410,C:C,C410)+SUMIFS(N:N,D:D,"&lt;="&amp;D410,C:C,C410)+SUMIFS(P:P,D:D,"&lt;="&amp;D410,C:C,C410))</f>
        <v>0</v>
      </c>
      <c r="AD410" s="105">
        <f t="shared" si="136"/>
        <v>0</v>
      </c>
      <c r="AE410" s="105">
        <f t="shared" si="130"/>
        <v>154701</v>
      </c>
      <c r="AF410" s="206" t="str">
        <f t="shared" si="121"/>
        <v/>
      </c>
      <c r="AG410" s="105">
        <f t="shared" si="137"/>
        <v>0</v>
      </c>
      <c r="AH410" s="106"/>
      <c r="AI410" s="312"/>
      <c r="AJ410" s="105">
        <f t="shared" si="129"/>
        <v>0</v>
      </c>
      <c r="AK410" s="234"/>
      <c r="AL410" s="105">
        <f>IF(SUMIFS('Shipments data'!L:L,'Shipments data'!F:F,'Supply planning data'!C410,'Shipments data'!A:A,'Supply planning data'!A410,'Shipments data'!O:O,"received",'Shipments data'!Q:Q,"&lt;"&amp;'Supply planning data'!D425,'Shipments data'!AC:AC,"&lt;"&amp;'Supply planning data'!D425)-SUMIFS(M:M,D:D,"&lt;="&amp;D410,C:C,C410)-SUMIFS(AJ:AJ,D:D,"&lt;="&amp;D410,C:C,C410)+SUMIFS(N:N,D:D,"&lt;="&amp;D410,C:C,C410)+SUMIFS(P:P,D:D,"&lt;="&amp;D410,C:C,C410)&lt;0,0,SUMIFS('Shipments data'!L:L,'Shipments data'!F:F,'Supply planning data'!C410,'Shipments data'!A:A,'Supply planning data'!A410,'Shipments data'!O:O,"received",'Shipments data'!Q:Q,"&lt;"&amp;'Supply planning data'!D425,'Shipments data'!AC:AC,"&lt;"&amp;'Supply planning data'!D425)-SUMIFS(M:M,D:D,"&lt;="&amp;D410,C:C,C410)-SUMIFS(AJ:AJ,D:D,"&lt;="&amp;D410,C:C,C410)+SUMIFS(N:N,D:D,"&lt;="&amp;D410,C:C,C410)+SUMIFS(P:P,D:D,"&lt;="&amp;D410,C:C,C410))</f>
        <v>0</v>
      </c>
      <c r="AM410" s="105">
        <f t="shared" si="138"/>
        <v>0</v>
      </c>
      <c r="AN410" s="105">
        <f t="shared" si="131"/>
        <v>0</v>
      </c>
      <c r="AO410" s="206" t="str">
        <f t="shared" si="123"/>
        <v/>
      </c>
    </row>
    <row r="411" spans="1:41" x14ac:dyDescent="0.25">
      <c r="A411" s="103" t="str">
        <f>Start!D$7</f>
        <v>Anyland</v>
      </c>
      <c r="B411" s="109" t="str">
        <f>VLOOKUP(A411,list!B:C,2,FALSE)</f>
        <v>ANY</v>
      </c>
      <c r="C411" s="109" t="str">
        <f>IF(Start!$C$18="","",Start!$C$18)</f>
        <v>Jansen</v>
      </c>
      <c r="D411" s="298">
        <f t="shared" si="132"/>
        <v>45017</v>
      </c>
      <c r="E411" s="105" t="str">
        <f>IFERROR(VLOOKUP(C411,Start!C$15:D$31,2,FALSE),"No")</f>
        <v>Yes</v>
      </c>
      <c r="F411" s="105">
        <f t="shared" si="133"/>
        <v>2258747</v>
      </c>
      <c r="G411" s="106"/>
      <c r="H411" s="106"/>
      <c r="I411" s="106"/>
      <c r="J411" s="105">
        <f t="shared" si="125"/>
        <v>0</v>
      </c>
      <c r="K411" s="106"/>
      <c r="L411" s="177" t="str">
        <f t="shared" si="126"/>
        <v/>
      </c>
      <c r="M411" s="105">
        <f t="shared" si="127"/>
        <v>0</v>
      </c>
      <c r="N411" s="110"/>
      <c r="O411" s="124"/>
      <c r="P411" s="110"/>
      <c r="Q411" s="124"/>
      <c r="R411" s="111">
        <f>SUMIFS('Shipments data'!L:L,'Shipments data'!F:F,'Supply planning data'!C411,'Shipments data'!A:A,'Supply planning data'!A411,'Shipments data'!Y:Y,'Supply planning data'!D411,'Shipments data'!O:O,"received", 'Shipments data'!N:N, "Public")</f>
        <v>0</v>
      </c>
      <c r="S411" s="111">
        <f>SUMIFS('Shipments data'!L:L,'Shipments data'!F:F,'Supply planning data'!C411,'Shipments data'!A:A,'Supply planning data'!A411,'Shipments data'!Y:Y,'Supply planning data'!D411,'Shipments data'!O:O,"ordered", 'Shipments data'!N:N, "Public")</f>
        <v>0</v>
      </c>
      <c r="T411" s="111">
        <f>IF(SUMIFS('Shipments data'!L:L,'Shipments data'!F:F,'Supply planning data'!C411,'Shipments data'!A:A,'Supply planning data'!A411,'Shipments data'!O:O,"received",'Shipments data'!Q:Q,"&lt;"&amp;'Supply planning data'!D426,'Shipments data'!AC:AC,"&lt;"&amp;'Supply planning data'!D426)-SUMIFS(M:M,D:D,"&lt;="&amp;D411,C:C,C411)+SUMIFS(N:N,D:D,"&lt;="&amp;D411,C:C,C411)+SUMIFS(P:P,D:D,"&lt;="&amp;D411,C:C,C411)&lt;0,0,SUMIFS('Shipments data'!L:L,'Shipments data'!F:F,'Supply planning data'!C411,'Shipments data'!A:A,'Supply planning data'!A411,'Shipments data'!O:O,"received",'Shipments data'!Q:Q,"&lt;"&amp;'Supply planning data'!D426,'Shipments data'!AC:AC,"&lt;"&amp;'Supply planning data'!D426)-SUMIFS(M:M,D:D,"&lt;="&amp;D411,C:C,C411)+SUMIFS(N:N,D:D,"&lt;="&amp;D411,C:C,C411)+SUMIFS(P:P,D:D,"&lt;="&amp;D411,C:C,C411))</f>
        <v>0</v>
      </c>
      <c r="U411" s="112">
        <f t="shared" si="134"/>
        <v>0</v>
      </c>
      <c r="V411" s="111">
        <f t="shared" si="124"/>
        <v>2258747</v>
      </c>
      <c r="W411" s="204" t="str">
        <f t="shared" si="122"/>
        <v/>
      </c>
      <c r="X411" s="111">
        <f t="shared" si="135"/>
        <v>1698747</v>
      </c>
      <c r="Y411" s="110"/>
      <c r="Z411" s="107"/>
      <c r="AA411" s="111">
        <f t="shared" si="128"/>
        <v>0</v>
      </c>
      <c r="AB411" s="235"/>
      <c r="AC411" s="111">
        <f>IF(SUMIFS('Shipments data'!L:L,'Shipments data'!F:F,'Supply planning data'!C411,'Shipments data'!A:A,'Supply planning data'!A411,'Shipments data'!O:O,"received",'Shipments data'!Q:Q,"&lt;"&amp;'Supply planning data'!D426,'Shipments data'!AC:AC,"&lt;"&amp;'Supply planning data'!D426)-SUMIFS(M:M,D:D,"&lt;="&amp;D411,C:C,C411)-SUMIFS(AA:AA,D:D,"&lt;="&amp;D411,C:C,C411)+SUMIFS(N:N,D:D,"&lt;="&amp;D411,C:C,C411)+SUMIFS(P:P,D:D,"&lt;="&amp;D411,C:C,C411)&lt;0,0,SUMIFS('Shipments data'!L:L,'Shipments data'!F:F,'Supply planning data'!C411,'Shipments data'!A:A,'Supply planning data'!A411,'Shipments data'!O:O,"received",'Shipments data'!Q:Q,"&lt;"&amp;'Supply planning data'!D426,'Shipments data'!AC:AC,"&lt;"&amp;'Supply planning data'!D426)-SUMIFS(M:M,D:D,"&lt;="&amp;D411,C:C,C411)-SUMIFS(AA:AA,D:D,"&lt;="&amp;D411,C:C,C411)+SUMIFS(N:N,D:D,"&lt;="&amp;D411,C:C,C411)+SUMIFS(P:P,D:D,"&lt;="&amp;D411,C:C,C411))</f>
        <v>0</v>
      </c>
      <c r="AD411" s="111">
        <f t="shared" si="136"/>
        <v>0</v>
      </c>
      <c r="AE411" s="111">
        <f t="shared" si="130"/>
        <v>1698747</v>
      </c>
      <c r="AF411" s="204" t="str">
        <f t="shared" si="121"/>
        <v/>
      </c>
      <c r="AG411" s="111">
        <f t="shared" si="137"/>
        <v>2258747</v>
      </c>
      <c r="AH411" s="110"/>
      <c r="AI411" s="313"/>
      <c r="AJ411" s="111">
        <f t="shared" si="129"/>
        <v>0</v>
      </c>
      <c r="AK411" s="235"/>
      <c r="AL411" s="111">
        <f>IF(SUMIFS('Shipments data'!L:L,'Shipments data'!F:F,'Supply planning data'!C411,'Shipments data'!A:A,'Supply planning data'!A411,'Shipments data'!O:O,"received",'Shipments data'!Q:Q,"&lt;"&amp;'Supply planning data'!D426,'Shipments data'!AC:AC,"&lt;"&amp;'Supply planning data'!D426)-SUMIFS(M:M,D:D,"&lt;="&amp;D411,C:C,C411)-SUMIFS(AJ:AJ,D:D,"&lt;="&amp;D411,C:C,C411)+SUMIFS(N:N,D:D,"&lt;="&amp;D411,C:C,C411)+SUMIFS(P:P,D:D,"&lt;="&amp;D411,C:C,C411)&lt;0,0,SUMIFS('Shipments data'!L:L,'Shipments data'!F:F,'Supply planning data'!C411,'Shipments data'!A:A,'Supply planning data'!A411,'Shipments data'!O:O,"received",'Shipments data'!Q:Q,"&lt;"&amp;'Supply planning data'!D426,'Shipments data'!AC:AC,"&lt;"&amp;'Supply planning data'!D426)-SUMIFS(M:M,D:D,"&lt;="&amp;D411,C:C,C411)-SUMIFS(AJ:AJ,D:D,"&lt;="&amp;D411,C:C,C411)+SUMIFS(N:N,D:D,"&lt;="&amp;D411,C:C,C411)+SUMIFS(P:P,D:D,"&lt;="&amp;D411,C:C,C411))</f>
        <v>0</v>
      </c>
      <c r="AM411" s="111">
        <f t="shared" si="138"/>
        <v>0</v>
      </c>
      <c r="AN411" s="111">
        <f t="shared" si="131"/>
        <v>2258747</v>
      </c>
      <c r="AO411" s="204" t="str">
        <f t="shared" si="123"/>
        <v/>
      </c>
    </row>
    <row r="412" spans="1:41" x14ac:dyDescent="0.25">
      <c r="A412" s="103" t="str">
        <f>Start!D$7</f>
        <v>Anyland</v>
      </c>
      <c r="B412" s="109" t="str">
        <f>VLOOKUP(A412,list!B:C,2,FALSE)</f>
        <v>ANY</v>
      </c>
      <c r="C412" s="104" t="str">
        <f>IF(Start!$C$19="","",Start!$C$19)</f>
        <v>Moderna</v>
      </c>
      <c r="D412" s="298">
        <f t="shared" si="132"/>
        <v>45017</v>
      </c>
      <c r="E412" s="105" t="str">
        <f>IFERROR(VLOOKUP(C412,Start!C$15:D$31,2,FALSE),"No")</f>
        <v>No</v>
      </c>
      <c r="F412" s="105">
        <f t="shared" si="133"/>
        <v>0</v>
      </c>
      <c r="G412" s="106"/>
      <c r="H412" s="106"/>
      <c r="I412" s="106"/>
      <c r="J412" s="105">
        <f t="shared" si="125"/>
        <v>0</v>
      </c>
      <c r="K412" s="106"/>
      <c r="L412" s="177" t="str">
        <f t="shared" si="126"/>
        <v/>
      </c>
      <c r="M412" s="105">
        <f t="shared" si="127"/>
        <v>0</v>
      </c>
      <c r="N412" s="110"/>
      <c r="O412" s="124"/>
      <c r="P412" s="110"/>
      <c r="Q412" s="124"/>
      <c r="R412" s="111">
        <f>SUMIFS('Shipments data'!L:L,'Shipments data'!F:F,'Supply planning data'!C412,'Shipments data'!A:A,'Supply planning data'!A412,'Shipments data'!Y:Y,'Supply planning data'!D412,'Shipments data'!O:O,"received", 'Shipments data'!N:N, "Public")</f>
        <v>0</v>
      </c>
      <c r="S412" s="111">
        <f>SUMIFS('Shipments data'!L:L,'Shipments data'!F:F,'Supply planning data'!C412,'Shipments data'!A:A,'Supply planning data'!A412,'Shipments data'!Y:Y,'Supply planning data'!D412,'Shipments data'!O:O,"ordered", 'Shipments data'!N:N, "Public")</f>
        <v>0</v>
      </c>
      <c r="T412" s="111">
        <f>IF(SUMIFS('Shipments data'!L:L,'Shipments data'!F:F,'Supply planning data'!C412,'Shipments data'!A:A,'Supply planning data'!A412,'Shipments data'!O:O,"received",'Shipments data'!Q:Q,"&lt;"&amp;'Supply planning data'!D427,'Shipments data'!AC:AC,"&lt;"&amp;'Supply planning data'!D427)-SUMIFS(M:M,D:D,"&lt;="&amp;D412,C:C,C412)+SUMIFS(N:N,D:D,"&lt;="&amp;D412,C:C,C412)+SUMIFS(P:P,D:D,"&lt;="&amp;D412,C:C,C412)&lt;0,0,SUMIFS('Shipments data'!L:L,'Shipments data'!F:F,'Supply planning data'!C412,'Shipments data'!A:A,'Supply planning data'!A412,'Shipments data'!O:O,"received",'Shipments data'!Q:Q,"&lt;"&amp;'Supply planning data'!D427,'Shipments data'!AC:AC,"&lt;"&amp;'Supply planning data'!D427)-SUMIFS(M:M,D:D,"&lt;="&amp;D412,C:C,C412)+SUMIFS(N:N,D:D,"&lt;="&amp;D412,C:C,C412)+SUMIFS(P:P,D:D,"&lt;="&amp;D412,C:C,C412))</f>
        <v>0</v>
      </c>
      <c r="U412" s="112">
        <f t="shared" si="134"/>
        <v>0</v>
      </c>
      <c r="V412" s="111">
        <f t="shared" si="124"/>
        <v>0</v>
      </c>
      <c r="W412" s="204" t="str">
        <f t="shared" si="122"/>
        <v/>
      </c>
      <c r="X412" s="111">
        <f t="shared" si="135"/>
        <v>0</v>
      </c>
      <c r="Y412" s="110"/>
      <c r="Z412" s="107"/>
      <c r="AA412" s="111">
        <f t="shared" si="128"/>
        <v>0</v>
      </c>
      <c r="AB412" s="235"/>
      <c r="AC412" s="111">
        <f>IF(SUMIFS('Shipments data'!L:L,'Shipments data'!F:F,'Supply planning data'!C412,'Shipments data'!A:A,'Supply planning data'!A412,'Shipments data'!O:O,"received",'Shipments data'!Q:Q,"&lt;"&amp;'Supply planning data'!D427,'Shipments data'!AC:AC,"&lt;"&amp;'Supply planning data'!D427)-SUMIFS(M:M,D:D,"&lt;="&amp;D412,C:C,C412)-SUMIFS(AA:AA,D:D,"&lt;="&amp;D412,C:C,C412)+SUMIFS(N:N,D:D,"&lt;="&amp;D412,C:C,C412)+SUMIFS(P:P,D:D,"&lt;="&amp;D412,C:C,C412)&lt;0,0,SUMIFS('Shipments data'!L:L,'Shipments data'!F:F,'Supply planning data'!C412,'Shipments data'!A:A,'Supply planning data'!A412,'Shipments data'!O:O,"received",'Shipments data'!Q:Q,"&lt;"&amp;'Supply planning data'!D427,'Shipments data'!AC:AC,"&lt;"&amp;'Supply planning data'!D427)-SUMIFS(M:M,D:D,"&lt;="&amp;D412,C:C,C412)-SUMIFS(AA:AA,D:D,"&lt;="&amp;D412,C:C,C412)+SUMIFS(N:N,D:D,"&lt;="&amp;D412,C:C,C412)+SUMIFS(P:P,D:D,"&lt;="&amp;D412,C:C,C412))</f>
        <v>0</v>
      </c>
      <c r="AD412" s="111">
        <f t="shared" si="136"/>
        <v>0</v>
      </c>
      <c r="AE412" s="111">
        <f t="shared" si="130"/>
        <v>0</v>
      </c>
      <c r="AF412" s="204" t="str">
        <f t="shared" si="121"/>
        <v/>
      </c>
      <c r="AG412" s="111">
        <f t="shared" si="137"/>
        <v>0</v>
      </c>
      <c r="AH412" s="110"/>
      <c r="AI412" s="313"/>
      <c r="AJ412" s="111">
        <f t="shared" si="129"/>
        <v>0</v>
      </c>
      <c r="AK412" s="235"/>
      <c r="AL412" s="111">
        <f>IF(SUMIFS('Shipments data'!L:L,'Shipments data'!F:F,'Supply planning data'!C412,'Shipments data'!A:A,'Supply planning data'!A412,'Shipments data'!O:O,"received",'Shipments data'!Q:Q,"&lt;"&amp;'Supply planning data'!D427,'Shipments data'!AC:AC,"&lt;"&amp;'Supply planning data'!D427)-SUMIFS(M:M,D:D,"&lt;="&amp;D412,C:C,C412)-SUMIFS(AJ:AJ,D:D,"&lt;="&amp;D412,C:C,C412)+SUMIFS(N:N,D:D,"&lt;="&amp;D412,C:C,C412)+SUMIFS(P:P,D:D,"&lt;="&amp;D412,C:C,C412)&lt;0,0,SUMIFS('Shipments data'!L:L,'Shipments data'!F:F,'Supply planning data'!C412,'Shipments data'!A:A,'Supply planning data'!A412,'Shipments data'!O:O,"received",'Shipments data'!Q:Q,"&lt;"&amp;'Supply planning data'!D427,'Shipments data'!AC:AC,"&lt;"&amp;'Supply planning data'!D427)-SUMIFS(M:M,D:D,"&lt;="&amp;D412,C:C,C412)-SUMIFS(AJ:AJ,D:D,"&lt;="&amp;D412,C:C,C412)+SUMIFS(N:N,D:D,"&lt;="&amp;D412,C:C,C412)+SUMIFS(P:P,D:D,"&lt;="&amp;D412,C:C,C412))</f>
        <v>0</v>
      </c>
      <c r="AM412" s="111">
        <f t="shared" si="138"/>
        <v>0</v>
      </c>
      <c r="AN412" s="111">
        <f t="shared" si="131"/>
        <v>0</v>
      </c>
      <c r="AO412" s="204" t="str">
        <f t="shared" si="123"/>
        <v/>
      </c>
    </row>
    <row r="413" spans="1:41" x14ac:dyDescent="0.25">
      <c r="A413" s="103" t="str">
        <f>Start!D$7</f>
        <v>Anyland</v>
      </c>
      <c r="B413" s="109" t="str">
        <f>VLOOKUP(A413,list!B:C,2,FALSE)</f>
        <v>ANY</v>
      </c>
      <c r="C413" s="109" t="str">
        <f>IF(Start!$C$20="","",Start!$C$20)</f>
        <v>Pfizer</v>
      </c>
      <c r="D413" s="298">
        <f t="shared" si="132"/>
        <v>45017</v>
      </c>
      <c r="E413" s="105" t="str">
        <f>IFERROR(VLOOKUP(C413,Start!C$15:D$31,2,FALSE),"No")</f>
        <v>Yes</v>
      </c>
      <c r="F413" s="105">
        <f t="shared" si="133"/>
        <v>3000000</v>
      </c>
      <c r="G413" s="106"/>
      <c r="H413" s="106"/>
      <c r="I413" s="106"/>
      <c r="J413" s="105">
        <f t="shared" si="125"/>
        <v>0</v>
      </c>
      <c r="K413" s="106"/>
      <c r="L413" s="177" t="str">
        <f t="shared" si="126"/>
        <v/>
      </c>
      <c r="M413" s="105">
        <f t="shared" si="127"/>
        <v>0</v>
      </c>
      <c r="N413" s="110"/>
      <c r="O413" s="124"/>
      <c r="P413" s="110"/>
      <c r="Q413" s="124"/>
      <c r="R413" s="111">
        <f>SUMIFS('Shipments data'!L:L,'Shipments data'!F:F,'Supply planning data'!C413,'Shipments data'!A:A,'Supply planning data'!A413,'Shipments data'!Y:Y,'Supply planning data'!D413,'Shipments data'!O:O,"received", 'Shipments data'!N:N, "Public")</f>
        <v>0</v>
      </c>
      <c r="S413" s="111">
        <f>SUMIFS('Shipments data'!L:L,'Shipments data'!F:F,'Supply planning data'!C413,'Shipments data'!A:A,'Supply planning data'!A413,'Shipments data'!Y:Y,'Supply planning data'!D413,'Shipments data'!O:O,"ordered", 'Shipments data'!N:N, "Public")</f>
        <v>0</v>
      </c>
      <c r="T413" s="111">
        <f>IF(SUMIFS('Shipments data'!L:L,'Shipments data'!F:F,'Supply planning data'!C413,'Shipments data'!A:A,'Supply planning data'!A413,'Shipments data'!O:O,"received",'Shipments data'!Q:Q,"&lt;"&amp;'Supply planning data'!D428,'Shipments data'!AC:AC,"&lt;"&amp;'Supply planning data'!D428)-SUMIFS(M:M,D:D,"&lt;="&amp;D413,C:C,C413)+SUMIFS(N:N,D:D,"&lt;="&amp;D413,C:C,C413)+SUMIFS(P:P,D:D,"&lt;="&amp;D413,C:C,C413)&lt;0,0,SUMIFS('Shipments data'!L:L,'Shipments data'!F:F,'Supply planning data'!C413,'Shipments data'!A:A,'Supply planning data'!A413,'Shipments data'!O:O,"received",'Shipments data'!Q:Q,"&lt;"&amp;'Supply planning data'!D428,'Shipments data'!AC:AC,"&lt;"&amp;'Supply planning data'!D428)-SUMIFS(M:M,D:D,"&lt;="&amp;D413,C:C,C413)+SUMIFS(N:N,D:D,"&lt;="&amp;D413,C:C,C413)+SUMIFS(P:P,D:D,"&lt;="&amp;D413,C:C,C413))</f>
        <v>110538</v>
      </c>
      <c r="U413" s="112">
        <f t="shared" si="134"/>
        <v>0</v>
      </c>
      <c r="V413" s="111">
        <f t="shared" si="124"/>
        <v>3000000</v>
      </c>
      <c r="W413" s="204" t="str">
        <f t="shared" si="122"/>
        <v/>
      </c>
      <c r="X413" s="111">
        <f t="shared" si="135"/>
        <v>2440000</v>
      </c>
      <c r="Y413" s="110"/>
      <c r="Z413" s="107"/>
      <c r="AA413" s="111">
        <f t="shared" si="128"/>
        <v>0</v>
      </c>
      <c r="AB413" s="235"/>
      <c r="AC413" s="111">
        <f>IF(SUMIFS('Shipments data'!L:L,'Shipments data'!F:F,'Supply planning data'!C413,'Shipments data'!A:A,'Supply planning data'!A413,'Shipments data'!O:O,"received",'Shipments data'!Q:Q,"&lt;"&amp;'Supply planning data'!D428,'Shipments data'!AC:AC,"&lt;"&amp;'Supply planning data'!D428)-SUMIFS(M:M,D:D,"&lt;="&amp;D413,C:C,C413)-SUMIFS(AA:AA,D:D,"&lt;="&amp;D413,C:C,C413)+SUMIFS(N:N,D:D,"&lt;="&amp;D413,C:C,C413)+SUMIFS(P:P,D:D,"&lt;="&amp;D413,C:C,C413)&lt;0,0,SUMIFS('Shipments data'!L:L,'Shipments data'!F:F,'Supply planning data'!C413,'Shipments data'!A:A,'Supply planning data'!A413,'Shipments data'!O:O,"received",'Shipments data'!Q:Q,"&lt;"&amp;'Supply planning data'!D428,'Shipments data'!AC:AC,"&lt;"&amp;'Supply planning data'!D428)-SUMIFS(M:M,D:D,"&lt;="&amp;D413,C:C,C413)-SUMIFS(AA:AA,D:D,"&lt;="&amp;D413,C:C,C413)+SUMIFS(N:N,D:D,"&lt;="&amp;D413,C:C,C413)+SUMIFS(P:P,D:D,"&lt;="&amp;D413,C:C,C413))</f>
        <v>0</v>
      </c>
      <c r="AD413" s="111">
        <f t="shared" si="136"/>
        <v>0</v>
      </c>
      <c r="AE413" s="111">
        <f t="shared" si="130"/>
        <v>2440000</v>
      </c>
      <c r="AF413" s="204" t="str">
        <f t="shared" si="121"/>
        <v/>
      </c>
      <c r="AG413" s="111">
        <f t="shared" si="137"/>
        <v>3000000</v>
      </c>
      <c r="AH413" s="110"/>
      <c r="AI413" s="313"/>
      <c r="AJ413" s="111">
        <f t="shared" si="129"/>
        <v>0</v>
      </c>
      <c r="AK413" s="235"/>
      <c r="AL413" s="111">
        <f>IF(SUMIFS('Shipments data'!L:L,'Shipments data'!F:F,'Supply planning data'!C413,'Shipments data'!A:A,'Supply planning data'!A413,'Shipments data'!O:O,"received",'Shipments data'!Q:Q,"&lt;"&amp;'Supply planning data'!D428,'Shipments data'!AC:AC,"&lt;"&amp;'Supply planning data'!D428)-SUMIFS(M:M,D:D,"&lt;="&amp;D413,C:C,C413)-SUMIFS(AJ:AJ,D:D,"&lt;="&amp;D413,C:C,C413)+SUMIFS(N:N,D:D,"&lt;="&amp;D413,C:C,C413)+SUMIFS(P:P,D:D,"&lt;="&amp;D413,C:C,C413)&lt;0,0,SUMIFS('Shipments data'!L:L,'Shipments data'!F:F,'Supply planning data'!C413,'Shipments data'!A:A,'Supply planning data'!A413,'Shipments data'!O:O,"received",'Shipments data'!Q:Q,"&lt;"&amp;'Supply planning data'!D428,'Shipments data'!AC:AC,"&lt;"&amp;'Supply planning data'!D428)-SUMIFS(M:M,D:D,"&lt;="&amp;D413,C:C,C413)-SUMIFS(AJ:AJ,D:D,"&lt;="&amp;D413,C:C,C413)+SUMIFS(N:N,D:D,"&lt;="&amp;D413,C:C,C413)+SUMIFS(P:P,D:D,"&lt;="&amp;D413,C:C,C413))</f>
        <v>110538</v>
      </c>
      <c r="AM413" s="111">
        <f t="shared" si="138"/>
        <v>0</v>
      </c>
      <c r="AN413" s="111">
        <f t="shared" si="131"/>
        <v>3000000</v>
      </c>
      <c r="AO413" s="204" t="str">
        <f t="shared" si="123"/>
        <v/>
      </c>
    </row>
    <row r="414" spans="1:41" x14ac:dyDescent="0.25">
      <c r="A414" s="103" t="str">
        <f>Start!D$7</f>
        <v>Anyland</v>
      </c>
      <c r="B414" s="109" t="str">
        <f>VLOOKUP(A414,list!B:C,2,FALSE)</f>
        <v>ANY</v>
      </c>
      <c r="C414" s="104" t="str">
        <f>IF(Start!$C$21="","",Start!$C$21)</f>
        <v>Sinovac</v>
      </c>
      <c r="D414" s="298">
        <f t="shared" si="132"/>
        <v>45017</v>
      </c>
      <c r="E414" s="105" t="str">
        <f>IFERROR(VLOOKUP(C414,Start!C$15:D$31,2,FALSE),"No")</f>
        <v>No</v>
      </c>
      <c r="F414" s="105">
        <f t="shared" si="133"/>
        <v>0</v>
      </c>
      <c r="G414" s="106"/>
      <c r="H414" s="106"/>
      <c r="I414" s="106"/>
      <c r="J414" s="105">
        <f t="shared" si="125"/>
        <v>0</v>
      </c>
      <c r="K414" s="106"/>
      <c r="L414" s="177" t="str">
        <f t="shared" si="126"/>
        <v/>
      </c>
      <c r="M414" s="105">
        <f t="shared" si="127"/>
        <v>0</v>
      </c>
      <c r="N414" s="110"/>
      <c r="O414" s="124"/>
      <c r="P414" s="110"/>
      <c r="Q414" s="124"/>
      <c r="R414" s="111">
        <f>SUMIFS('Shipments data'!L:L,'Shipments data'!F:F,'Supply planning data'!C414,'Shipments data'!A:A,'Supply planning data'!A414,'Shipments data'!Y:Y,'Supply planning data'!D414,'Shipments data'!O:O,"received", 'Shipments data'!N:N, "Public")</f>
        <v>0</v>
      </c>
      <c r="S414" s="111">
        <f>SUMIFS('Shipments data'!L:L,'Shipments data'!F:F,'Supply planning data'!C414,'Shipments data'!A:A,'Supply planning data'!A414,'Shipments data'!Y:Y,'Supply planning data'!D414,'Shipments data'!O:O,"ordered", 'Shipments data'!N:N, "Public")</f>
        <v>0</v>
      </c>
      <c r="T414" s="111">
        <f>IF(SUMIFS('Shipments data'!L:L,'Shipments data'!F:F,'Supply planning data'!C414,'Shipments data'!A:A,'Supply planning data'!A414,'Shipments data'!O:O,"received",'Shipments data'!Q:Q,"&lt;"&amp;'Supply planning data'!D429,'Shipments data'!AC:AC,"&lt;"&amp;'Supply planning data'!D429)-SUMIFS(M:M,D:D,"&lt;="&amp;D414,C:C,C414)+SUMIFS(N:N,D:D,"&lt;="&amp;D414,C:C,C414)+SUMIFS(P:P,D:D,"&lt;="&amp;D414,C:C,C414)&lt;0,0,SUMIFS('Shipments data'!L:L,'Shipments data'!F:F,'Supply planning data'!C414,'Shipments data'!A:A,'Supply planning data'!A414,'Shipments data'!O:O,"received",'Shipments data'!Q:Q,"&lt;"&amp;'Supply planning data'!D429,'Shipments data'!AC:AC,"&lt;"&amp;'Supply planning data'!D429)-SUMIFS(M:M,D:D,"&lt;="&amp;D414,C:C,C414)+SUMIFS(N:N,D:D,"&lt;="&amp;D414,C:C,C414)+SUMIFS(P:P,D:D,"&lt;="&amp;D414,C:C,C414))</f>
        <v>0</v>
      </c>
      <c r="U414" s="112">
        <f t="shared" si="134"/>
        <v>0</v>
      </c>
      <c r="V414" s="111">
        <f t="shared" si="124"/>
        <v>0</v>
      </c>
      <c r="W414" s="204" t="str">
        <f t="shared" si="122"/>
        <v/>
      </c>
      <c r="X414" s="111">
        <f t="shared" si="135"/>
        <v>0</v>
      </c>
      <c r="Y414" s="110"/>
      <c r="Z414" s="107"/>
      <c r="AA414" s="111">
        <f t="shared" si="128"/>
        <v>0</v>
      </c>
      <c r="AB414" s="235"/>
      <c r="AC414" s="111">
        <f>IF(SUMIFS('Shipments data'!L:L,'Shipments data'!F:F,'Supply planning data'!C414,'Shipments data'!A:A,'Supply planning data'!A414,'Shipments data'!O:O,"received",'Shipments data'!Q:Q,"&lt;"&amp;'Supply planning data'!D429,'Shipments data'!AC:AC,"&lt;"&amp;'Supply planning data'!D429)-SUMIFS(M:M,D:D,"&lt;="&amp;D414,C:C,C414)-SUMIFS(AA:AA,D:D,"&lt;="&amp;D414,C:C,C414)+SUMIFS(N:N,D:D,"&lt;="&amp;D414,C:C,C414)+SUMIFS(P:P,D:D,"&lt;="&amp;D414,C:C,C414)&lt;0,0,SUMIFS('Shipments data'!L:L,'Shipments data'!F:F,'Supply planning data'!C414,'Shipments data'!A:A,'Supply planning data'!A414,'Shipments data'!O:O,"received",'Shipments data'!Q:Q,"&lt;"&amp;'Supply planning data'!D429,'Shipments data'!AC:AC,"&lt;"&amp;'Supply planning data'!D429)-SUMIFS(M:M,D:D,"&lt;="&amp;D414,C:C,C414)-SUMIFS(AA:AA,D:D,"&lt;="&amp;D414,C:C,C414)+SUMIFS(N:N,D:D,"&lt;="&amp;D414,C:C,C414)+SUMIFS(P:P,D:D,"&lt;="&amp;D414,C:C,C414))</f>
        <v>0</v>
      </c>
      <c r="AD414" s="111">
        <f t="shared" si="136"/>
        <v>0</v>
      </c>
      <c r="AE414" s="111">
        <f t="shared" si="130"/>
        <v>0</v>
      </c>
      <c r="AF414" s="204" t="str">
        <f t="shared" si="121"/>
        <v/>
      </c>
      <c r="AG414" s="111">
        <f t="shared" si="137"/>
        <v>0</v>
      </c>
      <c r="AH414" s="110"/>
      <c r="AI414" s="313"/>
      <c r="AJ414" s="111">
        <f t="shared" si="129"/>
        <v>0</v>
      </c>
      <c r="AK414" s="235"/>
      <c r="AL414" s="111">
        <f>IF(SUMIFS('Shipments data'!L:L,'Shipments data'!F:F,'Supply planning data'!C414,'Shipments data'!A:A,'Supply planning data'!A414,'Shipments data'!O:O,"received",'Shipments data'!Q:Q,"&lt;"&amp;'Supply planning data'!D429,'Shipments data'!AC:AC,"&lt;"&amp;'Supply planning data'!D429)-SUMIFS(M:M,D:D,"&lt;="&amp;D414,C:C,C414)-SUMIFS(AJ:AJ,D:D,"&lt;="&amp;D414,C:C,C414)+SUMIFS(N:N,D:D,"&lt;="&amp;D414,C:C,C414)+SUMIFS(P:P,D:D,"&lt;="&amp;D414,C:C,C414)&lt;0,0,SUMIFS('Shipments data'!L:L,'Shipments data'!F:F,'Supply planning data'!C414,'Shipments data'!A:A,'Supply planning data'!A414,'Shipments data'!O:O,"received",'Shipments data'!Q:Q,"&lt;"&amp;'Supply planning data'!D429,'Shipments data'!AC:AC,"&lt;"&amp;'Supply planning data'!D429)-SUMIFS(M:M,D:D,"&lt;="&amp;D414,C:C,C414)-SUMIFS(AJ:AJ,D:D,"&lt;="&amp;D414,C:C,C414)+SUMIFS(N:N,D:D,"&lt;="&amp;D414,C:C,C414)+SUMIFS(P:P,D:D,"&lt;="&amp;D414,C:C,C414))</f>
        <v>0</v>
      </c>
      <c r="AM414" s="111">
        <f t="shared" si="138"/>
        <v>0</v>
      </c>
      <c r="AN414" s="111">
        <f t="shared" si="131"/>
        <v>0</v>
      </c>
      <c r="AO414" s="204" t="str">
        <f t="shared" si="123"/>
        <v/>
      </c>
    </row>
    <row r="415" spans="1:41" hidden="1" x14ac:dyDescent="0.25">
      <c r="A415" s="103" t="str">
        <f>Start!D$7</f>
        <v>Anyland</v>
      </c>
      <c r="B415" s="109" t="str">
        <f>VLOOKUP(A415,list!B:C,2,FALSE)</f>
        <v>ANY</v>
      </c>
      <c r="C415" s="109" t="str">
        <f>IF(Start!$C$22="","",Start!$C$22)</f>
        <v/>
      </c>
      <c r="D415" s="298">
        <f t="shared" si="132"/>
        <v>45017</v>
      </c>
      <c r="E415" s="105" t="str">
        <f>IFERROR(VLOOKUP(C415,Start!C$15:D$31,2,FALSE),"No")</f>
        <v>No</v>
      </c>
      <c r="F415" s="105">
        <f t="shared" si="133"/>
        <v>0</v>
      </c>
      <c r="G415" s="106"/>
      <c r="H415" s="106"/>
      <c r="I415" s="106"/>
      <c r="J415" s="105">
        <f t="shared" si="125"/>
        <v>0</v>
      </c>
      <c r="K415" s="106"/>
      <c r="L415" s="177" t="str">
        <f t="shared" si="126"/>
        <v/>
      </c>
      <c r="M415" s="105">
        <f t="shared" si="127"/>
        <v>0</v>
      </c>
      <c r="N415" s="110"/>
      <c r="O415" s="124"/>
      <c r="P415" s="110"/>
      <c r="Q415" s="124"/>
      <c r="R415" s="111">
        <f>SUMIFS('Shipments data'!L:L,'Shipments data'!F:F,'Supply planning data'!C415,'Shipments data'!A:A,'Supply planning data'!A415,'Shipments data'!Y:Y,'Supply planning data'!D415,'Shipments data'!O:O,"received", 'Shipments data'!N:N, "Public")</f>
        <v>0</v>
      </c>
      <c r="S415" s="111">
        <f>SUMIFS('Shipments data'!L:L,'Shipments data'!F:F,'Supply planning data'!C415,'Shipments data'!A:A,'Supply planning data'!A415,'Shipments data'!Y:Y,'Supply planning data'!D415,'Shipments data'!O:O,"ordered", 'Shipments data'!N:N, "Public")</f>
        <v>0</v>
      </c>
      <c r="T415" s="111">
        <f>IF(SUMIFS('Shipments data'!L:L,'Shipments data'!F:F,'Supply planning data'!C415,'Shipments data'!A:A,'Supply planning data'!A415,'Shipments data'!O:O,"received",'Shipments data'!Q:Q,"&lt;"&amp;'Supply planning data'!D430,'Shipments data'!AC:AC,"&lt;"&amp;'Supply planning data'!D430)-SUMIFS(M:M,D:D,"&lt;="&amp;D415,C:C,C415)+SUMIFS(N:N,D:D,"&lt;="&amp;D415,C:C,C415)+SUMIFS(P:P,D:D,"&lt;="&amp;D415,C:C,C415)&lt;0,0,SUMIFS('Shipments data'!L:L,'Shipments data'!F:F,'Supply planning data'!C415,'Shipments data'!A:A,'Supply planning data'!A415,'Shipments data'!O:O,"received",'Shipments data'!Q:Q,"&lt;"&amp;'Supply planning data'!D430,'Shipments data'!AC:AC,"&lt;"&amp;'Supply planning data'!D430)-SUMIFS(M:M,D:D,"&lt;="&amp;D415,C:C,C415)+SUMIFS(N:N,D:D,"&lt;="&amp;D415,C:C,C415)+SUMIFS(P:P,D:D,"&lt;="&amp;D415,C:C,C415))</f>
        <v>0</v>
      </c>
      <c r="U415" s="112">
        <f t="shared" si="134"/>
        <v>0</v>
      </c>
      <c r="V415" s="111">
        <f t="shared" si="124"/>
        <v>0</v>
      </c>
      <c r="W415" s="204" t="str">
        <f t="shared" si="122"/>
        <v/>
      </c>
      <c r="X415" s="111">
        <f t="shared" si="135"/>
        <v>0</v>
      </c>
      <c r="Y415" s="110"/>
      <c r="Z415" s="107"/>
      <c r="AA415" s="111">
        <f t="shared" si="128"/>
        <v>0</v>
      </c>
      <c r="AB415" s="235"/>
      <c r="AC415" s="111">
        <f>IF(SUMIFS('Shipments data'!L:L,'Shipments data'!F:F,'Supply planning data'!C415,'Shipments data'!A:A,'Supply planning data'!A415,'Shipments data'!O:O,"received",'Shipments data'!Q:Q,"&lt;"&amp;'Supply planning data'!D430,'Shipments data'!AC:AC,"&lt;"&amp;'Supply planning data'!D430)-SUMIFS(M:M,D:D,"&lt;="&amp;D415,C:C,C415)-SUMIFS(AA:AA,D:D,"&lt;="&amp;D415,C:C,C415)+SUMIFS(N:N,D:D,"&lt;="&amp;D415,C:C,C415)+SUMIFS(P:P,D:D,"&lt;="&amp;D415,C:C,C415)&lt;0,0,SUMIFS('Shipments data'!L:L,'Shipments data'!F:F,'Supply planning data'!C415,'Shipments data'!A:A,'Supply planning data'!A415,'Shipments data'!O:O,"received",'Shipments data'!Q:Q,"&lt;"&amp;'Supply planning data'!D430,'Shipments data'!AC:AC,"&lt;"&amp;'Supply planning data'!D430)-SUMIFS(M:M,D:D,"&lt;="&amp;D415,C:C,C415)-SUMIFS(AA:AA,D:D,"&lt;="&amp;D415,C:C,C415)+SUMIFS(N:N,D:D,"&lt;="&amp;D415,C:C,C415)+SUMIFS(P:P,D:D,"&lt;="&amp;D415,C:C,C415))</f>
        <v>0</v>
      </c>
      <c r="AD415" s="111">
        <f t="shared" si="136"/>
        <v>0</v>
      </c>
      <c r="AE415" s="111">
        <f t="shared" si="130"/>
        <v>0</v>
      </c>
      <c r="AF415" s="204" t="str">
        <f t="shared" ref="AF415:AF478" si="139">IF(M415+AA415&lt;=0,"",IFERROR(AE415/(SUM(M415,M445,M430,AA415,AA445,AA430)/3),""))</f>
        <v/>
      </c>
      <c r="AG415" s="111">
        <f t="shared" si="137"/>
        <v>0</v>
      </c>
      <c r="AH415" s="110"/>
      <c r="AI415" s="313"/>
      <c r="AJ415" s="111">
        <f t="shared" si="129"/>
        <v>0</v>
      </c>
      <c r="AK415" s="235"/>
      <c r="AL415" s="111">
        <f>IF(SUMIFS('Shipments data'!L:L,'Shipments data'!F:F,'Supply planning data'!C415,'Shipments data'!A:A,'Supply planning data'!A415,'Shipments data'!O:O,"received",'Shipments data'!Q:Q,"&lt;"&amp;'Supply planning data'!D430,'Shipments data'!AC:AC,"&lt;"&amp;'Supply planning data'!D430)-SUMIFS(M:M,D:D,"&lt;="&amp;D415,C:C,C415)-SUMIFS(AJ:AJ,D:D,"&lt;="&amp;D415,C:C,C415)+SUMIFS(N:N,D:D,"&lt;="&amp;D415,C:C,C415)+SUMIFS(P:P,D:D,"&lt;="&amp;D415,C:C,C415)&lt;0,0,SUMIFS('Shipments data'!L:L,'Shipments data'!F:F,'Supply planning data'!C415,'Shipments data'!A:A,'Supply planning data'!A415,'Shipments data'!O:O,"received",'Shipments data'!Q:Q,"&lt;"&amp;'Supply planning data'!D430,'Shipments data'!AC:AC,"&lt;"&amp;'Supply planning data'!D430)-SUMIFS(M:M,D:D,"&lt;="&amp;D415,C:C,C415)-SUMIFS(AJ:AJ,D:D,"&lt;="&amp;D415,C:C,C415)+SUMIFS(N:N,D:D,"&lt;="&amp;D415,C:C,C415)+SUMIFS(P:P,D:D,"&lt;="&amp;D415,C:C,C415))</f>
        <v>0</v>
      </c>
      <c r="AM415" s="111">
        <f t="shared" si="138"/>
        <v>0</v>
      </c>
      <c r="AN415" s="111">
        <f t="shared" si="131"/>
        <v>0</v>
      </c>
      <c r="AO415" s="204" t="str">
        <f t="shared" si="123"/>
        <v/>
      </c>
    </row>
    <row r="416" spans="1:41" hidden="1" x14ac:dyDescent="0.25">
      <c r="A416" s="103" t="str">
        <f>Start!D$7</f>
        <v>Anyland</v>
      </c>
      <c r="B416" s="109" t="str">
        <f>VLOOKUP(A416,list!B:C,2,FALSE)</f>
        <v>ANY</v>
      </c>
      <c r="C416" s="104" t="str">
        <f>IF(Start!$C$23="","",Start!$C$23)</f>
        <v/>
      </c>
      <c r="D416" s="298">
        <f t="shared" si="132"/>
        <v>45017</v>
      </c>
      <c r="E416" s="105" t="str">
        <f>IFERROR(VLOOKUP(C416,Start!C$15:D$31,2,FALSE),"No")</f>
        <v>No</v>
      </c>
      <c r="F416" s="105">
        <f t="shared" si="133"/>
        <v>0</v>
      </c>
      <c r="G416" s="106"/>
      <c r="H416" s="106"/>
      <c r="I416" s="106"/>
      <c r="J416" s="105">
        <f t="shared" si="125"/>
        <v>0</v>
      </c>
      <c r="K416" s="106"/>
      <c r="L416" s="177" t="str">
        <f t="shared" si="126"/>
        <v/>
      </c>
      <c r="M416" s="105">
        <f t="shared" si="127"/>
        <v>0</v>
      </c>
      <c r="N416" s="110"/>
      <c r="O416" s="124"/>
      <c r="P416" s="110"/>
      <c r="Q416" s="124"/>
      <c r="R416" s="111">
        <f>SUMIFS('Shipments data'!L:L,'Shipments data'!F:F,'Supply planning data'!C416,'Shipments data'!A:A,'Supply planning data'!A416,'Shipments data'!Y:Y,'Supply planning data'!D416,'Shipments data'!O:O,"received", 'Shipments data'!N:N, "Public")</f>
        <v>0</v>
      </c>
      <c r="S416" s="111">
        <f>SUMIFS('Shipments data'!L:L,'Shipments data'!F:F,'Supply planning data'!C416,'Shipments data'!A:A,'Supply planning data'!A416,'Shipments data'!Y:Y,'Supply planning data'!D416,'Shipments data'!O:O,"ordered", 'Shipments data'!N:N, "Public")</f>
        <v>0</v>
      </c>
      <c r="T416" s="111">
        <f>IF(SUMIFS('Shipments data'!L:L,'Shipments data'!F:F,'Supply planning data'!C416,'Shipments data'!A:A,'Supply planning data'!A416,'Shipments data'!O:O,"received",'Shipments data'!Q:Q,"&lt;"&amp;'Supply planning data'!D431,'Shipments data'!AC:AC,"&lt;"&amp;'Supply planning data'!D431)-SUMIFS(M:M,D:D,"&lt;="&amp;D416,C:C,C416)+SUMIFS(N:N,D:D,"&lt;="&amp;D416,C:C,C416)+SUMIFS(P:P,D:D,"&lt;="&amp;D416,C:C,C416)&lt;0,0,SUMIFS('Shipments data'!L:L,'Shipments data'!F:F,'Supply planning data'!C416,'Shipments data'!A:A,'Supply planning data'!A416,'Shipments data'!O:O,"received",'Shipments data'!Q:Q,"&lt;"&amp;'Supply planning data'!D431,'Shipments data'!AC:AC,"&lt;"&amp;'Supply planning data'!D431)-SUMIFS(M:M,D:D,"&lt;="&amp;D416,C:C,C416)+SUMIFS(N:N,D:D,"&lt;="&amp;D416,C:C,C416)+SUMIFS(P:P,D:D,"&lt;="&amp;D416,C:C,C416))</f>
        <v>0</v>
      </c>
      <c r="U416" s="112">
        <f t="shared" si="134"/>
        <v>0</v>
      </c>
      <c r="V416" s="111">
        <f t="shared" si="124"/>
        <v>0</v>
      </c>
      <c r="W416" s="204" t="str">
        <f t="shared" si="122"/>
        <v/>
      </c>
      <c r="X416" s="111">
        <f t="shared" si="135"/>
        <v>0</v>
      </c>
      <c r="Y416" s="110"/>
      <c r="Z416" s="107"/>
      <c r="AA416" s="111">
        <f t="shared" si="128"/>
        <v>0</v>
      </c>
      <c r="AB416" s="235"/>
      <c r="AC416" s="111">
        <f>IF(SUMIFS('Shipments data'!L:L,'Shipments data'!F:F,'Supply planning data'!C416,'Shipments data'!A:A,'Supply planning data'!A416,'Shipments data'!O:O,"received",'Shipments data'!Q:Q,"&lt;"&amp;'Supply planning data'!D431,'Shipments data'!AC:AC,"&lt;"&amp;'Supply planning data'!D431)-SUMIFS(M:M,D:D,"&lt;="&amp;D416,C:C,C416)-SUMIFS(AA:AA,D:D,"&lt;="&amp;D416,C:C,C416)+SUMIFS(N:N,D:D,"&lt;="&amp;D416,C:C,C416)+SUMIFS(P:P,D:D,"&lt;="&amp;D416,C:C,C416)&lt;0,0,SUMIFS('Shipments data'!L:L,'Shipments data'!F:F,'Supply planning data'!C416,'Shipments data'!A:A,'Supply planning data'!A416,'Shipments data'!O:O,"received",'Shipments data'!Q:Q,"&lt;"&amp;'Supply planning data'!D431,'Shipments data'!AC:AC,"&lt;"&amp;'Supply planning data'!D431)-SUMIFS(M:M,D:D,"&lt;="&amp;D416,C:C,C416)-SUMIFS(AA:AA,D:D,"&lt;="&amp;D416,C:C,C416)+SUMIFS(N:N,D:D,"&lt;="&amp;D416,C:C,C416)+SUMIFS(P:P,D:D,"&lt;="&amp;D416,C:C,C416))</f>
        <v>0</v>
      </c>
      <c r="AD416" s="111">
        <f t="shared" si="136"/>
        <v>0</v>
      </c>
      <c r="AE416" s="111">
        <f t="shared" si="130"/>
        <v>0</v>
      </c>
      <c r="AF416" s="204" t="str">
        <f t="shared" si="139"/>
        <v/>
      </c>
      <c r="AG416" s="111">
        <f t="shared" si="137"/>
        <v>0</v>
      </c>
      <c r="AH416" s="110"/>
      <c r="AI416" s="313"/>
      <c r="AJ416" s="111">
        <f t="shared" si="129"/>
        <v>0</v>
      </c>
      <c r="AK416" s="235"/>
      <c r="AL416" s="111">
        <f>IF(SUMIFS('Shipments data'!L:L,'Shipments data'!F:F,'Supply planning data'!C416,'Shipments data'!A:A,'Supply planning data'!A416,'Shipments data'!O:O,"received",'Shipments data'!Q:Q,"&lt;"&amp;'Supply planning data'!D431,'Shipments data'!AC:AC,"&lt;"&amp;'Supply planning data'!D431)-SUMIFS(M:M,D:D,"&lt;="&amp;D416,C:C,C416)-SUMIFS(AJ:AJ,D:D,"&lt;="&amp;D416,C:C,C416)+SUMIFS(N:N,D:D,"&lt;="&amp;D416,C:C,C416)+SUMIFS(P:P,D:D,"&lt;="&amp;D416,C:C,C416)&lt;0,0,SUMIFS('Shipments data'!L:L,'Shipments data'!F:F,'Supply planning data'!C416,'Shipments data'!A:A,'Supply planning data'!A416,'Shipments data'!O:O,"received",'Shipments data'!Q:Q,"&lt;"&amp;'Supply planning data'!D431,'Shipments data'!AC:AC,"&lt;"&amp;'Supply planning data'!D431)-SUMIFS(M:M,D:D,"&lt;="&amp;D416,C:C,C416)-SUMIFS(AJ:AJ,D:D,"&lt;="&amp;D416,C:C,C416)+SUMIFS(N:N,D:D,"&lt;="&amp;D416,C:C,C416)+SUMIFS(P:P,D:D,"&lt;="&amp;D416,C:C,C416))</f>
        <v>0</v>
      </c>
      <c r="AM416" s="111">
        <f t="shared" si="138"/>
        <v>0</v>
      </c>
      <c r="AN416" s="111">
        <f t="shared" si="131"/>
        <v>0</v>
      </c>
      <c r="AO416" s="204" t="str">
        <f t="shared" si="123"/>
        <v/>
      </c>
    </row>
    <row r="417" spans="1:41" hidden="1" x14ac:dyDescent="0.25">
      <c r="A417" s="103" t="str">
        <f>Start!D$7</f>
        <v>Anyland</v>
      </c>
      <c r="B417" s="109" t="str">
        <f>VLOOKUP(A417,list!B:C,2,FALSE)</f>
        <v>ANY</v>
      </c>
      <c r="C417" s="109" t="str">
        <f>IF(Start!$C$24="","",Start!$C$24)</f>
        <v/>
      </c>
      <c r="D417" s="298">
        <f t="shared" si="132"/>
        <v>45017</v>
      </c>
      <c r="E417" s="105" t="str">
        <f>IFERROR(VLOOKUP(C417,Start!C$15:D$31,2,FALSE),"No")</f>
        <v>No</v>
      </c>
      <c r="F417" s="105">
        <f t="shared" si="133"/>
        <v>0</v>
      </c>
      <c r="G417" s="106"/>
      <c r="H417" s="106"/>
      <c r="I417" s="106"/>
      <c r="J417" s="105">
        <f t="shared" si="125"/>
        <v>0</v>
      </c>
      <c r="K417" s="106"/>
      <c r="L417" s="177" t="str">
        <f t="shared" si="126"/>
        <v/>
      </c>
      <c r="M417" s="105">
        <f t="shared" si="127"/>
        <v>0</v>
      </c>
      <c r="N417" s="110"/>
      <c r="O417" s="124"/>
      <c r="P417" s="110"/>
      <c r="Q417" s="124"/>
      <c r="R417" s="111">
        <f>SUMIFS('Shipments data'!L:L,'Shipments data'!F:F,'Supply planning data'!C417,'Shipments data'!A:A,'Supply planning data'!A417,'Shipments data'!Y:Y,'Supply planning data'!D417,'Shipments data'!O:O,"received", 'Shipments data'!N:N, "Public")</f>
        <v>0</v>
      </c>
      <c r="S417" s="111">
        <f>SUMIFS('Shipments data'!L:L,'Shipments data'!F:F,'Supply planning data'!C417,'Shipments data'!A:A,'Supply planning data'!A417,'Shipments data'!Y:Y,'Supply planning data'!D417,'Shipments data'!O:O,"ordered", 'Shipments data'!N:N, "Public")</f>
        <v>0</v>
      </c>
      <c r="T417" s="111">
        <f>IF(SUMIFS('Shipments data'!L:L,'Shipments data'!F:F,'Supply planning data'!C417,'Shipments data'!A:A,'Supply planning data'!A417,'Shipments data'!O:O,"received",'Shipments data'!Q:Q,"&lt;"&amp;'Supply planning data'!D432,'Shipments data'!AC:AC,"&lt;"&amp;'Supply planning data'!D432)-SUMIFS(M:M,D:D,"&lt;="&amp;D417,C:C,C417)+SUMIFS(N:N,D:D,"&lt;="&amp;D417,C:C,C417)+SUMIFS(P:P,D:D,"&lt;="&amp;D417,C:C,C417)&lt;0,0,SUMIFS('Shipments data'!L:L,'Shipments data'!F:F,'Supply planning data'!C417,'Shipments data'!A:A,'Supply planning data'!A417,'Shipments data'!O:O,"received",'Shipments data'!Q:Q,"&lt;"&amp;'Supply planning data'!D432,'Shipments data'!AC:AC,"&lt;"&amp;'Supply planning data'!D432)-SUMIFS(M:M,D:D,"&lt;="&amp;D417,C:C,C417)+SUMIFS(N:N,D:D,"&lt;="&amp;D417,C:C,C417)+SUMIFS(P:P,D:D,"&lt;="&amp;D417,C:C,C417))</f>
        <v>0</v>
      </c>
      <c r="U417" s="112">
        <f t="shared" si="134"/>
        <v>0</v>
      </c>
      <c r="V417" s="111">
        <f t="shared" si="124"/>
        <v>0</v>
      </c>
      <c r="W417" s="204" t="str">
        <f t="shared" si="122"/>
        <v/>
      </c>
      <c r="X417" s="111">
        <f t="shared" si="135"/>
        <v>0</v>
      </c>
      <c r="Y417" s="110"/>
      <c r="Z417" s="107"/>
      <c r="AA417" s="111">
        <f t="shared" si="128"/>
        <v>0</v>
      </c>
      <c r="AB417" s="235"/>
      <c r="AC417" s="111">
        <f>IF(SUMIFS('Shipments data'!L:L,'Shipments data'!F:F,'Supply planning data'!C417,'Shipments data'!A:A,'Supply planning data'!A417,'Shipments data'!O:O,"received",'Shipments data'!Q:Q,"&lt;"&amp;'Supply planning data'!D432,'Shipments data'!AC:AC,"&lt;"&amp;'Supply planning data'!D432)-SUMIFS(M:M,D:D,"&lt;="&amp;D417,C:C,C417)-SUMIFS(AA:AA,D:D,"&lt;="&amp;D417,C:C,C417)+SUMIFS(N:N,D:D,"&lt;="&amp;D417,C:C,C417)+SUMIFS(P:P,D:D,"&lt;="&amp;D417,C:C,C417)&lt;0,0,SUMIFS('Shipments data'!L:L,'Shipments data'!F:F,'Supply planning data'!C417,'Shipments data'!A:A,'Supply planning data'!A417,'Shipments data'!O:O,"received",'Shipments data'!Q:Q,"&lt;"&amp;'Supply planning data'!D432,'Shipments data'!AC:AC,"&lt;"&amp;'Supply planning data'!D432)-SUMIFS(M:M,D:D,"&lt;="&amp;D417,C:C,C417)-SUMIFS(AA:AA,D:D,"&lt;="&amp;D417,C:C,C417)+SUMIFS(N:N,D:D,"&lt;="&amp;D417,C:C,C417)+SUMIFS(P:P,D:D,"&lt;="&amp;D417,C:C,C417))</f>
        <v>0</v>
      </c>
      <c r="AD417" s="111">
        <f t="shared" si="136"/>
        <v>0</v>
      </c>
      <c r="AE417" s="111">
        <f t="shared" si="130"/>
        <v>0</v>
      </c>
      <c r="AF417" s="204" t="str">
        <f t="shared" si="139"/>
        <v/>
      </c>
      <c r="AG417" s="111">
        <f t="shared" si="137"/>
        <v>0</v>
      </c>
      <c r="AH417" s="110"/>
      <c r="AI417" s="313"/>
      <c r="AJ417" s="111">
        <f t="shared" si="129"/>
        <v>0</v>
      </c>
      <c r="AK417" s="235"/>
      <c r="AL417" s="111">
        <f>IF(SUMIFS('Shipments data'!L:L,'Shipments data'!F:F,'Supply planning data'!C417,'Shipments data'!A:A,'Supply planning data'!A417,'Shipments data'!O:O,"received",'Shipments data'!Q:Q,"&lt;"&amp;'Supply planning data'!D432,'Shipments data'!AC:AC,"&lt;"&amp;'Supply planning data'!D432)-SUMIFS(M:M,D:D,"&lt;="&amp;D417,C:C,C417)-SUMIFS(AJ:AJ,D:D,"&lt;="&amp;D417,C:C,C417)+SUMIFS(N:N,D:D,"&lt;="&amp;D417,C:C,C417)+SUMIFS(P:P,D:D,"&lt;="&amp;D417,C:C,C417)&lt;0,0,SUMIFS('Shipments data'!L:L,'Shipments data'!F:F,'Supply planning data'!C417,'Shipments data'!A:A,'Supply planning data'!A417,'Shipments data'!O:O,"received",'Shipments data'!Q:Q,"&lt;"&amp;'Supply planning data'!D432,'Shipments data'!AC:AC,"&lt;"&amp;'Supply planning data'!D432)-SUMIFS(M:M,D:D,"&lt;="&amp;D417,C:C,C417)-SUMIFS(AJ:AJ,D:D,"&lt;="&amp;D417,C:C,C417)+SUMIFS(N:N,D:D,"&lt;="&amp;D417,C:C,C417)+SUMIFS(P:P,D:D,"&lt;="&amp;D417,C:C,C417))</f>
        <v>0</v>
      </c>
      <c r="AM417" s="111">
        <f t="shared" si="138"/>
        <v>0</v>
      </c>
      <c r="AN417" s="111">
        <f t="shared" si="131"/>
        <v>0</v>
      </c>
      <c r="AO417" s="204" t="str">
        <f t="shared" si="123"/>
        <v/>
      </c>
    </row>
    <row r="418" spans="1:41" hidden="1" x14ac:dyDescent="0.25">
      <c r="A418" s="103" t="str">
        <f>Start!D$7</f>
        <v>Anyland</v>
      </c>
      <c r="B418" s="109" t="str">
        <f>VLOOKUP(A418,list!B:C,2,FALSE)</f>
        <v>ANY</v>
      </c>
      <c r="C418" s="104" t="str">
        <f>IF(Start!$C$25="","",Start!$C$25)</f>
        <v/>
      </c>
      <c r="D418" s="298">
        <f t="shared" si="132"/>
        <v>45017</v>
      </c>
      <c r="E418" s="105" t="str">
        <f>IFERROR(VLOOKUP(C418,Start!C$15:D$31,2,FALSE),"No")</f>
        <v>No</v>
      </c>
      <c r="F418" s="105">
        <f t="shared" si="133"/>
        <v>0</v>
      </c>
      <c r="G418" s="106"/>
      <c r="H418" s="106"/>
      <c r="I418" s="106"/>
      <c r="J418" s="105">
        <f t="shared" si="125"/>
        <v>0</v>
      </c>
      <c r="K418" s="106"/>
      <c r="L418" s="177" t="str">
        <f t="shared" si="126"/>
        <v/>
      </c>
      <c r="M418" s="105">
        <f t="shared" si="127"/>
        <v>0</v>
      </c>
      <c r="N418" s="110"/>
      <c r="O418" s="124"/>
      <c r="P418" s="110"/>
      <c r="Q418" s="124"/>
      <c r="R418" s="111">
        <f>SUMIFS('Shipments data'!L:L,'Shipments data'!F:F,'Supply planning data'!C418,'Shipments data'!A:A,'Supply planning data'!A418,'Shipments data'!Y:Y,'Supply planning data'!D418,'Shipments data'!O:O,"received", 'Shipments data'!N:N, "Public")</f>
        <v>0</v>
      </c>
      <c r="S418" s="111">
        <f>SUMIFS('Shipments data'!L:L,'Shipments data'!F:F,'Supply planning data'!C418,'Shipments data'!A:A,'Supply planning data'!A418,'Shipments data'!Y:Y,'Supply planning data'!D418,'Shipments data'!O:O,"ordered", 'Shipments data'!N:N, "Public")</f>
        <v>0</v>
      </c>
      <c r="T418" s="111">
        <f>IF(SUMIFS('Shipments data'!L:L,'Shipments data'!F:F,'Supply planning data'!C418,'Shipments data'!A:A,'Supply planning data'!A418,'Shipments data'!O:O,"received",'Shipments data'!Q:Q,"&lt;"&amp;'Supply planning data'!D433,'Shipments data'!AC:AC,"&lt;"&amp;'Supply planning data'!D433)-SUMIFS(M:M,D:D,"&lt;="&amp;D418,C:C,C418)+SUMIFS(N:N,D:D,"&lt;="&amp;D418,C:C,C418)+SUMIFS(P:P,D:D,"&lt;="&amp;D418,C:C,C418)&lt;0,0,SUMIFS('Shipments data'!L:L,'Shipments data'!F:F,'Supply planning data'!C418,'Shipments data'!A:A,'Supply planning data'!A418,'Shipments data'!O:O,"received",'Shipments data'!Q:Q,"&lt;"&amp;'Supply planning data'!D433,'Shipments data'!AC:AC,"&lt;"&amp;'Supply planning data'!D433)-SUMIFS(M:M,D:D,"&lt;="&amp;D418,C:C,C418)+SUMIFS(N:N,D:D,"&lt;="&amp;D418,C:C,C418)+SUMIFS(P:P,D:D,"&lt;="&amp;D418,C:C,C418))</f>
        <v>0</v>
      </c>
      <c r="U418" s="112">
        <f t="shared" si="134"/>
        <v>0</v>
      </c>
      <c r="V418" s="111">
        <f t="shared" si="124"/>
        <v>0</v>
      </c>
      <c r="W418" s="204" t="str">
        <f t="shared" si="122"/>
        <v/>
      </c>
      <c r="X418" s="111">
        <f t="shared" si="135"/>
        <v>0</v>
      </c>
      <c r="Y418" s="110"/>
      <c r="Z418" s="107"/>
      <c r="AA418" s="111">
        <f t="shared" si="128"/>
        <v>0</v>
      </c>
      <c r="AB418" s="235"/>
      <c r="AC418" s="111">
        <f>IF(SUMIFS('Shipments data'!L:L,'Shipments data'!F:F,'Supply planning data'!C418,'Shipments data'!A:A,'Supply planning data'!A418,'Shipments data'!O:O,"received",'Shipments data'!Q:Q,"&lt;"&amp;'Supply planning data'!D433,'Shipments data'!AC:AC,"&lt;"&amp;'Supply planning data'!D433)-SUMIFS(M:M,D:D,"&lt;="&amp;D418,C:C,C418)-SUMIFS(AA:AA,D:D,"&lt;="&amp;D418,C:C,C418)+SUMIFS(N:N,D:D,"&lt;="&amp;D418,C:C,C418)+SUMIFS(P:P,D:D,"&lt;="&amp;D418,C:C,C418)&lt;0,0,SUMIFS('Shipments data'!L:L,'Shipments data'!F:F,'Supply planning data'!C418,'Shipments data'!A:A,'Supply planning data'!A418,'Shipments data'!O:O,"received",'Shipments data'!Q:Q,"&lt;"&amp;'Supply planning data'!D433,'Shipments data'!AC:AC,"&lt;"&amp;'Supply planning data'!D433)-SUMIFS(M:M,D:D,"&lt;="&amp;D418,C:C,C418)-SUMIFS(AA:AA,D:D,"&lt;="&amp;D418,C:C,C418)+SUMIFS(N:N,D:D,"&lt;="&amp;D418,C:C,C418)+SUMIFS(P:P,D:D,"&lt;="&amp;D418,C:C,C418))</f>
        <v>0</v>
      </c>
      <c r="AD418" s="111">
        <f t="shared" si="136"/>
        <v>0</v>
      </c>
      <c r="AE418" s="111">
        <f t="shared" si="130"/>
        <v>0</v>
      </c>
      <c r="AF418" s="204" t="str">
        <f t="shared" si="139"/>
        <v/>
      </c>
      <c r="AG418" s="111">
        <f t="shared" si="137"/>
        <v>0</v>
      </c>
      <c r="AH418" s="110"/>
      <c r="AI418" s="313"/>
      <c r="AJ418" s="111">
        <f t="shared" si="129"/>
        <v>0</v>
      </c>
      <c r="AK418" s="235"/>
      <c r="AL418" s="111">
        <f>IF(SUMIFS('Shipments data'!L:L,'Shipments data'!F:F,'Supply planning data'!C418,'Shipments data'!A:A,'Supply planning data'!A418,'Shipments data'!O:O,"received",'Shipments data'!Q:Q,"&lt;"&amp;'Supply planning data'!D433,'Shipments data'!AC:AC,"&lt;"&amp;'Supply planning data'!D433)-SUMIFS(M:M,D:D,"&lt;="&amp;D418,C:C,C418)-SUMIFS(AJ:AJ,D:D,"&lt;="&amp;D418,C:C,C418)+SUMIFS(N:N,D:D,"&lt;="&amp;D418,C:C,C418)+SUMIFS(P:P,D:D,"&lt;="&amp;D418,C:C,C418)&lt;0,0,SUMIFS('Shipments data'!L:L,'Shipments data'!F:F,'Supply planning data'!C418,'Shipments data'!A:A,'Supply planning data'!A418,'Shipments data'!O:O,"received",'Shipments data'!Q:Q,"&lt;"&amp;'Supply planning data'!D433,'Shipments data'!AC:AC,"&lt;"&amp;'Supply planning data'!D433)-SUMIFS(M:M,D:D,"&lt;="&amp;D418,C:C,C418)-SUMIFS(AJ:AJ,D:D,"&lt;="&amp;D418,C:C,C418)+SUMIFS(N:N,D:D,"&lt;="&amp;D418,C:C,C418)+SUMIFS(P:P,D:D,"&lt;="&amp;D418,C:C,C418))</f>
        <v>0</v>
      </c>
      <c r="AM418" s="111">
        <f t="shared" si="138"/>
        <v>0</v>
      </c>
      <c r="AN418" s="111">
        <f t="shared" si="131"/>
        <v>0</v>
      </c>
      <c r="AO418" s="204" t="str">
        <f t="shared" si="123"/>
        <v/>
      </c>
    </row>
    <row r="419" spans="1:41" hidden="1" x14ac:dyDescent="0.25">
      <c r="A419" s="103" t="str">
        <f>Start!D$7</f>
        <v>Anyland</v>
      </c>
      <c r="B419" s="109" t="str">
        <f>VLOOKUP(A419,list!B:C,2,FALSE)</f>
        <v>ANY</v>
      </c>
      <c r="C419" s="109" t="str">
        <f>IF(Start!$C$26="","",Start!$C$26)</f>
        <v/>
      </c>
      <c r="D419" s="298">
        <f t="shared" si="132"/>
        <v>45017</v>
      </c>
      <c r="E419" s="105" t="str">
        <f>IFERROR(VLOOKUP(C419,Start!C$15:D$31,2,FALSE),"No")</f>
        <v>No</v>
      </c>
      <c r="F419" s="105">
        <f t="shared" si="133"/>
        <v>0</v>
      </c>
      <c r="G419" s="106"/>
      <c r="H419" s="106"/>
      <c r="I419" s="106"/>
      <c r="J419" s="105">
        <f t="shared" si="125"/>
        <v>0</v>
      </c>
      <c r="K419" s="106"/>
      <c r="L419" s="177" t="str">
        <f t="shared" si="126"/>
        <v/>
      </c>
      <c r="M419" s="105">
        <f t="shared" si="127"/>
        <v>0</v>
      </c>
      <c r="N419" s="110"/>
      <c r="O419" s="124"/>
      <c r="P419" s="110"/>
      <c r="Q419" s="124"/>
      <c r="R419" s="111">
        <f>SUMIFS('Shipments data'!L:L,'Shipments data'!F:F,'Supply planning data'!C419,'Shipments data'!A:A,'Supply planning data'!A419,'Shipments data'!Y:Y,'Supply planning data'!D419,'Shipments data'!O:O,"received", 'Shipments data'!N:N, "Public")</f>
        <v>0</v>
      </c>
      <c r="S419" s="111">
        <f>SUMIFS('Shipments data'!L:L,'Shipments data'!F:F,'Supply planning data'!C419,'Shipments data'!A:A,'Supply planning data'!A419,'Shipments data'!Y:Y,'Supply planning data'!D419,'Shipments data'!O:O,"ordered", 'Shipments data'!N:N, "Public")</f>
        <v>0</v>
      </c>
      <c r="T419" s="111">
        <f>IF(SUMIFS('Shipments data'!L:L,'Shipments data'!F:F,'Supply planning data'!C419,'Shipments data'!A:A,'Supply planning data'!A419,'Shipments data'!O:O,"received",'Shipments data'!Q:Q,"&lt;"&amp;'Supply planning data'!D434,'Shipments data'!AC:AC,"&lt;"&amp;'Supply planning data'!D434)-SUMIFS(M:M,D:D,"&lt;="&amp;D419,C:C,C419)+SUMIFS(N:N,D:D,"&lt;="&amp;D419,C:C,C419)+SUMIFS(P:P,D:D,"&lt;="&amp;D419,C:C,C419)&lt;0,0,SUMIFS('Shipments data'!L:L,'Shipments data'!F:F,'Supply planning data'!C419,'Shipments data'!A:A,'Supply planning data'!A419,'Shipments data'!O:O,"received",'Shipments data'!Q:Q,"&lt;"&amp;'Supply planning data'!D434,'Shipments data'!AC:AC,"&lt;"&amp;'Supply planning data'!D434)-SUMIFS(M:M,D:D,"&lt;="&amp;D419,C:C,C419)+SUMIFS(N:N,D:D,"&lt;="&amp;D419,C:C,C419)+SUMIFS(P:P,D:D,"&lt;="&amp;D419,C:C,C419))</f>
        <v>0</v>
      </c>
      <c r="U419" s="112">
        <f t="shared" si="134"/>
        <v>0</v>
      </c>
      <c r="V419" s="111">
        <f t="shared" si="124"/>
        <v>0</v>
      </c>
      <c r="W419" s="204" t="str">
        <f t="shared" si="122"/>
        <v/>
      </c>
      <c r="X419" s="111">
        <f t="shared" si="135"/>
        <v>0</v>
      </c>
      <c r="Y419" s="110"/>
      <c r="Z419" s="107"/>
      <c r="AA419" s="111">
        <f t="shared" si="128"/>
        <v>0</v>
      </c>
      <c r="AB419" s="235"/>
      <c r="AC419" s="111">
        <f>IF(SUMIFS('Shipments data'!L:L,'Shipments data'!F:F,'Supply planning data'!C419,'Shipments data'!A:A,'Supply planning data'!A419,'Shipments data'!O:O,"received",'Shipments data'!Q:Q,"&lt;"&amp;'Supply planning data'!D434,'Shipments data'!AC:AC,"&lt;"&amp;'Supply planning data'!D434)-SUMIFS(M:M,D:D,"&lt;="&amp;D419,C:C,C419)-SUMIFS(AA:AA,D:D,"&lt;="&amp;D419,C:C,C419)+SUMIFS(N:N,D:D,"&lt;="&amp;D419,C:C,C419)+SUMIFS(P:P,D:D,"&lt;="&amp;D419,C:C,C419)&lt;0,0,SUMIFS('Shipments data'!L:L,'Shipments data'!F:F,'Supply planning data'!C419,'Shipments data'!A:A,'Supply planning data'!A419,'Shipments data'!O:O,"received",'Shipments data'!Q:Q,"&lt;"&amp;'Supply planning data'!D434,'Shipments data'!AC:AC,"&lt;"&amp;'Supply planning data'!D434)-SUMIFS(M:M,D:D,"&lt;="&amp;D419,C:C,C419)-SUMIFS(AA:AA,D:D,"&lt;="&amp;D419,C:C,C419)+SUMIFS(N:N,D:D,"&lt;="&amp;D419,C:C,C419)+SUMIFS(P:P,D:D,"&lt;="&amp;D419,C:C,C419))</f>
        <v>0</v>
      </c>
      <c r="AD419" s="111">
        <f t="shared" si="136"/>
        <v>0</v>
      </c>
      <c r="AE419" s="111">
        <f t="shared" si="130"/>
        <v>0</v>
      </c>
      <c r="AF419" s="204" t="str">
        <f t="shared" si="139"/>
        <v/>
      </c>
      <c r="AG419" s="111">
        <f t="shared" si="137"/>
        <v>0</v>
      </c>
      <c r="AH419" s="110"/>
      <c r="AI419" s="313"/>
      <c r="AJ419" s="111">
        <f t="shared" si="129"/>
        <v>0</v>
      </c>
      <c r="AK419" s="235"/>
      <c r="AL419" s="111">
        <f>IF(SUMIFS('Shipments data'!L:L,'Shipments data'!F:F,'Supply planning data'!C419,'Shipments data'!A:A,'Supply planning data'!A419,'Shipments data'!O:O,"received",'Shipments data'!Q:Q,"&lt;"&amp;'Supply planning data'!D434,'Shipments data'!AC:AC,"&lt;"&amp;'Supply planning data'!D434)-SUMIFS(M:M,D:D,"&lt;="&amp;D419,C:C,C419)-SUMIFS(AJ:AJ,D:D,"&lt;="&amp;D419,C:C,C419)+SUMIFS(N:N,D:D,"&lt;="&amp;D419,C:C,C419)+SUMIFS(P:P,D:D,"&lt;="&amp;D419,C:C,C419)&lt;0,0,SUMIFS('Shipments data'!L:L,'Shipments data'!F:F,'Supply planning data'!C419,'Shipments data'!A:A,'Supply planning data'!A419,'Shipments data'!O:O,"received",'Shipments data'!Q:Q,"&lt;"&amp;'Supply planning data'!D434,'Shipments data'!AC:AC,"&lt;"&amp;'Supply planning data'!D434)-SUMIFS(M:M,D:D,"&lt;="&amp;D419,C:C,C419)-SUMIFS(AJ:AJ,D:D,"&lt;="&amp;D419,C:C,C419)+SUMIFS(N:N,D:D,"&lt;="&amp;D419,C:C,C419)+SUMIFS(P:P,D:D,"&lt;="&amp;D419,C:C,C419))</f>
        <v>0</v>
      </c>
      <c r="AM419" s="111">
        <f t="shared" si="138"/>
        <v>0</v>
      </c>
      <c r="AN419" s="111">
        <f t="shared" si="131"/>
        <v>0</v>
      </c>
      <c r="AO419" s="204" t="str">
        <f t="shared" si="123"/>
        <v/>
      </c>
    </row>
    <row r="420" spans="1:41" hidden="1" x14ac:dyDescent="0.25">
      <c r="A420" s="103" t="str">
        <f>Start!D$7</f>
        <v>Anyland</v>
      </c>
      <c r="B420" s="109" t="str">
        <f>VLOOKUP(A420,list!B:C,2,FALSE)</f>
        <v>ANY</v>
      </c>
      <c r="C420" s="104" t="str">
        <f>IF(Start!$C$27="","",Start!$C$27)</f>
        <v/>
      </c>
      <c r="D420" s="298">
        <f t="shared" si="132"/>
        <v>45017</v>
      </c>
      <c r="E420" s="105" t="str">
        <f>IFERROR(VLOOKUP(C420,Start!C$15:D$31,2,FALSE),"No")</f>
        <v>No</v>
      </c>
      <c r="F420" s="105">
        <f t="shared" si="133"/>
        <v>0</v>
      </c>
      <c r="G420" s="106"/>
      <c r="H420" s="106"/>
      <c r="I420" s="106"/>
      <c r="J420" s="105">
        <f t="shared" si="125"/>
        <v>0</v>
      </c>
      <c r="K420" s="106"/>
      <c r="L420" s="177" t="str">
        <f t="shared" si="126"/>
        <v/>
      </c>
      <c r="M420" s="105">
        <f t="shared" si="127"/>
        <v>0</v>
      </c>
      <c r="N420" s="110"/>
      <c r="O420" s="124"/>
      <c r="P420" s="110"/>
      <c r="Q420" s="124"/>
      <c r="R420" s="111">
        <f>SUMIFS('Shipments data'!L:L,'Shipments data'!F:F,'Supply planning data'!C420,'Shipments data'!A:A,'Supply planning data'!A420,'Shipments data'!Y:Y,'Supply planning data'!D420,'Shipments data'!O:O,"received", 'Shipments data'!N:N, "Public")</f>
        <v>0</v>
      </c>
      <c r="S420" s="111">
        <f>SUMIFS('Shipments data'!L:L,'Shipments data'!F:F,'Supply planning data'!C420,'Shipments data'!A:A,'Supply planning data'!A420,'Shipments data'!Y:Y,'Supply planning data'!D420,'Shipments data'!O:O,"ordered", 'Shipments data'!N:N, "Public")</f>
        <v>0</v>
      </c>
      <c r="T420" s="111">
        <f>IF(SUMIFS('Shipments data'!L:L,'Shipments data'!F:F,'Supply planning data'!C420,'Shipments data'!A:A,'Supply planning data'!A420,'Shipments data'!O:O,"received",'Shipments data'!Q:Q,"&lt;"&amp;'Supply planning data'!D435,'Shipments data'!AC:AC,"&lt;"&amp;'Supply planning data'!D435)-SUMIFS(M:M,D:D,"&lt;="&amp;D420,C:C,C420)+SUMIFS(N:N,D:D,"&lt;="&amp;D420,C:C,C420)+SUMIFS(P:P,D:D,"&lt;="&amp;D420,C:C,C420)&lt;0,0,SUMIFS('Shipments data'!L:L,'Shipments data'!F:F,'Supply planning data'!C420,'Shipments data'!A:A,'Supply planning data'!A420,'Shipments data'!O:O,"received",'Shipments data'!Q:Q,"&lt;"&amp;'Supply planning data'!D435,'Shipments data'!AC:AC,"&lt;"&amp;'Supply planning data'!D435)-SUMIFS(M:M,D:D,"&lt;="&amp;D420,C:C,C420)+SUMIFS(N:N,D:D,"&lt;="&amp;D420,C:C,C420)+SUMIFS(P:P,D:D,"&lt;="&amp;D420,C:C,C420))</f>
        <v>0</v>
      </c>
      <c r="U420" s="112">
        <f t="shared" si="134"/>
        <v>0</v>
      </c>
      <c r="V420" s="111">
        <f t="shared" si="124"/>
        <v>0</v>
      </c>
      <c r="W420" s="204" t="str">
        <f t="shared" ref="W420:W483" si="140">IF(M420&lt;=0,"",IFERROR(V420/(SUM(M420,M405,M390)/3),""))</f>
        <v/>
      </c>
      <c r="X420" s="111">
        <f t="shared" si="135"/>
        <v>0</v>
      </c>
      <c r="Y420" s="110"/>
      <c r="Z420" s="107"/>
      <c r="AA420" s="111">
        <f t="shared" si="128"/>
        <v>0</v>
      </c>
      <c r="AB420" s="235"/>
      <c r="AC420" s="111">
        <f>IF(SUMIFS('Shipments data'!L:L,'Shipments data'!F:F,'Supply planning data'!C420,'Shipments data'!A:A,'Supply planning data'!A420,'Shipments data'!O:O,"received",'Shipments data'!Q:Q,"&lt;"&amp;'Supply planning data'!D435,'Shipments data'!AC:AC,"&lt;"&amp;'Supply planning data'!D435)-SUMIFS(M:M,D:D,"&lt;="&amp;D420,C:C,C420)-SUMIFS(AA:AA,D:D,"&lt;="&amp;D420,C:C,C420)+SUMIFS(N:N,D:D,"&lt;="&amp;D420,C:C,C420)+SUMIFS(P:P,D:D,"&lt;="&amp;D420,C:C,C420)&lt;0,0,SUMIFS('Shipments data'!L:L,'Shipments data'!F:F,'Supply planning data'!C420,'Shipments data'!A:A,'Supply planning data'!A420,'Shipments data'!O:O,"received",'Shipments data'!Q:Q,"&lt;"&amp;'Supply planning data'!D435,'Shipments data'!AC:AC,"&lt;"&amp;'Supply planning data'!D435)-SUMIFS(M:M,D:D,"&lt;="&amp;D420,C:C,C420)-SUMIFS(AA:AA,D:D,"&lt;="&amp;D420,C:C,C420)+SUMIFS(N:N,D:D,"&lt;="&amp;D420,C:C,C420)+SUMIFS(P:P,D:D,"&lt;="&amp;D420,C:C,C420))</f>
        <v>0</v>
      </c>
      <c r="AD420" s="111">
        <f t="shared" si="136"/>
        <v>0</v>
      </c>
      <c r="AE420" s="111">
        <f t="shared" si="130"/>
        <v>0</v>
      </c>
      <c r="AF420" s="204" t="str">
        <f t="shared" si="139"/>
        <v/>
      </c>
      <c r="AG420" s="111">
        <f t="shared" si="137"/>
        <v>0</v>
      </c>
      <c r="AH420" s="110"/>
      <c r="AI420" s="313"/>
      <c r="AJ420" s="111">
        <f t="shared" si="129"/>
        <v>0</v>
      </c>
      <c r="AK420" s="235"/>
      <c r="AL420" s="111">
        <f>IF(SUMIFS('Shipments data'!L:L,'Shipments data'!F:F,'Supply planning data'!C420,'Shipments data'!A:A,'Supply planning data'!A420,'Shipments data'!O:O,"received",'Shipments data'!Q:Q,"&lt;"&amp;'Supply planning data'!D435,'Shipments data'!AC:AC,"&lt;"&amp;'Supply planning data'!D435)-SUMIFS(M:M,D:D,"&lt;="&amp;D420,C:C,C420)-SUMIFS(AJ:AJ,D:D,"&lt;="&amp;D420,C:C,C420)+SUMIFS(N:N,D:D,"&lt;="&amp;D420,C:C,C420)+SUMIFS(P:P,D:D,"&lt;="&amp;D420,C:C,C420)&lt;0,0,SUMIFS('Shipments data'!L:L,'Shipments data'!F:F,'Supply planning data'!C420,'Shipments data'!A:A,'Supply planning data'!A420,'Shipments data'!O:O,"received",'Shipments data'!Q:Q,"&lt;"&amp;'Supply planning data'!D435,'Shipments data'!AC:AC,"&lt;"&amp;'Supply planning data'!D435)-SUMIFS(M:M,D:D,"&lt;="&amp;D420,C:C,C420)-SUMIFS(AJ:AJ,D:D,"&lt;="&amp;D420,C:C,C420)+SUMIFS(N:N,D:D,"&lt;="&amp;D420,C:C,C420)+SUMIFS(P:P,D:D,"&lt;="&amp;D420,C:C,C420))</f>
        <v>0</v>
      </c>
      <c r="AM420" s="111">
        <f t="shared" si="138"/>
        <v>0</v>
      </c>
      <c r="AN420" s="111">
        <f t="shared" si="131"/>
        <v>0</v>
      </c>
      <c r="AO420" s="204" t="str">
        <f t="shared" ref="AO420:AO483" si="141">IF(M420+AJ420&lt;=0,"",IFERROR(AN420/(SUM(M420,M450,M435,AJ420,AJ450,AJ435)/3),""))</f>
        <v/>
      </c>
    </row>
    <row r="421" spans="1:41" hidden="1" x14ac:dyDescent="0.25">
      <c r="A421" s="103" t="str">
        <f>Start!D$7</f>
        <v>Anyland</v>
      </c>
      <c r="B421" s="109" t="str">
        <f>VLOOKUP(A421,list!B:C,2,FALSE)</f>
        <v>ANY</v>
      </c>
      <c r="C421" s="109" t="str">
        <f>IF(Start!$C$28="","",Start!$C$28)</f>
        <v/>
      </c>
      <c r="D421" s="298">
        <f t="shared" si="132"/>
        <v>45017</v>
      </c>
      <c r="E421" s="105" t="str">
        <f>IFERROR(VLOOKUP(C421,Start!C$15:D$31,2,FALSE),"No")</f>
        <v>No</v>
      </c>
      <c r="F421" s="105">
        <f t="shared" si="133"/>
        <v>0</v>
      </c>
      <c r="G421" s="106"/>
      <c r="H421" s="106"/>
      <c r="I421" s="106"/>
      <c r="J421" s="105">
        <f t="shared" si="125"/>
        <v>0</v>
      </c>
      <c r="K421" s="106"/>
      <c r="L421" s="177" t="str">
        <f t="shared" si="126"/>
        <v/>
      </c>
      <c r="M421" s="105">
        <f t="shared" si="127"/>
        <v>0</v>
      </c>
      <c r="N421" s="110"/>
      <c r="O421" s="124"/>
      <c r="P421" s="110"/>
      <c r="Q421" s="124"/>
      <c r="R421" s="111">
        <f>SUMIFS('Shipments data'!L:L,'Shipments data'!F:F,'Supply planning data'!C421,'Shipments data'!A:A,'Supply planning data'!A421,'Shipments data'!Y:Y,'Supply planning data'!D421,'Shipments data'!O:O,"received", 'Shipments data'!N:N, "Public")</f>
        <v>0</v>
      </c>
      <c r="S421" s="111">
        <f>SUMIFS('Shipments data'!L:L,'Shipments data'!F:F,'Supply planning data'!C421,'Shipments data'!A:A,'Supply planning data'!A421,'Shipments data'!Y:Y,'Supply planning data'!D421,'Shipments data'!O:O,"ordered", 'Shipments data'!N:N, "Public")</f>
        <v>0</v>
      </c>
      <c r="T421" s="111">
        <f>IF(SUMIFS('Shipments data'!L:L,'Shipments data'!F:F,'Supply planning data'!C421,'Shipments data'!A:A,'Supply planning data'!A421,'Shipments data'!O:O,"received",'Shipments data'!Q:Q,"&lt;"&amp;'Supply planning data'!D436,'Shipments data'!AC:AC,"&lt;"&amp;'Supply planning data'!D436)-SUMIFS(M:M,D:D,"&lt;="&amp;D421,C:C,C421)+SUMIFS(N:N,D:D,"&lt;="&amp;D421,C:C,C421)+SUMIFS(P:P,D:D,"&lt;="&amp;D421,C:C,C421)&lt;0,0,SUMIFS('Shipments data'!L:L,'Shipments data'!F:F,'Supply planning data'!C421,'Shipments data'!A:A,'Supply planning data'!A421,'Shipments data'!O:O,"received",'Shipments data'!Q:Q,"&lt;"&amp;'Supply planning data'!D436,'Shipments data'!AC:AC,"&lt;"&amp;'Supply planning data'!D436)-SUMIFS(M:M,D:D,"&lt;="&amp;D421,C:C,C421)+SUMIFS(N:N,D:D,"&lt;="&amp;D421,C:C,C421)+SUMIFS(P:P,D:D,"&lt;="&amp;D421,C:C,C421))</f>
        <v>0</v>
      </c>
      <c r="U421" s="112">
        <f t="shared" si="134"/>
        <v>0</v>
      </c>
      <c r="V421" s="111">
        <f t="shared" si="124"/>
        <v>0</v>
      </c>
      <c r="W421" s="204" t="str">
        <f t="shared" si="140"/>
        <v/>
      </c>
      <c r="X421" s="111">
        <f t="shared" si="135"/>
        <v>0</v>
      </c>
      <c r="Y421" s="110"/>
      <c r="Z421" s="107"/>
      <c r="AA421" s="111">
        <f t="shared" si="128"/>
        <v>0</v>
      </c>
      <c r="AB421" s="235"/>
      <c r="AC421" s="111">
        <f>IF(SUMIFS('Shipments data'!L:L,'Shipments data'!F:F,'Supply planning data'!C421,'Shipments data'!A:A,'Supply planning data'!A421,'Shipments data'!O:O,"received",'Shipments data'!Q:Q,"&lt;"&amp;'Supply planning data'!D436,'Shipments data'!AC:AC,"&lt;"&amp;'Supply planning data'!D436)-SUMIFS(M:M,D:D,"&lt;="&amp;D421,C:C,C421)-SUMIFS(AA:AA,D:D,"&lt;="&amp;D421,C:C,C421)+SUMIFS(N:N,D:D,"&lt;="&amp;D421,C:C,C421)+SUMIFS(P:P,D:D,"&lt;="&amp;D421,C:C,C421)&lt;0,0,SUMIFS('Shipments data'!L:L,'Shipments data'!F:F,'Supply planning data'!C421,'Shipments data'!A:A,'Supply planning data'!A421,'Shipments data'!O:O,"received",'Shipments data'!Q:Q,"&lt;"&amp;'Supply planning data'!D436,'Shipments data'!AC:AC,"&lt;"&amp;'Supply planning data'!D436)-SUMIFS(M:M,D:D,"&lt;="&amp;D421,C:C,C421)-SUMIFS(AA:AA,D:D,"&lt;="&amp;D421,C:C,C421)+SUMIFS(N:N,D:D,"&lt;="&amp;D421,C:C,C421)+SUMIFS(P:P,D:D,"&lt;="&amp;D421,C:C,C421))</f>
        <v>0</v>
      </c>
      <c r="AD421" s="111">
        <f t="shared" si="136"/>
        <v>0</v>
      </c>
      <c r="AE421" s="111">
        <f t="shared" si="130"/>
        <v>0</v>
      </c>
      <c r="AF421" s="204" t="str">
        <f t="shared" si="139"/>
        <v/>
      </c>
      <c r="AG421" s="111">
        <f t="shared" si="137"/>
        <v>0</v>
      </c>
      <c r="AH421" s="110"/>
      <c r="AI421" s="313"/>
      <c r="AJ421" s="111">
        <f t="shared" si="129"/>
        <v>0</v>
      </c>
      <c r="AK421" s="235"/>
      <c r="AL421" s="111">
        <f>IF(SUMIFS('Shipments data'!L:L,'Shipments data'!F:F,'Supply planning data'!C421,'Shipments data'!A:A,'Supply planning data'!A421,'Shipments data'!O:O,"received",'Shipments data'!Q:Q,"&lt;"&amp;'Supply planning data'!D436,'Shipments data'!AC:AC,"&lt;"&amp;'Supply planning data'!D436)-SUMIFS(M:M,D:D,"&lt;="&amp;D421,C:C,C421)-SUMIFS(AJ:AJ,D:D,"&lt;="&amp;D421,C:C,C421)+SUMIFS(N:N,D:D,"&lt;="&amp;D421,C:C,C421)+SUMIFS(P:P,D:D,"&lt;="&amp;D421,C:C,C421)&lt;0,0,SUMIFS('Shipments data'!L:L,'Shipments data'!F:F,'Supply planning data'!C421,'Shipments data'!A:A,'Supply planning data'!A421,'Shipments data'!O:O,"received",'Shipments data'!Q:Q,"&lt;"&amp;'Supply planning data'!D436,'Shipments data'!AC:AC,"&lt;"&amp;'Supply planning data'!D436)-SUMIFS(M:M,D:D,"&lt;="&amp;D421,C:C,C421)-SUMIFS(AJ:AJ,D:D,"&lt;="&amp;D421,C:C,C421)+SUMIFS(N:N,D:D,"&lt;="&amp;D421,C:C,C421)+SUMIFS(P:P,D:D,"&lt;="&amp;D421,C:C,C421))</f>
        <v>0</v>
      </c>
      <c r="AM421" s="111">
        <f t="shared" si="138"/>
        <v>0</v>
      </c>
      <c r="AN421" s="111">
        <f t="shared" si="131"/>
        <v>0</v>
      </c>
      <c r="AO421" s="204" t="str">
        <f t="shared" si="141"/>
        <v/>
      </c>
    </row>
    <row r="422" spans="1:41" hidden="1" x14ac:dyDescent="0.25">
      <c r="A422" s="103" t="str">
        <f>Start!D$7</f>
        <v>Anyland</v>
      </c>
      <c r="B422" s="109" t="str">
        <f>VLOOKUP(A422,list!B:C,2,FALSE)</f>
        <v>ANY</v>
      </c>
      <c r="C422" s="104" t="str">
        <f>IF(Start!$C$29="","",Start!$C$29)</f>
        <v/>
      </c>
      <c r="D422" s="298">
        <f t="shared" si="132"/>
        <v>45017</v>
      </c>
      <c r="E422" s="105" t="str">
        <f>IFERROR(VLOOKUP(C422,Start!C$15:D$31,2,FALSE),"No")</f>
        <v>No</v>
      </c>
      <c r="F422" s="105">
        <f t="shared" si="133"/>
        <v>0</v>
      </c>
      <c r="G422" s="106"/>
      <c r="H422" s="106"/>
      <c r="I422" s="106"/>
      <c r="J422" s="105">
        <f t="shared" si="125"/>
        <v>0</v>
      </c>
      <c r="K422" s="106"/>
      <c r="L422" s="177" t="str">
        <f t="shared" si="126"/>
        <v/>
      </c>
      <c r="M422" s="105">
        <f t="shared" si="127"/>
        <v>0</v>
      </c>
      <c r="N422" s="110"/>
      <c r="O422" s="124"/>
      <c r="P422" s="110"/>
      <c r="Q422" s="124"/>
      <c r="R422" s="111">
        <f>SUMIFS('Shipments data'!L:L,'Shipments data'!F:F,'Supply planning data'!C422,'Shipments data'!A:A,'Supply planning data'!A422,'Shipments data'!Y:Y,'Supply planning data'!D422,'Shipments data'!O:O,"received", 'Shipments data'!N:N, "Public")</f>
        <v>0</v>
      </c>
      <c r="S422" s="111">
        <f>SUMIFS('Shipments data'!L:L,'Shipments data'!F:F,'Supply planning data'!C422,'Shipments data'!A:A,'Supply planning data'!A422,'Shipments data'!Y:Y,'Supply planning data'!D422,'Shipments data'!O:O,"ordered", 'Shipments data'!N:N, "Public")</f>
        <v>0</v>
      </c>
      <c r="T422" s="111">
        <f>IF(SUMIFS('Shipments data'!L:L,'Shipments data'!F:F,'Supply planning data'!C422,'Shipments data'!A:A,'Supply planning data'!A422,'Shipments data'!O:O,"received",'Shipments data'!Q:Q,"&lt;"&amp;'Supply planning data'!D437,'Shipments data'!AC:AC,"&lt;"&amp;'Supply planning data'!D437)-SUMIFS(M:M,D:D,"&lt;="&amp;D422,C:C,C422)+SUMIFS(N:N,D:D,"&lt;="&amp;D422,C:C,C422)+SUMIFS(P:P,D:D,"&lt;="&amp;D422,C:C,C422)&lt;0,0,SUMIFS('Shipments data'!L:L,'Shipments data'!F:F,'Supply planning data'!C422,'Shipments data'!A:A,'Supply planning data'!A422,'Shipments data'!O:O,"received",'Shipments data'!Q:Q,"&lt;"&amp;'Supply planning data'!D437,'Shipments data'!AC:AC,"&lt;"&amp;'Supply planning data'!D437)-SUMIFS(M:M,D:D,"&lt;="&amp;D422,C:C,C422)+SUMIFS(N:N,D:D,"&lt;="&amp;D422,C:C,C422)+SUMIFS(P:P,D:D,"&lt;="&amp;D422,C:C,C422))</f>
        <v>0</v>
      </c>
      <c r="U422" s="112">
        <f t="shared" si="134"/>
        <v>0</v>
      </c>
      <c r="V422" s="111">
        <f t="shared" si="124"/>
        <v>0</v>
      </c>
      <c r="W422" s="204" t="str">
        <f t="shared" si="140"/>
        <v/>
      </c>
      <c r="X422" s="111">
        <f t="shared" si="135"/>
        <v>0</v>
      </c>
      <c r="Y422" s="110"/>
      <c r="Z422" s="107"/>
      <c r="AA422" s="111">
        <f t="shared" si="128"/>
        <v>0</v>
      </c>
      <c r="AB422" s="235"/>
      <c r="AC422" s="111">
        <f>IF(SUMIFS('Shipments data'!L:L,'Shipments data'!F:F,'Supply planning data'!C422,'Shipments data'!A:A,'Supply planning data'!A422,'Shipments data'!O:O,"received",'Shipments data'!Q:Q,"&lt;"&amp;'Supply planning data'!D437,'Shipments data'!AC:AC,"&lt;"&amp;'Supply planning data'!D437)-SUMIFS(M:M,D:D,"&lt;="&amp;D422,C:C,C422)-SUMIFS(AA:AA,D:D,"&lt;="&amp;D422,C:C,C422)+SUMIFS(N:N,D:D,"&lt;="&amp;D422,C:C,C422)+SUMIFS(P:P,D:D,"&lt;="&amp;D422,C:C,C422)&lt;0,0,SUMIFS('Shipments data'!L:L,'Shipments data'!F:F,'Supply planning data'!C422,'Shipments data'!A:A,'Supply planning data'!A422,'Shipments data'!O:O,"received",'Shipments data'!Q:Q,"&lt;"&amp;'Supply planning data'!D437,'Shipments data'!AC:AC,"&lt;"&amp;'Supply planning data'!D437)-SUMIFS(M:M,D:D,"&lt;="&amp;D422,C:C,C422)-SUMIFS(AA:AA,D:D,"&lt;="&amp;D422,C:C,C422)+SUMIFS(N:N,D:D,"&lt;="&amp;D422,C:C,C422)+SUMIFS(P:P,D:D,"&lt;="&amp;D422,C:C,C422))</f>
        <v>0</v>
      </c>
      <c r="AD422" s="111">
        <f t="shared" si="136"/>
        <v>0</v>
      </c>
      <c r="AE422" s="111">
        <f t="shared" si="130"/>
        <v>0</v>
      </c>
      <c r="AF422" s="204" t="str">
        <f t="shared" si="139"/>
        <v/>
      </c>
      <c r="AG422" s="111">
        <f t="shared" si="137"/>
        <v>0</v>
      </c>
      <c r="AH422" s="110"/>
      <c r="AI422" s="313"/>
      <c r="AJ422" s="111">
        <f t="shared" si="129"/>
        <v>0</v>
      </c>
      <c r="AK422" s="235"/>
      <c r="AL422" s="111">
        <f>IF(SUMIFS('Shipments data'!L:L,'Shipments data'!F:F,'Supply planning data'!C422,'Shipments data'!A:A,'Supply planning data'!A422,'Shipments data'!O:O,"received",'Shipments data'!Q:Q,"&lt;"&amp;'Supply planning data'!D437,'Shipments data'!AC:AC,"&lt;"&amp;'Supply planning data'!D437)-SUMIFS(M:M,D:D,"&lt;="&amp;D422,C:C,C422)-SUMIFS(AJ:AJ,D:D,"&lt;="&amp;D422,C:C,C422)+SUMIFS(N:N,D:D,"&lt;="&amp;D422,C:C,C422)+SUMIFS(P:P,D:D,"&lt;="&amp;D422,C:C,C422)&lt;0,0,SUMIFS('Shipments data'!L:L,'Shipments data'!F:F,'Supply planning data'!C422,'Shipments data'!A:A,'Supply planning data'!A422,'Shipments data'!O:O,"received",'Shipments data'!Q:Q,"&lt;"&amp;'Supply planning data'!D437,'Shipments data'!AC:AC,"&lt;"&amp;'Supply planning data'!D437)-SUMIFS(M:M,D:D,"&lt;="&amp;D422,C:C,C422)-SUMIFS(AJ:AJ,D:D,"&lt;="&amp;D422,C:C,C422)+SUMIFS(N:N,D:D,"&lt;="&amp;D422,C:C,C422)+SUMIFS(P:P,D:D,"&lt;="&amp;D422,C:C,C422))</f>
        <v>0</v>
      </c>
      <c r="AM422" s="111">
        <f t="shared" si="138"/>
        <v>0</v>
      </c>
      <c r="AN422" s="111">
        <f t="shared" si="131"/>
        <v>0</v>
      </c>
      <c r="AO422" s="204" t="str">
        <f t="shared" si="141"/>
        <v/>
      </c>
    </row>
    <row r="423" spans="1:41" hidden="1" x14ac:dyDescent="0.25">
      <c r="A423" s="103" t="str">
        <f>Start!D$7</f>
        <v>Anyland</v>
      </c>
      <c r="B423" s="109" t="str">
        <f>VLOOKUP(A423,list!B:C,2,FALSE)</f>
        <v>ANY</v>
      </c>
      <c r="C423" s="109" t="str">
        <f>IF(Start!$C$30="","",Start!$C$30)</f>
        <v/>
      </c>
      <c r="D423" s="298">
        <f t="shared" si="132"/>
        <v>45017</v>
      </c>
      <c r="E423" s="105" t="str">
        <f>IFERROR(VLOOKUP(C423,Start!C$15:D$31,2,FALSE),"No")</f>
        <v>No</v>
      </c>
      <c r="F423" s="105">
        <f t="shared" si="133"/>
        <v>0</v>
      </c>
      <c r="G423" s="106"/>
      <c r="H423" s="106"/>
      <c r="I423" s="106"/>
      <c r="J423" s="105">
        <f t="shared" si="125"/>
        <v>0</v>
      </c>
      <c r="K423" s="106"/>
      <c r="L423" s="177" t="str">
        <f t="shared" si="126"/>
        <v/>
      </c>
      <c r="M423" s="105">
        <f t="shared" si="127"/>
        <v>0</v>
      </c>
      <c r="N423" s="110"/>
      <c r="O423" s="124"/>
      <c r="P423" s="110"/>
      <c r="Q423" s="124"/>
      <c r="R423" s="111">
        <f>SUMIFS('Shipments data'!L:L,'Shipments data'!F:F,'Supply planning data'!C423,'Shipments data'!A:A,'Supply planning data'!A423,'Shipments data'!Y:Y,'Supply planning data'!D423,'Shipments data'!O:O,"received", 'Shipments data'!N:N, "Public")</f>
        <v>0</v>
      </c>
      <c r="S423" s="111">
        <f>SUMIFS('Shipments data'!L:L,'Shipments data'!F:F,'Supply planning data'!C423,'Shipments data'!A:A,'Supply planning data'!A423,'Shipments data'!Y:Y,'Supply planning data'!D423,'Shipments data'!O:O,"ordered", 'Shipments data'!N:N, "Public")</f>
        <v>0</v>
      </c>
      <c r="T423" s="111">
        <f>IF(SUMIFS('Shipments data'!L:L,'Shipments data'!F:F,'Supply planning data'!C423,'Shipments data'!A:A,'Supply planning data'!A423,'Shipments data'!O:O,"received",'Shipments data'!Q:Q,"&lt;"&amp;'Supply planning data'!D438,'Shipments data'!AC:AC,"&lt;"&amp;'Supply planning data'!D438)-SUMIFS(M:M,D:D,"&lt;="&amp;D423,C:C,C423)+SUMIFS(N:N,D:D,"&lt;="&amp;D423,C:C,C423)+SUMIFS(P:P,D:D,"&lt;="&amp;D423,C:C,C423)&lt;0,0,SUMIFS('Shipments data'!L:L,'Shipments data'!F:F,'Supply planning data'!C423,'Shipments data'!A:A,'Supply planning data'!A423,'Shipments data'!O:O,"received",'Shipments data'!Q:Q,"&lt;"&amp;'Supply planning data'!D438,'Shipments data'!AC:AC,"&lt;"&amp;'Supply planning data'!D438)-SUMIFS(M:M,D:D,"&lt;="&amp;D423,C:C,C423)+SUMIFS(N:N,D:D,"&lt;="&amp;D423,C:C,C423)+SUMIFS(P:P,D:D,"&lt;="&amp;D423,C:C,C423))</f>
        <v>0</v>
      </c>
      <c r="U423" s="112">
        <f t="shared" si="134"/>
        <v>0</v>
      </c>
      <c r="V423" s="111">
        <f t="shared" si="124"/>
        <v>0</v>
      </c>
      <c r="W423" s="204" t="str">
        <f t="shared" si="140"/>
        <v/>
      </c>
      <c r="X423" s="111">
        <f t="shared" si="135"/>
        <v>0</v>
      </c>
      <c r="Y423" s="110"/>
      <c r="Z423" s="107"/>
      <c r="AA423" s="111">
        <f t="shared" si="128"/>
        <v>0</v>
      </c>
      <c r="AB423" s="235"/>
      <c r="AC423" s="111">
        <f>IF(SUMIFS('Shipments data'!L:L,'Shipments data'!F:F,'Supply planning data'!C423,'Shipments data'!A:A,'Supply planning data'!A423,'Shipments data'!O:O,"received",'Shipments data'!Q:Q,"&lt;"&amp;'Supply planning data'!D438,'Shipments data'!AC:AC,"&lt;"&amp;'Supply planning data'!D438)-SUMIFS(M:M,D:D,"&lt;="&amp;D423,C:C,C423)-SUMIFS(AA:AA,D:D,"&lt;="&amp;D423,C:C,C423)+SUMIFS(N:N,D:D,"&lt;="&amp;D423,C:C,C423)+SUMIFS(P:P,D:D,"&lt;="&amp;D423,C:C,C423)&lt;0,0,SUMIFS('Shipments data'!L:L,'Shipments data'!F:F,'Supply planning data'!C423,'Shipments data'!A:A,'Supply planning data'!A423,'Shipments data'!O:O,"received",'Shipments data'!Q:Q,"&lt;"&amp;'Supply planning data'!D438,'Shipments data'!AC:AC,"&lt;"&amp;'Supply planning data'!D438)-SUMIFS(M:M,D:D,"&lt;="&amp;D423,C:C,C423)-SUMIFS(AA:AA,D:D,"&lt;="&amp;D423,C:C,C423)+SUMIFS(N:N,D:D,"&lt;="&amp;D423,C:C,C423)+SUMIFS(P:P,D:D,"&lt;="&amp;D423,C:C,C423))</f>
        <v>0</v>
      </c>
      <c r="AD423" s="111">
        <f t="shared" si="136"/>
        <v>0</v>
      </c>
      <c r="AE423" s="111">
        <f t="shared" si="130"/>
        <v>0</v>
      </c>
      <c r="AF423" s="204" t="str">
        <f t="shared" si="139"/>
        <v/>
      </c>
      <c r="AG423" s="111">
        <f t="shared" si="137"/>
        <v>0</v>
      </c>
      <c r="AH423" s="110"/>
      <c r="AI423" s="313"/>
      <c r="AJ423" s="111">
        <f t="shared" si="129"/>
        <v>0</v>
      </c>
      <c r="AK423" s="235"/>
      <c r="AL423" s="111">
        <f>IF(SUMIFS('Shipments data'!L:L,'Shipments data'!F:F,'Supply planning data'!C423,'Shipments data'!A:A,'Supply planning data'!A423,'Shipments data'!O:O,"received",'Shipments data'!Q:Q,"&lt;"&amp;'Supply planning data'!D438,'Shipments data'!AC:AC,"&lt;"&amp;'Supply planning data'!D438)-SUMIFS(M:M,D:D,"&lt;="&amp;D423,C:C,C423)-SUMIFS(AJ:AJ,D:D,"&lt;="&amp;D423,C:C,C423)+SUMIFS(N:N,D:D,"&lt;="&amp;D423,C:C,C423)+SUMIFS(P:P,D:D,"&lt;="&amp;D423,C:C,C423)&lt;0,0,SUMIFS('Shipments data'!L:L,'Shipments data'!F:F,'Supply planning data'!C423,'Shipments data'!A:A,'Supply planning data'!A423,'Shipments data'!O:O,"received",'Shipments data'!Q:Q,"&lt;"&amp;'Supply planning data'!D438,'Shipments data'!AC:AC,"&lt;"&amp;'Supply planning data'!D438)-SUMIFS(M:M,D:D,"&lt;="&amp;D423,C:C,C423)-SUMIFS(AJ:AJ,D:D,"&lt;="&amp;D423,C:C,C423)+SUMIFS(N:N,D:D,"&lt;="&amp;D423,C:C,C423)+SUMIFS(P:P,D:D,"&lt;="&amp;D423,C:C,C423))</f>
        <v>0</v>
      </c>
      <c r="AM423" s="111">
        <f t="shared" si="138"/>
        <v>0</v>
      </c>
      <c r="AN423" s="111">
        <f t="shared" si="131"/>
        <v>0</v>
      </c>
      <c r="AO423" s="204" t="str">
        <f t="shared" si="141"/>
        <v/>
      </c>
    </row>
    <row r="424" spans="1:41" hidden="1" x14ac:dyDescent="0.25">
      <c r="A424" s="113" t="str">
        <f>Start!D$7</f>
        <v>Anyland</v>
      </c>
      <c r="B424" s="114" t="str">
        <f>VLOOKUP(A424,list!B:C,2,FALSE)</f>
        <v>ANY</v>
      </c>
      <c r="C424" s="104" t="str">
        <f>IF(Start!$C$31="","",Start!$C$31)</f>
        <v/>
      </c>
      <c r="D424" s="298">
        <f t="shared" si="132"/>
        <v>45017</v>
      </c>
      <c r="E424" s="105" t="str">
        <f>IFERROR(VLOOKUP(C424,Start!C$15:D$31,2,FALSE),"No")</f>
        <v>No</v>
      </c>
      <c r="F424" s="105">
        <f t="shared" si="133"/>
        <v>0</v>
      </c>
      <c r="G424" s="106"/>
      <c r="H424" s="106"/>
      <c r="I424" s="106"/>
      <c r="J424" s="105">
        <f t="shared" si="125"/>
        <v>0</v>
      </c>
      <c r="K424" s="106"/>
      <c r="L424" s="177" t="str">
        <f t="shared" si="126"/>
        <v/>
      </c>
      <c r="M424" s="105">
        <f t="shared" si="127"/>
        <v>0</v>
      </c>
      <c r="N424" s="110"/>
      <c r="O424" s="124"/>
      <c r="P424" s="110"/>
      <c r="Q424" s="124"/>
      <c r="R424" s="111">
        <f>SUMIFS('Shipments data'!L:L,'Shipments data'!F:F,'Supply planning data'!C424,'Shipments data'!A:A,'Supply planning data'!A424,'Shipments data'!Y:Y,'Supply planning data'!D424,'Shipments data'!O:O,"received", 'Shipments data'!N:N, "Public")</f>
        <v>0</v>
      </c>
      <c r="S424" s="111">
        <f>SUMIFS('Shipments data'!L:L,'Shipments data'!F:F,'Supply planning data'!C424,'Shipments data'!A:A,'Supply planning data'!A424,'Shipments data'!Y:Y,'Supply planning data'!D424,'Shipments data'!O:O,"ordered", 'Shipments data'!N:N, "Public")</f>
        <v>0</v>
      </c>
      <c r="T424" s="111">
        <f>IF(SUMIFS('Shipments data'!L:L,'Shipments data'!F:F,'Supply planning data'!C424,'Shipments data'!A:A,'Supply planning data'!A424,'Shipments data'!O:O,"received",'Shipments data'!Q:Q,"&lt;"&amp;'Supply planning data'!D439,'Shipments data'!AC:AC,"&lt;"&amp;'Supply planning data'!D439)-SUMIFS(M:M,D:D,"&lt;="&amp;D424,C:C,C424)+SUMIFS(N:N,D:D,"&lt;="&amp;D424,C:C,C424)+SUMIFS(P:P,D:D,"&lt;="&amp;D424,C:C,C424)&lt;0,0,SUMIFS('Shipments data'!L:L,'Shipments data'!F:F,'Supply planning data'!C424,'Shipments data'!A:A,'Supply planning data'!A424,'Shipments data'!O:O,"received",'Shipments data'!Q:Q,"&lt;"&amp;'Supply planning data'!D439,'Shipments data'!AC:AC,"&lt;"&amp;'Supply planning data'!D439)-SUMIFS(M:M,D:D,"&lt;="&amp;D424,C:C,C424)+SUMIFS(N:N,D:D,"&lt;="&amp;D424,C:C,C424)+SUMIFS(P:P,D:D,"&lt;="&amp;D424,C:C,C424))</f>
        <v>0</v>
      </c>
      <c r="U424" s="112">
        <f t="shared" si="134"/>
        <v>0</v>
      </c>
      <c r="V424" s="111">
        <f t="shared" si="124"/>
        <v>0</v>
      </c>
      <c r="W424" s="204" t="str">
        <f t="shared" si="140"/>
        <v/>
      </c>
      <c r="X424" s="111">
        <f t="shared" si="135"/>
        <v>0</v>
      </c>
      <c r="Y424" s="110"/>
      <c r="Z424" s="107"/>
      <c r="AA424" s="111">
        <f t="shared" si="128"/>
        <v>0</v>
      </c>
      <c r="AB424" s="235"/>
      <c r="AC424" s="111">
        <f>IF(SUMIFS('Shipments data'!L:L,'Shipments data'!F:F,'Supply planning data'!C424,'Shipments data'!A:A,'Supply planning data'!A424,'Shipments data'!O:O,"received",'Shipments data'!Q:Q,"&lt;"&amp;'Supply planning data'!D439,'Shipments data'!AC:AC,"&lt;"&amp;'Supply planning data'!D439)-SUMIFS(M:M,D:D,"&lt;="&amp;D424,C:C,C424)-SUMIFS(AA:AA,D:D,"&lt;="&amp;D424,C:C,C424)+SUMIFS(N:N,D:D,"&lt;="&amp;D424,C:C,C424)+SUMIFS(P:P,D:D,"&lt;="&amp;D424,C:C,C424)&lt;0,0,SUMIFS('Shipments data'!L:L,'Shipments data'!F:F,'Supply planning data'!C424,'Shipments data'!A:A,'Supply planning data'!A424,'Shipments data'!O:O,"received",'Shipments data'!Q:Q,"&lt;"&amp;'Supply planning data'!D439,'Shipments data'!AC:AC,"&lt;"&amp;'Supply planning data'!D439)-SUMIFS(M:M,D:D,"&lt;="&amp;D424,C:C,C424)-SUMIFS(AA:AA,D:D,"&lt;="&amp;D424,C:C,C424)+SUMIFS(N:N,D:D,"&lt;="&amp;D424,C:C,C424)+SUMIFS(P:P,D:D,"&lt;="&amp;D424,C:C,C424))</f>
        <v>0</v>
      </c>
      <c r="AD424" s="111">
        <f t="shared" si="136"/>
        <v>0</v>
      </c>
      <c r="AE424" s="111">
        <f t="shared" si="130"/>
        <v>0</v>
      </c>
      <c r="AF424" s="204" t="str">
        <f t="shared" si="139"/>
        <v/>
      </c>
      <c r="AG424" s="111">
        <f t="shared" si="137"/>
        <v>0</v>
      </c>
      <c r="AH424" s="110"/>
      <c r="AI424" s="313"/>
      <c r="AJ424" s="111">
        <f t="shared" si="129"/>
        <v>0</v>
      </c>
      <c r="AK424" s="235"/>
      <c r="AL424" s="111">
        <f>IF(SUMIFS('Shipments data'!L:L,'Shipments data'!F:F,'Supply planning data'!C424,'Shipments data'!A:A,'Supply planning data'!A424,'Shipments data'!O:O,"received",'Shipments data'!Q:Q,"&lt;"&amp;'Supply planning data'!D439,'Shipments data'!AC:AC,"&lt;"&amp;'Supply planning data'!D439)-SUMIFS(M:M,D:D,"&lt;="&amp;D424,C:C,C424)-SUMIFS(AJ:AJ,D:D,"&lt;="&amp;D424,C:C,C424)+SUMIFS(N:N,D:D,"&lt;="&amp;D424,C:C,C424)+SUMIFS(P:P,D:D,"&lt;="&amp;D424,C:C,C424)&lt;0,0,SUMIFS('Shipments data'!L:L,'Shipments data'!F:F,'Supply planning data'!C424,'Shipments data'!A:A,'Supply planning data'!A424,'Shipments data'!O:O,"received",'Shipments data'!Q:Q,"&lt;"&amp;'Supply planning data'!D439,'Shipments data'!AC:AC,"&lt;"&amp;'Supply planning data'!D439)-SUMIFS(M:M,D:D,"&lt;="&amp;D424,C:C,C424)-SUMIFS(AJ:AJ,D:D,"&lt;="&amp;D424,C:C,C424)+SUMIFS(N:N,D:D,"&lt;="&amp;D424,C:C,C424)+SUMIFS(P:P,D:D,"&lt;="&amp;D424,C:C,C424))</f>
        <v>0</v>
      </c>
      <c r="AM424" s="111">
        <f t="shared" si="138"/>
        <v>0</v>
      </c>
      <c r="AN424" s="111">
        <f t="shared" si="131"/>
        <v>0</v>
      </c>
      <c r="AO424" s="204" t="str">
        <f t="shared" si="141"/>
        <v/>
      </c>
    </row>
    <row r="425" spans="1:41" x14ac:dyDescent="0.25">
      <c r="A425" s="89" t="str">
        <f>Start!D$7</f>
        <v>Anyland</v>
      </c>
      <c r="B425" s="90" t="str">
        <f>VLOOKUP(A425,list!B:C,2,FALSE)</f>
        <v>ANY</v>
      </c>
      <c r="C425" s="90" t="str">
        <f>IF(Start!$C$17="","",Start!$C$17)</f>
        <v>AstraZeneca</v>
      </c>
      <c r="D425" s="296">
        <f t="shared" si="132"/>
        <v>45047</v>
      </c>
      <c r="E425" s="92" t="str">
        <f>IFERROR(VLOOKUP(C425,Start!C$15:D$31,2,FALSE),"No")</f>
        <v>Yes</v>
      </c>
      <c r="F425" s="92">
        <f t="shared" si="133"/>
        <v>0</v>
      </c>
      <c r="G425" s="91"/>
      <c r="H425" s="91"/>
      <c r="I425" s="91"/>
      <c r="J425" s="92">
        <f t="shared" si="125"/>
        <v>0</v>
      </c>
      <c r="K425" s="91"/>
      <c r="L425" s="174" t="str">
        <f t="shared" si="126"/>
        <v/>
      </c>
      <c r="M425" s="92">
        <f t="shared" si="127"/>
        <v>0</v>
      </c>
      <c r="N425" s="91"/>
      <c r="O425" s="121"/>
      <c r="P425" s="91"/>
      <c r="Q425" s="121"/>
      <c r="R425" s="92">
        <f>SUMIFS('Shipments data'!L:L,'Shipments data'!F:F,'Supply planning data'!C425,'Shipments data'!A:A,'Supply planning data'!A425,'Shipments data'!Y:Y,'Supply planning data'!D425,'Shipments data'!O:O,"received", 'Shipments data'!N:N, "Public")</f>
        <v>0</v>
      </c>
      <c r="S425" s="92">
        <f>SUMIFS('Shipments data'!L:L,'Shipments data'!F:F,'Supply planning data'!C425,'Shipments data'!A:A,'Supply planning data'!A425,'Shipments data'!Y:Y,'Supply planning data'!D425,'Shipments data'!O:O,"ordered", 'Shipments data'!N:N, "Public")</f>
        <v>0</v>
      </c>
      <c r="T425" s="92">
        <f>IF(SUMIFS('Shipments data'!L:L,'Shipments data'!F:F,'Supply planning data'!C425,'Shipments data'!A:A,'Supply planning data'!A425,'Shipments data'!O:O,"received",'Shipments data'!Q:Q,"&lt;"&amp;'Supply planning data'!D440,'Shipments data'!AC:AC,"&lt;"&amp;'Supply planning data'!D440)-SUMIFS(M:M,D:D,"&lt;="&amp;D425,C:C,C425)+SUMIFS(N:N,D:D,"&lt;="&amp;D425,C:C,C425)+SUMIFS(P:P,D:D,"&lt;="&amp;D425,C:C,C425)&lt;0,0,SUMIFS('Shipments data'!L:L,'Shipments data'!F:F,'Supply planning data'!C425,'Shipments data'!A:A,'Supply planning data'!A425,'Shipments data'!O:O,"received",'Shipments data'!Q:Q,"&lt;"&amp;'Supply planning data'!D440,'Shipments data'!AC:AC,"&lt;"&amp;'Supply planning data'!D440)-SUMIFS(M:M,D:D,"&lt;="&amp;D425,C:C,C425)+SUMIFS(N:N,D:D,"&lt;="&amp;D425,C:C,C425)+SUMIFS(P:P,D:D,"&lt;="&amp;D425,C:C,C425))</f>
        <v>0</v>
      </c>
      <c r="U425" s="94">
        <f t="shared" si="134"/>
        <v>0</v>
      </c>
      <c r="V425" s="92">
        <f t="shared" si="124"/>
        <v>0</v>
      </c>
      <c r="W425" s="205" t="str">
        <f t="shared" si="140"/>
        <v/>
      </c>
      <c r="X425" s="92">
        <f t="shared" si="135"/>
        <v>154701</v>
      </c>
      <c r="Y425" s="91"/>
      <c r="Z425" s="93"/>
      <c r="AA425" s="92">
        <f t="shared" si="128"/>
        <v>0</v>
      </c>
      <c r="AB425" s="232"/>
      <c r="AC425" s="92">
        <f>IF(SUMIFS('Shipments data'!L:L,'Shipments data'!F:F,'Supply planning data'!C425,'Shipments data'!A:A,'Supply planning data'!A425,'Shipments data'!O:O,"received",'Shipments data'!Q:Q,"&lt;"&amp;'Supply planning data'!D440,'Shipments data'!AC:AC,"&lt;"&amp;'Supply planning data'!D440)-SUMIFS(M:M,D:D,"&lt;="&amp;D425,C:C,C425)-SUMIFS(AA:AA,D:D,"&lt;="&amp;D425,C:C,C425)+SUMIFS(N:N,D:D,"&lt;="&amp;D425,C:C,C425)+SUMIFS(P:P,D:D,"&lt;="&amp;D425,C:C,C425)&lt;0,0,SUMIFS('Shipments data'!L:L,'Shipments data'!F:F,'Supply planning data'!C425,'Shipments data'!A:A,'Supply planning data'!A425,'Shipments data'!O:O,"received",'Shipments data'!Q:Q,"&lt;"&amp;'Supply planning data'!D440,'Shipments data'!AC:AC,"&lt;"&amp;'Supply planning data'!D440)-SUMIFS(M:M,D:D,"&lt;="&amp;D425,C:C,C425)-SUMIFS(AA:AA,D:D,"&lt;="&amp;D425,C:C,C425)+SUMIFS(N:N,D:D,"&lt;="&amp;D425,C:C,C425)+SUMIFS(P:P,D:D,"&lt;="&amp;D425,C:C,C425))</f>
        <v>0</v>
      </c>
      <c r="AD425" s="92">
        <f t="shared" si="136"/>
        <v>0</v>
      </c>
      <c r="AE425" s="92">
        <f t="shared" si="130"/>
        <v>154701</v>
      </c>
      <c r="AF425" s="205" t="str">
        <f t="shared" si="139"/>
        <v/>
      </c>
      <c r="AG425" s="92">
        <f t="shared" si="137"/>
        <v>0</v>
      </c>
      <c r="AH425" s="91"/>
      <c r="AI425" s="310"/>
      <c r="AJ425" s="92">
        <f t="shared" si="129"/>
        <v>0</v>
      </c>
      <c r="AK425" s="232"/>
      <c r="AL425" s="92">
        <f>IF(SUMIFS('Shipments data'!L:L,'Shipments data'!F:F,'Supply planning data'!C425,'Shipments data'!A:A,'Supply planning data'!A425,'Shipments data'!O:O,"received",'Shipments data'!Q:Q,"&lt;"&amp;'Supply planning data'!D440,'Shipments data'!AC:AC,"&lt;"&amp;'Supply planning data'!D440)-SUMIFS(M:M,D:D,"&lt;="&amp;D425,C:C,C425)-SUMIFS(AJ:AJ,D:D,"&lt;="&amp;D425,C:C,C425)+SUMIFS(N:N,D:D,"&lt;="&amp;D425,C:C,C425)+SUMIFS(P:P,D:D,"&lt;="&amp;D425,C:C,C425)&lt;0,0,SUMIFS('Shipments data'!L:L,'Shipments data'!F:F,'Supply planning data'!C425,'Shipments data'!A:A,'Supply planning data'!A425,'Shipments data'!O:O,"received",'Shipments data'!Q:Q,"&lt;"&amp;'Supply planning data'!D440,'Shipments data'!AC:AC,"&lt;"&amp;'Supply planning data'!D440)-SUMIFS(M:M,D:D,"&lt;="&amp;D425,C:C,C425)-SUMIFS(AJ:AJ,D:D,"&lt;="&amp;D425,C:C,C425)+SUMIFS(N:N,D:D,"&lt;="&amp;D425,C:C,C425)+SUMIFS(P:P,D:D,"&lt;="&amp;D425,C:C,C425))</f>
        <v>0</v>
      </c>
      <c r="AM425" s="92">
        <f t="shared" si="138"/>
        <v>0</v>
      </c>
      <c r="AN425" s="92">
        <f t="shared" si="131"/>
        <v>0</v>
      </c>
      <c r="AO425" s="205" t="str">
        <f t="shared" si="141"/>
        <v/>
      </c>
    </row>
    <row r="426" spans="1:41" x14ac:dyDescent="0.25">
      <c r="A426" s="95" t="str">
        <f>Start!D$7</f>
        <v>Anyland</v>
      </c>
      <c r="B426" s="96" t="str">
        <f>VLOOKUP(A426,list!B:C,2,FALSE)</f>
        <v>ANY</v>
      </c>
      <c r="C426" s="90" t="str">
        <f>IF(Start!$C$18="","",Start!$C$18)</f>
        <v>Jansen</v>
      </c>
      <c r="D426" s="296">
        <f t="shared" si="132"/>
        <v>45047</v>
      </c>
      <c r="E426" s="92" t="str">
        <f>IFERROR(VLOOKUP(C426,Start!C$15:D$31,2,FALSE),"No")</f>
        <v>Yes</v>
      </c>
      <c r="F426" s="92">
        <f t="shared" si="133"/>
        <v>2258747</v>
      </c>
      <c r="G426" s="91"/>
      <c r="H426" s="97"/>
      <c r="I426" s="97"/>
      <c r="J426" s="98">
        <f t="shared" si="125"/>
        <v>0</v>
      </c>
      <c r="K426" s="97"/>
      <c r="L426" s="175" t="str">
        <f t="shared" si="126"/>
        <v/>
      </c>
      <c r="M426" s="98">
        <f t="shared" si="127"/>
        <v>0</v>
      </c>
      <c r="N426" s="97"/>
      <c r="O426" s="122"/>
      <c r="P426" s="97"/>
      <c r="Q426" s="122"/>
      <c r="R426" s="98">
        <f>SUMIFS('Shipments data'!L:L,'Shipments data'!F:F,'Supply planning data'!C426,'Shipments data'!A:A,'Supply planning data'!A426,'Shipments data'!Y:Y,'Supply planning data'!D426,'Shipments data'!O:O,"received", 'Shipments data'!N:N, "Public")</f>
        <v>0</v>
      </c>
      <c r="S426" s="98">
        <f>SUMIFS('Shipments data'!L:L,'Shipments data'!F:F,'Supply planning data'!C426,'Shipments data'!A:A,'Supply planning data'!A426,'Shipments data'!Y:Y,'Supply planning data'!D426,'Shipments data'!O:O,"ordered", 'Shipments data'!N:N, "Public")</f>
        <v>0</v>
      </c>
      <c r="T426" s="98">
        <f>IF(SUMIFS('Shipments data'!L:L,'Shipments data'!F:F,'Supply planning data'!C426,'Shipments data'!A:A,'Supply planning data'!A426,'Shipments data'!O:O,"received",'Shipments data'!Q:Q,"&lt;"&amp;'Supply planning data'!D441,'Shipments data'!AC:AC,"&lt;"&amp;'Supply planning data'!D441)-SUMIFS(M:M,D:D,"&lt;="&amp;D426,C:C,C426)+SUMIFS(N:N,D:D,"&lt;="&amp;D426,C:C,C426)+SUMIFS(P:P,D:D,"&lt;="&amp;D426,C:C,C426)&lt;0,0,SUMIFS('Shipments data'!L:L,'Shipments data'!F:F,'Supply planning data'!C426,'Shipments data'!A:A,'Supply planning data'!A426,'Shipments data'!O:O,"received",'Shipments data'!Q:Q,"&lt;"&amp;'Supply planning data'!D441,'Shipments data'!AC:AC,"&lt;"&amp;'Supply planning data'!D441)-SUMIFS(M:M,D:D,"&lt;="&amp;D426,C:C,C426)+SUMIFS(N:N,D:D,"&lt;="&amp;D426,C:C,C426)+SUMIFS(P:P,D:D,"&lt;="&amp;D426,C:C,C426))</f>
        <v>0</v>
      </c>
      <c r="U426" s="99">
        <f t="shared" si="134"/>
        <v>0</v>
      </c>
      <c r="V426" s="98">
        <f t="shared" si="124"/>
        <v>2258747</v>
      </c>
      <c r="W426" s="203" t="str">
        <f t="shared" si="140"/>
        <v/>
      </c>
      <c r="X426" s="98">
        <f t="shared" si="135"/>
        <v>1698747</v>
      </c>
      <c r="Y426" s="97"/>
      <c r="Z426" s="93"/>
      <c r="AA426" s="98">
        <f t="shared" si="128"/>
        <v>0</v>
      </c>
      <c r="AB426" s="233"/>
      <c r="AC426" s="98">
        <f>IF(SUMIFS('Shipments data'!L:L,'Shipments data'!F:F,'Supply planning data'!C426,'Shipments data'!A:A,'Supply planning data'!A426,'Shipments data'!O:O,"received",'Shipments data'!Q:Q,"&lt;"&amp;'Supply planning data'!D441,'Shipments data'!AC:AC,"&lt;"&amp;'Supply planning data'!D441)-SUMIFS(M:M,D:D,"&lt;="&amp;D426,C:C,C426)-SUMIFS(AA:AA,D:D,"&lt;="&amp;D426,C:C,C426)+SUMIFS(N:N,D:D,"&lt;="&amp;D426,C:C,C426)+SUMIFS(P:P,D:D,"&lt;="&amp;D426,C:C,C426)&lt;0,0,SUMIFS('Shipments data'!L:L,'Shipments data'!F:F,'Supply planning data'!C426,'Shipments data'!A:A,'Supply planning data'!A426,'Shipments data'!O:O,"received",'Shipments data'!Q:Q,"&lt;"&amp;'Supply planning data'!D441,'Shipments data'!AC:AC,"&lt;"&amp;'Supply planning data'!D441)-SUMIFS(M:M,D:D,"&lt;="&amp;D426,C:C,C426)-SUMIFS(AA:AA,D:D,"&lt;="&amp;D426,C:C,C426)+SUMIFS(N:N,D:D,"&lt;="&amp;D426,C:C,C426)+SUMIFS(P:P,D:D,"&lt;="&amp;D426,C:C,C426))</f>
        <v>0</v>
      </c>
      <c r="AD426" s="98">
        <f t="shared" si="136"/>
        <v>0</v>
      </c>
      <c r="AE426" s="98">
        <f t="shared" si="130"/>
        <v>1698747</v>
      </c>
      <c r="AF426" s="205" t="str">
        <f t="shared" si="139"/>
        <v/>
      </c>
      <c r="AG426" s="98">
        <f t="shared" si="137"/>
        <v>2258747</v>
      </c>
      <c r="AH426" s="97"/>
      <c r="AI426" s="311"/>
      <c r="AJ426" s="98">
        <f t="shared" si="129"/>
        <v>0</v>
      </c>
      <c r="AK426" s="233"/>
      <c r="AL426" s="98">
        <f>IF(SUMIFS('Shipments data'!L:L,'Shipments data'!F:F,'Supply planning data'!C426,'Shipments data'!A:A,'Supply planning data'!A426,'Shipments data'!O:O,"received",'Shipments data'!Q:Q,"&lt;"&amp;'Supply planning data'!D441,'Shipments data'!AC:AC,"&lt;"&amp;'Supply planning data'!D441)-SUMIFS(M:M,D:D,"&lt;="&amp;D426,C:C,C426)-SUMIFS(AJ:AJ,D:D,"&lt;="&amp;D426,C:C,C426)+SUMIFS(N:N,D:D,"&lt;="&amp;D426,C:C,C426)+SUMIFS(P:P,D:D,"&lt;="&amp;D426,C:C,C426)&lt;0,0,SUMIFS('Shipments data'!L:L,'Shipments data'!F:F,'Supply planning data'!C426,'Shipments data'!A:A,'Supply planning data'!A426,'Shipments data'!O:O,"received",'Shipments data'!Q:Q,"&lt;"&amp;'Supply planning data'!D441,'Shipments data'!AC:AC,"&lt;"&amp;'Supply planning data'!D441)-SUMIFS(M:M,D:D,"&lt;="&amp;D426,C:C,C426)-SUMIFS(AJ:AJ,D:D,"&lt;="&amp;D426,C:C,C426)+SUMIFS(N:N,D:D,"&lt;="&amp;D426,C:C,C426)+SUMIFS(P:P,D:D,"&lt;="&amp;D426,C:C,C426))</f>
        <v>0</v>
      </c>
      <c r="AM426" s="98">
        <f t="shared" si="138"/>
        <v>0</v>
      </c>
      <c r="AN426" s="98">
        <f t="shared" si="131"/>
        <v>2258747</v>
      </c>
      <c r="AO426" s="203" t="str">
        <f t="shared" si="141"/>
        <v/>
      </c>
    </row>
    <row r="427" spans="1:41" x14ac:dyDescent="0.25">
      <c r="A427" s="95" t="str">
        <f>Start!D$7</f>
        <v>Anyland</v>
      </c>
      <c r="B427" s="96" t="str">
        <f>VLOOKUP(A427,list!B:C,2,FALSE)</f>
        <v>ANY</v>
      </c>
      <c r="C427" s="90" t="str">
        <f>IF(Start!$C$19="","",Start!$C$19)</f>
        <v>Moderna</v>
      </c>
      <c r="D427" s="296">
        <f t="shared" si="132"/>
        <v>45047</v>
      </c>
      <c r="E427" s="92" t="str">
        <f>IFERROR(VLOOKUP(C427,Start!C$15:D$31,2,FALSE),"No")</f>
        <v>No</v>
      </c>
      <c r="F427" s="92">
        <f t="shared" si="133"/>
        <v>0</v>
      </c>
      <c r="G427" s="91"/>
      <c r="H427" s="97"/>
      <c r="I427" s="97"/>
      <c r="J427" s="98">
        <f t="shared" si="125"/>
        <v>0</v>
      </c>
      <c r="K427" s="97"/>
      <c r="L427" s="175" t="str">
        <f t="shared" si="126"/>
        <v/>
      </c>
      <c r="M427" s="98">
        <f t="shared" si="127"/>
        <v>0</v>
      </c>
      <c r="N427" s="97"/>
      <c r="O427" s="122"/>
      <c r="P427" s="97"/>
      <c r="Q427" s="122"/>
      <c r="R427" s="98">
        <f>SUMIFS('Shipments data'!L:L,'Shipments data'!F:F,'Supply planning data'!C427,'Shipments data'!A:A,'Supply planning data'!A427,'Shipments data'!Y:Y,'Supply planning data'!D427,'Shipments data'!O:O,"received", 'Shipments data'!N:N, "Public")</f>
        <v>0</v>
      </c>
      <c r="S427" s="98">
        <f>SUMIFS('Shipments data'!L:L,'Shipments data'!F:F,'Supply planning data'!C427,'Shipments data'!A:A,'Supply planning data'!A427,'Shipments data'!Y:Y,'Supply planning data'!D427,'Shipments data'!O:O,"ordered", 'Shipments data'!N:N, "Public")</f>
        <v>0</v>
      </c>
      <c r="T427" s="98">
        <f>IF(SUMIFS('Shipments data'!L:L,'Shipments data'!F:F,'Supply planning data'!C427,'Shipments data'!A:A,'Supply planning data'!A427,'Shipments data'!O:O,"received",'Shipments data'!Q:Q,"&lt;"&amp;'Supply planning data'!D442,'Shipments data'!AC:AC,"&lt;"&amp;'Supply planning data'!D442)-SUMIFS(M:M,D:D,"&lt;="&amp;D427,C:C,C427)+SUMIFS(N:N,D:D,"&lt;="&amp;D427,C:C,C427)+SUMIFS(P:P,D:D,"&lt;="&amp;D427,C:C,C427)&lt;0,0,SUMIFS('Shipments data'!L:L,'Shipments data'!F:F,'Supply planning data'!C427,'Shipments data'!A:A,'Supply planning data'!A427,'Shipments data'!O:O,"received",'Shipments data'!Q:Q,"&lt;"&amp;'Supply planning data'!D442,'Shipments data'!AC:AC,"&lt;"&amp;'Supply planning data'!D442)-SUMIFS(M:M,D:D,"&lt;="&amp;D427,C:C,C427)+SUMIFS(N:N,D:D,"&lt;="&amp;D427,C:C,C427)+SUMIFS(P:P,D:D,"&lt;="&amp;D427,C:C,C427))</f>
        <v>0</v>
      </c>
      <c r="U427" s="99">
        <f t="shared" si="134"/>
        <v>0</v>
      </c>
      <c r="V427" s="98">
        <f t="shared" si="124"/>
        <v>0</v>
      </c>
      <c r="W427" s="203" t="str">
        <f t="shared" si="140"/>
        <v/>
      </c>
      <c r="X427" s="98">
        <f t="shared" si="135"/>
        <v>0</v>
      </c>
      <c r="Y427" s="97"/>
      <c r="Z427" s="93"/>
      <c r="AA427" s="98">
        <f t="shared" si="128"/>
        <v>0</v>
      </c>
      <c r="AB427" s="233"/>
      <c r="AC427" s="98">
        <f>IF(SUMIFS('Shipments data'!L:L,'Shipments data'!F:F,'Supply planning data'!C427,'Shipments data'!A:A,'Supply planning data'!A427,'Shipments data'!O:O,"received",'Shipments data'!Q:Q,"&lt;"&amp;'Supply planning data'!D442,'Shipments data'!AC:AC,"&lt;"&amp;'Supply planning data'!D442)-SUMIFS(M:M,D:D,"&lt;="&amp;D427,C:C,C427)-SUMIFS(AA:AA,D:D,"&lt;="&amp;D427,C:C,C427)+SUMIFS(N:N,D:D,"&lt;="&amp;D427,C:C,C427)+SUMIFS(P:P,D:D,"&lt;="&amp;D427,C:C,C427)&lt;0,0,SUMIFS('Shipments data'!L:L,'Shipments data'!F:F,'Supply planning data'!C427,'Shipments data'!A:A,'Supply planning data'!A427,'Shipments data'!O:O,"received",'Shipments data'!Q:Q,"&lt;"&amp;'Supply planning data'!D442,'Shipments data'!AC:AC,"&lt;"&amp;'Supply planning data'!D442)-SUMIFS(M:M,D:D,"&lt;="&amp;D427,C:C,C427)-SUMIFS(AA:AA,D:D,"&lt;="&amp;D427,C:C,C427)+SUMIFS(N:N,D:D,"&lt;="&amp;D427,C:C,C427)+SUMIFS(P:P,D:D,"&lt;="&amp;D427,C:C,C427))</f>
        <v>0</v>
      </c>
      <c r="AD427" s="98">
        <f t="shared" si="136"/>
        <v>0</v>
      </c>
      <c r="AE427" s="98">
        <f t="shared" si="130"/>
        <v>0</v>
      </c>
      <c r="AF427" s="205" t="str">
        <f t="shared" si="139"/>
        <v/>
      </c>
      <c r="AG427" s="98">
        <f t="shared" si="137"/>
        <v>0</v>
      </c>
      <c r="AH427" s="97"/>
      <c r="AI427" s="311"/>
      <c r="AJ427" s="98">
        <f t="shared" si="129"/>
        <v>0</v>
      </c>
      <c r="AK427" s="233"/>
      <c r="AL427" s="98">
        <f>IF(SUMIFS('Shipments data'!L:L,'Shipments data'!F:F,'Supply planning data'!C427,'Shipments data'!A:A,'Supply planning data'!A427,'Shipments data'!O:O,"received",'Shipments data'!Q:Q,"&lt;"&amp;'Supply planning data'!D442,'Shipments data'!AC:AC,"&lt;"&amp;'Supply planning data'!D442)-SUMIFS(M:M,D:D,"&lt;="&amp;D427,C:C,C427)-SUMIFS(AJ:AJ,D:D,"&lt;="&amp;D427,C:C,C427)+SUMIFS(N:N,D:D,"&lt;="&amp;D427,C:C,C427)+SUMIFS(P:P,D:D,"&lt;="&amp;D427,C:C,C427)&lt;0,0,SUMIFS('Shipments data'!L:L,'Shipments data'!F:F,'Supply planning data'!C427,'Shipments data'!A:A,'Supply planning data'!A427,'Shipments data'!O:O,"received",'Shipments data'!Q:Q,"&lt;"&amp;'Supply planning data'!D442,'Shipments data'!AC:AC,"&lt;"&amp;'Supply planning data'!D442)-SUMIFS(M:M,D:D,"&lt;="&amp;D427,C:C,C427)-SUMIFS(AJ:AJ,D:D,"&lt;="&amp;D427,C:C,C427)+SUMIFS(N:N,D:D,"&lt;="&amp;D427,C:C,C427)+SUMIFS(P:P,D:D,"&lt;="&amp;D427,C:C,C427))</f>
        <v>0</v>
      </c>
      <c r="AM427" s="98">
        <f t="shared" si="138"/>
        <v>0</v>
      </c>
      <c r="AN427" s="98">
        <f t="shared" si="131"/>
        <v>0</v>
      </c>
      <c r="AO427" s="203" t="str">
        <f t="shared" si="141"/>
        <v/>
      </c>
    </row>
    <row r="428" spans="1:41" x14ac:dyDescent="0.25">
      <c r="A428" s="95" t="str">
        <f>Start!D$7</f>
        <v>Anyland</v>
      </c>
      <c r="B428" s="96" t="str">
        <f>VLOOKUP(A428,list!B:C,2,FALSE)</f>
        <v>ANY</v>
      </c>
      <c r="C428" s="90" t="str">
        <f>IF(Start!$C$20="","",Start!$C$20)</f>
        <v>Pfizer</v>
      </c>
      <c r="D428" s="296">
        <f t="shared" si="132"/>
        <v>45047</v>
      </c>
      <c r="E428" s="92" t="str">
        <f>IFERROR(VLOOKUP(C428,Start!C$15:D$31,2,FALSE),"No")</f>
        <v>Yes</v>
      </c>
      <c r="F428" s="92">
        <f t="shared" si="133"/>
        <v>3000000</v>
      </c>
      <c r="G428" s="91"/>
      <c r="H428" s="97"/>
      <c r="I428" s="97"/>
      <c r="J428" s="98">
        <f t="shared" si="125"/>
        <v>0</v>
      </c>
      <c r="K428" s="97"/>
      <c r="L428" s="175" t="str">
        <f t="shared" si="126"/>
        <v/>
      </c>
      <c r="M428" s="98">
        <f t="shared" si="127"/>
        <v>0</v>
      </c>
      <c r="N428" s="97"/>
      <c r="O428" s="122"/>
      <c r="P428" s="97"/>
      <c r="Q428" s="122"/>
      <c r="R428" s="98">
        <f>SUMIFS('Shipments data'!L:L,'Shipments data'!F:F,'Supply planning data'!C428,'Shipments data'!A:A,'Supply planning data'!A428,'Shipments data'!Y:Y,'Supply planning data'!D428,'Shipments data'!O:O,"received", 'Shipments data'!N:N, "Public")</f>
        <v>0</v>
      </c>
      <c r="S428" s="98">
        <f>SUMIFS('Shipments data'!L:L,'Shipments data'!F:F,'Supply planning data'!C428,'Shipments data'!A:A,'Supply planning data'!A428,'Shipments data'!Y:Y,'Supply planning data'!D428,'Shipments data'!O:O,"ordered", 'Shipments data'!N:N, "Public")</f>
        <v>0</v>
      </c>
      <c r="T428" s="98">
        <f>IF(SUMIFS('Shipments data'!L:L,'Shipments data'!F:F,'Supply planning data'!C428,'Shipments data'!A:A,'Supply planning data'!A428,'Shipments data'!O:O,"received",'Shipments data'!Q:Q,"&lt;"&amp;'Supply planning data'!D443,'Shipments data'!AC:AC,"&lt;"&amp;'Supply planning data'!D443)-SUMIFS(M:M,D:D,"&lt;="&amp;D428,C:C,C428)+SUMIFS(N:N,D:D,"&lt;="&amp;D428,C:C,C428)+SUMIFS(P:P,D:D,"&lt;="&amp;D428,C:C,C428)&lt;0,0,SUMIFS('Shipments data'!L:L,'Shipments data'!F:F,'Supply planning data'!C428,'Shipments data'!A:A,'Supply planning data'!A428,'Shipments data'!O:O,"received",'Shipments data'!Q:Q,"&lt;"&amp;'Supply planning data'!D443,'Shipments data'!AC:AC,"&lt;"&amp;'Supply planning data'!D443)-SUMIFS(M:M,D:D,"&lt;="&amp;D428,C:C,C428)+SUMIFS(N:N,D:D,"&lt;="&amp;D428,C:C,C428)+SUMIFS(P:P,D:D,"&lt;="&amp;D428,C:C,C428))</f>
        <v>110538</v>
      </c>
      <c r="U428" s="99">
        <f t="shared" si="134"/>
        <v>0</v>
      </c>
      <c r="V428" s="98">
        <f t="shared" si="124"/>
        <v>3000000</v>
      </c>
      <c r="W428" s="203" t="str">
        <f t="shared" si="140"/>
        <v/>
      </c>
      <c r="X428" s="98">
        <f t="shared" si="135"/>
        <v>2440000</v>
      </c>
      <c r="Y428" s="97"/>
      <c r="Z428" s="93"/>
      <c r="AA428" s="98">
        <f t="shared" si="128"/>
        <v>0</v>
      </c>
      <c r="AB428" s="233"/>
      <c r="AC428" s="98">
        <f>IF(SUMIFS('Shipments data'!L:L,'Shipments data'!F:F,'Supply planning data'!C428,'Shipments data'!A:A,'Supply planning data'!A428,'Shipments data'!O:O,"received",'Shipments data'!Q:Q,"&lt;"&amp;'Supply planning data'!D443,'Shipments data'!AC:AC,"&lt;"&amp;'Supply planning data'!D443)-SUMIFS(M:M,D:D,"&lt;="&amp;D428,C:C,C428)-SUMIFS(AA:AA,D:D,"&lt;="&amp;D428,C:C,C428)+SUMIFS(N:N,D:D,"&lt;="&amp;D428,C:C,C428)+SUMIFS(P:P,D:D,"&lt;="&amp;D428,C:C,C428)&lt;0,0,SUMIFS('Shipments data'!L:L,'Shipments data'!F:F,'Supply planning data'!C428,'Shipments data'!A:A,'Supply planning data'!A428,'Shipments data'!O:O,"received",'Shipments data'!Q:Q,"&lt;"&amp;'Supply planning data'!D443,'Shipments data'!AC:AC,"&lt;"&amp;'Supply planning data'!D443)-SUMIFS(M:M,D:D,"&lt;="&amp;D428,C:C,C428)-SUMIFS(AA:AA,D:D,"&lt;="&amp;D428,C:C,C428)+SUMIFS(N:N,D:D,"&lt;="&amp;D428,C:C,C428)+SUMIFS(P:P,D:D,"&lt;="&amp;D428,C:C,C428))</f>
        <v>0</v>
      </c>
      <c r="AD428" s="98">
        <f t="shared" si="136"/>
        <v>0</v>
      </c>
      <c r="AE428" s="98">
        <f t="shared" si="130"/>
        <v>2440000</v>
      </c>
      <c r="AF428" s="205" t="str">
        <f t="shared" si="139"/>
        <v/>
      </c>
      <c r="AG428" s="98">
        <f t="shared" si="137"/>
        <v>3000000</v>
      </c>
      <c r="AH428" s="97"/>
      <c r="AI428" s="311"/>
      <c r="AJ428" s="98">
        <f t="shared" si="129"/>
        <v>0</v>
      </c>
      <c r="AK428" s="233"/>
      <c r="AL428" s="98">
        <f>IF(SUMIFS('Shipments data'!L:L,'Shipments data'!F:F,'Supply planning data'!C428,'Shipments data'!A:A,'Supply planning data'!A428,'Shipments data'!O:O,"received",'Shipments data'!Q:Q,"&lt;"&amp;'Supply planning data'!D443,'Shipments data'!AC:AC,"&lt;"&amp;'Supply planning data'!D443)-SUMIFS(M:M,D:D,"&lt;="&amp;D428,C:C,C428)-SUMIFS(AJ:AJ,D:D,"&lt;="&amp;D428,C:C,C428)+SUMIFS(N:N,D:D,"&lt;="&amp;D428,C:C,C428)+SUMIFS(P:P,D:D,"&lt;="&amp;D428,C:C,C428)&lt;0,0,SUMIFS('Shipments data'!L:L,'Shipments data'!F:F,'Supply planning data'!C428,'Shipments data'!A:A,'Supply planning data'!A428,'Shipments data'!O:O,"received",'Shipments data'!Q:Q,"&lt;"&amp;'Supply planning data'!D443,'Shipments data'!AC:AC,"&lt;"&amp;'Supply planning data'!D443)-SUMIFS(M:M,D:D,"&lt;="&amp;D428,C:C,C428)-SUMIFS(AJ:AJ,D:D,"&lt;="&amp;D428,C:C,C428)+SUMIFS(N:N,D:D,"&lt;="&amp;D428,C:C,C428)+SUMIFS(P:P,D:D,"&lt;="&amp;D428,C:C,C428))</f>
        <v>110538</v>
      </c>
      <c r="AM428" s="98">
        <f t="shared" si="138"/>
        <v>0</v>
      </c>
      <c r="AN428" s="98">
        <f t="shared" si="131"/>
        <v>3000000</v>
      </c>
      <c r="AO428" s="203" t="str">
        <f t="shared" si="141"/>
        <v/>
      </c>
    </row>
    <row r="429" spans="1:41" x14ac:dyDescent="0.25">
      <c r="A429" s="95" t="str">
        <f>Start!D$7</f>
        <v>Anyland</v>
      </c>
      <c r="B429" s="96" t="str">
        <f>VLOOKUP(A429,list!B:C,2,FALSE)</f>
        <v>ANY</v>
      </c>
      <c r="C429" s="90" t="str">
        <f>IF(Start!$C$21="","",Start!$C$21)</f>
        <v>Sinovac</v>
      </c>
      <c r="D429" s="296">
        <f t="shared" si="132"/>
        <v>45047</v>
      </c>
      <c r="E429" s="92" t="str">
        <f>IFERROR(VLOOKUP(C429,Start!C$15:D$31,2,FALSE),"No")</f>
        <v>No</v>
      </c>
      <c r="F429" s="92">
        <f t="shared" si="133"/>
        <v>0</v>
      </c>
      <c r="G429" s="91"/>
      <c r="H429" s="97"/>
      <c r="I429" s="97"/>
      <c r="J429" s="98">
        <f t="shared" si="125"/>
        <v>0</v>
      </c>
      <c r="K429" s="97"/>
      <c r="L429" s="175" t="str">
        <f t="shared" si="126"/>
        <v/>
      </c>
      <c r="M429" s="98">
        <f t="shared" si="127"/>
        <v>0</v>
      </c>
      <c r="N429" s="97"/>
      <c r="O429" s="122"/>
      <c r="P429" s="97"/>
      <c r="Q429" s="122"/>
      <c r="R429" s="98">
        <f>SUMIFS('Shipments data'!L:L,'Shipments data'!F:F,'Supply planning data'!C429,'Shipments data'!A:A,'Supply planning data'!A429,'Shipments data'!Y:Y,'Supply planning data'!D429,'Shipments data'!O:O,"received", 'Shipments data'!N:N, "Public")</f>
        <v>0</v>
      </c>
      <c r="S429" s="98">
        <f>SUMIFS('Shipments data'!L:L,'Shipments data'!F:F,'Supply planning data'!C429,'Shipments data'!A:A,'Supply planning data'!A429,'Shipments data'!Y:Y,'Supply planning data'!D429,'Shipments data'!O:O,"ordered", 'Shipments data'!N:N, "Public")</f>
        <v>0</v>
      </c>
      <c r="T429" s="98">
        <f>IF(SUMIFS('Shipments data'!L:L,'Shipments data'!F:F,'Supply planning data'!C429,'Shipments data'!A:A,'Supply planning data'!A429,'Shipments data'!O:O,"received",'Shipments data'!Q:Q,"&lt;"&amp;'Supply planning data'!D444,'Shipments data'!AC:AC,"&lt;"&amp;'Supply planning data'!D444)-SUMIFS(M:M,D:D,"&lt;="&amp;D429,C:C,C429)+SUMIFS(N:N,D:D,"&lt;="&amp;D429,C:C,C429)+SUMIFS(P:P,D:D,"&lt;="&amp;D429,C:C,C429)&lt;0,0,SUMIFS('Shipments data'!L:L,'Shipments data'!F:F,'Supply planning data'!C429,'Shipments data'!A:A,'Supply planning data'!A429,'Shipments data'!O:O,"received",'Shipments data'!Q:Q,"&lt;"&amp;'Supply planning data'!D444,'Shipments data'!AC:AC,"&lt;"&amp;'Supply planning data'!D444)-SUMIFS(M:M,D:D,"&lt;="&amp;D429,C:C,C429)+SUMIFS(N:N,D:D,"&lt;="&amp;D429,C:C,C429)+SUMIFS(P:P,D:D,"&lt;="&amp;D429,C:C,C429))</f>
        <v>0</v>
      </c>
      <c r="U429" s="99">
        <f t="shared" si="134"/>
        <v>0</v>
      </c>
      <c r="V429" s="98">
        <f t="shared" si="124"/>
        <v>0</v>
      </c>
      <c r="W429" s="203" t="str">
        <f t="shared" si="140"/>
        <v/>
      </c>
      <c r="X429" s="98">
        <f t="shared" si="135"/>
        <v>0</v>
      </c>
      <c r="Y429" s="97"/>
      <c r="Z429" s="93"/>
      <c r="AA429" s="98">
        <f t="shared" si="128"/>
        <v>0</v>
      </c>
      <c r="AB429" s="233"/>
      <c r="AC429" s="98">
        <f>IF(SUMIFS('Shipments data'!L:L,'Shipments data'!F:F,'Supply planning data'!C429,'Shipments data'!A:A,'Supply planning data'!A429,'Shipments data'!O:O,"received",'Shipments data'!Q:Q,"&lt;"&amp;'Supply planning data'!D444,'Shipments data'!AC:AC,"&lt;"&amp;'Supply planning data'!D444)-SUMIFS(M:M,D:D,"&lt;="&amp;D429,C:C,C429)-SUMIFS(AA:AA,D:D,"&lt;="&amp;D429,C:C,C429)+SUMIFS(N:N,D:D,"&lt;="&amp;D429,C:C,C429)+SUMIFS(P:P,D:D,"&lt;="&amp;D429,C:C,C429)&lt;0,0,SUMIFS('Shipments data'!L:L,'Shipments data'!F:F,'Supply planning data'!C429,'Shipments data'!A:A,'Supply planning data'!A429,'Shipments data'!O:O,"received",'Shipments data'!Q:Q,"&lt;"&amp;'Supply planning data'!D444,'Shipments data'!AC:AC,"&lt;"&amp;'Supply planning data'!D444)-SUMIFS(M:M,D:D,"&lt;="&amp;D429,C:C,C429)-SUMIFS(AA:AA,D:D,"&lt;="&amp;D429,C:C,C429)+SUMIFS(N:N,D:D,"&lt;="&amp;D429,C:C,C429)+SUMIFS(P:P,D:D,"&lt;="&amp;D429,C:C,C429))</f>
        <v>0</v>
      </c>
      <c r="AD429" s="98">
        <f t="shared" si="136"/>
        <v>0</v>
      </c>
      <c r="AE429" s="98">
        <f t="shared" si="130"/>
        <v>0</v>
      </c>
      <c r="AF429" s="205" t="str">
        <f t="shared" si="139"/>
        <v/>
      </c>
      <c r="AG429" s="98">
        <f t="shared" si="137"/>
        <v>0</v>
      </c>
      <c r="AH429" s="97"/>
      <c r="AI429" s="311"/>
      <c r="AJ429" s="98">
        <f t="shared" si="129"/>
        <v>0</v>
      </c>
      <c r="AK429" s="233"/>
      <c r="AL429" s="98">
        <f>IF(SUMIFS('Shipments data'!L:L,'Shipments data'!F:F,'Supply planning data'!C429,'Shipments data'!A:A,'Supply planning data'!A429,'Shipments data'!O:O,"received",'Shipments data'!Q:Q,"&lt;"&amp;'Supply planning data'!D444,'Shipments data'!AC:AC,"&lt;"&amp;'Supply planning data'!D444)-SUMIFS(M:M,D:D,"&lt;="&amp;D429,C:C,C429)-SUMIFS(AJ:AJ,D:D,"&lt;="&amp;D429,C:C,C429)+SUMIFS(N:N,D:D,"&lt;="&amp;D429,C:C,C429)+SUMIFS(P:P,D:D,"&lt;="&amp;D429,C:C,C429)&lt;0,0,SUMIFS('Shipments data'!L:L,'Shipments data'!F:F,'Supply planning data'!C429,'Shipments data'!A:A,'Supply planning data'!A429,'Shipments data'!O:O,"received",'Shipments data'!Q:Q,"&lt;"&amp;'Supply planning data'!D444,'Shipments data'!AC:AC,"&lt;"&amp;'Supply planning data'!D444)-SUMIFS(M:M,D:D,"&lt;="&amp;D429,C:C,C429)-SUMIFS(AJ:AJ,D:D,"&lt;="&amp;D429,C:C,C429)+SUMIFS(N:N,D:D,"&lt;="&amp;D429,C:C,C429)+SUMIFS(P:P,D:D,"&lt;="&amp;D429,C:C,C429))</f>
        <v>0</v>
      </c>
      <c r="AM429" s="98">
        <f t="shared" si="138"/>
        <v>0</v>
      </c>
      <c r="AN429" s="98">
        <f t="shared" si="131"/>
        <v>0</v>
      </c>
      <c r="AO429" s="203" t="str">
        <f t="shared" si="141"/>
        <v/>
      </c>
    </row>
    <row r="430" spans="1:41" hidden="1" x14ac:dyDescent="0.25">
      <c r="A430" s="95" t="str">
        <f>Start!D$7</f>
        <v>Anyland</v>
      </c>
      <c r="B430" s="96" t="str">
        <f>VLOOKUP(A430,list!B:C,2,FALSE)</f>
        <v>ANY</v>
      </c>
      <c r="C430" s="90" t="str">
        <f>IF(Start!$C$22="","",Start!$C$22)</f>
        <v/>
      </c>
      <c r="D430" s="296">
        <f t="shared" si="132"/>
        <v>45047</v>
      </c>
      <c r="E430" s="92" t="str">
        <f>IFERROR(VLOOKUP(C430,Start!C$15:D$31,2,FALSE),"No")</f>
        <v>No</v>
      </c>
      <c r="F430" s="92">
        <f t="shared" si="133"/>
        <v>0</v>
      </c>
      <c r="G430" s="91"/>
      <c r="H430" s="97"/>
      <c r="I430" s="97"/>
      <c r="J430" s="98">
        <f t="shared" si="125"/>
        <v>0</v>
      </c>
      <c r="K430" s="97"/>
      <c r="L430" s="175" t="str">
        <f t="shared" si="126"/>
        <v/>
      </c>
      <c r="M430" s="98">
        <f t="shared" si="127"/>
        <v>0</v>
      </c>
      <c r="N430" s="97"/>
      <c r="O430" s="122"/>
      <c r="P430" s="97"/>
      <c r="Q430" s="122"/>
      <c r="R430" s="98">
        <f>SUMIFS('Shipments data'!L:L,'Shipments data'!F:F,'Supply planning data'!C430,'Shipments data'!A:A,'Supply planning data'!A430,'Shipments data'!Y:Y,'Supply planning data'!D430,'Shipments data'!O:O,"received", 'Shipments data'!N:N, "Public")</f>
        <v>0</v>
      </c>
      <c r="S430" s="98">
        <f>SUMIFS('Shipments data'!L:L,'Shipments data'!F:F,'Supply planning data'!C430,'Shipments data'!A:A,'Supply planning data'!A430,'Shipments data'!Y:Y,'Supply planning data'!D430,'Shipments data'!O:O,"ordered", 'Shipments data'!N:N, "Public")</f>
        <v>0</v>
      </c>
      <c r="T430" s="98">
        <f>IF(SUMIFS('Shipments data'!L:L,'Shipments data'!F:F,'Supply planning data'!C430,'Shipments data'!A:A,'Supply planning data'!A430,'Shipments data'!O:O,"received",'Shipments data'!Q:Q,"&lt;"&amp;'Supply planning data'!D445,'Shipments data'!AC:AC,"&lt;"&amp;'Supply planning data'!D445)-SUMIFS(M:M,D:D,"&lt;="&amp;D430,C:C,C430)+SUMIFS(N:N,D:D,"&lt;="&amp;D430,C:C,C430)+SUMIFS(P:P,D:D,"&lt;="&amp;D430,C:C,C430)&lt;0,0,SUMIFS('Shipments data'!L:L,'Shipments data'!F:F,'Supply planning data'!C430,'Shipments data'!A:A,'Supply planning data'!A430,'Shipments data'!O:O,"received",'Shipments data'!Q:Q,"&lt;"&amp;'Supply planning data'!D445,'Shipments data'!AC:AC,"&lt;"&amp;'Supply planning data'!D445)-SUMIFS(M:M,D:D,"&lt;="&amp;D430,C:C,C430)+SUMIFS(N:N,D:D,"&lt;="&amp;D430,C:C,C430)+SUMIFS(P:P,D:D,"&lt;="&amp;D430,C:C,C430))</f>
        <v>0</v>
      </c>
      <c r="U430" s="99">
        <f t="shared" si="134"/>
        <v>0</v>
      </c>
      <c r="V430" s="98">
        <f t="shared" si="124"/>
        <v>0</v>
      </c>
      <c r="W430" s="203" t="str">
        <f t="shared" si="140"/>
        <v/>
      </c>
      <c r="X430" s="98">
        <f t="shared" si="135"/>
        <v>0</v>
      </c>
      <c r="Y430" s="97"/>
      <c r="Z430" s="93"/>
      <c r="AA430" s="98">
        <f t="shared" si="128"/>
        <v>0</v>
      </c>
      <c r="AB430" s="233"/>
      <c r="AC430" s="98">
        <f>IF(SUMIFS('Shipments data'!L:L,'Shipments data'!F:F,'Supply planning data'!C430,'Shipments data'!A:A,'Supply planning data'!A430,'Shipments data'!O:O,"received",'Shipments data'!Q:Q,"&lt;"&amp;'Supply planning data'!D445,'Shipments data'!AC:AC,"&lt;"&amp;'Supply planning data'!D445)-SUMIFS(M:M,D:D,"&lt;="&amp;D430,C:C,C430)-SUMIFS(AA:AA,D:D,"&lt;="&amp;D430,C:C,C430)+SUMIFS(N:N,D:D,"&lt;="&amp;D430,C:C,C430)+SUMIFS(P:P,D:D,"&lt;="&amp;D430,C:C,C430)&lt;0,0,SUMIFS('Shipments data'!L:L,'Shipments data'!F:F,'Supply planning data'!C430,'Shipments data'!A:A,'Supply planning data'!A430,'Shipments data'!O:O,"received",'Shipments data'!Q:Q,"&lt;"&amp;'Supply planning data'!D445,'Shipments data'!AC:AC,"&lt;"&amp;'Supply planning data'!D445)-SUMIFS(M:M,D:D,"&lt;="&amp;D430,C:C,C430)-SUMIFS(AA:AA,D:D,"&lt;="&amp;D430,C:C,C430)+SUMIFS(N:N,D:D,"&lt;="&amp;D430,C:C,C430)+SUMIFS(P:P,D:D,"&lt;="&amp;D430,C:C,C430))</f>
        <v>0</v>
      </c>
      <c r="AD430" s="98">
        <f t="shared" si="136"/>
        <v>0</v>
      </c>
      <c r="AE430" s="98">
        <f t="shared" si="130"/>
        <v>0</v>
      </c>
      <c r="AF430" s="205" t="str">
        <f t="shared" si="139"/>
        <v/>
      </c>
      <c r="AG430" s="98">
        <f t="shared" si="137"/>
        <v>0</v>
      </c>
      <c r="AH430" s="97"/>
      <c r="AI430" s="311"/>
      <c r="AJ430" s="98">
        <f t="shared" si="129"/>
        <v>0</v>
      </c>
      <c r="AK430" s="233"/>
      <c r="AL430" s="98">
        <f>IF(SUMIFS('Shipments data'!L:L,'Shipments data'!F:F,'Supply planning data'!C430,'Shipments data'!A:A,'Supply planning data'!A430,'Shipments data'!O:O,"received",'Shipments data'!Q:Q,"&lt;"&amp;'Supply planning data'!D445,'Shipments data'!AC:AC,"&lt;"&amp;'Supply planning data'!D445)-SUMIFS(M:M,D:D,"&lt;="&amp;D430,C:C,C430)-SUMIFS(AJ:AJ,D:D,"&lt;="&amp;D430,C:C,C430)+SUMIFS(N:N,D:D,"&lt;="&amp;D430,C:C,C430)+SUMIFS(P:P,D:D,"&lt;="&amp;D430,C:C,C430)&lt;0,0,SUMIFS('Shipments data'!L:L,'Shipments data'!F:F,'Supply planning data'!C430,'Shipments data'!A:A,'Supply planning data'!A430,'Shipments data'!O:O,"received",'Shipments data'!Q:Q,"&lt;"&amp;'Supply planning data'!D445,'Shipments data'!AC:AC,"&lt;"&amp;'Supply planning data'!D445)-SUMIFS(M:M,D:D,"&lt;="&amp;D430,C:C,C430)-SUMIFS(AJ:AJ,D:D,"&lt;="&amp;D430,C:C,C430)+SUMIFS(N:N,D:D,"&lt;="&amp;D430,C:C,C430)+SUMIFS(P:P,D:D,"&lt;="&amp;D430,C:C,C430))</f>
        <v>0</v>
      </c>
      <c r="AM430" s="98">
        <f t="shared" si="138"/>
        <v>0</v>
      </c>
      <c r="AN430" s="98">
        <f t="shared" si="131"/>
        <v>0</v>
      </c>
      <c r="AO430" s="203" t="str">
        <f t="shared" si="141"/>
        <v/>
      </c>
    </row>
    <row r="431" spans="1:41" hidden="1" x14ac:dyDescent="0.25">
      <c r="A431" s="95" t="str">
        <f>Start!D$7</f>
        <v>Anyland</v>
      </c>
      <c r="B431" s="96" t="str">
        <f>VLOOKUP(A431,list!B:C,2,FALSE)</f>
        <v>ANY</v>
      </c>
      <c r="C431" s="90" t="str">
        <f>IF(Start!$C$23="","",Start!$C$23)</f>
        <v/>
      </c>
      <c r="D431" s="296">
        <f t="shared" si="132"/>
        <v>45047</v>
      </c>
      <c r="E431" s="92" t="str">
        <f>IFERROR(VLOOKUP(C431,Start!C$15:D$31,2,FALSE),"No")</f>
        <v>No</v>
      </c>
      <c r="F431" s="92">
        <f t="shared" si="133"/>
        <v>0</v>
      </c>
      <c r="G431" s="91"/>
      <c r="H431" s="97"/>
      <c r="I431" s="97"/>
      <c r="J431" s="98">
        <f t="shared" si="125"/>
        <v>0</v>
      </c>
      <c r="K431" s="97"/>
      <c r="L431" s="175" t="str">
        <f t="shared" si="126"/>
        <v/>
      </c>
      <c r="M431" s="98">
        <f t="shared" si="127"/>
        <v>0</v>
      </c>
      <c r="N431" s="97"/>
      <c r="O431" s="122"/>
      <c r="P431" s="97"/>
      <c r="Q431" s="122"/>
      <c r="R431" s="98">
        <f>SUMIFS('Shipments data'!L:L,'Shipments data'!F:F,'Supply planning data'!C431,'Shipments data'!A:A,'Supply planning data'!A431,'Shipments data'!Y:Y,'Supply planning data'!D431,'Shipments data'!O:O,"received", 'Shipments data'!N:N, "Public")</f>
        <v>0</v>
      </c>
      <c r="S431" s="98">
        <f>SUMIFS('Shipments data'!L:L,'Shipments data'!F:F,'Supply planning data'!C431,'Shipments data'!A:A,'Supply planning data'!A431,'Shipments data'!Y:Y,'Supply planning data'!D431,'Shipments data'!O:O,"ordered", 'Shipments data'!N:N, "Public")</f>
        <v>0</v>
      </c>
      <c r="T431" s="98">
        <f>IF(SUMIFS('Shipments data'!L:L,'Shipments data'!F:F,'Supply planning data'!C431,'Shipments data'!A:A,'Supply planning data'!A431,'Shipments data'!O:O,"received",'Shipments data'!Q:Q,"&lt;"&amp;'Supply planning data'!D446,'Shipments data'!AC:AC,"&lt;"&amp;'Supply planning data'!D446)-SUMIFS(M:M,D:D,"&lt;="&amp;D431,C:C,C431)+SUMIFS(N:N,D:D,"&lt;="&amp;D431,C:C,C431)+SUMIFS(P:P,D:D,"&lt;="&amp;D431,C:C,C431)&lt;0,0,SUMIFS('Shipments data'!L:L,'Shipments data'!F:F,'Supply planning data'!C431,'Shipments data'!A:A,'Supply planning data'!A431,'Shipments data'!O:O,"received",'Shipments data'!Q:Q,"&lt;"&amp;'Supply planning data'!D446,'Shipments data'!AC:AC,"&lt;"&amp;'Supply planning data'!D446)-SUMIFS(M:M,D:D,"&lt;="&amp;D431,C:C,C431)+SUMIFS(N:N,D:D,"&lt;="&amp;D431,C:C,C431)+SUMIFS(P:P,D:D,"&lt;="&amp;D431,C:C,C431))</f>
        <v>0</v>
      </c>
      <c r="U431" s="99">
        <f t="shared" si="134"/>
        <v>0</v>
      </c>
      <c r="V431" s="98">
        <f t="shared" si="124"/>
        <v>0</v>
      </c>
      <c r="W431" s="203" t="str">
        <f t="shared" si="140"/>
        <v/>
      </c>
      <c r="X431" s="98">
        <f t="shared" si="135"/>
        <v>0</v>
      </c>
      <c r="Y431" s="97"/>
      <c r="Z431" s="93"/>
      <c r="AA431" s="98">
        <f t="shared" si="128"/>
        <v>0</v>
      </c>
      <c r="AB431" s="233"/>
      <c r="AC431" s="98">
        <f>IF(SUMIFS('Shipments data'!L:L,'Shipments data'!F:F,'Supply planning data'!C431,'Shipments data'!A:A,'Supply planning data'!A431,'Shipments data'!O:O,"received",'Shipments data'!Q:Q,"&lt;"&amp;'Supply planning data'!D446,'Shipments data'!AC:AC,"&lt;"&amp;'Supply planning data'!D446)-SUMIFS(M:M,D:D,"&lt;="&amp;D431,C:C,C431)-SUMIFS(AA:AA,D:D,"&lt;="&amp;D431,C:C,C431)+SUMIFS(N:N,D:D,"&lt;="&amp;D431,C:C,C431)+SUMIFS(P:P,D:D,"&lt;="&amp;D431,C:C,C431)&lt;0,0,SUMIFS('Shipments data'!L:L,'Shipments data'!F:F,'Supply planning data'!C431,'Shipments data'!A:A,'Supply planning data'!A431,'Shipments data'!O:O,"received",'Shipments data'!Q:Q,"&lt;"&amp;'Supply planning data'!D446,'Shipments data'!AC:AC,"&lt;"&amp;'Supply planning data'!D446)-SUMIFS(M:M,D:D,"&lt;="&amp;D431,C:C,C431)-SUMIFS(AA:AA,D:D,"&lt;="&amp;D431,C:C,C431)+SUMIFS(N:N,D:D,"&lt;="&amp;D431,C:C,C431)+SUMIFS(P:P,D:D,"&lt;="&amp;D431,C:C,C431))</f>
        <v>0</v>
      </c>
      <c r="AD431" s="98">
        <f t="shared" si="136"/>
        <v>0</v>
      </c>
      <c r="AE431" s="98">
        <f t="shared" si="130"/>
        <v>0</v>
      </c>
      <c r="AF431" s="205" t="str">
        <f t="shared" si="139"/>
        <v/>
      </c>
      <c r="AG431" s="98">
        <f t="shared" si="137"/>
        <v>0</v>
      </c>
      <c r="AH431" s="97"/>
      <c r="AI431" s="311"/>
      <c r="AJ431" s="98">
        <f t="shared" si="129"/>
        <v>0</v>
      </c>
      <c r="AK431" s="233"/>
      <c r="AL431" s="98">
        <f>IF(SUMIFS('Shipments data'!L:L,'Shipments data'!F:F,'Supply planning data'!C431,'Shipments data'!A:A,'Supply planning data'!A431,'Shipments data'!O:O,"received",'Shipments data'!Q:Q,"&lt;"&amp;'Supply planning data'!D446,'Shipments data'!AC:AC,"&lt;"&amp;'Supply planning data'!D446)-SUMIFS(M:M,D:D,"&lt;="&amp;D431,C:C,C431)-SUMIFS(AJ:AJ,D:D,"&lt;="&amp;D431,C:C,C431)+SUMIFS(N:N,D:D,"&lt;="&amp;D431,C:C,C431)+SUMIFS(P:P,D:D,"&lt;="&amp;D431,C:C,C431)&lt;0,0,SUMIFS('Shipments data'!L:L,'Shipments data'!F:F,'Supply planning data'!C431,'Shipments data'!A:A,'Supply planning data'!A431,'Shipments data'!O:O,"received",'Shipments data'!Q:Q,"&lt;"&amp;'Supply planning data'!D446,'Shipments data'!AC:AC,"&lt;"&amp;'Supply planning data'!D446)-SUMIFS(M:M,D:D,"&lt;="&amp;D431,C:C,C431)-SUMIFS(AJ:AJ,D:D,"&lt;="&amp;D431,C:C,C431)+SUMIFS(N:N,D:D,"&lt;="&amp;D431,C:C,C431)+SUMIFS(P:P,D:D,"&lt;="&amp;D431,C:C,C431))</f>
        <v>0</v>
      </c>
      <c r="AM431" s="98">
        <f t="shared" si="138"/>
        <v>0</v>
      </c>
      <c r="AN431" s="98">
        <f t="shared" si="131"/>
        <v>0</v>
      </c>
      <c r="AO431" s="203" t="str">
        <f t="shared" si="141"/>
        <v/>
      </c>
    </row>
    <row r="432" spans="1:41" hidden="1" x14ac:dyDescent="0.25">
      <c r="A432" s="95" t="str">
        <f>Start!D$7</f>
        <v>Anyland</v>
      </c>
      <c r="B432" s="96" t="str">
        <f>VLOOKUP(A432,list!B:C,2,FALSE)</f>
        <v>ANY</v>
      </c>
      <c r="C432" s="90" t="str">
        <f>IF(Start!$C$24="","",Start!$C$24)</f>
        <v/>
      </c>
      <c r="D432" s="296">
        <f t="shared" si="132"/>
        <v>45047</v>
      </c>
      <c r="E432" s="92" t="str">
        <f>IFERROR(VLOOKUP(C432,Start!C$15:D$31,2,FALSE),"No")</f>
        <v>No</v>
      </c>
      <c r="F432" s="92">
        <f t="shared" si="133"/>
        <v>0</v>
      </c>
      <c r="G432" s="91"/>
      <c r="H432" s="97"/>
      <c r="I432" s="97"/>
      <c r="J432" s="98">
        <f t="shared" si="125"/>
        <v>0</v>
      </c>
      <c r="K432" s="97"/>
      <c r="L432" s="175" t="str">
        <f t="shared" si="126"/>
        <v/>
      </c>
      <c r="M432" s="98">
        <f t="shared" si="127"/>
        <v>0</v>
      </c>
      <c r="N432" s="97"/>
      <c r="O432" s="122"/>
      <c r="P432" s="97"/>
      <c r="Q432" s="122"/>
      <c r="R432" s="98">
        <f>SUMIFS('Shipments data'!L:L,'Shipments data'!F:F,'Supply planning data'!C432,'Shipments data'!A:A,'Supply planning data'!A432,'Shipments data'!Y:Y,'Supply planning data'!D432,'Shipments data'!O:O,"received", 'Shipments data'!N:N, "Public")</f>
        <v>0</v>
      </c>
      <c r="S432" s="98">
        <f>SUMIFS('Shipments data'!L:L,'Shipments data'!F:F,'Supply planning data'!C432,'Shipments data'!A:A,'Supply planning data'!A432,'Shipments data'!Y:Y,'Supply planning data'!D432,'Shipments data'!O:O,"ordered", 'Shipments data'!N:N, "Public")</f>
        <v>0</v>
      </c>
      <c r="T432" s="98">
        <f>IF(SUMIFS('Shipments data'!L:L,'Shipments data'!F:F,'Supply planning data'!C432,'Shipments data'!A:A,'Supply planning data'!A432,'Shipments data'!O:O,"received",'Shipments data'!Q:Q,"&lt;"&amp;'Supply planning data'!D447,'Shipments data'!AC:AC,"&lt;"&amp;'Supply planning data'!D447)-SUMIFS(M:M,D:D,"&lt;="&amp;D432,C:C,C432)+SUMIFS(N:N,D:D,"&lt;="&amp;D432,C:C,C432)+SUMIFS(P:P,D:D,"&lt;="&amp;D432,C:C,C432)&lt;0,0,SUMIFS('Shipments data'!L:L,'Shipments data'!F:F,'Supply planning data'!C432,'Shipments data'!A:A,'Supply planning data'!A432,'Shipments data'!O:O,"received",'Shipments data'!Q:Q,"&lt;"&amp;'Supply planning data'!D447,'Shipments data'!AC:AC,"&lt;"&amp;'Supply planning data'!D447)-SUMIFS(M:M,D:D,"&lt;="&amp;D432,C:C,C432)+SUMIFS(N:N,D:D,"&lt;="&amp;D432,C:C,C432)+SUMIFS(P:P,D:D,"&lt;="&amp;D432,C:C,C432))</f>
        <v>0</v>
      </c>
      <c r="U432" s="99">
        <f t="shared" si="134"/>
        <v>0</v>
      </c>
      <c r="V432" s="98">
        <f t="shared" si="124"/>
        <v>0</v>
      </c>
      <c r="W432" s="203" t="str">
        <f t="shared" si="140"/>
        <v/>
      </c>
      <c r="X432" s="98">
        <f t="shared" si="135"/>
        <v>0</v>
      </c>
      <c r="Y432" s="97"/>
      <c r="Z432" s="93"/>
      <c r="AA432" s="98">
        <f t="shared" si="128"/>
        <v>0</v>
      </c>
      <c r="AB432" s="233"/>
      <c r="AC432" s="98">
        <f>IF(SUMIFS('Shipments data'!L:L,'Shipments data'!F:F,'Supply planning data'!C432,'Shipments data'!A:A,'Supply planning data'!A432,'Shipments data'!O:O,"received",'Shipments data'!Q:Q,"&lt;"&amp;'Supply planning data'!D447,'Shipments data'!AC:AC,"&lt;"&amp;'Supply planning data'!D447)-SUMIFS(M:M,D:D,"&lt;="&amp;D432,C:C,C432)-SUMIFS(AA:AA,D:D,"&lt;="&amp;D432,C:C,C432)+SUMIFS(N:N,D:D,"&lt;="&amp;D432,C:C,C432)+SUMIFS(P:P,D:D,"&lt;="&amp;D432,C:C,C432)&lt;0,0,SUMIFS('Shipments data'!L:L,'Shipments data'!F:F,'Supply planning data'!C432,'Shipments data'!A:A,'Supply planning data'!A432,'Shipments data'!O:O,"received",'Shipments data'!Q:Q,"&lt;"&amp;'Supply planning data'!D447,'Shipments data'!AC:AC,"&lt;"&amp;'Supply planning data'!D447)-SUMIFS(M:M,D:D,"&lt;="&amp;D432,C:C,C432)-SUMIFS(AA:AA,D:D,"&lt;="&amp;D432,C:C,C432)+SUMIFS(N:N,D:D,"&lt;="&amp;D432,C:C,C432)+SUMIFS(P:P,D:D,"&lt;="&amp;D432,C:C,C432))</f>
        <v>0</v>
      </c>
      <c r="AD432" s="98">
        <f t="shared" si="136"/>
        <v>0</v>
      </c>
      <c r="AE432" s="98">
        <f t="shared" si="130"/>
        <v>0</v>
      </c>
      <c r="AF432" s="205" t="str">
        <f t="shared" si="139"/>
        <v/>
      </c>
      <c r="AG432" s="98">
        <f t="shared" si="137"/>
        <v>0</v>
      </c>
      <c r="AH432" s="97"/>
      <c r="AI432" s="311"/>
      <c r="AJ432" s="98">
        <f t="shared" si="129"/>
        <v>0</v>
      </c>
      <c r="AK432" s="233"/>
      <c r="AL432" s="98">
        <f>IF(SUMIFS('Shipments data'!L:L,'Shipments data'!F:F,'Supply planning data'!C432,'Shipments data'!A:A,'Supply planning data'!A432,'Shipments data'!O:O,"received",'Shipments data'!Q:Q,"&lt;"&amp;'Supply planning data'!D447,'Shipments data'!AC:AC,"&lt;"&amp;'Supply planning data'!D447)-SUMIFS(M:M,D:D,"&lt;="&amp;D432,C:C,C432)-SUMIFS(AJ:AJ,D:D,"&lt;="&amp;D432,C:C,C432)+SUMIFS(N:N,D:D,"&lt;="&amp;D432,C:C,C432)+SUMIFS(P:P,D:D,"&lt;="&amp;D432,C:C,C432)&lt;0,0,SUMIFS('Shipments data'!L:L,'Shipments data'!F:F,'Supply planning data'!C432,'Shipments data'!A:A,'Supply planning data'!A432,'Shipments data'!O:O,"received",'Shipments data'!Q:Q,"&lt;"&amp;'Supply planning data'!D447,'Shipments data'!AC:AC,"&lt;"&amp;'Supply planning data'!D447)-SUMIFS(M:M,D:D,"&lt;="&amp;D432,C:C,C432)-SUMIFS(AJ:AJ,D:D,"&lt;="&amp;D432,C:C,C432)+SUMIFS(N:N,D:D,"&lt;="&amp;D432,C:C,C432)+SUMIFS(P:P,D:D,"&lt;="&amp;D432,C:C,C432))</f>
        <v>0</v>
      </c>
      <c r="AM432" s="98">
        <f t="shared" si="138"/>
        <v>0</v>
      </c>
      <c r="AN432" s="98">
        <f t="shared" si="131"/>
        <v>0</v>
      </c>
      <c r="AO432" s="203" t="str">
        <f t="shared" si="141"/>
        <v/>
      </c>
    </row>
    <row r="433" spans="1:41" hidden="1" x14ac:dyDescent="0.25">
      <c r="A433" s="95" t="str">
        <f>Start!D$7</f>
        <v>Anyland</v>
      </c>
      <c r="B433" s="96" t="str">
        <f>VLOOKUP(A433,list!B:C,2,FALSE)</f>
        <v>ANY</v>
      </c>
      <c r="C433" s="90" t="str">
        <f>IF(Start!$C$25="","",Start!$C$25)</f>
        <v/>
      </c>
      <c r="D433" s="296">
        <f t="shared" si="132"/>
        <v>45047</v>
      </c>
      <c r="E433" s="92" t="str">
        <f>IFERROR(VLOOKUP(C433,Start!C$15:D$31,2,FALSE),"No")</f>
        <v>No</v>
      </c>
      <c r="F433" s="92">
        <f t="shared" si="133"/>
        <v>0</v>
      </c>
      <c r="G433" s="91"/>
      <c r="H433" s="97"/>
      <c r="I433" s="97"/>
      <c r="J433" s="98">
        <f t="shared" si="125"/>
        <v>0</v>
      </c>
      <c r="K433" s="97"/>
      <c r="L433" s="175" t="str">
        <f t="shared" si="126"/>
        <v/>
      </c>
      <c r="M433" s="98">
        <f t="shared" si="127"/>
        <v>0</v>
      </c>
      <c r="N433" s="97"/>
      <c r="O433" s="122"/>
      <c r="P433" s="97"/>
      <c r="Q433" s="122"/>
      <c r="R433" s="98">
        <f>SUMIFS('Shipments data'!L:L,'Shipments data'!F:F,'Supply planning data'!C433,'Shipments data'!A:A,'Supply planning data'!A433,'Shipments data'!Y:Y,'Supply planning data'!D433,'Shipments data'!O:O,"received", 'Shipments data'!N:N, "Public")</f>
        <v>0</v>
      </c>
      <c r="S433" s="98">
        <f>SUMIFS('Shipments data'!L:L,'Shipments data'!F:F,'Supply planning data'!C433,'Shipments data'!A:A,'Supply planning data'!A433,'Shipments data'!Y:Y,'Supply planning data'!D433,'Shipments data'!O:O,"ordered", 'Shipments data'!N:N, "Public")</f>
        <v>0</v>
      </c>
      <c r="T433" s="98">
        <f>IF(SUMIFS('Shipments data'!L:L,'Shipments data'!F:F,'Supply planning data'!C433,'Shipments data'!A:A,'Supply planning data'!A433,'Shipments data'!O:O,"received",'Shipments data'!Q:Q,"&lt;"&amp;'Supply planning data'!D448,'Shipments data'!AC:AC,"&lt;"&amp;'Supply planning data'!D448)-SUMIFS(M:M,D:D,"&lt;="&amp;D433,C:C,C433)+SUMIFS(N:N,D:D,"&lt;="&amp;D433,C:C,C433)+SUMIFS(P:P,D:D,"&lt;="&amp;D433,C:C,C433)&lt;0,0,SUMIFS('Shipments data'!L:L,'Shipments data'!F:F,'Supply planning data'!C433,'Shipments data'!A:A,'Supply planning data'!A433,'Shipments data'!O:O,"received",'Shipments data'!Q:Q,"&lt;"&amp;'Supply planning data'!D448,'Shipments data'!AC:AC,"&lt;"&amp;'Supply planning data'!D448)-SUMIFS(M:M,D:D,"&lt;="&amp;D433,C:C,C433)+SUMIFS(N:N,D:D,"&lt;="&amp;D433,C:C,C433)+SUMIFS(P:P,D:D,"&lt;="&amp;D433,C:C,C433))</f>
        <v>0</v>
      </c>
      <c r="U433" s="99">
        <f t="shared" si="134"/>
        <v>0</v>
      </c>
      <c r="V433" s="98">
        <f t="shared" si="124"/>
        <v>0</v>
      </c>
      <c r="W433" s="203" t="str">
        <f t="shared" si="140"/>
        <v/>
      </c>
      <c r="X433" s="98">
        <f t="shared" si="135"/>
        <v>0</v>
      </c>
      <c r="Y433" s="97"/>
      <c r="Z433" s="93"/>
      <c r="AA433" s="98">
        <f t="shared" si="128"/>
        <v>0</v>
      </c>
      <c r="AB433" s="233"/>
      <c r="AC433" s="98">
        <f>IF(SUMIFS('Shipments data'!L:L,'Shipments data'!F:F,'Supply planning data'!C433,'Shipments data'!A:A,'Supply planning data'!A433,'Shipments data'!O:O,"received",'Shipments data'!Q:Q,"&lt;"&amp;'Supply planning data'!D448,'Shipments data'!AC:AC,"&lt;"&amp;'Supply planning data'!D448)-SUMIFS(M:M,D:D,"&lt;="&amp;D433,C:C,C433)-SUMIFS(AA:AA,D:D,"&lt;="&amp;D433,C:C,C433)+SUMIFS(N:N,D:D,"&lt;="&amp;D433,C:C,C433)+SUMIFS(P:P,D:D,"&lt;="&amp;D433,C:C,C433)&lt;0,0,SUMIFS('Shipments data'!L:L,'Shipments data'!F:F,'Supply planning data'!C433,'Shipments data'!A:A,'Supply planning data'!A433,'Shipments data'!O:O,"received",'Shipments data'!Q:Q,"&lt;"&amp;'Supply planning data'!D448,'Shipments data'!AC:AC,"&lt;"&amp;'Supply planning data'!D448)-SUMIFS(M:M,D:D,"&lt;="&amp;D433,C:C,C433)-SUMIFS(AA:AA,D:D,"&lt;="&amp;D433,C:C,C433)+SUMIFS(N:N,D:D,"&lt;="&amp;D433,C:C,C433)+SUMIFS(P:P,D:D,"&lt;="&amp;D433,C:C,C433))</f>
        <v>0</v>
      </c>
      <c r="AD433" s="98">
        <f t="shared" si="136"/>
        <v>0</v>
      </c>
      <c r="AE433" s="98">
        <f t="shared" si="130"/>
        <v>0</v>
      </c>
      <c r="AF433" s="205" t="str">
        <f t="shared" si="139"/>
        <v/>
      </c>
      <c r="AG433" s="98">
        <f t="shared" si="137"/>
        <v>0</v>
      </c>
      <c r="AH433" s="97"/>
      <c r="AI433" s="311"/>
      <c r="AJ433" s="98">
        <f t="shared" si="129"/>
        <v>0</v>
      </c>
      <c r="AK433" s="233"/>
      <c r="AL433" s="98">
        <f>IF(SUMIFS('Shipments data'!L:L,'Shipments data'!F:F,'Supply planning data'!C433,'Shipments data'!A:A,'Supply planning data'!A433,'Shipments data'!O:O,"received",'Shipments data'!Q:Q,"&lt;"&amp;'Supply planning data'!D448,'Shipments data'!AC:AC,"&lt;"&amp;'Supply planning data'!D448)-SUMIFS(M:M,D:D,"&lt;="&amp;D433,C:C,C433)-SUMIFS(AJ:AJ,D:D,"&lt;="&amp;D433,C:C,C433)+SUMIFS(N:N,D:D,"&lt;="&amp;D433,C:C,C433)+SUMIFS(P:P,D:D,"&lt;="&amp;D433,C:C,C433)&lt;0,0,SUMIFS('Shipments data'!L:L,'Shipments data'!F:F,'Supply planning data'!C433,'Shipments data'!A:A,'Supply planning data'!A433,'Shipments data'!O:O,"received",'Shipments data'!Q:Q,"&lt;"&amp;'Supply planning data'!D448,'Shipments data'!AC:AC,"&lt;"&amp;'Supply planning data'!D448)-SUMIFS(M:M,D:D,"&lt;="&amp;D433,C:C,C433)-SUMIFS(AJ:AJ,D:D,"&lt;="&amp;D433,C:C,C433)+SUMIFS(N:N,D:D,"&lt;="&amp;D433,C:C,C433)+SUMIFS(P:P,D:D,"&lt;="&amp;D433,C:C,C433))</f>
        <v>0</v>
      </c>
      <c r="AM433" s="98">
        <f t="shared" si="138"/>
        <v>0</v>
      </c>
      <c r="AN433" s="98">
        <f t="shared" si="131"/>
        <v>0</v>
      </c>
      <c r="AO433" s="203" t="str">
        <f t="shared" si="141"/>
        <v/>
      </c>
    </row>
    <row r="434" spans="1:41" hidden="1" x14ac:dyDescent="0.25">
      <c r="A434" s="95" t="str">
        <f>Start!D$7</f>
        <v>Anyland</v>
      </c>
      <c r="B434" s="96" t="str">
        <f>VLOOKUP(A434,list!B:C,2,FALSE)</f>
        <v>ANY</v>
      </c>
      <c r="C434" s="90" t="str">
        <f>IF(Start!$C$26="","",Start!$C$26)</f>
        <v/>
      </c>
      <c r="D434" s="296">
        <f t="shared" si="132"/>
        <v>45047</v>
      </c>
      <c r="E434" s="92" t="str">
        <f>IFERROR(VLOOKUP(C434,Start!C$15:D$31,2,FALSE),"No")</f>
        <v>No</v>
      </c>
      <c r="F434" s="92">
        <f t="shared" si="133"/>
        <v>0</v>
      </c>
      <c r="G434" s="91"/>
      <c r="H434" s="97"/>
      <c r="I434" s="97"/>
      <c r="J434" s="98">
        <f t="shared" si="125"/>
        <v>0</v>
      </c>
      <c r="K434" s="97"/>
      <c r="L434" s="175" t="str">
        <f t="shared" si="126"/>
        <v/>
      </c>
      <c r="M434" s="98">
        <f t="shared" si="127"/>
        <v>0</v>
      </c>
      <c r="N434" s="97"/>
      <c r="O434" s="122"/>
      <c r="P434" s="97"/>
      <c r="Q434" s="122"/>
      <c r="R434" s="98">
        <f>SUMIFS('Shipments data'!L:L,'Shipments data'!F:F,'Supply planning data'!C434,'Shipments data'!A:A,'Supply planning data'!A434,'Shipments data'!Y:Y,'Supply planning data'!D434,'Shipments data'!O:O,"received", 'Shipments data'!N:N, "Public")</f>
        <v>0</v>
      </c>
      <c r="S434" s="98">
        <f>SUMIFS('Shipments data'!L:L,'Shipments data'!F:F,'Supply planning data'!C434,'Shipments data'!A:A,'Supply planning data'!A434,'Shipments data'!Y:Y,'Supply planning data'!D434,'Shipments data'!O:O,"ordered", 'Shipments data'!N:N, "Public")</f>
        <v>0</v>
      </c>
      <c r="T434" s="98">
        <f>IF(SUMIFS('Shipments data'!L:L,'Shipments data'!F:F,'Supply planning data'!C434,'Shipments data'!A:A,'Supply planning data'!A434,'Shipments data'!O:O,"received",'Shipments data'!Q:Q,"&lt;"&amp;'Supply planning data'!D449,'Shipments data'!AC:AC,"&lt;"&amp;'Supply planning data'!D449)-SUMIFS(M:M,D:D,"&lt;="&amp;D434,C:C,C434)+SUMIFS(N:N,D:D,"&lt;="&amp;D434,C:C,C434)+SUMIFS(P:P,D:D,"&lt;="&amp;D434,C:C,C434)&lt;0,0,SUMIFS('Shipments data'!L:L,'Shipments data'!F:F,'Supply planning data'!C434,'Shipments data'!A:A,'Supply planning data'!A434,'Shipments data'!O:O,"received",'Shipments data'!Q:Q,"&lt;"&amp;'Supply planning data'!D449,'Shipments data'!AC:AC,"&lt;"&amp;'Supply planning data'!D449)-SUMIFS(M:M,D:D,"&lt;="&amp;D434,C:C,C434)+SUMIFS(N:N,D:D,"&lt;="&amp;D434,C:C,C434)+SUMIFS(P:P,D:D,"&lt;="&amp;D434,C:C,C434))</f>
        <v>0</v>
      </c>
      <c r="U434" s="99">
        <f t="shared" si="134"/>
        <v>0</v>
      </c>
      <c r="V434" s="98">
        <f t="shared" si="124"/>
        <v>0</v>
      </c>
      <c r="W434" s="203" t="str">
        <f t="shared" si="140"/>
        <v/>
      </c>
      <c r="X434" s="98">
        <f t="shared" si="135"/>
        <v>0</v>
      </c>
      <c r="Y434" s="97"/>
      <c r="Z434" s="93"/>
      <c r="AA434" s="98">
        <f t="shared" si="128"/>
        <v>0</v>
      </c>
      <c r="AB434" s="233"/>
      <c r="AC434" s="98">
        <f>IF(SUMIFS('Shipments data'!L:L,'Shipments data'!F:F,'Supply planning data'!C434,'Shipments data'!A:A,'Supply planning data'!A434,'Shipments data'!O:O,"received",'Shipments data'!Q:Q,"&lt;"&amp;'Supply planning data'!D449,'Shipments data'!AC:AC,"&lt;"&amp;'Supply planning data'!D449)-SUMIFS(M:M,D:D,"&lt;="&amp;D434,C:C,C434)-SUMIFS(AA:AA,D:D,"&lt;="&amp;D434,C:C,C434)+SUMIFS(N:N,D:D,"&lt;="&amp;D434,C:C,C434)+SUMIFS(P:P,D:D,"&lt;="&amp;D434,C:C,C434)&lt;0,0,SUMIFS('Shipments data'!L:L,'Shipments data'!F:F,'Supply planning data'!C434,'Shipments data'!A:A,'Supply planning data'!A434,'Shipments data'!O:O,"received",'Shipments data'!Q:Q,"&lt;"&amp;'Supply planning data'!D449,'Shipments data'!AC:AC,"&lt;"&amp;'Supply planning data'!D449)-SUMIFS(M:M,D:D,"&lt;="&amp;D434,C:C,C434)-SUMIFS(AA:AA,D:D,"&lt;="&amp;D434,C:C,C434)+SUMIFS(N:N,D:D,"&lt;="&amp;D434,C:C,C434)+SUMIFS(P:P,D:D,"&lt;="&amp;D434,C:C,C434))</f>
        <v>0</v>
      </c>
      <c r="AD434" s="98">
        <f t="shared" si="136"/>
        <v>0</v>
      </c>
      <c r="AE434" s="98">
        <f t="shared" si="130"/>
        <v>0</v>
      </c>
      <c r="AF434" s="205" t="str">
        <f t="shared" si="139"/>
        <v/>
      </c>
      <c r="AG434" s="98">
        <f t="shared" si="137"/>
        <v>0</v>
      </c>
      <c r="AH434" s="97"/>
      <c r="AI434" s="311"/>
      <c r="AJ434" s="98">
        <f t="shared" si="129"/>
        <v>0</v>
      </c>
      <c r="AK434" s="233"/>
      <c r="AL434" s="98">
        <f>IF(SUMIFS('Shipments data'!L:L,'Shipments data'!F:F,'Supply planning data'!C434,'Shipments data'!A:A,'Supply planning data'!A434,'Shipments data'!O:O,"received",'Shipments data'!Q:Q,"&lt;"&amp;'Supply planning data'!D449,'Shipments data'!AC:AC,"&lt;"&amp;'Supply planning data'!D449)-SUMIFS(M:M,D:D,"&lt;="&amp;D434,C:C,C434)-SUMIFS(AJ:AJ,D:D,"&lt;="&amp;D434,C:C,C434)+SUMIFS(N:N,D:D,"&lt;="&amp;D434,C:C,C434)+SUMIFS(P:P,D:D,"&lt;="&amp;D434,C:C,C434)&lt;0,0,SUMIFS('Shipments data'!L:L,'Shipments data'!F:F,'Supply planning data'!C434,'Shipments data'!A:A,'Supply planning data'!A434,'Shipments data'!O:O,"received",'Shipments data'!Q:Q,"&lt;"&amp;'Supply planning data'!D449,'Shipments data'!AC:AC,"&lt;"&amp;'Supply planning data'!D449)-SUMIFS(M:M,D:D,"&lt;="&amp;D434,C:C,C434)-SUMIFS(AJ:AJ,D:D,"&lt;="&amp;D434,C:C,C434)+SUMIFS(N:N,D:D,"&lt;="&amp;D434,C:C,C434)+SUMIFS(P:P,D:D,"&lt;="&amp;D434,C:C,C434))</f>
        <v>0</v>
      </c>
      <c r="AM434" s="98">
        <f t="shared" si="138"/>
        <v>0</v>
      </c>
      <c r="AN434" s="98">
        <f t="shared" si="131"/>
        <v>0</v>
      </c>
      <c r="AO434" s="203" t="str">
        <f t="shared" si="141"/>
        <v/>
      </c>
    </row>
    <row r="435" spans="1:41" hidden="1" x14ac:dyDescent="0.25">
      <c r="A435" s="95" t="str">
        <f>Start!D$7</f>
        <v>Anyland</v>
      </c>
      <c r="B435" s="96" t="str">
        <f>VLOOKUP(A435,list!B:C,2,FALSE)</f>
        <v>ANY</v>
      </c>
      <c r="C435" s="90" t="str">
        <f>IF(Start!$C$27="","",Start!$C$27)</f>
        <v/>
      </c>
      <c r="D435" s="296">
        <f t="shared" si="132"/>
        <v>45047</v>
      </c>
      <c r="E435" s="92" t="str">
        <f>IFERROR(VLOOKUP(C435,Start!C$15:D$31,2,FALSE),"No")</f>
        <v>No</v>
      </c>
      <c r="F435" s="92">
        <f t="shared" si="133"/>
        <v>0</v>
      </c>
      <c r="G435" s="91"/>
      <c r="H435" s="97"/>
      <c r="I435" s="97"/>
      <c r="J435" s="98">
        <f t="shared" si="125"/>
        <v>0</v>
      </c>
      <c r="K435" s="97"/>
      <c r="L435" s="175" t="str">
        <f t="shared" si="126"/>
        <v/>
      </c>
      <c r="M435" s="98">
        <f t="shared" si="127"/>
        <v>0</v>
      </c>
      <c r="N435" s="97"/>
      <c r="O435" s="122"/>
      <c r="P435" s="97"/>
      <c r="Q435" s="122"/>
      <c r="R435" s="98">
        <f>SUMIFS('Shipments data'!L:L,'Shipments data'!F:F,'Supply planning data'!C435,'Shipments data'!A:A,'Supply planning data'!A435,'Shipments data'!Y:Y,'Supply planning data'!D435,'Shipments data'!O:O,"received", 'Shipments data'!N:N, "Public")</f>
        <v>0</v>
      </c>
      <c r="S435" s="98">
        <f>SUMIFS('Shipments data'!L:L,'Shipments data'!F:F,'Supply planning data'!C435,'Shipments data'!A:A,'Supply planning data'!A435,'Shipments data'!Y:Y,'Supply planning data'!D435,'Shipments data'!O:O,"ordered", 'Shipments data'!N:N, "Public")</f>
        <v>0</v>
      </c>
      <c r="T435" s="98">
        <f>IF(SUMIFS('Shipments data'!L:L,'Shipments data'!F:F,'Supply planning data'!C435,'Shipments data'!A:A,'Supply planning data'!A435,'Shipments data'!O:O,"received",'Shipments data'!Q:Q,"&lt;"&amp;'Supply planning data'!D450,'Shipments data'!AC:AC,"&lt;"&amp;'Supply planning data'!D450)-SUMIFS(M:M,D:D,"&lt;="&amp;D435,C:C,C435)+SUMIFS(N:N,D:D,"&lt;="&amp;D435,C:C,C435)+SUMIFS(P:P,D:D,"&lt;="&amp;D435,C:C,C435)&lt;0,0,SUMIFS('Shipments data'!L:L,'Shipments data'!F:F,'Supply planning data'!C435,'Shipments data'!A:A,'Supply planning data'!A435,'Shipments data'!O:O,"received",'Shipments data'!Q:Q,"&lt;"&amp;'Supply planning data'!D450,'Shipments data'!AC:AC,"&lt;"&amp;'Supply planning data'!D450)-SUMIFS(M:M,D:D,"&lt;="&amp;D435,C:C,C435)+SUMIFS(N:N,D:D,"&lt;="&amp;D435,C:C,C435)+SUMIFS(P:P,D:D,"&lt;="&amp;D435,C:C,C435))</f>
        <v>0</v>
      </c>
      <c r="U435" s="99">
        <f t="shared" si="134"/>
        <v>0</v>
      </c>
      <c r="V435" s="98">
        <f t="shared" ref="V435:V498" si="142">IF(F435-M435+N435+P435+R435+S435-U435&lt;0,0,F435-M435+N435+P435+R435+S435-U435)</f>
        <v>0</v>
      </c>
      <c r="W435" s="203" t="str">
        <f t="shared" si="140"/>
        <v/>
      </c>
      <c r="X435" s="98">
        <f t="shared" si="135"/>
        <v>0</v>
      </c>
      <c r="Y435" s="97"/>
      <c r="Z435" s="93"/>
      <c r="AA435" s="98">
        <f t="shared" si="128"/>
        <v>0</v>
      </c>
      <c r="AB435" s="233"/>
      <c r="AC435" s="98">
        <f>IF(SUMIFS('Shipments data'!L:L,'Shipments data'!F:F,'Supply planning data'!C435,'Shipments data'!A:A,'Supply planning data'!A435,'Shipments data'!O:O,"received",'Shipments data'!Q:Q,"&lt;"&amp;'Supply planning data'!D450,'Shipments data'!AC:AC,"&lt;"&amp;'Supply planning data'!D450)-SUMIFS(M:M,D:D,"&lt;="&amp;D435,C:C,C435)-SUMIFS(AA:AA,D:D,"&lt;="&amp;D435,C:C,C435)+SUMIFS(N:N,D:D,"&lt;="&amp;D435,C:C,C435)+SUMIFS(P:P,D:D,"&lt;="&amp;D435,C:C,C435)&lt;0,0,SUMIFS('Shipments data'!L:L,'Shipments data'!F:F,'Supply planning data'!C435,'Shipments data'!A:A,'Supply planning data'!A435,'Shipments data'!O:O,"received",'Shipments data'!Q:Q,"&lt;"&amp;'Supply planning data'!D450,'Shipments data'!AC:AC,"&lt;"&amp;'Supply planning data'!D450)-SUMIFS(M:M,D:D,"&lt;="&amp;D435,C:C,C435)-SUMIFS(AA:AA,D:D,"&lt;="&amp;D435,C:C,C435)+SUMIFS(N:N,D:D,"&lt;="&amp;D435,C:C,C435)+SUMIFS(P:P,D:D,"&lt;="&amp;D435,C:C,C435))</f>
        <v>0</v>
      </c>
      <c r="AD435" s="98">
        <f t="shared" si="136"/>
        <v>0</v>
      </c>
      <c r="AE435" s="98">
        <f t="shared" si="130"/>
        <v>0</v>
      </c>
      <c r="AF435" s="205" t="str">
        <f t="shared" si="139"/>
        <v/>
      </c>
      <c r="AG435" s="98">
        <f t="shared" si="137"/>
        <v>0</v>
      </c>
      <c r="AH435" s="97"/>
      <c r="AI435" s="311"/>
      <c r="AJ435" s="98">
        <f t="shared" si="129"/>
        <v>0</v>
      </c>
      <c r="AK435" s="233"/>
      <c r="AL435" s="98">
        <f>IF(SUMIFS('Shipments data'!L:L,'Shipments data'!F:F,'Supply planning data'!C435,'Shipments data'!A:A,'Supply planning data'!A435,'Shipments data'!O:O,"received",'Shipments data'!Q:Q,"&lt;"&amp;'Supply planning data'!D450,'Shipments data'!AC:AC,"&lt;"&amp;'Supply planning data'!D450)-SUMIFS(M:M,D:D,"&lt;="&amp;D435,C:C,C435)-SUMIFS(AJ:AJ,D:D,"&lt;="&amp;D435,C:C,C435)+SUMIFS(N:N,D:D,"&lt;="&amp;D435,C:C,C435)+SUMIFS(P:P,D:D,"&lt;="&amp;D435,C:C,C435)&lt;0,0,SUMIFS('Shipments data'!L:L,'Shipments data'!F:F,'Supply planning data'!C435,'Shipments data'!A:A,'Supply planning data'!A435,'Shipments data'!O:O,"received",'Shipments data'!Q:Q,"&lt;"&amp;'Supply planning data'!D450,'Shipments data'!AC:AC,"&lt;"&amp;'Supply planning data'!D450)-SUMIFS(M:M,D:D,"&lt;="&amp;D435,C:C,C435)-SUMIFS(AJ:AJ,D:D,"&lt;="&amp;D435,C:C,C435)+SUMIFS(N:N,D:D,"&lt;="&amp;D435,C:C,C435)+SUMIFS(P:P,D:D,"&lt;="&amp;D435,C:C,C435))</f>
        <v>0</v>
      </c>
      <c r="AM435" s="98">
        <f t="shared" si="138"/>
        <v>0</v>
      </c>
      <c r="AN435" s="98">
        <f t="shared" si="131"/>
        <v>0</v>
      </c>
      <c r="AO435" s="203" t="str">
        <f t="shared" si="141"/>
        <v/>
      </c>
    </row>
    <row r="436" spans="1:41" hidden="1" x14ac:dyDescent="0.25">
      <c r="A436" s="95" t="str">
        <f>Start!D$7</f>
        <v>Anyland</v>
      </c>
      <c r="B436" s="96" t="str">
        <f>VLOOKUP(A436,list!B:C,2,FALSE)</f>
        <v>ANY</v>
      </c>
      <c r="C436" s="90" t="str">
        <f>IF(Start!$C$28="","",Start!$C$28)</f>
        <v/>
      </c>
      <c r="D436" s="296">
        <f t="shared" si="132"/>
        <v>45047</v>
      </c>
      <c r="E436" s="92" t="str">
        <f>IFERROR(VLOOKUP(C436,Start!C$15:D$31,2,FALSE),"No")</f>
        <v>No</v>
      </c>
      <c r="F436" s="92">
        <f t="shared" si="133"/>
        <v>0</v>
      </c>
      <c r="G436" s="91"/>
      <c r="H436" s="97"/>
      <c r="I436" s="97"/>
      <c r="J436" s="98">
        <f t="shared" si="125"/>
        <v>0</v>
      </c>
      <c r="K436" s="97"/>
      <c r="L436" s="175" t="str">
        <f t="shared" si="126"/>
        <v/>
      </c>
      <c r="M436" s="98">
        <f t="shared" si="127"/>
        <v>0</v>
      </c>
      <c r="N436" s="97"/>
      <c r="O436" s="122"/>
      <c r="P436" s="97"/>
      <c r="Q436" s="122"/>
      <c r="R436" s="98">
        <f>SUMIFS('Shipments data'!L:L,'Shipments data'!F:F,'Supply planning data'!C436,'Shipments data'!A:A,'Supply planning data'!A436,'Shipments data'!Y:Y,'Supply planning data'!D436,'Shipments data'!O:O,"received", 'Shipments data'!N:N, "Public")</f>
        <v>0</v>
      </c>
      <c r="S436" s="98">
        <f>SUMIFS('Shipments data'!L:L,'Shipments data'!F:F,'Supply planning data'!C436,'Shipments data'!A:A,'Supply planning data'!A436,'Shipments data'!Y:Y,'Supply planning data'!D436,'Shipments data'!O:O,"ordered", 'Shipments data'!N:N, "Public")</f>
        <v>0</v>
      </c>
      <c r="T436" s="98">
        <f>IF(SUMIFS('Shipments data'!L:L,'Shipments data'!F:F,'Supply planning data'!C436,'Shipments data'!A:A,'Supply planning data'!A436,'Shipments data'!O:O,"received",'Shipments data'!Q:Q,"&lt;"&amp;'Supply planning data'!D451,'Shipments data'!AC:AC,"&lt;"&amp;'Supply planning data'!D451)-SUMIFS(M:M,D:D,"&lt;="&amp;D436,C:C,C436)+SUMIFS(N:N,D:D,"&lt;="&amp;D436,C:C,C436)+SUMIFS(P:P,D:D,"&lt;="&amp;D436,C:C,C436)&lt;0,0,SUMIFS('Shipments data'!L:L,'Shipments data'!F:F,'Supply planning data'!C436,'Shipments data'!A:A,'Supply planning data'!A436,'Shipments data'!O:O,"received",'Shipments data'!Q:Q,"&lt;"&amp;'Supply planning data'!D451,'Shipments data'!AC:AC,"&lt;"&amp;'Supply planning data'!D451)-SUMIFS(M:M,D:D,"&lt;="&amp;D436,C:C,C436)+SUMIFS(N:N,D:D,"&lt;="&amp;D436,C:C,C436)+SUMIFS(P:P,D:D,"&lt;="&amp;D436,C:C,C436))</f>
        <v>0</v>
      </c>
      <c r="U436" s="99">
        <f t="shared" si="134"/>
        <v>0</v>
      </c>
      <c r="V436" s="98">
        <f t="shared" si="142"/>
        <v>0</v>
      </c>
      <c r="W436" s="203" t="str">
        <f t="shared" si="140"/>
        <v/>
      </c>
      <c r="X436" s="98">
        <f t="shared" si="135"/>
        <v>0</v>
      </c>
      <c r="Y436" s="97"/>
      <c r="Z436" s="93"/>
      <c r="AA436" s="98">
        <f t="shared" si="128"/>
        <v>0</v>
      </c>
      <c r="AB436" s="233"/>
      <c r="AC436" s="98">
        <f>IF(SUMIFS('Shipments data'!L:L,'Shipments data'!F:F,'Supply planning data'!C436,'Shipments data'!A:A,'Supply planning data'!A436,'Shipments data'!O:O,"received",'Shipments data'!Q:Q,"&lt;"&amp;'Supply planning data'!D451,'Shipments data'!AC:AC,"&lt;"&amp;'Supply planning data'!D451)-SUMIFS(M:M,D:D,"&lt;="&amp;D436,C:C,C436)-SUMIFS(AA:AA,D:D,"&lt;="&amp;D436,C:C,C436)+SUMIFS(N:N,D:D,"&lt;="&amp;D436,C:C,C436)+SUMIFS(P:P,D:D,"&lt;="&amp;D436,C:C,C436)&lt;0,0,SUMIFS('Shipments data'!L:L,'Shipments data'!F:F,'Supply planning data'!C436,'Shipments data'!A:A,'Supply planning data'!A436,'Shipments data'!O:O,"received",'Shipments data'!Q:Q,"&lt;"&amp;'Supply planning data'!D451,'Shipments data'!AC:AC,"&lt;"&amp;'Supply planning data'!D451)-SUMIFS(M:M,D:D,"&lt;="&amp;D436,C:C,C436)-SUMIFS(AA:AA,D:D,"&lt;="&amp;D436,C:C,C436)+SUMIFS(N:N,D:D,"&lt;="&amp;D436,C:C,C436)+SUMIFS(P:P,D:D,"&lt;="&amp;D436,C:C,C436))</f>
        <v>0</v>
      </c>
      <c r="AD436" s="98">
        <f t="shared" si="136"/>
        <v>0</v>
      </c>
      <c r="AE436" s="98">
        <f t="shared" si="130"/>
        <v>0</v>
      </c>
      <c r="AF436" s="205" t="str">
        <f t="shared" si="139"/>
        <v/>
      </c>
      <c r="AG436" s="98">
        <f t="shared" si="137"/>
        <v>0</v>
      </c>
      <c r="AH436" s="97"/>
      <c r="AI436" s="311"/>
      <c r="AJ436" s="98">
        <f t="shared" si="129"/>
        <v>0</v>
      </c>
      <c r="AK436" s="233"/>
      <c r="AL436" s="98">
        <f>IF(SUMIFS('Shipments data'!L:L,'Shipments data'!F:F,'Supply planning data'!C436,'Shipments data'!A:A,'Supply planning data'!A436,'Shipments data'!O:O,"received",'Shipments data'!Q:Q,"&lt;"&amp;'Supply planning data'!D451,'Shipments data'!AC:AC,"&lt;"&amp;'Supply planning data'!D451)-SUMIFS(M:M,D:D,"&lt;="&amp;D436,C:C,C436)-SUMIFS(AJ:AJ,D:D,"&lt;="&amp;D436,C:C,C436)+SUMIFS(N:N,D:D,"&lt;="&amp;D436,C:C,C436)+SUMIFS(P:P,D:D,"&lt;="&amp;D436,C:C,C436)&lt;0,0,SUMIFS('Shipments data'!L:L,'Shipments data'!F:F,'Supply planning data'!C436,'Shipments data'!A:A,'Supply planning data'!A436,'Shipments data'!O:O,"received",'Shipments data'!Q:Q,"&lt;"&amp;'Supply planning data'!D451,'Shipments data'!AC:AC,"&lt;"&amp;'Supply planning data'!D451)-SUMIFS(M:M,D:D,"&lt;="&amp;D436,C:C,C436)-SUMIFS(AJ:AJ,D:D,"&lt;="&amp;D436,C:C,C436)+SUMIFS(N:N,D:D,"&lt;="&amp;D436,C:C,C436)+SUMIFS(P:P,D:D,"&lt;="&amp;D436,C:C,C436))</f>
        <v>0</v>
      </c>
      <c r="AM436" s="98">
        <f t="shared" si="138"/>
        <v>0</v>
      </c>
      <c r="AN436" s="98">
        <f t="shared" si="131"/>
        <v>0</v>
      </c>
      <c r="AO436" s="203" t="str">
        <f t="shared" si="141"/>
        <v/>
      </c>
    </row>
    <row r="437" spans="1:41" hidden="1" x14ac:dyDescent="0.25">
      <c r="A437" s="95" t="str">
        <f>Start!D$7</f>
        <v>Anyland</v>
      </c>
      <c r="B437" s="96" t="str">
        <f>VLOOKUP(A437,list!B:C,2,FALSE)</f>
        <v>ANY</v>
      </c>
      <c r="C437" s="90" t="str">
        <f>IF(Start!$C$29="","",Start!$C$29)</f>
        <v/>
      </c>
      <c r="D437" s="296">
        <f t="shared" si="132"/>
        <v>45047</v>
      </c>
      <c r="E437" s="92" t="str">
        <f>IFERROR(VLOOKUP(C437,Start!C$15:D$31,2,FALSE),"No")</f>
        <v>No</v>
      </c>
      <c r="F437" s="92">
        <f t="shared" si="133"/>
        <v>0</v>
      </c>
      <c r="G437" s="91"/>
      <c r="H437" s="97"/>
      <c r="I437" s="97"/>
      <c r="J437" s="98">
        <f t="shared" si="125"/>
        <v>0</v>
      </c>
      <c r="K437" s="97"/>
      <c r="L437" s="175" t="str">
        <f t="shared" si="126"/>
        <v/>
      </c>
      <c r="M437" s="98">
        <f t="shared" si="127"/>
        <v>0</v>
      </c>
      <c r="N437" s="97"/>
      <c r="O437" s="122"/>
      <c r="P437" s="97"/>
      <c r="Q437" s="122"/>
      <c r="R437" s="98">
        <f>SUMIFS('Shipments data'!L:L,'Shipments data'!F:F,'Supply planning data'!C437,'Shipments data'!A:A,'Supply planning data'!A437,'Shipments data'!Y:Y,'Supply planning data'!D437,'Shipments data'!O:O,"received", 'Shipments data'!N:N, "Public")</f>
        <v>0</v>
      </c>
      <c r="S437" s="98">
        <f>SUMIFS('Shipments data'!L:L,'Shipments data'!F:F,'Supply planning data'!C437,'Shipments data'!A:A,'Supply planning data'!A437,'Shipments data'!Y:Y,'Supply planning data'!D437,'Shipments data'!O:O,"ordered", 'Shipments data'!N:N, "Public")</f>
        <v>0</v>
      </c>
      <c r="T437" s="98">
        <f>IF(SUMIFS('Shipments data'!L:L,'Shipments data'!F:F,'Supply planning data'!C437,'Shipments data'!A:A,'Supply planning data'!A437,'Shipments data'!O:O,"received",'Shipments data'!Q:Q,"&lt;"&amp;'Supply planning data'!D452,'Shipments data'!AC:AC,"&lt;"&amp;'Supply planning data'!D452)-SUMIFS(M:M,D:D,"&lt;="&amp;D437,C:C,C437)+SUMIFS(N:N,D:D,"&lt;="&amp;D437,C:C,C437)+SUMIFS(P:P,D:D,"&lt;="&amp;D437,C:C,C437)&lt;0,0,SUMIFS('Shipments data'!L:L,'Shipments data'!F:F,'Supply planning data'!C437,'Shipments data'!A:A,'Supply planning data'!A437,'Shipments data'!O:O,"received",'Shipments data'!Q:Q,"&lt;"&amp;'Supply planning data'!D452,'Shipments data'!AC:AC,"&lt;"&amp;'Supply planning data'!D452)-SUMIFS(M:M,D:D,"&lt;="&amp;D437,C:C,C437)+SUMIFS(N:N,D:D,"&lt;="&amp;D437,C:C,C437)+SUMIFS(P:P,D:D,"&lt;="&amp;D437,C:C,C437))</f>
        <v>0</v>
      </c>
      <c r="U437" s="99">
        <f t="shared" si="134"/>
        <v>0</v>
      </c>
      <c r="V437" s="98">
        <f t="shared" si="142"/>
        <v>0</v>
      </c>
      <c r="W437" s="203" t="str">
        <f t="shared" si="140"/>
        <v/>
      </c>
      <c r="X437" s="98">
        <f t="shared" si="135"/>
        <v>0</v>
      </c>
      <c r="Y437" s="97"/>
      <c r="Z437" s="93"/>
      <c r="AA437" s="98">
        <f t="shared" si="128"/>
        <v>0</v>
      </c>
      <c r="AB437" s="233"/>
      <c r="AC437" s="98">
        <f>IF(SUMIFS('Shipments data'!L:L,'Shipments data'!F:F,'Supply planning data'!C437,'Shipments data'!A:A,'Supply planning data'!A437,'Shipments data'!O:O,"received",'Shipments data'!Q:Q,"&lt;"&amp;'Supply planning data'!D452,'Shipments data'!AC:AC,"&lt;"&amp;'Supply planning data'!D452)-SUMIFS(M:M,D:D,"&lt;="&amp;D437,C:C,C437)-SUMIFS(AA:AA,D:D,"&lt;="&amp;D437,C:C,C437)+SUMIFS(N:N,D:D,"&lt;="&amp;D437,C:C,C437)+SUMIFS(P:P,D:D,"&lt;="&amp;D437,C:C,C437)&lt;0,0,SUMIFS('Shipments data'!L:L,'Shipments data'!F:F,'Supply planning data'!C437,'Shipments data'!A:A,'Supply planning data'!A437,'Shipments data'!O:O,"received",'Shipments data'!Q:Q,"&lt;"&amp;'Supply planning data'!D452,'Shipments data'!AC:AC,"&lt;"&amp;'Supply planning data'!D452)-SUMIFS(M:M,D:D,"&lt;="&amp;D437,C:C,C437)-SUMIFS(AA:AA,D:D,"&lt;="&amp;D437,C:C,C437)+SUMIFS(N:N,D:D,"&lt;="&amp;D437,C:C,C437)+SUMIFS(P:P,D:D,"&lt;="&amp;D437,C:C,C437))</f>
        <v>0</v>
      </c>
      <c r="AD437" s="98">
        <f t="shared" si="136"/>
        <v>0</v>
      </c>
      <c r="AE437" s="98">
        <f t="shared" si="130"/>
        <v>0</v>
      </c>
      <c r="AF437" s="205" t="str">
        <f t="shared" si="139"/>
        <v/>
      </c>
      <c r="AG437" s="98">
        <f t="shared" si="137"/>
        <v>0</v>
      </c>
      <c r="AH437" s="97"/>
      <c r="AI437" s="311"/>
      <c r="AJ437" s="98">
        <f t="shared" si="129"/>
        <v>0</v>
      </c>
      <c r="AK437" s="233"/>
      <c r="AL437" s="98">
        <f>IF(SUMIFS('Shipments data'!L:L,'Shipments data'!F:F,'Supply planning data'!C437,'Shipments data'!A:A,'Supply planning data'!A437,'Shipments data'!O:O,"received",'Shipments data'!Q:Q,"&lt;"&amp;'Supply planning data'!D452,'Shipments data'!AC:AC,"&lt;"&amp;'Supply planning data'!D452)-SUMIFS(M:M,D:D,"&lt;="&amp;D437,C:C,C437)-SUMIFS(AJ:AJ,D:D,"&lt;="&amp;D437,C:C,C437)+SUMIFS(N:N,D:D,"&lt;="&amp;D437,C:C,C437)+SUMIFS(P:P,D:D,"&lt;="&amp;D437,C:C,C437)&lt;0,0,SUMIFS('Shipments data'!L:L,'Shipments data'!F:F,'Supply planning data'!C437,'Shipments data'!A:A,'Supply planning data'!A437,'Shipments data'!O:O,"received",'Shipments data'!Q:Q,"&lt;"&amp;'Supply planning data'!D452,'Shipments data'!AC:AC,"&lt;"&amp;'Supply planning data'!D452)-SUMIFS(M:M,D:D,"&lt;="&amp;D437,C:C,C437)-SUMIFS(AJ:AJ,D:D,"&lt;="&amp;D437,C:C,C437)+SUMIFS(N:N,D:D,"&lt;="&amp;D437,C:C,C437)+SUMIFS(P:P,D:D,"&lt;="&amp;D437,C:C,C437))</f>
        <v>0</v>
      </c>
      <c r="AM437" s="98">
        <f t="shared" si="138"/>
        <v>0</v>
      </c>
      <c r="AN437" s="98">
        <f t="shared" si="131"/>
        <v>0</v>
      </c>
      <c r="AO437" s="203" t="str">
        <f t="shared" si="141"/>
        <v/>
      </c>
    </row>
    <row r="438" spans="1:41" hidden="1" x14ac:dyDescent="0.25">
      <c r="A438" s="95" t="str">
        <f>Start!D$7</f>
        <v>Anyland</v>
      </c>
      <c r="B438" s="96" t="str">
        <f>VLOOKUP(A438,list!B:C,2,FALSE)</f>
        <v>ANY</v>
      </c>
      <c r="C438" s="90" t="str">
        <f>IF(Start!$C$30="","",Start!$C$30)</f>
        <v/>
      </c>
      <c r="D438" s="296">
        <f t="shared" si="132"/>
        <v>45047</v>
      </c>
      <c r="E438" s="92" t="str">
        <f>IFERROR(VLOOKUP(C438,Start!C$15:D$31,2,FALSE),"No")</f>
        <v>No</v>
      </c>
      <c r="F438" s="92">
        <f t="shared" si="133"/>
        <v>0</v>
      </c>
      <c r="G438" s="91"/>
      <c r="H438" s="97"/>
      <c r="I438" s="97"/>
      <c r="J438" s="98">
        <f t="shared" si="125"/>
        <v>0</v>
      </c>
      <c r="K438" s="97"/>
      <c r="L438" s="175" t="str">
        <f t="shared" si="126"/>
        <v/>
      </c>
      <c r="M438" s="98">
        <f t="shared" si="127"/>
        <v>0</v>
      </c>
      <c r="N438" s="97"/>
      <c r="O438" s="122"/>
      <c r="P438" s="97"/>
      <c r="Q438" s="122"/>
      <c r="R438" s="98">
        <f>SUMIFS('Shipments data'!L:L,'Shipments data'!F:F,'Supply planning data'!C438,'Shipments data'!A:A,'Supply planning data'!A438,'Shipments data'!Y:Y,'Supply planning data'!D438,'Shipments data'!O:O,"received", 'Shipments data'!N:N, "Public")</f>
        <v>0</v>
      </c>
      <c r="S438" s="98">
        <f>SUMIFS('Shipments data'!L:L,'Shipments data'!F:F,'Supply planning data'!C438,'Shipments data'!A:A,'Supply planning data'!A438,'Shipments data'!Y:Y,'Supply planning data'!D438,'Shipments data'!O:O,"ordered", 'Shipments data'!N:N, "Public")</f>
        <v>0</v>
      </c>
      <c r="T438" s="98">
        <f>IF(SUMIFS('Shipments data'!L:L,'Shipments data'!F:F,'Supply planning data'!C438,'Shipments data'!A:A,'Supply planning data'!A438,'Shipments data'!O:O,"received",'Shipments data'!Q:Q,"&lt;"&amp;'Supply planning data'!D453,'Shipments data'!AC:AC,"&lt;"&amp;'Supply planning data'!D453)-SUMIFS(M:M,D:D,"&lt;="&amp;D438,C:C,C438)+SUMIFS(N:N,D:D,"&lt;="&amp;D438,C:C,C438)+SUMIFS(P:P,D:D,"&lt;="&amp;D438,C:C,C438)&lt;0,0,SUMIFS('Shipments data'!L:L,'Shipments data'!F:F,'Supply planning data'!C438,'Shipments data'!A:A,'Supply planning data'!A438,'Shipments data'!O:O,"received",'Shipments data'!Q:Q,"&lt;"&amp;'Supply planning data'!D453,'Shipments data'!AC:AC,"&lt;"&amp;'Supply planning data'!D453)-SUMIFS(M:M,D:D,"&lt;="&amp;D438,C:C,C438)+SUMIFS(N:N,D:D,"&lt;="&amp;D438,C:C,C438)+SUMIFS(P:P,D:D,"&lt;="&amp;D438,C:C,C438))</f>
        <v>0</v>
      </c>
      <c r="U438" s="99">
        <f t="shared" si="134"/>
        <v>0</v>
      </c>
      <c r="V438" s="98">
        <f t="shared" si="142"/>
        <v>0</v>
      </c>
      <c r="W438" s="203" t="str">
        <f t="shared" si="140"/>
        <v/>
      </c>
      <c r="X438" s="98">
        <f t="shared" si="135"/>
        <v>0</v>
      </c>
      <c r="Y438" s="97"/>
      <c r="Z438" s="93"/>
      <c r="AA438" s="98">
        <f t="shared" si="128"/>
        <v>0</v>
      </c>
      <c r="AB438" s="233"/>
      <c r="AC438" s="98">
        <f>IF(SUMIFS('Shipments data'!L:L,'Shipments data'!F:F,'Supply planning data'!C438,'Shipments data'!A:A,'Supply planning data'!A438,'Shipments data'!O:O,"received",'Shipments data'!Q:Q,"&lt;"&amp;'Supply planning data'!D453,'Shipments data'!AC:AC,"&lt;"&amp;'Supply planning data'!D453)-SUMIFS(M:M,D:D,"&lt;="&amp;D438,C:C,C438)-SUMIFS(AA:AA,D:D,"&lt;="&amp;D438,C:C,C438)+SUMIFS(N:N,D:D,"&lt;="&amp;D438,C:C,C438)+SUMIFS(P:P,D:D,"&lt;="&amp;D438,C:C,C438)&lt;0,0,SUMIFS('Shipments data'!L:L,'Shipments data'!F:F,'Supply planning data'!C438,'Shipments data'!A:A,'Supply planning data'!A438,'Shipments data'!O:O,"received",'Shipments data'!Q:Q,"&lt;"&amp;'Supply planning data'!D453,'Shipments data'!AC:AC,"&lt;"&amp;'Supply planning data'!D453)-SUMIFS(M:M,D:D,"&lt;="&amp;D438,C:C,C438)-SUMIFS(AA:AA,D:D,"&lt;="&amp;D438,C:C,C438)+SUMIFS(N:N,D:D,"&lt;="&amp;D438,C:C,C438)+SUMIFS(P:P,D:D,"&lt;="&amp;D438,C:C,C438))</f>
        <v>0</v>
      </c>
      <c r="AD438" s="98">
        <f t="shared" si="136"/>
        <v>0</v>
      </c>
      <c r="AE438" s="98">
        <f t="shared" si="130"/>
        <v>0</v>
      </c>
      <c r="AF438" s="205" t="str">
        <f t="shared" si="139"/>
        <v/>
      </c>
      <c r="AG438" s="98">
        <f t="shared" si="137"/>
        <v>0</v>
      </c>
      <c r="AH438" s="97"/>
      <c r="AI438" s="311"/>
      <c r="AJ438" s="98">
        <f t="shared" si="129"/>
        <v>0</v>
      </c>
      <c r="AK438" s="233"/>
      <c r="AL438" s="98">
        <f>IF(SUMIFS('Shipments data'!L:L,'Shipments data'!F:F,'Supply planning data'!C438,'Shipments data'!A:A,'Supply planning data'!A438,'Shipments data'!O:O,"received",'Shipments data'!Q:Q,"&lt;"&amp;'Supply planning data'!D453,'Shipments data'!AC:AC,"&lt;"&amp;'Supply planning data'!D453)-SUMIFS(M:M,D:D,"&lt;="&amp;D438,C:C,C438)-SUMIFS(AJ:AJ,D:D,"&lt;="&amp;D438,C:C,C438)+SUMIFS(N:N,D:D,"&lt;="&amp;D438,C:C,C438)+SUMIFS(P:P,D:D,"&lt;="&amp;D438,C:C,C438)&lt;0,0,SUMIFS('Shipments data'!L:L,'Shipments data'!F:F,'Supply planning data'!C438,'Shipments data'!A:A,'Supply planning data'!A438,'Shipments data'!O:O,"received",'Shipments data'!Q:Q,"&lt;"&amp;'Supply planning data'!D453,'Shipments data'!AC:AC,"&lt;"&amp;'Supply planning data'!D453)-SUMIFS(M:M,D:D,"&lt;="&amp;D438,C:C,C438)-SUMIFS(AJ:AJ,D:D,"&lt;="&amp;D438,C:C,C438)+SUMIFS(N:N,D:D,"&lt;="&amp;D438,C:C,C438)+SUMIFS(P:P,D:D,"&lt;="&amp;D438,C:C,C438))</f>
        <v>0</v>
      </c>
      <c r="AM438" s="98">
        <f t="shared" si="138"/>
        <v>0</v>
      </c>
      <c r="AN438" s="98">
        <f t="shared" si="131"/>
        <v>0</v>
      </c>
      <c r="AO438" s="203" t="str">
        <f t="shared" si="141"/>
        <v/>
      </c>
    </row>
    <row r="439" spans="1:41" hidden="1" x14ac:dyDescent="0.25">
      <c r="A439" s="95" t="str">
        <f>Start!D$7</f>
        <v>Anyland</v>
      </c>
      <c r="B439" s="100" t="str">
        <f>VLOOKUP(A439,list!B:C,2,FALSE)</f>
        <v>ANY</v>
      </c>
      <c r="C439" s="90" t="str">
        <f>IF(Start!$C$31="","",Start!$C$31)</f>
        <v/>
      </c>
      <c r="D439" s="296">
        <f t="shared" si="132"/>
        <v>45047</v>
      </c>
      <c r="E439" s="92" t="str">
        <f>IFERROR(VLOOKUP(C439,Start!C$15:D$31,2,FALSE),"No")</f>
        <v>No</v>
      </c>
      <c r="F439" s="92">
        <f t="shared" si="133"/>
        <v>0</v>
      </c>
      <c r="G439" s="91"/>
      <c r="H439" s="97"/>
      <c r="I439" s="97"/>
      <c r="J439" s="98">
        <f t="shared" si="125"/>
        <v>0</v>
      </c>
      <c r="K439" s="97"/>
      <c r="L439" s="175" t="str">
        <f t="shared" si="126"/>
        <v/>
      </c>
      <c r="M439" s="98">
        <f t="shared" si="127"/>
        <v>0</v>
      </c>
      <c r="N439" s="97"/>
      <c r="O439" s="122"/>
      <c r="P439" s="97"/>
      <c r="Q439" s="122"/>
      <c r="R439" s="98">
        <f>SUMIFS('Shipments data'!L:L,'Shipments data'!F:F,'Supply planning data'!C439,'Shipments data'!A:A,'Supply planning data'!A439,'Shipments data'!Y:Y,'Supply planning data'!D439,'Shipments data'!O:O,"received", 'Shipments data'!N:N, "Public")</f>
        <v>0</v>
      </c>
      <c r="S439" s="98">
        <f>SUMIFS('Shipments data'!L:L,'Shipments data'!F:F,'Supply planning data'!C439,'Shipments data'!A:A,'Supply planning data'!A439,'Shipments data'!Y:Y,'Supply planning data'!D439,'Shipments data'!O:O,"ordered", 'Shipments data'!N:N, "Public")</f>
        <v>0</v>
      </c>
      <c r="T439" s="98">
        <f>IF(SUMIFS('Shipments data'!L:L,'Shipments data'!F:F,'Supply planning data'!C439,'Shipments data'!A:A,'Supply planning data'!A439,'Shipments data'!O:O,"received",'Shipments data'!Q:Q,"&lt;"&amp;'Supply planning data'!D454,'Shipments data'!AC:AC,"&lt;"&amp;'Supply planning data'!D454)-SUMIFS(M:M,D:D,"&lt;="&amp;D439,C:C,C439)+SUMIFS(N:N,D:D,"&lt;="&amp;D439,C:C,C439)+SUMIFS(P:P,D:D,"&lt;="&amp;D439,C:C,C439)&lt;0,0,SUMIFS('Shipments data'!L:L,'Shipments data'!F:F,'Supply planning data'!C439,'Shipments data'!A:A,'Supply planning data'!A439,'Shipments data'!O:O,"received",'Shipments data'!Q:Q,"&lt;"&amp;'Supply planning data'!D454,'Shipments data'!AC:AC,"&lt;"&amp;'Supply planning data'!D454)-SUMIFS(M:M,D:D,"&lt;="&amp;D439,C:C,C439)+SUMIFS(N:N,D:D,"&lt;="&amp;D439,C:C,C439)+SUMIFS(P:P,D:D,"&lt;="&amp;D439,C:C,C439))</f>
        <v>0</v>
      </c>
      <c r="U439" s="99">
        <f t="shared" si="134"/>
        <v>0</v>
      </c>
      <c r="V439" s="98">
        <f t="shared" si="142"/>
        <v>0</v>
      </c>
      <c r="W439" s="203" t="str">
        <f t="shared" si="140"/>
        <v/>
      </c>
      <c r="X439" s="98">
        <f t="shared" si="135"/>
        <v>0</v>
      </c>
      <c r="Y439" s="97"/>
      <c r="Z439" s="93"/>
      <c r="AA439" s="98">
        <f t="shared" si="128"/>
        <v>0</v>
      </c>
      <c r="AB439" s="233"/>
      <c r="AC439" s="98">
        <f>IF(SUMIFS('Shipments data'!L:L,'Shipments data'!F:F,'Supply planning data'!C439,'Shipments data'!A:A,'Supply planning data'!A439,'Shipments data'!O:O,"received",'Shipments data'!Q:Q,"&lt;"&amp;'Supply planning data'!D454,'Shipments data'!AC:AC,"&lt;"&amp;'Supply planning data'!D454)-SUMIFS(M:M,D:D,"&lt;="&amp;D439,C:C,C439)-SUMIFS(AA:AA,D:D,"&lt;="&amp;D439,C:C,C439)+SUMIFS(N:N,D:D,"&lt;="&amp;D439,C:C,C439)+SUMIFS(P:P,D:D,"&lt;="&amp;D439,C:C,C439)&lt;0,0,SUMIFS('Shipments data'!L:L,'Shipments data'!F:F,'Supply planning data'!C439,'Shipments data'!A:A,'Supply planning data'!A439,'Shipments data'!O:O,"received",'Shipments data'!Q:Q,"&lt;"&amp;'Supply planning data'!D454,'Shipments data'!AC:AC,"&lt;"&amp;'Supply planning data'!D454)-SUMIFS(M:M,D:D,"&lt;="&amp;D439,C:C,C439)-SUMIFS(AA:AA,D:D,"&lt;="&amp;D439,C:C,C439)+SUMIFS(N:N,D:D,"&lt;="&amp;D439,C:C,C439)+SUMIFS(P:P,D:D,"&lt;="&amp;D439,C:C,C439))</f>
        <v>0</v>
      </c>
      <c r="AD439" s="98">
        <f t="shared" si="136"/>
        <v>0</v>
      </c>
      <c r="AE439" s="98">
        <f t="shared" si="130"/>
        <v>0</v>
      </c>
      <c r="AF439" s="205" t="str">
        <f t="shared" si="139"/>
        <v/>
      </c>
      <c r="AG439" s="98">
        <f t="shared" si="137"/>
        <v>0</v>
      </c>
      <c r="AH439" s="97"/>
      <c r="AI439" s="311"/>
      <c r="AJ439" s="98">
        <f t="shared" si="129"/>
        <v>0</v>
      </c>
      <c r="AK439" s="233"/>
      <c r="AL439" s="98">
        <f>IF(SUMIFS('Shipments data'!L:L,'Shipments data'!F:F,'Supply planning data'!C439,'Shipments data'!A:A,'Supply planning data'!A439,'Shipments data'!O:O,"received",'Shipments data'!Q:Q,"&lt;"&amp;'Supply planning data'!D454,'Shipments data'!AC:AC,"&lt;"&amp;'Supply planning data'!D454)-SUMIFS(M:M,D:D,"&lt;="&amp;D439,C:C,C439)-SUMIFS(AJ:AJ,D:D,"&lt;="&amp;D439,C:C,C439)+SUMIFS(N:N,D:D,"&lt;="&amp;D439,C:C,C439)+SUMIFS(P:P,D:D,"&lt;="&amp;D439,C:C,C439)&lt;0,0,SUMIFS('Shipments data'!L:L,'Shipments data'!F:F,'Supply planning data'!C439,'Shipments data'!A:A,'Supply planning data'!A439,'Shipments data'!O:O,"received",'Shipments data'!Q:Q,"&lt;"&amp;'Supply planning data'!D454,'Shipments data'!AC:AC,"&lt;"&amp;'Supply planning data'!D454)-SUMIFS(M:M,D:D,"&lt;="&amp;D439,C:C,C439)-SUMIFS(AJ:AJ,D:D,"&lt;="&amp;D439,C:C,C439)+SUMIFS(N:N,D:D,"&lt;="&amp;D439,C:C,C439)+SUMIFS(P:P,D:D,"&lt;="&amp;D439,C:C,C439))</f>
        <v>0</v>
      </c>
      <c r="AM439" s="98">
        <f t="shared" si="138"/>
        <v>0</v>
      </c>
      <c r="AN439" s="98">
        <f t="shared" si="131"/>
        <v>0</v>
      </c>
      <c r="AO439" s="203" t="str">
        <f t="shared" si="141"/>
        <v/>
      </c>
    </row>
    <row r="440" spans="1:41" x14ac:dyDescent="0.25">
      <c r="A440" s="103" t="str">
        <f>Start!D$7</f>
        <v>Anyland</v>
      </c>
      <c r="B440" s="104" t="str">
        <f>VLOOKUP(A440,list!B:C,2,FALSE)</f>
        <v>ANY</v>
      </c>
      <c r="C440" s="104" t="str">
        <f>IF(Start!$C$17="","",Start!$C$17)</f>
        <v>AstraZeneca</v>
      </c>
      <c r="D440" s="298">
        <f t="shared" si="132"/>
        <v>45078</v>
      </c>
      <c r="E440" s="105" t="str">
        <f>IFERROR(VLOOKUP(C440,Start!C$15:D$31,2,FALSE),"No")</f>
        <v>Yes</v>
      </c>
      <c r="F440" s="105">
        <f t="shared" si="133"/>
        <v>0</v>
      </c>
      <c r="G440" s="106"/>
      <c r="H440" s="106"/>
      <c r="I440" s="106"/>
      <c r="J440" s="105">
        <f t="shared" si="125"/>
        <v>0</v>
      </c>
      <c r="K440" s="106"/>
      <c r="L440" s="177" t="str">
        <f t="shared" si="126"/>
        <v/>
      </c>
      <c r="M440" s="105">
        <f t="shared" si="127"/>
        <v>0</v>
      </c>
      <c r="N440" s="106"/>
      <c r="O440" s="123"/>
      <c r="P440" s="106"/>
      <c r="Q440" s="123"/>
      <c r="R440" s="105">
        <f>SUMIFS('Shipments data'!L:L,'Shipments data'!F:F,'Supply planning data'!C440,'Shipments data'!A:A,'Supply planning data'!A440,'Shipments data'!Y:Y,'Supply planning data'!D440,'Shipments data'!O:O,"received", 'Shipments data'!N:N, "Public")</f>
        <v>0</v>
      </c>
      <c r="S440" s="105">
        <f>SUMIFS('Shipments data'!L:L,'Shipments data'!F:F,'Supply planning data'!C440,'Shipments data'!A:A,'Supply planning data'!A440,'Shipments data'!Y:Y,'Supply planning data'!D440,'Shipments data'!O:O,"ordered", 'Shipments data'!N:N, "Public")</f>
        <v>0</v>
      </c>
      <c r="T440" s="105">
        <f>IF(SUMIFS('Shipments data'!L:L,'Shipments data'!F:F,'Supply planning data'!C440,'Shipments data'!A:A,'Supply planning data'!A440,'Shipments data'!O:O,"received",'Shipments data'!Q:Q,"&lt;"&amp;'Supply planning data'!D455,'Shipments data'!AC:AC,"&lt;"&amp;'Supply planning data'!D455)-SUMIFS(M:M,D:D,"&lt;="&amp;D440,C:C,C440)+SUMIFS(N:N,D:D,"&lt;="&amp;D440,C:C,C440)+SUMIFS(P:P,D:D,"&lt;="&amp;D440,C:C,C440)&lt;0,0,SUMIFS('Shipments data'!L:L,'Shipments data'!F:F,'Supply planning data'!C440,'Shipments data'!A:A,'Supply planning data'!A440,'Shipments data'!O:O,"received",'Shipments data'!Q:Q,"&lt;"&amp;'Supply planning data'!D455,'Shipments data'!AC:AC,"&lt;"&amp;'Supply planning data'!D455)-SUMIFS(M:M,D:D,"&lt;="&amp;D440,C:C,C440)+SUMIFS(N:N,D:D,"&lt;="&amp;D440,C:C,C440)+SUMIFS(P:P,D:D,"&lt;="&amp;D440,C:C,C440))</f>
        <v>0</v>
      </c>
      <c r="U440" s="108">
        <f t="shared" si="134"/>
        <v>0</v>
      </c>
      <c r="V440" s="105">
        <f t="shared" si="142"/>
        <v>0</v>
      </c>
      <c r="W440" s="206" t="str">
        <f t="shared" si="140"/>
        <v/>
      </c>
      <c r="X440" s="105">
        <f t="shared" si="135"/>
        <v>154701</v>
      </c>
      <c r="Y440" s="106"/>
      <c r="Z440" s="107"/>
      <c r="AA440" s="105">
        <f t="shared" si="128"/>
        <v>0</v>
      </c>
      <c r="AB440" s="234"/>
      <c r="AC440" s="105">
        <f>IF(SUMIFS('Shipments data'!L:L,'Shipments data'!F:F,'Supply planning data'!C440,'Shipments data'!A:A,'Supply planning data'!A440,'Shipments data'!O:O,"received",'Shipments data'!Q:Q,"&lt;"&amp;'Supply planning data'!D455,'Shipments data'!AC:AC,"&lt;"&amp;'Supply planning data'!D455)-SUMIFS(M:M,D:D,"&lt;="&amp;D440,C:C,C440)-SUMIFS(AA:AA,D:D,"&lt;="&amp;D440,C:C,C440)+SUMIFS(N:N,D:D,"&lt;="&amp;D440,C:C,C440)+SUMIFS(P:P,D:D,"&lt;="&amp;D440,C:C,C440)&lt;0,0,SUMIFS('Shipments data'!L:L,'Shipments data'!F:F,'Supply planning data'!C440,'Shipments data'!A:A,'Supply planning data'!A440,'Shipments data'!O:O,"received",'Shipments data'!Q:Q,"&lt;"&amp;'Supply planning data'!D455,'Shipments data'!AC:AC,"&lt;"&amp;'Supply planning data'!D455)-SUMIFS(M:M,D:D,"&lt;="&amp;D440,C:C,C440)-SUMIFS(AA:AA,D:D,"&lt;="&amp;D440,C:C,C440)+SUMIFS(N:N,D:D,"&lt;="&amp;D440,C:C,C440)+SUMIFS(P:P,D:D,"&lt;="&amp;D440,C:C,C440))</f>
        <v>0</v>
      </c>
      <c r="AD440" s="105">
        <f t="shared" si="136"/>
        <v>0</v>
      </c>
      <c r="AE440" s="105">
        <f t="shared" si="130"/>
        <v>154701</v>
      </c>
      <c r="AF440" s="206" t="str">
        <f t="shared" si="139"/>
        <v/>
      </c>
      <c r="AG440" s="105">
        <f t="shared" si="137"/>
        <v>0</v>
      </c>
      <c r="AH440" s="106"/>
      <c r="AI440" s="312"/>
      <c r="AJ440" s="105">
        <f t="shared" si="129"/>
        <v>0</v>
      </c>
      <c r="AK440" s="234"/>
      <c r="AL440" s="105">
        <f>IF(SUMIFS('Shipments data'!L:L,'Shipments data'!F:F,'Supply planning data'!C440,'Shipments data'!A:A,'Supply planning data'!A440,'Shipments data'!O:O,"received",'Shipments data'!Q:Q,"&lt;"&amp;'Supply planning data'!D455,'Shipments data'!AC:AC,"&lt;"&amp;'Supply planning data'!D455)-SUMIFS(M:M,D:D,"&lt;="&amp;D440,C:C,C440)-SUMIFS(AJ:AJ,D:D,"&lt;="&amp;D440,C:C,C440)+SUMIFS(N:N,D:D,"&lt;="&amp;D440,C:C,C440)+SUMIFS(P:P,D:D,"&lt;="&amp;D440,C:C,C440)&lt;0,0,SUMIFS('Shipments data'!L:L,'Shipments data'!F:F,'Supply planning data'!C440,'Shipments data'!A:A,'Supply planning data'!A440,'Shipments data'!O:O,"received",'Shipments data'!Q:Q,"&lt;"&amp;'Supply planning data'!D455,'Shipments data'!AC:AC,"&lt;"&amp;'Supply planning data'!D455)-SUMIFS(M:M,D:D,"&lt;="&amp;D440,C:C,C440)-SUMIFS(AJ:AJ,D:D,"&lt;="&amp;D440,C:C,C440)+SUMIFS(N:N,D:D,"&lt;="&amp;D440,C:C,C440)+SUMIFS(P:P,D:D,"&lt;="&amp;D440,C:C,C440))</f>
        <v>0</v>
      </c>
      <c r="AM440" s="105">
        <f t="shared" si="138"/>
        <v>0</v>
      </c>
      <c r="AN440" s="105">
        <f t="shared" si="131"/>
        <v>0</v>
      </c>
      <c r="AO440" s="206" t="str">
        <f t="shared" si="141"/>
        <v/>
      </c>
    </row>
    <row r="441" spans="1:41" x14ac:dyDescent="0.25">
      <c r="A441" s="103" t="str">
        <f>Start!D$7</f>
        <v>Anyland</v>
      </c>
      <c r="B441" s="109" t="str">
        <f>VLOOKUP(A441,list!B:C,2,FALSE)</f>
        <v>ANY</v>
      </c>
      <c r="C441" s="109" t="str">
        <f>IF(Start!$C$18="","",Start!$C$18)</f>
        <v>Jansen</v>
      </c>
      <c r="D441" s="298">
        <f t="shared" si="132"/>
        <v>45078</v>
      </c>
      <c r="E441" s="105" t="str">
        <f>IFERROR(VLOOKUP(C441,Start!C$15:D$31,2,FALSE),"No")</f>
        <v>Yes</v>
      </c>
      <c r="F441" s="105">
        <f t="shared" si="133"/>
        <v>2258747</v>
      </c>
      <c r="G441" s="106"/>
      <c r="H441" s="106"/>
      <c r="I441" s="106"/>
      <c r="J441" s="105">
        <f t="shared" si="125"/>
        <v>0</v>
      </c>
      <c r="K441" s="106"/>
      <c r="L441" s="177" t="str">
        <f t="shared" si="126"/>
        <v/>
      </c>
      <c r="M441" s="105">
        <f t="shared" si="127"/>
        <v>0</v>
      </c>
      <c r="N441" s="110"/>
      <c r="O441" s="124"/>
      <c r="P441" s="110"/>
      <c r="Q441" s="124"/>
      <c r="R441" s="111">
        <f>SUMIFS('Shipments data'!L:L,'Shipments data'!F:F,'Supply planning data'!C441,'Shipments data'!A:A,'Supply planning data'!A441,'Shipments data'!Y:Y,'Supply planning data'!D441,'Shipments data'!O:O,"received", 'Shipments data'!N:N, "Public")</f>
        <v>0</v>
      </c>
      <c r="S441" s="111">
        <f>SUMIFS('Shipments data'!L:L,'Shipments data'!F:F,'Supply planning data'!C441,'Shipments data'!A:A,'Supply planning data'!A441,'Shipments data'!Y:Y,'Supply planning data'!D441,'Shipments data'!O:O,"ordered", 'Shipments data'!N:N, "Public")</f>
        <v>0</v>
      </c>
      <c r="T441" s="111">
        <f>IF(SUMIFS('Shipments data'!L:L,'Shipments data'!F:F,'Supply planning data'!C441,'Shipments data'!A:A,'Supply planning data'!A441,'Shipments data'!O:O,"received",'Shipments data'!Q:Q,"&lt;"&amp;'Supply planning data'!D456,'Shipments data'!AC:AC,"&lt;"&amp;'Supply planning data'!D456)-SUMIFS(M:M,D:D,"&lt;="&amp;D441,C:C,C441)+SUMIFS(N:N,D:D,"&lt;="&amp;D441,C:C,C441)+SUMIFS(P:P,D:D,"&lt;="&amp;D441,C:C,C441)&lt;0,0,SUMIFS('Shipments data'!L:L,'Shipments data'!F:F,'Supply planning data'!C441,'Shipments data'!A:A,'Supply planning data'!A441,'Shipments data'!O:O,"received",'Shipments data'!Q:Q,"&lt;"&amp;'Supply planning data'!D456,'Shipments data'!AC:AC,"&lt;"&amp;'Supply planning data'!D456)-SUMIFS(M:M,D:D,"&lt;="&amp;D441,C:C,C441)+SUMIFS(N:N,D:D,"&lt;="&amp;D441,C:C,C441)+SUMIFS(P:P,D:D,"&lt;="&amp;D441,C:C,C441))</f>
        <v>0</v>
      </c>
      <c r="U441" s="112">
        <f t="shared" si="134"/>
        <v>0</v>
      </c>
      <c r="V441" s="111">
        <f t="shared" si="142"/>
        <v>2258747</v>
      </c>
      <c r="W441" s="204" t="str">
        <f t="shared" si="140"/>
        <v/>
      </c>
      <c r="X441" s="111">
        <f t="shared" si="135"/>
        <v>1698747</v>
      </c>
      <c r="Y441" s="110"/>
      <c r="Z441" s="107"/>
      <c r="AA441" s="111">
        <f t="shared" si="128"/>
        <v>0</v>
      </c>
      <c r="AB441" s="235"/>
      <c r="AC441" s="111">
        <f>IF(SUMIFS('Shipments data'!L:L,'Shipments data'!F:F,'Supply planning data'!C441,'Shipments data'!A:A,'Supply planning data'!A441,'Shipments data'!O:O,"received",'Shipments data'!Q:Q,"&lt;"&amp;'Supply planning data'!D456,'Shipments data'!AC:AC,"&lt;"&amp;'Supply planning data'!D456)-SUMIFS(M:M,D:D,"&lt;="&amp;D441,C:C,C441)-SUMIFS(AA:AA,D:D,"&lt;="&amp;D441,C:C,C441)+SUMIFS(N:N,D:D,"&lt;="&amp;D441,C:C,C441)+SUMIFS(P:P,D:D,"&lt;="&amp;D441,C:C,C441)&lt;0,0,SUMIFS('Shipments data'!L:L,'Shipments data'!F:F,'Supply planning data'!C441,'Shipments data'!A:A,'Supply planning data'!A441,'Shipments data'!O:O,"received",'Shipments data'!Q:Q,"&lt;"&amp;'Supply planning data'!D456,'Shipments data'!AC:AC,"&lt;"&amp;'Supply planning data'!D456)-SUMIFS(M:M,D:D,"&lt;="&amp;D441,C:C,C441)-SUMIFS(AA:AA,D:D,"&lt;="&amp;D441,C:C,C441)+SUMIFS(N:N,D:D,"&lt;="&amp;D441,C:C,C441)+SUMIFS(P:P,D:D,"&lt;="&amp;D441,C:C,C441))</f>
        <v>0</v>
      </c>
      <c r="AD441" s="111">
        <f t="shared" si="136"/>
        <v>0</v>
      </c>
      <c r="AE441" s="111">
        <f t="shared" si="130"/>
        <v>1698747</v>
      </c>
      <c r="AF441" s="204" t="str">
        <f t="shared" si="139"/>
        <v/>
      </c>
      <c r="AG441" s="111">
        <f t="shared" si="137"/>
        <v>2258747</v>
      </c>
      <c r="AH441" s="110"/>
      <c r="AI441" s="313"/>
      <c r="AJ441" s="111">
        <f t="shared" si="129"/>
        <v>0</v>
      </c>
      <c r="AK441" s="235"/>
      <c r="AL441" s="111">
        <f>IF(SUMIFS('Shipments data'!L:L,'Shipments data'!F:F,'Supply planning data'!C441,'Shipments data'!A:A,'Supply planning data'!A441,'Shipments data'!O:O,"received",'Shipments data'!Q:Q,"&lt;"&amp;'Supply planning data'!D456,'Shipments data'!AC:AC,"&lt;"&amp;'Supply planning data'!D456)-SUMIFS(M:M,D:D,"&lt;="&amp;D441,C:C,C441)-SUMIFS(AJ:AJ,D:D,"&lt;="&amp;D441,C:C,C441)+SUMIFS(N:N,D:D,"&lt;="&amp;D441,C:C,C441)+SUMIFS(P:P,D:D,"&lt;="&amp;D441,C:C,C441)&lt;0,0,SUMIFS('Shipments data'!L:L,'Shipments data'!F:F,'Supply planning data'!C441,'Shipments data'!A:A,'Supply planning data'!A441,'Shipments data'!O:O,"received",'Shipments data'!Q:Q,"&lt;"&amp;'Supply planning data'!D456,'Shipments data'!AC:AC,"&lt;"&amp;'Supply planning data'!D456)-SUMIFS(M:M,D:D,"&lt;="&amp;D441,C:C,C441)-SUMIFS(AJ:AJ,D:D,"&lt;="&amp;D441,C:C,C441)+SUMIFS(N:N,D:D,"&lt;="&amp;D441,C:C,C441)+SUMIFS(P:P,D:D,"&lt;="&amp;D441,C:C,C441))</f>
        <v>0</v>
      </c>
      <c r="AM441" s="111">
        <f t="shared" si="138"/>
        <v>0</v>
      </c>
      <c r="AN441" s="111">
        <f t="shared" si="131"/>
        <v>2258747</v>
      </c>
      <c r="AO441" s="204" t="str">
        <f t="shared" si="141"/>
        <v/>
      </c>
    </row>
    <row r="442" spans="1:41" x14ac:dyDescent="0.25">
      <c r="A442" s="103" t="str">
        <f>Start!D$7</f>
        <v>Anyland</v>
      </c>
      <c r="B442" s="109" t="str">
        <f>VLOOKUP(A442,list!B:C,2,FALSE)</f>
        <v>ANY</v>
      </c>
      <c r="C442" s="104" t="str">
        <f>IF(Start!$C$19="","",Start!$C$19)</f>
        <v>Moderna</v>
      </c>
      <c r="D442" s="298">
        <f t="shared" si="132"/>
        <v>45078</v>
      </c>
      <c r="E442" s="105" t="str">
        <f>IFERROR(VLOOKUP(C442,Start!C$15:D$31,2,FALSE),"No")</f>
        <v>No</v>
      </c>
      <c r="F442" s="105">
        <f t="shared" si="133"/>
        <v>0</v>
      </c>
      <c r="G442" s="106"/>
      <c r="H442" s="106"/>
      <c r="I442" s="106"/>
      <c r="J442" s="105">
        <f t="shared" si="125"/>
        <v>0</v>
      </c>
      <c r="K442" s="106"/>
      <c r="L442" s="177" t="str">
        <f t="shared" si="126"/>
        <v/>
      </c>
      <c r="M442" s="105">
        <f t="shared" si="127"/>
        <v>0</v>
      </c>
      <c r="N442" s="110"/>
      <c r="O442" s="124"/>
      <c r="P442" s="110"/>
      <c r="Q442" s="124"/>
      <c r="R442" s="111">
        <f>SUMIFS('Shipments data'!L:L,'Shipments data'!F:F,'Supply planning data'!C442,'Shipments data'!A:A,'Supply planning data'!A442,'Shipments data'!Y:Y,'Supply planning data'!D442,'Shipments data'!O:O,"received", 'Shipments data'!N:N, "Public")</f>
        <v>0</v>
      </c>
      <c r="S442" s="111">
        <f>SUMIFS('Shipments data'!L:L,'Shipments data'!F:F,'Supply planning data'!C442,'Shipments data'!A:A,'Supply planning data'!A442,'Shipments data'!Y:Y,'Supply planning data'!D442,'Shipments data'!O:O,"ordered", 'Shipments data'!N:N, "Public")</f>
        <v>0</v>
      </c>
      <c r="T442" s="111">
        <f>IF(SUMIFS('Shipments data'!L:L,'Shipments data'!F:F,'Supply planning data'!C442,'Shipments data'!A:A,'Supply planning data'!A442,'Shipments data'!O:O,"received",'Shipments data'!Q:Q,"&lt;"&amp;'Supply planning data'!D457,'Shipments data'!AC:AC,"&lt;"&amp;'Supply planning data'!D457)-SUMIFS(M:M,D:D,"&lt;="&amp;D442,C:C,C442)+SUMIFS(N:N,D:D,"&lt;="&amp;D442,C:C,C442)+SUMIFS(P:P,D:D,"&lt;="&amp;D442,C:C,C442)&lt;0,0,SUMIFS('Shipments data'!L:L,'Shipments data'!F:F,'Supply planning data'!C442,'Shipments data'!A:A,'Supply planning data'!A442,'Shipments data'!O:O,"received",'Shipments data'!Q:Q,"&lt;"&amp;'Supply planning data'!D457,'Shipments data'!AC:AC,"&lt;"&amp;'Supply planning data'!D457)-SUMIFS(M:M,D:D,"&lt;="&amp;D442,C:C,C442)+SUMIFS(N:N,D:D,"&lt;="&amp;D442,C:C,C442)+SUMIFS(P:P,D:D,"&lt;="&amp;D442,C:C,C442))</f>
        <v>0</v>
      </c>
      <c r="U442" s="112">
        <f t="shared" si="134"/>
        <v>0</v>
      </c>
      <c r="V442" s="111">
        <f t="shared" si="142"/>
        <v>0</v>
      </c>
      <c r="W442" s="204" t="str">
        <f t="shared" si="140"/>
        <v/>
      </c>
      <c r="X442" s="111">
        <f t="shared" si="135"/>
        <v>0</v>
      </c>
      <c r="Y442" s="110"/>
      <c r="Z442" s="107"/>
      <c r="AA442" s="111">
        <f t="shared" si="128"/>
        <v>0</v>
      </c>
      <c r="AB442" s="235"/>
      <c r="AC442" s="111">
        <f>IF(SUMIFS('Shipments data'!L:L,'Shipments data'!F:F,'Supply planning data'!C442,'Shipments data'!A:A,'Supply planning data'!A442,'Shipments data'!O:O,"received",'Shipments data'!Q:Q,"&lt;"&amp;'Supply planning data'!D457,'Shipments data'!AC:AC,"&lt;"&amp;'Supply planning data'!D457)-SUMIFS(M:M,D:D,"&lt;="&amp;D442,C:C,C442)-SUMIFS(AA:AA,D:D,"&lt;="&amp;D442,C:C,C442)+SUMIFS(N:N,D:D,"&lt;="&amp;D442,C:C,C442)+SUMIFS(P:P,D:D,"&lt;="&amp;D442,C:C,C442)&lt;0,0,SUMIFS('Shipments data'!L:L,'Shipments data'!F:F,'Supply planning data'!C442,'Shipments data'!A:A,'Supply planning data'!A442,'Shipments data'!O:O,"received",'Shipments data'!Q:Q,"&lt;"&amp;'Supply planning data'!D457,'Shipments data'!AC:AC,"&lt;"&amp;'Supply planning data'!D457)-SUMIFS(M:M,D:D,"&lt;="&amp;D442,C:C,C442)-SUMIFS(AA:AA,D:D,"&lt;="&amp;D442,C:C,C442)+SUMIFS(N:N,D:D,"&lt;="&amp;D442,C:C,C442)+SUMIFS(P:P,D:D,"&lt;="&amp;D442,C:C,C442))</f>
        <v>0</v>
      </c>
      <c r="AD442" s="111">
        <f t="shared" si="136"/>
        <v>0</v>
      </c>
      <c r="AE442" s="111">
        <f t="shared" si="130"/>
        <v>0</v>
      </c>
      <c r="AF442" s="204" t="str">
        <f t="shared" si="139"/>
        <v/>
      </c>
      <c r="AG442" s="111">
        <f t="shared" si="137"/>
        <v>0</v>
      </c>
      <c r="AH442" s="110"/>
      <c r="AI442" s="313"/>
      <c r="AJ442" s="111">
        <f t="shared" si="129"/>
        <v>0</v>
      </c>
      <c r="AK442" s="235"/>
      <c r="AL442" s="111">
        <f>IF(SUMIFS('Shipments data'!L:L,'Shipments data'!F:F,'Supply planning data'!C442,'Shipments data'!A:A,'Supply planning data'!A442,'Shipments data'!O:O,"received",'Shipments data'!Q:Q,"&lt;"&amp;'Supply planning data'!D457,'Shipments data'!AC:AC,"&lt;"&amp;'Supply planning data'!D457)-SUMIFS(M:M,D:D,"&lt;="&amp;D442,C:C,C442)-SUMIFS(AJ:AJ,D:D,"&lt;="&amp;D442,C:C,C442)+SUMIFS(N:N,D:D,"&lt;="&amp;D442,C:C,C442)+SUMIFS(P:P,D:D,"&lt;="&amp;D442,C:C,C442)&lt;0,0,SUMIFS('Shipments data'!L:L,'Shipments data'!F:F,'Supply planning data'!C442,'Shipments data'!A:A,'Supply planning data'!A442,'Shipments data'!O:O,"received",'Shipments data'!Q:Q,"&lt;"&amp;'Supply planning data'!D457,'Shipments data'!AC:AC,"&lt;"&amp;'Supply planning data'!D457)-SUMIFS(M:M,D:D,"&lt;="&amp;D442,C:C,C442)-SUMIFS(AJ:AJ,D:D,"&lt;="&amp;D442,C:C,C442)+SUMIFS(N:N,D:D,"&lt;="&amp;D442,C:C,C442)+SUMIFS(P:P,D:D,"&lt;="&amp;D442,C:C,C442))</f>
        <v>0</v>
      </c>
      <c r="AM442" s="111">
        <f t="shared" si="138"/>
        <v>0</v>
      </c>
      <c r="AN442" s="111">
        <f t="shared" si="131"/>
        <v>0</v>
      </c>
      <c r="AO442" s="204" t="str">
        <f t="shared" si="141"/>
        <v/>
      </c>
    </row>
    <row r="443" spans="1:41" x14ac:dyDescent="0.25">
      <c r="A443" s="103" t="str">
        <f>Start!D$7</f>
        <v>Anyland</v>
      </c>
      <c r="B443" s="109" t="str">
        <f>VLOOKUP(A443,list!B:C,2,FALSE)</f>
        <v>ANY</v>
      </c>
      <c r="C443" s="109" t="str">
        <f>IF(Start!$C$20="","",Start!$C$20)</f>
        <v>Pfizer</v>
      </c>
      <c r="D443" s="298">
        <f t="shared" si="132"/>
        <v>45078</v>
      </c>
      <c r="E443" s="105" t="str">
        <f>IFERROR(VLOOKUP(C443,Start!C$15:D$31,2,FALSE),"No")</f>
        <v>Yes</v>
      </c>
      <c r="F443" s="105">
        <f t="shared" si="133"/>
        <v>3000000</v>
      </c>
      <c r="G443" s="106"/>
      <c r="H443" s="106"/>
      <c r="I443" s="106"/>
      <c r="J443" s="105">
        <f t="shared" si="125"/>
        <v>0</v>
      </c>
      <c r="K443" s="106"/>
      <c r="L443" s="177" t="str">
        <f t="shared" si="126"/>
        <v/>
      </c>
      <c r="M443" s="105">
        <f t="shared" si="127"/>
        <v>0</v>
      </c>
      <c r="N443" s="110"/>
      <c r="O443" s="124"/>
      <c r="P443" s="110"/>
      <c r="Q443" s="124"/>
      <c r="R443" s="111">
        <f>SUMIFS('Shipments data'!L:L,'Shipments data'!F:F,'Supply planning data'!C443,'Shipments data'!A:A,'Supply planning data'!A443,'Shipments data'!Y:Y,'Supply planning data'!D443,'Shipments data'!O:O,"received", 'Shipments data'!N:N, "Public")</f>
        <v>0</v>
      </c>
      <c r="S443" s="111">
        <f>SUMIFS('Shipments data'!L:L,'Shipments data'!F:F,'Supply planning data'!C443,'Shipments data'!A:A,'Supply planning data'!A443,'Shipments data'!Y:Y,'Supply planning data'!D443,'Shipments data'!O:O,"ordered", 'Shipments data'!N:N, "Public")</f>
        <v>0</v>
      </c>
      <c r="T443" s="111">
        <f>IF(SUMIFS('Shipments data'!L:L,'Shipments data'!F:F,'Supply planning data'!C443,'Shipments data'!A:A,'Supply planning data'!A443,'Shipments data'!O:O,"received",'Shipments data'!Q:Q,"&lt;"&amp;'Supply planning data'!D458,'Shipments data'!AC:AC,"&lt;"&amp;'Supply planning data'!D458)-SUMIFS(M:M,D:D,"&lt;="&amp;D443,C:C,C443)+SUMIFS(N:N,D:D,"&lt;="&amp;D443,C:C,C443)+SUMIFS(P:P,D:D,"&lt;="&amp;D443,C:C,C443)&lt;0,0,SUMIFS('Shipments data'!L:L,'Shipments data'!F:F,'Supply planning data'!C443,'Shipments data'!A:A,'Supply planning data'!A443,'Shipments data'!O:O,"received",'Shipments data'!Q:Q,"&lt;"&amp;'Supply planning data'!D458,'Shipments data'!AC:AC,"&lt;"&amp;'Supply planning data'!D458)-SUMIFS(M:M,D:D,"&lt;="&amp;D443,C:C,C443)+SUMIFS(N:N,D:D,"&lt;="&amp;D443,C:C,C443)+SUMIFS(P:P,D:D,"&lt;="&amp;D443,C:C,C443))</f>
        <v>110538</v>
      </c>
      <c r="U443" s="112">
        <f t="shared" si="134"/>
        <v>0</v>
      </c>
      <c r="V443" s="111">
        <f t="shared" si="142"/>
        <v>3000000</v>
      </c>
      <c r="W443" s="204" t="str">
        <f t="shared" si="140"/>
        <v/>
      </c>
      <c r="X443" s="111">
        <f t="shared" si="135"/>
        <v>2440000</v>
      </c>
      <c r="Y443" s="110"/>
      <c r="Z443" s="107"/>
      <c r="AA443" s="111">
        <f t="shared" si="128"/>
        <v>0</v>
      </c>
      <c r="AB443" s="235"/>
      <c r="AC443" s="111">
        <f>IF(SUMIFS('Shipments data'!L:L,'Shipments data'!F:F,'Supply planning data'!C443,'Shipments data'!A:A,'Supply planning data'!A443,'Shipments data'!O:O,"received",'Shipments data'!Q:Q,"&lt;"&amp;'Supply planning data'!D458,'Shipments data'!AC:AC,"&lt;"&amp;'Supply planning data'!D458)-SUMIFS(M:M,D:D,"&lt;="&amp;D443,C:C,C443)-SUMIFS(AA:AA,D:D,"&lt;="&amp;D443,C:C,C443)+SUMIFS(N:N,D:D,"&lt;="&amp;D443,C:C,C443)+SUMIFS(P:P,D:D,"&lt;="&amp;D443,C:C,C443)&lt;0,0,SUMIFS('Shipments data'!L:L,'Shipments data'!F:F,'Supply planning data'!C443,'Shipments data'!A:A,'Supply planning data'!A443,'Shipments data'!O:O,"received",'Shipments data'!Q:Q,"&lt;"&amp;'Supply planning data'!D458,'Shipments data'!AC:AC,"&lt;"&amp;'Supply planning data'!D458)-SUMIFS(M:M,D:D,"&lt;="&amp;D443,C:C,C443)-SUMIFS(AA:AA,D:D,"&lt;="&amp;D443,C:C,C443)+SUMIFS(N:N,D:D,"&lt;="&amp;D443,C:C,C443)+SUMIFS(P:P,D:D,"&lt;="&amp;D443,C:C,C443))</f>
        <v>0</v>
      </c>
      <c r="AD443" s="111">
        <f t="shared" si="136"/>
        <v>0</v>
      </c>
      <c r="AE443" s="111">
        <f t="shared" si="130"/>
        <v>2440000</v>
      </c>
      <c r="AF443" s="204" t="str">
        <f t="shared" si="139"/>
        <v/>
      </c>
      <c r="AG443" s="111">
        <f t="shared" si="137"/>
        <v>3000000</v>
      </c>
      <c r="AH443" s="110"/>
      <c r="AI443" s="313"/>
      <c r="AJ443" s="111">
        <f t="shared" si="129"/>
        <v>0</v>
      </c>
      <c r="AK443" s="235"/>
      <c r="AL443" s="111">
        <f>IF(SUMIFS('Shipments data'!L:L,'Shipments data'!F:F,'Supply planning data'!C443,'Shipments data'!A:A,'Supply planning data'!A443,'Shipments data'!O:O,"received",'Shipments data'!Q:Q,"&lt;"&amp;'Supply planning data'!D458,'Shipments data'!AC:AC,"&lt;"&amp;'Supply planning data'!D458)-SUMIFS(M:M,D:D,"&lt;="&amp;D443,C:C,C443)-SUMIFS(AJ:AJ,D:D,"&lt;="&amp;D443,C:C,C443)+SUMIFS(N:N,D:D,"&lt;="&amp;D443,C:C,C443)+SUMIFS(P:P,D:D,"&lt;="&amp;D443,C:C,C443)&lt;0,0,SUMIFS('Shipments data'!L:L,'Shipments data'!F:F,'Supply planning data'!C443,'Shipments data'!A:A,'Supply planning data'!A443,'Shipments data'!O:O,"received",'Shipments data'!Q:Q,"&lt;"&amp;'Supply planning data'!D458,'Shipments data'!AC:AC,"&lt;"&amp;'Supply planning data'!D458)-SUMIFS(M:M,D:D,"&lt;="&amp;D443,C:C,C443)-SUMIFS(AJ:AJ,D:D,"&lt;="&amp;D443,C:C,C443)+SUMIFS(N:N,D:D,"&lt;="&amp;D443,C:C,C443)+SUMIFS(P:P,D:D,"&lt;="&amp;D443,C:C,C443))</f>
        <v>110538</v>
      </c>
      <c r="AM443" s="111">
        <f t="shared" si="138"/>
        <v>0</v>
      </c>
      <c r="AN443" s="111">
        <f t="shared" si="131"/>
        <v>3000000</v>
      </c>
      <c r="AO443" s="204" t="str">
        <f t="shared" si="141"/>
        <v/>
      </c>
    </row>
    <row r="444" spans="1:41" x14ac:dyDescent="0.25">
      <c r="A444" s="103" t="str">
        <f>Start!D$7</f>
        <v>Anyland</v>
      </c>
      <c r="B444" s="109" t="str">
        <f>VLOOKUP(A444,list!B:C,2,FALSE)</f>
        <v>ANY</v>
      </c>
      <c r="C444" s="104" t="str">
        <f>IF(Start!$C$21="","",Start!$C$21)</f>
        <v>Sinovac</v>
      </c>
      <c r="D444" s="298">
        <f t="shared" si="132"/>
        <v>45078</v>
      </c>
      <c r="E444" s="105" t="str">
        <f>IFERROR(VLOOKUP(C444,Start!C$15:D$31,2,FALSE),"No")</f>
        <v>No</v>
      </c>
      <c r="F444" s="105">
        <f t="shared" si="133"/>
        <v>0</v>
      </c>
      <c r="G444" s="106"/>
      <c r="H444" s="106"/>
      <c r="I444" s="106"/>
      <c r="J444" s="105">
        <f t="shared" si="125"/>
        <v>0</v>
      </c>
      <c r="K444" s="106"/>
      <c r="L444" s="177" t="str">
        <f t="shared" si="126"/>
        <v/>
      </c>
      <c r="M444" s="105">
        <f t="shared" si="127"/>
        <v>0</v>
      </c>
      <c r="N444" s="110"/>
      <c r="O444" s="124"/>
      <c r="P444" s="110"/>
      <c r="Q444" s="124"/>
      <c r="R444" s="111">
        <f>SUMIFS('Shipments data'!L:L,'Shipments data'!F:F,'Supply planning data'!C444,'Shipments data'!A:A,'Supply planning data'!A444,'Shipments data'!Y:Y,'Supply planning data'!D444,'Shipments data'!O:O,"received", 'Shipments data'!N:N, "Public")</f>
        <v>0</v>
      </c>
      <c r="S444" s="111">
        <f>SUMIFS('Shipments data'!L:L,'Shipments data'!F:F,'Supply planning data'!C444,'Shipments data'!A:A,'Supply planning data'!A444,'Shipments data'!Y:Y,'Supply planning data'!D444,'Shipments data'!O:O,"ordered", 'Shipments data'!N:N, "Public")</f>
        <v>0</v>
      </c>
      <c r="T444" s="111">
        <f>IF(SUMIFS('Shipments data'!L:L,'Shipments data'!F:F,'Supply planning data'!C444,'Shipments data'!A:A,'Supply planning data'!A444,'Shipments data'!O:O,"received",'Shipments data'!Q:Q,"&lt;"&amp;'Supply planning data'!D459,'Shipments data'!AC:AC,"&lt;"&amp;'Supply planning data'!D459)-SUMIFS(M:M,D:D,"&lt;="&amp;D444,C:C,C444)+SUMIFS(N:N,D:D,"&lt;="&amp;D444,C:C,C444)+SUMIFS(P:P,D:D,"&lt;="&amp;D444,C:C,C444)&lt;0,0,SUMIFS('Shipments data'!L:L,'Shipments data'!F:F,'Supply planning data'!C444,'Shipments data'!A:A,'Supply planning data'!A444,'Shipments data'!O:O,"received",'Shipments data'!Q:Q,"&lt;"&amp;'Supply planning data'!D459,'Shipments data'!AC:AC,"&lt;"&amp;'Supply planning data'!D459)-SUMIFS(M:M,D:D,"&lt;="&amp;D444,C:C,C444)+SUMIFS(N:N,D:D,"&lt;="&amp;D444,C:C,C444)+SUMIFS(P:P,D:D,"&lt;="&amp;D444,C:C,C444))</f>
        <v>0</v>
      </c>
      <c r="U444" s="112">
        <f t="shared" si="134"/>
        <v>0</v>
      </c>
      <c r="V444" s="111">
        <f t="shared" si="142"/>
        <v>0</v>
      </c>
      <c r="W444" s="204" t="str">
        <f t="shared" si="140"/>
        <v/>
      </c>
      <c r="X444" s="111">
        <f t="shared" si="135"/>
        <v>0</v>
      </c>
      <c r="Y444" s="110"/>
      <c r="Z444" s="107"/>
      <c r="AA444" s="111">
        <f t="shared" si="128"/>
        <v>0</v>
      </c>
      <c r="AB444" s="235"/>
      <c r="AC444" s="111">
        <f>IF(SUMIFS('Shipments data'!L:L,'Shipments data'!F:F,'Supply planning data'!C444,'Shipments data'!A:A,'Supply planning data'!A444,'Shipments data'!O:O,"received",'Shipments data'!Q:Q,"&lt;"&amp;'Supply planning data'!D459,'Shipments data'!AC:AC,"&lt;"&amp;'Supply planning data'!D459)-SUMIFS(M:M,D:D,"&lt;="&amp;D444,C:C,C444)-SUMIFS(AA:AA,D:D,"&lt;="&amp;D444,C:C,C444)+SUMIFS(N:N,D:D,"&lt;="&amp;D444,C:C,C444)+SUMIFS(P:P,D:D,"&lt;="&amp;D444,C:C,C444)&lt;0,0,SUMIFS('Shipments data'!L:L,'Shipments data'!F:F,'Supply planning data'!C444,'Shipments data'!A:A,'Supply planning data'!A444,'Shipments data'!O:O,"received",'Shipments data'!Q:Q,"&lt;"&amp;'Supply planning data'!D459,'Shipments data'!AC:AC,"&lt;"&amp;'Supply planning data'!D459)-SUMIFS(M:M,D:D,"&lt;="&amp;D444,C:C,C444)-SUMIFS(AA:AA,D:D,"&lt;="&amp;D444,C:C,C444)+SUMIFS(N:N,D:D,"&lt;="&amp;D444,C:C,C444)+SUMIFS(P:P,D:D,"&lt;="&amp;D444,C:C,C444))</f>
        <v>0</v>
      </c>
      <c r="AD444" s="111">
        <f t="shared" si="136"/>
        <v>0</v>
      </c>
      <c r="AE444" s="111">
        <f t="shared" si="130"/>
        <v>0</v>
      </c>
      <c r="AF444" s="204" t="str">
        <f t="shared" si="139"/>
        <v/>
      </c>
      <c r="AG444" s="111">
        <f t="shared" si="137"/>
        <v>0</v>
      </c>
      <c r="AH444" s="110"/>
      <c r="AI444" s="313"/>
      <c r="AJ444" s="111">
        <f t="shared" si="129"/>
        <v>0</v>
      </c>
      <c r="AK444" s="235"/>
      <c r="AL444" s="111">
        <f>IF(SUMIFS('Shipments data'!L:L,'Shipments data'!F:F,'Supply planning data'!C444,'Shipments data'!A:A,'Supply planning data'!A444,'Shipments data'!O:O,"received",'Shipments data'!Q:Q,"&lt;"&amp;'Supply planning data'!D459,'Shipments data'!AC:AC,"&lt;"&amp;'Supply planning data'!D459)-SUMIFS(M:M,D:D,"&lt;="&amp;D444,C:C,C444)-SUMIFS(AJ:AJ,D:D,"&lt;="&amp;D444,C:C,C444)+SUMIFS(N:N,D:D,"&lt;="&amp;D444,C:C,C444)+SUMIFS(P:P,D:D,"&lt;="&amp;D444,C:C,C444)&lt;0,0,SUMIFS('Shipments data'!L:L,'Shipments data'!F:F,'Supply planning data'!C444,'Shipments data'!A:A,'Supply planning data'!A444,'Shipments data'!O:O,"received",'Shipments data'!Q:Q,"&lt;"&amp;'Supply planning data'!D459,'Shipments data'!AC:AC,"&lt;"&amp;'Supply planning data'!D459)-SUMIFS(M:M,D:D,"&lt;="&amp;D444,C:C,C444)-SUMIFS(AJ:AJ,D:D,"&lt;="&amp;D444,C:C,C444)+SUMIFS(N:N,D:D,"&lt;="&amp;D444,C:C,C444)+SUMIFS(P:P,D:D,"&lt;="&amp;D444,C:C,C444))</f>
        <v>0</v>
      </c>
      <c r="AM444" s="111">
        <f t="shared" si="138"/>
        <v>0</v>
      </c>
      <c r="AN444" s="111">
        <f t="shared" si="131"/>
        <v>0</v>
      </c>
      <c r="AO444" s="204" t="str">
        <f t="shared" si="141"/>
        <v/>
      </c>
    </row>
    <row r="445" spans="1:41" hidden="1" x14ac:dyDescent="0.25">
      <c r="A445" s="103" t="str">
        <f>Start!D$7</f>
        <v>Anyland</v>
      </c>
      <c r="B445" s="109" t="str">
        <f>VLOOKUP(A445,list!B:C,2,FALSE)</f>
        <v>ANY</v>
      </c>
      <c r="C445" s="109" t="str">
        <f>IF(Start!$C$22="","",Start!$C$22)</f>
        <v/>
      </c>
      <c r="D445" s="298">
        <f t="shared" si="132"/>
        <v>45078</v>
      </c>
      <c r="E445" s="105" t="str">
        <f>IFERROR(VLOOKUP(C445,Start!C$15:D$31,2,FALSE),"No")</f>
        <v>No</v>
      </c>
      <c r="F445" s="105">
        <f t="shared" si="133"/>
        <v>0</v>
      </c>
      <c r="G445" s="106"/>
      <c r="H445" s="106"/>
      <c r="I445" s="106"/>
      <c r="J445" s="105">
        <f t="shared" si="125"/>
        <v>0</v>
      </c>
      <c r="K445" s="106"/>
      <c r="L445" s="177" t="str">
        <f t="shared" si="126"/>
        <v/>
      </c>
      <c r="M445" s="105">
        <f t="shared" si="127"/>
        <v>0</v>
      </c>
      <c r="N445" s="110"/>
      <c r="O445" s="124"/>
      <c r="P445" s="110"/>
      <c r="Q445" s="124"/>
      <c r="R445" s="111">
        <f>SUMIFS('Shipments data'!L:L,'Shipments data'!F:F,'Supply planning data'!C445,'Shipments data'!A:A,'Supply planning data'!A445,'Shipments data'!Y:Y,'Supply planning data'!D445,'Shipments data'!O:O,"received", 'Shipments data'!N:N, "Public")</f>
        <v>0</v>
      </c>
      <c r="S445" s="111">
        <f>SUMIFS('Shipments data'!L:L,'Shipments data'!F:F,'Supply planning data'!C445,'Shipments data'!A:A,'Supply planning data'!A445,'Shipments data'!Y:Y,'Supply planning data'!D445,'Shipments data'!O:O,"ordered", 'Shipments data'!N:N, "Public")</f>
        <v>0</v>
      </c>
      <c r="T445" s="111">
        <f>IF(SUMIFS('Shipments data'!L:L,'Shipments data'!F:F,'Supply planning data'!C445,'Shipments data'!A:A,'Supply planning data'!A445,'Shipments data'!O:O,"received",'Shipments data'!Q:Q,"&lt;"&amp;'Supply planning data'!D460,'Shipments data'!AC:AC,"&lt;"&amp;'Supply planning data'!D460)-SUMIFS(M:M,D:D,"&lt;="&amp;D445,C:C,C445)+SUMIFS(N:N,D:D,"&lt;="&amp;D445,C:C,C445)+SUMIFS(P:P,D:D,"&lt;="&amp;D445,C:C,C445)&lt;0,0,SUMIFS('Shipments data'!L:L,'Shipments data'!F:F,'Supply planning data'!C445,'Shipments data'!A:A,'Supply planning data'!A445,'Shipments data'!O:O,"received",'Shipments data'!Q:Q,"&lt;"&amp;'Supply planning data'!D460,'Shipments data'!AC:AC,"&lt;"&amp;'Supply planning data'!D460)-SUMIFS(M:M,D:D,"&lt;="&amp;D445,C:C,C445)+SUMIFS(N:N,D:D,"&lt;="&amp;D445,C:C,C445)+SUMIFS(P:P,D:D,"&lt;="&amp;D445,C:C,C445))</f>
        <v>0</v>
      </c>
      <c r="U445" s="112">
        <f t="shared" si="134"/>
        <v>0</v>
      </c>
      <c r="V445" s="111">
        <f t="shared" si="142"/>
        <v>0</v>
      </c>
      <c r="W445" s="204" t="str">
        <f t="shared" si="140"/>
        <v/>
      </c>
      <c r="X445" s="111">
        <f t="shared" si="135"/>
        <v>0</v>
      </c>
      <c r="Y445" s="110"/>
      <c r="Z445" s="107"/>
      <c r="AA445" s="111">
        <f t="shared" si="128"/>
        <v>0</v>
      </c>
      <c r="AB445" s="235"/>
      <c r="AC445" s="111">
        <f>IF(SUMIFS('Shipments data'!L:L,'Shipments data'!F:F,'Supply planning data'!C445,'Shipments data'!A:A,'Supply planning data'!A445,'Shipments data'!O:O,"received",'Shipments data'!Q:Q,"&lt;"&amp;'Supply planning data'!D460,'Shipments data'!AC:AC,"&lt;"&amp;'Supply planning data'!D460)-SUMIFS(M:M,D:D,"&lt;="&amp;D445,C:C,C445)-SUMIFS(AA:AA,D:D,"&lt;="&amp;D445,C:C,C445)+SUMIFS(N:N,D:D,"&lt;="&amp;D445,C:C,C445)+SUMIFS(P:P,D:D,"&lt;="&amp;D445,C:C,C445)&lt;0,0,SUMIFS('Shipments data'!L:L,'Shipments data'!F:F,'Supply planning data'!C445,'Shipments data'!A:A,'Supply planning data'!A445,'Shipments data'!O:O,"received",'Shipments data'!Q:Q,"&lt;"&amp;'Supply planning data'!D460,'Shipments data'!AC:AC,"&lt;"&amp;'Supply planning data'!D460)-SUMIFS(M:M,D:D,"&lt;="&amp;D445,C:C,C445)-SUMIFS(AA:AA,D:D,"&lt;="&amp;D445,C:C,C445)+SUMIFS(N:N,D:D,"&lt;="&amp;D445,C:C,C445)+SUMIFS(P:P,D:D,"&lt;="&amp;D445,C:C,C445))</f>
        <v>0</v>
      </c>
      <c r="AD445" s="111">
        <f t="shared" si="136"/>
        <v>0</v>
      </c>
      <c r="AE445" s="111">
        <f t="shared" si="130"/>
        <v>0</v>
      </c>
      <c r="AF445" s="204" t="str">
        <f t="shared" si="139"/>
        <v/>
      </c>
      <c r="AG445" s="111">
        <f t="shared" si="137"/>
        <v>0</v>
      </c>
      <c r="AH445" s="110"/>
      <c r="AI445" s="313"/>
      <c r="AJ445" s="111">
        <f t="shared" si="129"/>
        <v>0</v>
      </c>
      <c r="AK445" s="235"/>
      <c r="AL445" s="111">
        <f>IF(SUMIFS('Shipments data'!L:L,'Shipments data'!F:F,'Supply planning data'!C445,'Shipments data'!A:A,'Supply planning data'!A445,'Shipments data'!O:O,"received",'Shipments data'!Q:Q,"&lt;"&amp;'Supply planning data'!D460,'Shipments data'!AC:AC,"&lt;"&amp;'Supply planning data'!D460)-SUMIFS(M:M,D:D,"&lt;="&amp;D445,C:C,C445)-SUMIFS(AJ:AJ,D:D,"&lt;="&amp;D445,C:C,C445)+SUMIFS(N:N,D:D,"&lt;="&amp;D445,C:C,C445)+SUMIFS(P:P,D:D,"&lt;="&amp;D445,C:C,C445)&lt;0,0,SUMIFS('Shipments data'!L:L,'Shipments data'!F:F,'Supply planning data'!C445,'Shipments data'!A:A,'Supply planning data'!A445,'Shipments data'!O:O,"received",'Shipments data'!Q:Q,"&lt;"&amp;'Supply planning data'!D460,'Shipments data'!AC:AC,"&lt;"&amp;'Supply planning data'!D460)-SUMIFS(M:M,D:D,"&lt;="&amp;D445,C:C,C445)-SUMIFS(AJ:AJ,D:D,"&lt;="&amp;D445,C:C,C445)+SUMIFS(N:N,D:D,"&lt;="&amp;D445,C:C,C445)+SUMIFS(P:P,D:D,"&lt;="&amp;D445,C:C,C445))</f>
        <v>0</v>
      </c>
      <c r="AM445" s="111">
        <f t="shared" si="138"/>
        <v>0</v>
      </c>
      <c r="AN445" s="111">
        <f t="shared" si="131"/>
        <v>0</v>
      </c>
      <c r="AO445" s="204" t="str">
        <f t="shared" si="141"/>
        <v/>
      </c>
    </row>
    <row r="446" spans="1:41" hidden="1" x14ac:dyDescent="0.25">
      <c r="A446" s="103" t="str">
        <f>Start!D$7</f>
        <v>Anyland</v>
      </c>
      <c r="B446" s="109" t="str">
        <f>VLOOKUP(A446,list!B:C,2,FALSE)</f>
        <v>ANY</v>
      </c>
      <c r="C446" s="104" t="str">
        <f>IF(Start!$C$23="","",Start!$C$23)</f>
        <v/>
      </c>
      <c r="D446" s="298">
        <f t="shared" si="132"/>
        <v>45078</v>
      </c>
      <c r="E446" s="105" t="str">
        <f>IFERROR(VLOOKUP(C446,Start!C$15:D$31,2,FALSE),"No")</f>
        <v>No</v>
      </c>
      <c r="F446" s="105">
        <f t="shared" si="133"/>
        <v>0</v>
      </c>
      <c r="G446" s="106"/>
      <c r="H446" s="106"/>
      <c r="I446" s="106"/>
      <c r="J446" s="105">
        <f t="shared" si="125"/>
        <v>0</v>
      </c>
      <c r="K446" s="106"/>
      <c r="L446" s="177" t="str">
        <f t="shared" si="126"/>
        <v/>
      </c>
      <c r="M446" s="105">
        <f t="shared" si="127"/>
        <v>0</v>
      </c>
      <c r="N446" s="110"/>
      <c r="O446" s="124"/>
      <c r="P446" s="110"/>
      <c r="Q446" s="124"/>
      <c r="R446" s="111">
        <f>SUMIFS('Shipments data'!L:L,'Shipments data'!F:F,'Supply planning data'!C446,'Shipments data'!A:A,'Supply planning data'!A446,'Shipments data'!Y:Y,'Supply planning data'!D446,'Shipments data'!O:O,"received", 'Shipments data'!N:N, "Public")</f>
        <v>0</v>
      </c>
      <c r="S446" s="111">
        <f>SUMIFS('Shipments data'!L:L,'Shipments data'!F:F,'Supply planning data'!C446,'Shipments data'!A:A,'Supply planning data'!A446,'Shipments data'!Y:Y,'Supply planning data'!D446,'Shipments data'!O:O,"ordered", 'Shipments data'!N:N, "Public")</f>
        <v>0</v>
      </c>
      <c r="T446" s="111">
        <f>IF(SUMIFS('Shipments data'!L:L,'Shipments data'!F:F,'Supply planning data'!C446,'Shipments data'!A:A,'Supply planning data'!A446,'Shipments data'!O:O,"received",'Shipments data'!Q:Q,"&lt;"&amp;'Supply planning data'!D461,'Shipments data'!AC:AC,"&lt;"&amp;'Supply planning data'!D461)-SUMIFS(M:M,D:D,"&lt;="&amp;D446,C:C,C446)+SUMIFS(N:N,D:D,"&lt;="&amp;D446,C:C,C446)+SUMIFS(P:P,D:D,"&lt;="&amp;D446,C:C,C446)&lt;0,0,SUMIFS('Shipments data'!L:L,'Shipments data'!F:F,'Supply planning data'!C446,'Shipments data'!A:A,'Supply planning data'!A446,'Shipments data'!O:O,"received",'Shipments data'!Q:Q,"&lt;"&amp;'Supply planning data'!D461,'Shipments data'!AC:AC,"&lt;"&amp;'Supply planning data'!D461)-SUMIFS(M:M,D:D,"&lt;="&amp;D446,C:C,C446)+SUMIFS(N:N,D:D,"&lt;="&amp;D446,C:C,C446)+SUMIFS(P:P,D:D,"&lt;="&amp;D446,C:C,C446))</f>
        <v>0</v>
      </c>
      <c r="U446" s="112">
        <f t="shared" si="134"/>
        <v>0</v>
      </c>
      <c r="V446" s="111">
        <f t="shared" si="142"/>
        <v>0</v>
      </c>
      <c r="W446" s="204" t="str">
        <f t="shared" si="140"/>
        <v/>
      </c>
      <c r="X446" s="111">
        <f t="shared" si="135"/>
        <v>0</v>
      </c>
      <c r="Y446" s="110"/>
      <c r="Z446" s="107"/>
      <c r="AA446" s="111">
        <f t="shared" si="128"/>
        <v>0</v>
      </c>
      <c r="AB446" s="235"/>
      <c r="AC446" s="111">
        <f>IF(SUMIFS('Shipments data'!L:L,'Shipments data'!F:F,'Supply planning data'!C446,'Shipments data'!A:A,'Supply planning data'!A446,'Shipments data'!O:O,"received",'Shipments data'!Q:Q,"&lt;"&amp;'Supply planning data'!D461,'Shipments data'!AC:AC,"&lt;"&amp;'Supply planning data'!D461)-SUMIFS(M:M,D:D,"&lt;="&amp;D446,C:C,C446)-SUMIFS(AA:AA,D:D,"&lt;="&amp;D446,C:C,C446)+SUMIFS(N:N,D:D,"&lt;="&amp;D446,C:C,C446)+SUMIFS(P:P,D:D,"&lt;="&amp;D446,C:C,C446)&lt;0,0,SUMIFS('Shipments data'!L:L,'Shipments data'!F:F,'Supply planning data'!C446,'Shipments data'!A:A,'Supply planning data'!A446,'Shipments data'!O:O,"received",'Shipments data'!Q:Q,"&lt;"&amp;'Supply planning data'!D461,'Shipments data'!AC:AC,"&lt;"&amp;'Supply planning data'!D461)-SUMIFS(M:M,D:D,"&lt;="&amp;D446,C:C,C446)-SUMIFS(AA:AA,D:D,"&lt;="&amp;D446,C:C,C446)+SUMIFS(N:N,D:D,"&lt;="&amp;D446,C:C,C446)+SUMIFS(P:P,D:D,"&lt;="&amp;D446,C:C,C446))</f>
        <v>0</v>
      </c>
      <c r="AD446" s="111">
        <f t="shared" si="136"/>
        <v>0</v>
      </c>
      <c r="AE446" s="111">
        <f t="shared" si="130"/>
        <v>0</v>
      </c>
      <c r="AF446" s="204" t="str">
        <f t="shared" si="139"/>
        <v/>
      </c>
      <c r="AG446" s="111">
        <f t="shared" si="137"/>
        <v>0</v>
      </c>
      <c r="AH446" s="110"/>
      <c r="AI446" s="313"/>
      <c r="AJ446" s="111">
        <f t="shared" si="129"/>
        <v>0</v>
      </c>
      <c r="AK446" s="235"/>
      <c r="AL446" s="111">
        <f>IF(SUMIFS('Shipments data'!L:L,'Shipments data'!F:F,'Supply planning data'!C446,'Shipments data'!A:A,'Supply planning data'!A446,'Shipments data'!O:O,"received",'Shipments data'!Q:Q,"&lt;"&amp;'Supply planning data'!D461,'Shipments data'!AC:AC,"&lt;"&amp;'Supply planning data'!D461)-SUMIFS(M:M,D:D,"&lt;="&amp;D446,C:C,C446)-SUMIFS(AJ:AJ,D:D,"&lt;="&amp;D446,C:C,C446)+SUMIFS(N:N,D:D,"&lt;="&amp;D446,C:C,C446)+SUMIFS(P:P,D:D,"&lt;="&amp;D446,C:C,C446)&lt;0,0,SUMIFS('Shipments data'!L:L,'Shipments data'!F:F,'Supply planning data'!C446,'Shipments data'!A:A,'Supply planning data'!A446,'Shipments data'!O:O,"received",'Shipments data'!Q:Q,"&lt;"&amp;'Supply planning data'!D461,'Shipments data'!AC:AC,"&lt;"&amp;'Supply planning data'!D461)-SUMIFS(M:M,D:D,"&lt;="&amp;D446,C:C,C446)-SUMIFS(AJ:AJ,D:D,"&lt;="&amp;D446,C:C,C446)+SUMIFS(N:N,D:D,"&lt;="&amp;D446,C:C,C446)+SUMIFS(P:P,D:D,"&lt;="&amp;D446,C:C,C446))</f>
        <v>0</v>
      </c>
      <c r="AM446" s="111">
        <f t="shared" si="138"/>
        <v>0</v>
      </c>
      <c r="AN446" s="111">
        <f t="shared" si="131"/>
        <v>0</v>
      </c>
      <c r="AO446" s="204" t="str">
        <f t="shared" si="141"/>
        <v/>
      </c>
    </row>
    <row r="447" spans="1:41" hidden="1" x14ac:dyDescent="0.25">
      <c r="A447" s="103" t="str">
        <f>Start!D$7</f>
        <v>Anyland</v>
      </c>
      <c r="B447" s="109" t="str">
        <f>VLOOKUP(A447,list!B:C,2,FALSE)</f>
        <v>ANY</v>
      </c>
      <c r="C447" s="109" t="str">
        <f>IF(Start!$C$24="","",Start!$C$24)</f>
        <v/>
      </c>
      <c r="D447" s="298">
        <f t="shared" si="132"/>
        <v>45078</v>
      </c>
      <c r="E447" s="105" t="str">
        <f>IFERROR(VLOOKUP(C447,Start!C$15:D$31,2,FALSE),"No")</f>
        <v>No</v>
      </c>
      <c r="F447" s="105">
        <f t="shared" si="133"/>
        <v>0</v>
      </c>
      <c r="G447" s="106"/>
      <c r="H447" s="106"/>
      <c r="I447" s="106"/>
      <c r="J447" s="105">
        <f t="shared" si="125"/>
        <v>0</v>
      </c>
      <c r="K447" s="106"/>
      <c r="L447" s="177" t="str">
        <f t="shared" si="126"/>
        <v/>
      </c>
      <c r="M447" s="105">
        <f t="shared" si="127"/>
        <v>0</v>
      </c>
      <c r="N447" s="110"/>
      <c r="O447" s="124"/>
      <c r="P447" s="110"/>
      <c r="Q447" s="124"/>
      <c r="R447" s="111">
        <f>SUMIFS('Shipments data'!L:L,'Shipments data'!F:F,'Supply planning data'!C447,'Shipments data'!A:A,'Supply planning data'!A447,'Shipments data'!Y:Y,'Supply planning data'!D447,'Shipments data'!O:O,"received", 'Shipments data'!N:N, "Public")</f>
        <v>0</v>
      </c>
      <c r="S447" s="111">
        <f>SUMIFS('Shipments data'!L:L,'Shipments data'!F:F,'Supply planning data'!C447,'Shipments data'!A:A,'Supply planning data'!A447,'Shipments data'!Y:Y,'Supply planning data'!D447,'Shipments data'!O:O,"ordered", 'Shipments data'!N:N, "Public")</f>
        <v>0</v>
      </c>
      <c r="T447" s="111">
        <f>IF(SUMIFS('Shipments data'!L:L,'Shipments data'!F:F,'Supply planning data'!C447,'Shipments data'!A:A,'Supply planning data'!A447,'Shipments data'!O:O,"received",'Shipments data'!Q:Q,"&lt;"&amp;'Supply planning data'!D462,'Shipments data'!AC:AC,"&lt;"&amp;'Supply planning data'!D462)-SUMIFS(M:M,D:D,"&lt;="&amp;D447,C:C,C447)+SUMIFS(N:N,D:D,"&lt;="&amp;D447,C:C,C447)+SUMIFS(P:P,D:D,"&lt;="&amp;D447,C:C,C447)&lt;0,0,SUMIFS('Shipments data'!L:L,'Shipments data'!F:F,'Supply planning data'!C447,'Shipments data'!A:A,'Supply planning data'!A447,'Shipments data'!O:O,"received",'Shipments data'!Q:Q,"&lt;"&amp;'Supply planning data'!D462,'Shipments data'!AC:AC,"&lt;"&amp;'Supply planning data'!D462)-SUMIFS(M:M,D:D,"&lt;="&amp;D447,C:C,C447)+SUMIFS(N:N,D:D,"&lt;="&amp;D447,C:C,C447)+SUMIFS(P:P,D:D,"&lt;="&amp;D447,C:C,C447))</f>
        <v>0</v>
      </c>
      <c r="U447" s="112">
        <f t="shared" si="134"/>
        <v>0</v>
      </c>
      <c r="V447" s="111">
        <f t="shared" si="142"/>
        <v>0</v>
      </c>
      <c r="W447" s="204" t="str">
        <f t="shared" si="140"/>
        <v/>
      </c>
      <c r="X447" s="111">
        <f t="shared" si="135"/>
        <v>0</v>
      </c>
      <c r="Y447" s="110"/>
      <c r="Z447" s="107"/>
      <c r="AA447" s="111">
        <f t="shared" si="128"/>
        <v>0</v>
      </c>
      <c r="AB447" s="235"/>
      <c r="AC447" s="111">
        <f>IF(SUMIFS('Shipments data'!L:L,'Shipments data'!F:F,'Supply planning data'!C447,'Shipments data'!A:A,'Supply planning data'!A447,'Shipments data'!O:O,"received",'Shipments data'!Q:Q,"&lt;"&amp;'Supply planning data'!D462,'Shipments data'!AC:AC,"&lt;"&amp;'Supply planning data'!D462)-SUMIFS(M:M,D:D,"&lt;="&amp;D447,C:C,C447)-SUMIFS(AA:AA,D:D,"&lt;="&amp;D447,C:C,C447)+SUMIFS(N:N,D:D,"&lt;="&amp;D447,C:C,C447)+SUMIFS(P:P,D:D,"&lt;="&amp;D447,C:C,C447)&lt;0,0,SUMIFS('Shipments data'!L:L,'Shipments data'!F:F,'Supply planning data'!C447,'Shipments data'!A:A,'Supply planning data'!A447,'Shipments data'!O:O,"received",'Shipments data'!Q:Q,"&lt;"&amp;'Supply planning data'!D462,'Shipments data'!AC:AC,"&lt;"&amp;'Supply planning data'!D462)-SUMIFS(M:M,D:D,"&lt;="&amp;D447,C:C,C447)-SUMIFS(AA:AA,D:D,"&lt;="&amp;D447,C:C,C447)+SUMIFS(N:N,D:D,"&lt;="&amp;D447,C:C,C447)+SUMIFS(P:P,D:D,"&lt;="&amp;D447,C:C,C447))</f>
        <v>0</v>
      </c>
      <c r="AD447" s="111">
        <f t="shared" si="136"/>
        <v>0</v>
      </c>
      <c r="AE447" s="111">
        <f t="shared" si="130"/>
        <v>0</v>
      </c>
      <c r="AF447" s="204" t="str">
        <f t="shared" si="139"/>
        <v/>
      </c>
      <c r="AG447" s="111">
        <f t="shared" si="137"/>
        <v>0</v>
      </c>
      <c r="AH447" s="110"/>
      <c r="AI447" s="313"/>
      <c r="AJ447" s="111">
        <f t="shared" si="129"/>
        <v>0</v>
      </c>
      <c r="AK447" s="235"/>
      <c r="AL447" s="111">
        <f>IF(SUMIFS('Shipments data'!L:L,'Shipments data'!F:F,'Supply planning data'!C447,'Shipments data'!A:A,'Supply planning data'!A447,'Shipments data'!O:O,"received",'Shipments data'!Q:Q,"&lt;"&amp;'Supply planning data'!D462,'Shipments data'!AC:AC,"&lt;"&amp;'Supply planning data'!D462)-SUMIFS(M:M,D:D,"&lt;="&amp;D447,C:C,C447)-SUMIFS(AJ:AJ,D:D,"&lt;="&amp;D447,C:C,C447)+SUMIFS(N:N,D:D,"&lt;="&amp;D447,C:C,C447)+SUMIFS(P:P,D:D,"&lt;="&amp;D447,C:C,C447)&lt;0,0,SUMIFS('Shipments data'!L:L,'Shipments data'!F:F,'Supply planning data'!C447,'Shipments data'!A:A,'Supply planning data'!A447,'Shipments data'!O:O,"received",'Shipments data'!Q:Q,"&lt;"&amp;'Supply planning data'!D462,'Shipments data'!AC:AC,"&lt;"&amp;'Supply planning data'!D462)-SUMIFS(M:M,D:D,"&lt;="&amp;D447,C:C,C447)-SUMIFS(AJ:AJ,D:D,"&lt;="&amp;D447,C:C,C447)+SUMIFS(N:N,D:D,"&lt;="&amp;D447,C:C,C447)+SUMIFS(P:P,D:D,"&lt;="&amp;D447,C:C,C447))</f>
        <v>0</v>
      </c>
      <c r="AM447" s="111">
        <f t="shared" si="138"/>
        <v>0</v>
      </c>
      <c r="AN447" s="111">
        <f t="shared" si="131"/>
        <v>0</v>
      </c>
      <c r="AO447" s="204" t="str">
        <f t="shared" si="141"/>
        <v/>
      </c>
    </row>
    <row r="448" spans="1:41" hidden="1" x14ac:dyDescent="0.25">
      <c r="A448" s="103" t="str">
        <f>Start!D$7</f>
        <v>Anyland</v>
      </c>
      <c r="B448" s="109" t="str">
        <f>VLOOKUP(A448,list!B:C,2,FALSE)</f>
        <v>ANY</v>
      </c>
      <c r="C448" s="104" t="str">
        <f>IF(Start!$C$25="","",Start!$C$25)</f>
        <v/>
      </c>
      <c r="D448" s="298">
        <f t="shared" si="132"/>
        <v>45078</v>
      </c>
      <c r="E448" s="105" t="str">
        <f>IFERROR(VLOOKUP(C448,Start!C$15:D$31,2,FALSE),"No")</f>
        <v>No</v>
      </c>
      <c r="F448" s="105">
        <f t="shared" si="133"/>
        <v>0</v>
      </c>
      <c r="G448" s="106"/>
      <c r="H448" s="106"/>
      <c r="I448" s="106"/>
      <c r="J448" s="105">
        <f t="shared" si="125"/>
        <v>0</v>
      </c>
      <c r="K448" s="106"/>
      <c r="L448" s="177" t="str">
        <f t="shared" si="126"/>
        <v/>
      </c>
      <c r="M448" s="105">
        <f t="shared" si="127"/>
        <v>0</v>
      </c>
      <c r="N448" s="110"/>
      <c r="O448" s="124"/>
      <c r="P448" s="110"/>
      <c r="Q448" s="124"/>
      <c r="R448" s="111">
        <f>SUMIFS('Shipments data'!L:L,'Shipments data'!F:F,'Supply planning data'!C448,'Shipments data'!A:A,'Supply planning data'!A448,'Shipments data'!Y:Y,'Supply planning data'!D448,'Shipments data'!O:O,"received", 'Shipments data'!N:N, "Public")</f>
        <v>0</v>
      </c>
      <c r="S448" s="111">
        <f>SUMIFS('Shipments data'!L:L,'Shipments data'!F:F,'Supply planning data'!C448,'Shipments data'!A:A,'Supply planning data'!A448,'Shipments data'!Y:Y,'Supply planning data'!D448,'Shipments data'!O:O,"ordered", 'Shipments data'!N:N, "Public")</f>
        <v>0</v>
      </c>
      <c r="T448" s="111">
        <f>IF(SUMIFS('Shipments data'!L:L,'Shipments data'!F:F,'Supply planning data'!C448,'Shipments data'!A:A,'Supply planning data'!A448,'Shipments data'!O:O,"received",'Shipments data'!Q:Q,"&lt;"&amp;'Supply planning data'!D463,'Shipments data'!AC:AC,"&lt;"&amp;'Supply planning data'!D463)-SUMIFS(M:M,D:D,"&lt;="&amp;D448,C:C,C448)+SUMIFS(N:N,D:D,"&lt;="&amp;D448,C:C,C448)+SUMIFS(P:P,D:D,"&lt;="&amp;D448,C:C,C448)&lt;0,0,SUMIFS('Shipments data'!L:L,'Shipments data'!F:F,'Supply planning data'!C448,'Shipments data'!A:A,'Supply planning data'!A448,'Shipments data'!O:O,"received",'Shipments data'!Q:Q,"&lt;"&amp;'Supply planning data'!D463,'Shipments data'!AC:AC,"&lt;"&amp;'Supply planning data'!D463)-SUMIFS(M:M,D:D,"&lt;="&amp;D448,C:C,C448)+SUMIFS(N:N,D:D,"&lt;="&amp;D448,C:C,C448)+SUMIFS(P:P,D:D,"&lt;="&amp;D448,C:C,C448))</f>
        <v>0</v>
      </c>
      <c r="U448" s="112">
        <f t="shared" si="134"/>
        <v>0</v>
      </c>
      <c r="V448" s="111">
        <f t="shared" si="142"/>
        <v>0</v>
      </c>
      <c r="W448" s="204" t="str">
        <f t="shared" si="140"/>
        <v/>
      </c>
      <c r="X448" s="111">
        <f t="shared" si="135"/>
        <v>0</v>
      </c>
      <c r="Y448" s="110"/>
      <c r="Z448" s="107"/>
      <c r="AA448" s="111">
        <f t="shared" si="128"/>
        <v>0</v>
      </c>
      <c r="AB448" s="235"/>
      <c r="AC448" s="111">
        <f>IF(SUMIFS('Shipments data'!L:L,'Shipments data'!F:F,'Supply planning data'!C448,'Shipments data'!A:A,'Supply planning data'!A448,'Shipments data'!O:O,"received",'Shipments data'!Q:Q,"&lt;"&amp;'Supply planning data'!D463,'Shipments data'!AC:AC,"&lt;"&amp;'Supply planning data'!D463)-SUMIFS(M:M,D:D,"&lt;="&amp;D448,C:C,C448)-SUMIFS(AA:AA,D:D,"&lt;="&amp;D448,C:C,C448)+SUMIFS(N:N,D:D,"&lt;="&amp;D448,C:C,C448)+SUMIFS(P:P,D:D,"&lt;="&amp;D448,C:C,C448)&lt;0,0,SUMIFS('Shipments data'!L:L,'Shipments data'!F:F,'Supply planning data'!C448,'Shipments data'!A:A,'Supply planning data'!A448,'Shipments data'!O:O,"received",'Shipments data'!Q:Q,"&lt;"&amp;'Supply planning data'!D463,'Shipments data'!AC:AC,"&lt;"&amp;'Supply planning data'!D463)-SUMIFS(M:M,D:D,"&lt;="&amp;D448,C:C,C448)-SUMIFS(AA:AA,D:D,"&lt;="&amp;D448,C:C,C448)+SUMIFS(N:N,D:D,"&lt;="&amp;D448,C:C,C448)+SUMIFS(P:P,D:D,"&lt;="&amp;D448,C:C,C448))</f>
        <v>0</v>
      </c>
      <c r="AD448" s="111">
        <f t="shared" si="136"/>
        <v>0</v>
      </c>
      <c r="AE448" s="111">
        <f t="shared" si="130"/>
        <v>0</v>
      </c>
      <c r="AF448" s="204" t="str">
        <f t="shared" si="139"/>
        <v/>
      </c>
      <c r="AG448" s="111">
        <f t="shared" si="137"/>
        <v>0</v>
      </c>
      <c r="AH448" s="110"/>
      <c r="AI448" s="313"/>
      <c r="AJ448" s="111">
        <f t="shared" si="129"/>
        <v>0</v>
      </c>
      <c r="AK448" s="235"/>
      <c r="AL448" s="111">
        <f>IF(SUMIFS('Shipments data'!L:L,'Shipments data'!F:F,'Supply planning data'!C448,'Shipments data'!A:A,'Supply planning data'!A448,'Shipments data'!O:O,"received",'Shipments data'!Q:Q,"&lt;"&amp;'Supply planning data'!D463,'Shipments data'!AC:AC,"&lt;"&amp;'Supply planning data'!D463)-SUMIFS(M:M,D:D,"&lt;="&amp;D448,C:C,C448)-SUMIFS(AJ:AJ,D:D,"&lt;="&amp;D448,C:C,C448)+SUMIFS(N:N,D:D,"&lt;="&amp;D448,C:C,C448)+SUMIFS(P:P,D:D,"&lt;="&amp;D448,C:C,C448)&lt;0,0,SUMIFS('Shipments data'!L:L,'Shipments data'!F:F,'Supply planning data'!C448,'Shipments data'!A:A,'Supply planning data'!A448,'Shipments data'!O:O,"received",'Shipments data'!Q:Q,"&lt;"&amp;'Supply planning data'!D463,'Shipments data'!AC:AC,"&lt;"&amp;'Supply planning data'!D463)-SUMIFS(M:M,D:D,"&lt;="&amp;D448,C:C,C448)-SUMIFS(AJ:AJ,D:D,"&lt;="&amp;D448,C:C,C448)+SUMIFS(N:N,D:D,"&lt;="&amp;D448,C:C,C448)+SUMIFS(P:P,D:D,"&lt;="&amp;D448,C:C,C448))</f>
        <v>0</v>
      </c>
      <c r="AM448" s="111">
        <f t="shared" si="138"/>
        <v>0</v>
      </c>
      <c r="AN448" s="111">
        <f t="shared" si="131"/>
        <v>0</v>
      </c>
      <c r="AO448" s="204" t="str">
        <f t="shared" si="141"/>
        <v/>
      </c>
    </row>
    <row r="449" spans="1:41" hidden="1" x14ac:dyDescent="0.25">
      <c r="A449" s="103" t="str">
        <f>Start!D$7</f>
        <v>Anyland</v>
      </c>
      <c r="B449" s="109" t="str">
        <f>VLOOKUP(A449,list!B:C,2,FALSE)</f>
        <v>ANY</v>
      </c>
      <c r="C449" s="109" t="str">
        <f>IF(Start!$C$26="","",Start!$C$26)</f>
        <v/>
      </c>
      <c r="D449" s="298">
        <f t="shared" si="132"/>
        <v>45078</v>
      </c>
      <c r="E449" s="105" t="str">
        <f>IFERROR(VLOOKUP(C449,Start!C$15:D$31,2,FALSE),"No")</f>
        <v>No</v>
      </c>
      <c r="F449" s="105">
        <f t="shared" si="133"/>
        <v>0</v>
      </c>
      <c r="G449" s="106"/>
      <c r="H449" s="106"/>
      <c r="I449" s="106"/>
      <c r="J449" s="105">
        <f t="shared" si="125"/>
        <v>0</v>
      </c>
      <c r="K449" s="106"/>
      <c r="L449" s="177" t="str">
        <f t="shared" si="126"/>
        <v/>
      </c>
      <c r="M449" s="105">
        <f t="shared" si="127"/>
        <v>0</v>
      </c>
      <c r="N449" s="110"/>
      <c r="O449" s="124"/>
      <c r="P449" s="110"/>
      <c r="Q449" s="124"/>
      <c r="R449" s="111">
        <f>SUMIFS('Shipments data'!L:L,'Shipments data'!F:F,'Supply planning data'!C449,'Shipments data'!A:A,'Supply planning data'!A449,'Shipments data'!Y:Y,'Supply planning data'!D449,'Shipments data'!O:O,"received", 'Shipments data'!N:N, "Public")</f>
        <v>0</v>
      </c>
      <c r="S449" s="111">
        <f>SUMIFS('Shipments data'!L:L,'Shipments data'!F:F,'Supply planning data'!C449,'Shipments data'!A:A,'Supply planning data'!A449,'Shipments data'!Y:Y,'Supply planning data'!D449,'Shipments data'!O:O,"ordered", 'Shipments data'!N:N, "Public")</f>
        <v>0</v>
      </c>
      <c r="T449" s="111">
        <f>IF(SUMIFS('Shipments data'!L:L,'Shipments data'!F:F,'Supply planning data'!C449,'Shipments data'!A:A,'Supply planning data'!A449,'Shipments data'!O:O,"received",'Shipments data'!Q:Q,"&lt;"&amp;'Supply planning data'!D464,'Shipments data'!AC:AC,"&lt;"&amp;'Supply planning data'!D464)-SUMIFS(M:M,D:D,"&lt;="&amp;D449,C:C,C449)+SUMIFS(N:N,D:D,"&lt;="&amp;D449,C:C,C449)+SUMIFS(P:P,D:D,"&lt;="&amp;D449,C:C,C449)&lt;0,0,SUMIFS('Shipments data'!L:L,'Shipments data'!F:F,'Supply planning data'!C449,'Shipments data'!A:A,'Supply planning data'!A449,'Shipments data'!O:O,"received",'Shipments data'!Q:Q,"&lt;"&amp;'Supply planning data'!D464,'Shipments data'!AC:AC,"&lt;"&amp;'Supply planning data'!D464)-SUMIFS(M:M,D:D,"&lt;="&amp;D449,C:C,C449)+SUMIFS(N:N,D:D,"&lt;="&amp;D449,C:C,C449)+SUMIFS(P:P,D:D,"&lt;="&amp;D449,C:C,C449))</f>
        <v>0</v>
      </c>
      <c r="U449" s="112">
        <f t="shared" si="134"/>
        <v>0</v>
      </c>
      <c r="V449" s="111">
        <f t="shared" si="142"/>
        <v>0</v>
      </c>
      <c r="W449" s="204" t="str">
        <f t="shared" si="140"/>
        <v/>
      </c>
      <c r="X449" s="111">
        <f t="shared" si="135"/>
        <v>0</v>
      </c>
      <c r="Y449" s="110"/>
      <c r="Z449" s="107"/>
      <c r="AA449" s="111">
        <f t="shared" si="128"/>
        <v>0</v>
      </c>
      <c r="AB449" s="235"/>
      <c r="AC449" s="111">
        <f>IF(SUMIFS('Shipments data'!L:L,'Shipments data'!F:F,'Supply planning data'!C449,'Shipments data'!A:A,'Supply planning data'!A449,'Shipments data'!O:O,"received",'Shipments data'!Q:Q,"&lt;"&amp;'Supply planning data'!D464,'Shipments data'!AC:AC,"&lt;"&amp;'Supply planning data'!D464)-SUMIFS(M:M,D:D,"&lt;="&amp;D449,C:C,C449)-SUMIFS(AA:AA,D:D,"&lt;="&amp;D449,C:C,C449)+SUMIFS(N:N,D:D,"&lt;="&amp;D449,C:C,C449)+SUMIFS(P:P,D:D,"&lt;="&amp;D449,C:C,C449)&lt;0,0,SUMIFS('Shipments data'!L:L,'Shipments data'!F:F,'Supply planning data'!C449,'Shipments data'!A:A,'Supply planning data'!A449,'Shipments data'!O:O,"received",'Shipments data'!Q:Q,"&lt;"&amp;'Supply planning data'!D464,'Shipments data'!AC:AC,"&lt;"&amp;'Supply planning data'!D464)-SUMIFS(M:M,D:D,"&lt;="&amp;D449,C:C,C449)-SUMIFS(AA:AA,D:D,"&lt;="&amp;D449,C:C,C449)+SUMIFS(N:N,D:D,"&lt;="&amp;D449,C:C,C449)+SUMIFS(P:P,D:D,"&lt;="&amp;D449,C:C,C449))</f>
        <v>0</v>
      </c>
      <c r="AD449" s="111">
        <f t="shared" si="136"/>
        <v>0</v>
      </c>
      <c r="AE449" s="111">
        <f t="shared" si="130"/>
        <v>0</v>
      </c>
      <c r="AF449" s="204" t="str">
        <f t="shared" si="139"/>
        <v/>
      </c>
      <c r="AG449" s="111">
        <f t="shared" si="137"/>
        <v>0</v>
      </c>
      <c r="AH449" s="110"/>
      <c r="AI449" s="313"/>
      <c r="AJ449" s="111">
        <f t="shared" si="129"/>
        <v>0</v>
      </c>
      <c r="AK449" s="235"/>
      <c r="AL449" s="111">
        <f>IF(SUMIFS('Shipments data'!L:L,'Shipments data'!F:F,'Supply planning data'!C449,'Shipments data'!A:A,'Supply planning data'!A449,'Shipments data'!O:O,"received",'Shipments data'!Q:Q,"&lt;"&amp;'Supply planning data'!D464,'Shipments data'!AC:AC,"&lt;"&amp;'Supply planning data'!D464)-SUMIFS(M:M,D:D,"&lt;="&amp;D449,C:C,C449)-SUMIFS(AJ:AJ,D:D,"&lt;="&amp;D449,C:C,C449)+SUMIFS(N:N,D:D,"&lt;="&amp;D449,C:C,C449)+SUMIFS(P:P,D:D,"&lt;="&amp;D449,C:C,C449)&lt;0,0,SUMIFS('Shipments data'!L:L,'Shipments data'!F:F,'Supply planning data'!C449,'Shipments data'!A:A,'Supply planning data'!A449,'Shipments data'!O:O,"received",'Shipments data'!Q:Q,"&lt;"&amp;'Supply planning data'!D464,'Shipments data'!AC:AC,"&lt;"&amp;'Supply planning data'!D464)-SUMIFS(M:M,D:D,"&lt;="&amp;D449,C:C,C449)-SUMIFS(AJ:AJ,D:D,"&lt;="&amp;D449,C:C,C449)+SUMIFS(N:N,D:D,"&lt;="&amp;D449,C:C,C449)+SUMIFS(P:P,D:D,"&lt;="&amp;D449,C:C,C449))</f>
        <v>0</v>
      </c>
      <c r="AM449" s="111">
        <f t="shared" si="138"/>
        <v>0</v>
      </c>
      <c r="AN449" s="111">
        <f t="shared" si="131"/>
        <v>0</v>
      </c>
      <c r="AO449" s="204" t="str">
        <f t="shared" si="141"/>
        <v/>
      </c>
    </row>
    <row r="450" spans="1:41" hidden="1" x14ac:dyDescent="0.25">
      <c r="A450" s="103" t="str">
        <f>Start!D$7</f>
        <v>Anyland</v>
      </c>
      <c r="B450" s="109" t="str">
        <f>VLOOKUP(A450,list!B:C,2,FALSE)</f>
        <v>ANY</v>
      </c>
      <c r="C450" s="104" t="str">
        <f>IF(Start!$C$27="","",Start!$C$27)</f>
        <v/>
      </c>
      <c r="D450" s="298">
        <f t="shared" si="132"/>
        <v>45078</v>
      </c>
      <c r="E450" s="105" t="str">
        <f>IFERROR(VLOOKUP(C450,Start!C$15:D$31,2,FALSE),"No")</f>
        <v>No</v>
      </c>
      <c r="F450" s="105">
        <f t="shared" si="133"/>
        <v>0</v>
      </c>
      <c r="G450" s="106"/>
      <c r="H450" s="106"/>
      <c r="I450" s="106"/>
      <c r="J450" s="105">
        <f t="shared" si="125"/>
        <v>0</v>
      </c>
      <c r="K450" s="106"/>
      <c r="L450" s="177" t="str">
        <f t="shared" si="126"/>
        <v/>
      </c>
      <c r="M450" s="105">
        <f t="shared" si="127"/>
        <v>0</v>
      </c>
      <c r="N450" s="110"/>
      <c r="O450" s="124"/>
      <c r="P450" s="110"/>
      <c r="Q450" s="124"/>
      <c r="R450" s="111">
        <f>SUMIFS('Shipments data'!L:L,'Shipments data'!F:F,'Supply planning data'!C450,'Shipments data'!A:A,'Supply planning data'!A450,'Shipments data'!Y:Y,'Supply planning data'!D450,'Shipments data'!O:O,"received", 'Shipments data'!N:N, "Public")</f>
        <v>0</v>
      </c>
      <c r="S450" s="111">
        <f>SUMIFS('Shipments data'!L:L,'Shipments data'!F:F,'Supply planning data'!C450,'Shipments data'!A:A,'Supply planning data'!A450,'Shipments data'!Y:Y,'Supply planning data'!D450,'Shipments data'!O:O,"ordered", 'Shipments data'!N:N, "Public")</f>
        <v>0</v>
      </c>
      <c r="T450" s="111">
        <f>IF(SUMIFS('Shipments data'!L:L,'Shipments data'!F:F,'Supply planning data'!C450,'Shipments data'!A:A,'Supply planning data'!A450,'Shipments data'!O:O,"received",'Shipments data'!Q:Q,"&lt;"&amp;'Supply planning data'!D465,'Shipments data'!AC:AC,"&lt;"&amp;'Supply planning data'!D465)-SUMIFS(M:M,D:D,"&lt;="&amp;D450,C:C,C450)+SUMIFS(N:N,D:D,"&lt;="&amp;D450,C:C,C450)+SUMIFS(P:P,D:D,"&lt;="&amp;D450,C:C,C450)&lt;0,0,SUMIFS('Shipments data'!L:L,'Shipments data'!F:F,'Supply planning data'!C450,'Shipments data'!A:A,'Supply planning data'!A450,'Shipments data'!O:O,"received",'Shipments data'!Q:Q,"&lt;"&amp;'Supply planning data'!D465,'Shipments data'!AC:AC,"&lt;"&amp;'Supply planning data'!D465)-SUMIFS(M:M,D:D,"&lt;="&amp;D450,C:C,C450)+SUMIFS(N:N,D:D,"&lt;="&amp;D450,C:C,C450)+SUMIFS(P:P,D:D,"&lt;="&amp;D450,C:C,C450))</f>
        <v>0</v>
      </c>
      <c r="U450" s="112">
        <f t="shared" si="134"/>
        <v>0</v>
      </c>
      <c r="V450" s="111">
        <f t="shared" si="142"/>
        <v>0</v>
      </c>
      <c r="W450" s="204" t="str">
        <f t="shared" si="140"/>
        <v/>
      </c>
      <c r="X450" s="111">
        <f t="shared" si="135"/>
        <v>0</v>
      </c>
      <c r="Y450" s="110"/>
      <c r="Z450" s="107"/>
      <c r="AA450" s="111">
        <f t="shared" si="128"/>
        <v>0</v>
      </c>
      <c r="AB450" s="235"/>
      <c r="AC450" s="111">
        <f>IF(SUMIFS('Shipments data'!L:L,'Shipments data'!F:F,'Supply planning data'!C450,'Shipments data'!A:A,'Supply planning data'!A450,'Shipments data'!O:O,"received",'Shipments data'!Q:Q,"&lt;"&amp;'Supply planning data'!D465,'Shipments data'!AC:AC,"&lt;"&amp;'Supply planning data'!D465)-SUMIFS(M:M,D:D,"&lt;="&amp;D450,C:C,C450)-SUMIFS(AA:AA,D:D,"&lt;="&amp;D450,C:C,C450)+SUMIFS(N:N,D:D,"&lt;="&amp;D450,C:C,C450)+SUMIFS(P:P,D:D,"&lt;="&amp;D450,C:C,C450)&lt;0,0,SUMIFS('Shipments data'!L:L,'Shipments data'!F:F,'Supply planning data'!C450,'Shipments data'!A:A,'Supply planning data'!A450,'Shipments data'!O:O,"received",'Shipments data'!Q:Q,"&lt;"&amp;'Supply planning data'!D465,'Shipments data'!AC:AC,"&lt;"&amp;'Supply planning data'!D465)-SUMIFS(M:M,D:D,"&lt;="&amp;D450,C:C,C450)-SUMIFS(AA:AA,D:D,"&lt;="&amp;D450,C:C,C450)+SUMIFS(N:N,D:D,"&lt;="&amp;D450,C:C,C450)+SUMIFS(P:P,D:D,"&lt;="&amp;D450,C:C,C450))</f>
        <v>0</v>
      </c>
      <c r="AD450" s="111">
        <f t="shared" si="136"/>
        <v>0</v>
      </c>
      <c r="AE450" s="111">
        <f t="shared" si="130"/>
        <v>0</v>
      </c>
      <c r="AF450" s="204" t="str">
        <f t="shared" si="139"/>
        <v/>
      </c>
      <c r="AG450" s="111">
        <f t="shared" si="137"/>
        <v>0</v>
      </c>
      <c r="AH450" s="110"/>
      <c r="AI450" s="313"/>
      <c r="AJ450" s="111">
        <f t="shared" si="129"/>
        <v>0</v>
      </c>
      <c r="AK450" s="235"/>
      <c r="AL450" s="111">
        <f>IF(SUMIFS('Shipments data'!L:L,'Shipments data'!F:F,'Supply planning data'!C450,'Shipments data'!A:A,'Supply planning data'!A450,'Shipments data'!O:O,"received",'Shipments data'!Q:Q,"&lt;"&amp;'Supply planning data'!D465,'Shipments data'!AC:AC,"&lt;"&amp;'Supply planning data'!D465)-SUMIFS(M:M,D:D,"&lt;="&amp;D450,C:C,C450)-SUMIFS(AJ:AJ,D:D,"&lt;="&amp;D450,C:C,C450)+SUMIFS(N:N,D:D,"&lt;="&amp;D450,C:C,C450)+SUMIFS(P:P,D:D,"&lt;="&amp;D450,C:C,C450)&lt;0,0,SUMIFS('Shipments data'!L:L,'Shipments data'!F:F,'Supply planning data'!C450,'Shipments data'!A:A,'Supply planning data'!A450,'Shipments data'!O:O,"received",'Shipments data'!Q:Q,"&lt;"&amp;'Supply planning data'!D465,'Shipments data'!AC:AC,"&lt;"&amp;'Supply planning data'!D465)-SUMIFS(M:M,D:D,"&lt;="&amp;D450,C:C,C450)-SUMIFS(AJ:AJ,D:D,"&lt;="&amp;D450,C:C,C450)+SUMIFS(N:N,D:D,"&lt;="&amp;D450,C:C,C450)+SUMIFS(P:P,D:D,"&lt;="&amp;D450,C:C,C450))</f>
        <v>0</v>
      </c>
      <c r="AM450" s="111">
        <f t="shared" si="138"/>
        <v>0</v>
      </c>
      <c r="AN450" s="111">
        <f t="shared" si="131"/>
        <v>0</v>
      </c>
      <c r="AO450" s="204" t="str">
        <f t="shared" si="141"/>
        <v/>
      </c>
    </row>
    <row r="451" spans="1:41" hidden="1" x14ac:dyDescent="0.25">
      <c r="A451" s="103" t="str">
        <f>Start!D$7</f>
        <v>Anyland</v>
      </c>
      <c r="B451" s="109" t="str">
        <f>VLOOKUP(A451,list!B:C,2,FALSE)</f>
        <v>ANY</v>
      </c>
      <c r="C451" s="109" t="str">
        <f>IF(Start!$C$28="","",Start!$C$28)</f>
        <v/>
      </c>
      <c r="D451" s="298">
        <f t="shared" si="132"/>
        <v>45078</v>
      </c>
      <c r="E451" s="105" t="str">
        <f>IFERROR(VLOOKUP(C451,Start!C$15:D$31,2,FALSE),"No")</f>
        <v>No</v>
      </c>
      <c r="F451" s="105">
        <f t="shared" si="133"/>
        <v>0</v>
      </c>
      <c r="G451" s="106"/>
      <c r="H451" s="106"/>
      <c r="I451" s="106"/>
      <c r="J451" s="105">
        <f t="shared" si="125"/>
        <v>0</v>
      </c>
      <c r="K451" s="106"/>
      <c r="L451" s="177" t="str">
        <f t="shared" si="126"/>
        <v/>
      </c>
      <c r="M451" s="105">
        <f t="shared" si="127"/>
        <v>0</v>
      </c>
      <c r="N451" s="110"/>
      <c r="O451" s="124"/>
      <c r="P451" s="110"/>
      <c r="Q451" s="124"/>
      <c r="R451" s="111">
        <f>SUMIFS('Shipments data'!L:L,'Shipments data'!F:F,'Supply planning data'!C451,'Shipments data'!A:A,'Supply planning data'!A451,'Shipments data'!Y:Y,'Supply planning data'!D451,'Shipments data'!O:O,"received", 'Shipments data'!N:N, "Public")</f>
        <v>0</v>
      </c>
      <c r="S451" s="111">
        <f>SUMIFS('Shipments data'!L:L,'Shipments data'!F:F,'Supply planning data'!C451,'Shipments data'!A:A,'Supply planning data'!A451,'Shipments data'!Y:Y,'Supply planning data'!D451,'Shipments data'!O:O,"ordered", 'Shipments data'!N:N, "Public")</f>
        <v>0</v>
      </c>
      <c r="T451" s="111">
        <f>IF(SUMIFS('Shipments data'!L:L,'Shipments data'!F:F,'Supply planning data'!C451,'Shipments data'!A:A,'Supply planning data'!A451,'Shipments data'!O:O,"received",'Shipments data'!Q:Q,"&lt;"&amp;'Supply planning data'!D466,'Shipments data'!AC:AC,"&lt;"&amp;'Supply planning data'!D466)-SUMIFS(M:M,D:D,"&lt;="&amp;D451,C:C,C451)+SUMIFS(N:N,D:D,"&lt;="&amp;D451,C:C,C451)+SUMIFS(P:P,D:D,"&lt;="&amp;D451,C:C,C451)&lt;0,0,SUMIFS('Shipments data'!L:L,'Shipments data'!F:F,'Supply planning data'!C451,'Shipments data'!A:A,'Supply planning data'!A451,'Shipments data'!O:O,"received",'Shipments data'!Q:Q,"&lt;"&amp;'Supply planning data'!D466,'Shipments data'!AC:AC,"&lt;"&amp;'Supply planning data'!D466)-SUMIFS(M:M,D:D,"&lt;="&amp;D451,C:C,C451)+SUMIFS(N:N,D:D,"&lt;="&amp;D451,C:C,C451)+SUMIFS(P:P,D:D,"&lt;="&amp;D451,C:C,C451))</f>
        <v>0</v>
      </c>
      <c r="U451" s="112">
        <f t="shared" si="134"/>
        <v>0</v>
      </c>
      <c r="V451" s="111">
        <f t="shared" si="142"/>
        <v>0</v>
      </c>
      <c r="W451" s="204" t="str">
        <f t="shared" si="140"/>
        <v/>
      </c>
      <c r="X451" s="111">
        <f t="shared" si="135"/>
        <v>0</v>
      </c>
      <c r="Y451" s="110"/>
      <c r="Z451" s="107"/>
      <c r="AA451" s="111">
        <f t="shared" si="128"/>
        <v>0</v>
      </c>
      <c r="AB451" s="235"/>
      <c r="AC451" s="111">
        <f>IF(SUMIFS('Shipments data'!L:L,'Shipments data'!F:F,'Supply planning data'!C451,'Shipments data'!A:A,'Supply planning data'!A451,'Shipments data'!O:O,"received",'Shipments data'!Q:Q,"&lt;"&amp;'Supply planning data'!D466,'Shipments data'!AC:AC,"&lt;"&amp;'Supply planning data'!D466)-SUMIFS(M:M,D:D,"&lt;="&amp;D451,C:C,C451)-SUMIFS(AA:AA,D:D,"&lt;="&amp;D451,C:C,C451)+SUMIFS(N:N,D:D,"&lt;="&amp;D451,C:C,C451)+SUMIFS(P:P,D:D,"&lt;="&amp;D451,C:C,C451)&lt;0,0,SUMIFS('Shipments data'!L:L,'Shipments data'!F:F,'Supply planning data'!C451,'Shipments data'!A:A,'Supply planning data'!A451,'Shipments data'!O:O,"received",'Shipments data'!Q:Q,"&lt;"&amp;'Supply planning data'!D466,'Shipments data'!AC:AC,"&lt;"&amp;'Supply planning data'!D466)-SUMIFS(M:M,D:D,"&lt;="&amp;D451,C:C,C451)-SUMIFS(AA:AA,D:D,"&lt;="&amp;D451,C:C,C451)+SUMIFS(N:N,D:D,"&lt;="&amp;D451,C:C,C451)+SUMIFS(P:P,D:D,"&lt;="&amp;D451,C:C,C451))</f>
        <v>0</v>
      </c>
      <c r="AD451" s="111">
        <f t="shared" si="136"/>
        <v>0</v>
      </c>
      <c r="AE451" s="111">
        <f t="shared" si="130"/>
        <v>0</v>
      </c>
      <c r="AF451" s="204" t="str">
        <f t="shared" si="139"/>
        <v/>
      </c>
      <c r="AG451" s="111">
        <f t="shared" si="137"/>
        <v>0</v>
      </c>
      <c r="AH451" s="110"/>
      <c r="AI451" s="313"/>
      <c r="AJ451" s="111">
        <f t="shared" si="129"/>
        <v>0</v>
      </c>
      <c r="AK451" s="235"/>
      <c r="AL451" s="111">
        <f>IF(SUMIFS('Shipments data'!L:L,'Shipments data'!F:F,'Supply planning data'!C451,'Shipments data'!A:A,'Supply planning data'!A451,'Shipments data'!O:O,"received",'Shipments data'!Q:Q,"&lt;"&amp;'Supply planning data'!D466,'Shipments data'!AC:AC,"&lt;"&amp;'Supply planning data'!D466)-SUMIFS(M:M,D:D,"&lt;="&amp;D451,C:C,C451)-SUMIFS(AJ:AJ,D:D,"&lt;="&amp;D451,C:C,C451)+SUMIFS(N:N,D:D,"&lt;="&amp;D451,C:C,C451)+SUMIFS(P:P,D:D,"&lt;="&amp;D451,C:C,C451)&lt;0,0,SUMIFS('Shipments data'!L:L,'Shipments data'!F:F,'Supply planning data'!C451,'Shipments data'!A:A,'Supply planning data'!A451,'Shipments data'!O:O,"received",'Shipments data'!Q:Q,"&lt;"&amp;'Supply planning data'!D466,'Shipments data'!AC:AC,"&lt;"&amp;'Supply planning data'!D466)-SUMIFS(M:M,D:D,"&lt;="&amp;D451,C:C,C451)-SUMIFS(AJ:AJ,D:D,"&lt;="&amp;D451,C:C,C451)+SUMIFS(N:N,D:D,"&lt;="&amp;D451,C:C,C451)+SUMIFS(P:P,D:D,"&lt;="&amp;D451,C:C,C451))</f>
        <v>0</v>
      </c>
      <c r="AM451" s="111">
        <f t="shared" si="138"/>
        <v>0</v>
      </c>
      <c r="AN451" s="111">
        <f t="shared" si="131"/>
        <v>0</v>
      </c>
      <c r="AO451" s="204" t="str">
        <f t="shared" si="141"/>
        <v/>
      </c>
    </row>
    <row r="452" spans="1:41" hidden="1" x14ac:dyDescent="0.25">
      <c r="A452" s="103" t="str">
        <f>Start!D$7</f>
        <v>Anyland</v>
      </c>
      <c r="B452" s="109" t="str">
        <f>VLOOKUP(A452,list!B:C,2,FALSE)</f>
        <v>ANY</v>
      </c>
      <c r="C452" s="104" t="str">
        <f>IF(Start!$C$29="","",Start!$C$29)</f>
        <v/>
      </c>
      <c r="D452" s="298">
        <f t="shared" si="132"/>
        <v>45078</v>
      </c>
      <c r="E452" s="105" t="str">
        <f>IFERROR(VLOOKUP(C452,Start!C$15:D$31,2,FALSE),"No")</f>
        <v>No</v>
      </c>
      <c r="F452" s="105">
        <f t="shared" si="133"/>
        <v>0</v>
      </c>
      <c r="G452" s="106"/>
      <c r="H452" s="106"/>
      <c r="I452" s="106"/>
      <c r="J452" s="105">
        <f t="shared" si="125"/>
        <v>0</v>
      </c>
      <c r="K452" s="106"/>
      <c r="L452" s="177" t="str">
        <f t="shared" si="126"/>
        <v/>
      </c>
      <c r="M452" s="105">
        <f t="shared" si="127"/>
        <v>0</v>
      </c>
      <c r="N452" s="110"/>
      <c r="O452" s="124"/>
      <c r="P452" s="110"/>
      <c r="Q452" s="124"/>
      <c r="R452" s="111">
        <f>SUMIFS('Shipments data'!L:L,'Shipments data'!F:F,'Supply planning data'!C452,'Shipments data'!A:A,'Supply planning data'!A452,'Shipments data'!Y:Y,'Supply planning data'!D452,'Shipments data'!O:O,"received", 'Shipments data'!N:N, "Public")</f>
        <v>0</v>
      </c>
      <c r="S452" s="111">
        <f>SUMIFS('Shipments data'!L:L,'Shipments data'!F:F,'Supply planning data'!C452,'Shipments data'!A:A,'Supply planning data'!A452,'Shipments data'!Y:Y,'Supply planning data'!D452,'Shipments data'!O:O,"ordered", 'Shipments data'!N:N, "Public")</f>
        <v>0</v>
      </c>
      <c r="T452" s="111">
        <f>IF(SUMIFS('Shipments data'!L:L,'Shipments data'!F:F,'Supply planning data'!C452,'Shipments data'!A:A,'Supply planning data'!A452,'Shipments data'!O:O,"received",'Shipments data'!Q:Q,"&lt;"&amp;'Supply planning data'!D467,'Shipments data'!AC:AC,"&lt;"&amp;'Supply planning data'!D467)-SUMIFS(M:M,D:D,"&lt;="&amp;D452,C:C,C452)+SUMIFS(N:N,D:D,"&lt;="&amp;D452,C:C,C452)+SUMIFS(P:P,D:D,"&lt;="&amp;D452,C:C,C452)&lt;0,0,SUMIFS('Shipments data'!L:L,'Shipments data'!F:F,'Supply planning data'!C452,'Shipments data'!A:A,'Supply planning data'!A452,'Shipments data'!O:O,"received",'Shipments data'!Q:Q,"&lt;"&amp;'Supply planning data'!D467,'Shipments data'!AC:AC,"&lt;"&amp;'Supply planning data'!D467)-SUMIFS(M:M,D:D,"&lt;="&amp;D452,C:C,C452)+SUMIFS(N:N,D:D,"&lt;="&amp;D452,C:C,C452)+SUMIFS(P:P,D:D,"&lt;="&amp;D452,C:C,C452))</f>
        <v>0</v>
      </c>
      <c r="U452" s="112">
        <f t="shared" si="134"/>
        <v>0</v>
      </c>
      <c r="V452" s="111">
        <f t="shared" si="142"/>
        <v>0</v>
      </c>
      <c r="W452" s="204" t="str">
        <f t="shared" si="140"/>
        <v/>
      </c>
      <c r="X452" s="111">
        <f t="shared" si="135"/>
        <v>0</v>
      </c>
      <c r="Y452" s="110"/>
      <c r="Z452" s="107"/>
      <c r="AA452" s="111">
        <f t="shared" si="128"/>
        <v>0</v>
      </c>
      <c r="AB452" s="235"/>
      <c r="AC452" s="111">
        <f>IF(SUMIFS('Shipments data'!L:L,'Shipments data'!F:F,'Supply planning data'!C452,'Shipments data'!A:A,'Supply planning data'!A452,'Shipments data'!O:O,"received",'Shipments data'!Q:Q,"&lt;"&amp;'Supply planning data'!D467,'Shipments data'!AC:AC,"&lt;"&amp;'Supply planning data'!D467)-SUMIFS(M:M,D:D,"&lt;="&amp;D452,C:C,C452)-SUMIFS(AA:AA,D:D,"&lt;="&amp;D452,C:C,C452)+SUMIFS(N:N,D:D,"&lt;="&amp;D452,C:C,C452)+SUMIFS(P:P,D:D,"&lt;="&amp;D452,C:C,C452)&lt;0,0,SUMIFS('Shipments data'!L:L,'Shipments data'!F:F,'Supply planning data'!C452,'Shipments data'!A:A,'Supply planning data'!A452,'Shipments data'!O:O,"received",'Shipments data'!Q:Q,"&lt;"&amp;'Supply planning data'!D467,'Shipments data'!AC:AC,"&lt;"&amp;'Supply planning data'!D467)-SUMIFS(M:M,D:D,"&lt;="&amp;D452,C:C,C452)-SUMIFS(AA:AA,D:D,"&lt;="&amp;D452,C:C,C452)+SUMIFS(N:N,D:D,"&lt;="&amp;D452,C:C,C452)+SUMIFS(P:P,D:D,"&lt;="&amp;D452,C:C,C452))</f>
        <v>0</v>
      </c>
      <c r="AD452" s="111">
        <f t="shared" si="136"/>
        <v>0</v>
      </c>
      <c r="AE452" s="111">
        <f t="shared" si="130"/>
        <v>0</v>
      </c>
      <c r="AF452" s="204" t="str">
        <f t="shared" si="139"/>
        <v/>
      </c>
      <c r="AG452" s="111">
        <f t="shared" si="137"/>
        <v>0</v>
      </c>
      <c r="AH452" s="110"/>
      <c r="AI452" s="313"/>
      <c r="AJ452" s="111">
        <f t="shared" si="129"/>
        <v>0</v>
      </c>
      <c r="AK452" s="235"/>
      <c r="AL452" s="111">
        <f>IF(SUMIFS('Shipments data'!L:L,'Shipments data'!F:F,'Supply planning data'!C452,'Shipments data'!A:A,'Supply planning data'!A452,'Shipments data'!O:O,"received",'Shipments data'!Q:Q,"&lt;"&amp;'Supply planning data'!D467,'Shipments data'!AC:AC,"&lt;"&amp;'Supply planning data'!D467)-SUMIFS(M:M,D:D,"&lt;="&amp;D452,C:C,C452)-SUMIFS(AJ:AJ,D:D,"&lt;="&amp;D452,C:C,C452)+SUMIFS(N:N,D:D,"&lt;="&amp;D452,C:C,C452)+SUMIFS(P:P,D:D,"&lt;="&amp;D452,C:C,C452)&lt;0,0,SUMIFS('Shipments data'!L:L,'Shipments data'!F:F,'Supply planning data'!C452,'Shipments data'!A:A,'Supply planning data'!A452,'Shipments data'!O:O,"received",'Shipments data'!Q:Q,"&lt;"&amp;'Supply planning data'!D467,'Shipments data'!AC:AC,"&lt;"&amp;'Supply planning data'!D467)-SUMIFS(M:M,D:D,"&lt;="&amp;D452,C:C,C452)-SUMIFS(AJ:AJ,D:D,"&lt;="&amp;D452,C:C,C452)+SUMIFS(N:N,D:D,"&lt;="&amp;D452,C:C,C452)+SUMIFS(P:P,D:D,"&lt;="&amp;D452,C:C,C452))</f>
        <v>0</v>
      </c>
      <c r="AM452" s="111">
        <f t="shared" si="138"/>
        <v>0</v>
      </c>
      <c r="AN452" s="111">
        <f t="shared" si="131"/>
        <v>0</v>
      </c>
      <c r="AO452" s="204" t="str">
        <f t="shared" si="141"/>
        <v/>
      </c>
    </row>
    <row r="453" spans="1:41" hidden="1" x14ac:dyDescent="0.25">
      <c r="A453" s="103" t="str">
        <f>Start!D$7</f>
        <v>Anyland</v>
      </c>
      <c r="B453" s="109" t="str">
        <f>VLOOKUP(A453,list!B:C,2,FALSE)</f>
        <v>ANY</v>
      </c>
      <c r="C453" s="109" t="str">
        <f>IF(Start!$C$30="","",Start!$C$30)</f>
        <v/>
      </c>
      <c r="D453" s="298">
        <f t="shared" si="132"/>
        <v>45078</v>
      </c>
      <c r="E453" s="105" t="str">
        <f>IFERROR(VLOOKUP(C453,Start!C$15:D$31,2,FALSE),"No")</f>
        <v>No</v>
      </c>
      <c r="F453" s="105">
        <f t="shared" si="133"/>
        <v>0</v>
      </c>
      <c r="G453" s="106"/>
      <c r="H453" s="106"/>
      <c r="I453" s="106"/>
      <c r="J453" s="105">
        <f t="shared" ref="J453:J516" si="143">SUM(G453:I453)</f>
        <v>0</v>
      </c>
      <c r="K453" s="106"/>
      <c r="L453" s="177" t="str">
        <f t="shared" ref="L453:L516" si="144">IFERROR(K453/J453, "")</f>
        <v/>
      </c>
      <c r="M453" s="105">
        <f t="shared" ref="M453:M516" si="145">SUM(J453,K453)</f>
        <v>0</v>
      </c>
      <c r="N453" s="110"/>
      <c r="O453" s="124"/>
      <c r="P453" s="110"/>
      <c r="Q453" s="124"/>
      <c r="R453" s="111">
        <f>SUMIFS('Shipments data'!L:L,'Shipments data'!F:F,'Supply planning data'!C453,'Shipments data'!A:A,'Supply planning data'!A453,'Shipments data'!Y:Y,'Supply planning data'!D453,'Shipments data'!O:O,"received", 'Shipments data'!N:N, "Public")</f>
        <v>0</v>
      </c>
      <c r="S453" s="111">
        <f>SUMIFS('Shipments data'!L:L,'Shipments data'!F:F,'Supply planning data'!C453,'Shipments data'!A:A,'Supply planning data'!A453,'Shipments data'!Y:Y,'Supply planning data'!D453,'Shipments data'!O:O,"ordered", 'Shipments data'!N:N, "Public")</f>
        <v>0</v>
      </c>
      <c r="T453" s="111">
        <f>IF(SUMIFS('Shipments data'!L:L,'Shipments data'!F:F,'Supply planning data'!C453,'Shipments data'!A:A,'Supply planning data'!A453,'Shipments data'!O:O,"received",'Shipments data'!Q:Q,"&lt;"&amp;'Supply planning data'!D468,'Shipments data'!AC:AC,"&lt;"&amp;'Supply planning data'!D468)-SUMIFS(M:M,D:D,"&lt;="&amp;D453,C:C,C453)+SUMIFS(N:N,D:D,"&lt;="&amp;D453,C:C,C453)+SUMIFS(P:P,D:D,"&lt;="&amp;D453,C:C,C453)&lt;0,0,SUMIFS('Shipments data'!L:L,'Shipments data'!F:F,'Supply planning data'!C453,'Shipments data'!A:A,'Supply planning data'!A453,'Shipments data'!O:O,"received",'Shipments data'!Q:Q,"&lt;"&amp;'Supply planning data'!D468,'Shipments data'!AC:AC,"&lt;"&amp;'Supply planning data'!D468)-SUMIFS(M:M,D:D,"&lt;="&amp;D453,C:C,C453)+SUMIFS(N:N,D:D,"&lt;="&amp;D453,C:C,C453)+SUMIFS(P:P,D:D,"&lt;="&amp;D453,C:C,C453))</f>
        <v>0</v>
      </c>
      <c r="U453" s="112">
        <f t="shared" si="134"/>
        <v>0</v>
      </c>
      <c r="V453" s="111">
        <f t="shared" si="142"/>
        <v>0</v>
      </c>
      <c r="W453" s="204" t="str">
        <f t="shared" si="140"/>
        <v/>
      </c>
      <c r="X453" s="111">
        <f t="shared" si="135"/>
        <v>0</v>
      </c>
      <c r="Y453" s="110"/>
      <c r="Z453" s="107"/>
      <c r="AA453" s="111">
        <f t="shared" ref="AA453:AA516" si="146">IFERROR(Z453*Y453,0)+Y453</f>
        <v>0</v>
      </c>
      <c r="AB453" s="235"/>
      <c r="AC453" s="111">
        <f>IF(SUMIFS('Shipments data'!L:L,'Shipments data'!F:F,'Supply planning data'!C453,'Shipments data'!A:A,'Supply planning data'!A453,'Shipments data'!O:O,"received",'Shipments data'!Q:Q,"&lt;"&amp;'Supply planning data'!D468,'Shipments data'!AC:AC,"&lt;"&amp;'Supply planning data'!D468)-SUMIFS(M:M,D:D,"&lt;="&amp;D453,C:C,C453)-SUMIFS(AA:AA,D:D,"&lt;="&amp;D453,C:C,C453)+SUMIFS(N:N,D:D,"&lt;="&amp;D453,C:C,C453)+SUMIFS(P:P,D:D,"&lt;="&amp;D453,C:C,C453)&lt;0,0,SUMIFS('Shipments data'!L:L,'Shipments data'!F:F,'Supply planning data'!C453,'Shipments data'!A:A,'Supply planning data'!A453,'Shipments data'!O:O,"received",'Shipments data'!Q:Q,"&lt;"&amp;'Supply planning data'!D468,'Shipments data'!AC:AC,"&lt;"&amp;'Supply planning data'!D468)-SUMIFS(M:M,D:D,"&lt;="&amp;D453,C:C,C453)-SUMIFS(AA:AA,D:D,"&lt;="&amp;D453,C:C,C453)+SUMIFS(N:N,D:D,"&lt;="&amp;D453,C:C,C453)+SUMIFS(P:P,D:D,"&lt;="&amp;D453,C:C,C453))</f>
        <v>0</v>
      </c>
      <c r="AD453" s="111">
        <f t="shared" si="136"/>
        <v>0</v>
      </c>
      <c r="AE453" s="111">
        <f t="shared" si="130"/>
        <v>0</v>
      </c>
      <c r="AF453" s="204" t="str">
        <f t="shared" si="139"/>
        <v/>
      </c>
      <c r="AG453" s="111">
        <f t="shared" si="137"/>
        <v>0</v>
      </c>
      <c r="AH453" s="110"/>
      <c r="AI453" s="313"/>
      <c r="AJ453" s="111">
        <f t="shared" ref="AJ453:AJ516" si="147">IFERROR(AI453*AH453,0)+AH453</f>
        <v>0</v>
      </c>
      <c r="AK453" s="235"/>
      <c r="AL453" s="111">
        <f>IF(SUMIFS('Shipments data'!L:L,'Shipments data'!F:F,'Supply planning data'!C453,'Shipments data'!A:A,'Supply planning data'!A453,'Shipments data'!O:O,"received",'Shipments data'!Q:Q,"&lt;"&amp;'Supply planning data'!D468,'Shipments data'!AC:AC,"&lt;"&amp;'Supply planning data'!D468)-SUMIFS(M:M,D:D,"&lt;="&amp;D453,C:C,C453)-SUMIFS(AJ:AJ,D:D,"&lt;="&amp;D453,C:C,C453)+SUMIFS(N:N,D:D,"&lt;="&amp;D453,C:C,C453)+SUMIFS(P:P,D:D,"&lt;="&amp;D453,C:C,C453)&lt;0,0,SUMIFS('Shipments data'!L:L,'Shipments data'!F:F,'Supply planning data'!C453,'Shipments data'!A:A,'Supply planning data'!A453,'Shipments data'!O:O,"received",'Shipments data'!Q:Q,"&lt;"&amp;'Supply planning data'!D468,'Shipments data'!AC:AC,"&lt;"&amp;'Supply planning data'!D468)-SUMIFS(M:M,D:D,"&lt;="&amp;D453,C:C,C453)-SUMIFS(AJ:AJ,D:D,"&lt;="&amp;D453,C:C,C453)+SUMIFS(N:N,D:D,"&lt;="&amp;D453,C:C,C453)+SUMIFS(P:P,D:D,"&lt;="&amp;D453,C:C,C453))</f>
        <v>0</v>
      </c>
      <c r="AM453" s="111">
        <f t="shared" si="138"/>
        <v>0</v>
      </c>
      <c r="AN453" s="111">
        <f t="shared" si="131"/>
        <v>0</v>
      </c>
      <c r="AO453" s="204" t="str">
        <f t="shared" si="141"/>
        <v/>
      </c>
    </row>
    <row r="454" spans="1:41" hidden="1" x14ac:dyDescent="0.25">
      <c r="A454" s="113" t="str">
        <f>Start!D$7</f>
        <v>Anyland</v>
      </c>
      <c r="B454" s="114" t="str">
        <f>VLOOKUP(A454,list!B:C,2,FALSE)</f>
        <v>ANY</v>
      </c>
      <c r="C454" s="104" t="str">
        <f>IF(Start!$C$31="","",Start!$C$31)</f>
        <v/>
      </c>
      <c r="D454" s="298">
        <f t="shared" si="132"/>
        <v>45078</v>
      </c>
      <c r="E454" s="105" t="str">
        <f>IFERROR(VLOOKUP(C454,Start!C$15:D$31,2,FALSE),"No")</f>
        <v>No</v>
      </c>
      <c r="F454" s="105">
        <f t="shared" si="133"/>
        <v>0</v>
      </c>
      <c r="G454" s="106"/>
      <c r="H454" s="106"/>
      <c r="I454" s="106"/>
      <c r="J454" s="105">
        <f t="shared" si="143"/>
        <v>0</v>
      </c>
      <c r="K454" s="106"/>
      <c r="L454" s="177" t="str">
        <f t="shared" si="144"/>
        <v/>
      </c>
      <c r="M454" s="105">
        <f t="shared" si="145"/>
        <v>0</v>
      </c>
      <c r="N454" s="110"/>
      <c r="O454" s="124"/>
      <c r="P454" s="110"/>
      <c r="Q454" s="124"/>
      <c r="R454" s="111">
        <f>SUMIFS('Shipments data'!L:L,'Shipments data'!F:F,'Supply planning data'!C454,'Shipments data'!A:A,'Supply planning data'!A454,'Shipments data'!Y:Y,'Supply planning data'!D454,'Shipments data'!O:O,"received", 'Shipments data'!N:N, "Public")</f>
        <v>0</v>
      </c>
      <c r="S454" s="111">
        <f>SUMIFS('Shipments data'!L:L,'Shipments data'!F:F,'Supply planning data'!C454,'Shipments data'!A:A,'Supply planning data'!A454,'Shipments data'!Y:Y,'Supply planning data'!D454,'Shipments data'!O:O,"ordered", 'Shipments data'!N:N, "Public")</f>
        <v>0</v>
      </c>
      <c r="T454" s="111">
        <f>IF(SUMIFS('Shipments data'!L:L,'Shipments data'!F:F,'Supply planning data'!C454,'Shipments data'!A:A,'Supply planning data'!A454,'Shipments data'!O:O,"received",'Shipments data'!Q:Q,"&lt;"&amp;'Supply planning data'!D469,'Shipments data'!AC:AC,"&lt;"&amp;'Supply planning data'!D469)-SUMIFS(M:M,D:D,"&lt;="&amp;D454,C:C,C454)+SUMIFS(N:N,D:D,"&lt;="&amp;D454,C:C,C454)+SUMIFS(P:P,D:D,"&lt;="&amp;D454,C:C,C454)&lt;0,0,SUMIFS('Shipments data'!L:L,'Shipments data'!F:F,'Supply planning data'!C454,'Shipments data'!A:A,'Supply planning data'!A454,'Shipments data'!O:O,"received",'Shipments data'!Q:Q,"&lt;"&amp;'Supply planning data'!D469,'Shipments data'!AC:AC,"&lt;"&amp;'Supply planning data'!D469)-SUMIFS(M:M,D:D,"&lt;="&amp;D454,C:C,C454)+SUMIFS(N:N,D:D,"&lt;="&amp;D454,C:C,C454)+SUMIFS(P:P,D:D,"&lt;="&amp;D454,C:C,C454))</f>
        <v>0</v>
      </c>
      <c r="U454" s="112">
        <f t="shared" si="134"/>
        <v>0</v>
      </c>
      <c r="V454" s="111">
        <f t="shared" si="142"/>
        <v>0</v>
      </c>
      <c r="W454" s="204" t="str">
        <f t="shared" si="140"/>
        <v/>
      </c>
      <c r="X454" s="111">
        <f t="shared" si="135"/>
        <v>0</v>
      </c>
      <c r="Y454" s="110"/>
      <c r="Z454" s="107"/>
      <c r="AA454" s="111">
        <f t="shared" si="146"/>
        <v>0</v>
      </c>
      <c r="AB454" s="235"/>
      <c r="AC454" s="111">
        <f>IF(SUMIFS('Shipments data'!L:L,'Shipments data'!F:F,'Supply planning data'!C454,'Shipments data'!A:A,'Supply planning data'!A454,'Shipments data'!O:O,"received",'Shipments data'!Q:Q,"&lt;"&amp;'Supply planning data'!D469,'Shipments data'!AC:AC,"&lt;"&amp;'Supply planning data'!D469)-SUMIFS(M:M,D:D,"&lt;="&amp;D454,C:C,C454)-SUMIFS(AA:AA,D:D,"&lt;="&amp;D454,C:C,C454)+SUMIFS(N:N,D:D,"&lt;="&amp;D454,C:C,C454)+SUMIFS(P:P,D:D,"&lt;="&amp;D454,C:C,C454)&lt;0,0,SUMIFS('Shipments data'!L:L,'Shipments data'!F:F,'Supply planning data'!C454,'Shipments data'!A:A,'Supply planning data'!A454,'Shipments data'!O:O,"received",'Shipments data'!Q:Q,"&lt;"&amp;'Supply planning data'!D469,'Shipments data'!AC:AC,"&lt;"&amp;'Supply planning data'!D469)-SUMIFS(M:M,D:D,"&lt;="&amp;D454,C:C,C454)-SUMIFS(AA:AA,D:D,"&lt;="&amp;D454,C:C,C454)+SUMIFS(N:N,D:D,"&lt;="&amp;D454,C:C,C454)+SUMIFS(P:P,D:D,"&lt;="&amp;D454,C:C,C454))</f>
        <v>0</v>
      </c>
      <c r="AD454" s="111">
        <f t="shared" si="136"/>
        <v>0</v>
      </c>
      <c r="AE454" s="111">
        <f t="shared" ref="AE454:AE517" si="148">IF(X454+R454+S454+AB454+N454+P454-M454-AA454-U454&lt;0,0,X454+R454+S454+AB454+N454+P454-M454-AA454-U454)</f>
        <v>0</v>
      </c>
      <c r="AF454" s="204" t="str">
        <f t="shared" si="139"/>
        <v/>
      </c>
      <c r="AG454" s="111">
        <f t="shared" si="137"/>
        <v>0</v>
      </c>
      <c r="AH454" s="110"/>
      <c r="AI454" s="313"/>
      <c r="AJ454" s="111">
        <f t="shared" si="147"/>
        <v>0</v>
      </c>
      <c r="AK454" s="235"/>
      <c r="AL454" s="111">
        <f>IF(SUMIFS('Shipments data'!L:L,'Shipments data'!F:F,'Supply planning data'!C454,'Shipments data'!A:A,'Supply planning data'!A454,'Shipments data'!O:O,"received",'Shipments data'!Q:Q,"&lt;"&amp;'Supply planning data'!D469,'Shipments data'!AC:AC,"&lt;"&amp;'Supply planning data'!D469)-SUMIFS(M:M,D:D,"&lt;="&amp;D454,C:C,C454)-SUMIFS(AJ:AJ,D:D,"&lt;="&amp;D454,C:C,C454)+SUMIFS(N:N,D:D,"&lt;="&amp;D454,C:C,C454)+SUMIFS(P:P,D:D,"&lt;="&amp;D454,C:C,C454)&lt;0,0,SUMIFS('Shipments data'!L:L,'Shipments data'!F:F,'Supply planning data'!C454,'Shipments data'!A:A,'Supply planning data'!A454,'Shipments data'!O:O,"received",'Shipments data'!Q:Q,"&lt;"&amp;'Supply planning data'!D469,'Shipments data'!AC:AC,"&lt;"&amp;'Supply planning data'!D469)-SUMIFS(M:M,D:D,"&lt;="&amp;D454,C:C,C454)-SUMIFS(AJ:AJ,D:D,"&lt;="&amp;D454,C:C,C454)+SUMIFS(N:N,D:D,"&lt;="&amp;D454,C:C,C454)+SUMIFS(P:P,D:D,"&lt;="&amp;D454,C:C,C454))</f>
        <v>0</v>
      </c>
      <c r="AM454" s="111">
        <f t="shared" si="138"/>
        <v>0</v>
      </c>
      <c r="AN454" s="111">
        <f t="shared" ref="AN454:AN517" si="149">IF(AG454+$R454+$S454+AK454+$N454+$P454-$M454-AJ454-$AM454&lt;0,0,AG454+$R454+$S454+AK454+$N454+$P454-$M454-AJ454-$AM454)</f>
        <v>0</v>
      </c>
      <c r="AO454" s="204" t="str">
        <f t="shared" si="141"/>
        <v/>
      </c>
    </row>
    <row r="455" spans="1:41" x14ac:dyDescent="0.25">
      <c r="A455" s="89" t="str">
        <f>Start!D$7</f>
        <v>Anyland</v>
      </c>
      <c r="B455" s="90" t="str">
        <f>VLOOKUP(A455,list!B:C,2,FALSE)</f>
        <v>ANY</v>
      </c>
      <c r="C455" s="90" t="str">
        <f>IF(Start!$C$17="","",Start!$C$17)</f>
        <v>AstraZeneca</v>
      </c>
      <c r="D455" s="296">
        <f t="shared" si="132"/>
        <v>45108</v>
      </c>
      <c r="E455" s="92" t="str">
        <f>IFERROR(VLOOKUP(C455,Start!C$15:D$31,2,FALSE),"No")</f>
        <v>Yes</v>
      </c>
      <c r="F455" s="92">
        <f t="shared" si="133"/>
        <v>0</v>
      </c>
      <c r="G455" s="91"/>
      <c r="H455" s="91"/>
      <c r="I455" s="91"/>
      <c r="J455" s="92">
        <f t="shared" si="143"/>
        <v>0</v>
      </c>
      <c r="K455" s="91"/>
      <c r="L455" s="174" t="str">
        <f t="shared" si="144"/>
        <v/>
      </c>
      <c r="M455" s="92">
        <f t="shared" si="145"/>
        <v>0</v>
      </c>
      <c r="N455" s="91"/>
      <c r="O455" s="121"/>
      <c r="P455" s="91"/>
      <c r="Q455" s="121"/>
      <c r="R455" s="92">
        <f>SUMIFS('Shipments data'!L:L,'Shipments data'!F:F,'Supply planning data'!C455,'Shipments data'!A:A,'Supply planning data'!A455,'Shipments data'!Y:Y,'Supply planning data'!D455,'Shipments data'!O:O,"received", 'Shipments data'!N:N, "Public")</f>
        <v>0</v>
      </c>
      <c r="S455" s="92">
        <f>SUMIFS('Shipments data'!L:L,'Shipments data'!F:F,'Supply planning data'!C455,'Shipments data'!A:A,'Supply planning data'!A455,'Shipments data'!Y:Y,'Supply planning data'!D455,'Shipments data'!O:O,"ordered", 'Shipments data'!N:N, "Public")</f>
        <v>0</v>
      </c>
      <c r="T455" s="92">
        <f>IF(SUMIFS('Shipments data'!L:L,'Shipments data'!F:F,'Supply planning data'!C455,'Shipments data'!A:A,'Supply planning data'!A455,'Shipments data'!O:O,"received",'Shipments data'!Q:Q,"&lt;"&amp;'Supply planning data'!D470,'Shipments data'!AC:AC,"&lt;"&amp;'Supply planning data'!D470)-SUMIFS(M:M,D:D,"&lt;="&amp;D455,C:C,C455)+SUMIFS(N:N,D:D,"&lt;="&amp;D455,C:C,C455)+SUMIFS(P:P,D:D,"&lt;="&amp;D455,C:C,C455)&lt;0,0,SUMIFS('Shipments data'!L:L,'Shipments data'!F:F,'Supply planning data'!C455,'Shipments data'!A:A,'Supply planning data'!A455,'Shipments data'!O:O,"received",'Shipments data'!Q:Q,"&lt;"&amp;'Supply planning data'!D470,'Shipments data'!AC:AC,"&lt;"&amp;'Supply planning data'!D470)-SUMIFS(M:M,D:D,"&lt;="&amp;D455,C:C,C455)+SUMIFS(N:N,D:D,"&lt;="&amp;D455,C:C,C455)+SUMIFS(P:P,D:D,"&lt;="&amp;D455,C:C,C455))</f>
        <v>0</v>
      </c>
      <c r="U455" s="94">
        <f t="shared" si="134"/>
        <v>0</v>
      </c>
      <c r="V455" s="92">
        <f t="shared" si="142"/>
        <v>0</v>
      </c>
      <c r="W455" s="205" t="str">
        <f t="shared" si="140"/>
        <v/>
      </c>
      <c r="X455" s="92">
        <f t="shared" si="135"/>
        <v>154701</v>
      </c>
      <c r="Y455" s="91"/>
      <c r="Z455" s="93"/>
      <c r="AA455" s="92">
        <f t="shared" si="146"/>
        <v>0</v>
      </c>
      <c r="AB455" s="232"/>
      <c r="AC455" s="92">
        <f>IF(SUMIFS('Shipments data'!L:L,'Shipments data'!F:F,'Supply planning data'!C455,'Shipments data'!A:A,'Supply planning data'!A455,'Shipments data'!O:O,"received",'Shipments data'!Q:Q,"&lt;"&amp;'Supply planning data'!D470,'Shipments data'!AC:AC,"&lt;"&amp;'Supply planning data'!D470)-SUMIFS(M:M,D:D,"&lt;="&amp;D455,C:C,C455)-SUMIFS(AA:AA,D:D,"&lt;="&amp;D455,C:C,C455)+SUMIFS(N:N,D:D,"&lt;="&amp;D455,C:C,C455)+SUMIFS(P:P,D:D,"&lt;="&amp;D455,C:C,C455)&lt;0,0,SUMIFS('Shipments data'!L:L,'Shipments data'!F:F,'Supply planning data'!C455,'Shipments data'!A:A,'Supply planning data'!A455,'Shipments data'!O:O,"received",'Shipments data'!Q:Q,"&lt;"&amp;'Supply planning data'!D470,'Shipments data'!AC:AC,"&lt;"&amp;'Supply planning data'!D470)-SUMIFS(M:M,D:D,"&lt;="&amp;D455,C:C,C455)-SUMIFS(AA:AA,D:D,"&lt;="&amp;D455,C:C,C455)+SUMIFS(N:N,D:D,"&lt;="&amp;D455,C:C,C455)+SUMIFS(P:P,D:D,"&lt;="&amp;D455,C:C,C455))</f>
        <v>0</v>
      </c>
      <c r="AD455" s="92">
        <f t="shared" si="136"/>
        <v>0</v>
      </c>
      <c r="AE455" s="92">
        <f t="shared" si="148"/>
        <v>154701</v>
      </c>
      <c r="AF455" s="205" t="str">
        <f t="shared" si="139"/>
        <v/>
      </c>
      <c r="AG455" s="92">
        <f t="shared" si="137"/>
        <v>0</v>
      </c>
      <c r="AH455" s="91"/>
      <c r="AI455" s="310"/>
      <c r="AJ455" s="92">
        <f t="shared" si="147"/>
        <v>0</v>
      </c>
      <c r="AK455" s="232"/>
      <c r="AL455" s="92">
        <f>IF(SUMIFS('Shipments data'!L:L,'Shipments data'!F:F,'Supply planning data'!C455,'Shipments data'!A:A,'Supply planning data'!A455,'Shipments data'!O:O,"received",'Shipments data'!Q:Q,"&lt;"&amp;'Supply planning data'!D470,'Shipments data'!AC:AC,"&lt;"&amp;'Supply planning data'!D470)-SUMIFS(M:M,D:D,"&lt;="&amp;D455,C:C,C455)-SUMIFS(AJ:AJ,D:D,"&lt;="&amp;D455,C:C,C455)+SUMIFS(N:N,D:D,"&lt;="&amp;D455,C:C,C455)+SUMIFS(P:P,D:D,"&lt;="&amp;D455,C:C,C455)&lt;0,0,SUMIFS('Shipments data'!L:L,'Shipments data'!F:F,'Supply planning data'!C455,'Shipments data'!A:A,'Supply planning data'!A455,'Shipments data'!O:O,"received",'Shipments data'!Q:Q,"&lt;"&amp;'Supply planning data'!D470,'Shipments data'!AC:AC,"&lt;"&amp;'Supply planning data'!D470)-SUMIFS(M:M,D:D,"&lt;="&amp;D455,C:C,C455)-SUMIFS(AJ:AJ,D:D,"&lt;="&amp;D455,C:C,C455)+SUMIFS(N:N,D:D,"&lt;="&amp;D455,C:C,C455)+SUMIFS(P:P,D:D,"&lt;="&amp;D455,C:C,C455))</f>
        <v>0</v>
      </c>
      <c r="AM455" s="92">
        <f t="shared" si="138"/>
        <v>0</v>
      </c>
      <c r="AN455" s="92">
        <f t="shared" si="149"/>
        <v>0</v>
      </c>
      <c r="AO455" s="205" t="str">
        <f t="shared" si="141"/>
        <v/>
      </c>
    </row>
    <row r="456" spans="1:41" x14ac:dyDescent="0.25">
      <c r="A456" s="95" t="str">
        <f>Start!D$7</f>
        <v>Anyland</v>
      </c>
      <c r="B456" s="96" t="str">
        <f>VLOOKUP(A456,list!B:C,2,FALSE)</f>
        <v>ANY</v>
      </c>
      <c r="C456" s="90" t="str">
        <f>IF(Start!$C$18="","",Start!$C$18)</f>
        <v>Jansen</v>
      </c>
      <c r="D456" s="296">
        <f t="shared" si="132"/>
        <v>45108</v>
      </c>
      <c r="E456" s="92" t="str">
        <f>IFERROR(VLOOKUP(C456,Start!C$15:D$31,2,FALSE),"No")</f>
        <v>Yes</v>
      </c>
      <c r="F456" s="92">
        <f t="shared" si="133"/>
        <v>2258747</v>
      </c>
      <c r="G456" s="91"/>
      <c r="H456" s="97"/>
      <c r="I456" s="97"/>
      <c r="J456" s="98">
        <f t="shared" si="143"/>
        <v>0</v>
      </c>
      <c r="K456" s="97"/>
      <c r="L456" s="175" t="str">
        <f t="shared" si="144"/>
        <v/>
      </c>
      <c r="M456" s="98">
        <f t="shared" si="145"/>
        <v>0</v>
      </c>
      <c r="N456" s="97"/>
      <c r="O456" s="122"/>
      <c r="P456" s="97"/>
      <c r="Q456" s="122"/>
      <c r="R456" s="98">
        <f>SUMIFS('Shipments data'!L:L,'Shipments data'!F:F,'Supply planning data'!C456,'Shipments data'!A:A,'Supply planning data'!A456,'Shipments data'!Y:Y,'Supply planning data'!D456,'Shipments data'!O:O,"received", 'Shipments data'!N:N, "Public")</f>
        <v>0</v>
      </c>
      <c r="S456" s="98">
        <f>SUMIFS('Shipments data'!L:L,'Shipments data'!F:F,'Supply planning data'!C456,'Shipments data'!A:A,'Supply planning data'!A456,'Shipments data'!Y:Y,'Supply planning data'!D456,'Shipments data'!O:O,"ordered", 'Shipments data'!N:N, "Public")</f>
        <v>0</v>
      </c>
      <c r="T456" s="98">
        <f>IF(SUMIFS('Shipments data'!L:L,'Shipments data'!F:F,'Supply planning data'!C456,'Shipments data'!A:A,'Supply planning data'!A456,'Shipments data'!O:O,"received",'Shipments data'!Q:Q,"&lt;"&amp;'Supply planning data'!D471,'Shipments data'!AC:AC,"&lt;"&amp;'Supply planning data'!D471)-SUMIFS(M:M,D:D,"&lt;="&amp;D456,C:C,C456)+SUMIFS(N:N,D:D,"&lt;="&amp;D456,C:C,C456)+SUMIFS(P:P,D:D,"&lt;="&amp;D456,C:C,C456)&lt;0,0,SUMIFS('Shipments data'!L:L,'Shipments data'!F:F,'Supply planning data'!C456,'Shipments data'!A:A,'Supply planning data'!A456,'Shipments data'!O:O,"received",'Shipments data'!Q:Q,"&lt;"&amp;'Supply planning data'!D471,'Shipments data'!AC:AC,"&lt;"&amp;'Supply planning data'!D471)-SUMIFS(M:M,D:D,"&lt;="&amp;D456,C:C,C456)+SUMIFS(N:N,D:D,"&lt;="&amp;D456,C:C,C456)+SUMIFS(P:P,D:D,"&lt;="&amp;D456,C:C,C456))</f>
        <v>0</v>
      </c>
      <c r="U456" s="99">
        <f t="shared" si="134"/>
        <v>0</v>
      </c>
      <c r="V456" s="98">
        <f t="shared" si="142"/>
        <v>2258747</v>
      </c>
      <c r="W456" s="203" t="str">
        <f t="shared" si="140"/>
        <v/>
      </c>
      <c r="X456" s="98">
        <f t="shared" si="135"/>
        <v>1698747</v>
      </c>
      <c r="Y456" s="97"/>
      <c r="Z456" s="93"/>
      <c r="AA456" s="98">
        <f t="shared" si="146"/>
        <v>0</v>
      </c>
      <c r="AB456" s="233"/>
      <c r="AC456" s="98">
        <f>IF(SUMIFS('Shipments data'!L:L,'Shipments data'!F:F,'Supply planning data'!C456,'Shipments data'!A:A,'Supply planning data'!A456,'Shipments data'!O:O,"received",'Shipments data'!Q:Q,"&lt;"&amp;'Supply planning data'!D471,'Shipments data'!AC:AC,"&lt;"&amp;'Supply planning data'!D471)-SUMIFS(M:M,D:D,"&lt;="&amp;D456,C:C,C456)-SUMIFS(AA:AA,D:D,"&lt;="&amp;D456,C:C,C456)+SUMIFS(N:N,D:D,"&lt;="&amp;D456,C:C,C456)+SUMIFS(P:P,D:D,"&lt;="&amp;D456,C:C,C456)&lt;0,0,SUMIFS('Shipments data'!L:L,'Shipments data'!F:F,'Supply planning data'!C456,'Shipments data'!A:A,'Supply planning data'!A456,'Shipments data'!O:O,"received",'Shipments data'!Q:Q,"&lt;"&amp;'Supply planning data'!D471,'Shipments data'!AC:AC,"&lt;"&amp;'Supply planning data'!D471)-SUMIFS(M:M,D:D,"&lt;="&amp;D456,C:C,C456)-SUMIFS(AA:AA,D:D,"&lt;="&amp;D456,C:C,C456)+SUMIFS(N:N,D:D,"&lt;="&amp;D456,C:C,C456)+SUMIFS(P:P,D:D,"&lt;="&amp;D456,C:C,C456))</f>
        <v>0</v>
      </c>
      <c r="AD456" s="98">
        <f t="shared" si="136"/>
        <v>0</v>
      </c>
      <c r="AE456" s="98">
        <f t="shared" si="148"/>
        <v>1698747</v>
      </c>
      <c r="AF456" s="205" t="str">
        <f t="shared" si="139"/>
        <v/>
      </c>
      <c r="AG456" s="98">
        <f t="shared" si="137"/>
        <v>2258747</v>
      </c>
      <c r="AH456" s="97"/>
      <c r="AI456" s="311"/>
      <c r="AJ456" s="98">
        <f t="shared" si="147"/>
        <v>0</v>
      </c>
      <c r="AK456" s="233"/>
      <c r="AL456" s="98">
        <f>IF(SUMIFS('Shipments data'!L:L,'Shipments data'!F:F,'Supply planning data'!C456,'Shipments data'!A:A,'Supply planning data'!A456,'Shipments data'!O:O,"received",'Shipments data'!Q:Q,"&lt;"&amp;'Supply planning data'!D471,'Shipments data'!AC:AC,"&lt;"&amp;'Supply planning data'!D471)-SUMIFS(M:M,D:D,"&lt;="&amp;D456,C:C,C456)-SUMIFS(AJ:AJ,D:D,"&lt;="&amp;D456,C:C,C456)+SUMIFS(N:N,D:D,"&lt;="&amp;D456,C:C,C456)+SUMIFS(P:P,D:D,"&lt;="&amp;D456,C:C,C456)&lt;0,0,SUMIFS('Shipments data'!L:L,'Shipments data'!F:F,'Supply planning data'!C456,'Shipments data'!A:A,'Supply planning data'!A456,'Shipments data'!O:O,"received",'Shipments data'!Q:Q,"&lt;"&amp;'Supply planning data'!D471,'Shipments data'!AC:AC,"&lt;"&amp;'Supply planning data'!D471)-SUMIFS(M:M,D:D,"&lt;="&amp;D456,C:C,C456)-SUMIFS(AJ:AJ,D:D,"&lt;="&amp;D456,C:C,C456)+SUMIFS(N:N,D:D,"&lt;="&amp;D456,C:C,C456)+SUMIFS(P:P,D:D,"&lt;="&amp;D456,C:C,C456))</f>
        <v>0</v>
      </c>
      <c r="AM456" s="98">
        <f t="shared" si="138"/>
        <v>0</v>
      </c>
      <c r="AN456" s="98">
        <f t="shared" si="149"/>
        <v>2258747</v>
      </c>
      <c r="AO456" s="203" t="str">
        <f t="shared" si="141"/>
        <v/>
      </c>
    </row>
    <row r="457" spans="1:41" x14ac:dyDescent="0.25">
      <c r="A457" s="95" t="str">
        <f>Start!D$7</f>
        <v>Anyland</v>
      </c>
      <c r="B457" s="96" t="str">
        <f>VLOOKUP(A457,list!B:C,2,FALSE)</f>
        <v>ANY</v>
      </c>
      <c r="C457" s="90" t="str">
        <f>IF(Start!$C$19="","",Start!$C$19)</f>
        <v>Moderna</v>
      </c>
      <c r="D457" s="296">
        <f t="shared" si="132"/>
        <v>45108</v>
      </c>
      <c r="E457" s="92" t="str">
        <f>IFERROR(VLOOKUP(C457,Start!C$15:D$31,2,FALSE),"No")</f>
        <v>No</v>
      </c>
      <c r="F457" s="92">
        <f t="shared" si="133"/>
        <v>0</v>
      </c>
      <c r="G457" s="91"/>
      <c r="H457" s="97"/>
      <c r="I457" s="97"/>
      <c r="J457" s="98">
        <f t="shared" si="143"/>
        <v>0</v>
      </c>
      <c r="K457" s="97"/>
      <c r="L457" s="175" t="str">
        <f t="shared" si="144"/>
        <v/>
      </c>
      <c r="M457" s="98">
        <f t="shared" si="145"/>
        <v>0</v>
      </c>
      <c r="N457" s="97"/>
      <c r="O457" s="122"/>
      <c r="P457" s="97"/>
      <c r="Q457" s="122"/>
      <c r="R457" s="98">
        <f>SUMIFS('Shipments data'!L:L,'Shipments data'!F:F,'Supply planning data'!C457,'Shipments data'!A:A,'Supply planning data'!A457,'Shipments data'!Y:Y,'Supply planning data'!D457,'Shipments data'!O:O,"received", 'Shipments data'!N:N, "Public")</f>
        <v>0</v>
      </c>
      <c r="S457" s="98">
        <f>SUMIFS('Shipments data'!L:L,'Shipments data'!F:F,'Supply planning data'!C457,'Shipments data'!A:A,'Supply planning data'!A457,'Shipments data'!Y:Y,'Supply planning data'!D457,'Shipments data'!O:O,"ordered", 'Shipments data'!N:N, "Public")</f>
        <v>0</v>
      </c>
      <c r="T457" s="98">
        <f>IF(SUMIFS('Shipments data'!L:L,'Shipments data'!F:F,'Supply planning data'!C457,'Shipments data'!A:A,'Supply planning data'!A457,'Shipments data'!O:O,"received",'Shipments data'!Q:Q,"&lt;"&amp;'Supply planning data'!D472,'Shipments data'!AC:AC,"&lt;"&amp;'Supply planning data'!D472)-SUMIFS(M:M,D:D,"&lt;="&amp;D457,C:C,C457)+SUMIFS(N:N,D:D,"&lt;="&amp;D457,C:C,C457)+SUMIFS(P:P,D:D,"&lt;="&amp;D457,C:C,C457)&lt;0,0,SUMIFS('Shipments data'!L:L,'Shipments data'!F:F,'Supply planning data'!C457,'Shipments data'!A:A,'Supply planning data'!A457,'Shipments data'!O:O,"received",'Shipments data'!Q:Q,"&lt;"&amp;'Supply planning data'!D472,'Shipments data'!AC:AC,"&lt;"&amp;'Supply planning data'!D472)-SUMIFS(M:M,D:D,"&lt;="&amp;D457,C:C,C457)+SUMIFS(N:N,D:D,"&lt;="&amp;D457,C:C,C457)+SUMIFS(P:P,D:D,"&lt;="&amp;D457,C:C,C457))</f>
        <v>0</v>
      </c>
      <c r="U457" s="99">
        <f t="shared" si="134"/>
        <v>0</v>
      </c>
      <c r="V457" s="98">
        <f t="shared" si="142"/>
        <v>0</v>
      </c>
      <c r="W457" s="203" t="str">
        <f t="shared" si="140"/>
        <v/>
      </c>
      <c r="X457" s="98">
        <f t="shared" si="135"/>
        <v>0</v>
      </c>
      <c r="Y457" s="97"/>
      <c r="Z457" s="93"/>
      <c r="AA457" s="98">
        <f t="shared" si="146"/>
        <v>0</v>
      </c>
      <c r="AB457" s="233"/>
      <c r="AC457" s="98">
        <f>IF(SUMIFS('Shipments data'!L:L,'Shipments data'!F:F,'Supply planning data'!C457,'Shipments data'!A:A,'Supply planning data'!A457,'Shipments data'!O:O,"received",'Shipments data'!Q:Q,"&lt;"&amp;'Supply planning data'!D472,'Shipments data'!AC:AC,"&lt;"&amp;'Supply planning data'!D472)-SUMIFS(M:M,D:D,"&lt;="&amp;D457,C:C,C457)-SUMIFS(AA:AA,D:D,"&lt;="&amp;D457,C:C,C457)+SUMIFS(N:N,D:D,"&lt;="&amp;D457,C:C,C457)+SUMIFS(P:P,D:D,"&lt;="&amp;D457,C:C,C457)&lt;0,0,SUMIFS('Shipments data'!L:L,'Shipments data'!F:F,'Supply planning data'!C457,'Shipments data'!A:A,'Supply planning data'!A457,'Shipments data'!O:O,"received",'Shipments data'!Q:Q,"&lt;"&amp;'Supply planning data'!D472,'Shipments data'!AC:AC,"&lt;"&amp;'Supply planning data'!D472)-SUMIFS(M:M,D:D,"&lt;="&amp;D457,C:C,C457)-SUMIFS(AA:AA,D:D,"&lt;="&amp;D457,C:C,C457)+SUMIFS(N:N,D:D,"&lt;="&amp;D457,C:C,C457)+SUMIFS(P:P,D:D,"&lt;="&amp;D457,C:C,C457))</f>
        <v>0</v>
      </c>
      <c r="AD457" s="98">
        <f t="shared" si="136"/>
        <v>0</v>
      </c>
      <c r="AE457" s="98">
        <f t="shared" si="148"/>
        <v>0</v>
      </c>
      <c r="AF457" s="205" t="str">
        <f t="shared" si="139"/>
        <v/>
      </c>
      <c r="AG457" s="98">
        <f t="shared" si="137"/>
        <v>0</v>
      </c>
      <c r="AH457" s="97"/>
      <c r="AI457" s="311"/>
      <c r="AJ457" s="98">
        <f t="shared" si="147"/>
        <v>0</v>
      </c>
      <c r="AK457" s="233"/>
      <c r="AL457" s="98">
        <f>IF(SUMIFS('Shipments data'!L:L,'Shipments data'!F:F,'Supply planning data'!C457,'Shipments data'!A:A,'Supply planning data'!A457,'Shipments data'!O:O,"received",'Shipments data'!Q:Q,"&lt;"&amp;'Supply planning data'!D472,'Shipments data'!AC:AC,"&lt;"&amp;'Supply planning data'!D472)-SUMIFS(M:M,D:D,"&lt;="&amp;D457,C:C,C457)-SUMIFS(AJ:AJ,D:D,"&lt;="&amp;D457,C:C,C457)+SUMIFS(N:N,D:D,"&lt;="&amp;D457,C:C,C457)+SUMIFS(P:P,D:D,"&lt;="&amp;D457,C:C,C457)&lt;0,0,SUMIFS('Shipments data'!L:L,'Shipments data'!F:F,'Supply planning data'!C457,'Shipments data'!A:A,'Supply planning data'!A457,'Shipments data'!O:O,"received",'Shipments data'!Q:Q,"&lt;"&amp;'Supply planning data'!D472,'Shipments data'!AC:AC,"&lt;"&amp;'Supply planning data'!D472)-SUMIFS(M:M,D:D,"&lt;="&amp;D457,C:C,C457)-SUMIFS(AJ:AJ,D:D,"&lt;="&amp;D457,C:C,C457)+SUMIFS(N:N,D:D,"&lt;="&amp;D457,C:C,C457)+SUMIFS(P:P,D:D,"&lt;="&amp;D457,C:C,C457))</f>
        <v>0</v>
      </c>
      <c r="AM457" s="98">
        <f t="shared" si="138"/>
        <v>0</v>
      </c>
      <c r="AN457" s="98">
        <f t="shared" si="149"/>
        <v>0</v>
      </c>
      <c r="AO457" s="203" t="str">
        <f t="shared" si="141"/>
        <v/>
      </c>
    </row>
    <row r="458" spans="1:41" x14ac:dyDescent="0.25">
      <c r="A458" s="95" t="str">
        <f>Start!D$7</f>
        <v>Anyland</v>
      </c>
      <c r="B458" s="96" t="str">
        <f>VLOOKUP(A458,list!B:C,2,FALSE)</f>
        <v>ANY</v>
      </c>
      <c r="C458" s="90" t="str">
        <f>IF(Start!$C$20="","",Start!$C$20)</f>
        <v>Pfizer</v>
      </c>
      <c r="D458" s="296">
        <f t="shared" si="132"/>
        <v>45108</v>
      </c>
      <c r="E458" s="92" t="str">
        <f>IFERROR(VLOOKUP(C458,Start!C$15:D$31,2,FALSE),"No")</f>
        <v>Yes</v>
      </c>
      <c r="F458" s="92">
        <f t="shared" si="133"/>
        <v>3000000</v>
      </c>
      <c r="G458" s="91"/>
      <c r="H458" s="97"/>
      <c r="I458" s="97"/>
      <c r="J458" s="98">
        <f t="shared" si="143"/>
        <v>0</v>
      </c>
      <c r="K458" s="97"/>
      <c r="L458" s="175" t="str">
        <f t="shared" si="144"/>
        <v/>
      </c>
      <c r="M458" s="98">
        <f t="shared" si="145"/>
        <v>0</v>
      </c>
      <c r="N458" s="97"/>
      <c r="O458" s="122"/>
      <c r="P458" s="97"/>
      <c r="Q458" s="122"/>
      <c r="R458" s="98">
        <f>SUMIFS('Shipments data'!L:L,'Shipments data'!F:F,'Supply planning data'!C458,'Shipments data'!A:A,'Supply planning data'!A458,'Shipments data'!Y:Y,'Supply planning data'!D458,'Shipments data'!O:O,"received", 'Shipments data'!N:N, "Public")</f>
        <v>0</v>
      </c>
      <c r="S458" s="98">
        <f>SUMIFS('Shipments data'!L:L,'Shipments data'!F:F,'Supply planning data'!C458,'Shipments data'!A:A,'Supply planning data'!A458,'Shipments data'!Y:Y,'Supply planning data'!D458,'Shipments data'!O:O,"ordered", 'Shipments data'!N:N, "Public")</f>
        <v>0</v>
      </c>
      <c r="T458" s="98">
        <f>IF(SUMIFS('Shipments data'!L:L,'Shipments data'!F:F,'Supply planning data'!C458,'Shipments data'!A:A,'Supply planning data'!A458,'Shipments data'!O:O,"received",'Shipments data'!Q:Q,"&lt;"&amp;'Supply planning data'!D473,'Shipments data'!AC:AC,"&lt;"&amp;'Supply planning data'!D473)-SUMIFS(M:M,D:D,"&lt;="&amp;D458,C:C,C458)+SUMIFS(N:N,D:D,"&lt;="&amp;D458,C:C,C458)+SUMIFS(P:P,D:D,"&lt;="&amp;D458,C:C,C458)&lt;0,0,SUMIFS('Shipments data'!L:L,'Shipments data'!F:F,'Supply planning data'!C458,'Shipments data'!A:A,'Supply planning data'!A458,'Shipments data'!O:O,"received",'Shipments data'!Q:Q,"&lt;"&amp;'Supply planning data'!D473,'Shipments data'!AC:AC,"&lt;"&amp;'Supply planning data'!D473)-SUMIFS(M:M,D:D,"&lt;="&amp;D458,C:C,C458)+SUMIFS(N:N,D:D,"&lt;="&amp;D458,C:C,C458)+SUMIFS(P:P,D:D,"&lt;="&amp;D458,C:C,C458))</f>
        <v>110538</v>
      </c>
      <c r="U458" s="99">
        <f t="shared" si="134"/>
        <v>0</v>
      </c>
      <c r="V458" s="98">
        <f t="shared" si="142"/>
        <v>3000000</v>
      </c>
      <c r="W458" s="203" t="str">
        <f t="shared" si="140"/>
        <v/>
      </c>
      <c r="X458" s="98">
        <f t="shared" si="135"/>
        <v>2440000</v>
      </c>
      <c r="Y458" s="97"/>
      <c r="Z458" s="93"/>
      <c r="AA458" s="98">
        <f t="shared" si="146"/>
        <v>0</v>
      </c>
      <c r="AB458" s="233"/>
      <c r="AC458" s="98">
        <f>IF(SUMIFS('Shipments data'!L:L,'Shipments data'!F:F,'Supply planning data'!C458,'Shipments data'!A:A,'Supply planning data'!A458,'Shipments data'!O:O,"received",'Shipments data'!Q:Q,"&lt;"&amp;'Supply planning data'!D473,'Shipments data'!AC:AC,"&lt;"&amp;'Supply planning data'!D473)-SUMIFS(M:M,D:D,"&lt;="&amp;D458,C:C,C458)-SUMIFS(AA:AA,D:D,"&lt;="&amp;D458,C:C,C458)+SUMIFS(N:N,D:D,"&lt;="&amp;D458,C:C,C458)+SUMIFS(P:P,D:D,"&lt;="&amp;D458,C:C,C458)&lt;0,0,SUMIFS('Shipments data'!L:L,'Shipments data'!F:F,'Supply planning data'!C458,'Shipments data'!A:A,'Supply planning data'!A458,'Shipments data'!O:O,"received",'Shipments data'!Q:Q,"&lt;"&amp;'Supply planning data'!D473,'Shipments data'!AC:AC,"&lt;"&amp;'Supply planning data'!D473)-SUMIFS(M:M,D:D,"&lt;="&amp;D458,C:C,C458)-SUMIFS(AA:AA,D:D,"&lt;="&amp;D458,C:C,C458)+SUMIFS(N:N,D:D,"&lt;="&amp;D458,C:C,C458)+SUMIFS(P:P,D:D,"&lt;="&amp;D458,C:C,C458))</f>
        <v>0</v>
      </c>
      <c r="AD458" s="98">
        <f t="shared" si="136"/>
        <v>0</v>
      </c>
      <c r="AE458" s="98">
        <f t="shared" si="148"/>
        <v>2440000</v>
      </c>
      <c r="AF458" s="205" t="str">
        <f t="shared" si="139"/>
        <v/>
      </c>
      <c r="AG458" s="98">
        <f t="shared" si="137"/>
        <v>3000000</v>
      </c>
      <c r="AH458" s="97"/>
      <c r="AI458" s="311"/>
      <c r="AJ458" s="98">
        <f t="shared" si="147"/>
        <v>0</v>
      </c>
      <c r="AK458" s="233"/>
      <c r="AL458" s="98">
        <f>IF(SUMIFS('Shipments data'!L:L,'Shipments data'!F:F,'Supply planning data'!C458,'Shipments data'!A:A,'Supply planning data'!A458,'Shipments data'!O:O,"received",'Shipments data'!Q:Q,"&lt;"&amp;'Supply planning data'!D473,'Shipments data'!AC:AC,"&lt;"&amp;'Supply planning data'!D473)-SUMIFS(M:M,D:D,"&lt;="&amp;D458,C:C,C458)-SUMIFS(AJ:AJ,D:D,"&lt;="&amp;D458,C:C,C458)+SUMIFS(N:N,D:D,"&lt;="&amp;D458,C:C,C458)+SUMIFS(P:P,D:D,"&lt;="&amp;D458,C:C,C458)&lt;0,0,SUMIFS('Shipments data'!L:L,'Shipments data'!F:F,'Supply planning data'!C458,'Shipments data'!A:A,'Supply planning data'!A458,'Shipments data'!O:O,"received",'Shipments data'!Q:Q,"&lt;"&amp;'Supply planning data'!D473,'Shipments data'!AC:AC,"&lt;"&amp;'Supply planning data'!D473)-SUMIFS(M:M,D:D,"&lt;="&amp;D458,C:C,C458)-SUMIFS(AJ:AJ,D:D,"&lt;="&amp;D458,C:C,C458)+SUMIFS(N:N,D:D,"&lt;="&amp;D458,C:C,C458)+SUMIFS(P:P,D:D,"&lt;="&amp;D458,C:C,C458))</f>
        <v>110538</v>
      </c>
      <c r="AM458" s="98">
        <f t="shared" si="138"/>
        <v>0</v>
      </c>
      <c r="AN458" s="98">
        <f t="shared" si="149"/>
        <v>3000000</v>
      </c>
      <c r="AO458" s="203" t="str">
        <f t="shared" si="141"/>
        <v/>
      </c>
    </row>
    <row r="459" spans="1:41" x14ac:dyDescent="0.25">
      <c r="A459" s="95" t="str">
        <f>Start!D$7</f>
        <v>Anyland</v>
      </c>
      <c r="B459" s="96" t="str">
        <f>VLOOKUP(A459,list!B:C,2,FALSE)</f>
        <v>ANY</v>
      </c>
      <c r="C459" s="90" t="str">
        <f>IF(Start!$C$21="","",Start!$C$21)</f>
        <v>Sinovac</v>
      </c>
      <c r="D459" s="296">
        <f t="shared" si="132"/>
        <v>45108</v>
      </c>
      <c r="E459" s="92" t="str">
        <f>IFERROR(VLOOKUP(C459,Start!C$15:D$31,2,FALSE),"No")</f>
        <v>No</v>
      </c>
      <c r="F459" s="92">
        <f t="shared" si="133"/>
        <v>0</v>
      </c>
      <c r="G459" s="91"/>
      <c r="H459" s="97"/>
      <c r="I459" s="97"/>
      <c r="J459" s="98">
        <f t="shared" si="143"/>
        <v>0</v>
      </c>
      <c r="K459" s="97"/>
      <c r="L459" s="175" t="str">
        <f t="shared" si="144"/>
        <v/>
      </c>
      <c r="M459" s="98">
        <f t="shared" si="145"/>
        <v>0</v>
      </c>
      <c r="N459" s="97"/>
      <c r="O459" s="122"/>
      <c r="P459" s="97"/>
      <c r="Q459" s="122"/>
      <c r="R459" s="98">
        <f>SUMIFS('Shipments data'!L:L,'Shipments data'!F:F,'Supply planning data'!C459,'Shipments data'!A:A,'Supply planning data'!A459,'Shipments data'!Y:Y,'Supply planning data'!D459,'Shipments data'!O:O,"received", 'Shipments data'!N:N, "Public")</f>
        <v>0</v>
      </c>
      <c r="S459" s="98">
        <f>SUMIFS('Shipments data'!L:L,'Shipments data'!F:F,'Supply planning data'!C459,'Shipments data'!A:A,'Supply planning data'!A459,'Shipments data'!Y:Y,'Supply planning data'!D459,'Shipments data'!O:O,"ordered", 'Shipments data'!N:N, "Public")</f>
        <v>0</v>
      </c>
      <c r="T459" s="98">
        <f>IF(SUMIFS('Shipments data'!L:L,'Shipments data'!F:F,'Supply planning data'!C459,'Shipments data'!A:A,'Supply planning data'!A459,'Shipments data'!O:O,"received",'Shipments data'!Q:Q,"&lt;"&amp;'Supply planning data'!D474,'Shipments data'!AC:AC,"&lt;"&amp;'Supply planning data'!D474)-SUMIFS(M:M,D:D,"&lt;="&amp;D459,C:C,C459)+SUMIFS(N:N,D:D,"&lt;="&amp;D459,C:C,C459)+SUMIFS(P:P,D:D,"&lt;="&amp;D459,C:C,C459)&lt;0,0,SUMIFS('Shipments data'!L:L,'Shipments data'!F:F,'Supply planning data'!C459,'Shipments data'!A:A,'Supply planning data'!A459,'Shipments data'!O:O,"received",'Shipments data'!Q:Q,"&lt;"&amp;'Supply planning data'!D474,'Shipments data'!AC:AC,"&lt;"&amp;'Supply planning data'!D474)-SUMIFS(M:M,D:D,"&lt;="&amp;D459,C:C,C459)+SUMIFS(N:N,D:D,"&lt;="&amp;D459,C:C,C459)+SUMIFS(P:P,D:D,"&lt;="&amp;D459,C:C,C459))</f>
        <v>0</v>
      </c>
      <c r="U459" s="99">
        <f t="shared" si="134"/>
        <v>0</v>
      </c>
      <c r="V459" s="98">
        <f t="shared" si="142"/>
        <v>0</v>
      </c>
      <c r="W459" s="203" t="str">
        <f t="shared" si="140"/>
        <v/>
      </c>
      <c r="X459" s="98">
        <f t="shared" si="135"/>
        <v>0</v>
      </c>
      <c r="Y459" s="97"/>
      <c r="Z459" s="93"/>
      <c r="AA459" s="98">
        <f t="shared" si="146"/>
        <v>0</v>
      </c>
      <c r="AB459" s="233"/>
      <c r="AC459" s="98">
        <f>IF(SUMIFS('Shipments data'!L:L,'Shipments data'!F:F,'Supply planning data'!C459,'Shipments data'!A:A,'Supply planning data'!A459,'Shipments data'!O:O,"received",'Shipments data'!Q:Q,"&lt;"&amp;'Supply planning data'!D474,'Shipments data'!AC:AC,"&lt;"&amp;'Supply planning data'!D474)-SUMIFS(M:M,D:D,"&lt;="&amp;D459,C:C,C459)-SUMIFS(AA:AA,D:D,"&lt;="&amp;D459,C:C,C459)+SUMIFS(N:N,D:D,"&lt;="&amp;D459,C:C,C459)+SUMIFS(P:P,D:D,"&lt;="&amp;D459,C:C,C459)&lt;0,0,SUMIFS('Shipments data'!L:L,'Shipments data'!F:F,'Supply planning data'!C459,'Shipments data'!A:A,'Supply planning data'!A459,'Shipments data'!O:O,"received",'Shipments data'!Q:Q,"&lt;"&amp;'Supply planning data'!D474,'Shipments data'!AC:AC,"&lt;"&amp;'Supply planning data'!D474)-SUMIFS(M:M,D:D,"&lt;="&amp;D459,C:C,C459)-SUMIFS(AA:AA,D:D,"&lt;="&amp;D459,C:C,C459)+SUMIFS(N:N,D:D,"&lt;="&amp;D459,C:C,C459)+SUMIFS(P:P,D:D,"&lt;="&amp;D459,C:C,C459))</f>
        <v>0</v>
      </c>
      <c r="AD459" s="98">
        <f t="shared" si="136"/>
        <v>0</v>
      </c>
      <c r="AE459" s="98">
        <f t="shared" si="148"/>
        <v>0</v>
      </c>
      <c r="AF459" s="205" t="str">
        <f t="shared" si="139"/>
        <v/>
      </c>
      <c r="AG459" s="98">
        <f t="shared" si="137"/>
        <v>0</v>
      </c>
      <c r="AH459" s="97"/>
      <c r="AI459" s="311"/>
      <c r="AJ459" s="98">
        <f t="shared" si="147"/>
        <v>0</v>
      </c>
      <c r="AK459" s="233"/>
      <c r="AL459" s="98">
        <f>IF(SUMIFS('Shipments data'!L:L,'Shipments data'!F:F,'Supply planning data'!C459,'Shipments data'!A:A,'Supply planning data'!A459,'Shipments data'!O:O,"received",'Shipments data'!Q:Q,"&lt;"&amp;'Supply planning data'!D474,'Shipments data'!AC:AC,"&lt;"&amp;'Supply planning data'!D474)-SUMIFS(M:M,D:D,"&lt;="&amp;D459,C:C,C459)-SUMIFS(AJ:AJ,D:D,"&lt;="&amp;D459,C:C,C459)+SUMIFS(N:N,D:D,"&lt;="&amp;D459,C:C,C459)+SUMIFS(P:P,D:D,"&lt;="&amp;D459,C:C,C459)&lt;0,0,SUMIFS('Shipments data'!L:L,'Shipments data'!F:F,'Supply planning data'!C459,'Shipments data'!A:A,'Supply planning data'!A459,'Shipments data'!O:O,"received",'Shipments data'!Q:Q,"&lt;"&amp;'Supply planning data'!D474,'Shipments data'!AC:AC,"&lt;"&amp;'Supply planning data'!D474)-SUMIFS(M:M,D:D,"&lt;="&amp;D459,C:C,C459)-SUMIFS(AJ:AJ,D:D,"&lt;="&amp;D459,C:C,C459)+SUMIFS(N:N,D:D,"&lt;="&amp;D459,C:C,C459)+SUMIFS(P:P,D:D,"&lt;="&amp;D459,C:C,C459))</f>
        <v>0</v>
      </c>
      <c r="AM459" s="98">
        <f t="shared" si="138"/>
        <v>0</v>
      </c>
      <c r="AN459" s="98">
        <f t="shared" si="149"/>
        <v>0</v>
      </c>
      <c r="AO459" s="203" t="str">
        <f t="shared" si="141"/>
        <v/>
      </c>
    </row>
    <row r="460" spans="1:41" hidden="1" x14ac:dyDescent="0.25">
      <c r="A460" s="95" t="str">
        <f>Start!D$7</f>
        <v>Anyland</v>
      </c>
      <c r="B460" s="96" t="str">
        <f>VLOOKUP(A460,list!B:C,2,FALSE)</f>
        <v>ANY</v>
      </c>
      <c r="C460" s="90" t="str">
        <f>IF(Start!$C$22="","",Start!$C$22)</f>
        <v/>
      </c>
      <c r="D460" s="296">
        <f t="shared" si="132"/>
        <v>45108</v>
      </c>
      <c r="E460" s="92" t="str">
        <f>IFERROR(VLOOKUP(C460,Start!C$15:D$31,2,FALSE),"No")</f>
        <v>No</v>
      </c>
      <c r="F460" s="92">
        <f t="shared" si="133"/>
        <v>0</v>
      </c>
      <c r="G460" s="91"/>
      <c r="H460" s="97"/>
      <c r="I460" s="97"/>
      <c r="J460" s="98">
        <f t="shared" si="143"/>
        <v>0</v>
      </c>
      <c r="K460" s="97"/>
      <c r="L460" s="175" t="str">
        <f t="shared" si="144"/>
        <v/>
      </c>
      <c r="M460" s="98">
        <f t="shared" si="145"/>
        <v>0</v>
      </c>
      <c r="N460" s="97"/>
      <c r="O460" s="122"/>
      <c r="P460" s="97"/>
      <c r="Q460" s="122"/>
      <c r="R460" s="98">
        <f>SUMIFS('Shipments data'!L:L,'Shipments data'!F:F,'Supply planning data'!C460,'Shipments data'!A:A,'Supply planning data'!A460,'Shipments data'!Y:Y,'Supply planning data'!D460,'Shipments data'!O:O,"received", 'Shipments data'!N:N, "Public")</f>
        <v>0</v>
      </c>
      <c r="S460" s="98">
        <f>SUMIFS('Shipments data'!L:L,'Shipments data'!F:F,'Supply planning data'!C460,'Shipments data'!A:A,'Supply planning data'!A460,'Shipments data'!Y:Y,'Supply planning data'!D460,'Shipments data'!O:O,"ordered", 'Shipments data'!N:N, "Public")</f>
        <v>0</v>
      </c>
      <c r="T460" s="98">
        <f>IF(SUMIFS('Shipments data'!L:L,'Shipments data'!F:F,'Supply planning data'!C460,'Shipments data'!A:A,'Supply planning data'!A460,'Shipments data'!O:O,"received",'Shipments data'!Q:Q,"&lt;"&amp;'Supply planning data'!D475,'Shipments data'!AC:AC,"&lt;"&amp;'Supply planning data'!D475)-SUMIFS(M:M,D:D,"&lt;="&amp;D460,C:C,C460)+SUMIFS(N:N,D:D,"&lt;="&amp;D460,C:C,C460)+SUMIFS(P:P,D:D,"&lt;="&amp;D460,C:C,C460)&lt;0,0,SUMIFS('Shipments data'!L:L,'Shipments data'!F:F,'Supply planning data'!C460,'Shipments data'!A:A,'Supply planning data'!A460,'Shipments data'!O:O,"received",'Shipments data'!Q:Q,"&lt;"&amp;'Supply planning data'!D475,'Shipments data'!AC:AC,"&lt;"&amp;'Supply planning data'!D475)-SUMIFS(M:M,D:D,"&lt;="&amp;D460,C:C,C460)+SUMIFS(N:N,D:D,"&lt;="&amp;D460,C:C,C460)+SUMIFS(P:P,D:D,"&lt;="&amp;D460,C:C,C460))</f>
        <v>0</v>
      </c>
      <c r="U460" s="99">
        <f t="shared" si="134"/>
        <v>0</v>
      </c>
      <c r="V460" s="98">
        <f t="shared" si="142"/>
        <v>0</v>
      </c>
      <c r="W460" s="203" t="str">
        <f t="shared" si="140"/>
        <v/>
      </c>
      <c r="X460" s="98">
        <f t="shared" si="135"/>
        <v>0</v>
      </c>
      <c r="Y460" s="97"/>
      <c r="Z460" s="93"/>
      <c r="AA460" s="98">
        <f t="shared" si="146"/>
        <v>0</v>
      </c>
      <c r="AB460" s="233"/>
      <c r="AC460" s="98">
        <f>IF(SUMIFS('Shipments data'!L:L,'Shipments data'!F:F,'Supply planning data'!C460,'Shipments data'!A:A,'Supply planning data'!A460,'Shipments data'!O:O,"received",'Shipments data'!Q:Q,"&lt;"&amp;'Supply planning data'!D475,'Shipments data'!AC:AC,"&lt;"&amp;'Supply planning data'!D475)-SUMIFS(M:M,D:D,"&lt;="&amp;D460,C:C,C460)-SUMIFS(AA:AA,D:D,"&lt;="&amp;D460,C:C,C460)+SUMIFS(N:N,D:D,"&lt;="&amp;D460,C:C,C460)+SUMIFS(P:P,D:D,"&lt;="&amp;D460,C:C,C460)&lt;0,0,SUMIFS('Shipments data'!L:L,'Shipments data'!F:F,'Supply planning data'!C460,'Shipments data'!A:A,'Supply planning data'!A460,'Shipments data'!O:O,"received",'Shipments data'!Q:Q,"&lt;"&amp;'Supply planning data'!D475,'Shipments data'!AC:AC,"&lt;"&amp;'Supply planning data'!D475)-SUMIFS(M:M,D:D,"&lt;="&amp;D460,C:C,C460)-SUMIFS(AA:AA,D:D,"&lt;="&amp;D460,C:C,C460)+SUMIFS(N:N,D:D,"&lt;="&amp;D460,C:C,C460)+SUMIFS(P:P,D:D,"&lt;="&amp;D460,C:C,C460))</f>
        <v>0</v>
      </c>
      <c r="AD460" s="98">
        <f t="shared" si="136"/>
        <v>0</v>
      </c>
      <c r="AE460" s="98">
        <f t="shared" si="148"/>
        <v>0</v>
      </c>
      <c r="AF460" s="205" t="str">
        <f t="shared" si="139"/>
        <v/>
      </c>
      <c r="AG460" s="98">
        <f t="shared" si="137"/>
        <v>0</v>
      </c>
      <c r="AH460" s="97"/>
      <c r="AI460" s="311"/>
      <c r="AJ460" s="98">
        <f t="shared" si="147"/>
        <v>0</v>
      </c>
      <c r="AK460" s="233"/>
      <c r="AL460" s="98">
        <f>IF(SUMIFS('Shipments data'!L:L,'Shipments data'!F:F,'Supply planning data'!C460,'Shipments data'!A:A,'Supply planning data'!A460,'Shipments data'!O:O,"received",'Shipments data'!Q:Q,"&lt;"&amp;'Supply planning data'!D475,'Shipments data'!AC:AC,"&lt;"&amp;'Supply planning data'!D475)-SUMIFS(M:M,D:D,"&lt;="&amp;D460,C:C,C460)-SUMIFS(AJ:AJ,D:D,"&lt;="&amp;D460,C:C,C460)+SUMIFS(N:N,D:D,"&lt;="&amp;D460,C:C,C460)+SUMIFS(P:P,D:D,"&lt;="&amp;D460,C:C,C460)&lt;0,0,SUMIFS('Shipments data'!L:L,'Shipments data'!F:F,'Supply planning data'!C460,'Shipments data'!A:A,'Supply planning data'!A460,'Shipments data'!O:O,"received",'Shipments data'!Q:Q,"&lt;"&amp;'Supply planning data'!D475,'Shipments data'!AC:AC,"&lt;"&amp;'Supply planning data'!D475)-SUMIFS(M:M,D:D,"&lt;="&amp;D460,C:C,C460)-SUMIFS(AJ:AJ,D:D,"&lt;="&amp;D460,C:C,C460)+SUMIFS(N:N,D:D,"&lt;="&amp;D460,C:C,C460)+SUMIFS(P:P,D:D,"&lt;="&amp;D460,C:C,C460))</f>
        <v>0</v>
      </c>
      <c r="AM460" s="98">
        <f t="shared" si="138"/>
        <v>0</v>
      </c>
      <c r="AN460" s="98">
        <f t="shared" si="149"/>
        <v>0</v>
      </c>
      <c r="AO460" s="203" t="str">
        <f t="shared" si="141"/>
        <v/>
      </c>
    </row>
    <row r="461" spans="1:41" hidden="1" x14ac:dyDescent="0.25">
      <c r="A461" s="95" t="str">
        <f>Start!D$7</f>
        <v>Anyland</v>
      </c>
      <c r="B461" s="96" t="str">
        <f>VLOOKUP(A461,list!B:C,2,FALSE)</f>
        <v>ANY</v>
      </c>
      <c r="C461" s="90" t="str">
        <f>IF(Start!$C$23="","",Start!$C$23)</f>
        <v/>
      </c>
      <c r="D461" s="296">
        <f t="shared" si="132"/>
        <v>45108</v>
      </c>
      <c r="E461" s="92" t="str">
        <f>IFERROR(VLOOKUP(C461,Start!C$15:D$31,2,FALSE),"No")</f>
        <v>No</v>
      </c>
      <c r="F461" s="92">
        <f t="shared" si="133"/>
        <v>0</v>
      </c>
      <c r="G461" s="91"/>
      <c r="H461" s="97"/>
      <c r="I461" s="97"/>
      <c r="J461" s="98">
        <f t="shared" si="143"/>
        <v>0</v>
      </c>
      <c r="K461" s="97"/>
      <c r="L461" s="175" t="str">
        <f t="shared" si="144"/>
        <v/>
      </c>
      <c r="M461" s="98">
        <f t="shared" si="145"/>
        <v>0</v>
      </c>
      <c r="N461" s="97"/>
      <c r="O461" s="122"/>
      <c r="P461" s="97"/>
      <c r="Q461" s="122"/>
      <c r="R461" s="98">
        <f>SUMIFS('Shipments data'!L:L,'Shipments data'!F:F,'Supply planning data'!C461,'Shipments data'!A:A,'Supply planning data'!A461,'Shipments data'!Y:Y,'Supply planning data'!D461,'Shipments data'!O:O,"received", 'Shipments data'!N:N, "Public")</f>
        <v>0</v>
      </c>
      <c r="S461" s="98">
        <f>SUMIFS('Shipments data'!L:L,'Shipments data'!F:F,'Supply planning data'!C461,'Shipments data'!A:A,'Supply planning data'!A461,'Shipments data'!Y:Y,'Supply planning data'!D461,'Shipments data'!O:O,"ordered", 'Shipments data'!N:N, "Public")</f>
        <v>0</v>
      </c>
      <c r="T461" s="98">
        <f>IF(SUMIFS('Shipments data'!L:L,'Shipments data'!F:F,'Supply planning data'!C461,'Shipments data'!A:A,'Supply planning data'!A461,'Shipments data'!O:O,"received",'Shipments data'!Q:Q,"&lt;"&amp;'Supply planning data'!D476,'Shipments data'!AC:AC,"&lt;"&amp;'Supply planning data'!D476)-SUMIFS(M:M,D:D,"&lt;="&amp;D461,C:C,C461)+SUMIFS(N:N,D:D,"&lt;="&amp;D461,C:C,C461)+SUMIFS(P:P,D:D,"&lt;="&amp;D461,C:C,C461)&lt;0,0,SUMIFS('Shipments data'!L:L,'Shipments data'!F:F,'Supply planning data'!C461,'Shipments data'!A:A,'Supply planning data'!A461,'Shipments data'!O:O,"received",'Shipments data'!Q:Q,"&lt;"&amp;'Supply planning data'!D476,'Shipments data'!AC:AC,"&lt;"&amp;'Supply planning data'!D476)-SUMIFS(M:M,D:D,"&lt;="&amp;D461,C:C,C461)+SUMIFS(N:N,D:D,"&lt;="&amp;D461,C:C,C461)+SUMIFS(P:P,D:D,"&lt;="&amp;D461,C:C,C461))</f>
        <v>0</v>
      </c>
      <c r="U461" s="99">
        <f t="shared" si="134"/>
        <v>0</v>
      </c>
      <c r="V461" s="98">
        <f t="shared" si="142"/>
        <v>0</v>
      </c>
      <c r="W461" s="203" t="str">
        <f t="shared" si="140"/>
        <v/>
      </c>
      <c r="X461" s="98">
        <f t="shared" si="135"/>
        <v>0</v>
      </c>
      <c r="Y461" s="97"/>
      <c r="Z461" s="93"/>
      <c r="AA461" s="98">
        <f t="shared" si="146"/>
        <v>0</v>
      </c>
      <c r="AB461" s="233"/>
      <c r="AC461" s="98">
        <f>IF(SUMIFS('Shipments data'!L:L,'Shipments data'!F:F,'Supply planning data'!C461,'Shipments data'!A:A,'Supply planning data'!A461,'Shipments data'!O:O,"received",'Shipments data'!Q:Q,"&lt;"&amp;'Supply planning data'!D476,'Shipments data'!AC:AC,"&lt;"&amp;'Supply planning data'!D476)-SUMIFS(M:M,D:D,"&lt;="&amp;D461,C:C,C461)-SUMIFS(AA:AA,D:D,"&lt;="&amp;D461,C:C,C461)+SUMIFS(N:N,D:D,"&lt;="&amp;D461,C:C,C461)+SUMIFS(P:P,D:D,"&lt;="&amp;D461,C:C,C461)&lt;0,0,SUMIFS('Shipments data'!L:L,'Shipments data'!F:F,'Supply planning data'!C461,'Shipments data'!A:A,'Supply planning data'!A461,'Shipments data'!O:O,"received",'Shipments data'!Q:Q,"&lt;"&amp;'Supply planning data'!D476,'Shipments data'!AC:AC,"&lt;"&amp;'Supply planning data'!D476)-SUMIFS(M:M,D:D,"&lt;="&amp;D461,C:C,C461)-SUMIFS(AA:AA,D:D,"&lt;="&amp;D461,C:C,C461)+SUMIFS(N:N,D:D,"&lt;="&amp;D461,C:C,C461)+SUMIFS(P:P,D:D,"&lt;="&amp;D461,C:C,C461))</f>
        <v>0</v>
      </c>
      <c r="AD461" s="98">
        <f t="shared" si="136"/>
        <v>0</v>
      </c>
      <c r="AE461" s="98">
        <f t="shared" si="148"/>
        <v>0</v>
      </c>
      <c r="AF461" s="205" t="str">
        <f t="shared" si="139"/>
        <v/>
      </c>
      <c r="AG461" s="98">
        <f t="shared" si="137"/>
        <v>0</v>
      </c>
      <c r="AH461" s="97"/>
      <c r="AI461" s="311"/>
      <c r="AJ461" s="98">
        <f t="shared" si="147"/>
        <v>0</v>
      </c>
      <c r="AK461" s="233"/>
      <c r="AL461" s="98">
        <f>IF(SUMIFS('Shipments data'!L:L,'Shipments data'!F:F,'Supply planning data'!C461,'Shipments data'!A:A,'Supply planning data'!A461,'Shipments data'!O:O,"received",'Shipments data'!Q:Q,"&lt;"&amp;'Supply planning data'!D476,'Shipments data'!AC:AC,"&lt;"&amp;'Supply planning data'!D476)-SUMIFS(M:M,D:D,"&lt;="&amp;D461,C:C,C461)-SUMIFS(AJ:AJ,D:D,"&lt;="&amp;D461,C:C,C461)+SUMIFS(N:N,D:D,"&lt;="&amp;D461,C:C,C461)+SUMIFS(P:P,D:D,"&lt;="&amp;D461,C:C,C461)&lt;0,0,SUMIFS('Shipments data'!L:L,'Shipments data'!F:F,'Supply planning data'!C461,'Shipments data'!A:A,'Supply planning data'!A461,'Shipments data'!O:O,"received",'Shipments data'!Q:Q,"&lt;"&amp;'Supply planning data'!D476,'Shipments data'!AC:AC,"&lt;"&amp;'Supply planning data'!D476)-SUMIFS(M:M,D:D,"&lt;="&amp;D461,C:C,C461)-SUMIFS(AJ:AJ,D:D,"&lt;="&amp;D461,C:C,C461)+SUMIFS(N:N,D:D,"&lt;="&amp;D461,C:C,C461)+SUMIFS(P:P,D:D,"&lt;="&amp;D461,C:C,C461))</f>
        <v>0</v>
      </c>
      <c r="AM461" s="98">
        <f t="shared" si="138"/>
        <v>0</v>
      </c>
      <c r="AN461" s="98">
        <f t="shared" si="149"/>
        <v>0</v>
      </c>
      <c r="AO461" s="203" t="str">
        <f t="shared" si="141"/>
        <v/>
      </c>
    </row>
    <row r="462" spans="1:41" hidden="1" x14ac:dyDescent="0.25">
      <c r="A462" s="95" t="str">
        <f>Start!D$7</f>
        <v>Anyland</v>
      </c>
      <c r="B462" s="96" t="str">
        <f>VLOOKUP(A462,list!B:C,2,FALSE)</f>
        <v>ANY</v>
      </c>
      <c r="C462" s="90" t="str">
        <f>IF(Start!$C$24="","",Start!$C$24)</f>
        <v/>
      </c>
      <c r="D462" s="296">
        <f t="shared" si="132"/>
        <v>45108</v>
      </c>
      <c r="E462" s="92" t="str">
        <f>IFERROR(VLOOKUP(C462,Start!C$15:D$31,2,FALSE),"No")</f>
        <v>No</v>
      </c>
      <c r="F462" s="92">
        <f t="shared" si="133"/>
        <v>0</v>
      </c>
      <c r="G462" s="91"/>
      <c r="H462" s="97"/>
      <c r="I462" s="97"/>
      <c r="J462" s="98">
        <f t="shared" si="143"/>
        <v>0</v>
      </c>
      <c r="K462" s="97"/>
      <c r="L462" s="175" t="str">
        <f t="shared" si="144"/>
        <v/>
      </c>
      <c r="M462" s="98">
        <f t="shared" si="145"/>
        <v>0</v>
      </c>
      <c r="N462" s="97"/>
      <c r="O462" s="122"/>
      <c r="P462" s="97"/>
      <c r="Q462" s="122"/>
      <c r="R462" s="98">
        <f>SUMIFS('Shipments data'!L:L,'Shipments data'!F:F,'Supply planning data'!C462,'Shipments data'!A:A,'Supply planning data'!A462,'Shipments data'!Y:Y,'Supply planning data'!D462,'Shipments data'!O:O,"received", 'Shipments data'!N:N, "Public")</f>
        <v>0</v>
      </c>
      <c r="S462" s="98">
        <f>SUMIFS('Shipments data'!L:L,'Shipments data'!F:F,'Supply planning data'!C462,'Shipments data'!A:A,'Supply planning data'!A462,'Shipments data'!Y:Y,'Supply planning data'!D462,'Shipments data'!O:O,"ordered", 'Shipments data'!N:N, "Public")</f>
        <v>0</v>
      </c>
      <c r="T462" s="98">
        <f>IF(SUMIFS('Shipments data'!L:L,'Shipments data'!F:F,'Supply planning data'!C462,'Shipments data'!A:A,'Supply planning data'!A462,'Shipments data'!O:O,"received",'Shipments data'!Q:Q,"&lt;"&amp;'Supply planning data'!D477,'Shipments data'!AC:AC,"&lt;"&amp;'Supply planning data'!D477)-SUMIFS(M:M,D:D,"&lt;="&amp;D462,C:C,C462)+SUMIFS(N:N,D:D,"&lt;="&amp;D462,C:C,C462)+SUMIFS(P:P,D:D,"&lt;="&amp;D462,C:C,C462)&lt;0,0,SUMIFS('Shipments data'!L:L,'Shipments data'!F:F,'Supply planning data'!C462,'Shipments data'!A:A,'Supply planning data'!A462,'Shipments data'!O:O,"received",'Shipments data'!Q:Q,"&lt;"&amp;'Supply planning data'!D477,'Shipments data'!AC:AC,"&lt;"&amp;'Supply planning data'!D477)-SUMIFS(M:M,D:D,"&lt;="&amp;D462,C:C,C462)+SUMIFS(N:N,D:D,"&lt;="&amp;D462,C:C,C462)+SUMIFS(P:P,D:D,"&lt;="&amp;D462,C:C,C462))</f>
        <v>0</v>
      </c>
      <c r="U462" s="99">
        <f t="shared" si="134"/>
        <v>0</v>
      </c>
      <c r="V462" s="98">
        <f t="shared" si="142"/>
        <v>0</v>
      </c>
      <c r="W462" s="203" t="str">
        <f t="shared" si="140"/>
        <v/>
      </c>
      <c r="X462" s="98">
        <f t="shared" si="135"/>
        <v>0</v>
      </c>
      <c r="Y462" s="97"/>
      <c r="Z462" s="93"/>
      <c r="AA462" s="98">
        <f t="shared" si="146"/>
        <v>0</v>
      </c>
      <c r="AB462" s="233"/>
      <c r="AC462" s="98">
        <f>IF(SUMIFS('Shipments data'!L:L,'Shipments data'!F:F,'Supply planning data'!C462,'Shipments data'!A:A,'Supply planning data'!A462,'Shipments data'!O:O,"received",'Shipments data'!Q:Q,"&lt;"&amp;'Supply planning data'!D477,'Shipments data'!AC:AC,"&lt;"&amp;'Supply planning data'!D477)-SUMIFS(M:M,D:D,"&lt;="&amp;D462,C:C,C462)-SUMIFS(AA:AA,D:D,"&lt;="&amp;D462,C:C,C462)+SUMIFS(N:N,D:D,"&lt;="&amp;D462,C:C,C462)+SUMIFS(P:P,D:D,"&lt;="&amp;D462,C:C,C462)&lt;0,0,SUMIFS('Shipments data'!L:L,'Shipments data'!F:F,'Supply planning data'!C462,'Shipments data'!A:A,'Supply planning data'!A462,'Shipments data'!O:O,"received",'Shipments data'!Q:Q,"&lt;"&amp;'Supply planning data'!D477,'Shipments data'!AC:AC,"&lt;"&amp;'Supply planning data'!D477)-SUMIFS(M:M,D:D,"&lt;="&amp;D462,C:C,C462)-SUMIFS(AA:AA,D:D,"&lt;="&amp;D462,C:C,C462)+SUMIFS(N:N,D:D,"&lt;="&amp;D462,C:C,C462)+SUMIFS(P:P,D:D,"&lt;="&amp;D462,C:C,C462))</f>
        <v>0</v>
      </c>
      <c r="AD462" s="98">
        <f t="shared" si="136"/>
        <v>0</v>
      </c>
      <c r="AE462" s="98">
        <f t="shared" si="148"/>
        <v>0</v>
      </c>
      <c r="AF462" s="205" t="str">
        <f t="shared" si="139"/>
        <v/>
      </c>
      <c r="AG462" s="98">
        <f t="shared" si="137"/>
        <v>0</v>
      </c>
      <c r="AH462" s="97"/>
      <c r="AI462" s="311"/>
      <c r="AJ462" s="98">
        <f t="shared" si="147"/>
        <v>0</v>
      </c>
      <c r="AK462" s="233"/>
      <c r="AL462" s="98">
        <f>IF(SUMIFS('Shipments data'!L:L,'Shipments data'!F:F,'Supply planning data'!C462,'Shipments data'!A:A,'Supply planning data'!A462,'Shipments data'!O:O,"received",'Shipments data'!Q:Q,"&lt;"&amp;'Supply planning data'!D477,'Shipments data'!AC:AC,"&lt;"&amp;'Supply planning data'!D477)-SUMIFS(M:M,D:D,"&lt;="&amp;D462,C:C,C462)-SUMIFS(AJ:AJ,D:D,"&lt;="&amp;D462,C:C,C462)+SUMIFS(N:N,D:D,"&lt;="&amp;D462,C:C,C462)+SUMIFS(P:P,D:D,"&lt;="&amp;D462,C:C,C462)&lt;0,0,SUMIFS('Shipments data'!L:L,'Shipments data'!F:F,'Supply planning data'!C462,'Shipments data'!A:A,'Supply planning data'!A462,'Shipments data'!O:O,"received",'Shipments data'!Q:Q,"&lt;"&amp;'Supply planning data'!D477,'Shipments data'!AC:AC,"&lt;"&amp;'Supply planning data'!D477)-SUMIFS(M:M,D:D,"&lt;="&amp;D462,C:C,C462)-SUMIFS(AJ:AJ,D:D,"&lt;="&amp;D462,C:C,C462)+SUMIFS(N:N,D:D,"&lt;="&amp;D462,C:C,C462)+SUMIFS(P:P,D:D,"&lt;="&amp;D462,C:C,C462))</f>
        <v>0</v>
      </c>
      <c r="AM462" s="98">
        <f t="shared" si="138"/>
        <v>0</v>
      </c>
      <c r="AN462" s="98">
        <f t="shared" si="149"/>
        <v>0</v>
      </c>
      <c r="AO462" s="203" t="str">
        <f t="shared" si="141"/>
        <v/>
      </c>
    </row>
    <row r="463" spans="1:41" hidden="1" x14ac:dyDescent="0.25">
      <c r="A463" s="95" t="str">
        <f>Start!D$7</f>
        <v>Anyland</v>
      </c>
      <c r="B463" s="96" t="str">
        <f>VLOOKUP(A463,list!B:C,2,FALSE)</f>
        <v>ANY</v>
      </c>
      <c r="C463" s="90" t="str">
        <f>IF(Start!$C$25="","",Start!$C$25)</f>
        <v/>
      </c>
      <c r="D463" s="296">
        <f t="shared" si="132"/>
        <v>45108</v>
      </c>
      <c r="E463" s="92" t="str">
        <f>IFERROR(VLOOKUP(C463,Start!C$15:D$31,2,FALSE),"No")</f>
        <v>No</v>
      </c>
      <c r="F463" s="92">
        <f t="shared" si="133"/>
        <v>0</v>
      </c>
      <c r="G463" s="91"/>
      <c r="H463" s="97"/>
      <c r="I463" s="97"/>
      <c r="J463" s="98">
        <f t="shared" si="143"/>
        <v>0</v>
      </c>
      <c r="K463" s="97"/>
      <c r="L463" s="175" t="str">
        <f t="shared" si="144"/>
        <v/>
      </c>
      <c r="M463" s="98">
        <f t="shared" si="145"/>
        <v>0</v>
      </c>
      <c r="N463" s="97"/>
      <c r="O463" s="122"/>
      <c r="P463" s="97"/>
      <c r="Q463" s="122"/>
      <c r="R463" s="98">
        <f>SUMIFS('Shipments data'!L:L,'Shipments data'!F:F,'Supply planning data'!C463,'Shipments data'!A:A,'Supply planning data'!A463,'Shipments data'!Y:Y,'Supply planning data'!D463,'Shipments data'!O:O,"received", 'Shipments data'!N:N, "Public")</f>
        <v>0</v>
      </c>
      <c r="S463" s="98">
        <f>SUMIFS('Shipments data'!L:L,'Shipments data'!F:F,'Supply planning data'!C463,'Shipments data'!A:A,'Supply planning data'!A463,'Shipments data'!Y:Y,'Supply planning data'!D463,'Shipments data'!O:O,"ordered", 'Shipments data'!N:N, "Public")</f>
        <v>0</v>
      </c>
      <c r="T463" s="98">
        <f>IF(SUMIFS('Shipments data'!L:L,'Shipments data'!F:F,'Supply planning data'!C463,'Shipments data'!A:A,'Supply planning data'!A463,'Shipments data'!O:O,"received",'Shipments data'!Q:Q,"&lt;"&amp;'Supply planning data'!D478,'Shipments data'!AC:AC,"&lt;"&amp;'Supply planning data'!D478)-SUMIFS(M:M,D:D,"&lt;="&amp;D463,C:C,C463)+SUMIFS(N:N,D:D,"&lt;="&amp;D463,C:C,C463)+SUMIFS(P:P,D:D,"&lt;="&amp;D463,C:C,C463)&lt;0,0,SUMIFS('Shipments data'!L:L,'Shipments data'!F:F,'Supply planning data'!C463,'Shipments data'!A:A,'Supply planning data'!A463,'Shipments data'!O:O,"received",'Shipments data'!Q:Q,"&lt;"&amp;'Supply planning data'!D478,'Shipments data'!AC:AC,"&lt;"&amp;'Supply planning data'!D478)-SUMIFS(M:M,D:D,"&lt;="&amp;D463,C:C,C463)+SUMIFS(N:N,D:D,"&lt;="&amp;D463,C:C,C463)+SUMIFS(P:P,D:D,"&lt;="&amp;D463,C:C,C463))</f>
        <v>0</v>
      </c>
      <c r="U463" s="99">
        <f t="shared" si="134"/>
        <v>0</v>
      </c>
      <c r="V463" s="98">
        <f t="shared" si="142"/>
        <v>0</v>
      </c>
      <c r="W463" s="203" t="str">
        <f t="shared" si="140"/>
        <v/>
      </c>
      <c r="X463" s="98">
        <f t="shared" si="135"/>
        <v>0</v>
      </c>
      <c r="Y463" s="97"/>
      <c r="Z463" s="93"/>
      <c r="AA463" s="98">
        <f t="shared" si="146"/>
        <v>0</v>
      </c>
      <c r="AB463" s="233"/>
      <c r="AC463" s="98">
        <f>IF(SUMIFS('Shipments data'!L:L,'Shipments data'!F:F,'Supply planning data'!C463,'Shipments data'!A:A,'Supply planning data'!A463,'Shipments data'!O:O,"received",'Shipments data'!Q:Q,"&lt;"&amp;'Supply planning data'!D478,'Shipments data'!AC:AC,"&lt;"&amp;'Supply planning data'!D478)-SUMIFS(M:M,D:D,"&lt;="&amp;D463,C:C,C463)-SUMIFS(AA:AA,D:D,"&lt;="&amp;D463,C:C,C463)+SUMIFS(N:N,D:D,"&lt;="&amp;D463,C:C,C463)+SUMIFS(P:P,D:D,"&lt;="&amp;D463,C:C,C463)&lt;0,0,SUMIFS('Shipments data'!L:L,'Shipments data'!F:F,'Supply planning data'!C463,'Shipments data'!A:A,'Supply planning data'!A463,'Shipments data'!O:O,"received",'Shipments data'!Q:Q,"&lt;"&amp;'Supply planning data'!D478,'Shipments data'!AC:AC,"&lt;"&amp;'Supply planning data'!D478)-SUMIFS(M:M,D:D,"&lt;="&amp;D463,C:C,C463)-SUMIFS(AA:AA,D:D,"&lt;="&amp;D463,C:C,C463)+SUMIFS(N:N,D:D,"&lt;="&amp;D463,C:C,C463)+SUMIFS(P:P,D:D,"&lt;="&amp;D463,C:C,C463))</f>
        <v>0</v>
      </c>
      <c r="AD463" s="98">
        <f t="shared" si="136"/>
        <v>0</v>
      </c>
      <c r="AE463" s="98">
        <f t="shared" si="148"/>
        <v>0</v>
      </c>
      <c r="AF463" s="205" t="str">
        <f t="shared" si="139"/>
        <v/>
      </c>
      <c r="AG463" s="98">
        <f t="shared" si="137"/>
        <v>0</v>
      </c>
      <c r="AH463" s="97"/>
      <c r="AI463" s="311"/>
      <c r="AJ463" s="98">
        <f t="shared" si="147"/>
        <v>0</v>
      </c>
      <c r="AK463" s="233"/>
      <c r="AL463" s="98">
        <f>IF(SUMIFS('Shipments data'!L:L,'Shipments data'!F:F,'Supply planning data'!C463,'Shipments data'!A:A,'Supply planning data'!A463,'Shipments data'!O:O,"received",'Shipments data'!Q:Q,"&lt;"&amp;'Supply planning data'!D478,'Shipments data'!AC:AC,"&lt;"&amp;'Supply planning data'!D478)-SUMIFS(M:M,D:D,"&lt;="&amp;D463,C:C,C463)-SUMIFS(AJ:AJ,D:D,"&lt;="&amp;D463,C:C,C463)+SUMIFS(N:N,D:D,"&lt;="&amp;D463,C:C,C463)+SUMIFS(P:P,D:D,"&lt;="&amp;D463,C:C,C463)&lt;0,0,SUMIFS('Shipments data'!L:L,'Shipments data'!F:F,'Supply planning data'!C463,'Shipments data'!A:A,'Supply planning data'!A463,'Shipments data'!O:O,"received",'Shipments data'!Q:Q,"&lt;"&amp;'Supply planning data'!D478,'Shipments data'!AC:AC,"&lt;"&amp;'Supply planning data'!D478)-SUMIFS(M:M,D:D,"&lt;="&amp;D463,C:C,C463)-SUMIFS(AJ:AJ,D:D,"&lt;="&amp;D463,C:C,C463)+SUMIFS(N:N,D:D,"&lt;="&amp;D463,C:C,C463)+SUMIFS(P:P,D:D,"&lt;="&amp;D463,C:C,C463))</f>
        <v>0</v>
      </c>
      <c r="AM463" s="98">
        <f t="shared" si="138"/>
        <v>0</v>
      </c>
      <c r="AN463" s="98">
        <f t="shared" si="149"/>
        <v>0</v>
      </c>
      <c r="AO463" s="203" t="str">
        <f t="shared" si="141"/>
        <v/>
      </c>
    </row>
    <row r="464" spans="1:41" hidden="1" x14ac:dyDescent="0.25">
      <c r="A464" s="95" t="str">
        <f>Start!D$7</f>
        <v>Anyland</v>
      </c>
      <c r="B464" s="96" t="str">
        <f>VLOOKUP(A464,list!B:C,2,FALSE)</f>
        <v>ANY</v>
      </c>
      <c r="C464" s="90" t="str">
        <f>IF(Start!$C$26="","",Start!$C$26)</f>
        <v/>
      </c>
      <c r="D464" s="296">
        <f t="shared" si="132"/>
        <v>45108</v>
      </c>
      <c r="E464" s="92" t="str">
        <f>IFERROR(VLOOKUP(C464,Start!C$15:D$31,2,FALSE),"No")</f>
        <v>No</v>
      </c>
      <c r="F464" s="92">
        <f t="shared" si="133"/>
        <v>0</v>
      </c>
      <c r="G464" s="91"/>
      <c r="H464" s="97"/>
      <c r="I464" s="97"/>
      <c r="J464" s="98">
        <f t="shared" si="143"/>
        <v>0</v>
      </c>
      <c r="K464" s="97"/>
      <c r="L464" s="175" t="str">
        <f t="shared" si="144"/>
        <v/>
      </c>
      <c r="M464" s="98">
        <f t="shared" si="145"/>
        <v>0</v>
      </c>
      <c r="N464" s="97"/>
      <c r="O464" s="122"/>
      <c r="P464" s="97"/>
      <c r="Q464" s="122"/>
      <c r="R464" s="98">
        <f>SUMIFS('Shipments data'!L:L,'Shipments data'!F:F,'Supply planning data'!C464,'Shipments data'!A:A,'Supply planning data'!A464,'Shipments data'!Y:Y,'Supply planning data'!D464,'Shipments data'!O:O,"received", 'Shipments data'!N:N, "Public")</f>
        <v>0</v>
      </c>
      <c r="S464" s="98">
        <f>SUMIFS('Shipments data'!L:L,'Shipments data'!F:F,'Supply planning data'!C464,'Shipments data'!A:A,'Supply planning data'!A464,'Shipments data'!Y:Y,'Supply planning data'!D464,'Shipments data'!O:O,"ordered", 'Shipments data'!N:N, "Public")</f>
        <v>0</v>
      </c>
      <c r="T464" s="98">
        <f>IF(SUMIFS('Shipments data'!L:L,'Shipments data'!F:F,'Supply planning data'!C464,'Shipments data'!A:A,'Supply planning data'!A464,'Shipments data'!O:O,"received",'Shipments data'!Q:Q,"&lt;"&amp;'Supply planning data'!D479,'Shipments data'!AC:AC,"&lt;"&amp;'Supply planning data'!D479)-SUMIFS(M:M,D:D,"&lt;="&amp;D464,C:C,C464)+SUMIFS(N:N,D:D,"&lt;="&amp;D464,C:C,C464)+SUMIFS(P:P,D:D,"&lt;="&amp;D464,C:C,C464)&lt;0,0,SUMIFS('Shipments data'!L:L,'Shipments data'!F:F,'Supply planning data'!C464,'Shipments data'!A:A,'Supply planning data'!A464,'Shipments data'!O:O,"received",'Shipments data'!Q:Q,"&lt;"&amp;'Supply planning data'!D479,'Shipments data'!AC:AC,"&lt;"&amp;'Supply planning data'!D479)-SUMIFS(M:M,D:D,"&lt;="&amp;D464,C:C,C464)+SUMIFS(N:N,D:D,"&lt;="&amp;D464,C:C,C464)+SUMIFS(P:P,D:D,"&lt;="&amp;D464,C:C,C464))</f>
        <v>0</v>
      </c>
      <c r="U464" s="99">
        <f t="shared" si="134"/>
        <v>0</v>
      </c>
      <c r="V464" s="98">
        <f t="shared" si="142"/>
        <v>0</v>
      </c>
      <c r="W464" s="203" t="str">
        <f t="shared" si="140"/>
        <v/>
      </c>
      <c r="X464" s="98">
        <f t="shared" si="135"/>
        <v>0</v>
      </c>
      <c r="Y464" s="97"/>
      <c r="Z464" s="93"/>
      <c r="AA464" s="98">
        <f t="shared" si="146"/>
        <v>0</v>
      </c>
      <c r="AB464" s="233"/>
      <c r="AC464" s="98">
        <f>IF(SUMIFS('Shipments data'!L:L,'Shipments data'!F:F,'Supply planning data'!C464,'Shipments data'!A:A,'Supply planning data'!A464,'Shipments data'!O:O,"received",'Shipments data'!Q:Q,"&lt;"&amp;'Supply planning data'!D479,'Shipments data'!AC:AC,"&lt;"&amp;'Supply planning data'!D479)-SUMIFS(M:M,D:D,"&lt;="&amp;D464,C:C,C464)-SUMIFS(AA:AA,D:D,"&lt;="&amp;D464,C:C,C464)+SUMIFS(N:N,D:D,"&lt;="&amp;D464,C:C,C464)+SUMIFS(P:P,D:D,"&lt;="&amp;D464,C:C,C464)&lt;0,0,SUMIFS('Shipments data'!L:L,'Shipments data'!F:F,'Supply planning data'!C464,'Shipments data'!A:A,'Supply planning data'!A464,'Shipments data'!O:O,"received",'Shipments data'!Q:Q,"&lt;"&amp;'Supply planning data'!D479,'Shipments data'!AC:AC,"&lt;"&amp;'Supply planning data'!D479)-SUMIFS(M:M,D:D,"&lt;="&amp;D464,C:C,C464)-SUMIFS(AA:AA,D:D,"&lt;="&amp;D464,C:C,C464)+SUMIFS(N:N,D:D,"&lt;="&amp;D464,C:C,C464)+SUMIFS(P:P,D:D,"&lt;="&amp;D464,C:C,C464))</f>
        <v>0</v>
      </c>
      <c r="AD464" s="98">
        <f t="shared" si="136"/>
        <v>0</v>
      </c>
      <c r="AE464" s="98">
        <f t="shared" si="148"/>
        <v>0</v>
      </c>
      <c r="AF464" s="205" t="str">
        <f t="shared" si="139"/>
        <v/>
      </c>
      <c r="AG464" s="98">
        <f t="shared" si="137"/>
        <v>0</v>
      </c>
      <c r="AH464" s="97"/>
      <c r="AI464" s="311"/>
      <c r="AJ464" s="98">
        <f t="shared" si="147"/>
        <v>0</v>
      </c>
      <c r="AK464" s="233"/>
      <c r="AL464" s="98">
        <f>IF(SUMIFS('Shipments data'!L:L,'Shipments data'!F:F,'Supply planning data'!C464,'Shipments data'!A:A,'Supply planning data'!A464,'Shipments data'!O:O,"received",'Shipments data'!Q:Q,"&lt;"&amp;'Supply planning data'!D479,'Shipments data'!AC:AC,"&lt;"&amp;'Supply planning data'!D479)-SUMIFS(M:M,D:D,"&lt;="&amp;D464,C:C,C464)-SUMIFS(AJ:AJ,D:D,"&lt;="&amp;D464,C:C,C464)+SUMIFS(N:N,D:D,"&lt;="&amp;D464,C:C,C464)+SUMIFS(P:P,D:D,"&lt;="&amp;D464,C:C,C464)&lt;0,0,SUMIFS('Shipments data'!L:L,'Shipments data'!F:F,'Supply planning data'!C464,'Shipments data'!A:A,'Supply planning data'!A464,'Shipments data'!O:O,"received",'Shipments data'!Q:Q,"&lt;"&amp;'Supply planning data'!D479,'Shipments data'!AC:AC,"&lt;"&amp;'Supply planning data'!D479)-SUMIFS(M:M,D:D,"&lt;="&amp;D464,C:C,C464)-SUMIFS(AJ:AJ,D:D,"&lt;="&amp;D464,C:C,C464)+SUMIFS(N:N,D:D,"&lt;="&amp;D464,C:C,C464)+SUMIFS(P:P,D:D,"&lt;="&amp;D464,C:C,C464))</f>
        <v>0</v>
      </c>
      <c r="AM464" s="98">
        <f t="shared" si="138"/>
        <v>0</v>
      </c>
      <c r="AN464" s="98">
        <f t="shared" si="149"/>
        <v>0</v>
      </c>
      <c r="AO464" s="203" t="str">
        <f t="shared" si="141"/>
        <v/>
      </c>
    </row>
    <row r="465" spans="1:41" hidden="1" x14ac:dyDescent="0.25">
      <c r="A465" s="95" t="str">
        <f>Start!D$7</f>
        <v>Anyland</v>
      </c>
      <c r="B465" s="96" t="str">
        <f>VLOOKUP(A465,list!B:C,2,FALSE)</f>
        <v>ANY</v>
      </c>
      <c r="C465" s="90" t="str">
        <f>IF(Start!$C$27="","",Start!$C$27)</f>
        <v/>
      </c>
      <c r="D465" s="296">
        <f t="shared" si="132"/>
        <v>45108</v>
      </c>
      <c r="E465" s="92" t="str">
        <f>IFERROR(VLOOKUP(C465,Start!C$15:D$31,2,FALSE),"No")</f>
        <v>No</v>
      </c>
      <c r="F465" s="92">
        <f t="shared" si="133"/>
        <v>0</v>
      </c>
      <c r="G465" s="91"/>
      <c r="H465" s="97"/>
      <c r="I465" s="97"/>
      <c r="J465" s="98">
        <f t="shared" si="143"/>
        <v>0</v>
      </c>
      <c r="K465" s="97"/>
      <c r="L465" s="175" t="str">
        <f t="shared" si="144"/>
        <v/>
      </c>
      <c r="M465" s="98">
        <f t="shared" si="145"/>
        <v>0</v>
      </c>
      <c r="N465" s="97"/>
      <c r="O465" s="122"/>
      <c r="P465" s="97"/>
      <c r="Q465" s="122"/>
      <c r="R465" s="98">
        <f>SUMIFS('Shipments data'!L:L,'Shipments data'!F:F,'Supply planning data'!C465,'Shipments data'!A:A,'Supply planning data'!A465,'Shipments data'!Y:Y,'Supply planning data'!D465,'Shipments data'!O:O,"received", 'Shipments data'!N:N, "Public")</f>
        <v>0</v>
      </c>
      <c r="S465" s="98">
        <f>SUMIFS('Shipments data'!L:L,'Shipments data'!F:F,'Supply planning data'!C465,'Shipments data'!A:A,'Supply planning data'!A465,'Shipments data'!Y:Y,'Supply planning data'!D465,'Shipments data'!O:O,"ordered", 'Shipments data'!N:N, "Public")</f>
        <v>0</v>
      </c>
      <c r="T465" s="98">
        <f>IF(SUMIFS('Shipments data'!L:L,'Shipments data'!F:F,'Supply planning data'!C465,'Shipments data'!A:A,'Supply planning data'!A465,'Shipments data'!O:O,"received",'Shipments data'!Q:Q,"&lt;"&amp;'Supply planning data'!D480,'Shipments data'!AC:AC,"&lt;"&amp;'Supply planning data'!D480)-SUMIFS(M:M,D:D,"&lt;="&amp;D465,C:C,C465)+SUMIFS(N:N,D:D,"&lt;="&amp;D465,C:C,C465)+SUMIFS(P:P,D:D,"&lt;="&amp;D465,C:C,C465)&lt;0,0,SUMIFS('Shipments data'!L:L,'Shipments data'!F:F,'Supply planning data'!C465,'Shipments data'!A:A,'Supply planning data'!A465,'Shipments data'!O:O,"received",'Shipments data'!Q:Q,"&lt;"&amp;'Supply planning data'!D480,'Shipments data'!AC:AC,"&lt;"&amp;'Supply planning data'!D480)-SUMIFS(M:M,D:D,"&lt;="&amp;D465,C:C,C465)+SUMIFS(N:N,D:D,"&lt;="&amp;D465,C:C,C465)+SUMIFS(P:P,D:D,"&lt;="&amp;D465,C:C,C465))</f>
        <v>0</v>
      </c>
      <c r="U465" s="99">
        <f t="shared" si="134"/>
        <v>0</v>
      </c>
      <c r="V465" s="98">
        <f t="shared" si="142"/>
        <v>0</v>
      </c>
      <c r="W465" s="203" t="str">
        <f t="shared" si="140"/>
        <v/>
      </c>
      <c r="X465" s="98">
        <f t="shared" si="135"/>
        <v>0</v>
      </c>
      <c r="Y465" s="97"/>
      <c r="Z465" s="93"/>
      <c r="AA465" s="98">
        <f t="shared" si="146"/>
        <v>0</v>
      </c>
      <c r="AB465" s="233"/>
      <c r="AC465" s="98">
        <f>IF(SUMIFS('Shipments data'!L:L,'Shipments data'!F:F,'Supply planning data'!C465,'Shipments data'!A:A,'Supply planning data'!A465,'Shipments data'!O:O,"received",'Shipments data'!Q:Q,"&lt;"&amp;'Supply planning data'!D480,'Shipments data'!AC:AC,"&lt;"&amp;'Supply planning data'!D480)-SUMIFS(M:M,D:D,"&lt;="&amp;D465,C:C,C465)-SUMIFS(AA:AA,D:D,"&lt;="&amp;D465,C:C,C465)+SUMIFS(N:N,D:D,"&lt;="&amp;D465,C:C,C465)+SUMIFS(P:P,D:D,"&lt;="&amp;D465,C:C,C465)&lt;0,0,SUMIFS('Shipments data'!L:L,'Shipments data'!F:F,'Supply planning data'!C465,'Shipments data'!A:A,'Supply planning data'!A465,'Shipments data'!O:O,"received",'Shipments data'!Q:Q,"&lt;"&amp;'Supply planning data'!D480,'Shipments data'!AC:AC,"&lt;"&amp;'Supply planning data'!D480)-SUMIFS(M:M,D:D,"&lt;="&amp;D465,C:C,C465)-SUMIFS(AA:AA,D:D,"&lt;="&amp;D465,C:C,C465)+SUMIFS(N:N,D:D,"&lt;="&amp;D465,C:C,C465)+SUMIFS(P:P,D:D,"&lt;="&amp;D465,C:C,C465))</f>
        <v>0</v>
      </c>
      <c r="AD465" s="98">
        <f t="shared" si="136"/>
        <v>0</v>
      </c>
      <c r="AE465" s="98">
        <f t="shared" si="148"/>
        <v>0</v>
      </c>
      <c r="AF465" s="205" t="str">
        <f t="shared" si="139"/>
        <v/>
      </c>
      <c r="AG465" s="98">
        <f t="shared" si="137"/>
        <v>0</v>
      </c>
      <c r="AH465" s="97"/>
      <c r="AI465" s="311"/>
      <c r="AJ465" s="98">
        <f t="shared" si="147"/>
        <v>0</v>
      </c>
      <c r="AK465" s="233"/>
      <c r="AL465" s="98">
        <f>IF(SUMIFS('Shipments data'!L:L,'Shipments data'!F:F,'Supply planning data'!C465,'Shipments data'!A:A,'Supply planning data'!A465,'Shipments data'!O:O,"received",'Shipments data'!Q:Q,"&lt;"&amp;'Supply planning data'!D480,'Shipments data'!AC:AC,"&lt;"&amp;'Supply planning data'!D480)-SUMIFS(M:M,D:D,"&lt;="&amp;D465,C:C,C465)-SUMIFS(AJ:AJ,D:D,"&lt;="&amp;D465,C:C,C465)+SUMIFS(N:N,D:D,"&lt;="&amp;D465,C:C,C465)+SUMIFS(P:P,D:D,"&lt;="&amp;D465,C:C,C465)&lt;0,0,SUMIFS('Shipments data'!L:L,'Shipments data'!F:F,'Supply planning data'!C465,'Shipments data'!A:A,'Supply planning data'!A465,'Shipments data'!O:O,"received",'Shipments data'!Q:Q,"&lt;"&amp;'Supply planning data'!D480,'Shipments data'!AC:AC,"&lt;"&amp;'Supply planning data'!D480)-SUMIFS(M:M,D:D,"&lt;="&amp;D465,C:C,C465)-SUMIFS(AJ:AJ,D:D,"&lt;="&amp;D465,C:C,C465)+SUMIFS(N:N,D:D,"&lt;="&amp;D465,C:C,C465)+SUMIFS(P:P,D:D,"&lt;="&amp;D465,C:C,C465))</f>
        <v>0</v>
      </c>
      <c r="AM465" s="98">
        <f t="shared" si="138"/>
        <v>0</v>
      </c>
      <c r="AN465" s="98">
        <f t="shared" si="149"/>
        <v>0</v>
      </c>
      <c r="AO465" s="203" t="str">
        <f t="shared" si="141"/>
        <v/>
      </c>
    </row>
    <row r="466" spans="1:41" hidden="1" x14ac:dyDescent="0.25">
      <c r="A466" s="95" t="str">
        <f>Start!D$7</f>
        <v>Anyland</v>
      </c>
      <c r="B466" s="96" t="str">
        <f>VLOOKUP(A466,list!B:C,2,FALSE)</f>
        <v>ANY</v>
      </c>
      <c r="C466" s="90" t="str">
        <f>IF(Start!$C$28="","",Start!$C$28)</f>
        <v/>
      </c>
      <c r="D466" s="296">
        <f t="shared" si="132"/>
        <v>45108</v>
      </c>
      <c r="E466" s="92" t="str">
        <f>IFERROR(VLOOKUP(C466,Start!C$15:D$31,2,FALSE),"No")</f>
        <v>No</v>
      </c>
      <c r="F466" s="92">
        <f t="shared" si="133"/>
        <v>0</v>
      </c>
      <c r="G466" s="91"/>
      <c r="H466" s="97"/>
      <c r="I466" s="97"/>
      <c r="J466" s="98">
        <f t="shared" si="143"/>
        <v>0</v>
      </c>
      <c r="K466" s="97"/>
      <c r="L466" s="175" t="str">
        <f t="shared" si="144"/>
        <v/>
      </c>
      <c r="M466" s="98">
        <f t="shared" si="145"/>
        <v>0</v>
      </c>
      <c r="N466" s="97"/>
      <c r="O466" s="122"/>
      <c r="P466" s="97"/>
      <c r="Q466" s="122"/>
      <c r="R466" s="98">
        <f>SUMIFS('Shipments data'!L:L,'Shipments data'!F:F,'Supply planning data'!C466,'Shipments data'!A:A,'Supply planning data'!A466,'Shipments data'!Y:Y,'Supply planning data'!D466,'Shipments data'!O:O,"received", 'Shipments data'!N:N, "Public")</f>
        <v>0</v>
      </c>
      <c r="S466" s="98">
        <f>SUMIFS('Shipments data'!L:L,'Shipments data'!F:F,'Supply planning data'!C466,'Shipments data'!A:A,'Supply planning data'!A466,'Shipments data'!Y:Y,'Supply planning data'!D466,'Shipments data'!O:O,"ordered", 'Shipments data'!N:N, "Public")</f>
        <v>0</v>
      </c>
      <c r="T466" s="98">
        <f>IF(SUMIFS('Shipments data'!L:L,'Shipments data'!F:F,'Supply planning data'!C466,'Shipments data'!A:A,'Supply planning data'!A466,'Shipments data'!O:O,"received",'Shipments data'!Q:Q,"&lt;"&amp;'Supply planning data'!D481,'Shipments data'!AC:AC,"&lt;"&amp;'Supply planning data'!D481)-SUMIFS(M:M,D:D,"&lt;="&amp;D466,C:C,C466)+SUMIFS(N:N,D:D,"&lt;="&amp;D466,C:C,C466)+SUMIFS(P:P,D:D,"&lt;="&amp;D466,C:C,C466)&lt;0,0,SUMIFS('Shipments data'!L:L,'Shipments data'!F:F,'Supply planning data'!C466,'Shipments data'!A:A,'Supply planning data'!A466,'Shipments data'!O:O,"received",'Shipments data'!Q:Q,"&lt;"&amp;'Supply planning data'!D481,'Shipments data'!AC:AC,"&lt;"&amp;'Supply planning data'!D481)-SUMIFS(M:M,D:D,"&lt;="&amp;D466,C:C,C466)+SUMIFS(N:N,D:D,"&lt;="&amp;D466,C:C,C466)+SUMIFS(P:P,D:D,"&lt;="&amp;D466,C:C,C466))</f>
        <v>0</v>
      </c>
      <c r="U466" s="99">
        <f t="shared" si="134"/>
        <v>0</v>
      </c>
      <c r="V466" s="98">
        <f t="shared" si="142"/>
        <v>0</v>
      </c>
      <c r="W466" s="203" t="str">
        <f t="shared" si="140"/>
        <v/>
      </c>
      <c r="X466" s="98">
        <f t="shared" si="135"/>
        <v>0</v>
      </c>
      <c r="Y466" s="97"/>
      <c r="Z466" s="93"/>
      <c r="AA466" s="98">
        <f t="shared" si="146"/>
        <v>0</v>
      </c>
      <c r="AB466" s="233"/>
      <c r="AC466" s="98">
        <f>IF(SUMIFS('Shipments data'!L:L,'Shipments data'!F:F,'Supply planning data'!C466,'Shipments data'!A:A,'Supply planning data'!A466,'Shipments data'!O:O,"received",'Shipments data'!Q:Q,"&lt;"&amp;'Supply planning data'!D481,'Shipments data'!AC:AC,"&lt;"&amp;'Supply planning data'!D481)-SUMIFS(M:M,D:D,"&lt;="&amp;D466,C:C,C466)-SUMIFS(AA:AA,D:D,"&lt;="&amp;D466,C:C,C466)+SUMIFS(N:N,D:D,"&lt;="&amp;D466,C:C,C466)+SUMIFS(P:P,D:D,"&lt;="&amp;D466,C:C,C466)&lt;0,0,SUMIFS('Shipments data'!L:L,'Shipments data'!F:F,'Supply planning data'!C466,'Shipments data'!A:A,'Supply planning data'!A466,'Shipments data'!O:O,"received",'Shipments data'!Q:Q,"&lt;"&amp;'Supply planning data'!D481,'Shipments data'!AC:AC,"&lt;"&amp;'Supply planning data'!D481)-SUMIFS(M:M,D:D,"&lt;="&amp;D466,C:C,C466)-SUMIFS(AA:AA,D:D,"&lt;="&amp;D466,C:C,C466)+SUMIFS(N:N,D:D,"&lt;="&amp;D466,C:C,C466)+SUMIFS(P:P,D:D,"&lt;="&amp;D466,C:C,C466))</f>
        <v>0</v>
      </c>
      <c r="AD466" s="98">
        <f t="shared" si="136"/>
        <v>0</v>
      </c>
      <c r="AE466" s="98">
        <f t="shared" si="148"/>
        <v>0</v>
      </c>
      <c r="AF466" s="205" t="str">
        <f t="shared" si="139"/>
        <v/>
      </c>
      <c r="AG466" s="98">
        <f t="shared" si="137"/>
        <v>0</v>
      </c>
      <c r="AH466" s="97"/>
      <c r="AI466" s="311"/>
      <c r="AJ466" s="98">
        <f t="shared" si="147"/>
        <v>0</v>
      </c>
      <c r="AK466" s="233"/>
      <c r="AL466" s="98">
        <f>IF(SUMIFS('Shipments data'!L:L,'Shipments data'!F:F,'Supply planning data'!C466,'Shipments data'!A:A,'Supply planning data'!A466,'Shipments data'!O:O,"received",'Shipments data'!Q:Q,"&lt;"&amp;'Supply planning data'!D481,'Shipments data'!AC:AC,"&lt;"&amp;'Supply planning data'!D481)-SUMIFS(M:M,D:D,"&lt;="&amp;D466,C:C,C466)-SUMIFS(AJ:AJ,D:D,"&lt;="&amp;D466,C:C,C466)+SUMIFS(N:N,D:D,"&lt;="&amp;D466,C:C,C466)+SUMIFS(P:P,D:D,"&lt;="&amp;D466,C:C,C466)&lt;0,0,SUMIFS('Shipments data'!L:L,'Shipments data'!F:F,'Supply planning data'!C466,'Shipments data'!A:A,'Supply planning data'!A466,'Shipments data'!O:O,"received",'Shipments data'!Q:Q,"&lt;"&amp;'Supply planning data'!D481,'Shipments data'!AC:AC,"&lt;"&amp;'Supply planning data'!D481)-SUMIFS(M:M,D:D,"&lt;="&amp;D466,C:C,C466)-SUMIFS(AJ:AJ,D:D,"&lt;="&amp;D466,C:C,C466)+SUMIFS(N:N,D:D,"&lt;="&amp;D466,C:C,C466)+SUMIFS(P:P,D:D,"&lt;="&amp;D466,C:C,C466))</f>
        <v>0</v>
      </c>
      <c r="AM466" s="98">
        <f t="shared" si="138"/>
        <v>0</v>
      </c>
      <c r="AN466" s="98">
        <f t="shared" si="149"/>
        <v>0</v>
      </c>
      <c r="AO466" s="203" t="str">
        <f t="shared" si="141"/>
        <v/>
      </c>
    </row>
    <row r="467" spans="1:41" hidden="1" x14ac:dyDescent="0.25">
      <c r="A467" s="95" t="str">
        <f>Start!D$7</f>
        <v>Anyland</v>
      </c>
      <c r="B467" s="96" t="str">
        <f>VLOOKUP(A467,list!B:C,2,FALSE)</f>
        <v>ANY</v>
      </c>
      <c r="C467" s="90" t="str">
        <f>IF(Start!$C$29="","",Start!$C$29)</f>
        <v/>
      </c>
      <c r="D467" s="296">
        <f t="shared" si="132"/>
        <v>45108</v>
      </c>
      <c r="E467" s="92" t="str">
        <f>IFERROR(VLOOKUP(C467,Start!C$15:D$31,2,FALSE),"No")</f>
        <v>No</v>
      </c>
      <c r="F467" s="92">
        <f t="shared" si="133"/>
        <v>0</v>
      </c>
      <c r="G467" s="91"/>
      <c r="H467" s="97"/>
      <c r="I467" s="97"/>
      <c r="J467" s="98">
        <f t="shared" si="143"/>
        <v>0</v>
      </c>
      <c r="K467" s="97"/>
      <c r="L467" s="175" t="str">
        <f t="shared" si="144"/>
        <v/>
      </c>
      <c r="M467" s="98">
        <f t="shared" si="145"/>
        <v>0</v>
      </c>
      <c r="N467" s="97"/>
      <c r="O467" s="122"/>
      <c r="P467" s="97"/>
      <c r="Q467" s="122"/>
      <c r="R467" s="98">
        <f>SUMIFS('Shipments data'!L:L,'Shipments data'!F:F,'Supply planning data'!C467,'Shipments data'!A:A,'Supply planning data'!A467,'Shipments data'!Y:Y,'Supply planning data'!D467,'Shipments data'!O:O,"received", 'Shipments data'!N:N, "Public")</f>
        <v>0</v>
      </c>
      <c r="S467" s="98">
        <f>SUMIFS('Shipments data'!L:L,'Shipments data'!F:F,'Supply planning data'!C467,'Shipments data'!A:A,'Supply planning data'!A467,'Shipments data'!Y:Y,'Supply planning data'!D467,'Shipments data'!O:O,"ordered", 'Shipments data'!N:N, "Public")</f>
        <v>0</v>
      </c>
      <c r="T467" s="98">
        <f>IF(SUMIFS('Shipments data'!L:L,'Shipments data'!F:F,'Supply planning data'!C467,'Shipments data'!A:A,'Supply planning data'!A467,'Shipments data'!O:O,"received",'Shipments data'!Q:Q,"&lt;"&amp;'Supply planning data'!D482,'Shipments data'!AC:AC,"&lt;"&amp;'Supply planning data'!D482)-SUMIFS(M:M,D:D,"&lt;="&amp;D467,C:C,C467)+SUMIFS(N:N,D:D,"&lt;="&amp;D467,C:C,C467)+SUMIFS(P:P,D:D,"&lt;="&amp;D467,C:C,C467)&lt;0,0,SUMIFS('Shipments data'!L:L,'Shipments data'!F:F,'Supply planning data'!C467,'Shipments data'!A:A,'Supply planning data'!A467,'Shipments data'!O:O,"received",'Shipments data'!Q:Q,"&lt;"&amp;'Supply planning data'!D482,'Shipments data'!AC:AC,"&lt;"&amp;'Supply planning data'!D482)-SUMIFS(M:M,D:D,"&lt;="&amp;D467,C:C,C467)+SUMIFS(N:N,D:D,"&lt;="&amp;D467,C:C,C467)+SUMIFS(P:P,D:D,"&lt;="&amp;D467,C:C,C467))</f>
        <v>0</v>
      </c>
      <c r="U467" s="99">
        <f t="shared" si="134"/>
        <v>0</v>
      </c>
      <c r="V467" s="98">
        <f t="shared" si="142"/>
        <v>0</v>
      </c>
      <c r="W467" s="203" t="str">
        <f t="shared" si="140"/>
        <v/>
      </c>
      <c r="X467" s="98">
        <f t="shared" si="135"/>
        <v>0</v>
      </c>
      <c r="Y467" s="97"/>
      <c r="Z467" s="93"/>
      <c r="AA467" s="98">
        <f t="shared" si="146"/>
        <v>0</v>
      </c>
      <c r="AB467" s="233"/>
      <c r="AC467" s="98">
        <f>IF(SUMIFS('Shipments data'!L:L,'Shipments data'!F:F,'Supply planning data'!C467,'Shipments data'!A:A,'Supply planning data'!A467,'Shipments data'!O:O,"received",'Shipments data'!Q:Q,"&lt;"&amp;'Supply planning data'!D482,'Shipments data'!AC:AC,"&lt;"&amp;'Supply planning data'!D482)-SUMIFS(M:M,D:D,"&lt;="&amp;D467,C:C,C467)-SUMIFS(AA:AA,D:D,"&lt;="&amp;D467,C:C,C467)+SUMIFS(N:N,D:D,"&lt;="&amp;D467,C:C,C467)+SUMIFS(P:P,D:D,"&lt;="&amp;D467,C:C,C467)&lt;0,0,SUMIFS('Shipments data'!L:L,'Shipments data'!F:F,'Supply planning data'!C467,'Shipments data'!A:A,'Supply planning data'!A467,'Shipments data'!O:O,"received",'Shipments data'!Q:Q,"&lt;"&amp;'Supply planning data'!D482,'Shipments data'!AC:AC,"&lt;"&amp;'Supply planning data'!D482)-SUMIFS(M:M,D:D,"&lt;="&amp;D467,C:C,C467)-SUMIFS(AA:AA,D:D,"&lt;="&amp;D467,C:C,C467)+SUMIFS(N:N,D:D,"&lt;="&amp;D467,C:C,C467)+SUMIFS(P:P,D:D,"&lt;="&amp;D467,C:C,C467))</f>
        <v>0</v>
      </c>
      <c r="AD467" s="98">
        <f t="shared" si="136"/>
        <v>0</v>
      </c>
      <c r="AE467" s="98">
        <f t="shared" si="148"/>
        <v>0</v>
      </c>
      <c r="AF467" s="205" t="str">
        <f t="shared" si="139"/>
        <v/>
      </c>
      <c r="AG467" s="98">
        <f t="shared" si="137"/>
        <v>0</v>
      </c>
      <c r="AH467" s="97"/>
      <c r="AI467" s="311"/>
      <c r="AJ467" s="98">
        <f t="shared" si="147"/>
        <v>0</v>
      </c>
      <c r="AK467" s="233"/>
      <c r="AL467" s="98">
        <f>IF(SUMIFS('Shipments data'!L:L,'Shipments data'!F:F,'Supply planning data'!C467,'Shipments data'!A:A,'Supply planning data'!A467,'Shipments data'!O:O,"received",'Shipments data'!Q:Q,"&lt;"&amp;'Supply planning data'!D482,'Shipments data'!AC:AC,"&lt;"&amp;'Supply planning data'!D482)-SUMIFS(M:M,D:D,"&lt;="&amp;D467,C:C,C467)-SUMIFS(AJ:AJ,D:D,"&lt;="&amp;D467,C:C,C467)+SUMIFS(N:N,D:D,"&lt;="&amp;D467,C:C,C467)+SUMIFS(P:P,D:D,"&lt;="&amp;D467,C:C,C467)&lt;0,0,SUMIFS('Shipments data'!L:L,'Shipments data'!F:F,'Supply planning data'!C467,'Shipments data'!A:A,'Supply planning data'!A467,'Shipments data'!O:O,"received",'Shipments data'!Q:Q,"&lt;"&amp;'Supply planning data'!D482,'Shipments data'!AC:AC,"&lt;"&amp;'Supply planning data'!D482)-SUMIFS(M:M,D:D,"&lt;="&amp;D467,C:C,C467)-SUMIFS(AJ:AJ,D:D,"&lt;="&amp;D467,C:C,C467)+SUMIFS(N:N,D:D,"&lt;="&amp;D467,C:C,C467)+SUMIFS(P:P,D:D,"&lt;="&amp;D467,C:C,C467))</f>
        <v>0</v>
      </c>
      <c r="AM467" s="98">
        <f t="shared" si="138"/>
        <v>0</v>
      </c>
      <c r="AN467" s="98">
        <f t="shared" si="149"/>
        <v>0</v>
      </c>
      <c r="AO467" s="203" t="str">
        <f t="shared" si="141"/>
        <v/>
      </c>
    </row>
    <row r="468" spans="1:41" hidden="1" x14ac:dyDescent="0.25">
      <c r="A468" s="95" t="str">
        <f>Start!D$7</f>
        <v>Anyland</v>
      </c>
      <c r="B468" s="96" t="str">
        <f>VLOOKUP(A468,list!B:C,2,FALSE)</f>
        <v>ANY</v>
      </c>
      <c r="C468" s="90" t="str">
        <f>IF(Start!$C$30="","",Start!$C$30)</f>
        <v/>
      </c>
      <c r="D468" s="296">
        <f t="shared" ref="D468:D531" si="150">DATE(YEAR(D453),MONTH(D453)+1,1)</f>
        <v>45108</v>
      </c>
      <c r="E468" s="92" t="str">
        <f>IFERROR(VLOOKUP(C468,Start!C$15:D$31,2,FALSE),"No")</f>
        <v>No</v>
      </c>
      <c r="F468" s="92">
        <f t="shared" ref="F468:F531" si="151">V453</f>
        <v>0</v>
      </c>
      <c r="G468" s="91"/>
      <c r="H468" s="97"/>
      <c r="I468" s="97"/>
      <c r="J468" s="98">
        <f t="shared" si="143"/>
        <v>0</v>
      </c>
      <c r="K468" s="97"/>
      <c r="L468" s="175" t="str">
        <f t="shared" si="144"/>
        <v/>
      </c>
      <c r="M468" s="98">
        <f t="shared" si="145"/>
        <v>0</v>
      </c>
      <c r="N468" s="97"/>
      <c r="O468" s="122"/>
      <c r="P468" s="97"/>
      <c r="Q468" s="122"/>
      <c r="R468" s="98">
        <f>SUMIFS('Shipments data'!L:L,'Shipments data'!F:F,'Supply planning data'!C468,'Shipments data'!A:A,'Supply planning data'!A468,'Shipments data'!Y:Y,'Supply planning data'!D468,'Shipments data'!O:O,"received", 'Shipments data'!N:N, "Public")</f>
        <v>0</v>
      </c>
      <c r="S468" s="98">
        <f>SUMIFS('Shipments data'!L:L,'Shipments data'!F:F,'Supply planning data'!C468,'Shipments data'!A:A,'Supply planning data'!A468,'Shipments data'!Y:Y,'Supply planning data'!D468,'Shipments data'!O:O,"ordered", 'Shipments data'!N:N, "Public")</f>
        <v>0</v>
      </c>
      <c r="T468" s="98">
        <f>IF(SUMIFS('Shipments data'!L:L,'Shipments data'!F:F,'Supply planning data'!C468,'Shipments data'!A:A,'Supply planning data'!A468,'Shipments data'!O:O,"received",'Shipments data'!Q:Q,"&lt;"&amp;'Supply planning data'!D483,'Shipments data'!AC:AC,"&lt;"&amp;'Supply planning data'!D483)-SUMIFS(M:M,D:D,"&lt;="&amp;D468,C:C,C468)+SUMIFS(N:N,D:D,"&lt;="&amp;D468,C:C,C468)+SUMIFS(P:P,D:D,"&lt;="&amp;D468,C:C,C468)&lt;0,0,SUMIFS('Shipments data'!L:L,'Shipments data'!F:F,'Supply planning data'!C468,'Shipments data'!A:A,'Supply planning data'!A468,'Shipments data'!O:O,"received",'Shipments data'!Q:Q,"&lt;"&amp;'Supply planning data'!D483,'Shipments data'!AC:AC,"&lt;"&amp;'Supply planning data'!D483)-SUMIFS(M:M,D:D,"&lt;="&amp;D468,C:C,C468)+SUMIFS(N:N,D:D,"&lt;="&amp;D468,C:C,C468)+SUMIFS(P:P,D:D,"&lt;="&amp;D468,C:C,C468))</f>
        <v>0</v>
      </c>
      <c r="U468" s="99">
        <f t="shared" ref="U468:U531" si="152">IF(T468-T453&lt;0,0,T468-T453)</f>
        <v>0</v>
      </c>
      <c r="V468" s="98">
        <f t="shared" si="142"/>
        <v>0</v>
      </c>
      <c r="W468" s="203" t="str">
        <f t="shared" si="140"/>
        <v/>
      </c>
      <c r="X468" s="98">
        <f t="shared" ref="X468:X531" si="153">AE453</f>
        <v>0</v>
      </c>
      <c r="Y468" s="97"/>
      <c r="Z468" s="93"/>
      <c r="AA468" s="98">
        <f t="shared" si="146"/>
        <v>0</v>
      </c>
      <c r="AB468" s="233"/>
      <c r="AC468" s="98">
        <f>IF(SUMIFS('Shipments data'!L:L,'Shipments data'!F:F,'Supply planning data'!C468,'Shipments data'!A:A,'Supply planning data'!A468,'Shipments data'!O:O,"received",'Shipments data'!Q:Q,"&lt;"&amp;'Supply planning data'!D483,'Shipments data'!AC:AC,"&lt;"&amp;'Supply planning data'!D483)-SUMIFS(M:M,D:D,"&lt;="&amp;D468,C:C,C468)-SUMIFS(AA:AA,D:D,"&lt;="&amp;D468,C:C,C468)+SUMIFS(N:N,D:D,"&lt;="&amp;D468,C:C,C468)+SUMIFS(P:P,D:D,"&lt;="&amp;D468,C:C,C468)&lt;0,0,SUMIFS('Shipments data'!L:L,'Shipments data'!F:F,'Supply planning data'!C468,'Shipments data'!A:A,'Supply planning data'!A468,'Shipments data'!O:O,"received",'Shipments data'!Q:Q,"&lt;"&amp;'Supply planning data'!D483,'Shipments data'!AC:AC,"&lt;"&amp;'Supply planning data'!D483)-SUMIFS(M:M,D:D,"&lt;="&amp;D468,C:C,C468)-SUMIFS(AA:AA,D:D,"&lt;="&amp;D468,C:C,C468)+SUMIFS(N:N,D:D,"&lt;="&amp;D468,C:C,C468)+SUMIFS(P:P,D:D,"&lt;="&amp;D468,C:C,C468))</f>
        <v>0</v>
      </c>
      <c r="AD468" s="98">
        <f t="shared" ref="AD468:AD531" si="154">IF(AC468-AC453&lt;0,0,AC468-AC453)</f>
        <v>0</v>
      </c>
      <c r="AE468" s="98">
        <f t="shared" si="148"/>
        <v>0</v>
      </c>
      <c r="AF468" s="205" t="str">
        <f t="shared" si="139"/>
        <v/>
      </c>
      <c r="AG468" s="98">
        <f t="shared" ref="AG468:AG531" si="155">AN453</f>
        <v>0</v>
      </c>
      <c r="AH468" s="97"/>
      <c r="AI468" s="311"/>
      <c r="AJ468" s="98">
        <f t="shared" si="147"/>
        <v>0</v>
      </c>
      <c r="AK468" s="233"/>
      <c r="AL468" s="98">
        <f>IF(SUMIFS('Shipments data'!L:L,'Shipments data'!F:F,'Supply planning data'!C468,'Shipments data'!A:A,'Supply planning data'!A468,'Shipments data'!O:O,"received",'Shipments data'!Q:Q,"&lt;"&amp;'Supply planning data'!D483,'Shipments data'!AC:AC,"&lt;"&amp;'Supply planning data'!D483)-SUMIFS(M:M,D:D,"&lt;="&amp;D468,C:C,C468)-SUMIFS(AJ:AJ,D:D,"&lt;="&amp;D468,C:C,C468)+SUMIFS(N:N,D:D,"&lt;="&amp;D468,C:C,C468)+SUMIFS(P:P,D:D,"&lt;="&amp;D468,C:C,C468)&lt;0,0,SUMIFS('Shipments data'!L:L,'Shipments data'!F:F,'Supply planning data'!C468,'Shipments data'!A:A,'Supply planning data'!A468,'Shipments data'!O:O,"received",'Shipments data'!Q:Q,"&lt;"&amp;'Supply planning data'!D483,'Shipments data'!AC:AC,"&lt;"&amp;'Supply planning data'!D483)-SUMIFS(M:M,D:D,"&lt;="&amp;D468,C:C,C468)-SUMIFS(AJ:AJ,D:D,"&lt;="&amp;D468,C:C,C468)+SUMIFS(N:N,D:D,"&lt;="&amp;D468,C:C,C468)+SUMIFS(P:P,D:D,"&lt;="&amp;D468,C:C,C468))</f>
        <v>0</v>
      </c>
      <c r="AM468" s="98">
        <f t="shared" ref="AM468:AM531" si="156">IF(AL468-AL453&lt;0,0,AL468-AL453)</f>
        <v>0</v>
      </c>
      <c r="AN468" s="98">
        <f t="shared" si="149"/>
        <v>0</v>
      </c>
      <c r="AO468" s="203" t="str">
        <f t="shared" si="141"/>
        <v/>
      </c>
    </row>
    <row r="469" spans="1:41" hidden="1" x14ac:dyDescent="0.25">
      <c r="A469" s="95" t="str">
        <f>Start!D$7</f>
        <v>Anyland</v>
      </c>
      <c r="B469" s="100" t="str">
        <f>VLOOKUP(A469,list!B:C,2,FALSE)</f>
        <v>ANY</v>
      </c>
      <c r="C469" s="90" t="str">
        <f>IF(Start!$C$31="","",Start!$C$31)</f>
        <v/>
      </c>
      <c r="D469" s="296">
        <f t="shared" si="150"/>
        <v>45108</v>
      </c>
      <c r="E469" s="92" t="str">
        <f>IFERROR(VLOOKUP(C469,Start!C$15:D$31,2,FALSE),"No")</f>
        <v>No</v>
      </c>
      <c r="F469" s="92">
        <f t="shared" si="151"/>
        <v>0</v>
      </c>
      <c r="G469" s="91"/>
      <c r="H469" s="97"/>
      <c r="I469" s="97"/>
      <c r="J469" s="98">
        <f t="shared" si="143"/>
        <v>0</v>
      </c>
      <c r="K469" s="97"/>
      <c r="L469" s="175" t="str">
        <f t="shared" si="144"/>
        <v/>
      </c>
      <c r="M469" s="98">
        <f t="shared" si="145"/>
        <v>0</v>
      </c>
      <c r="N469" s="97"/>
      <c r="O469" s="122"/>
      <c r="P469" s="97"/>
      <c r="Q469" s="122"/>
      <c r="R469" s="98">
        <f>SUMIFS('Shipments data'!L:L,'Shipments data'!F:F,'Supply planning data'!C469,'Shipments data'!A:A,'Supply planning data'!A469,'Shipments data'!Y:Y,'Supply planning data'!D469,'Shipments data'!O:O,"received", 'Shipments data'!N:N, "Public")</f>
        <v>0</v>
      </c>
      <c r="S469" s="98">
        <f>SUMIFS('Shipments data'!L:L,'Shipments data'!F:F,'Supply planning data'!C469,'Shipments data'!A:A,'Supply planning data'!A469,'Shipments data'!Y:Y,'Supply planning data'!D469,'Shipments data'!O:O,"ordered", 'Shipments data'!N:N, "Public")</f>
        <v>0</v>
      </c>
      <c r="T469" s="98">
        <f>IF(SUMIFS('Shipments data'!L:L,'Shipments data'!F:F,'Supply planning data'!C469,'Shipments data'!A:A,'Supply planning data'!A469,'Shipments data'!O:O,"received",'Shipments data'!Q:Q,"&lt;"&amp;'Supply planning data'!D484,'Shipments data'!AC:AC,"&lt;"&amp;'Supply planning data'!D484)-SUMIFS(M:M,D:D,"&lt;="&amp;D469,C:C,C469)+SUMIFS(N:N,D:D,"&lt;="&amp;D469,C:C,C469)+SUMIFS(P:P,D:D,"&lt;="&amp;D469,C:C,C469)&lt;0,0,SUMIFS('Shipments data'!L:L,'Shipments data'!F:F,'Supply planning data'!C469,'Shipments data'!A:A,'Supply planning data'!A469,'Shipments data'!O:O,"received",'Shipments data'!Q:Q,"&lt;"&amp;'Supply planning data'!D484,'Shipments data'!AC:AC,"&lt;"&amp;'Supply planning data'!D484)-SUMIFS(M:M,D:D,"&lt;="&amp;D469,C:C,C469)+SUMIFS(N:N,D:D,"&lt;="&amp;D469,C:C,C469)+SUMIFS(P:P,D:D,"&lt;="&amp;D469,C:C,C469))</f>
        <v>0</v>
      </c>
      <c r="U469" s="99">
        <f t="shared" si="152"/>
        <v>0</v>
      </c>
      <c r="V469" s="98">
        <f t="shared" si="142"/>
        <v>0</v>
      </c>
      <c r="W469" s="203" t="str">
        <f t="shared" si="140"/>
        <v/>
      </c>
      <c r="X469" s="98">
        <f t="shared" si="153"/>
        <v>0</v>
      </c>
      <c r="Y469" s="97"/>
      <c r="Z469" s="93"/>
      <c r="AA469" s="98">
        <f t="shared" si="146"/>
        <v>0</v>
      </c>
      <c r="AB469" s="233"/>
      <c r="AC469" s="98">
        <f>IF(SUMIFS('Shipments data'!L:L,'Shipments data'!F:F,'Supply planning data'!C469,'Shipments data'!A:A,'Supply planning data'!A469,'Shipments data'!O:O,"received",'Shipments data'!Q:Q,"&lt;"&amp;'Supply planning data'!D484,'Shipments data'!AC:AC,"&lt;"&amp;'Supply planning data'!D484)-SUMIFS(M:M,D:D,"&lt;="&amp;D469,C:C,C469)-SUMIFS(AA:AA,D:D,"&lt;="&amp;D469,C:C,C469)+SUMIFS(N:N,D:D,"&lt;="&amp;D469,C:C,C469)+SUMIFS(P:P,D:D,"&lt;="&amp;D469,C:C,C469)&lt;0,0,SUMIFS('Shipments data'!L:L,'Shipments data'!F:F,'Supply planning data'!C469,'Shipments data'!A:A,'Supply planning data'!A469,'Shipments data'!O:O,"received",'Shipments data'!Q:Q,"&lt;"&amp;'Supply planning data'!D484,'Shipments data'!AC:AC,"&lt;"&amp;'Supply planning data'!D484)-SUMIFS(M:M,D:D,"&lt;="&amp;D469,C:C,C469)-SUMIFS(AA:AA,D:D,"&lt;="&amp;D469,C:C,C469)+SUMIFS(N:N,D:D,"&lt;="&amp;D469,C:C,C469)+SUMIFS(P:P,D:D,"&lt;="&amp;D469,C:C,C469))</f>
        <v>0</v>
      </c>
      <c r="AD469" s="98">
        <f t="shared" si="154"/>
        <v>0</v>
      </c>
      <c r="AE469" s="98">
        <f t="shared" si="148"/>
        <v>0</v>
      </c>
      <c r="AF469" s="205" t="str">
        <f t="shared" si="139"/>
        <v/>
      </c>
      <c r="AG469" s="98">
        <f t="shared" si="155"/>
        <v>0</v>
      </c>
      <c r="AH469" s="97"/>
      <c r="AI469" s="311"/>
      <c r="AJ469" s="98">
        <f t="shared" si="147"/>
        <v>0</v>
      </c>
      <c r="AK469" s="233"/>
      <c r="AL469" s="98">
        <f>IF(SUMIFS('Shipments data'!L:L,'Shipments data'!F:F,'Supply planning data'!C469,'Shipments data'!A:A,'Supply planning data'!A469,'Shipments data'!O:O,"received",'Shipments data'!Q:Q,"&lt;"&amp;'Supply planning data'!D484,'Shipments data'!AC:AC,"&lt;"&amp;'Supply planning data'!D484)-SUMIFS(M:M,D:D,"&lt;="&amp;D469,C:C,C469)-SUMIFS(AJ:AJ,D:D,"&lt;="&amp;D469,C:C,C469)+SUMIFS(N:N,D:D,"&lt;="&amp;D469,C:C,C469)+SUMIFS(P:P,D:D,"&lt;="&amp;D469,C:C,C469)&lt;0,0,SUMIFS('Shipments data'!L:L,'Shipments data'!F:F,'Supply planning data'!C469,'Shipments data'!A:A,'Supply planning data'!A469,'Shipments data'!O:O,"received",'Shipments data'!Q:Q,"&lt;"&amp;'Supply planning data'!D484,'Shipments data'!AC:AC,"&lt;"&amp;'Supply planning data'!D484)-SUMIFS(M:M,D:D,"&lt;="&amp;D469,C:C,C469)-SUMIFS(AJ:AJ,D:D,"&lt;="&amp;D469,C:C,C469)+SUMIFS(N:N,D:D,"&lt;="&amp;D469,C:C,C469)+SUMIFS(P:P,D:D,"&lt;="&amp;D469,C:C,C469))</f>
        <v>0</v>
      </c>
      <c r="AM469" s="98">
        <f t="shared" si="156"/>
        <v>0</v>
      </c>
      <c r="AN469" s="98">
        <f t="shared" si="149"/>
        <v>0</v>
      </c>
      <c r="AO469" s="203" t="str">
        <f t="shared" si="141"/>
        <v/>
      </c>
    </row>
    <row r="470" spans="1:41" x14ac:dyDescent="0.25">
      <c r="A470" s="103" t="str">
        <f>Start!D$7</f>
        <v>Anyland</v>
      </c>
      <c r="B470" s="104" t="str">
        <f>VLOOKUP(A470,list!B:C,2,FALSE)</f>
        <v>ANY</v>
      </c>
      <c r="C470" s="104" t="str">
        <f>IF(Start!$C$17="","",Start!$C$17)</f>
        <v>AstraZeneca</v>
      </c>
      <c r="D470" s="298">
        <f t="shared" si="150"/>
        <v>45139</v>
      </c>
      <c r="E470" s="105" t="str">
        <f>IFERROR(VLOOKUP(C470,Start!C$15:D$31,2,FALSE),"No")</f>
        <v>Yes</v>
      </c>
      <c r="F470" s="105">
        <f t="shared" si="151"/>
        <v>0</v>
      </c>
      <c r="G470" s="106"/>
      <c r="H470" s="106"/>
      <c r="I470" s="106"/>
      <c r="J470" s="105">
        <f t="shared" si="143"/>
        <v>0</v>
      </c>
      <c r="K470" s="106"/>
      <c r="L470" s="177" t="str">
        <f t="shared" si="144"/>
        <v/>
      </c>
      <c r="M470" s="105">
        <f t="shared" si="145"/>
        <v>0</v>
      </c>
      <c r="N470" s="106"/>
      <c r="O470" s="123"/>
      <c r="P470" s="106"/>
      <c r="Q470" s="123"/>
      <c r="R470" s="105">
        <f>SUMIFS('Shipments data'!L:L,'Shipments data'!F:F,'Supply planning data'!C470,'Shipments data'!A:A,'Supply planning data'!A470,'Shipments data'!Y:Y,'Supply planning data'!D470,'Shipments data'!O:O,"received", 'Shipments data'!N:N, "Public")</f>
        <v>0</v>
      </c>
      <c r="S470" s="105">
        <f>SUMIFS('Shipments data'!L:L,'Shipments data'!F:F,'Supply planning data'!C470,'Shipments data'!A:A,'Supply planning data'!A470,'Shipments data'!Y:Y,'Supply planning data'!D470,'Shipments data'!O:O,"ordered", 'Shipments data'!N:N, "Public")</f>
        <v>0</v>
      </c>
      <c r="T470" s="105">
        <f>IF(SUMIFS('Shipments data'!L:L,'Shipments data'!F:F,'Supply planning data'!C470,'Shipments data'!A:A,'Supply planning data'!A470,'Shipments data'!O:O,"received",'Shipments data'!Q:Q,"&lt;"&amp;'Supply planning data'!D485,'Shipments data'!AC:AC,"&lt;"&amp;'Supply planning data'!D485)-SUMIFS(M:M,D:D,"&lt;="&amp;D470,C:C,C470)+SUMIFS(N:N,D:D,"&lt;="&amp;D470,C:C,C470)+SUMIFS(P:P,D:D,"&lt;="&amp;D470,C:C,C470)&lt;0,0,SUMIFS('Shipments data'!L:L,'Shipments data'!F:F,'Supply planning data'!C470,'Shipments data'!A:A,'Supply planning data'!A470,'Shipments data'!O:O,"received",'Shipments data'!Q:Q,"&lt;"&amp;'Supply planning data'!D485,'Shipments data'!AC:AC,"&lt;"&amp;'Supply planning data'!D485)-SUMIFS(M:M,D:D,"&lt;="&amp;D470,C:C,C470)+SUMIFS(N:N,D:D,"&lt;="&amp;D470,C:C,C470)+SUMIFS(P:P,D:D,"&lt;="&amp;D470,C:C,C470))</f>
        <v>0</v>
      </c>
      <c r="U470" s="108">
        <f t="shared" si="152"/>
        <v>0</v>
      </c>
      <c r="V470" s="105">
        <f t="shared" si="142"/>
        <v>0</v>
      </c>
      <c r="W470" s="206" t="str">
        <f t="shared" si="140"/>
        <v/>
      </c>
      <c r="X470" s="105">
        <f t="shared" si="153"/>
        <v>154701</v>
      </c>
      <c r="Y470" s="106"/>
      <c r="Z470" s="107"/>
      <c r="AA470" s="105">
        <f t="shared" si="146"/>
        <v>0</v>
      </c>
      <c r="AB470" s="234"/>
      <c r="AC470" s="105">
        <f>IF(SUMIFS('Shipments data'!L:L,'Shipments data'!F:F,'Supply planning data'!C470,'Shipments data'!A:A,'Supply planning data'!A470,'Shipments data'!O:O,"received",'Shipments data'!Q:Q,"&lt;"&amp;'Supply planning data'!D485,'Shipments data'!AC:AC,"&lt;"&amp;'Supply planning data'!D485)-SUMIFS(M:M,D:D,"&lt;="&amp;D470,C:C,C470)-SUMIFS(AA:AA,D:D,"&lt;="&amp;D470,C:C,C470)+SUMIFS(N:N,D:D,"&lt;="&amp;D470,C:C,C470)+SUMIFS(P:P,D:D,"&lt;="&amp;D470,C:C,C470)&lt;0,0,SUMIFS('Shipments data'!L:L,'Shipments data'!F:F,'Supply planning data'!C470,'Shipments data'!A:A,'Supply planning data'!A470,'Shipments data'!O:O,"received",'Shipments data'!Q:Q,"&lt;"&amp;'Supply planning data'!D485,'Shipments data'!AC:AC,"&lt;"&amp;'Supply planning data'!D485)-SUMIFS(M:M,D:D,"&lt;="&amp;D470,C:C,C470)-SUMIFS(AA:AA,D:D,"&lt;="&amp;D470,C:C,C470)+SUMIFS(N:N,D:D,"&lt;="&amp;D470,C:C,C470)+SUMIFS(P:P,D:D,"&lt;="&amp;D470,C:C,C470))</f>
        <v>0</v>
      </c>
      <c r="AD470" s="105">
        <f t="shared" si="154"/>
        <v>0</v>
      </c>
      <c r="AE470" s="105">
        <f t="shared" si="148"/>
        <v>154701</v>
      </c>
      <c r="AF470" s="206" t="str">
        <f t="shared" si="139"/>
        <v/>
      </c>
      <c r="AG470" s="105">
        <f t="shared" si="155"/>
        <v>0</v>
      </c>
      <c r="AH470" s="106"/>
      <c r="AI470" s="312"/>
      <c r="AJ470" s="105">
        <f t="shared" si="147"/>
        <v>0</v>
      </c>
      <c r="AK470" s="234"/>
      <c r="AL470" s="105">
        <f>IF(SUMIFS('Shipments data'!L:L,'Shipments data'!F:F,'Supply planning data'!C470,'Shipments data'!A:A,'Supply planning data'!A470,'Shipments data'!O:O,"received",'Shipments data'!Q:Q,"&lt;"&amp;'Supply planning data'!D485,'Shipments data'!AC:AC,"&lt;"&amp;'Supply planning data'!D485)-SUMIFS(M:M,D:D,"&lt;="&amp;D470,C:C,C470)-SUMIFS(AJ:AJ,D:D,"&lt;="&amp;D470,C:C,C470)+SUMIFS(N:N,D:D,"&lt;="&amp;D470,C:C,C470)+SUMIFS(P:P,D:D,"&lt;="&amp;D470,C:C,C470)&lt;0,0,SUMIFS('Shipments data'!L:L,'Shipments data'!F:F,'Supply planning data'!C470,'Shipments data'!A:A,'Supply planning data'!A470,'Shipments data'!O:O,"received",'Shipments data'!Q:Q,"&lt;"&amp;'Supply planning data'!D485,'Shipments data'!AC:AC,"&lt;"&amp;'Supply planning data'!D485)-SUMIFS(M:M,D:D,"&lt;="&amp;D470,C:C,C470)-SUMIFS(AJ:AJ,D:D,"&lt;="&amp;D470,C:C,C470)+SUMIFS(N:N,D:D,"&lt;="&amp;D470,C:C,C470)+SUMIFS(P:P,D:D,"&lt;="&amp;D470,C:C,C470))</f>
        <v>0</v>
      </c>
      <c r="AM470" s="105">
        <f t="shared" si="156"/>
        <v>0</v>
      </c>
      <c r="AN470" s="105">
        <f t="shared" si="149"/>
        <v>0</v>
      </c>
      <c r="AO470" s="206" t="str">
        <f t="shared" si="141"/>
        <v/>
      </c>
    </row>
    <row r="471" spans="1:41" x14ac:dyDescent="0.25">
      <c r="A471" s="103" t="str">
        <f>Start!D$7</f>
        <v>Anyland</v>
      </c>
      <c r="B471" s="109" t="str">
        <f>VLOOKUP(A471,list!B:C,2,FALSE)</f>
        <v>ANY</v>
      </c>
      <c r="C471" s="109" t="str">
        <f>IF(Start!$C$18="","",Start!$C$18)</f>
        <v>Jansen</v>
      </c>
      <c r="D471" s="298">
        <f t="shared" si="150"/>
        <v>45139</v>
      </c>
      <c r="E471" s="105" t="str">
        <f>IFERROR(VLOOKUP(C471,Start!C$15:D$31,2,FALSE),"No")</f>
        <v>Yes</v>
      </c>
      <c r="F471" s="105">
        <f t="shared" si="151"/>
        <v>2258747</v>
      </c>
      <c r="G471" s="106"/>
      <c r="H471" s="106"/>
      <c r="I471" s="106"/>
      <c r="J471" s="105">
        <f t="shared" si="143"/>
        <v>0</v>
      </c>
      <c r="K471" s="106"/>
      <c r="L471" s="177" t="str">
        <f t="shared" si="144"/>
        <v/>
      </c>
      <c r="M471" s="105">
        <f t="shared" si="145"/>
        <v>0</v>
      </c>
      <c r="N471" s="110"/>
      <c r="O471" s="124"/>
      <c r="P471" s="110"/>
      <c r="Q471" s="124"/>
      <c r="R471" s="111">
        <f>SUMIFS('Shipments data'!L:L,'Shipments data'!F:F,'Supply planning data'!C471,'Shipments data'!A:A,'Supply planning data'!A471,'Shipments data'!Y:Y,'Supply planning data'!D471,'Shipments data'!O:O,"received", 'Shipments data'!N:N, "Public")</f>
        <v>0</v>
      </c>
      <c r="S471" s="111">
        <f>SUMIFS('Shipments data'!L:L,'Shipments data'!F:F,'Supply planning data'!C471,'Shipments data'!A:A,'Supply planning data'!A471,'Shipments data'!Y:Y,'Supply planning data'!D471,'Shipments data'!O:O,"ordered", 'Shipments data'!N:N, "Public")</f>
        <v>0</v>
      </c>
      <c r="T471" s="111">
        <f>IF(SUMIFS('Shipments data'!L:L,'Shipments data'!F:F,'Supply planning data'!C471,'Shipments data'!A:A,'Supply planning data'!A471,'Shipments data'!O:O,"received",'Shipments data'!Q:Q,"&lt;"&amp;'Supply planning data'!D486,'Shipments data'!AC:AC,"&lt;"&amp;'Supply planning data'!D486)-SUMIFS(M:M,D:D,"&lt;="&amp;D471,C:C,C471)+SUMIFS(N:N,D:D,"&lt;="&amp;D471,C:C,C471)+SUMIFS(P:P,D:D,"&lt;="&amp;D471,C:C,C471)&lt;0,0,SUMIFS('Shipments data'!L:L,'Shipments data'!F:F,'Supply planning data'!C471,'Shipments data'!A:A,'Supply planning data'!A471,'Shipments data'!O:O,"received",'Shipments data'!Q:Q,"&lt;"&amp;'Supply planning data'!D486,'Shipments data'!AC:AC,"&lt;"&amp;'Supply planning data'!D486)-SUMIFS(M:M,D:D,"&lt;="&amp;D471,C:C,C471)+SUMIFS(N:N,D:D,"&lt;="&amp;D471,C:C,C471)+SUMIFS(P:P,D:D,"&lt;="&amp;D471,C:C,C471))</f>
        <v>0</v>
      </c>
      <c r="U471" s="112">
        <f t="shared" si="152"/>
        <v>0</v>
      </c>
      <c r="V471" s="111">
        <f t="shared" si="142"/>
        <v>2258747</v>
      </c>
      <c r="W471" s="204" t="str">
        <f t="shared" si="140"/>
        <v/>
      </c>
      <c r="X471" s="111">
        <f t="shared" si="153"/>
        <v>1698747</v>
      </c>
      <c r="Y471" s="110"/>
      <c r="Z471" s="107"/>
      <c r="AA471" s="111">
        <f t="shared" si="146"/>
        <v>0</v>
      </c>
      <c r="AB471" s="235"/>
      <c r="AC471" s="111">
        <f>IF(SUMIFS('Shipments data'!L:L,'Shipments data'!F:F,'Supply planning data'!C471,'Shipments data'!A:A,'Supply planning data'!A471,'Shipments data'!O:O,"received",'Shipments data'!Q:Q,"&lt;"&amp;'Supply planning data'!D486,'Shipments data'!AC:AC,"&lt;"&amp;'Supply planning data'!D486)-SUMIFS(M:M,D:D,"&lt;="&amp;D471,C:C,C471)-SUMIFS(AA:AA,D:D,"&lt;="&amp;D471,C:C,C471)+SUMIFS(N:N,D:D,"&lt;="&amp;D471,C:C,C471)+SUMIFS(P:P,D:D,"&lt;="&amp;D471,C:C,C471)&lt;0,0,SUMIFS('Shipments data'!L:L,'Shipments data'!F:F,'Supply planning data'!C471,'Shipments data'!A:A,'Supply planning data'!A471,'Shipments data'!O:O,"received",'Shipments data'!Q:Q,"&lt;"&amp;'Supply planning data'!D486,'Shipments data'!AC:AC,"&lt;"&amp;'Supply planning data'!D486)-SUMIFS(M:M,D:D,"&lt;="&amp;D471,C:C,C471)-SUMIFS(AA:AA,D:D,"&lt;="&amp;D471,C:C,C471)+SUMIFS(N:N,D:D,"&lt;="&amp;D471,C:C,C471)+SUMIFS(P:P,D:D,"&lt;="&amp;D471,C:C,C471))</f>
        <v>0</v>
      </c>
      <c r="AD471" s="111">
        <f t="shared" si="154"/>
        <v>0</v>
      </c>
      <c r="AE471" s="111">
        <f t="shared" si="148"/>
        <v>1698747</v>
      </c>
      <c r="AF471" s="204" t="str">
        <f t="shared" si="139"/>
        <v/>
      </c>
      <c r="AG471" s="111">
        <f t="shared" si="155"/>
        <v>2258747</v>
      </c>
      <c r="AH471" s="110"/>
      <c r="AI471" s="313"/>
      <c r="AJ471" s="111">
        <f t="shared" si="147"/>
        <v>0</v>
      </c>
      <c r="AK471" s="235"/>
      <c r="AL471" s="111">
        <f>IF(SUMIFS('Shipments data'!L:L,'Shipments data'!F:F,'Supply planning data'!C471,'Shipments data'!A:A,'Supply planning data'!A471,'Shipments data'!O:O,"received",'Shipments data'!Q:Q,"&lt;"&amp;'Supply planning data'!D486,'Shipments data'!AC:AC,"&lt;"&amp;'Supply planning data'!D486)-SUMIFS(M:M,D:D,"&lt;="&amp;D471,C:C,C471)-SUMIFS(AJ:AJ,D:D,"&lt;="&amp;D471,C:C,C471)+SUMIFS(N:N,D:D,"&lt;="&amp;D471,C:C,C471)+SUMIFS(P:P,D:D,"&lt;="&amp;D471,C:C,C471)&lt;0,0,SUMIFS('Shipments data'!L:L,'Shipments data'!F:F,'Supply planning data'!C471,'Shipments data'!A:A,'Supply planning data'!A471,'Shipments data'!O:O,"received",'Shipments data'!Q:Q,"&lt;"&amp;'Supply planning data'!D486,'Shipments data'!AC:AC,"&lt;"&amp;'Supply planning data'!D486)-SUMIFS(M:M,D:D,"&lt;="&amp;D471,C:C,C471)-SUMIFS(AJ:AJ,D:D,"&lt;="&amp;D471,C:C,C471)+SUMIFS(N:N,D:D,"&lt;="&amp;D471,C:C,C471)+SUMIFS(P:P,D:D,"&lt;="&amp;D471,C:C,C471))</f>
        <v>0</v>
      </c>
      <c r="AM471" s="111">
        <f t="shared" si="156"/>
        <v>0</v>
      </c>
      <c r="AN471" s="111">
        <f t="shared" si="149"/>
        <v>2258747</v>
      </c>
      <c r="AO471" s="204" t="str">
        <f t="shared" si="141"/>
        <v/>
      </c>
    </row>
    <row r="472" spans="1:41" x14ac:dyDescent="0.25">
      <c r="A472" s="103" t="str">
        <f>Start!D$7</f>
        <v>Anyland</v>
      </c>
      <c r="B472" s="109" t="str">
        <f>VLOOKUP(A472,list!B:C,2,FALSE)</f>
        <v>ANY</v>
      </c>
      <c r="C472" s="104" t="str">
        <f>IF(Start!$C$19="","",Start!$C$19)</f>
        <v>Moderna</v>
      </c>
      <c r="D472" s="298">
        <f t="shared" si="150"/>
        <v>45139</v>
      </c>
      <c r="E472" s="105" t="str">
        <f>IFERROR(VLOOKUP(C472,Start!C$15:D$31,2,FALSE),"No")</f>
        <v>No</v>
      </c>
      <c r="F472" s="105">
        <f t="shared" si="151"/>
        <v>0</v>
      </c>
      <c r="G472" s="106"/>
      <c r="H472" s="106"/>
      <c r="I472" s="106"/>
      <c r="J472" s="105">
        <f t="shared" si="143"/>
        <v>0</v>
      </c>
      <c r="K472" s="106"/>
      <c r="L472" s="177" t="str">
        <f t="shared" si="144"/>
        <v/>
      </c>
      <c r="M472" s="105">
        <f t="shared" si="145"/>
        <v>0</v>
      </c>
      <c r="N472" s="110"/>
      <c r="O472" s="124"/>
      <c r="P472" s="110"/>
      <c r="Q472" s="124"/>
      <c r="R472" s="111">
        <f>SUMIFS('Shipments data'!L:L,'Shipments data'!F:F,'Supply planning data'!C472,'Shipments data'!A:A,'Supply planning data'!A472,'Shipments data'!Y:Y,'Supply planning data'!D472,'Shipments data'!O:O,"received", 'Shipments data'!N:N, "Public")</f>
        <v>0</v>
      </c>
      <c r="S472" s="111">
        <f>SUMIFS('Shipments data'!L:L,'Shipments data'!F:F,'Supply planning data'!C472,'Shipments data'!A:A,'Supply planning data'!A472,'Shipments data'!Y:Y,'Supply planning data'!D472,'Shipments data'!O:O,"ordered", 'Shipments data'!N:N, "Public")</f>
        <v>0</v>
      </c>
      <c r="T472" s="111">
        <f>IF(SUMIFS('Shipments data'!L:L,'Shipments data'!F:F,'Supply planning data'!C472,'Shipments data'!A:A,'Supply planning data'!A472,'Shipments data'!O:O,"received",'Shipments data'!Q:Q,"&lt;"&amp;'Supply planning data'!D487,'Shipments data'!AC:AC,"&lt;"&amp;'Supply planning data'!D487)-SUMIFS(M:M,D:D,"&lt;="&amp;D472,C:C,C472)+SUMIFS(N:N,D:D,"&lt;="&amp;D472,C:C,C472)+SUMIFS(P:P,D:D,"&lt;="&amp;D472,C:C,C472)&lt;0,0,SUMIFS('Shipments data'!L:L,'Shipments data'!F:F,'Supply planning data'!C472,'Shipments data'!A:A,'Supply planning data'!A472,'Shipments data'!O:O,"received",'Shipments data'!Q:Q,"&lt;"&amp;'Supply planning data'!D487,'Shipments data'!AC:AC,"&lt;"&amp;'Supply planning data'!D487)-SUMIFS(M:M,D:D,"&lt;="&amp;D472,C:C,C472)+SUMIFS(N:N,D:D,"&lt;="&amp;D472,C:C,C472)+SUMIFS(P:P,D:D,"&lt;="&amp;D472,C:C,C472))</f>
        <v>0</v>
      </c>
      <c r="U472" s="112">
        <f t="shared" si="152"/>
        <v>0</v>
      </c>
      <c r="V472" s="111">
        <f t="shared" si="142"/>
        <v>0</v>
      </c>
      <c r="W472" s="204" t="str">
        <f t="shared" si="140"/>
        <v/>
      </c>
      <c r="X472" s="111">
        <f t="shared" si="153"/>
        <v>0</v>
      </c>
      <c r="Y472" s="110"/>
      <c r="Z472" s="107"/>
      <c r="AA472" s="111">
        <f t="shared" si="146"/>
        <v>0</v>
      </c>
      <c r="AB472" s="235"/>
      <c r="AC472" s="111">
        <f>IF(SUMIFS('Shipments data'!L:L,'Shipments data'!F:F,'Supply planning data'!C472,'Shipments data'!A:A,'Supply planning data'!A472,'Shipments data'!O:O,"received",'Shipments data'!Q:Q,"&lt;"&amp;'Supply planning data'!D487,'Shipments data'!AC:AC,"&lt;"&amp;'Supply planning data'!D487)-SUMIFS(M:M,D:D,"&lt;="&amp;D472,C:C,C472)-SUMIFS(AA:AA,D:D,"&lt;="&amp;D472,C:C,C472)+SUMIFS(N:N,D:D,"&lt;="&amp;D472,C:C,C472)+SUMIFS(P:P,D:D,"&lt;="&amp;D472,C:C,C472)&lt;0,0,SUMIFS('Shipments data'!L:L,'Shipments data'!F:F,'Supply planning data'!C472,'Shipments data'!A:A,'Supply planning data'!A472,'Shipments data'!O:O,"received",'Shipments data'!Q:Q,"&lt;"&amp;'Supply planning data'!D487,'Shipments data'!AC:AC,"&lt;"&amp;'Supply planning data'!D487)-SUMIFS(M:M,D:D,"&lt;="&amp;D472,C:C,C472)-SUMIFS(AA:AA,D:D,"&lt;="&amp;D472,C:C,C472)+SUMIFS(N:N,D:D,"&lt;="&amp;D472,C:C,C472)+SUMIFS(P:P,D:D,"&lt;="&amp;D472,C:C,C472))</f>
        <v>0</v>
      </c>
      <c r="AD472" s="111">
        <f t="shared" si="154"/>
        <v>0</v>
      </c>
      <c r="AE472" s="111">
        <f t="shared" si="148"/>
        <v>0</v>
      </c>
      <c r="AF472" s="204" t="str">
        <f t="shared" si="139"/>
        <v/>
      </c>
      <c r="AG472" s="111">
        <f t="shared" si="155"/>
        <v>0</v>
      </c>
      <c r="AH472" s="110"/>
      <c r="AI472" s="313"/>
      <c r="AJ472" s="111">
        <f t="shared" si="147"/>
        <v>0</v>
      </c>
      <c r="AK472" s="235"/>
      <c r="AL472" s="111">
        <f>IF(SUMIFS('Shipments data'!L:L,'Shipments data'!F:F,'Supply planning data'!C472,'Shipments data'!A:A,'Supply planning data'!A472,'Shipments data'!O:O,"received",'Shipments data'!Q:Q,"&lt;"&amp;'Supply planning data'!D487,'Shipments data'!AC:AC,"&lt;"&amp;'Supply planning data'!D487)-SUMIFS(M:M,D:D,"&lt;="&amp;D472,C:C,C472)-SUMIFS(AJ:AJ,D:D,"&lt;="&amp;D472,C:C,C472)+SUMIFS(N:N,D:D,"&lt;="&amp;D472,C:C,C472)+SUMIFS(P:P,D:D,"&lt;="&amp;D472,C:C,C472)&lt;0,0,SUMIFS('Shipments data'!L:L,'Shipments data'!F:F,'Supply planning data'!C472,'Shipments data'!A:A,'Supply planning data'!A472,'Shipments data'!O:O,"received",'Shipments data'!Q:Q,"&lt;"&amp;'Supply planning data'!D487,'Shipments data'!AC:AC,"&lt;"&amp;'Supply planning data'!D487)-SUMIFS(M:M,D:D,"&lt;="&amp;D472,C:C,C472)-SUMIFS(AJ:AJ,D:D,"&lt;="&amp;D472,C:C,C472)+SUMIFS(N:N,D:D,"&lt;="&amp;D472,C:C,C472)+SUMIFS(P:P,D:D,"&lt;="&amp;D472,C:C,C472))</f>
        <v>0</v>
      </c>
      <c r="AM472" s="111">
        <f t="shared" si="156"/>
        <v>0</v>
      </c>
      <c r="AN472" s="111">
        <f t="shared" si="149"/>
        <v>0</v>
      </c>
      <c r="AO472" s="204" t="str">
        <f t="shared" si="141"/>
        <v/>
      </c>
    </row>
    <row r="473" spans="1:41" x14ac:dyDescent="0.25">
      <c r="A473" s="103" t="str">
        <f>Start!D$7</f>
        <v>Anyland</v>
      </c>
      <c r="B473" s="109" t="str">
        <f>VLOOKUP(A473,list!B:C,2,FALSE)</f>
        <v>ANY</v>
      </c>
      <c r="C473" s="109" t="str">
        <f>IF(Start!$C$20="","",Start!$C$20)</f>
        <v>Pfizer</v>
      </c>
      <c r="D473" s="298">
        <f t="shared" si="150"/>
        <v>45139</v>
      </c>
      <c r="E473" s="105" t="str">
        <f>IFERROR(VLOOKUP(C473,Start!C$15:D$31,2,FALSE),"No")</f>
        <v>Yes</v>
      </c>
      <c r="F473" s="105">
        <f t="shared" si="151"/>
        <v>3000000</v>
      </c>
      <c r="G473" s="106"/>
      <c r="H473" s="106"/>
      <c r="I473" s="106"/>
      <c r="J473" s="105">
        <f t="shared" si="143"/>
        <v>0</v>
      </c>
      <c r="K473" s="106"/>
      <c r="L473" s="177" t="str">
        <f t="shared" si="144"/>
        <v/>
      </c>
      <c r="M473" s="105">
        <f t="shared" si="145"/>
        <v>0</v>
      </c>
      <c r="N473" s="110"/>
      <c r="O473" s="124"/>
      <c r="P473" s="110"/>
      <c r="Q473" s="124"/>
      <c r="R473" s="111">
        <f>SUMIFS('Shipments data'!L:L,'Shipments data'!F:F,'Supply planning data'!C473,'Shipments data'!A:A,'Supply planning data'!A473,'Shipments data'!Y:Y,'Supply planning data'!D473,'Shipments data'!O:O,"received", 'Shipments data'!N:N, "Public")</f>
        <v>0</v>
      </c>
      <c r="S473" s="111">
        <f>SUMIFS('Shipments data'!L:L,'Shipments data'!F:F,'Supply planning data'!C473,'Shipments data'!A:A,'Supply planning data'!A473,'Shipments data'!Y:Y,'Supply planning data'!D473,'Shipments data'!O:O,"ordered", 'Shipments data'!N:N, "Public")</f>
        <v>0</v>
      </c>
      <c r="T473" s="111">
        <f>IF(SUMIFS('Shipments data'!L:L,'Shipments data'!F:F,'Supply planning data'!C473,'Shipments data'!A:A,'Supply planning data'!A473,'Shipments data'!O:O,"received",'Shipments data'!Q:Q,"&lt;"&amp;'Supply planning data'!D488,'Shipments data'!AC:AC,"&lt;"&amp;'Supply planning data'!D488)-SUMIFS(M:M,D:D,"&lt;="&amp;D473,C:C,C473)+SUMIFS(N:N,D:D,"&lt;="&amp;D473,C:C,C473)+SUMIFS(P:P,D:D,"&lt;="&amp;D473,C:C,C473)&lt;0,0,SUMIFS('Shipments data'!L:L,'Shipments data'!F:F,'Supply planning data'!C473,'Shipments data'!A:A,'Supply planning data'!A473,'Shipments data'!O:O,"received",'Shipments data'!Q:Q,"&lt;"&amp;'Supply planning data'!D488,'Shipments data'!AC:AC,"&lt;"&amp;'Supply planning data'!D488)-SUMIFS(M:M,D:D,"&lt;="&amp;D473,C:C,C473)+SUMIFS(N:N,D:D,"&lt;="&amp;D473,C:C,C473)+SUMIFS(P:P,D:D,"&lt;="&amp;D473,C:C,C473))</f>
        <v>110538</v>
      </c>
      <c r="U473" s="112">
        <f t="shared" si="152"/>
        <v>0</v>
      </c>
      <c r="V473" s="111">
        <f t="shared" si="142"/>
        <v>3000000</v>
      </c>
      <c r="W473" s="204" t="str">
        <f t="shared" si="140"/>
        <v/>
      </c>
      <c r="X473" s="111">
        <f t="shared" si="153"/>
        <v>2440000</v>
      </c>
      <c r="Y473" s="110"/>
      <c r="Z473" s="107"/>
      <c r="AA473" s="111">
        <f t="shared" si="146"/>
        <v>0</v>
      </c>
      <c r="AB473" s="235"/>
      <c r="AC473" s="111">
        <f>IF(SUMIFS('Shipments data'!L:L,'Shipments data'!F:F,'Supply planning data'!C473,'Shipments data'!A:A,'Supply planning data'!A473,'Shipments data'!O:O,"received",'Shipments data'!Q:Q,"&lt;"&amp;'Supply planning data'!D488,'Shipments data'!AC:AC,"&lt;"&amp;'Supply planning data'!D488)-SUMIFS(M:M,D:D,"&lt;="&amp;D473,C:C,C473)-SUMIFS(AA:AA,D:D,"&lt;="&amp;D473,C:C,C473)+SUMIFS(N:N,D:D,"&lt;="&amp;D473,C:C,C473)+SUMIFS(P:P,D:D,"&lt;="&amp;D473,C:C,C473)&lt;0,0,SUMIFS('Shipments data'!L:L,'Shipments data'!F:F,'Supply planning data'!C473,'Shipments data'!A:A,'Supply planning data'!A473,'Shipments data'!O:O,"received",'Shipments data'!Q:Q,"&lt;"&amp;'Supply planning data'!D488,'Shipments data'!AC:AC,"&lt;"&amp;'Supply planning data'!D488)-SUMIFS(M:M,D:D,"&lt;="&amp;D473,C:C,C473)-SUMIFS(AA:AA,D:D,"&lt;="&amp;D473,C:C,C473)+SUMIFS(N:N,D:D,"&lt;="&amp;D473,C:C,C473)+SUMIFS(P:P,D:D,"&lt;="&amp;D473,C:C,C473))</f>
        <v>0</v>
      </c>
      <c r="AD473" s="111">
        <f t="shared" si="154"/>
        <v>0</v>
      </c>
      <c r="AE473" s="111">
        <f t="shared" si="148"/>
        <v>2440000</v>
      </c>
      <c r="AF473" s="204" t="str">
        <f t="shared" si="139"/>
        <v/>
      </c>
      <c r="AG473" s="111">
        <f t="shared" si="155"/>
        <v>3000000</v>
      </c>
      <c r="AH473" s="110"/>
      <c r="AI473" s="313"/>
      <c r="AJ473" s="111">
        <f t="shared" si="147"/>
        <v>0</v>
      </c>
      <c r="AK473" s="235"/>
      <c r="AL473" s="111">
        <f>IF(SUMIFS('Shipments data'!L:L,'Shipments data'!F:F,'Supply planning data'!C473,'Shipments data'!A:A,'Supply planning data'!A473,'Shipments data'!O:O,"received",'Shipments data'!Q:Q,"&lt;"&amp;'Supply planning data'!D488,'Shipments data'!AC:AC,"&lt;"&amp;'Supply planning data'!D488)-SUMIFS(M:M,D:D,"&lt;="&amp;D473,C:C,C473)-SUMIFS(AJ:AJ,D:D,"&lt;="&amp;D473,C:C,C473)+SUMIFS(N:N,D:D,"&lt;="&amp;D473,C:C,C473)+SUMIFS(P:P,D:D,"&lt;="&amp;D473,C:C,C473)&lt;0,0,SUMIFS('Shipments data'!L:L,'Shipments data'!F:F,'Supply planning data'!C473,'Shipments data'!A:A,'Supply planning data'!A473,'Shipments data'!O:O,"received",'Shipments data'!Q:Q,"&lt;"&amp;'Supply planning data'!D488,'Shipments data'!AC:AC,"&lt;"&amp;'Supply planning data'!D488)-SUMIFS(M:M,D:D,"&lt;="&amp;D473,C:C,C473)-SUMIFS(AJ:AJ,D:D,"&lt;="&amp;D473,C:C,C473)+SUMIFS(N:N,D:D,"&lt;="&amp;D473,C:C,C473)+SUMIFS(P:P,D:D,"&lt;="&amp;D473,C:C,C473))</f>
        <v>110538</v>
      </c>
      <c r="AM473" s="111">
        <f t="shared" si="156"/>
        <v>0</v>
      </c>
      <c r="AN473" s="111">
        <f t="shared" si="149"/>
        <v>3000000</v>
      </c>
      <c r="AO473" s="204" t="str">
        <f t="shared" si="141"/>
        <v/>
      </c>
    </row>
    <row r="474" spans="1:41" x14ac:dyDescent="0.25">
      <c r="A474" s="103" t="str">
        <f>Start!D$7</f>
        <v>Anyland</v>
      </c>
      <c r="B474" s="109" t="str">
        <f>VLOOKUP(A474,list!B:C,2,FALSE)</f>
        <v>ANY</v>
      </c>
      <c r="C474" s="104" t="str">
        <f>IF(Start!$C$21="","",Start!$C$21)</f>
        <v>Sinovac</v>
      </c>
      <c r="D474" s="298">
        <f t="shared" si="150"/>
        <v>45139</v>
      </c>
      <c r="E474" s="105" t="str">
        <f>IFERROR(VLOOKUP(C474,Start!C$15:D$31,2,FALSE),"No")</f>
        <v>No</v>
      </c>
      <c r="F474" s="105">
        <f t="shared" si="151"/>
        <v>0</v>
      </c>
      <c r="G474" s="106"/>
      <c r="H474" s="106"/>
      <c r="I474" s="106"/>
      <c r="J474" s="105">
        <f t="shared" si="143"/>
        <v>0</v>
      </c>
      <c r="K474" s="106"/>
      <c r="L474" s="177" t="str">
        <f t="shared" si="144"/>
        <v/>
      </c>
      <c r="M474" s="105">
        <f t="shared" si="145"/>
        <v>0</v>
      </c>
      <c r="N474" s="110"/>
      <c r="O474" s="124"/>
      <c r="P474" s="110"/>
      <c r="Q474" s="124"/>
      <c r="R474" s="111">
        <f>SUMIFS('Shipments data'!L:L,'Shipments data'!F:F,'Supply planning data'!C474,'Shipments data'!A:A,'Supply planning data'!A474,'Shipments data'!Y:Y,'Supply planning data'!D474,'Shipments data'!O:O,"received", 'Shipments data'!N:N, "Public")</f>
        <v>0</v>
      </c>
      <c r="S474" s="111">
        <f>SUMIFS('Shipments data'!L:L,'Shipments data'!F:F,'Supply planning data'!C474,'Shipments data'!A:A,'Supply planning data'!A474,'Shipments data'!Y:Y,'Supply planning data'!D474,'Shipments data'!O:O,"ordered", 'Shipments data'!N:N, "Public")</f>
        <v>0</v>
      </c>
      <c r="T474" s="111">
        <f>IF(SUMIFS('Shipments data'!L:L,'Shipments data'!F:F,'Supply planning data'!C474,'Shipments data'!A:A,'Supply planning data'!A474,'Shipments data'!O:O,"received",'Shipments data'!Q:Q,"&lt;"&amp;'Supply planning data'!D489,'Shipments data'!AC:AC,"&lt;"&amp;'Supply planning data'!D489)-SUMIFS(M:M,D:D,"&lt;="&amp;D474,C:C,C474)+SUMIFS(N:N,D:D,"&lt;="&amp;D474,C:C,C474)+SUMIFS(P:P,D:D,"&lt;="&amp;D474,C:C,C474)&lt;0,0,SUMIFS('Shipments data'!L:L,'Shipments data'!F:F,'Supply planning data'!C474,'Shipments data'!A:A,'Supply planning data'!A474,'Shipments data'!O:O,"received",'Shipments data'!Q:Q,"&lt;"&amp;'Supply planning data'!D489,'Shipments data'!AC:AC,"&lt;"&amp;'Supply planning data'!D489)-SUMIFS(M:M,D:D,"&lt;="&amp;D474,C:C,C474)+SUMIFS(N:N,D:D,"&lt;="&amp;D474,C:C,C474)+SUMIFS(P:P,D:D,"&lt;="&amp;D474,C:C,C474))</f>
        <v>0</v>
      </c>
      <c r="U474" s="112">
        <f t="shared" si="152"/>
        <v>0</v>
      </c>
      <c r="V474" s="111">
        <f t="shared" si="142"/>
        <v>0</v>
      </c>
      <c r="W474" s="204" t="str">
        <f t="shared" si="140"/>
        <v/>
      </c>
      <c r="X474" s="111">
        <f t="shared" si="153"/>
        <v>0</v>
      </c>
      <c r="Y474" s="110"/>
      <c r="Z474" s="107"/>
      <c r="AA474" s="111">
        <f t="shared" si="146"/>
        <v>0</v>
      </c>
      <c r="AB474" s="235"/>
      <c r="AC474" s="111">
        <f>IF(SUMIFS('Shipments data'!L:L,'Shipments data'!F:F,'Supply planning data'!C474,'Shipments data'!A:A,'Supply planning data'!A474,'Shipments data'!O:O,"received",'Shipments data'!Q:Q,"&lt;"&amp;'Supply planning data'!D489,'Shipments data'!AC:AC,"&lt;"&amp;'Supply planning data'!D489)-SUMIFS(M:M,D:D,"&lt;="&amp;D474,C:C,C474)-SUMIFS(AA:AA,D:D,"&lt;="&amp;D474,C:C,C474)+SUMIFS(N:N,D:D,"&lt;="&amp;D474,C:C,C474)+SUMIFS(P:P,D:D,"&lt;="&amp;D474,C:C,C474)&lt;0,0,SUMIFS('Shipments data'!L:L,'Shipments data'!F:F,'Supply planning data'!C474,'Shipments data'!A:A,'Supply planning data'!A474,'Shipments data'!O:O,"received",'Shipments data'!Q:Q,"&lt;"&amp;'Supply planning data'!D489,'Shipments data'!AC:AC,"&lt;"&amp;'Supply planning data'!D489)-SUMIFS(M:M,D:D,"&lt;="&amp;D474,C:C,C474)-SUMIFS(AA:AA,D:D,"&lt;="&amp;D474,C:C,C474)+SUMIFS(N:N,D:D,"&lt;="&amp;D474,C:C,C474)+SUMIFS(P:P,D:D,"&lt;="&amp;D474,C:C,C474))</f>
        <v>0</v>
      </c>
      <c r="AD474" s="111">
        <f t="shared" si="154"/>
        <v>0</v>
      </c>
      <c r="AE474" s="111">
        <f t="shared" si="148"/>
        <v>0</v>
      </c>
      <c r="AF474" s="204" t="str">
        <f t="shared" si="139"/>
        <v/>
      </c>
      <c r="AG474" s="111">
        <f t="shared" si="155"/>
        <v>0</v>
      </c>
      <c r="AH474" s="110"/>
      <c r="AI474" s="313"/>
      <c r="AJ474" s="111">
        <f t="shared" si="147"/>
        <v>0</v>
      </c>
      <c r="AK474" s="235"/>
      <c r="AL474" s="111">
        <f>IF(SUMIFS('Shipments data'!L:L,'Shipments data'!F:F,'Supply planning data'!C474,'Shipments data'!A:A,'Supply planning data'!A474,'Shipments data'!O:O,"received",'Shipments data'!Q:Q,"&lt;"&amp;'Supply planning data'!D489,'Shipments data'!AC:AC,"&lt;"&amp;'Supply planning data'!D489)-SUMIFS(M:M,D:D,"&lt;="&amp;D474,C:C,C474)-SUMIFS(AJ:AJ,D:D,"&lt;="&amp;D474,C:C,C474)+SUMIFS(N:N,D:D,"&lt;="&amp;D474,C:C,C474)+SUMIFS(P:P,D:D,"&lt;="&amp;D474,C:C,C474)&lt;0,0,SUMIFS('Shipments data'!L:L,'Shipments data'!F:F,'Supply planning data'!C474,'Shipments data'!A:A,'Supply planning data'!A474,'Shipments data'!O:O,"received",'Shipments data'!Q:Q,"&lt;"&amp;'Supply planning data'!D489,'Shipments data'!AC:AC,"&lt;"&amp;'Supply planning data'!D489)-SUMIFS(M:M,D:D,"&lt;="&amp;D474,C:C,C474)-SUMIFS(AJ:AJ,D:D,"&lt;="&amp;D474,C:C,C474)+SUMIFS(N:N,D:D,"&lt;="&amp;D474,C:C,C474)+SUMIFS(P:P,D:D,"&lt;="&amp;D474,C:C,C474))</f>
        <v>0</v>
      </c>
      <c r="AM474" s="111">
        <f t="shared" si="156"/>
        <v>0</v>
      </c>
      <c r="AN474" s="111">
        <f t="shared" si="149"/>
        <v>0</v>
      </c>
      <c r="AO474" s="204" t="str">
        <f t="shared" si="141"/>
        <v/>
      </c>
    </row>
    <row r="475" spans="1:41" hidden="1" x14ac:dyDescent="0.25">
      <c r="A475" s="103" t="str">
        <f>Start!D$7</f>
        <v>Anyland</v>
      </c>
      <c r="B475" s="109" t="str">
        <f>VLOOKUP(A475,list!B:C,2,FALSE)</f>
        <v>ANY</v>
      </c>
      <c r="C475" s="109" t="str">
        <f>IF(Start!$C$22="","",Start!$C$22)</f>
        <v/>
      </c>
      <c r="D475" s="298">
        <f t="shared" si="150"/>
        <v>45139</v>
      </c>
      <c r="E475" s="105" t="str">
        <f>IFERROR(VLOOKUP(C475,Start!C$15:D$31,2,FALSE),"No")</f>
        <v>No</v>
      </c>
      <c r="F475" s="105">
        <f t="shared" si="151"/>
        <v>0</v>
      </c>
      <c r="G475" s="106"/>
      <c r="H475" s="106"/>
      <c r="I475" s="106"/>
      <c r="J475" s="105">
        <f t="shared" si="143"/>
        <v>0</v>
      </c>
      <c r="K475" s="106"/>
      <c r="L475" s="177" t="str">
        <f t="shared" si="144"/>
        <v/>
      </c>
      <c r="M475" s="105">
        <f t="shared" si="145"/>
        <v>0</v>
      </c>
      <c r="N475" s="110"/>
      <c r="O475" s="124"/>
      <c r="P475" s="110"/>
      <c r="Q475" s="124"/>
      <c r="R475" s="111">
        <f>SUMIFS('Shipments data'!L:L,'Shipments data'!F:F,'Supply planning data'!C475,'Shipments data'!A:A,'Supply planning data'!A475,'Shipments data'!Y:Y,'Supply planning data'!D475,'Shipments data'!O:O,"received", 'Shipments data'!N:N, "Public")</f>
        <v>0</v>
      </c>
      <c r="S475" s="111">
        <f>SUMIFS('Shipments data'!L:L,'Shipments data'!F:F,'Supply planning data'!C475,'Shipments data'!A:A,'Supply planning data'!A475,'Shipments data'!Y:Y,'Supply planning data'!D475,'Shipments data'!O:O,"ordered", 'Shipments data'!N:N, "Public")</f>
        <v>0</v>
      </c>
      <c r="T475" s="111">
        <f>IF(SUMIFS('Shipments data'!L:L,'Shipments data'!F:F,'Supply planning data'!C475,'Shipments data'!A:A,'Supply planning data'!A475,'Shipments data'!O:O,"received",'Shipments data'!Q:Q,"&lt;"&amp;'Supply planning data'!D490,'Shipments data'!AC:AC,"&lt;"&amp;'Supply planning data'!D490)-SUMIFS(M:M,D:D,"&lt;="&amp;D475,C:C,C475)+SUMIFS(N:N,D:D,"&lt;="&amp;D475,C:C,C475)+SUMIFS(P:P,D:D,"&lt;="&amp;D475,C:C,C475)&lt;0,0,SUMIFS('Shipments data'!L:L,'Shipments data'!F:F,'Supply planning data'!C475,'Shipments data'!A:A,'Supply planning data'!A475,'Shipments data'!O:O,"received",'Shipments data'!Q:Q,"&lt;"&amp;'Supply planning data'!D490,'Shipments data'!AC:AC,"&lt;"&amp;'Supply planning data'!D490)-SUMIFS(M:M,D:D,"&lt;="&amp;D475,C:C,C475)+SUMIFS(N:N,D:D,"&lt;="&amp;D475,C:C,C475)+SUMIFS(P:P,D:D,"&lt;="&amp;D475,C:C,C475))</f>
        <v>0</v>
      </c>
      <c r="U475" s="112">
        <f t="shared" si="152"/>
        <v>0</v>
      </c>
      <c r="V475" s="111">
        <f t="shared" si="142"/>
        <v>0</v>
      </c>
      <c r="W475" s="204" t="str">
        <f t="shared" si="140"/>
        <v/>
      </c>
      <c r="X475" s="111">
        <f t="shared" si="153"/>
        <v>0</v>
      </c>
      <c r="Y475" s="110"/>
      <c r="Z475" s="107"/>
      <c r="AA475" s="111">
        <f t="shared" si="146"/>
        <v>0</v>
      </c>
      <c r="AB475" s="235"/>
      <c r="AC475" s="111">
        <f>IF(SUMIFS('Shipments data'!L:L,'Shipments data'!F:F,'Supply planning data'!C475,'Shipments data'!A:A,'Supply planning data'!A475,'Shipments data'!O:O,"received",'Shipments data'!Q:Q,"&lt;"&amp;'Supply planning data'!D490,'Shipments data'!AC:AC,"&lt;"&amp;'Supply planning data'!D490)-SUMIFS(M:M,D:D,"&lt;="&amp;D475,C:C,C475)-SUMIFS(AA:AA,D:D,"&lt;="&amp;D475,C:C,C475)+SUMIFS(N:N,D:D,"&lt;="&amp;D475,C:C,C475)+SUMIFS(P:P,D:D,"&lt;="&amp;D475,C:C,C475)&lt;0,0,SUMIFS('Shipments data'!L:L,'Shipments data'!F:F,'Supply planning data'!C475,'Shipments data'!A:A,'Supply planning data'!A475,'Shipments data'!O:O,"received",'Shipments data'!Q:Q,"&lt;"&amp;'Supply planning data'!D490,'Shipments data'!AC:AC,"&lt;"&amp;'Supply planning data'!D490)-SUMIFS(M:M,D:D,"&lt;="&amp;D475,C:C,C475)-SUMIFS(AA:AA,D:D,"&lt;="&amp;D475,C:C,C475)+SUMIFS(N:N,D:D,"&lt;="&amp;D475,C:C,C475)+SUMIFS(P:P,D:D,"&lt;="&amp;D475,C:C,C475))</f>
        <v>0</v>
      </c>
      <c r="AD475" s="111">
        <f t="shared" si="154"/>
        <v>0</v>
      </c>
      <c r="AE475" s="111">
        <f t="shared" si="148"/>
        <v>0</v>
      </c>
      <c r="AF475" s="204" t="str">
        <f t="shared" si="139"/>
        <v/>
      </c>
      <c r="AG475" s="111">
        <f t="shared" si="155"/>
        <v>0</v>
      </c>
      <c r="AH475" s="110"/>
      <c r="AI475" s="313"/>
      <c r="AJ475" s="111">
        <f t="shared" si="147"/>
        <v>0</v>
      </c>
      <c r="AK475" s="235"/>
      <c r="AL475" s="111">
        <f>IF(SUMIFS('Shipments data'!L:L,'Shipments data'!F:F,'Supply planning data'!C475,'Shipments data'!A:A,'Supply planning data'!A475,'Shipments data'!O:O,"received",'Shipments data'!Q:Q,"&lt;"&amp;'Supply planning data'!D490,'Shipments data'!AC:AC,"&lt;"&amp;'Supply planning data'!D490)-SUMIFS(M:M,D:D,"&lt;="&amp;D475,C:C,C475)-SUMIFS(AJ:AJ,D:D,"&lt;="&amp;D475,C:C,C475)+SUMIFS(N:N,D:D,"&lt;="&amp;D475,C:C,C475)+SUMIFS(P:P,D:D,"&lt;="&amp;D475,C:C,C475)&lt;0,0,SUMIFS('Shipments data'!L:L,'Shipments data'!F:F,'Supply planning data'!C475,'Shipments data'!A:A,'Supply planning data'!A475,'Shipments data'!O:O,"received",'Shipments data'!Q:Q,"&lt;"&amp;'Supply planning data'!D490,'Shipments data'!AC:AC,"&lt;"&amp;'Supply planning data'!D490)-SUMIFS(M:M,D:D,"&lt;="&amp;D475,C:C,C475)-SUMIFS(AJ:AJ,D:D,"&lt;="&amp;D475,C:C,C475)+SUMIFS(N:N,D:D,"&lt;="&amp;D475,C:C,C475)+SUMIFS(P:P,D:D,"&lt;="&amp;D475,C:C,C475))</f>
        <v>0</v>
      </c>
      <c r="AM475" s="111">
        <f t="shared" si="156"/>
        <v>0</v>
      </c>
      <c r="AN475" s="111">
        <f t="shared" si="149"/>
        <v>0</v>
      </c>
      <c r="AO475" s="204" t="str">
        <f t="shared" si="141"/>
        <v/>
      </c>
    </row>
    <row r="476" spans="1:41" hidden="1" x14ac:dyDescent="0.25">
      <c r="A476" s="103" t="str">
        <f>Start!D$7</f>
        <v>Anyland</v>
      </c>
      <c r="B476" s="109" t="str">
        <f>VLOOKUP(A476,list!B:C,2,FALSE)</f>
        <v>ANY</v>
      </c>
      <c r="C476" s="104" t="str">
        <f>IF(Start!$C$23="","",Start!$C$23)</f>
        <v/>
      </c>
      <c r="D476" s="298">
        <f t="shared" si="150"/>
        <v>45139</v>
      </c>
      <c r="E476" s="105" t="str">
        <f>IFERROR(VLOOKUP(C476,Start!C$15:D$31,2,FALSE),"No")</f>
        <v>No</v>
      </c>
      <c r="F476" s="105">
        <f t="shared" si="151"/>
        <v>0</v>
      </c>
      <c r="G476" s="106"/>
      <c r="H476" s="106"/>
      <c r="I476" s="106"/>
      <c r="J476" s="105">
        <f t="shared" si="143"/>
        <v>0</v>
      </c>
      <c r="K476" s="106"/>
      <c r="L476" s="177" t="str">
        <f t="shared" si="144"/>
        <v/>
      </c>
      <c r="M476" s="105">
        <f t="shared" si="145"/>
        <v>0</v>
      </c>
      <c r="N476" s="110"/>
      <c r="O476" s="124"/>
      <c r="P476" s="110"/>
      <c r="Q476" s="124"/>
      <c r="R476" s="111">
        <f>SUMIFS('Shipments data'!L:L,'Shipments data'!F:F,'Supply planning data'!C476,'Shipments data'!A:A,'Supply planning data'!A476,'Shipments data'!Y:Y,'Supply planning data'!D476,'Shipments data'!O:O,"received", 'Shipments data'!N:N, "Public")</f>
        <v>0</v>
      </c>
      <c r="S476" s="111">
        <f>SUMIFS('Shipments data'!L:L,'Shipments data'!F:F,'Supply planning data'!C476,'Shipments data'!A:A,'Supply planning data'!A476,'Shipments data'!Y:Y,'Supply planning data'!D476,'Shipments data'!O:O,"ordered", 'Shipments data'!N:N, "Public")</f>
        <v>0</v>
      </c>
      <c r="T476" s="111">
        <f>IF(SUMIFS('Shipments data'!L:L,'Shipments data'!F:F,'Supply planning data'!C476,'Shipments data'!A:A,'Supply planning data'!A476,'Shipments data'!O:O,"received",'Shipments data'!Q:Q,"&lt;"&amp;'Supply planning data'!D491,'Shipments data'!AC:AC,"&lt;"&amp;'Supply planning data'!D491)-SUMIFS(M:M,D:D,"&lt;="&amp;D476,C:C,C476)+SUMIFS(N:N,D:D,"&lt;="&amp;D476,C:C,C476)+SUMIFS(P:P,D:D,"&lt;="&amp;D476,C:C,C476)&lt;0,0,SUMIFS('Shipments data'!L:L,'Shipments data'!F:F,'Supply planning data'!C476,'Shipments data'!A:A,'Supply planning data'!A476,'Shipments data'!O:O,"received",'Shipments data'!Q:Q,"&lt;"&amp;'Supply planning data'!D491,'Shipments data'!AC:AC,"&lt;"&amp;'Supply planning data'!D491)-SUMIFS(M:M,D:D,"&lt;="&amp;D476,C:C,C476)+SUMIFS(N:N,D:D,"&lt;="&amp;D476,C:C,C476)+SUMIFS(P:P,D:D,"&lt;="&amp;D476,C:C,C476))</f>
        <v>0</v>
      </c>
      <c r="U476" s="112">
        <f t="shared" si="152"/>
        <v>0</v>
      </c>
      <c r="V476" s="111">
        <f t="shared" si="142"/>
        <v>0</v>
      </c>
      <c r="W476" s="204" t="str">
        <f t="shared" si="140"/>
        <v/>
      </c>
      <c r="X476" s="111">
        <f t="shared" si="153"/>
        <v>0</v>
      </c>
      <c r="Y476" s="110"/>
      <c r="Z476" s="107"/>
      <c r="AA476" s="111">
        <f t="shared" si="146"/>
        <v>0</v>
      </c>
      <c r="AB476" s="235"/>
      <c r="AC476" s="111">
        <f>IF(SUMIFS('Shipments data'!L:L,'Shipments data'!F:F,'Supply planning data'!C476,'Shipments data'!A:A,'Supply planning data'!A476,'Shipments data'!O:O,"received",'Shipments data'!Q:Q,"&lt;"&amp;'Supply planning data'!D491,'Shipments data'!AC:AC,"&lt;"&amp;'Supply planning data'!D491)-SUMIFS(M:M,D:D,"&lt;="&amp;D476,C:C,C476)-SUMIFS(AA:AA,D:D,"&lt;="&amp;D476,C:C,C476)+SUMIFS(N:N,D:D,"&lt;="&amp;D476,C:C,C476)+SUMIFS(P:P,D:D,"&lt;="&amp;D476,C:C,C476)&lt;0,0,SUMIFS('Shipments data'!L:L,'Shipments data'!F:F,'Supply planning data'!C476,'Shipments data'!A:A,'Supply planning data'!A476,'Shipments data'!O:O,"received",'Shipments data'!Q:Q,"&lt;"&amp;'Supply planning data'!D491,'Shipments data'!AC:AC,"&lt;"&amp;'Supply planning data'!D491)-SUMIFS(M:M,D:D,"&lt;="&amp;D476,C:C,C476)-SUMIFS(AA:AA,D:D,"&lt;="&amp;D476,C:C,C476)+SUMIFS(N:N,D:D,"&lt;="&amp;D476,C:C,C476)+SUMIFS(P:P,D:D,"&lt;="&amp;D476,C:C,C476))</f>
        <v>0</v>
      </c>
      <c r="AD476" s="111">
        <f t="shared" si="154"/>
        <v>0</v>
      </c>
      <c r="AE476" s="111">
        <f t="shared" si="148"/>
        <v>0</v>
      </c>
      <c r="AF476" s="204" t="str">
        <f t="shared" si="139"/>
        <v/>
      </c>
      <c r="AG476" s="111">
        <f t="shared" si="155"/>
        <v>0</v>
      </c>
      <c r="AH476" s="110"/>
      <c r="AI476" s="313"/>
      <c r="AJ476" s="111">
        <f t="shared" si="147"/>
        <v>0</v>
      </c>
      <c r="AK476" s="235"/>
      <c r="AL476" s="111">
        <f>IF(SUMIFS('Shipments data'!L:L,'Shipments data'!F:F,'Supply planning data'!C476,'Shipments data'!A:A,'Supply planning data'!A476,'Shipments data'!O:O,"received",'Shipments data'!Q:Q,"&lt;"&amp;'Supply planning data'!D491,'Shipments data'!AC:AC,"&lt;"&amp;'Supply planning data'!D491)-SUMIFS(M:M,D:D,"&lt;="&amp;D476,C:C,C476)-SUMIFS(AJ:AJ,D:D,"&lt;="&amp;D476,C:C,C476)+SUMIFS(N:N,D:D,"&lt;="&amp;D476,C:C,C476)+SUMIFS(P:P,D:D,"&lt;="&amp;D476,C:C,C476)&lt;0,0,SUMIFS('Shipments data'!L:L,'Shipments data'!F:F,'Supply planning data'!C476,'Shipments data'!A:A,'Supply planning data'!A476,'Shipments data'!O:O,"received",'Shipments data'!Q:Q,"&lt;"&amp;'Supply planning data'!D491,'Shipments data'!AC:AC,"&lt;"&amp;'Supply planning data'!D491)-SUMIFS(M:M,D:D,"&lt;="&amp;D476,C:C,C476)-SUMIFS(AJ:AJ,D:D,"&lt;="&amp;D476,C:C,C476)+SUMIFS(N:N,D:D,"&lt;="&amp;D476,C:C,C476)+SUMIFS(P:P,D:D,"&lt;="&amp;D476,C:C,C476))</f>
        <v>0</v>
      </c>
      <c r="AM476" s="111">
        <f t="shared" si="156"/>
        <v>0</v>
      </c>
      <c r="AN476" s="111">
        <f t="shared" si="149"/>
        <v>0</v>
      </c>
      <c r="AO476" s="204" t="str">
        <f t="shared" si="141"/>
        <v/>
      </c>
    </row>
    <row r="477" spans="1:41" hidden="1" x14ac:dyDescent="0.25">
      <c r="A477" s="103" t="str">
        <f>Start!D$7</f>
        <v>Anyland</v>
      </c>
      <c r="B477" s="109" t="str">
        <f>VLOOKUP(A477,list!B:C,2,FALSE)</f>
        <v>ANY</v>
      </c>
      <c r="C477" s="109" t="str">
        <f>IF(Start!$C$24="","",Start!$C$24)</f>
        <v/>
      </c>
      <c r="D477" s="298">
        <f t="shared" si="150"/>
        <v>45139</v>
      </c>
      <c r="E477" s="105" t="str">
        <f>IFERROR(VLOOKUP(C477,Start!C$15:D$31,2,FALSE),"No")</f>
        <v>No</v>
      </c>
      <c r="F477" s="105">
        <f t="shared" si="151"/>
        <v>0</v>
      </c>
      <c r="G477" s="106"/>
      <c r="H477" s="106"/>
      <c r="I477" s="106"/>
      <c r="J477" s="105">
        <f t="shared" si="143"/>
        <v>0</v>
      </c>
      <c r="K477" s="106"/>
      <c r="L477" s="177" t="str">
        <f t="shared" si="144"/>
        <v/>
      </c>
      <c r="M477" s="105">
        <f t="shared" si="145"/>
        <v>0</v>
      </c>
      <c r="N477" s="110"/>
      <c r="O477" s="124"/>
      <c r="P477" s="110"/>
      <c r="Q477" s="124"/>
      <c r="R477" s="111">
        <f>SUMIFS('Shipments data'!L:L,'Shipments data'!F:F,'Supply planning data'!C477,'Shipments data'!A:A,'Supply planning data'!A477,'Shipments data'!Y:Y,'Supply planning data'!D477,'Shipments data'!O:O,"received", 'Shipments data'!N:N, "Public")</f>
        <v>0</v>
      </c>
      <c r="S477" s="111">
        <f>SUMIFS('Shipments data'!L:L,'Shipments data'!F:F,'Supply planning data'!C477,'Shipments data'!A:A,'Supply planning data'!A477,'Shipments data'!Y:Y,'Supply planning data'!D477,'Shipments data'!O:O,"ordered", 'Shipments data'!N:N, "Public")</f>
        <v>0</v>
      </c>
      <c r="T477" s="111">
        <f>IF(SUMIFS('Shipments data'!L:L,'Shipments data'!F:F,'Supply planning data'!C477,'Shipments data'!A:A,'Supply planning data'!A477,'Shipments data'!O:O,"received",'Shipments data'!Q:Q,"&lt;"&amp;'Supply planning data'!D492,'Shipments data'!AC:AC,"&lt;"&amp;'Supply planning data'!D492)-SUMIFS(M:M,D:D,"&lt;="&amp;D477,C:C,C477)+SUMIFS(N:N,D:D,"&lt;="&amp;D477,C:C,C477)+SUMIFS(P:P,D:D,"&lt;="&amp;D477,C:C,C477)&lt;0,0,SUMIFS('Shipments data'!L:L,'Shipments data'!F:F,'Supply planning data'!C477,'Shipments data'!A:A,'Supply planning data'!A477,'Shipments data'!O:O,"received",'Shipments data'!Q:Q,"&lt;"&amp;'Supply planning data'!D492,'Shipments data'!AC:AC,"&lt;"&amp;'Supply planning data'!D492)-SUMIFS(M:M,D:D,"&lt;="&amp;D477,C:C,C477)+SUMIFS(N:N,D:D,"&lt;="&amp;D477,C:C,C477)+SUMIFS(P:P,D:D,"&lt;="&amp;D477,C:C,C477))</f>
        <v>0</v>
      </c>
      <c r="U477" s="112">
        <f t="shared" si="152"/>
        <v>0</v>
      </c>
      <c r="V477" s="111">
        <f t="shared" si="142"/>
        <v>0</v>
      </c>
      <c r="W477" s="204" t="str">
        <f t="shared" si="140"/>
        <v/>
      </c>
      <c r="X477" s="111">
        <f t="shared" si="153"/>
        <v>0</v>
      </c>
      <c r="Y477" s="110"/>
      <c r="Z477" s="107"/>
      <c r="AA477" s="111">
        <f t="shared" si="146"/>
        <v>0</v>
      </c>
      <c r="AB477" s="235"/>
      <c r="AC477" s="111">
        <f>IF(SUMIFS('Shipments data'!L:L,'Shipments data'!F:F,'Supply planning data'!C477,'Shipments data'!A:A,'Supply planning data'!A477,'Shipments data'!O:O,"received",'Shipments data'!Q:Q,"&lt;"&amp;'Supply planning data'!D492,'Shipments data'!AC:AC,"&lt;"&amp;'Supply planning data'!D492)-SUMIFS(M:M,D:D,"&lt;="&amp;D477,C:C,C477)-SUMIFS(AA:AA,D:D,"&lt;="&amp;D477,C:C,C477)+SUMIFS(N:N,D:D,"&lt;="&amp;D477,C:C,C477)+SUMIFS(P:P,D:D,"&lt;="&amp;D477,C:C,C477)&lt;0,0,SUMIFS('Shipments data'!L:L,'Shipments data'!F:F,'Supply planning data'!C477,'Shipments data'!A:A,'Supply planning data'!A477,'Shipments data'!O:O,"received",'Shipments data'!Q:Q,"&lt;"&amp;'Supply planning data'!D492,'Shipments data'!AC:AC,"&lt;"&amp;'Supply planning data'!D492)-SUMIFS(M:M,D:D,"&lt;="&amp;D477,C:C,C477)-SUMIFS(AA:AA,D:D,"&lt;="&amp;D477,C:C,C477)+SUMIFS(N:N,D:D,"&lt;="&amp;D477,C:C,C477)+SUMIFS(P:P,D:D,"&lt;="&amp;D477,C:C,C477))</f>
        <v>0</v>
      </c>
      <c r="AD477" s="111">
        <f t="shared" si="154"/>
        <v>0</v>
      </c>
      <c r="AE477" s="111">
        <f t="shared" si="148"/>
        <v>0</v>
      </c>
      <c r="AF477" s="204" t="str">
        <f t="shared" si="139"/>
        <v/>
      </c>
      <c r="AG477" s="111">
        <f t="shared" si="155"/>
        <v>0</v>
      </c>
      <c r="AH477" s="110"/>
      <c r="AI477" s="313"/>
      <c r="AJ477" s="111">
        <f t="shared" si="147"/>
        <v>0</v>
      </c>
      <c r="AK477" s="235"/>
      <c r="AL477" s="111">
        <f>IF(SUMIFS('Shipments data'!L:L,'Shipments data'!F:F,'Supply planning data'!C477,'Shipments data'!A:A,'Supply planning data'!A477,'Shipments data'!O:O,"received",'Shipments data'!Q:Q,"&lt;"&amp;'Supply planning data'!D492,'Shipments data'!AC:AC,"&lt;"&amp;'Supply planning data'!D492)-SUMIFS(M:M,D:D,"&lt;="&amp;D477,C:C,C477)-SUMIFS(AJ:AJ,D:D,"&lt;="&amp;D477,C:C,C477)+SUMIFS(N:N,D:D,"&lt;="&amp;D477,C:C,C477)+SUMIFS(P:P,D:D,"&lt;="&amp;D477,C:C,C477)&lt;0,0,SUMIFS('Shipments data'!L:L,'Shipments data'!F:F,'Supply planning data'!C477,'Shipments data'!A:A,'Supply planning data'!A477,'Shipments data'!O:O,"received",'Shipments data'!Q:Q,"&lt;"&amp;'Supply planning data'!D492,'Shipments data'!AC:AC,"&lt;"&amp;'Supply planning data'!D492)-SUMIFS(M:M,D:D,"&lt;="&amp;D477,C:C,C477)-SUMIFS(AJ:AJ,D:D,"&lt;="&amp;D477,C:C,C477)+SUMIFS(N:N,D:D,"&lt;="&amp;D477,C:C,C477)+SUMIFS(P:P,D:D,"&lt;="&amp;D477,C:C,C477))</f>
        <v>0</v>
      </c>
      <c r="AM477" s="111">
        <f t="shared" si="156"/>
        <v>0</v>
      </c>
      <c r="AN477" s="111">
        <f t="shared" si="149"/>
        <v>0</v>
      </c>
      <c r="AO477" s="204" t="str">
        <f t="shared" si="141"/>
        <v/>
      </c>
    </row>
    <row r="478" spans="1:41" hidden="1" x14ac:dyDescent="0.25">
      <c r="A478" s="103" t="str">
        <f>Start!D$7</f>
        <v>Anyland</v>
      </c>
      <c r="B478" s="109" t="str">
        <f>VLOOKUP(A478,list!B:C,2,FALSE)</f>
        <v>ANY</v>
      </c>
      <c r="C478" s="104" t="str">
        <f>IF(Start!$C$25="","",Start!$C$25)</f>
        <v/>
      </c>
      <c r="D478" s="298">
        <f t="shared" si="150"/>
        <v>45139</v>
      </c>
      <c r="E478" s="105" t="str">
        <f>IFERROR(VLOOKUP(C478,Start!C$15:D$31,2,FALSE),"No")</f>
        <v>No</v>
      </c>
      <c r="F478" s="105">
        <f t="shared" si="151"/>
        <v>0</v>
      </c>
      <c r="G478" s="106"/>
      <c r="H478" s="106"/>
      <c r="I478" s="106"/>
      <c r="J478" s="105">
        <f t="shared" si="143"/>
        <v>0</v>
      </c>
      <c r="K478" s="106"/>
      <c r="L478" s="177" t="str">
        <f t="shared" si="144"/>
        <v/>
      </c>
      <c r="M478" s="105">
        <f t="shared" si="145"/>
        <v>0</v>
      </c>
      <c r="N478" s="110"/>
      <c r="O478" s="124"/>
      <c r="P478" s="110"/>
      <c r="Q478" s="124"/>
      <c r="R478" s="111">
        <f>SUMIFS('Shipments data'!L:L,'Shipments data'!F:F,'Supply planning data'!C478,'Shipments data'!A:A,'Supply planning data'!A478,'Shipments data'!Y:Y,'Supply planning data'!D478,'Shipments data'!O:O,"received", 'Shipments data'!N:N, "Public")</f>
        <v>0</v>
      </c>
      <c r="S478" s="111">
        <f>SUMIFS('Shipments data'!L:L,'Shipments data'!F:F,'Supply planning data'!C478,'Shipments data'!A:A,'Supply planning data'!A478,'Shipments data'!Y:Y,'Supply planning data'!D478,'Shipments data'!O:O,"ordered", 'Shipments data'!N:N, "Public")</f>
        <v>0</v>
      </c>
      <c r="T478" s="111">
        <f>IF(SUMIFS('Shipments data'!L:L,'Shipments data'!F:F,'Supply planning data'!C478,'Shipments data'!A:A,'Supply planning data'!A478,'Shipments data'!O:O,"received",'Shipments data'!Q:Q,"&lt;"&amp;'Supply planning data'!D493,'Shipments data'!AC:AC,"&lt;"&amp;'Supply planning data'!D493)-SUMIFS(M:M,D:D,"&lt;="&amp;D478,C:C,C478)+SUMIFS(N:N,D:D,"&lt;="&amp;D478,C:C,C478)+SUMIFS(P:P,D:D,"&lt;="&amp;D478,C:C,C478)&lt;0,0,SUMIFS('Shipments data'!L:L,'Shipments data'!F:F,'Supply planning data'!C478,'Shipments data'!A:A,'Supply planning data'!A478,'Shipments data'!O:O,"received",'Shipments data'!Q:Q,"&lt;"&amp;'Supply planning data'!D493,'Shipments data'!AC:AC,"&lt;"&amp;'Supply planning data'!D493)-SUMIFS(M:M,D:D,"&lt;="&amp;D478,C:C,C478)+SUMIFS(N:N,D:D,"&lt;="&amp;D478,C:C,C478)+SUMIFS(P:P,D:D,"&lt;="&amp;D478,C:C,C478))</f>
        <v>0</v>
      </c>
      <c r="U478" s="112">
        <f t="shared" si="152"/>
        <v>0</v>
      </c>
      <c r="V478" s="111">
        <f t="shared" si="142"/>
        <v>0</v>
      </c>
      <c r="W478" s="204" t="str">
        <f t="shared" si="140"/>
        <v/>
      </c>
      <c r="X478" s="111">
        <f t="shared" si="153"/>
        <v>0</v>
      </c>
      <c r="Y478" s="110"/>
      <c r="Z478" s="107"/>
      <c r="AA478" s="111">
        <f t="shared" si="146"/>
        <v>0</v>
      </c>
      <c r="AB478" s="235"/>
      <c r="AC478" s="111">
        <f>IF(SUMIFS('Shipments data'!L:L,'Shipments data'!F:F,'Supply planning data'!C478,'Shipments data'!A:A,'Supply planning data'!A478,'Shipments data'!O:O,"received",'Shipments data'!Q:Q,"&lt;"&amp;'Supply planning data'!D493,'Shipments data'!AC:AC,"&lt;"&amp;'Supply planning data'!D493)-SUMIFS(M:M,D:D,"&lt;="&amp;D478,C:C,C478)-SUMIFS(AA:AA,D:D,"&lt;="&amp;D478,C:C,C478)+SUMIFS(N:N,D:D,"&lt;="&amp;D478,C:C,C478)+SUMIFS(P:P,D:D,"&lt;="&amp;D478,C:C,C478)&lt;0,0,SUMIFS('Shipments data'!L:L,'Shipments data'!F:F,'Supply planning data'!C478,'Shipments data'!A:A,'Supply planning data'!A478,'Shipments data'!O:O,"received",'Shipments data'!Q:Q,"&lt;"&amp;'Supply planning data'!D493,'Shipments data'!AC:AC,"&lt;"&amp;'Supply planning data'!D493)-SUMIFS(M:M,D:D,"&lt;="&amp;D478,C:C,C478)-SUMIFS(AA:AA,D:D,"&lt;="&amp;D478,C:C,C478)+SUMIFS(N:N,D:D,"&lt;="&amp;D478,C:C,C478)+SUMIFS(P:P,D:D,"&lt;="&amp;D478,C:C,C478))</f>
        <v>0</v>
      </c>
      <c r="AD478" s="111">
        <f t="shared" si="154"/>
        <v>0</v>
      </c>
      <c r="AE478" s="111">
        <f t="shared" si="148"/>
        <v>0</v>
      </c>
      <c r="AF478" s="204" t="str">
        <f t="shared" si="139"/>
        <v/>
      </c>
      <c r="AG478" s="111">
        <f t="shared" si="155"/>
        <v>0</v>
      </c>
      <c r="AH478" s="110"/>
      <c r="AI478" s="313"/>
      <c r="AJ478" s="111">
        <f t="shared" si="147"/>
        <v>0</v>
      </c>
      <c r="AK478" s="235"/>
      <c r="AL478" s="111">
        <f>IF(SUMIFS('Shipments data'!L:L,'Shipments data'!F:F,'Supply planning data'!C478,'Shipments data'!A:A,'Supply planning data'!A478,'Shipments data'!O:O,"received",'Shipments data'!Q:Q,"&lt;"&amp;'Supply planning data'!D493,'Shipments data'!AC:AC,"&lt;"&amp;'Supply planning data'!D493)-SUMIFS(M:M,D:D,"&lt;="&amp;D478,C:C,C478)-SUMIFS(AJ:AJ,D:D,"&lt;="&amp;D478,C:C,C478)+SUMIFS(N:N,D:D,"&lt;="&amp;D478,C:C,C478)+SUMIFS(P:P,D:D,"&lt;="&amp;D478,C:C,C478)&lt;0,0,SUMIFS('Shipments data'!L:L,'Shipments data'!F:F,'Supply planning data'!C478,'Shipments data'!A:A,'Supply planning data'!A478,'Shipments data'!O:O,"received",'Shipments data'!Q:Q,"&lt;"&amp;'Supply planning data'!D493,'Shipments data'!AC:AC,"&lt;"&amp;'Supply planning data'!D493)-SUMIFS(M:M,D:D,"&lt;="&amp;D478,C:C,C478)-SUMIFS(AJ:AJ,D:D,"&lt;="&amp;D478,C:C,C478)+SUMIFS(N:N,D:D,"&lt;="&amp;D478,C:C,C478)+SUMIFS(P:P,D:D,"&lt;="&amp;D478,C:C,C478))</f>
        <v>0</v>
      </c>
      <c r="AM478" s="111">
        <f t="shared" si="156"/>
        <v>0</v>
      </c>
      <c r="AN478" s="111">
        <f t="shared" si="149"/>
        <v>0</v>
      </c>
      <c r="AO478" s="204" t="str">
        <f t="shared" si="141"/>
        <v/>
      </c>
    </row>
    <row r="479" spans="1:41" hidden="1" x14ac:dyDescent="0.25">
      <c r="A479" s="103" t="str">
        <f>Start!D$7</f>
        <v>Anyland</v>
      </c>
      <c r="B479" s="109" t="str">
        <f>VLOOKUP(A479,list!B:C,2,FALSE)</f>
        <v>ANY</v>
      </c>
      <c r="C479" s="109" t="str">
        <f>IF(Start!$C$26="","",Start!$C$26)</f>
        <v/>
      </c>
      <c r="D479" s="298">
        <f t="shared" si="150"/>
        <v>45139</v>
      </c>
      <c r="E479" s="105" t="str">
        <f>IFERROR(VLOOKUP(C479,Start!C$15:D$31,2,FALSE),"No")</f>
        <v>No</v>
      </c>
      <c r="F479" s="105">
        <f t="shared" si="151"/>
        <v>0</v>
      </c>
      <c r="G479" s="106"/>
      <c r="H479" s="106"/>
      <c r="I479" s="106"/>
      <c r="J479" s="105">
        <f t="shared" si="143"/>
        <v>0</v>
      </c>
      <c r="K479" s="106"/>
      <c r="L479" s="177" t="str">
        <f t="shared" si="144"/>
        <v/>
      </c>
      <c r="M479" s="105">
        <f t="shared" si="145"/>
        <v>0</v>
      </c>
      <c r="N479" s="110"/>
      <c r="O479" s="124"/>
      <c r="P479" s="110"/>
      <c r="Q479" s="124"/>
      <c r="R479" s="111">
        <f>SUMIFS('Shipments data'!L:L,'Shipments data'!F:F,'Supply planning data'!C479,'Shipments data'!A:A,'Supply planning data'!A479,'Shipments data'!Y:Y,'Supply planning data'!D479,'Shipments data'!O:O,"received", 'Shipments data'!N:N, "Public")</f>
        <v>0</v>
      </c>
      <c r="S479" s="111">
        <f>SUMIFS('Shipments data'!L:L,'Shipments data'!F:F,'Supply planning data'!C479,'Shipments data'!A:A,'Supply planning data'!A479,'Shipments data'!Y:Y,'Supply planning data'!D479,'Shipments data'!O:O,"ordered", 'Shipments data'!N:N, "Public")</f>
        <v>0</v>
      </c>
      <c r="T479" s="111">
        <f>IF(SUMIFS('Shipments data'!L:L,'Shipments data'!F:F,'Supply planning data'!C479,'Shipments data'!A:A,'Supply planning data'!A479,'Shipments data'!O:O,"received",'Shipments data'!Q:Q,"&lt;"&amp;'Supply planning data'!D494,'Shipments data'!AC:AC,"&lt;"&amp;'Supply planning data'!D494)-SUMIFS(M:M,D:D,"&lt;="&amp;D479,C:C,C479)+SUMIFS(N:N,D:D,"&lt;="&amp;D479,C:C,C479)+SUMIFS(P:P,D:D,"&lt;="&amp;D479,C:C,C479)&lt;0,0,SUMIFS('Shipments data'!L:L,'Shipments data'!F:F,'Supply planning data'!C479,'Shipments data'!A:A,'Supply planning data'!A479,'Shipments data'!O:O,"received",'Shipments data'!Q:Q,"&lt;"&amp;'Supply planning data'!D494,'Shipments data'!AC:AC,"&lt;"&amp;'Supply planning data'!D494)-SUMIFS(M:M,D:D,"&lt;="&amp;D479,C:C,C479)+SUMIFS(N:N,D:D,"&lt;="&amp;D479,C:C,C479)+SUMIFS(P:P,D:D,"&lt;="&amp;D479,C:C,C479))</f>
        <v>0</v>
      </c>
      <c r="U479" s="112">
        <f t="shared" si="152"/>
        <v>0</v>
      </c>
      <c r="V479" s="111">
        <f t="shared" si="142"/>
        <v>0</v>
      </c>
      <c r="W479" s="204" t="str">
        <f t="shared" si="140"/>
        <v/>
      </c>
      <c r="X479" s="111">
        <f t="shared" si="153"/>
        <v>0</v>
      </c>
      <c r="Y479" s="110"/>
      <c r="Z479" s="107"/>
      <c r="AA479" s="111">
        <f t="shared" si="146"/>
        <v>0</v>
      </c>
      <c r="AB479" s="235"/>
      <c r="AC479" s="111">
        <f>IF(SUMIFS('Shipments data'!L:L,'Shipments data'!F:F,'Supply planning data'!C479,'Shipments data'!A:A,'Supply planning data'!A479,'Shipments data'!O:O,"received",'Shipments data'!Q:Q,"&lt;"&amp;'Supply planning data'!D494,'Shipments data'!AC:AC,"&lt;"&amp;'Supply planning data'!D494)-SUMIFS(M:M,D:D,"&lt;="&amp;D479,C:C,C479)-SUMIFS(AA:AA,D:D,"&lt;="&amp;D479,C:C,C479)+SUMIFS(N:N,D:D,"&lt;="&amp;D479,C:C,C479)+SUMIFS(P:P,D:D,"&lt;="&amp;D479,C:C,C479)&lt;0,0,SUMIFS('Shipments data'!L:L,'Shipments data'!F:F,'Supply planning data'!C479,'Shipments data'!A:A,'Supply planning data'!A479,'Shipments data'!O:O,"received",'Shipments data'!Q:Q,"&lt;"&amp;'Supply planning data'!D494,'Shipments data'!AC:AC,"&lt;"&amp;'Supply planning data'!D494)-SUMIFS(M:M,D:D,"&lt;="&amp;D479,C:C,C479)-SUMIFS(AA:AA,D:D,"&lt;="&amp;D479,C:C,C479)+SUMIFS(N:N,D:D,"&lt;="&amp;D479,C:C,C479)+SUMIFS(P:P,D:D,"&lt;="&amp;D479,C:C,C479))</f>
        <v>0</v>
      </c>
      <c r="AD479" s="111">
        <f t="shared" si="154"/>
        <v>0</v>
      </c>
      <c r="AE479" s="111">
        <f t="shared" si="148"/>
        <v>0</v>
      </c>
      <c r="AF479" s="204" t="str">
        <f t="shared" ref="AF479:AF542" si="157">IF(M479+AA479&lt;=0,"",IFERROR(AE479/(SUM(M479,M509,M494,AA479,AA509,AA494)/3),""))</f>
        <v/>
      </c>
      <c r="AG479" s="111">
        <f t="shared" si="155"/>
        <v>0</v>
      </c>
      <c r="AH479" s="110"/>
      <c r="AI479" s="313"/>
      <c r="AJ479" s="111">
        <f t="shared" si="147"/>
        <v>0</v>
      </c>
      <c r="AK479" s="235"/>
      <c r="AL479" s="111">
        <f>IF(SUMIFS('Shipments data'!L:L,'Shipments data'!F:F,'Supply planning data'!C479,'Shipments data'!A:A,'Supply planning data'!A479,'Shipments data'!O:O,"received",'Shipments data'!Q:Q,"&lt;"&amp;'Supply planning data'!D494,'Shipments data'!AC:AC,"&lt;"&amp;'Supply planning data'!D494)-SUMIFS(M:M,D:D,"&lt;="&amp;D479,C:C,C479)-SUMIFS(AJ:AJ,D:D,"&lt;="&amp;D479,C:C,C479)+SUMIFS(N:N,D:D,"&lt;="&amp;D479,C:C,C479)+SUMIFS(P:P,D:D,"&lt;="&amp;D479,C:C,C479)&lt;0,0,SUMIFS('Shipments data'!L:L,'Shipments data'!F:F,'Supply planning data'!C479,'Shipments data'!A:A,'Supply planning data'!A479,'Shipments data'!O:O,"received",'Shipments data'!Q:Q,"&lt;"&amp;'Supply planning data'!D494,'Shipments data'!AC:AC,"&lt;"&amp;'Supply planning data'!D494)-SUMIFS(M:M,D:D,"&lt;="&amp;D479,C:C,C479)-SUMIFS(AJ:AJ,D:D,"&lt;="&amp;D479,C:C,C479)+SUMIFS(N:N,D:D,"&lt;="&amp;D479,C:C,C479)+SUMIFS(P:P,D:D,"&lt;="&amp;D479,C:C,C479))</f>
        <v>0</v>
      </c>
      <c r="AM479" s="111">
        <f t="shared" si="156"/>
        <v>0</v>
      </c>
      <c r="AN479" s="111">
        <f t="shared" si="149"/>
        <v>0</v>
      </c>
      <c r="AO479" s="204" t="str">
        <f t="shared" si="141"/>
        <v/>
      </c>
    </row>
    <row r="480" spans="1:41" hidden="1" x14ac:dyDescent="0.25">
      <c r="A480" s="103" t="str">
        <f>Start!D$7</f>
        <v>Anyland</v>
      </c>
      <c r="B480" s="109" t="str">
        <f>VLOOKUP(A480,list!B:C,2,FALSE)</f>
        <v>ANY</v>
      </c>
      <c r="C480" s="104" t="str">
        <f>IF(Start!$C$27="","",Start!$C$27)</f>
        <v/>
      </c>
      <c r="D480" s="298">
        <f t="shared" si="150"/>
        <v>45139</v>
      </c>
      <c r="E480" s="105" t="str">
        <f>IFERROR(VLOOKUP(C480,Start!C$15:D$31,2,FALSE),"No")</f>
        <v>No</v>
      </c>
      <c r="F480" s="105">
        <f t="shared" si="151"/>
        <v>0</v>
      </c>
      <c r="G480" s="106"/>
      <c r="H480" s="106"/>
      <c r="I480" s="106"/>
      <c r="J480" s="105">
        <f t="shared" si="143"/>
        <v>0</v>
      </c>
      <c r="K480" s="106"/>
      <c r="L480" s="177" t="str">
        <f t="shared" si="144"/>
        <v/>
      </c>
      <c r="M480" s="105">
        <f t="shared" si="145"/>
        <v>0</v>
      </c>
      <c r="N480" s="110"/>
      <c r="O480" s="124"/>
      <c r="P480" s="110"/>
      <c r="Q480" s="124"/>
      <c r="R480" s="111">
        <f>SUMIFS('Shipments data'!L:L,'Shipments data'!F:F,'Supply planning data'!C480,'Shipments data'!A:A,'Supply planning data'!A480,'Shipments data'!Y:Y,'Supply planning data'!D480,'Shipments data'!O:O,"received", 'Shipments data'!N:N, "Public")</f>
        <v>0</v>
      </c>
      <c r="S480" s="111">
        <f>SUMIFS('Shipments data'!L:L,'Shipments data'!F:F,'Supply planning data'!C480,'Shipments data'!A:A,'Supply planning data'!A480,'Shipments data'!Y:Y,'Supply planning data'!D480,'Shipments data'!O:O,"ordered", 'Shipments data'!N:N, "Public")</f>
        <v>0</v>
      </c>
      <c r="T480" s="111">
        <f>IF(SUMIFS('Shipments data'!L:L,'Shipments data'!F:F,'Supply planning data'!C480,'Shipments data'!A:A,'Supply planning data'!A480,'Shipments data'!O:O,"received",'Shipments data'!Q:Q,"&lt;"&amp;'Supply planning data'!D495,'Shipments data'!AC:AC,"&lt;"&amp;'Supply planning data'!D495)-SUMIFS(M:M,D:D,"&lt;="&amp;D480,C:C,C480)+SUMIFS(N:N,D:D,"&lt;="&amp;D480,C:C,C480)+SUMIFS(P:P,D:D,"&lt;="&amp;D480,C:C,C480)&lt;0,0,SUMIFS('Shipments data'!L:L,'Shipments data'!F:F,'Supply planning data'!C480,'Shipments data'!A:A,'Supply planning data'!A480,'Shipments data'!O:O,"received",'Shipments data'!Q:Q,"&lt;"&amp;'Supply planning data'!D495,'Shipments data'!AC:AC,"&lt;"&amp;'Supply planning data'!D495)-SUMIFS(M:M,D:D,"&lt;="&amp;D480,C:C,C480)+SUMIFS(N:N,D:D,"&lt;="&amp;D480,C:C,C480)+SUMIFS(P:P,D:D,"&lt;="&amp;D480,C:C,C480))</f>
        <v>0</v>
      </c>
      <c r="U480" s="112">
        <f t="shared" si="152"/>
        <v>0</v>
      </c>
      <c r="V480" s="111">
        <f t="shared" si="142"/>
        <v>0</v>
      </c>
      <c r="W480" s="204" t="str">
        <f t="shared" si="140"/>
        <v/>
      </c>
      <c r="X480" s="111">
        <f t="shared" si="153"/>
        <v>0</v>
      </c>
      <c r="Y480" s="110"/>
      <c r="Z480" s="107"/>
      <c r="AA480" s="111">
        <f t="shared" si="146"/>
        <v>0</v>
      </c>
      <c r="AB480" s="235"/>
      <c r="AC480" s="111">
        <f>IF(SUMIFS('Shipments data'!L:L,'Shipments data'!F:F,'Supply planning data'!C480,'Shipments data'!A:A,'Supply planning data'!A480,'Shipments data'!O:O,"received",'Shipments data'!Q:Q,"&lt;"&amp;'Supply planning data'!D495,'Shipments data'!AC:AC,"&lt;"&amp;'Supply planning data'!D495)-SUMIFS(M:M,D:D,"&lt;="&amp;D480,C:C,C480)-SUMIFS(AA:AA,D:D,"&lt;="&amp;D480,C:C,C480)+SUMIFS(N:N,D:D,"&lt;="&amp;D480,C:C,C480)+SUMIFS(P:P,D:D,"&lt;="&amp;D480,C:C,C480)&lt;0,0,SUMIFS('Shipments data'!L:L,'Shipments data'!F:F,'Supply planning data'!C480,'Shipments data'!A:A,'Supply planning data'!A480,'Shipments data'!O:O,"received",'Shipments data'!Q:Q,"&lt;"&amp;'Supply planning data'!D495,'Shipments data'!AC:AC,"&lt;"&amp;'Supply planning data'!D495)-SUMIFS(M:M,D:D,"&lt;="&amp;D480,C:C,C480)-SUMIFS(AA:AA,D:D,"&lt;="&amp;D480,C:C,C480)+SUMIFS(N:N,D:D,"&lt;="&amp;D480,C:C,C480)+SUMIFS(P:P,D:D,"&lt;="&amp;D480,C:C,C480))</f>
        <v>0</v>
      </c>
      <c r="AD480" s="111">
        <f t="shared" si="154"/>
        <v>0</v>
      </c>
      <c r="AE480" s="111">
        <f t="shared" si="148"/>
        <v>0</v>
      </c>
      <c r="AF480" s="204" t="str">
        <f t="shared" si="157"/>
        <v/>
      </c>
      <c r="AG480" s="111">
        <f t="shared" si="155"/>
        <v>0</v>
      </c>
      <c r="AH480" s="110"/>
      <c r="AI480" s="313"/>
      <c r="AJ480" s="111">
        <f t="shared" si="147"/>
        <v>0</v>
      </c>
      <c r="AK480" s="235"/>
      <c r="AL480" s="111">
        <f>IF(SUMIFS('Shipments data'!L:L,'Shipments data'!F:F,'Supply planning data'!C480,'Shipments data'!A:A,'Supply planning data'!A480,'Shipments data'!O:O,"received",'Shipments data'!Q:Q,"&lt;"&amp;'Supply planning data'!D495,'Shipments data'!AC:AC,"&lt;"&amp;'Supply planning data'!D495)-SUMIFS(M:M,D:D,"&lt;="&amp;D480,C:C,C480)-SUMIFS(AJ:AJ,D:D,"&lt;="&amp;D480,C:C,C480)+SUMIFS(N:N,D:D,"&lt;="&amp;D480,C:C,C480)+SUMIFS(P:P,D:D,"&lt;="&amp;D480,C:C,C480)&lt;0,0,SUMIFS('Shipments data'!L:L,'Shipments data'!F:F,'Supply planning data'!C480,'Shipments data'!A:A,'Supply planning data'!A480,'Shipments data'!O:O,"received",'Shipments data'!Q:Q,"&lt;"&amp;'Supply planning data'!D495,'Shipments data'!AC:AC,"&lt;"&amp;'Supply planning data'!D495)-SUMIFS(M:M,D:D,"&lt;="&amp;D480,C:C,C480)-SUMIFS(AJ:AJ,D:D,"&lt;="&amp;D480,C:C,C480)+SUMIFS(N:N,D:D,"&lt;="&amp;D480,C:C,C480)+SUMIFS(P:P,D:D,"&lt;="&amp;D480,C:C,C480))</f>
        <v>0</v>
      </c>
      <c r="AM480" s="111">
        <f t="shared" si="156"/>
        <v>0</v>
      </c>
      <c r="AN480" s="111">
        <f t="shared" si="149"/>
        <v>0</v>
      </c>
      <c r="AO480" s="204" t="str">
        <f t="shared" si="141"/>
        <v/>
      </c>
    </row>
    <row r="481" spans="1:41" hidden="1" x14ac:dyDescent="0.25">
      <c r="A481" s="103" t="str">
        <f>Start!D$7</f>
        <v>Anyland</v>
      </c>
      <c r="B481" s="109" t="str">
        <f>VLOOKUP(A481,list!B:C,2,FALSE)</f>
        <v>ANY</v>
      </c>
      <c r="C481" s="109" t="str">
        <f>IF(Start!$C$28="","",Start!$C$28)</f>
        <v/>
      </c>
      <c r="D481" s="298">
        <f t="shared" si="150"/>
        <v>45139</v>
      </c>
      <c r="E481" s="105" t="str">
        <f>IFERROR(VLOOKUP(C481,Start!C$15:D$31,2,FALSE),"No")</f>
        <v>No</v>
      </c>
      <c r="F481" s="105">
        <f t="shared" si="151"/>
        <v>0</v>
      </c>
      <c r="G481" s="106"/>
      <c r="H481" s="106"/>
      <c r="I481" s="106"/>
      <c r="J481" s="105">
        <f t="shared" si="143"/>
        <v>0</v>
      </c>
      <c r="K481" s="106"/>
      <c r="L481" s="177" t="str">
        <f t="shared" si="144"/>
        <v/>
      </c>
      <c r="M481" s="105">
        <f t="shared" si="145"/>
        <v>0</v>
      </c>
      <c r="N481" s="110"/>
      <c r="O481" s="124"/>
      <c r="P481" s="110"/>
      <c r="Q481" s="124"/>
      <c r="R481" s="111">
        <f>SUMIFS('Shipments data'!L:L,'Shipments data'!F:F,'Supply planning data'!C481,'Shipments data'!A:A,'Supply planning data'!A481,'Shipments data'!Y:Y,'Supply planning data'!D481,'Shipments data'!O:O,"received", 'Shipments data'!N:N, "Public")</f>
        <v>0</v>
      </c>
      <c r="S481" s="111">
        <f>SUMIFS('Shipments data'!L:L,'Shipments data'!F:F,'Supply planning data'!C481,'Shipments data'!A:A,'Supply planning data'!A481,'Shipments data'!Y:Y,'Supply planning data'!D481,'Shipments data'!O:O,"ordered", 'Shipments data'!N:N, "Public")</f>
        <v>0</v>
      </c>
      <c r="T481" s="111">
        <f>IF(SUMIFS('Shipments data'!L:L,'Shipments data'!F:F,'Supply planning data'!C481,'Shipments data'!A:A,'Supply planning data'!A481,'Shipments data'!O:O,"received",'Shipments data'!Q:Q,"&lt;"&amp;'Supply planning data'!D496,'Shipments data'!AC:AC,"&lt;"&amp;'Supply planning data'!D496)-SUMIFS(M:M,D:D,"&lt;="&amp;D481,C:C,C481)+SUMIFS(N:N,D:D,"&lt;="&amp;D481,C:C,C481)+SUMIFS(P:P,D:D,"&lt;="&amp;D481,C:C,C481)&lt;0,0,SUMIFS('Shipments data'!L:L,'Shipments data'!F:F,'Supply planning data'!C481,'Shipments data'!A:A,'Supply planning data'!A481,'Shipments data'!O:O,"received",'Shipments data'!Q:Q,"&lt;"&amp;'Supply planning data'!D496,'Shipments data'!AC:AC,"&lt;"&amp;'Supply planning data'!D496)-SUMIFS(M:M,D:D,"&lt;="&amp;D481,C:C,C481)+SUMIFS(N:N,D:D,"&lt;="&amp;D481,C:C,C481)+SUMIFS(P:P,D:D,"&lt;="&amp;D481,C:C,C481))</f>
        <v>0</v>
      </c>
      <c r="U481" s="112">
        <f t="shared" si="152"/>
        <v>0</v>
      </c>
      <c r="V481" s="111">
        <f t="shared" si="142"/>
        <v>0</v>
      </c>
      <c r="W481" s="204" t="str">
        <f t="shared" si="140"/>
        <v/>
      </c>
      <c r="X481" s="111">
        <f t="shared" si="153"/>
        <v>0</v>
      </c>
      <c r="Y481" s="110"/>
      <c r="Z481" s="107"/>
      <c r="AA481" s="111">
        <f t="shared" si="146"/>
        <v>0</v>
      </c>
      <c r="AB481" s="235"/>
      <c r="AC481" s="111">
        <f>IF(SUMIFS('Shipments data'!L:L,'Shipments data'!F:F,'Supply planning data'!C481,'Shipments data'!A:A,'Supply planning data'!A481,'Shipments data'!O:O,"received",'Shipments data'!Q:Q,"&lt;"&amp;'Supply planning data'!D496,'Shipments data'!AC:AC,"&lt;"&amp;'Supply planning data'!D496)-SUMIFS(M:M,D:D,"&lt;="&amp;D481,C:C,C481)-SUMIFS(AA:AA,D:D,"&lt;="&amp;D481,C:C,C481)+SUMIFS(N:N,D:D,"&lt;="&amp;D481,C:C,C481)+SUMIFS(P:P,D:D,"&lt;="&amp;D481,C:C,C481)&lt;0,0,SUMIFS('Shipments data'!L:L,'Shipments data'!F:F,'Supply planning data'!C481,'Shipments data'!A:A,'Supply planning data'!A481,'Shipments data'!O:O,"received",'Shipments data'!Q:Q,"&lt;"&amp;'Supply planning data'!D496,'Shipments data'!AC:AC,"&lt;"&amp;'Supply planning data'!D496)-SUMIFS(M:M,D:D,"&lt;="&amp;D481,C:C,C481)-SUMIFS(AA:AA,D:D,"&lt;="&amp;D481,C:C,C481)+SUMIFS(N:N,D:D,"&lt;="&amp;D481,C:C,C481)+SUMIFS(P:P,D:D,"&lt;="&amp;D481,C:C,C481))</f>
        <v>0</v>
      </c>
      <c r="AD481" s="111">
        <f t="shared" si="154"/>
        <v>0</v>
      </c>
      <c r="AE481" s="111">
        <f t="shared" si="148"/>
        <v>0</v>
      </c>
      <c r="AF481" s="204" t="str">
        <f t="shared" si="157"/>
        <v/>
      </c>
      <c r="AG481" s="111">
        <f t="shared" si="155"/>
        <v>0</v>
      </c>
      <c r="AH481" s="110"/>
      <c r="AI481" s="313"/>
      <c r="AJ481" s="111">
        <f t="shared" si="147"/>
        <v>0</v>
      </c>
      <c r="AK481" s="235"/>
      <c r="AL481" s="111">
        <f>IF(SUMIFS('Shipments data'!L:L,'Shipments data'!F:F,'Supply planning data'!C481,'Shipments data'!A:A,'Supply planning data'!A481,'Shipments data'!O:O,"received",'Shipments data'!Q:Q,"&lt;"&amp;'Supply planning data'!D496,'Shipments data'!AC:AC,"&lt;"&amp;'Supply planning data'!D496)-SUMIFS(M:M,D:D,"&lt;="&amp;D481,C:C,C481)-SUMIFS(AJ:AJ,D:D,"&lt;="&amp;D481,C:C,C481)+SUMIFS(N:N,D:D,"&lt;="&amp;D481,C:C,C481)+SUMIFS(P:P,D:D,"&lt;="&amp;D481,C:C,C481)&lt;0,0,SUMIFS('Shipments data'!L:L,'Shipments data'!F:F,'Supply planning data'!C481,'Shipments data'!A:A,'Supply planning data'!A481,'Shipments data'!O:O,"received",'Shipments data'!Q:Q,"&lt;"&amp;'Supply planning data'!D496,'Shipments data'!AC:AC,"&lt;"&amp;'Supply planning data'!D496)-SUMIFS(M:M,D:D,"&lt;="&amp;D481,C:C,C481)-SUMIFS(AJ:AJ,D:D,"&lt;="&amp;D481,C:C,C481)+SUMIFS(N:N,D:D,"&lt;="&amp;D481,C:C,C481)+SUMIFS(P:P,D:D,"&lt;="&amp;D481,C:C,C481))</f>
        <v>0</v>
      </c>
      <c r="AM481" s="111">
        <f t="shared" si="156"/>
        <v>0</v>
      </c>
      <c r="AN481" s="111">
        <f t="shared" si="149"/>
        <v>0</v>
      </c>
      <c r="AO481" s="204" t="str">
        <f t="shared" si="141"/>
        <v/>
      </c>
    </row>
    <row r="482" spans="1:41" hidden="1" x14ac:dyDescent="0.25">
      <c r="A482" s="103" t="str">
        <f>Start!D$7</f>
        <v>Anyland</v>
      </c>
      <c r="B482" s="109" t="str">
        <f>VLOOKUP(A482,list!B:C,2,FALSE)</f>
        <v>ANY</v>
      </c>
      <c r="C482" s="104" t="str">
        <f>IF(Start!$C$29="","",Start!$C$29)</f>
        <v/>
      </c>
      <c r="D482" s="298">
        <f t="shared" si="150"/>
        <v>45139</v>
      </c>
      <c r="E482" s="105" t="str">
        <f>IFERROR(VLOOKUP(C482,Start!C$15:D$31,2,FALSE),"No")</f>
        <v>No</v>
      </c>
      <c r="F482" s="105">
        <f t="shared" si="151"/>
        <v>0</v>
      </c>
      <c r="G482" s="106"/>
      <c r="H482" s="106"/>
      <c r="I482" s="106"/>
      <c r="J482" s="105">
        <f t="shared" si="143"/>
        <v>0</v>
      </c>
      <c r="K482" s="106"/>
      <c r="L482" s="177" t="str">
        <f t="shared" si="144"/>
        <v/>
      </c>
      <c r="M482" s="105">
        <f t="shared" si="145"/>
        <v>0</v>
      </c>
      <c r="N482" s="110"/>
      <c r="O482" s="124"/>
      <c r="P482" s="110"/>
      <c r="Q482" s="124"/>
      <c r="R482" s="111">
        <f>SUMIFS('Shipments data'!L:L,'Shipments data'!F:F,'Supply planning data'!C482,'Shipments data'!A:A,'Supply planning data'!A482,'Shipments data'!Y:Y,'Supply planning data'!D482,'Shipments data'!O:O,"received", 'Shipments data'!N:N, "Public")</f>
        <v>0</v>
      </c>
      <c r="S482" s="111">
        <f>SUMIFS('Shipments data'!L:L,'Shipments data'!F:F,'Supply planning data'!C482,'Shipments data'!A:A,'Supply planning data'!A482,'Shipments data'!Y:Y,'Supply planning data'!D482,'Shipments data'!O:O,"ordered", 'Shipments data'!N:N, "Public")</f>
        <v>0</v>
      </c>
      <c r="T482" s="111">
        <f>IF(SUMIFS('Shipments data'!L:L,'Shipments data'!F:F,'Supply planning data'!C482,'Shipments data'!A:A,'Supply planning data'!A482,'Shipments data'!O:O,"received",'Shipments data'!Q:Q,"&lt;"&amp;'Supply planning data'!D497,'Shipments data'!AC:AC,"&lt;"&amp;'Supply planning data'!D497)-SUMIFS(M:M,D:D,"&lt;="&amp;D482,C:C,C482)+SUMIFS(N:N,D:D,"&lt;="&amp;D482,C:C,C482)+SUMIFS(P:P,D:D,"&lt;="&amp;D482,C:C,C482)&lt;0,0,SUMIFS('Shipments data'!L:L,'Shipments data'!F:F,'Supply planning data'!C482,'Shipments data'!A:A,'Supply planning data'!A482,'Shipments data'!O:O,"received",'Shipments data'!Q:Q,"&lt;"&amp;'Supply planning data'!D497,'Shipments data'!AC:AC,"&lt;"&amp;'Supply planning data'!D497)-SUMIFS(M:M,D:D,"&lt;="&amp;D482,C:C,C482)+SUMIFS(N:N,D:D,"&lt;="&amp;D482,C:C,C482)+SUMIFS(P:P,D:D,"&lt;="&amp;D482,C:C,C482))</f>
        <v>0</v>
      </c>
      <c r="U482" s="112">
        <f t="shared" si="152"/>
        <v>0</v>
      </c>
      <c r="V482" s="111">
        <f t="shared" si="142"/>
        <v>0</v>
      </c>
      <c r="W482" s="204" t="str">
        <f t="shared" si="140"/>
        <v/>
      </c>
      <c r="X482" s="111">
        <f t="shared" si="153"/>
        <v>0</v>
      </c>
      <c r="Y482" s="110"/>
      <c r="Z482" s="107"/>
      <c r="AA482" s="111">
        <f t="shared" si="146"/>
        <v>0</v>
      </c>
      <c r="AB482" s="235"/>
      <c r="AC482" s="111">
        <f>IF(SUMIFS('Shipments data'!L:L,'Shipments data'!F:F,'Supply planning data'!C482,'Shipments data'!A:A,'Supply planning data'!A482,'Shipments data'!O:O,"received",'Shipments data'!Q:Q,"&lt;"&amp;'Supply planning data'!D497,'Shipments data'!AC:AC,"&lt;"&amp;'Supply planning data'!D497)-SUMIFS(M:M,D:D,"&lt;="&amp;D482,C:C,C482)-SUMIFS(AA:AA,D:D,"&lt;="&amp;D482,C:C,C482)+SUMIFS(N:N,D:D,"&lt;="&amp;D482,C:C,C482)+SUMIFS(P:P,D:D,"&lt;="&amp;D482,C:C,C482)&lt;0,0,SUMIFS('Shipments data'!L:L,'Shipments data'!F:F,'Supply planning data'!C482,'Shipments data'!A:A,'Supply planning data'!A482,'Shipments data'!O:O,"received",'Shipments data'!Q:Q,"&lt;"&amp;'Supply planning data'!D497,'Shipments data'!AC:AC,"&lt;"&amp;'Supply planning data'!D497)-SUMIFS(M:M,D:D,"&lt;="&amp;D482,C:C,C482)-SUMIFS(AA:AA,D:D,"&lt;="&amp;D482,C:C,C482)+SUMIFS(N:N,D:D,"&lt;="&amp;D482,C:C,C482)+SUMIFS(P:P,D:D,"&lt;="&amp;D482,C:C,C482))</f>
        <v>0</v>
      </c>
      <c r="AD482" s="111">
        <f t="shared" si="154"/>
        <v>0</v>
      </c>
      <c r="AE482" s="111">
        <f t="shared" si="148"/>
        <v>0</v>
      </c>
      <c r="AF482" s="204" t="str">
        <f t="shared" si="157"/>
        <v/>
      </c>
      <c r="AG482" s="111">
        <f t="shared" si="155"/>
        <v>0</v>
      </c>
      <c r="AH482" s="110"/>
      <c r="AI482" s="313"/>
      <c r="AJ482" s="111">
        <f t="shared" si="147"/>
        <v>0</v>
      </c>
      <c r="AK482" s="235"/>
      <c r="AL482" s="111">
        <f>IF(SUMIFS('Shipments data'!L:L,'Shipments data'!F:F,'Supply planning data'!C482,'Shipments data'!A:A,'Supply planning data'!A482,'Shipments data'!O:O,"received",'Shipments data'!Q:Q,"&lt;"&amp;'Supply planning data'!D497,'Shipments data'!AC:AC,"&lt;"&amp;'Supply planning data'!D497)-SUMIFS(M:M,D:D,"&lt;="&amp;D482,C:C,C482)-SUMIFS(AJ:AJ,D:D,"&lt;="&amp;D482,C:C,C482)+SUMIFS(N:N,D:D,"&lt;="&amp;D482,C:C,C482)+SUMIFS(P:P,D:D,"&lt;="&amp;D482,C:C,C482)&lt;0,0,SUMIFS('Shipments data'!L:L,'Shipments data'!F:F,'Supply planning data'!C482,'Shipments data'!A:A,'Supply planning data'!A482,'Shipments data'!O:O,"received",'Shipments data'!Q:Q,"&lt;"&amp;'Supply planning data'!D497,'Shipments data'!AC:AC,"&lt;"&amp;'Supply planning data'!D497)-SUMIFS(M:M,D:D,"&lt;="&amp;D482,C:C,C482)-SUMIFS(AJ:AJ,D:D,"&lt;="&amp;D482,C:C,C482)+SUMIFS(N:N,D:D,"&lt;="&amp;D482,C:C,C482)+SUMIFS(P:P,D:D,"&lt;="&amp;D482,C:C,C482))</f>
        <v>0</v>
      </c>
      <c r="AM482" s="111">
        <f t="shared" si="156"/>
        <v>0</v>
      </c>
      <c r="AN482" s="111">
        <f t="shared" si="149"/>
        <v>0</v>
      </c>
      <c r="AO482" s="204" t="str">
        <f t="shared" si="141"/>
        <v/>
      </c>
    </row>
    <row r="483" spans="1:41" hidden="1" x14ac:dyDescent="0.25">
      <c r="A483" s="103" t="str">
        <f>Start!D$7</f>
        <v>Anyland</v>
      </c>
      <c r="B483" s="109" t="str">
        <f>VLOOKUP(A483,list!B:C,2,FALSE)</f>
        <v>ANY</v>
      </c>
      <c r="C483" s="109" t="str">
        <f>IF(Start!$C$30="","",Start!$C$30)</f>
        <v/>
      </c>
      <c r="D483" s="298">
        <f t="shared" si="150"/>
        <v>45139</v>
      </c>
      <c r="E483" s="105" t="str">
        <f>IFERROR(VLOOKUP(C483,Start!C$15:D$31,2,FALSE),"No")</f>
        <v>No</v>
      </c>
      <c r="F483" s="105">
        <f t="shared" si="151"/>
        <v>0</v>
      </c>
      <c r="G483" s="106"/>
      <c r="H483" s="106"/>
      <c r="I483" s="106"/>
      <c r="J483" s="105">
        <f t="shared" si="143"/>
        <v>0</v>
      </c>
      <c r="K483" s="106"/>
      <c r="L483" s="177" t="str">
        <f t="shared" si="144"/>
        <v/>
      </c>
      <c r="M483" s="105">
        <f t="shared" si="145"/>
        <v>0</v>
      </c>
      <c r="N483" s="110"/>
      <c r="O483" s="124"/>
      <c r="P483" s="110"/>
      <c r="Q483" s="124"/>
      <c r="R483" s="111">
        <f>SUMIFS('Shipments data'!L:L,'Shipments data'!F:F,'Supply planning data'!C483,'Shipments data'!A:A,'Supply planning data'!A483,'Shipments data'!Y:Y,'Supply planning data'!D483,'Shipments data'!O:O,"received", 'Shipments data'!N:N, "Public")</f>
        <v>0</v>
      </c>
      <c r="S483" s="111">
        <f>SUMIFS('Shipments data'!L:L,'Shipments data'!F:F,'Supply planning data'!C483,'Shipments data'!A:A,'Supply planning data'!A483,'Shipments data'!Y:Y,'Supply planning data'!D483,'Shipments data'!O:O,"ordered", 'Shipments data'!N:N, "Public")</f>
        <v>0</v>
      </c>
      <c r="T483" s="111">
        <f>IF(SUMIFS('Shipments data'!L:L,'Shipments data'!F:F,'Supply planning data'!C483,'Shipments data'!A:A,'Supply planning data'!A483,'Shipments data'!O:O,"received",'Shipments data'!Q:Q,"&lt;"&amp;'Supply planning data'!D498,'Shipments data'!AC:AC,"&lt;"&amp;'Supply planning data'!D498)-SUMIFS(M:M,D:D,"&lt;="&amp;D483,C:C,C483)+SUMIFS(N:N,D:D,"&lt;="&amp;D483,C:C,C483)+SUMIFS(P:P,D:D,"&lt;="&amp;D483,C:C,C483)&lt;0,0,SUMIFS('Shipments data'!L:L,'Shipments data'!F:F,'Supply planning data'!C483,'Shipments data'!A:A,'Supply planning data'!A483,'Shipments data'!O:O,"received",'Shipments data'!Q:Q,"&lt;"&amp;'Supply planning data'!D498,'Shipments data'!AC:AC,"&lt;"&amp;'Supply planning data'!D498)-SUMIFS(M:M,D:D,"&lt;="&amp;D483,C:C,C483)+SUMIFS(N:N,D:D,"&lt;="&amp;D483,C:C,C483)+SUMIFS(P:P,D:D,"&lt;="&amp;D483,C:C,C483))</f>
        <v>0</v>
      </c>
      <c r="U483" s="112">
        <f t="shared" si="152"/>
        <v>0</v>
      </c>
      <c r="V483" s="111">
        <f t="shared" si="142"/>
        <v>0</v>
      </c>
      <c r="W483" s="204" t="str">
        <f t="shared" si="140"/>
        <v/>
      </c>
      <c r="X483" s="111">
        <f t="shared" si="153"/>
        <v>0</v>
      </c>
      <c r="Y483" s="110"/>
      <c r="Z483" s="107"/>
      <c r="AA483" s="111">
        <f t="shared" si="146"/>
        <v>0</v>
      </c>
      <c r="AB483" s="235"/>
      <c r="AC483" s="111">
        <f>IF(SUMIFS('Shipments data'!L:L,'Shipments data'!F:F,'Supply planning data'!C483,'Shipments data'!A:A,'Supply planning data'!A483,'Shipments data'!O:O,"received",'Shipments data'!Q:Q,"&lt;"&amp;'Supply planning data'!D498,'Shipments data'!AC:AC,"&lt;"&amp;'Supply planning data'!D498)-SUMIFS(M:M,D:D,"&lt;="&amp;D483,C:C,C483)-SUMIFS(AA:AA,D:D,"&lt;="&amp;D483,C:C,C483)+SUMIFS(N:N,D:D,"&lt;="&amp;D483,C:C,C483)+SUMIFS(P:P,D:D,"&lt;="&amp;D483,C:C,C483)&lt;0,0,SUMIFS('Shipments data'!L:L,'Shipments data'!F:F,'Supply planning data'!C483,'Shipments data'!A:A,'Supply planning data'!A483,'Shipments data'!O:O,"received",'Shipments data'!Q:Q,"&lt;"&amp;'Supply planning data'!D498,'Shipments data'!AC:AC,"&lt;"&amp;'Supply planning data'!D498)-SUMIFS(M:M,D:D,"&lt;="&amp;D483,C:C,C483)-SUMIFS(AA:AA,D:D,"&lt;="&amp;D483,C:C,C483)+SUMIFS(N:N,D:D,"&lt;="&amp;D483,C:C,C483)+SUMIFS(P:P,D:D,"&lt;="&amp;D483,C:C,C483))</f>
        <v>0</v>
      </c>
      <c r="AD483" s="111">
        <f t="shared" si="154"/>
        <v>0</v>
      </c>
      <c r="AE483" s="111">
        <f t="shared" si="148"/>
        <v>0</v>
      </c>
      <c r="AF483" s="204" t="str">
        <f t="shared" si="157"/>
        <v/>
      </c>
      <c r="AG483" s="111">
        <f t="shared" si="155"/>
        <v>0</v>
      </c>
      <c r="AH483" s="110"/>
      <c r="AI483" s="313"/>
      <c r="AJ483" s="111">
        <f t="shared" si="147"/>
        <v>0</v>
      </c>
      <c r="AK483" s="235"/>
      <c r="AL483" s="111">
        <f>IF(SUMIFS('Shipments data'!L:L,'Shipments data'!F:F,'Supply planning data'!C483,'Shipments data'!A:A,'Supply planning data'!A483,'Shipments data'!O:O,"received",'Shipments data'!Q:Q,"&lt;"&amp;'Supply planning data'!D498,'Shipments data'!AC:AC,"&lt;"&amp;'Supply planning data'!D498)-SUMIFS(M:M,D:D,"&lt;="&amp;D483,C:C,C483)-SUMIFS(AJ:AJ,D:D,"&lt;="&amp;D483,C:C,C483)+SUMIFS(N:N,D:D,"&lt;="&amp;D483,C:C,C483)+SUMIFS(P:P,D:D,"&lt;="&amp;D483,C:C,C483)&lt;0,0,SUMIFS('Shipments data'!L:L,'Shipments data'!F:F,'Supply planning data'!C483,'Shipments data'!A:A,'Supply planning data'!A483,'Shipments data'!O:O,"received",'Shipments data'!Q:Q,"&lt;"&amp;'Supply planning data'!D498,'Shipments data'!AC:AC,"&lt;"&amp;'Supply planning data'!D498)-SUMIFS(M:M,D:D,"&lt;="&amp;D483,C:C,C483)-SUMIFS(AJ:AJ,D:D,"&lt;="&amp;D483,C:C,C483)+SUMIFS(N:N,D:D,"&lt;="&amp;D483,C:C,C483)+SUMIFS(P:P,D:D,"&lt;="&amp;D483,C:C,C483))</f>
        <v>0</v>
      </c>
      <c r="AM483" s="111">
        <f t="shared" si="156"/>
        <v>0</v>
      </c>
      <c r="AN483" s="111">
        <f t="shared" si="149"/>
        <v>0</v>
      </c>
      <c r="AO483" s="204" t="str">
        <f t="shared" si="141"/>
        <v/>
      </c>
    </row>
    <row r="484" spans="1:41" hidden="1" x14ac:dyDescent="0.25">
      <c r="A484" s="113" t="str">
        <f>Start!D$7</f>
        <v>Anyland</v>
      </c>
      <c r="B484" s="114" t="str">
        <f>VLOOKUP(A484,list!B:C,2,FALSE)</f>
        <v>ANY</v>
      </c>
      <c r="C484" s="104" t="str">
        <f>IF(Start!$C$31="","",Start!$C$31)</f>
        <v/>
      </c>
      <c r="D484" s="298">
        <f t="shared" si="150"/>
        <v>45139</v>
      </c>
      <c r="E484" s="105" t="str">
        <f>IFERROR(VLOOKUP(C484,Start!C$15:D$31,2,FALSE),"No")</f>
        <v>No</v>
      </c>
      <c r="F484" s="105">
        <f t="shared" si="151"/>
        <v>0</v>
      </c>
      <c r="G484" s="106"/>
      <c r="H484" s="106"/>
      <c r="I484" s="106"/>
      <c r="J484" s="105">
        <f t="shared" si="143"/>
        <v>0</v>
      </c>
      <c r="K484" s="106"/>
      <c r="L484" s="177" t="str">
        <f t="shared" si="144"/>
        <v/>
      </c>
      <c r="M484" s="105">
        <f t="shared" si="145"/>
        <v>0</v>
      </c>
      <c r="N484" s="110"/>
      <c r="O484" s="124"/>
      <c r="P484" s="110"/>
      <c r="Q484" s="124"/>
      <c r="R484" s="111">
        <f>SUMIFS('Shipments data'!L:L,'Shipments data'!F:F,'Supply planning data'!C484,'Shipments data'!A:A,'Supply planning data'!A484,'Shipments data'!Y:Y,'Supply planning data'!D484,'Shipments data'!O:O,"received", 'Shipments data'!N:N, "Public")</f>
        <v>0</v>
      </c>
      <c r="S484" s="111">
        <f>SUMIFS('Shipments data'!L:L,'Shipments data'!F:F,'Supply planning data'!C484,'Shipments data'!A:A,'Supply planning data'!A484,'Shipments data'!Y:Y,'Supply planning data'!D484,'Shipments data'!O:O,"ordered", 'Shipments data'!N:N, "Public")</f>
        <v>0</v>
      </c>
      <c r="T484" s="111">
        <f>IF(SUMIFS('Shipments data'!L:L,'Shipments data'!F:F,'Supply planning data'!C484,'Shipments data'!A:A,'Supply planning data'!A484,'Shipments data'!O:O,"received",'Shipments data'!Q:Q,"&lt;"&amp;'Supply planning data'!D499,'Shipments data'!AC:AC,"&lt;"&amp;'Supply planning data'!D499)-SUMIFS(M:M,D:D,"&lt;="&amp;D484,C:C,C484)+SUMIFS(N:N,D:D,"&lt;="&amp;D484,C:C,C484)+SUMIFS(P:P,D:D,"&lt;="&amp;D484,C:C,C484)&lt;0,0,SUMIFS('Shipments data'!L:L,'Shipments data'!F:F,'Supply planning data'!C484,'Shipments data'!A:A,'Supply planning data'!A484,'Shipments data'!O:O,"received",'Shipments data'!Q:Q,"&lt;"&amp;'Supply planning data'!D499,'Shipments data'!AC:AC,"&lt;"&amp;'Supply planning data'!D499)-SUMIFS(M:M,D:D,"&lt;="&amp;D484,C:C,C484)+SUMIFS(N:N,D:D,"&lt;="&amp;D484,C:C,C484)+SUMIFS(P:P,D:D,"&lt;="&amp;D484,C:C,C484))</f>
        <v>0</v>
      </c>
      <c r="U484" s="112">
        <f t="shared" si="152"/>
        <v>0</v>
      </c>
      <c r="V484" s="111">
        <f t="shared" si="142"/>
        <v>0</v>
      </c>
      <c r="W484" s="204" t="str">
        <f t="shared" ref="W484:W547" si="158">IF(M484&lt;=0,"",IFERROR(V484/(SUM(M484,M469,M454)/3),""))</f>
        <v/>
      </c>
      <c r="X484" s="111">
        <f t="shared" si="153"/>
        <v>0</v>
      </c>
      <c r="Y484" s="110"/>
      <c r="Z484" s="107"/>
      <c r="AA484" s="111">
        <f t="shared" si="146"/>
        <v>0</v>
      </c>
      <c r="AB484" s="235"/>
      <c r="AC484" s="111">
        <f>IF(SUMIFS('Shipments data'!L:L,'Shipments data'!F:F,'Supply planning data'!C484,'Shipments data'!A:A,'Supply planning data'!A484,'Shipments data'!O:O,"received",'Shipments data'!Q:Q,"&lt;"&amp;'Supply planning data'!D499,'Shipments data'!AC:AC,"&lt;"&amp;'Supply planning data'!D499)-SUMIFS(M:M,D:D,"&lt;="&amp;D484,C:C,C484)-SUMIFS(AA:AA,D:D,"&lt;="&amp;D484,C:C,C484)+SUMIFS(N:N,D:D,"&lt;="&amp;D484,C:C,C484)+SUMIFS(P:P,D:D,"&lt;="&amp;D484,C:C,C484)&lt;0,0,SUMIFS('Shipments data'!L:L,'Shipments data'!F:F,'Supply planning data'!C484,'Shipments data'!A:A,'Supply planning data'!A484,'Shipments data'!O:O,"received",'Shipments data'!Q:Q,"&lt;"&amp;'Supply planning data'!D499,'Shipments data'!AC:AC,"&lt;"&amp;'Supply planning data'!D499)-SUMIFS(M:M,D:D,"&lt;="&amp;D484,C:C,C484)-SUMIFS(AA:AA,D:D,"&lt;="&amp;D484,C:C,C484)+SUMIFS(N:N,D:D,"&lt;="&amp;D484,C:C,C484)+SUMIFS(P:P,D:D,"&lt;="&amp;D484,C:C,C484))</f>
        <v>0</v>
      </c>
      <c r="AD484" s="111">
        <f t="shared" si="154"/>
        <v>0</v>
      </c>
      <c r="AE484" s="111">
        <f t="shared" si="148"/>
        <v>0</v>
      </c>
      <c r="AF484" s="204" t="str">
        <f t="shared" si="157"/>
        <v/>
      </c>
      <c r="AG484" s="111">
        <f t="shared" si="155"/>
        <v>0</v>
      </c>
      <c r="AH484" s="110"/>
      <c r="AI484" s="313"/>
      <c r="AJ484" s="111">
        <f t="shared" si="147"/>
        <v>0</v>
      </c>
      <c r="AK484" s="235"/>
      <c r="AL484" s="111">
        <f>IF(SUMIFS('Shipments data'!L:L,'Shipments data'!F:F,'Supply planning data'!C484,'Shipments data'!A:A,'Supply planning data'!A484,'Shipments data'!O:O,"received",'Shipments data'!Q:Q,"&lt;"&amp;'Supply planning data'!D499,'Shipments data'!AC:AC,"&lt;"&amp;'Supply planning data'!D499)-SUMIFS(M:M,D:D,"&lt;="&amp;D484,C:C,C484)-SUMIFS(AJ:AJ,D:D,"&lt;="&amp;D484,C:C,C484)+SUMIFS(N:N,D:D,"&lt;="&amp;D484,C:C,C484)+SUMIFS(P:P,D:D,"&lt;="&amp;D484,C:C,C484)&lt;0,0,SUMIFS('Shipments data'!L:L,'Shipments data'!F:F,'Supply planning data'!C484,'Shipments data'!A:A,'Supply planning data'!A484,'Shipments data'!O:O,"received",'Shipments data'!Q:Q,"&lt;"&amp;'Supply planning data'!D499,'Shipments data'!AC:AC,"&lt;"&amp;'Supply planning data'!D499)-SUMIFS(M:M,D:D,"&lt;="&amp;D484,C:C,C484)-SUMIFS(AJ:AJ,D:D,"&lt;="&amp;D484,C:C,C484)+SUMIFS(N:N,D:D,"&lt;="&amp;D484,C:C,C484)+SUMIFS(P:P,D:D,"&lt;="&amp;D484,C:C,C484))</f>
        <v>0</v>
      </c>
      <c r="AM484" s="111">
        <f t="shared" si="156"/>
        <v>0</v>
      </c>
      <c r="AN484" s="111">
        <f t="shared" si="149"/>
        <v>0</v>
      </c>
      <c r="AO484" s="204" t="str">
        <f t="shared" ref="AO484:AO547" si="159">IF(M484+AJ484&lt;=0,"",IFERROR(AN484/(SUM(M484,M514,M499,AJ484,AJ514,AJ499)/3),""))</f>
        <v/>
      </c>
    </row>
    <row r="485" spans="1:41" x14ac:dyDescent="0.25">
      <c r="A485" s="89" t="str">
        <f>Start!D$7</f>
        <v>Anyland</v>
      </c>
      <c r="B485" s="90" t="str">
        <f>VLOOKUP(A485,list!B:C,2,FALSE)</f>
        <v>ANY</v>
      </c>
      <c r="C485" s="90" t="str">
        <f>IF(Start!$C$17="","",Start!$C$17)</f>
        <v>AstraZeneca</v>
      </c>
      <c r="D485" s="296">
        <f t="shared" si="150"/>
        <v>45170</v>
      </c>
      <c r="E485" s="92" t="str">
        <f>IFERROR(VLOOKUP(C485,Start!C$15:D$31,2,FALSE),"No")</f>
        <v>Yes</v>
      </c>
      <c r="F485" s="92">
        <f t="shared" si="151"/>
        <v>0</v>
      </c>
      <c r="G485" s="91"/>
      <c r="H485" s="91"/>
      <c r="I485" s="91"/>
      <c r="J485" s="92">
        <f t="shared" si="143"/>
        <v>0</v>
      </c>
      <c r="K485" s="91"/>
      <c r="L485" s="174" t="str">
        <f t="shared" si="144"/>
        <v/>
      </c>
      <c r="M485" s="92">
        <f t="shared" si="145"/>
        <v>0</v>
      </c>
      <c r="N485" s="91"/>
      <c r="O485" s="121"/>
      <c r="P485" s="91"/>
      <c r="Q485" s="121"/>
      <c r="R485" s="92">
        <f>SUMIFS('Shipments data'!L:L,'Shipments data'!F:F,'Supply planning data'!C485,'Shipments data'!A:A,'Supply planning data'!A485,'Shipments data'!Y:Y,'Supply planning data'!D485,'Shipments data'!O:O,"received", 'Shipments data'!N:N, "Public")</f>
        <v>0</v>
      </c>
      <c r="S485" s="92">
        <f>SUMIFS('Shipments data'!L:L,'Shipments data'!F:F,'Supply planning data'!C485,'Shipments data'!A:A,'Supply planning data'!A485,'Shipments data'!Y:Y,'Supply planning data'!D485,'Shipments data'!O:O,"ordered", 'Shipments data'!N:N, "Public")</f>
        <v>0</v>
      </c>
      <c r="T485" s="92">
        <f>IF(SUMIFS('Shipments data'!L:L,'Shipments data'!F:F,'Supply planning data'!C485,'Shipments data'!A:A,'Supply planning data'!A485,'Shipments data'!O:O,"received",'Shipments data'!Q:Q,"&lt;"&amp;'Supply planning data'!D500,'Shipments data'!AC:AC,"&lt;"&amp;'Supply planning data'!D500)-SUMIFS(M:M,D:D,"&lt;="&amp;D485,C:C,C485)+SUMIFS(N:N,D:D,"&lt;="&amp;D485,C:C,C485)+SUMIFS(P:P,D:D,"&lt;="&amp;D485,C:C,C485)&lt;0,0,SUMIFS('Shipments data'!L:L,'Shipments data'!F:F,'Supply planning data'!C485,'Shipments data'!A:A,'Supply planning data'!A485,'Shipments data'!O:O,"received",'Shipments data'!Q:Q,"&lt;"&amp;'Supply planning data'!D500,'Shipments data'!AC:AC,"&lt;"&amp;'Supply planning data'!D500)-SUMIFS(M:M,D:D,"&lt;="&amp;D485,C:C,C485)+SUMIFS(N:N,D:D,"&lt;="&amp;D485,C:C,C485)+SUMIFS(P:P,D:D,"&lt;="&amp;D485,C:C,C485))</f>
        <v>0</v>
      </c>
      <c r="U485" s="94">
        <f t="shared" si="152"/>
        <v>0</v>
      </c>
      <c r="V485" s="92">
        <f t="shared" si="142"/>
        <v>0</v>
      </c>
      <c r="W485" s="205" t="str">
        <f t="shared" si="158"/>
        <v/>
      </c>
      <c r="X485" s="92">
        <f t="shared" si="153"/>
        <v>154701</v>
      </c>
      <c r="Y485" s="91"/>
      <c r="Z485" s="93"/>
      <c r="AA485" s="92">
        <f t="shared" si="146"/>
        <v>0</v>
      </c>
      <c r="AB485" s="232"/>
      <c r="AC485" s="92">
        <f>IF(SUMIFS('Shipments data'!L:L,'Shipments data'!F:F,'Supply planning data'!C485,'Shipments data'!A:A,'Supply planning data'!A485,'Shipments data'!O:O,"received",'Shipments data'!Q:Q,"&lt;"&amp;'Supply planning data'!D500,'Shipments data'!AC:AC,"&lt;"&amp;'Supply planning data'!D500)-SUMIFS(M:M,D:D,"&lt;="&amp;D485,C:C,C485)-SUMIFS(AA:AA,D:D,"&lt;="&amp;D485,C:C,C485)+SUMIFS(N:N,D:D,"&lt;="&amp;D485,C:C,C485)+SUMIFS(P:P,D:D,"&lt;="&amp;D485,C:C,C485)&lt;0,0,SUMIFS('Shipments data'!L:L,'Shipments data'!F:F,'Supply planning data'!C485,'Shipments data'!A:A,'Supply planning data'!A485,'Shipments data'!O:O,"received",'Shipments data'!Q:Q,"&lt;"&amp;'Supply planning data'!D500,'Shipments data'!AC:AC,"&lt;"&amp;'Supply planning data'!D500)-SUMIFS(M:M,D:D,"&lt;="&amp;D485,C:C,C485)-SUMIFS(AA:AA,D:D,"&lt;="&amp;D485,C:C,C485)+SUMIFS(N:N,D:D,"&lt;="&amp;D485,C:C,C485)+SUMIFS(P:P,D:D,"&lt;="&amp;D485,C:C,C485))</f>
        <v>0</v>
      </c>
      <c r="AD485" s="92">
        <f t="shared" si="154"/>
        <v>0</v>
      </c>
      <c r="AE485" s="92">
        <f t="shared" si="148"/>
        <v>154701</v>
      </c>
      <c r="AF485" s="205" t="str">
        <f t="shared" si="157"/>
        <v/>
      </c>
      <c r="AG485" s="92">
        <f t="shared" si="155"/>
        <v>0</v>
      </c>
      <c r="AH485" s="91"/>
      <c r="AI485" s="310"/>
      <c r="AJ485" s="92">
        <f t="shared" si="147"/>
        <v>0</v>
      </c>
      <c r="AK485" s="232"/>
      <c r="AL485" s="92">
        <f>IF(SUMIFS('Shipments data'!L:L,'Shipments data'!F:F,'Supply planning data'!C485,'Shipments data'!A:A,'Supply planning data'!A485,'Shipments data'!O:O,"received",'Shipments data'!Q:Q,"&lt;"&amp;'Supply planning data'!D500,'Shipments data'!AC:AC,"&lt;"&amp;'Supply planning data'!D500)-SUMIFS(M:M,D:D,"&lt;="&amp;D485,C:C,C485)-SUMIFS(AJ:AJ,D:D,"&lt;="&amp;D485,C:C,C485)+SUMIFS(N:N,D:D,"&lt;="&amp;D485,C:C,C485)+SUMIFS(P:P,D:D,"&lt;="&amp;D485,C:C,C485)&lt;0,0,SUMIFS('Shipments data'!L:L,'Shipments data'!F:F,'Supply planning data'!C485,'Shipments data'!A:A,'Supply planning data'!A485,'Shipments data'!O:O,"received",'Shipments data'!Q:Q,"&lt;"&amp;'Supply planning data'!D500,'Shipments data'!AC:AC,"&lt;"&amp;'Supply planning data'!D500)-SUMIFS(M:M,D:D,"&lt;="&amp;D485,C:C,C485)-SUMIFS(AJ:AJ,D:D,"&lt;="&amp;D485,C:C,C485)+SUMIFS(N:N,D:D,"&lt;="&amp;D485,C:C,C485)+SUMIFS(P:P,D:D,"&lt;="&amp;D485,C:C,C485))</f>
        <v>0</v>
      </c>
      <c r="AM485" s="92">
        <f t="shared" si="156"/>
        <v>0</v>
      </c>
      <c r="AN485" s="92">
        <f t="shared" si="149"/>
        <v>0</v>
      </c>
      <c r="AO485" s="205" t="str">
        <f t="shared" si="159"/>
        <v/>
      </c>
    </row>
    <row r="486" spans="1:41" x14ac:dyDescent="0.25">
      <c r="A486" s="95" t="str">
        <f>Start!D$7</f>
        <v>Anyland</v>
      </c>
      <c r="B486" s="96" t="str">
        <f>VLOOKUP(A486,list!B:C,2,FALSE)</f>
        <v>ANY</v>
      </c>
      <c r="C486" s="90" t="str">
        <f>IF(Start!$C$18="","",Start!$C$18)</f>
        <v>Jansen</v>
      </c>
      <c r="D486" s="296">
        <f t="shared" si="150"/>
        <v>45170</v>
      </c>
      <c r="E486" s="92" t="str">
        <f>IFERROR(VLOOKUP(C486,Start!C$15:D$31,2,FALSE),"No")</f>
        <v>Yes</v>
      </c>
      <c r="F486" s="92">
        <f t="shared" si="151"/>
        <v>2258747</v>
      </c>
      <c r="G486" s="91"/>
      <c r="H486" s="97"/>
      <c r="I486" s="97"/>
      <c r="J486" s="98">
        <f t="shared" si="143"/>
        <v>0</v>
      </c>
      <c r="K486" s="97"/>
      <c r="L486" s="175" t="str">
        <f t="shared" si="144"/>
        <v/>
      </c>
      <c r="M486" s="98">
        <f t="shared" si="145"/>
        <v>0</v>
      </c>
      <c r="N486" s="97"/>
      <c r="O486" s="122"/>
      <c r="P486" s="97"/>
      <c r="Q486" s="122"/>
      <c r="R486" s="98">
        <f>SUMIFS('Shipments data'!L:L,'Shipments data'!F:F,'Supply planning data'!C486,'Shipments data'!A:A,'Supply planning data'!A486,'Shipments data'!Y:Y,'Supply planning data'!D486,'Shipments data'!O:O,"received", 'Shipments data'!N:N, "Public")</f>
        <v>0</v>
      </c>
      <c r="S486" s="98">
        <f>SUMIFS('Shipments data'!L:L,'Shipments data'!F:F,'Supply planning data'!C486,'Shipments data'!A:A,'Supply planning data'!A486,'Shipments data'!Y:Y,'Supply planning data'!D486,'Shipments data'!O:O,"ordered", 'Shipments data'!N:N, "Public")</f>
        <v>0</v>
      </c>
      <c r="T486" s="98">
        <f>IF(SUMIFS('Shipments data'!L:L,'Shipments data'!F:F,'Supply planning data'!C486,'Shipments data'!A:A,'Supply planning data'!A486,'Shipments data'!O:O,"received",'Shipments data'!Q:Q,"&lt;"&amp;'Supply planning data'!D501,'Shipments data'!AC:AC,"&lt;"&amp;'Supply planning data'!D501)-SUMIFS(M:M,D:D,"&lt;="&amp;D486,C:C,C486)+SUMIFS(N:N,D:D,"&lt;="&amp;D486,C:C,C486)+SUMIFS(P:P,D:D,"&lt;="&amp;D486,C:C,C486)&lt;0,0,SUMIFS('Shipments data'!L:L,'Shipments data'!F:F,'Supply planning data'!C486,'Shipments data'!A:A,'Supply planning data'!A486,'Shipments data'!O:O,"received",'Shipments data'!Q:Q,"&lt;"&amp;'Supply planning data'!D501,'Shipments data'!AC:AC,"&lt;"&amp;'Supply planning data'!D501)-SUMIFS(M:M,D:D,"&lt;="&amp;D486,C:C,C486)+SUMIFS(N:N,D:D,"&lt;="&amp;D486,C:C,C486)+SUMIFS(P:P,D:D,"&lt;="&amp;D486,C:C,C486))</f>
        <v>0</v>
      </c>
      <c r="U486" s="99">
        <f t="shared" si="152"/>
        <v>0</v>
      </c>
      <c r="V486" s="98">
        <f t="shared" si="142"/>
        <v>2258747</v>
      </c>
      <c r="W486" s="203" t="str">
        <f t="shared" si="158"/>
        <v/>
      </c>
      <c r="X486" s="98">
        <f t="shared" si="153"/>
        <v>1698747</v>
      </c>
      <c r="Y486" s="97"/>
      <c r="Z486" s="93"/>
      <c r="AA486" s="98">
        <f t="shared" si="146"/>
        <v>0</v>
      </c>
      <c r="AB486" s="233"/>
      <c r="AC486" s="98">
        <f>IF(SUMIFS('Shipments data'!L:L,'Shipments data'!F:F,'Supply planning data'!C486,'Shipments data'!A:A,'Supply planning data'!A486,'Shipments data'!O:O,"received",'Shipments data'!Q:Q,"&lt;"&amp;'Supply planning data'!D501,'Shipments data'!AC:AC,"&lt;"&amp;'Supply planning data'!D501)-SUMIFS(M:M,D:D,"&lt;="&amp;D486,C:C,C486)-SUMIFS(AA:AA,D:D,"&lt;="&amp;D486,C:C,C486)+SUMIFS(N:N,D:D,"&lt;="&amp;D486,C:C,C486)+SUMIFS(P:P,D:D,"&lt;="&amp;D486,C:C,C486)&lt;0,0,SUMIFS('Shipments data'!L:L,'Shipments data'!F:F,'Supply planning data'!C486,'Shipments data'!A:A,'Supply planning data'!A486,'Shipments data'!O:O,"received",'Shipments data'!Q:Q,"&lt;"&amp;'Supply planning data'!D501,'Shipments data'!AC:AC,"&lt;"&amp;'Supply planning data'!D501)-SUMIFS(M:M,D:D,"&lt;="&amp;D486,C:C,C486)-SUMIFS(AA:AA,D:D,"&lt;="&amp;D486,C:C,C486)+SUMIFS(N:N,D:D,"&lt;="&amp;D486,C:C,C486)+SUMIFS(P:P,D:D,"&lt;="&amp;D486,C:C,C486))</f>
        <v>0</v>
      </c>
      <c r="AD486" s="98">
        <f t="shared" si="154"/>
        <v>0</v>
      </c>
      <c r="AE486" s="98">
        <f t="shared" si="148"/>
        <v>1698747</v>
      </c>
      <c r="AF486" s="205" t="str">
        <f t="shared" si="157"/>
        <v/>
      </c>
      <c r="AG486" s="98">
        <f t="shared" si="155"/>
        <v>2258747</v>
      </c>
      <c r="AH486" s="97"/>
      <c r="AI486" s="311"/>
      <c r="AJ486" s="98">
        <f t="shared" si="147"/>
        <v>0</v>
      </c>
      <c r="AK486" s="233"/>
      <c r="AL486" s="98">
        <f>IF(SUMIFS('Shipments data'!L:L,'Shipments data'!F:F,'Supply planning data'!C486,'Shipments data'!A:A,'Supply planning data'!A486,'Shipments data'!O:O,"received",'Shipments data'!Q:Q,"&lt;"&amp;'Supply planning data'!D501,'Shipments data'!AC:AC,"&lt;"&amp;'Supply planning data'!D501)-SUMIFS(M:M,D:D,"&lt;="&amp;D486,C:C,C486)-SUMIFS(AJ:AJ,D:D,"&lt;="&amp;D486,C:C,C486)+SUMIFS(N:N,D:D,"&lt;="&amp;D486,C:C,C486)+SUMIFS(P:P,D:D,"&lt;="&amp;D486,C:C,C486)&lt;0,0,SUMIFS('Shipments data'!L:L,'Shipments data'!F:F,'Supply planning data'!C486,'Shipments data'!A:A,'Supply planning data'!A486,'Shipments data'!O:O,"received",'Shipments data'!Q:Q,"&lt;"&amp;'Supply planning data'!D501,'Shipments data'!AC:AC,"&lt;"&amp;'Supply planning data'!D501)-SUMIFS(M:M,D:D,"&lt;="&amp;D486,C:C,C486)-SUMIFS(AJ:AJ,D:D,"&lt;="&amp;D486,C:C,C486)+SUMIFS(N:N,D:D,"&lt;="&amp;D486,C:C,C486)+SUMIFS(P:P,D:D,"&lt;="&amp;D486,C:C,C486))</f>
        <v>0</v>
      </c>
      <c r="AM486" s="98">
        <f t="shared" si="156"/>
        <v>0</v>
      </c>
      <c r="AN486" s="98">
        <f t="shared" si="149"/>
        <v>2258747</v>
      </c>
      <c r="AO486" s="203" t="str">
        <f t="shared" si="159"/>
        <v/>
      </c>
    </row>
    <row r="487" spans="1:41" x14ac:dyDescent="0.25">
      <c r="A487" s="95" t="str">
        <f>Start!D$7</f>
        <v>Anyland</v>
      </c>
      <c r="B487" s="96" t="str">
        <f>VLOOKUP(A487,list!B:C,2,FALSE)</f>
        <v>ANY</v>
      </c>
      <c r="C487" s="90" t="str">
        <f>IF(Start!$C$19="","",Start!$C$19)</f>
        <v>Moderna</v>
      </c>
      <c r="D487" s="296">
        <f t="shared" si="150"/>
        <v>45170</v>
      </c>
      <c r="E487" s="92" t="str">
        <f>IFERROR(VLOOKUP(C487,Start!C$15:D$31,2,FALSE),"No")</f>
        <v>No</v>
      </c>
      <c r="F487" s="92">
        <f t="shared" si="151"/>
        <v>0</v>
      </c>
      <c r="G487" s="91"/>
      <c r="H487" s="97"/>
      <c r="I487" s="97"/>
      <c r="J487" s="98">
        <f t="shared" si="143"/>
        <v>0</v>
      </c>
      <c r="K487" s="97"/>
      <c r="L487" s="175" t="str">
        <f t="shared" si="144"/>
        <v/>
      </c>
      <c r="M487" s="98">
        <f t="shared" si="145"/>
        <v>0</v>
      </c>
      <c r="N487" s="97"/>
      <c r="O487" s="122"/>
      <c r="P487" s="97"/>
      <c r="Q487" s="122"/>
      <c r="R487" s="98">
        <f>SUMIFS('Shipments data'!L:L,'Shipments data'!F:F,'Supply planning data'!C487,'Shipments data'!A:A,'Supply planning data'!A487,'Shipments data'!Y:Y,'Supply planning data'!D487,'Shipments data'!O:O,"received", 'Shipments data'!N:N, "Public")</f>
        <v>0</v>
      </c>
      <c r="S487" s="98">
        <f>SUMIFS('Shipments data'!L:L,'Shipments data'!F:F,'Supply planning data'!C487,'Shipments data'!A:A,'Supply planning data'!A487,'Shipments data'!Y:Y,'Supply planning data'!D487,'Shipments data'!O:O,"ordered", 'Shipments data'!N:N, "Public")</f>
        <v>0</v>
      </c>
      <c r="T487" s="98">
        <f>IF(SUMIFS('Shipments data'!L:L,'Shipments data'!F:F,'Supply planning data'!C487,'Shipments data'!A:A,'Supply planning data'!A487,'Shipments data'!O:O,"received",'Shipments data'!Q:Q,"&lt;"&amp;'Supply planning data'!D502,'Shipments data'!AC:AC,"&lt;"&amp;'Supply planning data'!D502)-SUMIFS(M:M,D:D,"&lt;="&amp;D487,C:C,C487)+SUMIFS(N:N,D:D,"&lt;="&amp;D487,C:C,C487)+SUMIFS(P:P,D:D,"&lt;="&amp;D487,C:C,C487)&lt;0,0,SUMIFS('Shipments data'!L:L,'Shipments data'!F:F,'Supply planning data'!C487,'Shipments data'!A:A,'Supply planning data'!A487,'Shipments data'!O:O,"received",'Shipments data'!Q:Q,"&lt;"&amp;'Supply planning data'!D502,'Shipments data'!AC:AC,"&lt;"&amp;'Supply planning data'!D502)-SUMIFS(M:M,D:D,"&lt;="&amp;D487,C:C,C487)+SUMIFS(N:N,D:D,"&lt;="&amp;D487,C:C,C487)+SUMIFS(P:P,D:D,"&lt;="&amp;D487,C:C,C487))</f>
        <v>0</v>
      </c>
      <c r="U487" s="99">
        <f t="shared" si="152"/>
        <v>0</v>
      </c>
      <c r="V487" s="98">
        <f t="shared" si="142"/>
        <v>0</v>
      </c>
      <c r="W487" s="203" t="str">
        <f t="shared" si="158"/>
        <v/>
      </c>
      <c r="X487" s="98">
        <f t="shared" si="153"/>
        <v>0</v>
      </c>
      <c r="Y487" s="97"/>
      <c r="Z487" s="93"/>
      <c r="AA487" s="98">
        <f t="shared" si="146"/>
        <v>0</v>
      </c>
      <c r="AB487" s="233"/>
      <c r="AC487" s="98">
        <f>IF(SUMIFS('Shipments data'!L:L,'Shipments data'!F:F,'Supply planning data'!C487,'Shipments data'!A:A,'Supply planning data'!A487,'Shipments data'!O:O,"received",'Shipments data'!Q:Q,"&lt;"&amp;'Supply planning data'!D502,'Shipments data'!AC:AC,"&lt;"&amp;'Supply planning data'!D502)-SUMIFS(M:M,D:D,"&lt;="&amp;D487,C:C,C487)-SUMIFS(AA:AA,D:D,"&lt;="&amp;D487,C:C,C487)+SUMIFS(N:N,D:D,"&lt;="&amp;D487,C:C,C487)+SUMIFS(P:P,D:D,"&lt;="&amp;D487,C:C,C487)&lt;0,0,SUMIFS('Shipments data'!L:L,'Shipments data'!F:F,'Supply planning data'!C487,'Shipments data'!A:A,'Supply planning data'!A487,'Shipments data'!O:O,"received",'Shipments data'!Q:Q,"&lt;"&amp;'Supply planning data'!D502,'Shipments data'!AC:AC,"&lt;"&amp;'Supply planning data'!D502)-SUMIFS(M:M,D:D,"&lt;="&amp;D487,C:C,C487)-SUMIFS(AA:AA,D:D,"&lt;="&amp;D487,C:C,C487)+SUMIFS(N:N,D:D,"&lt;="&amp;D487,C:C,C487)+SUMIFS(P:P,D:D,"&lt;="&amp;D487,C:C,C487))</f>
        <v>0</v>
      </c>
      <c r="AD487" s="98">
        <f t="shared" si="154"/>
        <v>0</v>
      </c>
      <c r="AE487" s="98">
        <f t="shared" si="148"/>
        <v>0</v>
      </c>
      <c r="AF487" s="205" t="str">
        <f t="shared" si="157"/>
        <v/>
      </c>
      <c r="AG487" s="98">
        <f t="shared" si="155"/>
        <v>0</v>
      </c>
      <c r="AH487" s="97"/>
      <c r="AI487" s="311"/>
      <c r="AJ487" s="98">
        <f t="shared" si="147"/>
        <v>0</v>
      </c>
      <c r="AK487" s="233"/>
      <c r="AL487" s="98">
        <f>IF(SUMIFS('Shipments data'!L:L,'Shipments data'!F:F,'Supply planning data'!C487,'Shipments data'!A:A,'Supply planning data'!A487,'Shipments data'!O:O,"received",'Shipments data'!Q:Q,"&lt;"&amp;'Supply planning data'!D502,'Shipments data'!AC:AC,"&lt;"&amp;'Supply planning data'!D502)-SUMIFS(M:M,D:D,"&lt;="&amp;D487,C:C,C487)-SUMIFS(AJ:AJ,D:D,"&lt;="&amp;D487,C:C,C487)+SUMIFS(N:N,D:D,"&lt;="&amp;D487,C:C,C487)+SUMIFS(P:P,D:D,"&lt;="&amp;D487,C:C,C487)&lt;0,0,SUMIFS('Shipments data'!L:L,'Shipments data'!F:F,'Supply planning data'!C487,'Shipments data'!A:A,'Supply planning data'!A487,'Shipments data'!O:O,"received",'Shipments data'!Q:Q,"&lt;"&amp;'Supply planning data'!D502,'Shipments data'!AC:AC,"&lt;"&amp;'Supply planning data'!D502)-SUMIFS(M:M,D:D,"&lt;="&amp;D487,C:C,C487)-SUMIFS(AJ:AJ,D:D,"&lt;="&amp;D487,C:C,C487)+SUMIFS(N:N,D:D,"&lt;="&amp;D487,C:C,C487)+SUMIFS(P:P,D:D,"&lt;="&amp;D487,C:C,C487))</f>
        <v>0</v>
      </c>
      <c r="AM487" s="98">
        <f t="shared" si="156"/>
        <v>0</v>
      </c>
      <c r="AN487" s="98">
        <f t="shared" si="149"/>
        <v>0</v>
      </c>
      <c r="AO487" s="203" t="str">
        <f t="shared" si="159"/>
        <v/>
      </c>
    </row>
    <row r="488" spans="1:41" x14ac:dyDescent="0.25">
      <c r="A488" s="95" t="str">
        <f>Start!D$7</f>
        <v>Anyland</v>
      </c>
      <c r="B488" s="96" t="str">
        <f>VLOOKUP(A488,list!B:C,2,FALSE)</f>
        <v>ANY</v>
      </c>
      <c r="C488" s="90" t="str">
        <f>IF(Start!$C$20="","",Start!$C$20)</f>
        <v>Pfizer</v>
      </c>
      <c r="D488" s="296">
        <f t="shared" si="150"/>
        <v>45170</v>
      </c>
      <c r="E488" s="92" t="str">
        <f>IFERROR(VLOOKUP(C488,Start!C$15:D$31,2,FALSE),"No")</f>
        <v>Yes</v>
      </c>
      <c r="F488" s="92">
        <f t="shared" si="151"/>
        <v>3000000</v>
      </c>
      <c r="G488" s="91"/>
      <c r="H488" s="97"/>
      <c r="I488" s="97"/>
      <c r="J488" s="98">
        <f t="shared" si="143"/>
        <v>0</v>
      </c>
      <c r="K488" s="97"/>
      <c r="L488" s="175" t="str">
        <f t="shared" si="144"/>
        <v/>
      </c>
      <c r="M488" s="98">
        <f t="shared" si="145"/>
        <v>0</v>
      </c>
      <c r="N488" s="97"/>
      <c r="O488" s="122"/>
      <c r="P488" s="97"/>
      <c r="Q488" s="122"/>
      <c r="R488" s="98">
        <f>SUMIFS('Shipments data'!L:L,'Shipments data'!F:F,'Supply planning data'!C488,'Shipments data'!A:A,'Supply planning data'!A488,'Shipments data'!Y:Y,'Supply planning data'!D488,'Shipments data'!O:O,"received", 'Shipments data'!N:N, "Public")</f>
        <v>0</v>
      </c>
      <c r="S488" s="98">
        <f>SUMIFS('Shipments data'!L:L,'Shipments data'!F:F,'Supply planning data'!C488,'Shipments data'!A:A,'Supply planning data'!A488,'Shipments data'!Y:Y,'Supply planning data'!D488,'Shipments data'!O:O,"ordered", 'Shipments data'!N:N, "Public")</f>
        <v>0</v>
      </c>
      <c r="T488" s="98">
        <f>IF(SUMIFS('Shipments data'!L:L,'Shipments data'!F:F,'Supply planning data'!C488,'Shipments data'!A:A,'Supply planning data'!A488,'Shipments data'!O:O,"received",'Shipments data'!Q:Q,"&lt;"&amp;'Supply planning data'!D503,'Shipments data'!AC:AC,"&lt;"&amp;'Supply planning data'!D503)-SUMIFS(M:M,D:D,"&lt;="&amp;D488,C:C,C488)+SUMIFS(N:N,D:D,"&lt;="&amp;D488,C:C,C488)+SUMIFS(P:P,D:D,"&lt;="&amp;D488,C:C,C488)&lt;0,0,SUMIFS('Shipments data'!L:L,'Shipments data'!F:F,'Supply planning data'!C488,'Shipments data'!A:A,'Supply planning data'!A488,'Shipments data'!O:O,"received",'Shipments data'!Q:Q,"&lt;"&amp;'Supply planning data'!D503,'Shipments data'!AC:AC,"&lt;"&amp;'Supply planning data'!D503)-SUMIFS(M:M,D:D,"&lt;="&amp;D488,C:C,C488)+SUMIFS(N:N,D:D,"&lt;="&amp;D488,C:C,C488)+SUMIFS(P:P,D:D,"&lt;="&amp;D488,C:C,C488))</f>
        <v>110538</v>
      </c>
      <c r="U488" s="99">
        <f t="shared" si="152"/>
        <v>0</v>
      </c>
      <c r="V488" s="98">
        <f t="shared" si="142"/>
        <v>3000000</v>
      </c>
      <c r="W488" s="203" t="str">
        <f t="shared" si="158"/>
        <v/>
      </c>
      <c r="X488" s="98">
        <f t="shared" si="153"/>
        <v>2440000</v>
      </c>
      <c r="Y488" s="97"/>
      <c r="Z488" s="93"/>
      <c r="AA488" s="98">
        <f t="shared" si="146"/>
        <v>0</v>
      </c>
      <c r="AB488" s="233"/>
      <c r="AC488" s="98">
        <f>IF(SUMIFS('Shipments data'!L:L,'Shipments data'!F:F,'Supply planning data'!C488,'Shipments data'!A:A,'Supply planning data'!A488,'Shipments data'!O:O,"received",'Shipments data'!Q:Q,"&lt;"&amp;'Supply planning data'!D503,'Shipments data'!AC:AC,"&lt;"&amp;'Supply planning data'!D503)-SUMIFS(M:M,D:D,"&lt;="&amp;D488,C:C,C488)-SUMIFS(AA:AA,D:D,"&lt;="&amp;D488,C:C,C488)+SUMIFS(N:N,D:D,"&lt;="&amp;D488,C:C,C488)+SUMIFS(P:P,D:D,"&lt;="&amp;D488,C:C,C488)&lt;0,0,SUMIFS('Shipments data'!L:L,'Shipments data'!F:F,'Supply planning data'!C488,'Shipments data'!A:A,'Supply planning data'!A488,'Shipments data'!O:O,"received",'Shipments data'!Q:Q,"&lt;"&amp;'Supply planning data'!D503,'Shipments data'!AC:AC,"&lt;"&amp;'Supply planning data'!D503)-SUMIFS(M:M,D:D,"&lt;="&amp;D488,C:C,C488)-SUMIFS(AA:AA,D:D,"&lt;="&amp;D488,C:C,C488)+SUMIFS(N:N,D:D,"&lt;="&amp;D488,C:C,C488)+SUMIFS(P:P,D:D,"&lt;="&amp;D488,C:C,C488))</f>
        <v>0</v>
      </c>
      <c r="AD488" s="98">
        <f t="shared" si="154"/>
        <v>0</v>
      </c>
      <c r="AE488" s="98">
        <f t="shared" si="148"/>
        <v>2440000</v>
      </c>
      <c r="AF488" s="205" t="str">
        <f t="shared" si="157"/>
        <v/>
      </c>
      <c r="AG488" s="98">
        <f t="shared" si="155"/>
        <v>3000000</v>
      </c>
      <c r="AH488" s="97"/>
      <c r="AI488" s="311"/>
      <c r="AJ488" s="98">
        <f t="shared" si="147"/>
        <v>0</v>
      </c>
      <c r="AK488" s="233"/>
      <c r="AL488" s="98">
        <f>IF(SUMIFS('Shipments data'!L:L,'Shipments data'!F:F,'Supply planning data'!C488,'Shipments data'!A:A,'Supply planning data'!A488,'Shipments data'!O:O,"received",'Shipments data'!Q:Q,"&lt;"&amp;'Supply planning data'!D503,'Shipments data'!AC:AC,"&lt;"&amp;'Supply planning data'!D503)-SUMIFS(M:M,D:D,"&lt;="&amp;D488,C:C,C488)-SUMIFS(AJ:AJ,D:D,"&lt;="&amp;D488,C:C,C488)+SUMIFS(N:N,D:D,"&lt;="&amp;D488,C:C,C488)+SUMIFS(P:P,D:D,"&lt;="&amp;D488,C:C,C488)&lt;0,0,SUMIFS('Shipments data'!L:L,'Shipments data'!F:F,'Supply planning data'!C488,'Shipments data'!A:A,'Supply planning data'!A488,'Shipments data'!O:O,"received",'Shipments data'!Q:Q,"&lt;"&amp;'Supply planning data'!D503,'Shipments data'!AC:AC,"&lt;"&amp;'Supply planning data'!D503)-SUMIFS(M:M,D:D,"&lt;="&amp;D488,C:C,C488)-SUMIFS(AJ:AJ,D:D,"&lt;="&amp;D488,C:C,C488)+SUMIFS(N:N,D:D,"&lt;="&amp;D488,C:C,C488)+SUMIFS(P:P,D:D,"&lt;="&amp;D488,C:C,C488))</f>
        <v>110538</v>
      </c>
      <c r="AM488" s="98">
        <f t="shared" si="156"/>
        <v>0</v>
      </c>
      <c r="AN488" s="98">
        <f t="shared" si="149"/>
        <v>3000000</v>
      </c>
      <c r="AO488" s="203" t="str">
        <f t="shared" si="159"/>
        <v/>
      </c>
    </row>
    <row r="489" spans="1:41" x14ac:dyDescent="0.25">
      <c r="A489" s="95" t="str">
        <f>Start!D$7</f>
        <v>Anyland</v>
      </c>
      <c r="B489" s="96" t="str">
        <f>VLOOKUP(A489,list!B:C,2,FALSE)</f>
        <v>ANY</v>
      </c>
      <c r="C489" s="90" t="str">
        <f>IF(Start!$C$21="","",Start!$C$21)</f>
        <v>Sinovac</v>
      </c>
      <c r="D489" s="296">
        <f t="shared" si="150"/>
        <v>45170</v>
      </c>
      <c r="E489" s="92" t="str">
        <f>IFERROR(VLOOKUP(C489,Start!C$15:D$31,2,FALSE),"No")</f>
        <v>No</v>
      </c>
      <c r="F489" s="92">
        <f t="shared" si="151"/>
        <v>0</v>
      </c>
      <c r="G489" s="91"/>
      <c r="H489" s="97"/>
      <c r="I489" s="97"/>
      <c r="J489" s="98">
        <f t="shared" si="143"/>
        <v>0</v>
      </c>
      <c r="K489" s="97"/>
      <c r="L489" s="175" t="str">
        <f t="shared" si="144"/>
        <v/>
      </c>
      <c r="M489" s="98">
        <f t="shared" si="145"/>
        <v>0</v>
      </c>
      <c r="N489" s="97"/>
      <c r="O489" s="122"/>
      <c r="P489" s="97"/>
      <c r="Q489" s="122"/>
      <c r="R489" s="98">
        <f>SUMIFS('Shipments data'!L:L,'Shipments data'!F:F,'Supply planning data'!C489,'Shipments data'!A:A,'Supply planning data'!A489,'Shipments data'!Y:Y,'Supply planning data'!D489,'Shipments data'!O:O,"received", 'Shipments data'!N:N, "Public")</f>
        <v>0</v>
      </c>
      <c r="S489" s="98">
        <f>SUMIFS('Shipments data'!L:L,'Shipments data'!F:F,'Supply planning data'!C489,'Shipments data'!A:A,'Supply planning data'!A489,'Shipments data'!Y:Y,'Supply planning data'!D489,'Shipments data'!O:O,"ordered", 'Shipments data'!N:N, "Public")</f>
        <v>0</v>
      </c>
      <c r="T489" s="98">
        <f>IF(SUMIFS('Shipments data'!L:L,'Shipments data'!F:F,'Supply planning data'!C489,'Shipments data'!A:A,'Supply planning data'!A489,'Shipments data'!O:O,"received",'Shipments data'!Q:Q,"&lt;"&amp;'Supply planning data'!D504,'Shipments data'!AC:AC,"&lt;"&amp;'Supply planning data'!D504)-SUMIFS(M:M,D:D,"&lt;="&amp;D489,C:C,C489)+SUMIFS(N:N,D:D,"&lt;="&amp;D489,C:C,C489)+SUMIFS(P:P,D:D,"&lt;="&amp;D489,C:C,C489)&lt;0,0,SUMIFS('Shipments data'!L:L,'Shipments data'!F:F,'Supply planning data'!C489,'Shipments data'!A:A,'Supply planning data'!A489,'Shipments data'!O:O,"received",'Shipments data'!Q:Q,"&lt;"&amp;'Supply planning data'!D504,'Shipments data'!AC:AC,"&lt;"&amp;'Supply planning data'!D504)-SUMIFS(M:M,D:D,"&lt;="&amp;D489,C:C,C489)+SUMIFS(N:N,D:D,"&lt;="&amp;D489,C:C,C489)+SUMIFS(P:P,D:D,"&lt;="&amp;D489,C:C,C489))</f>
        <v>0</v>
      </c>
      <c r="U489" s="99">
        <f t="shared" si="152"/>
        <v>0</v>
      </c>
      <c r="V489" s="98">
        <f t="shared" si="142"/>
        <v>0</v>
      </c>
      <c r="W489" s="203" t="str">
        <f t="shared" si="158"/>
        <v/>
      </c>
      <c r="X489" s="98">
        <f t="shared" si="153"/>
        <v>0</v>
      </c>
      <c r="Y489" s="97"/>
      <c r="Z489" s="93"/>
      <c r="AA489" s="98">
        <f t="shared" si="146"/>
        <v>0</v>
      </c>
      <c r="AB489" s="233"/>
      <c r="AC489" s="98">
        <f>IF(SUMIFS('Shipments data'!L:L,'Shipments data'!F:F,'Supply planning data'!C489,'Shipments data'!A:A,'Supply planning data'!A489,'Shipments data'!O:O,"received",'Shipments data'!Q:Q,"&lt;"&amp;'Supply planning data'!D504,'Shipments data'!AC:AC,"&lt;"&amp;'Supply planning data'!D504)-SUMIFS(M:M,D:D,"&lt;="&amp;D489,C:C,C489)-SUMIFS(AA:AA,D:D,"&lt;="&amp;D489,C:C,C489)+SUMIFS(N:N,D:D,"&lt;="&amp;D489,C:C,C489)+SUMIFS(P:P,D:D,"&lt;="&amp;D489,C:C,C489)&lt;0,0,SUMIFS('Shipments data'!L:L,'Shipments data'!F:F,'Supply planning data'!C489,'Shipments data'!A:A,'Supply planning data'!A489,'Shipments data'!O:O,"received",'Shipments data'!Q:Q,"&lt;"&amp;'Supply planning data'!D504,'Shipments data'!AC:AC,"&lt;"&amp;'Supply planning data'!D504)-SUMIFS(M:M,D:D,"&lt;="&amp;D489,C:C,C489)-SUMIFS(AA:AA,D:D,"&lt;="&amp;D489,C:C,C489)+SUMIFS(N:N,D:D,"&lt;="&amp;D489,C:C,C489)+SUMIFS(P:P,D:D,"&lt;="&amp;D489,C:C,C489))</f>
        <v>0</v>
      </c>
      <c r="AD489" s="98">
        <f t="shared" si="154"/>
        <v>0</v>
      </c>
      <c r="AE489" s="98">
        <f t="shared" si="148"/>
        <v>0</v>
      </c>
      <c r="AF489" s="205" t="str">
        <f t="shared" si="157"/>
        <v/>
      </c>
      <c r="AG489" s="98">
        <f t="shared" si="155"/>
        <v>0</v>
      </c>
      <c r="AH489" s="97"/>
      <c r="AI489" s="311"/>
      <c r="AJ489" s="98">
        <f t="shared" si="147"/>
        <v>0</v>
      </c>
      <c r="AK489" s="233"/>
      <c r="AL489" s="98">
        <f>IF(SUMIFS('Shipments data'!L:L,'Shipments data'!F:F,'Supply planning data'!C489,'Shipments data'!A:A,'Supply planning data'!A489,'Shipments data'!O:O,"received",'Shipments data'!Q:Q,"&lt;"&amp;'Supply planning data'!D504,'Shipments data'!AC:AC,"&lt;"&amp;'Supply planning data'!D504)-SUMIFS(M:M,D:D,"&lt;="&amp;D489,C:C,C489)-SUMIFS(AJ:AJ,D:D,"&lt;="&amp;D489,C:C,C489)+SUMIFS(N:N,D:D,"&lt;="&amp;D489,C:C,C489)+SUMIFS(P:P,D:D,"&lt;="&amp;D489,C:C,C489)&lt;0,0,SUMIFS('Shipments data'!L:L,'Shipments data'!F:F,'Supply planning data'!C489,'Shipments data'!A:A,'Supply planning data'!A489,'Shipments data'!O:O,"received",'Shipments data'!Q:Q,"&lt;"&amp;'Supply planning data'!D504,'Shipments data'!AC:AC,"&lt;"&amp;'Supply planning data'!D504)-SUMIFS(M:M,D:D,"&lt;="&amp;D489,C:C,C489)-SUMIFS(AJ:AJ,D:D,"&lt;="&amp;D489,C:C,C489)+SUMIFS(N:N,D:D,"&lt;="&amp;D489,C:C,C489)+SUMIFS(P:P,D:D,"&lt;="&amp;D489,C:C,C489))</f>
        <v>0</v>
      </c>
      <c r="AM489" s="98">
        <f t="shared" si="156"/>
        <v>0</v>
      </c>
      <c r="AN489" s="98">
        <f t="shared" si="149"/>
        <v>0</v>
      </c>
      <c r="AO489" s="203" t="str">
        <f t="shared" si="159"/>
        <v/>
      </c>
    </row>
    <row r="490" spans="1:41" hidden="1" x14ac:dyDescent="0.25">
      <c r="A490" s="95" t="str">
        <f>Start!D$7</f>
        <v>Anyland</v>
      </c>
      <c r="B490" s="96" t="str">
        <f>VLOOKUP(A490,list!B:C,2,FALSE)</f>
        <v>ANY</v>
      </c>
      <c r="C490" s="90" t="str">
        <f>IF(Start!$C$22="","",Start!$C$22)</f>
        <v/>
      </c>
      <c r="D490" s="296">
        <f t="shared" si="150"/>
        <v>45170</v>
      </c>
      <c r="E490" s="92" t="str">
        <f>IFERROR(VLOOKUP(C490,Start!C$15:D$31,2,FALSE),"No")</f>
        <v>No</v>
      </c>
      <c r="F490" s="92">
        <f t="shared" si="151"/>
        <v>0</v>
      </c>
      <c r="G490" s="91"/>
      <c r="H490" s="97"/>
      <c r="I490" s="97"/>
      <c r="J490" s="98">
        <f t="shared" si="143"/>
        <v>0</v>
      </c>
      <c r="K490" s="97"/>
      <c r="L490" s="175" t="str">
        <f t="shared" si="144"/>
        <v/>
      </c>
      <c r="M490" s="98">
        <f t="shared" si="145"/>
        <v>0</v>
      </c>
      <c r="N490" s="97"/>
      <c r="O490" s="122"/>
      <c r="P490" s="97"/>
      <c r="Q490" s="122"/>
      <c r="R490" s="98">
        <f>SUMIFS('Shipments data'!L:L,'Shipments data'!F:F,'Supply planning data'!C490,'Shipments data'!A:A,'Supply planning data'!A490,'Shipments data'!Y:Y,'Supply planning data'!D490,'Shipments data'!O:O,"received", 'Shipments data'!N:N, "Public")</f>
        <v>0</v>
      </c>
      <c r="S490" s="98">
        <f>SUMIFS('Shipments data'!L:L,'Shipments data'!F:F,'Supply planning data'!C490,'Shipments data'!A:A,'Supply planning data'!A490,'Shipments data'!Y:Y,'Supply planning data'!D490,'Shipments data'!O:O,"ordered", 'Shipments data'!N:N, "Public")</f>
        <v>0</v>
      </c>
      <c r="T490" s="98">
        <f>IF(SUMIFS('Shipments data'!L:L,'Shipments data'!F:F,'Supply planning data'!C490,'Shipments data'!A:A,'Supply planning data'!A490,'Shipments data'!O:O,"received",'Shipments data'!Q:Q,"&lt;"&amp;'Supply planning data'!D505,'Shipments data'!AC:AC,"&lt;"&amp;'Supply planning data'!D505)-SUMIFS(M:M,D:D,"&lt;="&amp;D490,C:C,C490)+SUMIFS(N:N,D:D,"&lt;="&amp;D490,C:C,C490)+SUMIFS(P:P,D:D,"&lt;="&amp;D490,C:C,C490)&lt;0,0,SUMIFS('Shipments data'!L:L,'Shipments data'!F:F,'Supply planning data'!C490,'Shipments data'!A:A,'Supply planning data'!A490,'Shipments data'!O:O,"received",'Shipments data'!Q:Q,"&lt;"&amp;'Supply planning data'!D505,'Shipments data'!AC:AC,"&lt;"&amp;'Supply planning data'!D505)-SUMIFS(M:M,D:D,"&lt;="&amp;D490,C:C,C490)+SUMIFS(N:N,D:D,"&lt;="&amp;D490,C:C,C490)+SUMIFS(P:P,D:D,"&lt;="&amp;D490,C:C,C490))</f>
        <v>0</v>
      </c>
      <c r="U490" s="99">
        <f t="shared" si="152"/>
        <v>0</v>
      </c>
      <c r="V490" s="98">
        <f t="shared" si="142"/>
        <v>0</v>
      </c>
      <c r="W490" s="203" t="str">
        <f t="shared" si="158"/>
        <v/>
      </c>
      <c r="X490" s="98">
        <f t="shared" si="153"/>
        <v>0</v>
      </c>
      <c r="Y490" s="97"/>
      <c r="Z490" s="93"/>
      <c r="AA490" s="98">
        <f t="shared" si="146"/>
        <v>0</v>
      </c>
      <c r="AB490" s="233"/>
      <c r="AC490" s="98">
        <f>IF(SUMIFS('Shipments data'!L:L,'Shipments data'!F:F,'Supply planning data'!C490,'Shipments data'!A:A,'Supply planning data'!A490,'Shipments data'!O:O,"received",'Shipments data'!Q:Q,"&lt;"&amp;'Supply planning data'!D505,'Shipments data'!AC:AC,"&lt;"&amp;'Supply planning data'!D505)-SUMIFS(M:M,D:D,"&lt;="&amp;D490,C:C,C490)-SUMIFS(AA:AA,D:D,"&lt;="&amp;D490,C:C,C490)+SUMIFS(N:N,D:D,"&lt;="&amp;D490,C:C,C490)+SUMIFS(P:P,D:D,"&lt;="&amp;D490,C:C,C490)&lt;0,0,SUMIFS('Shipments data'!L:L,'Shipments data'!F:F,'Supply planning data'!C490,'Shipments data'!A:A,'Supply planning data'!A490,'Shipments data'!O:O,"received",'Shipments data'!Q:Q,"&lt;"&amp;'Supply planning data'!D505,'Shipments data'!AC:AC,"&lt;"&amp;'Supply planning data'!D505)-SUMIFS(M:M,D:D,"&lt;="&amp;D490,C:C,C490)-SUMIFS(AA:AA,D:D,"&lt;="&amp;D490,C:C,C490)+SUMIFS(N:N,D:D,"&lt;="&amp;D490,C:C,C490)+SUMIFS(P:P,D:D,"&lt;="&amp;D490,C:C,C490))</f>
        <v>0</v>
      </c>
      <c r="AD490" s="98">
        <f t="shared" si="154"/>
        <v>0</v>
      </c>
      <c r="AE490" s="98">
        <f t="shared" si="148"/>
        <v>0</v>
      </c>
      <c r="AF490" s="205" t="str">
        <f t="shared" si="157"/>
        <v/>
      </c>
      <c r="AG490" s="98">
        <f t="shared" si="155"/>
        <v>0</v>
      </c>
      <c r="AH490" s="97"/>
      <c r="AI490" s="311"/>
      <c r="AJ490" s="98">
        <f t="shared" si="147"/>
        <v>0</v>
      </c>
      <c r="AK490" s="233"/>
      <c r="AL490" s="98">
        <f>IF(SUMIFS('Shipments data'!L:L,'Shipments data'!F:F,'Supply planning data'!C490,'Shipments data'!A:A,'Supply planning data'!A490,'Shipments data'!O:O,"received",'Shipments data'!Q:Q,"&lt;"&amp;'Supply planning data'!D505,'Shipments data'!AC:AC,"&lt;"&amp;'Supply planning data'!D505)-SUMIFS(M:M,D:D,"&lt;="&amp;D490,C:C,C490)-SUMIFS(AJ:AJ,D:D,"&lt;="&amp;D490,C:C,C490)+SUMIFS(N:N,D:D,"&lt;="&amp;D490,C:C,C490)+SUMIFS(P:P,D:D,"&lt;="&amp;D490,C:C,C490)&lt;0,0,SUMIFS('Shipments data'!L:L,'Shipments data'!F:F,'Supply planning data'!C490,'Shipments data'!A:A,'Supply planning data'!A490,'Shipments data'!O:O,"received",'Shipments data'!Q:Q,"&lt;"&amp;'Supply planning data'!D505,'Shipments data'!AC:AC,"&lt;"&amp;'Supply planning data'!D505)-SUMIFS(M:M,D:D,"&lt;="&amp;D490,C:C,C490)-SUMIFS(AJ:AJ,D:D,"&lt;="&amp;D490,C:C,C490)+SUMIFS(N:N,D:D,"&lt;="&amp;D490,C:C,C490)+SUMIFS(P:P,D:D,"&lt;="&amp;D490,C:C,C490))</f>
        <v>0</v>
      </c>
      <c r="AM490" s="98">
        <f t="shared" si="156"/>
        <v>0</v>
      </c>
      <c r="AN490" s="98">
        <f t="shared" si="149"/>
        <v>0</v>
      </c>
      <c r="AO490" s="203" t="str">
        <f t="shared" si="159"/>
        <v/>
      </c>
    </row>
    <row r="491" spans="1:41" hidden="1" x14ac:dyDescent="0.25">
      <c r="A491" s="95" t="str">
        <f>Start!D$7</f>
        <v>Anyland</v>
      </c>
      <c r="B491" s="96" t="str">
        <f>VLOOKUP(A491,list!B:C,2,FALSE)</f>
        <v>ANY</v>
      </c>
      <c r="C491" s="90" t="str">
        <f>IF(Start!$C$23="","",Start!$C$23)</f>
        <v/>
      </c>
      <c r="D491" s="296">
        <f t="shared" si="150"/>
        <v>45170</v>
      </c>
      <c r="E491" s="92" t="str">
        <f>IFERROR(VLOOKUP(C491,Start!C$15:D$31,2,FALSE),"No")</f>
        <v>No</v>
      </c>
      <c r="F491" s="92">
        <f t="shared" si="151"/>
        <v>0</v>
      </c>
      <c r="G491" s="91"/>
      <c r="H491" s="97"/>
      <c r="I491" s="97"/>
      <c r="J491" s="98">
        <f t="shared" si="143"/>
        <v>0</v>
      </c>
      <c r="K491" s="97"/>
      <c r="L491" s="175" t="str">
        <f t="shared" si="144"/>
        <v/>
      </c>
      <c r="M491" s="98">
        <f t="shared" si="145"/>
        <v>0</v>
      </c>
      <c r="N491" s="97"/>
      <c r="O491" s="122"/>
      <c r="P491" s="97"/>
      <c r="Q491" s="122"/>
      <c r="R491" s="98">
        <f>SUMIFS('Shipments data'!L:L,'Shipments data'!F:F,'Supply planning data'!C491,'Shipments data'!A:A,'Supply planning data'!A491,'Shipments data'!Y:Y,'Supply planning data'!D491,'Shipments data'!O:O,"received", 'Shipments data'!N:N, "Public")</f>
        <v>0</v>
      </c>
      <c r="S491" s="98">
        <f>SUMIFS('Shipments data'!L:L,'Shipments data'!F:F,'Supply planning data'!C491,'Shipments data'!A:A,'Supply planning data'!A491,'Shipments data'!Y:Y,'Supply planning data'!D491,'Shipments data'!O:O,"ordered", 'Shipments data'!N:N, "Public")</f>
        <v>0</v>
      </c>
      <c r="T491" s="98">
        <f>IF(SUMIFS('Shipments data'!L:L,'Shipments data'!F:F,'Supply planning data'!C491,'Shipments data'!A:A,'Supply planning data'!A491,'Shipments data'!O:O,"received",'Shipments data'!Q:Q,"&lt;"&amp;'Supply planning data'!D506,'Shipments data'!AC:AC,"&lt;"&amp;'Supply planning data'!D506)-SUMIFS(M:M,D:D,"&lt;="&amp;D491,C:C,C491)+SUMIFS(N:N,D:D,"&lt;="&amp;D491,C:C,C491)+SUMIFS(P:P,D:D,"&lt;="&amp;D491,C:C,C491)&lt;0,0,SUMIFS('Shipments data'!L:L,'Shipments data'!F:F,'Supply planning data'!C491,'Shipments data'!A:A,'Supply planning data'!A491,'Shipments data'!O:O,"received",'Shipments data'!Q:Q,"&lt;"&amp;'Supply planning data'!D506,'Shipments data'!AC:AC,"&lt;"&amp;'Supply planning data'!D506)-SUMIFS(M:M,D:D,"&lt;="&amp;D491,C:C,C491)+SUMIFS(N:N,D:D,"&lt;="&amp;D491,C:C,C491)+SUMIFS(P:P,D:D,"&lt;="&amp;D491,C:C,C491))</f>
        <v>0</v>
      </c>
      <c r="U491" s="99">
        <f t="shared" si="152"/>
        <v>0</v>
      </c>
      <c r="V491" s="98">
        <f t="shared" si="142"/>
        <v>0</v>
      </c>
      <c r="W491" s="203" t="str">
        <f t="shared" si="158"/>
        <v/>
      </c>
      <c r="X491" s="98">
        <f t="shared" si="153"/>
        <v>0</v>
      </c>
      <c r="Y491" s="97"/>
      <c r="Z491" s="93"/>
      <c r="AA491" s="98">
        <f t="shared" si="146"/>
        <v>0</v>
      </c>
      <c r="AB491" s="233"/>
      <c r="AC491" s="98">
        <f>IF(SUMIFS('Shipments data'!L:L,'Shipments data'!F:F,'Supply planning data'!C491,'Shipments data'!A:A,'Supply planning data'!A491,'Shipments data'!O:O,"received",'Shipments data'!Q:Q,"&lt;"&amp;'Supply planning data'!D506,'Shipments data'!AC:AC,"&lt;"&amp;'Supply planning data'!D506)-SUMIFS(M:M,D:D,"&lt;="&amp;D491,C:C,C491)-SUMIFS(AA:AA,D:D,"&lt;="&amp;D491,C:C,C491)+SUMIFS(N:N,D:D,"&lt;="&amp;D491,C:C,C491)+SUMIFS(P:P,D:D,"&lt;="&amp;D491,C:C,C491)&lt;0,0,SUMIFS('Shipments data'!L:L,'Shipments data'!F:F,'Supply planning data'!C491,'Shipments data'!A:A,'Supply planning data'!A491,'Shipments data'!O:O,"received",'Shipments data'!Q:Q,"&lt;"&amp;'Supply planning data'!D506,'Shipments data'!AC:AC,"&lt;"&amp;'Supply planning data'!D506)-SUMIFS(M:M,D:D,"&lt;="&amp;D491,C:C,C491)-SUMIFS(AA:AA,D:D,"&lt;="&amp;D491,C:C,C491)+SUMIFS(N:N,D:D,"&lt;="&amp;D491,C:C,C491)+SUMIFS(P:P,D:D,"&lt;="&amp;D491,C:C,C491))</f>
        <v>0</v>
      </c>
      <c r="AD491" s="98">
        <f t="shared" si="154"/>
        <v>0</v>
      </c>
      <c r="AE491" s="98">
        <f t="shared" si="148"/>
        <v>0</v>
      </c>
      <c r="AF491" s="205" t="str">
        <f t="shared" si="157"/>
        <v/>
      </c>
      <c r="AG491" s="98">
        <f t="shared" si="155"/>
        <v>0</v>
      </c>
      <c r="AH491" s="97"/>
      <c r="AI491" s="311"/>
      <c r="AJ491" s="98">
        <f t="shared" si="147"/>
        <v>0</v>
      </c>
      <c r="AK491" s="233"/>
      <c r="AL491" s="98">
        <f>IF(SUMIFS('Shipments data'!L:L,'Shipments data'!F:F,'Supply planning data'!C491,'Shipments data'!A:A,'Supply planning data'!A491,'Shipments data'!O:O,"received",'Shipments data'!Q:Q,"&lt;"&amp;'Supply planning data'!D506,'Shipments data'!AC:AC,"&lt;"&amp;'Supply planning data'!D506)-SUMIFS(M:M,D:D,"&lt;="&amp;D491,C:C,C491)-SUMIFS(AJ:AJ,D:D,"&lt;="&amp;D491,C:C,C491)+SUMIFS(N:N,D:D,"&lt;="&amp;D491,C:C,C491)+SUMIFS(P:P,D:D,"&lt;="&amp;D491,C:C,C491)&lt;0,0,SUMIFS('Shipments data'!L:L,'Shipments data'!F:F,'Supply planning data'!C491,'Shipments data'!A:A,'Supply planning data'!A491,'Shipments data'!O:O,"received",'Shipments data'!Q:Q,"&lt;"&amp;'Supply planning data'!D506,'Shipments data'!AC:AC,"&lt;"&amp;'Supply planning data'!D506)-SUMIFS(M:M,D:D,"&lt;="&amp;D491,C:C,C491)-SUMIFS(AJ:AJ,D:D,"&lt;="&amp;D491,C:C,C491)+SUMIFS(N:N,D:D,"&lt;="&amp;D491,C:C,C491)+SUMIFS(P:P,D:D,"&lt;="&amp;D491,C:C,C491))</f>
        <v>0</v>
      </c>
      <c r="AM491" s="98">
        <f t="shared" si="156"/>
        <v>0</v>
      </c>
      <c r="AN491" s="98">
        <f t="shared" si="149"/>
        <v>0</v>
      </c>
      <c r="AO491" s="203" t="str">
        <f t="shared" si="159"/>
        <v/>
      </c>
    </row>
    <row r="492" spans="1:41" hidden="1" x14ac:dyDescent="0.25">
      <c r="A492" s="95" t="str">
        <f>Start!D$7</f>
        <v>Anyland</v>
      </c>
      <c r="B492" s="96" t="str">
        <f>VLOOKUP(A492,list!B:C,2,FALSE)</f>
        <v>ANY</v>
      </c>
      <c r="C492" s="90" t="str">
        <f>IF(Start!$C$24="","",Start!$C$24)</f>
        <v/>
      </c>
      <c r="D492" s="296">
        <f t="shared" si="150"/>
        <v>45170</v>
      </c>
      <c r="E492" s="92" t="str">
        <f>IFERROR(VLOOKUP(C492,Start!C$15:D$31,2,FALSE),"No")</f>
        <v>No</v>
      </c>
      <c r="F492" s="92">
        <f t="shared" si="151"/>
        <v>0</v>
      </c>
      <c r="G492" s="91"/>
      <c r="H492" s="97"/>
      <c r="I492" s="97"/>
      <c r="J492" s="98">
        <f t="shared" si="143"/>
        <v>0</v>
      </c>
      <c r="K492" s="97"/>
      <c r="L492" s="175" t="str">
        <f t="shared" si="144"/>
        <v/>
      </c>
      <c r="M492" s="98">
        <f t="shared" si="145"/>
        <v>0</v>
      </c>
      <c r="N492" s="97"/>
      <c r="O492" s="122"/>
      <c r="P492" s="97"/>
      <c r="Q492" s="122"/>
      <c r="R492" s="98">
        <f>SUMIFS('Shipments data'!L:L,'Shipments data'!F:F,'Supply planning data'!C492,'Shipments data'!A:A,'Supply planning data'!A492,'Shipments data'!Y:Y,'Supply planning data'!D492,'Shipments data'!O:O,"received", 'Shipments data'!N:N, "Public")</f>
        <v>0</v>
      </c>
      <c r="S492" s="98">
        <f>SUMIFS('Shipments data'!L:L,'Shipments data'!F:F,'Supply planning data'!C492,'Shipments data'!A:A,'Supply planning data'!A492,'Shipments data'!Y:Y,'Supply planning data'!D492,'Shipments data'!O:O,"ordered", 'Shipments data'!N:N, "Public")</f>
        <v>0</v>
      </c>
      <c r="T492" s="98">
        <f>IF(SUMIFS('Shipments data'!L:L,'Shipments data'!F:F,'Supply planning data'!C492,'Shipments data'!A:A,'Supply planning data'!A492,'Shipments data'!O:O,"received",'Shipments data'!Q:Q,"&lt;"&amp;'Supply planning data'!D507,'Shipments data'!AC:AC,"&lt;"&amp;'Supply planning data'!D507)-SUMIFS(M:M,D:D,"&lt;="&amp;D492,C:C,C492)+SUMIFS(N:N,D:D,"&lt;="&amp;D492,C:C,C492)+SUMIFS(P:P,D:D,"&lt;="&amp;D492,C:C,C492)&lt;0,0,SUMIFS('Shipments data'!L:L,'Shipments data'!F:F,'Supply planning data'!C492,'Shipments data'!A:A,'Supply planning data'!A492,'Shipments data'!O:O,"received",'Shipments data'!Q:Q,"&lt;"&amp;'Supply planning data'!D507,'Shipments data'!AC:AC,"&lt;"&amp;'Supply planning data'!D507)-SUMIFS(M:M,D:D,"&lt;="&amp;D492,C:C,C492)+SUMIFS(N:N,D:D,"&lt;="&amp;D492,C:C,C492)+SUMIFS(P:P,D:D,"&lt;="&amp;D492,C:C,C492))</f>
        <v>0</v>
      </c>
      <c r="U492" s="99">
        <f t="shared" si="152"/>
        <v>0</v>
      </c>
      <c r="V492" s="98">
        <f t="shared" si="142"/>
        <v>0</v>
      </c>
      <c r="W492" s="203" t="str">
        <f t="shared" si="158"/>
        <v/>
      </c>
      <c r="X492" s="98">
        <f t="shared" si="153"/>
        <v>0</v>
      </c>
      <c r="Y492" s="97"/>
      <c r="Z492" s="93"/>
      <c r="AA492" s="98">
        <f t="shared" si="146"/>
        <v>0</v>
      </c>
      <c r="AB492" s="233"/>
      <c r="AC492" s="98">
        <f>IF(SUMIFS('Shipments data'!L:L,'Shipments data'!F:F,'Supply planning data'!C492,'Shipments data'!A:A,'Supply planning data'!A492,'Shipments data'!O:O,"received",'Shipments data'!Q:Q,"&lt;"&amp;'Supply planning data'!D507,'Shipments data'!AC:AC,"&lt;"&amp;'Supply planning data'!D507)-SUMIFS(M:M,D:D,"&lt;="&amp;D492,C:C,C492)-SUMIFS(AA:AA,D:D,"&lt;="&amp;D492,C:C,C492)+SUMIFS(N:N,D:D,"&lt;="&amp;D492,C:C,C492)+SUMIFS(P:P,D:D,"&lt;="&amp;D492,C:C,C492)&lt;0,0,SUMIFS('Shipments data'!L:L,'Shipments data'!F:F,'Supply planning data'!C492,'Shipments data'!A:A,'Supply planning data'!A492,'Shipments data'!O:O,"received",'Shipments data'!Q:Q,"&lt;"&amp;'Supply planning data'!D507,'Shipments data'!AC:AC,"&lt;"&amp;'Supply planning data'!D507)-SUMIFS(M:M,D:D,"&lt;="&amp;D492,C:C,C492)-SUMIFS(AA:AA,D:D,"&lt;="&amp;D492,C:C,C492)+SUMIFS(N:N,D:D,"&lt;="&amp;D492,C:C,C492)+SUMIFS(P:P,D:D,"&lt;="&amp;D492,C:C,C492))</f>
        <v>0</v>
      </c>
      <c r="AD492" s="98">
        <f t="shared" si="154"/>
        <v>0</v>
      </c>
      <c r="AE492" s="98">
        <f t="shared" si="148"/>
        <v>0</v>
      </c>
      <c r="AF492" s="205" t="str">
        <f t="shared" si="157"/>
        <v/>
      </c>
      <c r="AG492" s="98">
        <f t="shared" si="155"/>
        <v>0</v>
      </c>
      <c r="AH492" s="97"/>
      <c r="AI492" s="311"/>
      <c r="AJ492" s="98">
        <f t="shared" si="147"/>
        <v>0</v>
      </c>
      <c r="AK492" s="233"/>
      <c r="AL492" s="98">
        <f>IF(SUMIFS('Shipments data'!L:L,'Shipments data'!F:F,'Supply planning data'!C492,'Shipments data'!A:A,'Supply planning data'!A492,'Shipments data'!O:O,"received",'Shipments data'!Q:Q,"&lt;"&amp;'Supply planning data'!D507,'Shipments data'!AC:AC,"&lt;"&amp;'Supply planning data'!D507)-SUMIFS(M:M,D:D,"&lt;="&amp;D492,C:C,C492)-SUMIFS(AJ:AJ,D:D,"&lt;="&amp;D492,C:C,C492)+SUMIFS(N:N,D:D,"&lt;="&amp;D492,C:C,C492)+SUMIFS(P:P,D:D,"&lt;="&amp;D492,C:C,C492)&lt;0,0,SUMIFS('Shipments data'!L:L,'Shipments data'!F:F,'Supply planning data'!C492,'Shipments data'!A:A,'Supply planning data'!A492,'Shipments data'!O:O,"received",'Shipments data'!Q:Q,"&lt;"&amp;'Supply planning data'!D507,'Shipments data'!AC:AC,"&lt;"&amp;'Supply planning data'!D507)-SUMIFS(M:M,D:D,"&lt;="&amp;D492,C:C,C492)-SUMIFS(AJ:AJ,D:D,"&lt;="&amp;D492,C:C,C492)+SUMIFS(N:N,D:D,"&lt;="&amp;D492,C:C,C492)+SUMIFS(P:P,D:D,"&lt;="&amp;D492,C:C,C492))</f>
        <v>0</v>
      </c>
      <c r="AM492" s="98">
        <f t="shared" si="156"/>
        <v>0</v>
      </c>
      <c r="AN492" s="98">
        <f t="shared" si="149"/>
        <v>0</v>
      </c>
      <c r="AO492" s="203" t="str">
        <f t="shared" si="159"/>
        <v/>
      </c>
    </row>
    <row r="493" spans="1:41" hidden="1" x14ac:dyDescent="0.25">
      <c r="A493" s="95" t="str">
        <f>Start!D$7</f>
        <v>Anyland</v>
      </c>
      <c r="B493" s="96" t="str">
        <f>VLOOKUP(A493,list!B:C,2,FALSE)</f>
        <v>ANY</v>
      </c>
      <c r="C493" s="90" t="str">
        <f>IF(Start!$C$25="","",Start!$C$25)</f>
        <v/>
      </c>
      <c r="D493" s="296">
        <f t="shared" si="150"/>
        <v>45170</v>
      </c>
      <c r="E493" s="92" t="str">
        <f>IFERROR(VLOOKUP(C493,Start!C$15:D$31,2,FALSE),"No")</f>
        <v>No</v>
      </c>
      <c r="F493" s="92">
        <f t="shared" si="151"/>
        <v>0</v>
      </c>
      <c r="G493" s="91"/>
      <c r="H493" s="97"/>
      <c r="I493" s="97"/>
      <c r="J493" s="98">
        <f t="shared" si="143"/>
        <v>0</v>
      </c>
      <c r="K493" s="97"/>
      <c r="L493" s="175" t="str">
        <f t="shared" si="144"/>
        <v/>
      </c>
      <c r="M493" s="98">
        <f t="shared" si="145"/>
        <v>0</v>
      </c>
      <c r="N493" s="97"/>
      <c r="O493" s="122"/>
      <c r="P493" s="97"/>
      <c r="Q493" s="122"/>
      <c r="R493" s="98">
        <f>SUMIFS('Shipments data'!L:L,'Shipments data'!F:F,'Supply planning data'!C493,'Shipments data'!A:A,'Supply planning data'!A493,'Shipments data'!Y:Y,'Supply planning data'!D493,'Shipments data'!O:O,"received", 'Shipments data'!N:N, "Public")</f>
        <v>0</v>
      </c>
      <c r="S493" s="98">
        <f>SUMIFS('Shipments data'!L:L,'Shipments data'!F:F,'Supply planning data'!C493,'Shipments data'!A:A,'Supply planning data'!A493,'Shipments data'!Y:Y,'Supply planning data'!D493,'Shipments data'!O:O,"ordered", 'Shipments data'!N:N, "Public")</f>
        <v>0</v>
      </c>
      <c r="T493" s="98">
        <f>IF(SUMIFS('Shipments data'!L:L,'Shipments data'!F:F,'Supply planning data'!C493,'Shipments data'!A:A,'Supply planning data'!A493,'Shipments data'!O:O,"received",'Shipments data'!Q:Q,"&lt;"&amp;'Supply planning data'!D508,'Shipments data'!AC:AC,"&lt;"&amp;'Supply planning data'!D508)-SUMIFS(M:M,D:D,"&lt;="&amp;D493,C:C,C493)+SUMIFS(N:N,D:D,"&lt;="&amp;D493,C:C,C493)+SUMIFS(P:P,D:D,"&lt;="&amp;D493,C:C,C493)&lt;0,0,SUMIFS('Shipments data'!L:L,'Shipments data'!F:F,'Supply planning data'!C493,'Shipments data'!A:A,'Supply planning data'!A493,'Shipments data'!O:O,"received",'Shipments data'!Q:Q,"&lt;"&amp;'Supply planning data'!D508,'Shipments data'!AC:AC,"&lt;"&amp;'Supply planning data'!D508)-SUMIFS(M:M,D:D,"&lt;="&amp;D493,C:C,C493)+SUMIFS(N:N,D:D,"&lt;="&amp;D493,C:C,C493)+SUMIFS(P:P,D:D,"&lt;="&amp;D493,C:C,C493))</f>
        <v>0</v>
      </c>
      <c r="U493" s="99">
        <f t="shared" si="152"/>
        <v>0</v>
      </c>
      <c r="V493" s="98">
        <f t="shared" si="142"/>
        <v>0</v>
      </c>
      <c r="W493" s="203" t="str">
        <f t="shared" si="158"/>
        <v/>
      </c>
      <c r="X493" s="98">
        <f t="shared" si="153"/>
        <v>0</v>
      </c>
      <c r="Y493" s="97"/>
      <c r="Z493" s="93"/>
      <c r="AA493" s="98">
        <f t="shared" si="146"/>
        <v>0</v>
      </c>
      <c r="AB493" s="233"/>
      <c r="AC493" s="98">
        <f>IF(SUMIFS('Shipments data'!L:L,'Shipments data'!F:F,'Supply planning data'!C493,'Shipments data'!A:A,'Supply planning data'!A493,'Shipments data'!O:O,"received",'Shipments data'!Q:Q,"&lt;"&amp;'Supply planning data'!D508,'Shipments data'!AC:AC,"&lt;"&amp;'Supply planning data'!D508)-SUMIFS(M:M,D:D,"&lt;="&amp;D493,C:C,C493)-SUMIFS(AA:AA,D:D,"&lt;="&amp;D493,C:C,C493)+SUMIFS(N:N,D:D,"&lt;="&amp;D493,C:C,C493)+SUMIFS(P:P,D:D,"&lt;="&amp;D493,C:C,C493)&lt;0,0,SUMIFS('Shipments data'!L:L,'Shipments data'!F:F,'Supply planning data'!C493,'Shipments data'!A:A,'Supply planning data'!A493,'Shipments data'!O:O,"received",'Shipments data'!Q:Q,"&lt;"&amp;'Supply planning data'!D508,'Shipments data'!AC:AC,"&lt;"&amp;'Supply planning data'!D508)-SUMIFS(M:M,D:D,"&lt;="&amp;D493,C:C,C493)-SUMIFS(AA:AA,D:D,"&lt;="&amp;D493,C:C,C493)+SUMIFS(N:N,D:D,"&lt;="&amp;D493,C:C,C493)+SUMIFS(P:P,D:D,"&lt;="&amp;D493,C:C,C493))</f>
        <v>0</v>
      </c>
      <c r="AD493" s="98">
        <f t="shared" si="154"/>
        <v>0</v>
      </c>
      <c r="AE493" s="98">
        <f t="shared" si="148"/>
        <v>0</v>
      </c>
      <c r="AF493" s="205" t="str">
        <f t="shared" si="157"/>
        <v/>
      </c>
      <c r="AG493" s="98">
        <f t="shared" si="155"/>
        <v>0</v>
      </c>
      <c r="AH493" s="97"/>
      <c r="AI493" s="311"/>
      <c r="AJ493" s="98">
        <f t="shared" si="147"/>
        <v>0</v>
      </c>
      <c r="AK493" s="233"/>
      <c r="AL493" s="98">
        <f>IF(SUMIFS('Shipments data'!L:L,'Shipments data'!F:F,'Supply planning data'!C493,'Shipments data'!A:A,'Supply planning data'!A493,'Shipments data'!O:O,"received",'Shipments data'!Q:Q,"&lt;"&amp;'Supply planning data'!D508,'Shipments data'!AC:AC,"&lt;"&amp;'Supply planning data'!D508)-SUMIFS(M:M,D:D,"&lt;="&amp;D493,C:C,C493)-SUMIFS(AJ:AJ,D:D,"&lt;="&amp;D493,C:C,C493)+SUMIFS(N:N,D:D,"&lt;="&amp;D493,C:C,C493)+SUMIFS(P:P,D:D,"&lt;="&amp;D493,C:C,C493)&lt;0,0,SUMIFS('Shipments data'!L:L,'Shipments data'!F:F,'Supply planning data'!C493,'Shipments data'!A:A,'Supply planning data'!A493,'Shipments data'!O:O,"received",'Shipments data'!Q:Q,"&lt;"&amp;'Supply planning data'!D508,'Shipments data'!AC:AC,"&lt;"&amp;'Supply planning data'!D508)-SUMIFS(M:M,D:D,"&lt;="&amp;D493,C:C,C493)-SUMIFS(AJ:AJ,D:D,"&lt;="&amp;D493,C:C,C493)+SUMIFS(N:N,D:D,"&lt;="&amp;D493,C:C,C493)+SUMIFS(P:P,D:D,"&lt;="&amp;D493,C:C,C493))</f>
        <v>0</v>
      </c>
      <c r="AM493" s="98">
        <f t="shared" si="156"/>
        <v>0</v>
      </c>
      <c r="AN493" s="98">
        <f t="shared" si="149"/>
        <v>0</v>
      </c>
      <c r="AO493" s="203" t="str">
        <f t="shared" si="159"/>
        <v/>
      </c>
    </row>
    <row r="494" spans="1:41" hidden="1" x14ac:dyDescent="0.25">
      <c r="A494" s="95" t="str">
        <f>Start!D$7</f>
        <v>Anyland</v>
      </c>
      <c r="B494" s="96" t="str">
        <f>VLOOKUP(A494,list!B:C,2,FALSE)</f>
        <v>ANY</v>
      </c>
      <c r="C494" s="90" t="str">
        <f>IF(Start!$C$26="","",Start!$C$26)</f>
        <v/>
      </c>
      <c r="D494" s="296">
        <f t="shared" si="150"/>
        <v>45170</v>
      </c>
      <c r="E494" s="92" t="str">
        <f>IFERROR(VLOOKUP(C494,Start!C$15:D$31,2,FALSE),"No")</f>
        <v>No</v>
      </c>
      <c r="F494" s="92">
        <f t="shared" si="151"/>
        <v>0</v>
      </c>
      <c r="G494" s="91"/>
      <c r="H494" s="97"/>
      <c r="I494" s="97"/>
      <c r="J494" s="98">
        <f t="shared" si="143"/>
        <v>0</v>
      </c>
      <c r="K494" s="97"/>
      <c r="L494" s="175" t="str">
        <f t="shared" si="144"/>
        <v/>
      </c>
      <c r="M494" s="98">
        <f t="shared" si="145"/>
        <v>0</v>
      </c>
      <c r="N494" s="97"/>
      <c r="O494" s="122"/>
      <c r="P494" s="97"/>
      <c r="Q494" s="122"/>
      <c r="R494" s="98">
        <f>SUMIFS('Shipments data'!L:L,'Shipments data'!F:F,'Supply planning data'!C494,'Shipments data'!A:A,'Supply planning data'!A494,'Shipments data'!Y:Y,'Supply planning data'!D494,'Shipments data'!O:O,"received", 'Shipments data'!N:N, "Public")</f>
        <v>0</v>
      </c>
      <c r="S494" s="98">
        <f>SUMIFS('Shipments data'!L:L,'Shipments data'!F:F,'Supply planning data'!C494,'Shipments data'!A:A,'Supply planning data'!A494,'Shipments data'!Y:Y,'Supply planning data'!D494,'Shipments data'!O:O,"ordered", 'Shipments data'!N:N, "Public")</f>
        <v>0</v>
      </c>
      <c r="T494" s="98">
        <f>IF(SUMIFS('Shipments data'!L:L,'Shipments data'!F:F,'Supply planning data'!C494,'Shipments data'!A:A,'Supply planning data'!A494,'Shipments data'!O:O,"received",'Shipments data'!Q:Q,"&lt;"&amp;'Supply planning data'!D509,'Shipments data'!AC:AC,"&lt;"&amp;'Supply planning data'!D509)-SUMIFS(M:M,D:D,"&lt;="&amp;D494,C:C,C494)+SUMIFS(N:N,D:D,"&lt;="&amp;D494,C:C,C494)+SUMIFS(P:P,D:D,"&lt;="&amp;D494,C:C,C494)&lt;0,0,SUMIFS('Shipments data'!L:L,'Shipments data'!F:F,'Supply planning data'!C494,'Shipments data'!A:A,'Supply planning data'!A494,'Shipments data'!O:O,"received",'Shipments data'!Q:Q,"&lt;"&amp;'Supply planning data'!D509,'Shipments data'!AC:AC,"&lt;"&amp;'Supply planning data'!D509)-SUMIFS(M:M,D:D,"&lt;="&amp;D494,C:C,C494)+SUMIFS(N:N,D:D,"&lt;="&amp;D494,C:C,C494)+SUMIFS(P:P,D:D,"&lt;="&amp;D494,C:C,C494))</f>
        <v>0</v>
      </c>
      <c r="U494" s="99">
        <f t="shared" si="152"/>
        <v>0</v>
      </c>
      <c r="V494" s="98">
        <f t="shared" si="142"/>
        <v>0</v>
      </c>
      <c r="W494" s="203" t="str">
        <f t="shared" si="158"/>
        <v/>
      </c>
      <c r="X494" s="98">
        <f t="shared" si="153"/>
        <v>0</v>
      </c>
      <c r="Y494" s="97"/>
      <c r="Z494" s="93"/>
      <c r="AA494" s="98">
        <f t="shared" si="146"/>
        <v>0</v>
      </c>
      <c r="AB494" s="233"/>
      <c r="AC494" s="98">
        <f>IF(SUMIFS('Shipments data'!L:L,'Shipments data'!F:F,'Supply planning data'!C494,'Shipments data'!A:A,'Supply planning data'!A494,'Shipments data'!O:O,"received",'Shipments data'!Q:Q,"&lt;"&amp;'Supply planning data'!D509,'Shipments data'!AC:AC,"&lt;"&amp;'Supply planning data'!D509)-SUMIFS(M:M,D:D,"&lt;="&amp;D494,C:C,C494)-SUMIFS(AA:AA,D:D,"&lt;="&amp;D494,C:C,C494)+SUMIFS(N:N,D:D,"&lt;="&amp;D494,C:C,C494)+SUMIFS(P:P,D:D,"&lt;="&amp;D494,C:C,C494)&lt;0,0,SUMIFS('Shipments data'!L:L,'Shipments data'!F:F,'Supply planning data'!C494,'Shipments data'!A:A,'Supply planning data'!A494,'Shipments data'!O:O,"received",'Shipments data'!Q:Q,"&lt;"&amp;'Supply planning data'!D509,'Shipments data'!AC:AC,"&lt;"&amp;'Supply planning data'!D509)-SUMIFS(M:M,D:D,"&lt;="&amp;D494,C:C,C494)-SUMIFS(AA:AA,D:D,"&lt;="&amp;D494,C:C,C494)+SUMIFS(N:N,D:D,"&lt;="&amp;D494,C:C,C494)+SUMIFS(P:P,D:D,"&lt;="&amp;D494,C:C,C494))</f>
        <v>0</v>
      </c>
      <c r="AD494" s="98">
        <f t="shared" si="154"/>
        <v>0</v>
      </c>
      <c r="AE494" s="98">
        <f t="shared" si="148"/>
        <v>0</v>
      </c>
      <c r="AF494" s="205" t="str">
        <f t="shared" si="157"/>
        <v/>
      </c>
      <c r="AG494" s="98">
        <f t="shared" si="155"/>
        <v>0</v>
      </c>
      <c r="AH494" s="97"/>
      <c r="AI494" s="311"/>
      <c r="AJ494" s="98">
        <f t="shared" si="147"/>
        <v>0</v>
      </c>
      <c r="AK494" s="233"/>
      <c r="AL494" s="98">
        <f>IF(SUMIFS('Shipments data'!L:L,'Shipments data'!F:F,'Supply planning data'!C494,'Shipments data'!A:A,'Supply planning data'!A494,'Shipments data'!O:O,"received",'Shipments data'!Q:Q,"&lt;"&amp;'Supply planning data'!D509,'Shipments data'!AC:AC,"&lt;"&amp;'Supply planning data'!D509)-SUMIFS(M:M,D:D,"&lt;="&amp;D494,C:C,C494)-SUMIFS(AJ:AJ,D:D,"&lt;="&amp;D494,C:C,C494)+SUMIFS(N:N,D:D,"&lt;="&amp;D494,C:C,C494)+SUMIFS(P:P,D:D,"&lt;="&amp;D494,C:C,C494)&lt;0,0,SUMIFS('Shipments data'!L:L,'Shipments data'!F:F,'Supply planning data'!C494,'Shipments data'!A:A,'Supply planning data'!A494,'Shipments data'!O:O,"received",'Shipments data'!Q:Q,"&lt;"&amp;'Supply planning data'!D509,'Shipments data'!AC:AC,"&lt;"&amp;'Supply planning data'!D509)-SUMIFS(M:M,D:D,"&lt;="&amp;D494,C:C,C494)-SUMIFS(AJ:AJ,D:D,"&lt;="&amp;D494,C:C,C494)+SUMIFS(N:N,D:D,"&lt;="&amp;D494,C:C,C494)+SUMIFS(P:P,D:D,"&lt;="&amp;D494,C:C,C494))</f>
        <v>0</v>
      </c>
      <c r="AM494" s="98">
        <f t="shared" si="156"/>
        <v>0</v>
      </c>
      <c r="AN494" s="98">
        <f t="shared" si="149"/>
        <v>0</v>
      </c>
      <c r="AO494" s="203" t="str">
        <f t="shared" si="159"/>
        <v/>
      </c>
    </row>
    <row r="495" spans="1:41" hidden="1" x14ac:dyDescent="0.25">
      <c r="A495" s="95" t="str">
        <f>Start!D$7</f>
        <v>Anyland</v>
      </c>
      <c r="B495" s="96" t="str">
        <f>VLOOKUP(A495,list!B:C,2,FALSE)</f>
        <v>ANY</v>
      </c>
      <c r="C495" s="90" t="str">
        <f>IF(Start!$C$27="","",Start!$C$27)</f>
        <v/>
      </c>
      <c r="D495" s="296">
        <f t="shared" si="150"/>
        <v>45170</v>
      </c>
      <c r="E495" s="92" t="str">
        <f>IFERROR(VLOOKUP(C495,Start!C$15:D$31,2,FALSE),"No")</f>
        <v>No</v>
      </c>
      <c r="F495" s="92">
        <f t="shared" si="151"/>
        <v>0</v>
      </c>
      <c r="G495" s="91"/>
      <c r="H495" s="97"/>
      <c r="I495" s="97"/>
      <c r="J495" s="98">
        <f t="shared" si="143"/>
        <v>0</v>
      </c>
      <c r="K495" s="97"/>
      <c r="L495" s="175" t="str">
        <f t="shared" si="144"/>
        <v/>
      </c>
      <c r="M495" s="98">
        <f t="shared" si="145"/>
        <v>0</v>
      </c>
      <c r="N495" s="97"/>
      <c r="O495" s="122"/>
      <c r="P495" s="97"/>
      <c r="Q495" s="122"/>
      <c r="R495" s="98">
        <f>SUMIFS('Shipments data'!L:L,'Shipments data'!F:F,'Supply planning data'!C495,'Shipments data'!A:A,'Supply planning data'!A495,'Shipments data'!Y:Y,'Supply planning data'!D495,'Shipments data'!O:O,"received", 'Shipments data'!N:N, "Public")</f>
        <v>0</v>
      </c>
      <c r="S495" s="98">
        <f>SUMIFS('Shipments data'!L:L,'Shipments data'!F:F,'Supply planning data'!C495,'Shipments data'!A:A,'Supply planning data'!A495,'Shipments data'!Y:Y,'Supply planning data'!D495,'Shipments data'!O:O,"ordered", 'Shipments data'!N:N, "Public")</f>
        <v>0</v>
      </c>
      <c r="T495" s="98">
        <f>IF(SUMIFS('Shipments data'!L:L,'Shipments data'!F:F,'Supply planning data'!C495,'Shipments data'!A:A,'Supply planning data'!A495,'Shipments data'!O:O,"received",'Shipments data'!Q:Q,"&lt;"&amp;'Supply planning data'!D510,'Shipments data'!AC:AC,"&lt;"&amp;'Supply planning data'!D510)-SUMIFS(M:M,D:D,"&lt;="&amp;D495,C:C,C495)+SUMIFS(N:N,D:D,"&lt;="&amp;D495,C:C,C495)+SUMIFS(P:P,D:D,"&lt;="&amp;D495,C:C,C495)&lt;0,0,SUMIFS('Shipments data'!L:L,'Shipments data'!F:F,'Supply planning data'!C495,'Shipments data'!A:A,'Supply planning data'!A495,'Shipments data'!O:O,"received",'Shipments data'!Q:Q,"&lt;"&amp;'Supply planning data'!D510,'Shipments data'!AC:AC,"&lt;"&amp;'Supply planning data'!D510)-SUMIFS(M:M,D:D,"&lt;="&amp;D495,C:C,C495)+SUMIFS(N:N,D:D,"&lt;="&amp;D495,C:C,C495)+SUMIFS(P:P,D:D,"&lt;="&amp;D495,C:C,C495))</f>
        <v>0</v>
      </c>
      <c r="U495" s="99">
        <f t="shared" si="152"/>
        <v>0</v>
      </c>
      <c r="V495" s="98">
        <f t="shared" si="142"/>
        <v>0</v>
      </c>
      <c r="W495" s="203" t="str">
        <f t="shared" si="158"/>
        <v/>
      </c>
      <c r="X495" s="98">
        <f t="shared" si="153"/>
        <v>0</v>
      </c>
      <c r="Y495" s="97"/>
      <c r="Z495" s="93"/>
      <c r="AA495" s="98">
        <f t="shared" si="146"/>
        <v>0</v>
      </c>
      <c r="AB495" s="233"/>
      <c r="AC495" s="98">
        <f>IF(SUMIFS('Shipments data'!L:L,'Shipments data'!F:F,'Supply planning data'!C495,'Shipments data'!A:A,'Supply planning data'!A495,'Shipments data'!O:O,"received",'Shipments data'!Q:Q,"&lt;"&amp;'Supply planning data'!D510,'Shipments data'!AC:AC,"&lt;"&amp;'Supply planning data'!D510)-SUMIFS(M:M,D:D,"&lt;="&amp;D495,C:C,C495)-SUMIFS(AA:AA,D:D,"&lt;="&amp;D495,C:C,C495)+SUMIFS(N:N,D:D,"&lt;="&amp;D495,C:C,C495)+SUMIFS(P:P,D:D,"&lt;="&amp;D495,C:C,C495)&lt;0,0,SUMIFS('Shipments data'!L:L,'Shipments data'!F:F,'Supply planning data'!C495,'Shipments data'!A:A,'Supply planning data'!A495,'Shipments data'!O:O,"received",'Shipments data'!Q:Q,"&lt;"&amp;'Supply planning data'!D510,'Shipments data'!AC:AC,"&lt;"&amp;'Supply planning data'!D510)-SUMIFS(M:M,D:D,"&lt;="&amp;D495,C:C,C495)-SUMIFS(AA:AA,D:D,"&lt;="&amp;D495,C:C,C495)+SUMIFS(N:N,D:D,"&lt;="&amp;D495,C:C,C495)+SUMIFS(P:P,D:D,"&lt;="&amp;D495,C:C,C495))</f>
        <v>0</v>
      </c>
      <c r="AD495" s="98">
        <f t="shared" si="154"/>
        <v>0</v>
      </c>
      <c r="AE495" s="98">
        <f t="shared" si="148"/>
        <v>0</v>
      </c>
      <c r="AF495" s="205" t="str">
        <f t="shared" si="157"/>
        <v/>
      </c>
      <c r="AG495" s="98">
        <f t="shared" si="155"/>
        <v>0</v>
      </c>
      <c r="AH495" s="97"/>
      <c r="AI495" s="311"/>
      <c r="AJ495" s="98">
        <f t="shared" si="147"/>
        <v>0</v>
      </c>
      <c r="AK495" s="233"/>
      <c r="AL495" s="98">
        <f>IF(SUMIFS('Shipments data'!L:L,'Shipments data'!F:F,'Supply planning data'!C495,'Shipments data'!A:A,'Supply planning data'!A495,'Shipments data'!O:O,"received",'Shipments data'!Q:Q,"&lt;"&amp;'Supply planning data'!D510,'Shipments data'!AC:AC,"&lt;"&amp;'Supply planning data'!D510)-SUMIFS(M:M,D:D,"&lt;="&amp;D495,C:C,C495)-SUMIFS(AJ:AJ,D:D,"&lt;="&amp;D495,C:C,C495)+SUMIFS(N:N,D:D,"&lt;="&amp;D495,C:C,C495)+SUMIFS(P:P,D:D,"&lt;="&amp;D495,C:C,C495)&lt;0,0,SUMIFS('Shipments data'!L:L,'Shipments data'!F:F,'Supply planning data'!C495,'Shipments data'!A:A,'Supply planning data'!A495,'Shipments data'!O:O,"received",'Shipments data'!Q:Q,"&lt;"&amp;'Supply planning data'!D510,'Shipments data'!AC:AC,"&lt;"&amp;'Supply planning data'!D510)-SUMIFS(M:M,D:D,"&lt;="&amp;D495,C:C,C495)-SUMIFS(AJ:AJ,D:D,"&lt;="&amp;D495,C:C,C495)+SUMIFS(N:N,D:D,"&lt;="&amp;D495,C:C,C495)+SUMIFS(P:P,D:D,"&lt;="&amp;D495,C:C,C495))</f>
        <v>0</v>
      </c>
      <c r="AM495" s="98">
        <f t="shared" si="156"/>
        <v>0</v>
      </c>
      <c r="AN495" s="98">
        <f t="shared" si="149"/>
        <v>0</v>
      </c>
      <c r="AO495" s="203" t="str">
        <f t="shared" si="159"/>
        <v/>
      </c>
    </row>
    <row r="496" spans="1:41" hidden="1" x14ac:dyDescent="0.25">
      <c r="A496" s="95" t="str">
        <f>Start!D$7</f>
        <v>Anyland</v>
      </c>
      <c r="B496" s="96" t="str">
        <f>VLOOKUP(A496,list!B:C,2,FALSE)</f>
        <v>ANY</v>
      </c>
      <c r="C496" s="90" t="str">
        <f>IF(Start!$C$28="","",Start!$C$28)</f>
        <v/>
      </c>
      <c r="D496" s="296">
        <f t="shared" si="150"/>
        <v>45170</v>
      </c>
      <c r="E496" s="92" t="str">
        <f>IFERROR(VLOOKUP(C496,Start!C$15:D$31,2,FALSE),"No")</f>
        <v>No</v>
      </c>
      <c r="F496" s="92">
        <f t="shared" si="151"/>
        <v>0</v>
      </c>
      <c r="G496" s="91"/>
      <c r="H496" s="97"/>
      <c r="I496" s="97"/>
      <c r="J496" s="98">
        <f t="shared" si="143"/>
        <v>0</v>
      </c>
      <c r="K496" s="97"/>
      <c r="L496" s="175" t="str">
        <f t="shared" si="144"/>
        <v/>
      </c>
      <c r="M496" s="98">
        <f t="shared" si="145"/>
        <v>0</v>
      </c>
      <c r="N496" s="97"/>
      <c r="O496" s="122"/>
      <c r="P496" s="97"/>
      <c r="Q496" s="122"/>
      <c r="R496" s="98">
        <f>SUMIFS('Shipments data'!L:L,'Shipments data'!F:F,'Supply planning data'!C496,'Shipments data'!A:A,'Supply planning data'!A496,'Shipments data'!Y:Y,'Supply planning data'!D496,'Shipments data'!O:O,"received", 'Shipments data'!N:N, "Public")</f>
        <v>0</v>
      </c>
      <c r="S496" s="98">
        <f>SUMIFS('Shipments data'!L:L,'Shipments data'!F:F,'Supply planning data'!C496,'Shipments data'!A:A,'Supply planning data'!A496,'Shipments data'!Y:Y,'Supply planning data'!D496,'Shipments data'!O:O,"ordered", 'Shipments data'!N:N, "Public")</f>
        <v>0</v>
      </c>
      <c r="T496" s="98">
        <f>IF(SUMIFS('Shipments data'!L:L,'Shipments data'!F:F,'Supply planning data'!C496,'Shipments data'!A:A,'Supply planning data'!A496,'Shipments data'!O:O,"received",'Shipments data'!Q:Q,"&lt;"&amp;'Supply planning data'!D511,'Shipments data'!AC:AC,"&lt;"&amp;'Supply planning data'!D511)-SUMIFS(M:M,D:D,"&lt;="&amp;D496,C:C,C496)+SUMIFS(N:N,D:D,"&lt;="&amp;D496,C:C,C496)+SUMIFS(P:P,D:D,"&lt;="&amp;D496,C:C,C496)&lt;0,0,SUMIFS('Shipments data'!L:L,'Shipments data'!F:F,'Supply planning data'!C496,'Shipments data'!A:A,'Supply planning data'!A496,'Shipments data'!O:O,"received",'Shipments data'!Q:Q,"&lt;"&amp;'Supply planning data'!D511,'Shipments data'!AC:AC,"&lt;"&amp;'Supply planning data'!D511)-SUMIFS(M:M,D:D,"&lt;="&amp;D496,C:C,C496)+SUMIFS(N:N,D:D,"&lt;="&amp;D496,C:C,C496)+SUMIFS(P:P,D:D,"&lt;="&amp;D496,C:C,C496))</f>
        <v>0</v>
      </c>
      <c r="U496" s="99">
        <f t="shared" si="152"/>
        <v>0</v>
      </c>
      <c r="V496" s="98">
        <f t="shared" si="142"/>
        <v>0</v>
      </c>
      <c r="W496" s="203" t="str">
        <f t="shared" si="158"/>
        <v/>
      </c>
      <c r="X496" s="98">
        <f t="shared" si="153"/>
        <v>0</v>
      </c>
      <c r="Y496" s="97"/>
      <c r="Z496" s="93"/>
      <c r="AA496" s="98">
        <f t="shared" si="146"/>
        <v>0</v>
      </c>
      <c r="AB496" s="233"/>
      <c r="AC496" s="98">
        <f>IF(SUMIFS('Shipments data'!L:L,'Shipments data'!F:F,'Supply planning data'!C496,'Shipments data'!A:A,'Supply planning data'!A496,'Shipments data'!O:O,"received",'Shipments data'!Q:Q,"&lt;"&amp;'Supply planning data'!D511,'Shipments data'!AC:AC,"&lt;"&amp;'Supply planning data'!D511)-SUMIFS(M:M,D:D,"&lt;="&amp;D496,C:C,C496)-SUMIFS(AA:AA,D:D,"&lt;="&amp;D496,C:C,C496)+SUMIFS(N:N,D:D,"&lt;="&amp;D496,C:C,C496)+SUMIFS(P:P,D:D,"&lt;="&amp;D496,C:C,C496)&lt;0,0,SUMIFS('Shipments data'!L:L,'Shipments data'!F:F,'Supply planning data'!C496,'Shipments data'!A:A,'Supply planning data'!A496,'Shipments data'!O:O,"received",'Shipments data'!Q:Q,"&lt;"&amp;'Supply planning data'!D511,'Shipments data'!AC:AC,"&lt;"&amp;'Supply planning data'!D511)-SUMIFS(M:M,D:D,"&lt;="&amp;D496,C:C,C496)-SUMIFS(AA:AA,D:D,"&lt;="&amp;D496,C:C,C496)+SUMIFS(N:N,D:D,"&lt;="&amp;D496,C:C,C496)+SUMIFS(P:P,D:D,"&lt;="&amp;D496,C:C,C496))</f>
        <v>0</v>
      </c>
      <c r="AD496" s="98">
        <f t="shared" si="154"/>
        <v>0</v>
      </c>
      <c r="AE496" s="98">
        <f t="shared" si="148"/>
        <v>0</v>
      </c>
      <c r="AF496" s="205" t="str">
        <f t="shared" si="157"/>
        <v/>
      </c>
      <c r="AG496" s="98">
        <f t="shared" si="155"/>
        <v>0</v>
      </c>
      <c r="AH496" s="97"/>
      <c r="AI496" s="311"/>
      <c r="AJ496" s="98">
        <f t="shared" si="147"/>
        <v>0</v>
      </c>
      <c r="AK496" s="233"/>
      <c r="AL496" s="98">
        <f>IF(SUMIFS('Shipments data'!L:L,'Shipments data'!F:F,'Supply planning data'!C496,'Shipments data'!A:A,'Supply planning data'!A496,'Shipments data'!O:O,"received",'Shipments data'!Q:Q,"&lt;"&amp;'Supply planning data'!D511,'Shipments data'!AC:AC,"&lt;"&amp;'Supply planning data'!D511)-SUMIFS(M:M,D:D,"&lt;="&amp;D496,C:C,C496)-SUMIFS(AJ:AJ,D:D,"&lt;="&amp;D496,C:C,C496)+SUMIFS(N:N,D:D,"&lt;="&amp;D496,C:C,C496)+SUMIFS(P:P,D:D,"&lt;="&amp;D496,C:C,C496)&lt;0,0,SUMIFS('Shipments data'!L:L,'Shipments data'!F:F,'Supply planning data'!C496,'Shipments data'!A:A,'Supply planning data'!A496,'Shipments data'!O:O,"received",'Shipments data'!Q:Q,"&lt;"&amp;'Supply planning data'!D511,'Shipments data'!AC:AC,"&lt;"&amp;'Supply planning data'!D511)-SUMIFS(M:M,D:D,"&lt;="&amp;D496,C:C,C496)-SUMIFS(AJ:AJ,D:D,"&lt;="&amp;D496,C:C,C496)+SUMIFS(N:N,D:D,"&lt;="&amp;D496,C:C,C496)+SUMIFS(P:P,D:D,"&lt;="&amp;D496,C:C,C496))</f>
        <v>0</v>
      </c>
      <c r="AM496" s="98">
        <f t="shared" si="156"/>
        <v>0</v>
      </c>
      <c r="AN496" s="98">
        <f t="shared" si="149"/>
        <v>0</v>
      </c>
      <c r="AO496" s="203" t="str">
        <f t="shared" si="159"/>
        <v/>
      </c>
    </row>
    <row r="497" spans="1:41" hidden="1" x14ac:dyDescent="0.25">
      <c r="A497" s="95" t="str">
        <f>Start!D$7</f>
        <v>Anyland</v>
      </c>
      <c r="B497" s="96" t="str">
        <f>VLOOKUP(A497,list!B:C,2,FALSE)</f>
        <v>ANY</v>
      </c>
      <c r="C497" s="90" t="str">
        <f>IF(Start!$C$29="","",Start!$C$29)</f>
        <v/>
      </c>
      <c r="D497" s="296">
        <f t="shared" si="150"/>
        <v>45170</v>
      </c>
      <c r="E497" s="92" t="str">
        <f>IFERROR(VLOOKUP(C497,Start!C$15:D$31,2,FALSE),"No")</f>
        <v>No</v>
      </c>
      <c r="F497" s="92">
        <f t="shared" si="151"/>
        <v>0</v>
      </c>
      <c r="G497" s="91"/>
      <c r="H497" s="97"/>
      <c r="I497" s="97"/>
      <c r="J497" s="98">
        <f t="shared" si="143"/>
        <v>0</v>
      </c>
      <c r="K497" s="97"/>
      <c r="L497" s="175" t="str">
        <f t="shared" si="144"/>
        <v/>
      </c>
      <c r="M497" s="98">
        <f t="shared" si="145"/>
        <v>0</v>
      </c>
      <c r="N497" s="97"/>
      <c r="O497" s="122"/>
      <c r="P497" s="97"/>
      <c r="Q497" s="122"/>
      <c r="R497" s="98">
        <f>SUMIFS('Shipments data'!L:L,'Shipments data'!F:F,'Supply planning data'!C497,'Shipments data'!A:A,'Supply planning data'!A497,'Shipments data'!Y:Y,'Supply planning data'!D497,'Shipments data'!O:O,"received", 'Shipments data'!N:N, "Public")</f>
        <v>0</v>
      </c>
      <c r="S497" s="98">
        <f>SUMIFS('Shipments data'!L:L,'Shipments data'!F:F,'Supply planning data'!C497,'Shipments data'!A:A,'Supply planning data'!A497,'Shipments data'!Y:Y,'Supply planning data'!D497,'Shipments data'!O:O,"ordered", 'Shipments data'!N:N, "Public")</f>
        <v>0</v>
      </c>
      <c r="T497" s="98">
        <f>IF(SUMIFS('Shipments data'!L:L,'Shipments data'!F:F,'Supply planning data'!C497,'Shipments data'!A:A,'Supply planning data'!A497,'Shipments data'!O:O,"received",'Shipments data'!Q:Q,"&lt;"&amp;'Supply planning data'!D512,'Shipments data'!AC:AC,"&lt;"&amp;'Supply planning data'!D512)-SUMIFS(M:M,D:D,"&lt;="&amp;D497,C:C,C497)+SUMIFS(N:N,D:D,"&lt;="&amp;D497,C:C,C497)+SUMIFS(P:P,D:D,"&lt;="&amp;D497,C:C,C497)&lt;0,0,SUMIFS('Shipments data'!L:L,'Shipments data'!F:F,'Supply planning data'!C497,'Shipments data'!A:A,'Supply planning data'!A497,'Shipments data'!O:O,"received",'Shipments data'!Q:Q,"&lt;"&amp;'Supply planning data'!D512,'Shipments data'!AC:AC,"&lt;"&amp;'Supply planning data'!D512)-SUMIFS(M:M,D:D,"&lt;="&amp;D497,C:C,C497)+SUMIFS(N:N,D:D,"&lt;="&amp;D497,C:C,C497)+SUMIFS(P:P,D:D,"&lt;="&amp;D497,C:C,C497))</f>
        <v>0</v>
      </c>
      <c r="U497" s="99">
        <f t="shared" si="152"/>
        <v>0</v>
      </c>
      <c r="V497" s="98">
        <f t="shared" si="142"/>
        <v>0</v>
      </c>
      <c r="W497" s="203" t="str">
        <f t="shared" si="158"/>
        <v/>
      </c>
      <c r="X497" s="98">
        <f t="shared" si="153"/>
        <v>0</v>
      </c>
      <c r="Y497" s="97"/>
      <c r="Z497" s="93"/>
      <c r="AA497" s="98">
        <f t="shared" si="146"/>
        <v>0</v>
      </c>
      <c r="AB497" s="233"/>
      <c r="AC497" s="98">
        <f>IF(SUMIFS('Shipments data'!L:L,'Shipments data'!F:F,'Supply planning data'!C497,'Shipments data'!A:A,'Supply planning data'!A497,'Shipments data'!O:O,"received",'Shipments data'!Q:Q,"&lt;"&amp;'Supply planning data'!D512,'Shipments data'!AC:AC,"&lt;"&amp;'Supply planning data'!D512)-SUMIFS(M:M,D:D,"&lt;="&amp;D497,C:C,C497)-SUMIFS(AA:AA,D:D,"&lt;="&amp;D497,C:C,C497)+SUMIFS(N:N,D:D,"&lt;="&amp;D497,C:C,C497)+SUMIFS(P:P,D:D,"&lt;="&amp;D497,C:C,C497)&lt;0,0,SUMIFS('Shipments data'!L:L,'Shipments data'!F:F,'Supply planning data'!C497,'Shipments data'!A:A,'Supply planning data'!A497,'Shipments data'!O:O,"received",'Shipments data'!Q:Q,"&lt;"&amp;'Supply planning data'!D512,'Shipments data'!AC:AC,"&lt;"&amp;'Supply planning data'!D512)-SUMIFS(M:M,D:D,"&lt;="&amp;D497,C:C,C497)-SUMIFS(AA:AA,D:D,"&lt;="&amp;D497,C:C,C497)+SUMIFS(N:N,D:D,"&lt;="&amp;D497,C:C,C497)+SUMIFS(P:P,D:D,"&lt;="&amp;D497,C:C,C497))</f>
        <v>0</v>
      </c>
      <c r="AD497" s="98">
        <f t="shared" si="154"/>
        <v>0</v>
      </c>
      <c r="AE497" s="98">
        <f t="shared" si="148"/>
        <v>0</v>
      </c>
      <c r="AF497" s="205" t="str">
        <f t="shared" si="157"/>
        <v/>
      </c>
      <c r="AG497" s="98">
        <f t="shared" si="155"/>
        <v>0</v>
      </c>
      <c r="AH497" s="97"/>
      <c r="AI497" s="311"/>
      <c r="AJ497" s="98">
        <f t="shared" si="147"/>
        <v>0</v>
      </c>
      <c r="AK497" s="233"/>
      <c r="AL497" s="98">
        <f>IF(SUMIFS('Shipments data'!L:L,'Shipments data'!F:F,'Supply planning data'!C497,'Shipments data'!A:A,'Supply planning data'!A497,'Shipments data'!O:O,"received",'Shipments data'!Q:Q,"&lt;"&amp;'Supply planning data'!D512,'Shipments data'!AC:AC,"&lt;"&amp;'Supply planning data'!D512)-SUMIFS(M:M,D:D,"&lt;="&amp;D497,C:C,C497)-SUMIFS(AJ:AJ,D:D,"&lt;="&amp;D497,C:C,C497)+SUMIFS(N:N,D:D,"&lt;="&amp;D497,C:C,C497)+SUMIFS(P:P,D:D,"&lt;="&amp;D497,C:C,C497)&lt;0,0,SUMIFS('Shipments data'!L:L,'Shipments data'!F:F,'Supply planning data'!C497,'Shipments data'!A:A,'Supply planning data'!A497,'Shipments data'!O:O,"received",'Shipments data'!Q:Q,"&lt;"&amp;'Supply planning data'!D512,'Shipments data'!AC:AC,"&lt;"&amp;'Supply planning data'!D512)-SUMIFS(M:M,D:D,"&lt;="&amp;D497,C:C,C497)-SUMIFS(AJ:AJ,D:D,"&lt;="&amp;D497,C:C,C497)+SUMIFS(N:N,D:D,"&lt;="&amp;D497,C:C,C497)+SUMIFS(P:P,D:D,"&lt;="&amp;D497,C:C,C497))</f>
        <v>0</v>
      </c>
      <c r="AM497" s="98">
        <f t="shared" si="156"/>
        <v>0</v>
      </c>
      <c r="AN497" s="98">
        <f t="shared" si="149"/>
        <v>0</v>
      </c>
      <c r="AO497" s="203" t="str">
        <f t="shared" si="159"/>
        <v/>
      </c>
    </row>
    <row r="498" spans="1:41" hidden="1" x14ac:dyDescent="0.25">
      <c r="A498" s="95" t="str">
        <f>Start!D$7</f>
        <v>Anyland</v>
      </c>
      <c r="B498" s="96" t="str">
        <f>VLOOKUP(A498,list!B:C,2,FALSE)</f>
        <v>ANY</v>
      </c>
      <c r="C498" s="90" t="str">
        <f>IF(Start!$C$30="","",Start!$C$30)</f>
        <v/>
      </c>
      <c r="D498" s="296">
        <f t="shared" si="150"/>
        <v>45170</v>
      </c>
      <c r="E498" s="92" t="str">
        <f>IFERROR(VLOOKUP(C498,Start!C$15:D$31,2,FALSE),"No")</f>
        <v>No</v>
      </c>
      <c r="F498" s="92">
        <f t="shared" si="151"/>
        <v>0</v>
      </c>
      <c r="G498" s="91"/>
      <c r="H498" s="97"/>
      <c r="I498" s="97"/>
      <c r="J498" s="98">
        <f t="shared" si="143"/>
        <v>0</v>
      </c>
      <c r="K498" s="97"/>
      <c r="L498" s="175" t="str">
        <f t="shared" si="144"/>
        <v/>
      </c>
      <c r="M498" s="98">
        <f t="shared" si="145"/>
        <v>0</v>
      </c>
      <c r="N498" s="97"/>
      <c r="O498" s="122"/>
      <c r="P498" s="97"/>
      <c r="Q498" s="122"/>
      <c r="R498" s="98">
        <f>SUMIFS('Shipments data'!L:L,'Shipments data'!F:F,'Supply planning data'!C498,'Shipments data'!A:A,'Supply planning data'!A498,'Shipments data'!Y:Y,'Supply planning data'!D498,'Shipments data'!O:O,"received", 'Shipments data'!N:N, "Public")</f>
        <v>0</v>
      </c>
      <c r="S498" s="98">
        <f>SUMIFS('Shipments data'!L:L,'Shipments data'!F:F,'Supply planning data'!C498,'Shipments data'!A:A,'Supply planning data'!A498,'Shipments data'!Y:Y,'Supply planning data'!D498,'Shipments data'!O:O,"ordered", 'Shipments data'!N:N, "Public")</f>
        <v>0</v>
      </c>
      <c r="T498" s="98">
        <f>IF(SUMIFS('Shipments data'!L:L,'Shipments data'!F:F,'Supply planning data'!C498,'Shipments data'!A:A,'Supply planning data'!A498,'Shipments data'!O:O,"received",'Shipments data'!Q:Q,"&lt;"&amp;'Supply planning data'!D513,'Shipments data'!AC:AC,"&lt;"&amp;'Supply planning data'!D513)-SUMIFS(M:M,D:D,"&lt;="&amp;D498,C:C,C498)+SUMIFS(N:N,D:D,"&lt;="&amp;D498,C:C,C498)+SUMIFS(P:P,D:D,"&lt;="&amp;D498,C:C,C498)&lt;0,0,SUMIFS('Shipments data'!L:L,'Shipments data'!F:F,'Supply planning data'!C498,'Shipments data'!A:A,'Supply planning data'!A498,'Shipments data'!O:O,"received",'Shipments data'!Q:Q,"&lt;"&amp;'Supply planning data'!D513,'Shipments data'!AC:AC,"&lt;"&amp;'Supply planning data'!D513)-SUMIFS(M:M,D:D,"&lt;="&amp;D498,C:C,C498)+SUMIFS(N:N,D:D,"&lt;="&amp;D498,C:C,C498)+SUMIFS(P:P,D:D,"&lt;="&amp;D498,C:C,C498))</f>
        <v>0</v>
      </c>
      <c r="U498" s="99">
        <f t="shared" si="152"/>
        <v>0</v>
      </c>
      <c r="V498" s="98">
        <f t="shared" si="142"/>
        <v>0</v>
      </c>
      <c r="W498" s="203" t="str">
        <f t="shared" si="158"/>
        <v/>
      </c>
      <c r="X498" s="98">
        <f t="shared" si="153"/>
        <v>0</v>
      </c>
      <c r="Y498" s="97"/>
      <c r="Z498" s="93"/>
      <c r="AA498" s="98">
        <f t="shared" si="146"/>
        <v>0</v>
      </c>
      <c r="AB498" s="233"/>
      <c r="AC498" s="98">
        <f>IF(SUMIFS('Shipments data'!L:L,'Shipments data'!F:F,'Supply planning data'!C498,'Shipments data'!A:A,'Supply planning data'!A498,'Shipments data'!O:O,"received",'Shipments data'!Q:Q,"&lt;"&amp;'Supply planning data'!D513,'Shipments data'!AC:AC,"&lt;"&amp;'Supply planning data'!D513)-SUMIFS(M:M,D:D,"&lt;="&amp;D498,C:C,C498)-SUMIFS(AA:AA,D:D,"&lt;="&amp;D498,C:C,C498)+SUMIFS(N:N,D:D,"&lt;="&amp;D498,C:C,C498)+SUMIFS(P:P,D:D,"&lt;="&amp;D498,C:C,C498)&lt;0,0,SUMIFS('Shipments data'!L:L,'Shipments data'!F:F,'Supply planning data'!C498,'Shipments data'!A:A,'Supply planning data'!A498,'Shipments data'!O:O,"received",'Shipments data'!Q:Q,"&lt;"&amp;'Supply planning data'!D513,'Shipments data'!AC:AC,"&lt;"&amp;'Supply planning data'!D513)-SUMIFS(M:M,D:D,"&lt;="&amp;D498,C:C,C498)-SUMIFS(AA:AA,D:D,"&lt;="&amp;D498,C:C,C498)+SUMIFS(N:N,D:D,"&lt;="&amp;D498,C:C,C498)+SUMIFS(P:P,D:D,"&lt;="&amp;D498,C:C,C498))</f>
        <v>0</v>
      </c>
      <c r="AD498" s="98">
        <f t="shared" si="154"/>
        <v>0</v>
      </c>
      <c r="AE498" s="98">
        <f t="shared" si="148"/>
        <v>0</v>
      </c>
      <c r="AF498" s="205" t="str">
        <f t="shared" si="157"/>
        <v/>
      </c>
      <c r="AG498" s="98">
        <f t="shared" si="155"/>
        <v>0</v>
      </c>
      <c r="AH498" s="97"/>
      <c r="AI498" s="311"/>
      <c r="AJ498" s="98">
        <f t="shared" si="147"/>
        <v>0</v>
      </c>
      <c r="AK498" s="233"/>
      <c r="AL498" s="98">
        <f>IF(SUMIFS('Shipments data'!L:L,'Shipments data'!F:F,'Supply planning data'!C498,'Shipments data'!A:A,'Supply planning data'!A498,'Shipments data'!O:O,"received",'Shipments data'!Q:Q,"&lt;"&amp;'Supply planning data'!D513,'Shipments data'!AC:AC,"&lt;"&amp;'Supply planning data'!D513)-SUMIFS(M:M,D:D,"&lt;="&amp;D498,C:C,C498)-SUMIFS(AJ:AJ,D:D,"&lt;="&amp;D498,C:C,C498)+SUMIFS(N:N,D:D,"&lt;="&amp;D498,C:C,C498)+SUMIFS(P:P,D:D,"&lt;="&amp;D498,C:C,C498)&lt;0,0,SUMIFS('Shipments data'!L:L,'Shipments data'!F:F,'Supply planning data'!C498,'Shipments data'!A:A,'Supply planning data'!A498,'Shipments data'!O:O,"received",'Shipments data'!Q:Q,"&lt;"&amp;'Supply planning data'!D513,'Shipments data'!AC:AC,"&lt;"&amp;'Supply planning data'!D513)-SUMIFS(M:M,D:D,"&lt;="&amp;D498,C:C,C498)-SUMIFS(AJ:AJ,D:D,"&lt;="&amp;D498,C:C,C498)+SUMIFS(N:N,D:D,"&lt;="&amp;D498,C:C,C498)+SUMIFS(P:P,D:D,"&lt;="&amp;D498,C:C,C498))</f>
        <v>0</v>
      </c>
      <c r="AM498" s="98">
        <f t="shared" si="156"/>
        <v>0</v>
      </c>
      <c r="AN498" s="98">
        <f t="shared" si="149"/>
        <v>0</v>
      </c>
      <c r="AO498" s="203" t="str">
        <f t="shared" si="159"/>
        <v/>
      </c>
    </row>
    <row r="499" spans="1:41" hidden="1" x14ac:dyDescent="0.25">
      <c r="A499" s="95" t="str">
        <f>Start!D$7</f>
        <v>Anyland</v>
      </c>
      <c r="B499" s="100" t="str">
        <f>VLOOKUP(A499,list!B:C,2,FALSE)</f>
        <v>ANY</v>
      </c>
      <c r="C499" s="90" t="str">
        <f>IF(Start!$C$31="","",Start!$C$31)</f>
        <v/>
      </c>
      <c r="D499" s="296">
        <f t="shared" si="150"/>
        <v>45170</v>
      </c>
      <c r="E499" s="92" t="str">
        <f>IFERROR(VLOOKUP(C499,Start!C$15:D$31,2,FALSE),"No")</f>
        <v>No</v>
      </c>
      <c r="F499" s="92">
        <f t="shared" si="151"/>
        <v>0</v>
      </c>
      <c r="G499" s="91"/>
      <c r="H499" s="97"/>
      <c r="I499" s="97"/>
      <c r="J499" s="98">
        <f t="shared" si="143"/>
        <v>0</v>
      </c>
      <c r="K499" s="97"/>
      <c r="L499" s="175" t="str">
        <f t="shared" si="144"/>
        <v/>
      </c>
      <c r="M499" s="98">
        <f t="shared" si="145"/>
        <v>0</v>
      </c>
      <c r="N499" s="97"/>
      <c r="O499" s="122"/>
      <c r="P499" s="97"/>
      <c r="Q499" s="122"/>
      <c r="R499" s="98">
        <f>SUMIFS('Shipments data'!L:L,'Shipments data'!F:F,'Supply planning data'!C499,'Shipments data'!A:A,'Supply planning data'!A499,'Shipments data'!Y:Y,'Supply planning data'!D499,'Shipments data'!O:O,"received", 'Shipments data'!N:N, "Public")</f>
        <v>0</v>
      </c>
      <c r="S499" s="98">
        <f>SUMIFS('Shipments data'!L:L,'Shipments data'!F:F,'Supply planning data'!C499,'Shipments data'!A:A,'Supply planning data'!A499,'Shipments data'!Y:Y,'Supply planning data'!D499,'Shipments data'!O:O,"ordered", 'Shipments data'!N:N, "Public")</f>
        <v>0</v>
      </c>
      <c r="T499" s="98">
        <f>IF(SUMIFS('Shipments data'!L:L,'Shipments data'!F:F,'Supply planning data'!C499,'Shipments data'!A:A,'Supply planning data'!A499,'Shipments data'!O:O,"received",'Shipments data'!Q:Q,"&lt;"&amp;'Supply planning data'!D514,'Shipments data'!AC:AC,"&lt;"&amp;'Supply planning data'!D514)-SUMIFS(M:M,D:D,"&lt;="&amp;D499,C:C,C499)+SUMIFS(N:N,D:D,"&lt;="&amp;D499,C:C,C499)+SUMIFS(P:P,D:D,"&lt;="&amp;D499,C:C,C499)&lt;0,0,SUMIFS('Shipments data'!L:L,'Shipments data'!F:F,'Supply planning data'!C499,'Shipments data'!A:A,'Supply planning data'!A499,'Shipments data'!O:O,"received",'Shipments data'!Q:Q,"&lt;"&amp;'Supply planning data'!D514,'Shipments data'!AC:AC,"&lt;"&amp;'Supply planning data'!D514)-SUMIFS(M:M,D:D,"&lt;="&amp;D499,C:C,C499)+SUMIFS(N:N,D:D,"&lt;="&amp;D499,C:C,C499)+SUMIFS(P:P,D:D,"&lt;="&amp;D499,C:C,C499))</f>
        <v>0</v>
      </c>
      <c r="U499" s="99">
        <f t="shared" si="152"/>
        <v>0</v>
      </c>
      <c r="V499" s="98">
        <f t="shared" ref="V499:V562" si="160">IF(F499-M499+N499+P499+R499+S499-U499&lt;0,0,F499-M499+N499+P499+R499+S499-U499)</f>
        <v>0</v>
      </c>
      <c r="W499" s="203" t="str">
        <f t="shared" si="158"/>
        <v/>
      </c>
      <c r="X499" s="98">
        <f t="shared" si="153"/>
        <v>0</v>
      </c>
      <c r="Y499" s="97"/>
      <c r="Z499" s="93"/>
      <c r="AA499" s="98">
        <f t="shared" si="146"/>
        <v>0</v>
      </c>
      <c r="AB499" s="233"/>
      <c r="AC499" s="98">
        <f>IF(SUMIFS('Shipments data'!L:L,'Shipments data'!F:F,'Supply planning data'!C499,'Shipments data'!A:A,'Supply planning data'!A499,'Shipments data'!O:O,"received",'Shipments data'!Q:Q,"&lt;"&amp;'Supply planning data'!D514,'Shipments data'!AC:AC,"&lt;"&amp;'Supply planning data'!D514)-SUMIFS(M:M,D:D,"&lt;="&amp;D499,C:C,C499)-SUMIFS(AA:AA,D:D,"&lt;="&amp;D499,C:C,C499)+SUMIFS(N:N,D:D,"&lt;="&amp;D499,C:C,C499)+SUMIFS(P:P,D:D,"&lt;="&amp;D499,C:C,C499)&lt;0,0,SUMIFS('Shipments data'!L:L,'Shipments data'!F:F,'Supply planning data'!C499,'Shipments data'!A:A,'Supply planning data'!A499,'Shipments data'!O:O,"received",'Shipments data'!Q:Q,"&lt;"&amp;'Supply planning data'!D514,'Shipments data'!AC:AC,"&lt;"&amp;'Supply planning data'!D514)-SUMIFS(M:M,D:D,"&lt;="&amp;D499,C:C,C499)-SUMIFS(AA:AA,D:D,"&lt;="&amp;D499,C:C,C499)+SUMIFS(N:N,D:D,"&lt;="&amp;D499,C:C,C499)+SUMIFS(P:P,D:D,"&lt;="&amp;D499,C:C,C499))</f>
        <v>0</v>
      </c>
      <c r="AD499" s="98">
        <f t="shared" si="154"/>
        <v>0</v>
      </c>
      <c r="AE499" s="98">
        <f t="shared" si="148"/>
        <v>0</v>
      </c>
      <c r="AF499" s="205" t="str">
        <f t="shared" si="157"/>
        <v/>
      </c>
      <c r="AG499" s="98">
        <f t="shared" si="155"/>
        <v>0</v>
      </c>
      <c r="AH499" s="97"/>
      <c r="AI499" s="311"/>
      <c r="AJ499" s="98">
        <f t="shared" si="147"/>
        <v>0</v>
      </c>
      <c r="AK499" s="233"/>
      <c r="AL499" s="98">
        <f>IF(SUMIFS('Shipments data'!L:L,'Shipments data'!F:F,'Supply planning data'!C499,'Shipments data'!A:A,'Supply planning data'!A499,'Shipments data'!O:O,"received",'Shipments data'!Q:Q,"&lt;"&amp;'Supply planning data'!D514,'Shipments data'!AC:AC,"&lt;"&amp;'Supply planning data'!D514)-SUMIFS(M:M,D:D,"&lt;="&amp;D499,C:C,C499)-SUMIFS(AJ:AJ,D:D,"&lt;="&amp;D499,C:C,C499)+SUMIFS(N:N,D:D,"&lt;="&amp;D499,C:C,C499)+SUMIFS(P:P,D:D,"&lt;="&amp;D499,C:C,C499)&lt;0,0,SUMIFS('Shipments data'!L:L,'Shipments data'!F:F,'Supply planning data'!C499,'Shipments data'!A:A,'Supply planning data'!A499,'Shipments data'!O:O,"received",'Shipments data'!Q:Q,"&lt;"&amp;'Supply planning data'!D514,'Shipments data'!AC:AC,"&lt;"&amp;'Supply planning data'!D514)-SUMIFS(M:M,D:D,"&lt;="&amp;D499,C:C,C499)-SUMIFS(AJ:AJ,D:D,"&lt;="&amp;D499,C:C,C499)+SUMIFS(N:N,D:D,"&lt;="&amp;D499,C:C,C499)+SUMIFS(P:P,D:D,"&lt;="&amp;D499,C:C,C499))</f>
        <v>0</v>
      </c>
      <c r="AM499" s="98">
        <f t="shared" si="156"/>
        <v>0</v>
      </c>
      <c r="AN499" s="98">
        <f t="shared" si="149"/>
        <v>0</v>
      </c>
      <c r="AO499" s="203" t="str">
        <f t="shared" si="159"/>
        <v/>
      </c>
    </row>
    <row r="500" spans="1:41" x14ac:dyDescent="0.25">
      <c r="A500" s="103" t="str">
        <f>Start!D$7</f>
        <v>Anyland</v>
      </c>
      <c r="B500" s="104" t="str">
        <f>VLOOKUP(A500,list!B:C,2,FALSE)</f>
        <v>ANY</v>
      </c>
      <c r="C500" s="104" t="str">
        <f>IF(Start!$C$17="","",Start!$C$17)</f>
        <v>AstraZeneca</v>
      </c>
      <c r="D500" s="298">
        <f t="shared" si="150"/>
        <v>45200</v>
      </c>
      <c r="E500" s="105" t="str">
        <f>IFERROR(VLOOKUP(C500,Start!C$15:D$31,2,FALSE),"No")</f>
        <v>Yes</v>
      </c>
      <c r="F500" s="105">
        <f t="shared" si="151"/>
        <v>0</v>
      </c>
      <c r="G500" s="106"/>
      <c r="H500" s="106"/>
      <c r="I500" s="106"/>
      <c r="J500" s="105">
        <f t="shared" si="143"/>
        <v>0</v>
      </c>
      <c r="K500" s="106"/>
      <c r="L500" s="177" t="str">
        <f t="shared" si="144"/>
        <v/>
      </c>
      <c r="M500" s="105">
        <f t="shared" si="145"/>
        <v>0</v>
      </c>
      <c r="N500" s="106"/>
      <c r="O500" s="123"/>
      <c r="P500" s="106"/>
      <c r="Q500" s="123"/>
      <c r="R500" s="105">
        <f>SUMIFS('Shipments data'!L:L,'Shipments data'!F:F,'Supply planning data'!C500,'Shipments data'!A:A,'Supply planning data'!A500,'Shipments data'!Y:Y,'Supply planning data'!D500,'Shipments data'!O:O,"received", 'Shipments data'!N:N, "Public")</f>
        <v>0</v>
      </c>
      <c r="S500" s="105">
        <f>SUMIFS('Shipments data'!L:L,'Shipments data'!F:F,'Supply planning data'!C500,'Shipments data'!A:A,'Supply planning data'!A500,'Shipments data'!Y:Y,'Supply planning data'!D500,'Shipments data'!O:O,"ordered", 'Shipments data'!N:N, "Public")</f>
        <v>0</v>
      </c>
      <c r="T500" s="105">
        <f>IF(SUMIFS('Shipments data'!L:L,'Shipments data'!F:F,'Supply planning data'!C500,'Shipments data'!A:A,'Supply planning data'!A500,'Shipments data'!O:O,"received",'Shipments data'!Q:Q,"&lt;"&amp;'Supply planning data'!D515,'Shipments data'!AC:AC,"&lt;"&amp;'Supply planning data'!D515)-SUMIFS(M:M,D:D,"&lt;="&amp;D500,C:C,C500)+SUMIFS(N:N,D:D,"&lt;="&amp;D500,C:C,C500)+SUMIFS(P:P,D:D,"&lt;="&amp;D500,C:C,C500)&lt;0,0,SUMIFS('Shipments data'!L:L,'Shipments data'!F:F,'Supply planning data'!C500,'Shipments data'!A:A,'Supply planning data'!A500,'Shipments data'!O:O,"received",'Shipments data'!Q:Q,"&lt;"&amp;'Supply planning data'!D515,'Shipments data'!AC:AC,"&lt;"&amp;'Supply planning data'!D515)-SUMIFS(M:M,D:D,"&lt;="&amp;D500,C:C,C500)+SUMIFS(N:N,D:D,"&lt;="&amp;D500,C:C,C500)+SUMIFS(P:P,D:D,"&lt;="&amp;D500,C:C,C500))</f>
        <v>0</v>
      </c>
      <c r="U500" s="108">
        <f t="shared" si="152"/>
        <v>0</v>
      </c>
      <c r="V500" s="105">
        <f t="shared" si="160"/>
        <v>0</v>
      </c>
      <c r="W500" s="206" t="str">
        <f t="shared" si="158"/>
        <v/>
      </c>
      <c r="X500" s="105">
        <f t="shared" si="153"/>
        <v>154701</v>
      </c>
      <c r="Y500" s="106"/>
      <c r="Z500" s="107"/>
      <c r="AA500" s="105">
        <f t="shared" si="146"/>
        <v>0</v>
      </c>
      <c r="AB500" s="234"/>
      <c r="AC500" s="105">
        <f>IF(SUMIFS('Shipments data'!L:L,'Shipments data'!F:F,'Supply planning data'!C500,'Shipments data'!A:A,'Supply planning data'!A500,'Shipments data'!O:O,"received",'Shipments data'!Q:Q,"&lt;"&amp;'Supply planning data'!D515,'Shipments data'!AC:AC,"&lt;"&amp;'Supply planning data'!D515)-SUMIFS(M:M,D:D,"&lt;="&amp;D500,C:C,C500)-SUMIFS(AA:AA,D:D,"&lt;="&amp;D500,C:C,C500)+SUMIFS(N:N,D:D,"&lt;="&amp;D500,C:C,C500)+SUMIFS(P:P,D:D,"&lt;="&amp;D500,C:C,C500)&lt;0,0,SUMIFS('Shipments data'!L:L,'Shipments data'!F:F,'Supply planning data'!C500,'Shipments data'!A:A,'Supply planning data'!A500,'Shipments data'!O:O,"received",'Shipments data'!Q:Q,"&lt;"&amp;'Supply planning data'!D515,'Shipments data'!AC:AC,"&lt;"&amp;'Supply planning data'!D515)-SUMIFS(M:M,D:D,"&lt;="&amp;D500,C:C,C500)-SUMIFS(AA:AA,D:D,"&lt;="&amp;D500,C:C,C500)+SUMIFS(N:N,D:D,"&lt;="&amp;D500,C:C,C500)+SUMIFS(P:P,D:D,"&lt;="&amp;D500,C:C,C500))</f>
        <v>0</v>
      </c>
      <c r="AD500" s="105">
        <f t="shared" si="154"/>
        <v>0</v>
      </c>
      <c r="AE500" s="105">
        <f t="shared" si="148"/>
        <v>154701</v>
      </c>
      <c r="AF500" s="206" t="str">
        <f t="shared" si="157"/>
        <v/>
      </c>
      <c r="AG500" s="105">
        <f t="shared" si="155"/>
        <v>0</v>
      </c>
      <c r="AH500" s="106"/>
      <c r="AI500" s="312"/>
      <c r="AJ500" s="105">
        <f t="shared" si="147"/>
        <v>0</v>
      </c>
      <c r="AK500" s="234"/>
      <c r="AL500" s="105">
        <f>IF(SUMIFS('Shipments data'!L:L,'Shipments data'!F:F,'Supply planning data'!C500,'Shipments data'!A:A,'Supply planning data'!A500,'Shipments data'!O:O,"received",'Shipments data'!Q:Q,"&lt;"&amp;'Supply planning data'!D515,'Shipments data'!AC:AC,"&lt;"&amp;'Supply planning data'!D515)-SUMIFS(M:M,D:D,"&lt;="&amp;D500,C:C,C500)-SUMIFS(AJ:AJ,D:D,"&lt;="&amp;D500,C:C,C500)+SUMIFS(N:N,D:D,"&lt;="&amp;D500,C:C,C500)+SUMIFS(P:P,D:D,"&lt;="&amp;D500,C:C,C500)&lt;0,0,SUMIFS('Shipments data'!L:L,'Shipments data'!F:F,'Supply planning data'!C500,'Shipments data'!A:A,'Supply planning data'!A500,'Shipments data'!O:O,"received",'Shipments data'!Q:Q,"&lt;"&amp;'Supply planning data'!D515,'Shipments data'!AC:AC,"&lt;"&amp;'Supply planning data'!D515)-SUMIFS(M:M,D:D,"&lt;="&amp;D500,C:C,C500)-SUMIFS(AJ:AJ,D:D,"&lt;="&amp;D500,C:C,C500)+SUMIFS(N:N,D:D,"&lt;="&amp;D500,C:C,C500)+SUMIFS(P:P,D:D,"&lt;="&amp;D500,C:C,C500))</f>
        <v>0</v>
      </c>
      <c r="AM500" s="105">
        <f t="shared" si="156"/>
        <v>0</v>
      </c>
      <c r="AN500" s="105">
        <f t="shared" si="149"/>
        <v>0</v>
      </c>
      <c r="AO500" s="206" t="str">
        <f t="shared" si="159"/>
        <v/>
      </c>
    </row>
    <row r="501" spans="1:41" x14ac:dyDescent="0.25">
      <c r="A501" s="103" t="str">
        <f>Start!D$7</f>
        <v>Anyland</v>
      </c>
      <c r="B501" s="109" t="str">
        <f>VLOOKUP(A501,list!B:C,2,FALSE)</f>
        <v>ANY</v>
      </c>
      <c r="C501" s="109" t="str">
        <f>IF(Start!$C$18="","",Start!$C$18)</f>
        <v>Jansen</v>
      </c>
      <c r="D501" s="298">
        <f t="shared" si="150"/>
        <v>45200</v>
      </c>
      <c r="E501" s="105" t="str">
        <f>IFERROR(VLOOKUP(C501,Start!C$15:D$31,2,FALSE),"No")</f>
        <v>Yes</v>
      </c>
      <c r="F501" s="105">
        <f t="shared" si="151"/>
        <v>2258747</v>
      </c>
      <c r="G501" s="106"/>
      <c r="H501" s="106"/>
      <c r="I501" s="106"/>
      <c r="J501" s="105">
        <f t="shared" si="143"/>
        <v>0</v>
      </c>
      <c r="K501" s="106"/>
      <c r="L501" s="177" t="str">
        <f t="shared" si="144"/>
        <v/>
      </c>
      <c r="M501" s="105">
        <f t="shared" si="145"/>
        <v>0</v>
      </c>
      <c r="N501" s="110"/>
      <c r="O501" s="124"/>
      <c r="P501" s="110"/>
      <c r="Q501" s="124"/>
      <c r="R501" s="111">
        <f>SUMIFS('Shipments data'!L:L,'Shipments data'!F:F,'Supply planning data'!C501,'Shipments data'!A:A,'Supply planning data'!A501,'Shipments data'!Y:Y,'Supply planning data'!D501,'Shipments data'!O:O,"received", 'Shipments data'!N:N, "Public")</f>
        <v>0</v>
      </c>
      <c r="S501" s="111">
        <f>SUMIFS('Shipments data'!L:L,'Shipments data'!F:F,'Supply planning data'!C501,'Shipments data'!A:A,'Supply planning data'!A501,'Shipments data'!Y:Y,'Supply planning data'!D501,'Shipments data'!O:O,"ordered", 'Shipments data'!N:N, "Public")</f>
        <v>0</v>
      </c>
      <c r="T501" s="111">
        <f>IF(SUMIFS('Shipments data'!L:L,'Shipments data'!F:F,'Supply planning data'!C501,'Shipments data'!A:A,'Supply planning data'!A501,'Shipments data'!O:O,"received",'Shipments data'!Q:Q,"&lt;"&amp;'Supply planning data'!D516,'Shipments data'!AC:AC,"&lt;"&amp;'Supply planning data'!D516)-SUMIFS(M:M,D:D,"&lt;="&amp;D501,C:C,C501)+SUMIFS(N:N,D:D,"&lt;="&amp;D501,C:C,C501)+SUMIFS(P:P,D:D,"&lt;="&amp;D501,C:C,C501)&lt;0,0,SUMIFS('Shipments data'!L:L,'Shipments data'!F:F,'Supply planning data'!C501,'Shipments data'!A:A,'Supply planning data'!A501,'Shipments data'!O:O,"received",'Shipments data'!Q:Q,"&lt;"&amp;'Supply planning data'!D516,'Shipments data'!AC:AC,"&lt;"&amp;'Supply planning data'!D516)-SUMIFS(M:M,D:D,"&lt;="&amp;D501,C:C,C501)+SUMIFS(N:N,D:D,"&lt;="&amp;D501,C:C,C501)+SUMIFS(P:P,D:D,"&lt;="&amp;D501,C:C,C501))</f>
        <v>0</v>
      </c>
      <c r="U501" s="112">
        <f t="shared" si="152"/>
        <v>0</v>
      </c>
      <c r="V501" s="111">
        <f t="shared" si="160"/>
        <v>2258747</v>
      </c>
      <c r="W501" s="204" t="str">
        <f t="shared" si="158"/>
        <v/>
      </c>
      <c r="X501" s="111">
        <f t="shared" si="153"/>
        <v>1698747</v>
      </c>
      <c r="Y501" s="110"/>
      <c r="Z501" s="107"/>
      <c r="AA501" s="111">
        <f t="shared" si="146"/>
        <v>0</v>
      </c>
      <c r="AB501" s="235"/>
      <c r="AC501" s="111">
        <f>IF(SUMIFS('Shipments data'!L:L,'Shipments data'!F:F,'Supply planning data'!C501,'Shipments data'!A:A,'Supply planning data'!A501,'Shipments data'!O:O,"received",'Shipments data'!Q:Q,"&lt;"&amp;'Supply planning data'!D516,'Shipments data'!AC:AC,"&lt;"&amp;'Supply planning data'!D516)-SUMIFS(M:M,D:D,"&lt;="&amp;D501,C:C,C501)-SUMIFS(AA:AA,D:D,"&lt;="&amp;D501,C:C,C501)+SUMIFS(N:N,D:D,"&lt;="&amp;D501,C:C,C501)+SUMIFS(P:P,D:D,"&lt;="&amp;D501,C:C,C501)&lt;0,0,SUMIFS('Shipments data'!L:L,'Shipments data'!F:F,'Supply planning data'!C501,'Shipments data'!A:A,'Supply planning data'!A501,'Shipments data'!O:O,"received",'Shipments data'!Q:Q,"&lt;"&amp;'Supply planning data'!D516,'Shipments data'!AC:AC,"&lt;"&amp;'Supply planning data'!D516)-SUMIFS(M:M,D:D,"&lt;="&amp;D501,C:C,C501)-SUMIFS(AA:AA,D:D,"&lt;="&amp;D501,C:C,C501)+SUMIFS(N:N,D:D,"&lt;="&amp;D501,C:C,C501)+SUMIFS(P:P,D:D,"&lt;="&amp;D501,C:C,C501))</f>
        <v>0</v>
      </c>
      <c r="AD501" s="111">
        <f t="shared" si="154"/>
        <v>0</v>
      </c>
      <c r="AE501" s="111">
        <f t="shared" si="148"/>
        <v>1698747</v>
      </c>
      <c r="AF501" s="204" t="str">
        <f t="shared" si="157"/>
        <v/>
      </c>
      <c r="AG501" s="111">
        <f t="shared" si="155"/>
        <v>2258747</v>
      </c>
      <c r="AH501" s="110"/>
      <c r="AI501" s="313"/>
      <c r="AJ501" s="111">
        <f t="shared" si="147"/>
        <v>0</v>
      </c>
      <c r="AK501" s="235"/>
      <c r="AL501" s="111">
        <f>IF(SUMIFS('Shipments data'!L:L,'Shipments data'!F:F,'Supply planning data'!C501,'Shipments data'!A:A,'Supply planning data'!A501,'Shipments data'!O:O,"received",'Shipments data'!Q:Q,"&lt;"&amp;'Supply planning data'!D516,'Shipments data'!AC:AC,"&lt;"&amp;'Supply planning data'!D516)-SUMIFS(M:M,D:D,"&lt;="&amp;D501,C:C,C501)-SUMIFS(AJ:AJ,D:D,"&lt;="&amp;D501,C:C,C501)+SUMIFS(N:N,D:D,"&lt;="&amp;D501,C:C,C501)+SUMIFS(P:P,D:D,"&lt;="&amp;D501,C:C,C501)&lt;0,0,SUMIFS('Shipments data'!L:L,'Shipments data'!F:F,'Supply planning data'!C501,'Shipments data'!A:A,'Supply planning data'!A501,'Shipments data'!O:O,"received",'Shipments data'!Q:Q,"&lt;"&amp;'Supply planning data'!D516,'Shipments data'!AC:AC,"&lt;"&amp;'Supply planning data'!D516)-SUMIFS(M:M,D:D,"&lt;="&amp;D501,C:C,C501)-SUMIFS(AJ:AJ,D:D,"&lt;="&amp;D501,C:C,C501)+SUMIFS(N:N,D:D,"&lt;="&amp;D501,C:C,C501)+SUMIFS(P:P,D:D,"&lt;="&amp;D501,C:C,C501))</f>
        <v>0</v>
      </c>
      <c r="AM501" s="111">
        <f t="shared" si="156"/>
        <v>0</v>
      </c>
      <c r="AN501" s="111">
        <f t="shared" si="149"/>
        <v>2258747</v>
      </c>
      <c r="AO501" s="204" t="str">
        <f t="shared" si="159"/>
        <v/>
      </c>
    </row>
    <row r="502" spans="1:41" x14ac:dyDescent="0.25">
      <c r="A502" s="103" t="str">
        <f>Start!D$7</f>
        <v>Anyland</v>
      </c>
      <c r="B502" s="109" t="str">
        <f>VLOOKUP(A502,list!B:C,2,FALSE)</f>
        <v>ANY</v>
      </c>
      <c r="C502" s="104" t="str">
        <f>IF(Start!$C$19="","",Start!$C$19)</f>
        <v>Moderna</v>
      </c>
      <c r="D502" s="298">
        <f t="shared" si="150"/>
        <v>45200</v>
      </c>
      <c r="E502" s="105" t="str">
        <f>IFERROR(VLOOKUP(C502,Start!C$15:D$31,2,FALSE),"No")</f>
        <v>No</v>
      </c>
      <c r="F502" s="105">
        <f t="shared" si="151"/>
        <v>0</v>
      </c>
      <c r="G502" s="106"/>
      <c r="H502" s="106"/>
      <c r="I502" s="106"/>
      <c r="J502" s="105">
        <f t="shared" si="143"/>
        <v>0</v>
      </c>
      <c r="K502" s="106"/>
      <c r="L502" s="177" t="str">
        <f t="shared" si="144"/>
        <v/>
      </c>
      <c r="M502" s="105">
        <f t="shared" si="145"/>
        <v>0</v>
      </c>
      <c r="N502" s="110"/>
      <c r="O502" s="124"/>
      <c r="P502" s="110"/>
      <c r="Q502" s="124"/>
      <c r="R502" s="111">
        <f>SUMIFS('Shipments data'!L:L,'Shipments data'!F:F,'Supply planning data'!C502,'Shipments data'!A:A,'Supply planning data'!A502,'Shipments data'!Y:Y,'Supply planning data'!D502,'Shipments data'!O:O,"received", 'Shipments data'!N:N, "Public")</f>
        <v>0</v>
      </c>
      <c r="S502" s="111">
        <f>SUMIFS('Shipments data'!L:L,'Shipments data'!F:F,'Supply planning data'!C502,'Shipments data'!A:A,'Supply planning data'!A502,'Shipments data'!Y:Y,'Supply planning data'!D502,'Shipments data'!O:O,"ordered", 'Shipments data'!N:N, "Public")</f>
        <v>0</v>
      </c>
      <c r="T502" s="111">
        <f>IF(SUMIFS('Shipments data'!L:L,'Shipments data'!F:F,'Supply planning data'!C502,'Shipments data'!A:A,'Supply planning data'!A502,'Shipments data'!O:O,"received",'Shipments data'!Q:Q,"&lt;"&amp;'Supply planning data'!D517,'Shipments data'!AC:AC,"&lt;"&amp;'Supply planning data'!D517)-SUMIFS(M:M,D:D,"&lt;="&amp;D502,C:C,C502)+SUMIFS(N:N,D:D,"&lt;="&amp;D502,C:C,C502)+SUMIFS(P:P,D:D,"&lt;="&amp;D502,C:C,C502)&lt;0,0,SUMIFS('Shipments data'!L:L,'Shipments data'!F:F,'Supply planning data'!C502,'Shipments data'!A:A,'Supply planning data'!A502,'Shipments data'!O:O,"received",'Shipments data'!Q:Q,"&lt;"&amp;'Supply planning data'!D517,'Shipments data'!AC:AC,"&lt;"&amp;'Supply planning data'!D517)-SUMIFS(M:M,D:D,"&lt;="&amp;D502,C:C,C502)+SUMIFS(N:N,D:D,"&lt;="&amp;D502,C:C,C502)+SUMIFS(P:P,D:D,"&lt;="&amp;D502,C:C,C502))</f>
        <v>0</v>
      </c>
      <c r="U502" s="112">
        <f t="shared" si="152"/>
        <v>0</v>
      </c>
      <c r="V502" s="111">
        <f t="shared" si="160"/>
        <v>0</v>
      </c>
      <c r="W502" s="204" t="str">
        <f t="shared" si="158"/>
        <v/>
      </c>
      <c r="X502" s="111">
        <f t="shared" si="153"/>
        <v>0</v>
      </c>
      <c r="Y502" s="110"/>
      <c r="Z502" s="107"/>
      <c r="AA502" s="111">
        <f t="shared" si="146"/>
        <v>0</v>
      </c>
      <c r="AB502" s="235"/>
      <c r="AC502" s="111">
        <f>IF(SUMIFS('Shipments data'!L:L,'Shipments data'!F:F,'Supply planning data'!C502,'Shipments data'!A:A,'Supply planning data'!A502,'Shipments data'!O:O,"received",'Shipments data'!Q:Q,"&lt;"&amp;'Supply planning data'!D517,'Shipments data'!AC:AC,"&lt;"&amp;'Supply planning data'!D517)-SUMIFS(M:M,D:D,"&lt;="&amp;D502,C:C,C502)-SUMIFS(AA:AA,D:D,"&lt;="&amp;D502,C:C,C502)+SUMIFS(N:N,D:D,"&lt;="&amp;D502,C:C,C502)+SUMIFS(P:P,D:D,"&lt;="&amp;D502,C:C,C502)&lt;0,0,SUMIFS('Shipments data'!L:L,'Shipments data'!F:F,'Supply planning data'!C502,'Shipments data'!A:A,'Supply planning data'!A502,'Shipments data'!O:O,"received",'Shipments data'!Q:Q,"&lt;"&amp;'Supply planning data'!D517,'Shipments data'!AC:AC,"&lt;"&amp;'Supply planning data'!D517)-SUMIFS(M:M,D:D,"&lt;="&amp;D502,C:C,C502)-SUMIFS(AA:AA,D:D,"&lt;="&amp;D502,C:C,C502)+SUMIFS(N:N,D:D,"&lt;="&amp;D502,C:C,C502)+SUMIFS(P:P,D:D,"&lt;="&amp;D502,C:C,C502))</f>
        <v>0</v>
      </c>
      <c r="AD502" s="111">
        <f t="shared" si="154"/>
        <v>0</v>
      </c>
      <c r="AE502" s="111">
        <f t="shared" si="148"/>
        <v>0</v>
      </c>
      <c r="AF502" s="204" t="str">
        <f t="shared" si="157"/>
        <v/>
      </c>
      <c r="AG502" s="111">
        <f t="shared" si="155"/>
        <v>0</v>
      </c>
      <c r="AH502" s="110"/>
      <c r="AI502" s="313"/>
      <c r="AJ502" s="111">
        <f t="shared" si="147"/>
        <v>0</v>
      </c>
      <c r="AK502" s="235"/>
      <c r="AL502" s="111">
        <f>IF(SUMIFS('Shipments data'!L:L,'Shipments data'!F:F,'Supply planning data'!C502,'Shipments data'!A:A,'Supply planning data'!A502,'Shipments data'!O:O,"received",'Shipments data'!Q:Q,"&lt;"&amp;'Supply planning data'!D517,'Shipments data'!AC:AC,"&lt;"&amp;'Supply planning data'!D517)-SUMIFS(M:M,D:D,"&lt;="&amp;D502,C:C,C502)-SUMIFS(AJ:AJ,D:D,"&lt;="&amp;D502,C:C,C502)+SUMIFS(N:N,D:D,"&lt;="&amp;D502,C:C,C502)+SUMIFS(P:P,D:D,"&lt;="&amp;D502,C:C,C502)&lt;0,0,SUMIFS('Shipments data'!L:L,'Shipments data'!F:F,'Supply planning data'!C502,'Shipments data'!A:A,'Supply planning data'!A502,'Shipments data'!O:O,"received",'Shipments data'!Q:Q,"&lt;"&amp;'Supply planning data'!D517,'Shipments data'!AC:AC,"&lt;"&amp;'Supply planning data'!D517)-SUMIFS(M:M,D:D,"&lt;="&amp;D502,C:C,C502)-SUMIFS(AJ:AJ,D:D,"&lt;="&amp;D502,C:C,C502)+SUMIFS(N:N,D:D,"&lt;="&amp;D502,C:C,C502)+SUMIFS(P:P,D:D,"&lt;="&amp;D502,C:C,C502))</f>
        <v>0</v>
      </c>
      <c r="AM502" s="111">
        <f t="shared" si="156"/>
        <v>0</v>
      </c>
      <c r="AN502" s="111">
        <f t="shared" si="149"/>
        <v>0</v>
      </c>
      <c r="AO502" s="204" t="str">
        <f t="shared" si="159"/>
        <v/>
      </c>
    </row>
    <row r="503" spans="1:41" x14ac:dyDescent="0.25">
      <c r="A503" s="103" t="str">
        <f>Start!D$7</f>
        <v>Anyland</v>
      </c>
      <c r="B503" s="109" t="str">
        <f>VLOOKUP(A503,list!B:C,2,FALSE)</f>
        <v>ANY</v>
      </c>
      <c r="C503" s="109" t="str">
        <f>IF(Start!$C$20="","",Start!$C$20)</f>
        <v>Pfizer</v>
      </c>
      <c r="D503" s="298">
        <f t="shared" si="150"/>
        <v>45200</v>
      </c>
      <c r="E503" s="105" t="str">
        <f>IFERROR(VLOOKUP(C503,Start!C$15:D$31,2,FALSE),"No")</f>
        <v>Yes</v>
      </c>
      <c r="F503" s="105">
        <f t="shared" si="151"/>
        <v>3000000</v>
      </c>
      <c r="G503" s="106"/>
      <c r="H503" s="106"/>
      <c r="I503" s="106"/>
      <c r="J503" s="105">
        <f t="shared" si="143"/>
        <v>0</v>
      </c>
      <c r="K503" s="106"/>
      <c r="L503" s="177" t="str">
        <f t="shared" si="144"/>
        <v/>
      </c>
      <c r="M503" s="105">
        <f t="shared" si="145"/>
        <v>0</v>
      </c>
      <c r="N503" s="110"/>
      <c r="O503" s="124"/>
      <c r="P503" s="110"/>
      <c r="Q503" s="124"/>
      <c r="R503" s="111">
        <f>SUMIFS('Shipments data'!L:L,'Shipments data'!F:F,'Supply planning data'!C503,'Shipments data'!A:A,'Supply planning data'!A503,'Shipments data'!Y:Y,'Supply planning data'!D503,'Shipments data'!O:O,"received", 'Shipments data'!N:N, "Public")</f>
        <v>0</v>
      </c>
      <c r="S503" s="111">
        <f>SUMIFS('Shipments data'!L:L,'Shipments data'!F:F,'Supply planning data'!C503,'Shipments data'!A:A,'Supply planning data'!A503,'Shipments data'!Y:Y,'Supply planning data'!D503,'Shipments data'!O:O,"ordered", 'Shipments data'!N:N, "Public")</f>
        <v>0</v>
      </c>
      <c r="T503" s="111">
        <f>IF(SUMIFS('Shipments data'!L:L,'Shipments data'!F:F,'Supply planning data'!C503,'Shipments data'!A:A,'Supply planning data'!A503,'Shipments data'!O:O,"received",'Shipments data'!Q:Q,"&lt;"&amp;'Supply planning data'!D518,'Shipments data'!AC:AC,"&lt;"&amp;'Supply planning data'!D518)-SUMIFS(M:M,D:D,"&lt;="&amp;D503,C:C,C503)+SUMIFS(N:N,D:D,"&lt;="&amp;D503,C:C,C503)+SUMIFS(P:P,D:D,"&lt;="&amp;D503,C:C,C503)&lt;0,0,SUMIFS('Shipments data'!L:L,'Shipments data'!F:F,'Supply planning data'!C503,'Shipments data'!A:A,'Supply planning data'!A503,'Shipments data'!O:O,"received",'Shipments data'!Q:Q,"&lt;"&amp;'Supply planning data'!D518,'Shipments data'!AC:AC,"&lt;"&amp;'Supply planning data'!D518)-SUMIFS(M:M,D:D,"&lt;="&amp;D503,C:C,C503)+SUMIFS(N:N,D:D,"&lt;="&amp;D503,C:C,C503)+SUMIFS(P:P,D:D,"&lt;="&amp;D503,C:C,C503))</f>
        <v>110538</v>
      </c>
      <c r="U503" s="112">
        <f t="shared" si="152"/>
        <v>0</v>
      </c>
      <c r="V503" s="111">
        <f t="shared" si="160"/>
        <v>3000000</v>
      </c>
      <c r="W503" s="204" t="str">
        <f t="shared" si="158"/>
        <v/>
      </c>
      <c r="X503" s="111">
        <f t="shared" si="153"/>
        <v>2440000</v>
      </c>
      <c r="Y503" s="110"/>
      <c r="Z503" s="107"/>
      <c r="AA503" s="111">
        <f t="shared" si="146"/>
        <v>0</v>
      </c>
      <c r="AB503" s="235"/>
      <c r="AC503" s="111">
        <f>IF(SUMIFS('Shipments data'!L:L,'Shipments data'!F:F,'Supply planning data'!C503,'Shipments data'!A:A,'Supply planning data'!A503,'Shipments data'!O:O,"received",'Shipments data'!Q:Q,"&lt;"&amp;'Supply planning data'!D518,'Shipments data'!AC:AC,"&lt;"&amp;'Supply planning data'!D518)-SUMIFS(M:M,D:D,"&lt;="&amp;D503,C:C,C503)-SUMIFS(AA:AA,D:D,"&lt;="&amp;D503,C:C,C503)+SUMIFS(N:N,D:D,"&lt;="&amp;D503,C:C,C503)+SUMIFS(P:P,D:D,"&lt;="&amp;D503,C:C,C503)&lt;0,0,SUMIFS('Shipments data'!L:L,'Shipments data'!F:F,'Supply planning data'!C503,'Shipments data'!A:A,'Supply planning data'!A503,'Shipments data'!O:O,"received",'Shipments data'!Q:Q,"&lt;"&amp;'Supply planning data'!D518,'Shipments data'!AC:AC,"&lt;"&amp;'Supply planning data'!D518)-SUMIFS(M:M,D:D,"&lt;="&amp;D503,C:C,C503)-SUMIFS(AA:AA,D:D,"&lt;="&amp;D503,C:C,C503)+SUMIFS(N:N,D:D,"&lt;="&amp;D503,C:C,C503)+SUMIFS(P:P,D:D,"&lt;="&amp;D503,C:C,C503))</f>
        <v>0</v>
      </c>
      <c r="AD503" s="111">
        <f t="shared" si="154"/>
        <v>0</v>
      </c>
      <c r="AE503" s="111">
        <f t="shared" si="148"/>
        <v>2440000</v>
      </c>
      <c r="AF503" s="204" t="str">
        <f t="shared" si="157"/>
        <v/>
      </c>
      <c r="AG503" s="111">
        <f t="shared" si="155"/>
        <v>3000000</v>
      </c>
      <c r="AH503" s="110"/>
      <c r="AI503" s="313"/>
      <c r="AJ503" s="111">
        <f t="shared" si="147"/>
        <v>0</v>
      </c>
      <c r="AK503" s="235"/>
      <c r="AL503" s="111">
        <f>IF(SUMIFS('Shipments data'!L:L,'Shipments data'!F:F,'Supply planning data'!C503,'Shipments data'!A:A,'Supply planning data'!A503,'Shipments data'!O:O,"received",'Shipments data'!Q:Q,"&lt;"&amp;'Supply planning data'!D518,'Shipments data'!AC:AC,"&lt;"&amp;'Supply planning data'!D518)-SUMIFS(M:M,D:D,"&lt;="&amp;D503,C:C,C503)-SUMIFS(AJ:AJ,D:D,"&lt;="&amp;D503,C:C,C503)+SUMIFS(N:N,D:D,"&lt;="&amp;D503,C:C,C503)+SUMIFS(P:P,D:D,"&lt;="&amp;D503,C:C,C503)&lt;0,0,SUMIFS('Shipments data'!L:L,'Shipments data'!F:F,'Supply planning data'!C503,'Shipments data'!A:A,'Supply planning data'!A503,'Shipments data'!O:O,"received",'Shipments data'!Q:Q,"&lt;"&amp;'Supply planning data'!D518,'Shipments data'!AC:AC,"&lt;"&amp;'Supply planning data'!D518)-SUMIFS(M:M,D:D,"&lt;="&amp;D503,C:C,C503)-SUMIFS(AJ:AJ,D:D,"&lt;="&amp;D503,C:C,C503)+SUMIFS(N:N,D:D,"&lt;="&amp;D503,C:C,C503)+SUMIFS(P:P,D:D,"&lt;="&amp;D503,C:C,C503))</f>
        <v>110538</v>
      </c>
      <c r="AM503" s="111">
        <f t="shared" si="156"/>
        <v>0</v>
      </c>
      <c r="AN503" s="111">
        <f t="shared" si="149"/>
        <v>3000000</v>
      </c>
      <c r="AO503" s="204" t="str">
        <f t="shared" si="159"/>
        <v/>
      </c>
    </row>
    <row r="504" spans="1:41" x14ac:dyDescent="0.25">
      <c r="A504" s="103" t="str">
        <f>Start!D$7</f>
        <v>Anyland</v>
      </c>
      <c r="B504" s="109" t="str">
        <f>VLOOKUP(A504,list!B:C,2,FALSE)</f>
        <v>ANY</v>
      </c>
      <c r="C504" s="104" t="str">
        <f>IF(Start!$C$21="","",Start!$C$21)</f>
        <v>Sinovac</v>
      </c>
      <c r="D504" s="298">
        <f t="shared" si="150"/>
        <v>45200</v>
      </c>
      <c r="E504" s="105" t="str">
        <f>IFERROR(VLOOKUP(C504,Start!C$15:D$31,2,FALSE),"No")</f>
        <v>No</v>
      </c>
      <c r="F504" s="105">
        <f t="shared" si="151"/>
        <v>0</v>
      </c>
      <c r="G504" s="106"/>
      <c r="H504" s="106"/>
      <c r="I504" s="106"/>
      <c r="J504" s="105">
        <f t="shared" si="143"/>
        <v>0</v>
      </c>
      <c r="K504" s="106"/>
      <c r="L504" s="177" t="str">
        <f t="shared" si="144"/>
        <v/>
      </c>
      <c r="M504" s="105">
        <f t="shared" si="145"/>
        <v>0</v>
      </c>
      <c r="N504" s="110"/>
      <c r="O504" s="124"/>
      <c r="P504" s="110"/>
      <c r="Q504" s="124"/>
      <c r="R504" s="111">
        <f>SUMIFS('Shipments data'!L:L,'Shipments data'!F:F,'Supply planning data'!C504,'Shipments data'!A:A,'Supply planning data'!A504,'Shipments data'!Y:Y,'Supply planning data'!D504,'Shipments data'!O:O,"received", 'Shipments data'!N:N, "Public")</f>
        <v>0</v>
      </c>
      <c r="S504" s="111">
        <f>SUMIFS('Shipments data'!L:L,'Shipments data'!F:F,'Supply planning data'!C504,'Shipments data'!A:A,'Supply planning data'!A504,'Shipments data'!Y:Y,'Supply planning data'!D504,'Shipments data'!O:O,"ordered", 'Shipments data'!N:N, "Public")</f>
        <v>0</v>
      </c>
      <c r="T504" s="111">
        <f>IF(SUMIFS('Shipments data'!L:L,'Shipments data'!F:F,'Supply planning data'!C504,'Shipments data'!A:A,'Supply planning data'!A504,'Shipments data'!O:O,"received",'Shipments data'!Q:Q,"&lt;"&amp;'Supply planning data'!D519,'Shipments data'!AC:AC,"&lt;"&amp;'Supply planning data'!D519)-SUMIFS(M:M,D:D,"&lt;="&amp;D504,C:C,C504)+SUMIFS(N:N,D:D,"&lt;="&amp;D504,C:C,C504)+SUMIFS(P:P,D:D,"&lt;="&amp;D504,C:C,C504)&lt;0,0,SUMIFS('Shipments data'!L:L,'Shipments data'!F:F,'Supply planning data'!C504,'Shipments data'!A:A,'Supply planning data'!A504,'Shipments data'!O:O,"received",'Shipments data'!Q:Q,"&lt;"&amp;'Supply planning data'!D519,'Shipments data'!AC:AC,"&lt;"&amp;'Supply planning data'!D519)-SUMIFS(M:M,D:D,"&lt;="&amp;D504,C:C,C504)+SUMIFS(N:N,D:D,"&lt;="&amp;D504,C:C,C504)+SUMIFS(P:P,D:D,"&lt;="&amp;D504,C:C,C504))</f>
        <v>0</v>
      </c>
      <c r="U504" s="112">
        <f t="shared" si="152"/>
        <v>0</v>
      </c>
      <c r="V504" s="111">
        <f t="shared" si="160"/>
        <v>0</v>
      </c>
      <c r="W504" s="204" t="str">
        <f t="shared" si="158"/>
        <v/>
      </c>
      <c r="X504" s="111">
        <f t="shared" si="153"/>
        <v>0</v>
      </c>
      <c r="Y504" s="110"/>
      <c r="Z504" s="107"/>
      <c r="AA504" s="111">
        <f t="shared" si="146"/>
        <v>0</v>
      </c>
      <c r="AB504" s="235"/>
      <c r="AC504" s="111">
        <f>IF(SUMIFS('Shipments data'!L:L,'Shipments data'!F:F,'Supply planning data'!C504,'Shipments data'!A:A,'Supply planning data'!A504,'Shipments data'!O:O,"received",'Shipments data'!Q:Q,"&lt;"&amp;'Supply planning data'!D519,'Shipments data'!AC:AC,"&lt;"&amp;'Supply planning data'!D519)-SUMIFS(M:M,D:D,"&lt;="&amp;D504,C:C,C504)-SUMIFS(AA:AA,D:D,"&lt;="&amp;D504,C:C,C504)+SUMIFS(N:N,D:D,"&lt;="&amp;D504,C:C,C504)+SUMIFS(P:P,D:D,"&lt;="&amp;D504,C:C,C504)&lt;0,0,SUMIFS('Shipments data'!L:L,'Shipments data'!F:F,'Supply planning data'!C504,'Shipments data'!A:A,'Supply planning data'!A504,'Shipments data'!O:O,"received",'Shipments data'!Q:Q,"&lt;"&amp;'Supply planning data'!D519,'Shipments data'!AC:AC,"&lt;"&amp;'Supply planning data'!D519)-SUMIFS(M:M,D:D,"&lt;="&amp;D504,C:C,C504)-SUMIFS(AA:AA,D:D,"&lt;="&amp;D504,C:C,C504)+SUMIFS(N:N,D:D,"&lt;="&amp;D504,C:C,C504)+SUMIFS(P:P,D:D,"&lt;="&amp;D504,C:C,C504))</f>
        <v>0</v>
      </c>
      <c r="AD504" s="111">
        <f t="shared" si="154"/>
        <v>0</v>
      </c>
      <c r="AE504" s="111">
        <f t="shared" si="148"/>
        <v>0</v>
      </c>
      <c r="AF504" s="204" t="str">
        <f t="shared" si="157"/>
        <v/>
      </c>
      <c r="AG504" s="111">
        <f t="shared" si="155"/>
        <v>0</v>
      </c>
      <c r="AH504" s="110"/>
      <c r="AI504" s="313"/>
      <c r="AJ504" s="111">
        <f t="shared" si="147"/>
        <v>0</v>
      </c>
      <c r="AK504" s="235"/>
      <c r="AL504" s="111">
        <f>IF(SUMIFS('Shipments data'!L:L,'Shipments data'!F:F,'Supply planning data'!C504,'Shipments data'!A:A,'Supply planning data'!A504,'Shipments data'!O:O,"received",'Shipments data'!Q:Q,"&lt;"&amp;'Supply planning data'!D519,'Shipments data'!AC:AC,"&lt;"&amp;'Supply planning data'!D519)-SUMIFS(M:M,D:D,"&lt;="&amp;D504,C:C,C504)-SUMIFS(AJ:AJ,D:D,"&lt;="&amp;D504,C:C,C504)+SUMIFS(N:N,D:D,"&lt;="&amp;D504,C:C,C504)+SUMIFS(P:P,D:D,"&lt;="&amp;D504,C:C,C504)&lt;0,0,SUMIFS('Shipments data'!L:L,'Shipments data'!F:F,'Supply planning data'!C504,'Shipments data'!A:A,'Supply planning data'!A504,'Shipments data'!O:O,"received",'Shipments data'!Q:Q,"&lt;"&amp;'Supply planning data'!D519,'Shipments data'!AC:AC,"&lt;"&amp;'Supply planning data'!D519)-SUMIFS(M:M,D:D,"&lt;="&amp;D504,C:C,C504)-SUMIFS(AJ:AJ,D:D,"&lt;="&amp;D504,C:C,C504)+SUMIFS(N:N,D:D,"&lt;="&amp;D504,C:C,C504)+SUMIFS(P:P,D:D,"&lt;="&amp;D504,C:C,C504))</f>
        <v>0</v>
      </c>
      <c r="AM504" s="111">
        <f t="shared" si="156"/>
        <v>0</v>
      </c>
      <c r="AN504" s="111">
        <f t="shared" si="149"/>
        <v>0</v>
      </c>
      <c r="AO504" s="204" t="str">
        <f t="shared" si="159"/>
        <v/>
      </c>
    </row>
    <row r="505" spans="1:41" hidden="1" x14ac:dyDescent="0.25">
      <c r="A505" s="103" t="str">
        <f>Start!D$7</f>
        <v>Anyland</v>
      </c>
      <c r="B505" s="109" t="str">
        <f>VLOOKUP(A505,list!B:C,2,FALSE)</f>
        <v>ANY</v>
      </c>
      <c r="C505" s="109" t="str">
        <f>IF(Start!$C$22="","",Start!$C$22)</f>
        <v/>
      </c>
      <c r="D505" s="298">
        <f t="shared" si="150"/>
        <v>45200</v>
      </c>
      <c r="E505" s="105" t="str">
        <f>IFERROR(VLOOKUP(C505,Start!C$15:D$31,2,FALSE),"No")</f>
        <v>No</v>
      </c>
      <c r="F505" s="105">
        <f t="shared" si="151"/>
        <v>0</v>
      </c>
      <c r="G505" s="106"/>
      <c r="H505" s="106"/>
      <c r="I505" s="106"/>
      <c r="J505" s="105">
        <f t="shared" si="143"/>
        <v>0</v>
      </c>
      <c r="K505" s="106"/>
      <c r="L505" s="177" t="str">
        <f t="shared" si="144"/>
        <v/>
      </c>
      <c r="M505" s="105">
        <f t="shared" si="145"/>
        <v>0</v>
      </c>
      <c r="N505" s="110"/>
      <c r="O505" s="124"/>
      <c r="P505" s="110"/>
      <c r="Q505" s="124"/>
      <c r="R505" s="111">
        <f>SUMIFS('Shipments data'!L:L,'Shipments data'!F:F,'Supply planning data'!C505,'Shipments data'!A:A,'Supply planning data'!A505,'Shipments data'!Y:Y,'Supply planning data'!D505,'Shipments data'!O:O,"received", 'Shipments data'!N:N, "Public")</f>
        <v>0</v>
      </c>
      <c r="S505" s="111">
        <f>SUMIFS('Shipments data'!L:L,'Shipments data'!F:F,'Supply planning data'!C505,'Shipments data'!A:A,'Supply planning data'!A505,'Shipments data'!Y:Y,'Supply planning data'!D505,'Shipments data'!O:O,"ordered", 'Shipments data'!N:N, "Public")</f>
        <v>0</v>
      </c>
      <c r="T505" s="111">
        <f>IF(SUMIFS('Shipments data'!L:L,'Shipments data'!F:F,'Supply planning data'!C505,'Shipments data'!A:A,'Supply planning data'!A505,'Shipments data'!O:O,"received",'Shipments data'!Q:Q,"&lt;"&amp;'Supply planning data'!D520,'Shipments data'!AC:AC,"&lt;"&amp;'Supply planning data'!D520)-SUMIFS(M:M,D:D,"&lt;="&amp;D505,C:C,C505)+SUMIFS(N:N,D:D,"&lt;="&amp;D505,C:C,C505)+SUMIFS(P:P,D:D,"&lt;="&amp;D505,C:C,C505)&lt;0,0,SUMIFS('Shipments data'!L:L,'Shipments data'!F:F,'Supply planning data'!C505,'Shipments data'!A:A,'Supply planning data'!A505,'Shipments data'!O:O,"received",'Shipments data'!Q:Q,"&lt;"&amp;'Supply planning data'!D520,'Shipments data'!AC:AC,"&lt;"&amp;'Supply planning data'!D520)-SUMIFS(M:M,D:D,"&lt;="&amp;D505,C:C,C505)+SUMIFS(N:N,D:D,"&lt;="&amp;D505,C:C,C505)+SUMIFS(P:P,D:D,"&lt;="&amp;D505,C:C,C505))</f>
        <v>0</v>
      </c>
      <c r="U505" s="112">
        <f t="shared" si="152"/>
        <v>0</v>
      </c>
      <c r="V505" s="111">
        <f t="shared" si="160"/>
        <v>0</v>
      </c>
      <c r="W505" s="204" t="str">
        <f t="shared" si="158"/>
        <v/>
      </c>
      <c r="X505" s="111">
        <f t="shared" si="153"/>
        <v>0</v>
      </c>
      <c r="Y505" s="110"/>
      <c r="Z505" s="107"/>
      <c r="AA505" s="111">
        <f t="shared" si="146"/>
        <v>0</v>
      </c>
      <c r="AB505" s="235"/>
      <c r="AC505" s="111">
        <f>IF(SUMIFS('Shipments data'!L:L,'Shipments data'!F:F,'Supply planning data'!C505,'Shipments data'!A:A,'Supply planning data'!A505,'Shipments data'!O:O,"received",'Shipments data'!Q:Q,"&lt;"&amp;'Supply planning data'!D520,'Shipments data'!AC:AC,"&lt;"&amp;'Supply planning data'!D520)-SUMIFS(M:M,D:D,"&lt;="&amp;D505,C:C,C505)-SUMIFS(AA:AA,D:D,"&lt;="&amp;D505,C:C,C505)+SUMIFS(N:N,D:D,"&lt;="&amp;D505,C:C,C505)+SUMIFS(P:P,D:D,"&lt;="&amp;D505,C:C,C505)&lt;0,0,SUMIFS('Shipments data'!L:L,'Shipments data'!F:F,'Supply planning data'!C505,'Shipments data'!A:A,'Supply planning data'!A505,'Shipments data'!O:O,"received",'Shipments data'!Q:Q,"&lt;"&amp;'Supply planning data'!D520,'Shipments data'!AC:AC,"&lt;"&amp;'Supply planning data'!D520)-SUMIFS(M:M,D:D,"&lt;="&amp;D505,C:C,C505)-SUMIFS(AA:AA,D:D,"&lt;="&amp;D505,C:C,C505)+SUMIFS(N:N,D:D,"&lt;="&amp;D505,C:C,C505)+SUMIFS(P:P,D:D,"&lt;="&amp;D505,C:C,C505))</f>
        <v>0</v>
      </c>
      <c r="AD505" s="111">
        <f t="shared" si="154"/>
        <v>0</v>
      </c>
      <c r="AE505" s="111">
        <f t="shared" si="148"/>
        <v>0</v>
      </c>
      <c r="AF505" s="204" t="str">
        <f t="shared" si="157"/>
        <v/>
      </c>
      <c r="AG505" s="111">
        <f t="shared" si="155"/>
        <v>0</v>
      </c>
      <c r="AH505" s="110"/>
      <c r="AI505" s="313"/>
      <c r="AJ505" s="111">
        <f t="shared" si="147"/>
        <v>0</v>
      </c>
      <c r="AK505" s="235"/>
      <c r="AL505" s="111">
        <f>IF(SUMIFS('Shipments data'!L:L,'Shipments data'!F:F,'Supply planning data'!C505,'Shipments data'!A:A,'Supply planning data'!A505,'Shipments data'!O:O,"received",'Shipments data'!Q:Q,"&lt;"&amp;'Supply planning data'!D520,'Shipments data'!AC:AC,"&lt;"&amp;'Supply planning data'!D520)-SUMIFS(M:M,D:D,"&lt;="&amp;D505,C:C,C505)-SUMIFS(AJ:AJ,D:D,"&lt;="&amp;D505,C:C,C505)+SUMIFS(N:N,D:D,"&lt;="&amp;D505,C:C,C505)+SUMIFS(P:P,D:D,"&lt;="&amp;D505,C:C,C505)&lt;0,0,SUMIFS('Shipments data'!L:L,'Shipments data'!F:F,'Supply planning data'!C505,'Shipments data'!A:A,'Supply planning data'!A505,'Shipments data'!O:O,"received",'Shipments data'!Q:Q,"&lt;"&amp;'Supply planning data'!D520,'Shipments data'!AC:AC,"&lt;"&amp;'Supply planning data'!D520)-SUMIFS(M:M,D:D,"&lt;="&amp;D505,C:C,C505)-SUMIFS(AJ:AJ,D:D,"&lt;="&amp;D505,C:C,C505)+SUMIFS(N:N,D:D,"&lt;="&amp;D505,C:C,C505)+SUMIFS(P:P,D:D,"&lt;="&amp;D505,C:C,C505))</f>
        <v>0</v>
      </c>
      <c r="AM505" s="111">
        <f t="shared" si="156"/>
        <v>0</v>
      </c>
      <c r="AN505" s="111">
        <f t="shared" si="149"/>
        <v>0</v>
      </c>
      <c r="AO505" s="204" t="str">
        <f t="shared" si="159"/>
        <v/>
      </c>
    </row>
    <row r="506" spans="1:41" hidden="1" x14ac:dyDescent="0.25">
      <c r="A506" s="103" t="str">
        <f>Start!D$7</f>
        <v>Anyland</v>
      </c>
      <c r="B506" s="109" t="str">
        <f>VLOOKUP(A506,list!B:C,2,FALSE)</f>
        <v>ANY</v>
      </c>
      <c r="C506" s="104" t="str">
        <f>IF(Start!$C$23="","",Start!$C$23)</f>
        <v/>
      </c>
      <c r="D506" s="298">
        <f t="shared" si="150"/>
        <v>45200</v>
      </c>
      <c r="E506" s="105" t="str">
        <f>IFERROR(VLOOKUP(C506,Start!C$15:D$31,2,FALSE),"No")</f>
        <v>No</v>
      </c>
      <c r="F506" s="105">
        <f t="shared" si="151"/>
        <v>0</v>
      </c>
      <c r="G506" s="106"/>
      <c r="H506" s="106"/>
      <c r="I506" s="106"/>
      <c r="J506" s="105">
        <f t="shared" si="143"/>
        <v>0</v>
      </c>
      <c r="K506" s="106"/>
      <c r="L506" s="177" t="str">
        <f t="shared" si="144"/>
        <v/>
      </c>
      <c r="M506" s="105">
        <f t="shared" si="145"/>
        <v>0</v>
      </c>
      <c r="N506" s="110"/>
      <c r="O506" s="124"/>
      <c r="P506" s="110"/>
      <c r="Q506" s="124"/>
      <c r="R506" s="111">
        <f>SUMIFS('Shipments data'!L:L,'Shipments data'!F:F,'Supply planning data'!C506,'Shipments data'!A:A,'Supply planning data'!A506,'Shipments data'!Y:Y,'Supply planning data'!D506,'Shipments data'!O:O,"received", 'Shipments data'!N:N, "Public")</f>
        <v>0</v>
      </c>
      <c r="S506" s="111">
        <f>SUMIFS('Shipments data'!L:L,'Shipments data'!F:F,'Supply planning data'!C506,'Shipments data'!A:A,'Supply planning data'!A506,'Shipments data'!Y:Y,'Supply planning data'!D506,'Shipments data'!O:O,"ordered", 'Shipments data'!N:N, "Public")</f>
        <v>0</v>
      </c>
      <c r="T506" s="111">
        <f>IF(SUMIFS('Shipments data'!L:L,'Shipments data'!F:F,'Supply planning data'!C506,'Shipments data'!A:A,'Supply planning data'!A506,'Shipments data'!O:O,"received",'Shipments data'!Q:Q,"&lt;"&amp;'Supply planning data'!D521,'Shipments data'!AC:AC,"&lt;"&amp;'Supply planning data'!D521)-SUMIFS(M:M,D:D,"&lt;="&amp;D506,C:C,C506)+SUMIFS(N:N,D:D,"&lt;="&amp;D506,C:C,C506)+SUMIFS(P:P,D:D,"&lt;="&amp;D506,C:C,C506)&lt;0,0,SUMIFS('Shipments data'!L:L,'Shipments data'!F:F,'Supply planning data'!C506,'Shipments data'!A:A,'Supply planning data'!A506,'Shipments data'!O:O,"received",'Shipments data'!Q:Q,"&lt;"&amp;'Supply planning data'!D521,'Shipments data'!AC:AC,"&lt;"&amp;'Supply planning data'!D521)-SUMIFS(M:M,D:D,"&lt;="&amp;D506,C:C,C506)+SUMIFS(N:N,D:D,"&lt;="&amp;D506,C:C,C506)+SUMIFS(P:P,D:D,"&lt;="&amp;D506,C:C,C506))</f>
        <v>0</v>
      </c>
      <c r="U506" s="112">
        <f t="shared" si="152"/>
        <v>0</v>
      </c>
      <c r="V506" s="111">
        <f t="shared" si="160"/>
        <v>0</v>
      </c>
      <c r="W506" s="204" t="str">
        <f t="shared" si="158"/>
        <v/>
      </c>
      <c r="X506" s="111">
        <f t="shared" si="153"/>
        <v>0</v>
      </c>
      <c r="Y506" s="110"/>
      <c r="Z506" s="107"/>
      <c r="AA506" s="111">
        <f t="shared" si="146"/>
        <v>0</v>
      </c>
      <c r="AB506" s="235"/>
      <c r="AC506" s="111">
        <f>IF(SUMIFS('Shipments data'!L:L,'Shipments data'!F:F,'Supply planning data'!C506,'Shipments data'!A:A,'Supply planning data'!A506,'Shipments data'!O:O,"received",'Shipments data'!Q:Q,"&lt;"&amp;'Supply planning data'!D521,'Shipments data'!AC:AC,"&lt;"&amp;'Supply planning data'!D521)-SUMIFS(M:M,D:D,"&lt;="&amp;D506,C:C,C506)-SUMIFS(AA:AA,D:D,"&lt;="&amp;D506,C:C,C506)+SUMIFS(N:N,D:D,"&lt;="&amp;D506,C:C,C506)+SUMIFS(P:P,D:D,"&lt;="&amp;D506,C:C,C506)&lt;0,0,SUMIFS('Shipments data'!L:L,'Shipments data'!F:F,'Supply planning data'!C506,'Shipments data'!A:A,'Supply planning data'!A506,'Shipments data'!O:O,"received",'Shipments data'!Q:Q,"&lt;"&amp;'Supply planning data'!D521,'Shipments data'!AC:AC,"&lt;"&amp;'Supply planning data'!D521)-SUMIFS(M:M,D:D,"&lt;="&amp;D506,C:C,C506)-SUMIFS(AA:AA,D:D,"&lt;="&amp;D506,C:C,C506)+SUMIFS(N:N,D:D,"&lt;="&amp;D506,C:C,C506)+SUMIFS(P:P,D:D,"&lt;="&amp;D506,C:C,C506))</f>
        <v>0</v>
      </c>
      <c r="AD506" s="111">
        <f t="shared" si="154"/>
        <v>0</v>
      </c>
      <c r="AE506" s="111">
        <f t="shared" si="148"/>
        <v>0</v>
      </c>
      <c r="AF506" s="204" t="str">
        <f t="shared" si="157"/>
        <v/>
      </c>
      <c r="AG506" s="111">
        <f t="shared" si="155"/>
        <v>0</v>
      </c>
      <c r="AH506" s="110"/>
      <c r="AI506" s="313"/>
      <c r="AJ506" s="111">
        <f t="shared" si="147"/>
        <v>0</v>
      </c>
      <c r="AK506" s="235"/>
      <c r="AL506" s="111">
        <f>IF(SUMIFS('Shipments data'!L:L,'Shipments data'!F:F,'Supply planning data'!C506,'Shipments data'!A:A,'Supply planning data'!A506,'Shipments data'!O:O,"received",'Shipments data'!Q:Q,"&lt;"&amp;'Supply planning data'!D521,'Shipments data'!AC:AC,"&lt;"&amp;'Supply planning data'!D521)-SUMIFS(M:M,D:D,"&lt;="&amp;D506,C:C,C506)-SUMIFS(AJ:AJ,D:D,"&lt;="&amp;D506,C:C,C506)+SUMIFS(N:N,D:D,"&lt;="&amp;D506,C:C,C506)+SUMIFS(P:P,D:D,"&lt;="&amp;D506,C:C,C506)&lt;0,0,SUMIFS('Shipments data'!L:L,'Shipments data'!F:F,'Supply planning data'!C506,'Shipments data'!A:A,'Supply planning data'!A506,'Shipments data'!O:O,"received",'Shipments data'!Q:Q,"&lt;"&amp;'Supply planning data'!D521,'Shipments data'!AC:AC,"&lt;"&amp;'Supply planning data'!D521)-SUMIFS(M:M,D:D,"&lt;="&amp;D506,C:C,C506)-SUMIFS(AJ:AJ,D:D,"&lt;="&amp;D506,C:C,C506)+SUMIFS(N:N,D:D,"&lt;="&amp;D506,C:C,C506)+SUMIFS(P:P,D:D,"&lt;="&amp;D506,C:C,C506))</f>
        <v>0</v>
      </c>
      <c r="AM506" s="111">
        <f t="shared" si="156"/>
        <v>0</v>
      </c>
      <c r="AN506" s="111">
        <f t="shared" si="149"/>
        <v>0</v>
      </c>
      <c r="AO506" s="204" t="str">
        <f t="shared" si="159"/>
        <v/>
      </c>
    </row>
    <row r="507" spans="1:41" hidden="1" x14ac:dyDescent="0.25">
      <c r="A507" s="103" t="str">
        <f>Start!D$7</f>
        <v>Anyland</v>
      </c>
      <c r="B507" s="109" t="str">
        <f>VLOOKUP(A507,list!B:C,2,FALSE)</f>
        <v>ANY</v>
      </c>
      <c r="C507" s="109" t="str">
        <f>IF(Start!$C$24="","",Start!$C$24)</f>
        <v/>
      </c>
      <c r="D507" s="298">
        <f t="shared" si="150"/>
        <v>45200</v>
      </c>
      <c r="E507" s="105" t="str">
        <f>IFERROR(VLOOKUP(C507,Start!C$15:D$31,2,FALSE),"No")</f>
        <v>No</v>
      </c>
      <c r="F507" s="105">
        <f t="shared" si="151"/>
        <v>0</v>
      </c>
      <c r="G507" s="106"/>
      <c r="H507" s="106"/>
      <c r="I507" s="106"/>
      <c r="J507" s="105">
        <f t="shared" si="143"/>
        <v>0</v>
      </c>
      <c r="K507" s="106"/>
      <c r="L507" s="177" t="str">
        <f t="shared" si="144"/>
        <v/>
      </c>
      <c r="M507" s="105">
        <f t="shared" si="145"/>
        <v>0</v>
      </c>
      <c r="N507" s="110"/>
      <c r="O507" s="124"/>
      <c r="P507" s="110"/>
      <c r="Q507" s="124"/>
      <c r="R507" s="111">
        <f>SUMIFS('Shipments data'!L:L,'Shipments data'!F:F,'Supply planning data'!C507,'Shipments data'!A:A,'Supply planning data'!A507,'Shipments data'!Y:Y,'Supply planning data'!D507,'Shipments data'!O:O,"received", 'Shipments data'!N:N, "Public")</f>
        <v>0</v>
      </c>
      <c r="S507" s="111">
        <f>SUMIFS('Shipments data'!L:L,'Shipments data'!F:F,'Supply planning data'!C507,'Shipments data'!A:A,'Supply planning data'!A507,'Shipments data'!Y:Y,'Supply planning data'!D507,'Shipments data'!O:O,"ordered", 'Shipments data'!N:N, "Public")</f>
        <v>0</v>
      </c>
      <c r="T507" s="111">
        <f>IF(SUMIFS('Shipments data'!L:L,'Shipments data'!F:F,'Supply planning data'!C507,'Shipments data'!A:A,'Supply planning data'!A507,'Shipments data'!O:O,"received",'Shipments data'!Q:Q,"&lt;"&amp;'Supply planning data'!D522,'Shipments data'!AC:AC,"&lt;"&amp;'Supply planning data'!D522)-SUMIFS(M:M,D:D,"&lt;="&amp;D507,C:C,C507)+SUMIFS(N:N,D:D,"&lt;="&amp;D507,C:C,C507)+SUMIFS(P:P,D:D,"&lt;="&amp;D507,C:C,C507)&lt;0,0,SUMIFS('Shipments data'!L:L,'Shipments data'!F:F,'Supply planning data'!C507,'Shipments data'!A:A,'Supply planning data'!A507,'Shipments data'!O:O,"received",'Shipments data'!Q:Q,"&lt;"&amp;'Supply planning data'!D522,'Shipments data'!AC:AC,"&lt;"&amp;'Supply planning data'!D522)-SUMIFS(M:M,D:D,"&lt;="&amp;D507,C:C,C507)+SUMIFS(N:N,D:D,"&lt;="&amp;D507,C:C,C507)+SUMIFS(P:P,D:D,"&lt;="&amp;D507,C:C,C507))</f>
        <v>0</v>
      </c>
      <c r="U507" s="112">
        <f t="shared" si="152"/>
        <v>0</v>
      </c>
      <c r="V507" s="111">
        <f t="shared" si="160"/>
        <v>0</v>
      </c>
      <c r="W507" s="204" t="str">
        <f t="shared" si="158"/>
        <v/>
      </c>
      <c r="X507" s="111">
        <f t="shared" si="153"/>
        <v>0</v>
      </c>
      <c r="Y507" s="110"/>
      <c r="Z507" s="107"/>
      <c r="AA507" s="111">
        <f t="shared" si="146"/>
        <v>0</v>
      </c>
      <c r="AB507" s="235"/>
      <c r="AC507" s="111">
        <f>IF(SUMIFS('Shipments data'!L:L,'Shipments data'!F:F,'Supply planning data'!C507,'Shipments data'!A:A,'Supply planning data'!A507,'Shipments data'!O:O,"received",'Shipments data'!Q:Q,"&lt;"&amp;'Supply planning data'!D522,'Shipments data'!AC:AC,"&lt;"&amp;'Supply planning data'!D522)-SUMIFS(M:M,D:D,"&lt;="&amp;D507,C:C,C507)-SUMIFS(AA:AA,D:D,"&lt;="&amp;D507,C:C,C507)+SUMIFS(N:N,D:D,"&lt;="&amp;D507,C:C,C507)+SUMIFS(P:P,D:D,"&lt;="&amp;D507,C:C,C507)&lt;0,0,SUMIFS('Shipments data'!L:L,'Shipments data'!F:F,'Supply planning data'!C507,'Shipments data'!A:A,'Supply planning data'!A507,'Shipments data'!O:O,"received",'Shipments data'!Q:Q,"&lt;"&amp;'Supply planning data'!D522,'Shipments data'!AC:AC,"&lt;"&amp;'Supply planning data'!D522)-SUMIFS(M:M,D:D,"&lt;="&amp;D507,C:C,C507)-SUMIFS(AA:AA,D:D,"&lt;="&amp;D507,C:C,C507)+SUMIFS(N:N,D:D,"&lt;="&amp;D507,C:C,C507)+SUMIFS(P:P,D:D,"&lt;="&amp;D507,C:C,C507))</f>
        <v>0</v>
      </c>
      <c r="AD507" s="111">
        <f t="shared" si="154"/>
        <v>0</v>
      </c>
      <c r="AE507" s="111">
        <f t="shared" si="148"/>
        <v>0</v>
      </c>
      <c r="AF507" s="204" t="str">
        <f t="shared" si="157"/>
        <v/>
      </c>
      <c r="AG507" s="111">
        <f t="shared" si="155"/>
        <v>0</v>
      </c>
      <c r="AH507" s="110"/>
      <c r="AI507" s="313"/>
      <c r="AJ507" s="111">
        <f t="shared" si="147"/>
        <v>0</v>
      </c>
      <c r="AK507" s="235"/>
      <c r="AL507" s="111">
        <f>IF(SUMIFS('Shipments data'!L:L,'Shipments data'!F:F,'Supply planning data'!C507,'Shipments data'!A:A,'Supply planning data'!A507,'Shipments data'!O:O,"received",'Shipments data'!Q:Q,"&lt;"&amp;'Supply planning data'!D522,'Shipments data'!AC:AC,"&lt;"&amp;'Supply planning data'!D522)-SUMIFS(M:M,D:D,"&lt;="&amp;D507,C:C,C507)-SUMIFS(AJ:AJ,D:D,"&lt;="&amp;D507,C:C,C507)+SUMIFS(N:N,D:D,"&lt;="&amp;D507,C:C,C507)+SUMIFS(P:P,D:D,"&lt;="&amp;D507,C:C,C507)&lt;0,0,SUMIFS('Shipments data'!L:L,'Shipments data'!F:F,'Supply planning data'!C507,'Shipments data'!A:A,'Supply planning data'!A507,'Shipments data'!O:O,"received",'Shipments data'!Q:Q,"&lt;"&amp;'Supply planning data'!D522,'Shipments data'!AC:AC,"&lt;"&amp;'Supply planning data'!D522)-SUMIFS(M:M,D:D,"&lt;="&amp;D507,C:C,C507)-SUMIFS(AJ:AJ,D:D,"&lt;="&amp;D507,C:C,C507)+SUMIFS(N:N,D:D,"&lt;="&amp;D507,C:C,C507)+SUMIFS(P:P,D:D,"&lt;="&amp;D507,C:C,C507))</f>
        <v>0</v>
      </c>
      <c r="AM507" s="111">
        <f t="shared" si="156"/>
        <v>0</v>
      </c>
      <c r="AN507" s="111">
        <f t="shared" si="149"/>
        <v>0</v>
      </c>
      <c r="AO507" s="204" t="str">
        <f t="shared" si="159"/>
        <v/>
      </c>
    </row>
    <row r="508" spans="1:41" hidden="1" x14ac:dyDescent="0.25">
      <c r="A508" s="103" t="str">
        <f>Start!D$7</f>
        <v>Anyland</v>
      </c>
      <c r="B508" s="109" t="str">
        <f>VLOOKUP(A508,list!B:C,2,FALSE)</f>
        <v>ANY</v>
      </c>
      <c r="C508" s="104" t="str">
        <f>IF(Start!$C$25="","",Start!$C$25)</f>
        <v/>
      </c>
      <c r="D508" s="298">
        <f t="shared" si="150"/>
        <v>45200</v>
      </c>
      <c r="E508" s="105" t="str">
        <f>IFERROR(VLOOKUP(C508,Start!C$15:D$31,2,FALSE),"No")</f>
        <v>No</v>
      </c>
      <c r="F508" s="105">
        <f t="shared" si="151"/>
        <v>0</v>
      </c>
      <c r="G508" s="106"/>
      <c r="H508" s="106"/>
      <c r="I508" s="106"/>
      <c r="J508" s="105">
        <f t="shared" si="143"/>
        <v>0</v>
      </c>
      <c r="K508" s="106"/>
      <c r="L508" s="177" t="str">
        <f t="shared" si="144"/>
        <v/>
      </c>
      <c r="M508" s="105">
        <f t="shared" si="145"/>
        <v>0</v>
      </c>
      <c r="N508" s="110"/>
      <c r="O508" s="124"/>
      <c r="P508" s="110"/>
      <c r="Q508" s="124"/>
      <c r="R508" s="111">
        <f>SUMIFS('Shipments data'!L:L,'Shipments data'!F:F,'Supply planning data'!C508,'Shipments data'!A:A,'Supply planning data'!A508,'Shipments data'!Y:Y,'Supply planning data'!D508,'Shipments data'!O:O,"received", 'Shipments data'!N:N, "Public")</f>
        <v>0</v>
      </c>
      <c r="S508" s="111">
        <f>SUMIFS('Shipments data'!L:L,'Shipments data'!F:F,'Supply planning data'!C508,'Shipments data'!A:A,'Supply planning data'!A508,'Shipments data'!Y:Y,'Supply planning data'!D508,'Shipments data'!O:O,"ordered", 'Shipments data'!N:N, "Public")</f>
        <v>0</v>
      </c>
      <c r="T508" s="111">
        <f>IF(SUMIFS('Shipments data'!L:L,'Shipments data'!F:F,'Supply planning data'!C508,'Shipments data'!A:A,'Supply planning data'!A508,'Shipments data'!O:O,"received",'Shipments data'!Q:Q,"&lt;"&amp;'Supply planning data'!D523,'Shipments data'!AC:AC,"&lt;"&amp;'Supply planning data'!D523)-SUMIFS(M:M,D:D,"&lt;="&amp;D508,C:C,C508)+SUMIFS(N:N,D:D,"&lt;="&amp;D508,C:C,C508)+SUMIFS(P:P,D:D,"&lt;="&amp;D508,C:C,C508)&lt;0,0,SUMIFS('Shipments data'!L:L,'Shipments data'!F:F,'Supply planning data'!C508,'Shipments data'!A:A,'Supply planning data'!A508,'Shipments data'!O:O,"received",'Shipments data'!Q:Q,"&lt;"&amp;'Supply planning data'!D523,'Shipments data'!AC:AC,"&lt;"&amp;'Supply planning data'!D523)-SUMIFS(M:M,D:D,"&lt;="&amp;D508,C:C,C508)+SUMIFS(N:N,D:D,"&lt;="&amp;D508,C:C,C508)+SUMIFS(P:P,D:D,"&lt;="&amp;D508,C:C,C508))</f>
        <v>0</v>
      </c>
      <c r="U508" s="112">
        <f t="shared" si="152"/>
        <v>0</v>
      </c>
      <c r="V508" s="111">
        <f t="shared" si="160"/>
        <v>0</v>
      </c>
      <c r="W508" s="204" t="str">
        <f t="shared" si="158"/>
        <v/>
      </c>
      <c r="X508" s="111">
        <f t="shared" si="153"/>
        <v>0</v>
      </c>
      <c r="Y508" s="110"/>
      <c r="Z508" s="107"/>
      <c r="AA508" s="111">
        <f t="shared" si="146"/>
        <v>0</v>
      </c>
      <c r="AB508" s="235"/>
      <c r="AC508" s="111">
        <f>IF(SUMIFS('Shipments data'!L:L,'Shipments data'!F:F,'Supply planning data'!C508,'Shipments data'!A:A,'Supply planning data'!A508,'Shipments data'!O:O,"received",'Shipments data'!Q:Q,"&lt;"&amp;'Supply planning data'!D523,'Shipments data'!AC:AC,"&lt;"&amp;'Supply planning data'!D523)-SUMIFS(M:M,D:D,"&lt;="&amp;D508,C:C,C508)-SUMIFS(AA:AA,D:D,"&lt;="&amp;D508,C:C,C508)+SUMIFS(N:N,D:D,"&lt;="&amp;D508,C:C,C508)+SUMIFS(P:P,D:D,"&lt;="&amp;D508,C:C,C508)&lt;0,0,SUMIFS('Shipments data'!L:L,'Shipments data'!F:F,'Supply planning data'!C508,'Shipments data'!A:A,'Supply planning data'!A508,'Shipments data'!O:O,"received",'Shipments data'!Q:Q,"&lt;"&amp;'Supply planning data'!D523,'Shipments data'!AC:AC,"&lt;"&amp;'Supply planning data'!D523)-SUMIFS(M:M,D:D,"&lt;="&amp;D508,C:C,C508)-SUMIFS(AA:AA,D:D,"&lt;="&amp;D508,C:C,C508)+SUMIFS(N:N,D:D,"&lt;="&amp;D508,C:C,C508)+SUMIFS(P:P,D:D,"&lt;="&amp;D508,C:C,C508))</f>
        <v>0</v>
      </c>
      <c r="AD508" s="111">
        <f t="shared" si="154"/>
        <v>0</v>
      </c>
      <c r="AE508" s="111">
        <f t="shared" si="148"/>
        <v>0</v>
      </c>
      <c r="AF508" s="204" t="str">
        <f t="shared" si="157"/>
        <v/>
      </c>
      <c r="AG508" s="111">
        <f t="shared" si="155"/>
        <v>0</v>
      </c>
      <c r="AH508" s="110"/>
      <c r="AI508" s="313"/>
      <c r="AJ508" s="111">
        <f t="shared" si="147"/>
        <v>0</v>
      </c>
      <c r="AK508" s="235"/>
      <c r="AL508" s="111">
        <f>IF(SUMIFS('Shipments data'!L:L,'Shipments data'!F:F,'Supply planning data'!C508,'Shipments data'!A:A,'Supply planning data'!A508,'Shipments data'!O:O,"received",'Shipments data'!Q:Q,"&lt;"&amp;'Supply planning data'!D523,'Shipments data'!AC:AC,"&lt;"&amp;'Supply planning data'!D523)-SUMIFS(M:M,D:D,"&lt;="&amp;D508,C:C,C508)-SUMIFS(AJ:AJ,D:D,"&lt;="&amp;D508,C:C,C508)+SUMIFS(N:N,D:D,"&lt;="&amp;D508,C:C,C508)+SUMIFS(P:P,D:D,"&lt;="&amp;D508,C:C,C508)&lt;0,0,SUMIFS('Shipments data'!L:L,'Shipments data'!F:F,'Supply planning data'!C508,'Shipments data'!A:A,'Supply planning data'!A508,'Shipments data'!O:O,"received",'Shipments data'!Q:Q,"&lt;"&amp;'Supply planning data'!D523,'Shipments data'!AC:AC,"&lt;"&amp;'Supply planning data'!D523)-SUMIFS(M:M,D:D,"&lt;="&amp;D508,C:C,C508)-SUMIFS(AJ:AJ,D:D,"&lt;="&amp;D508,C:C,C508)+SUMIFS(N:N,D:D,"&lt;="&amp;D508,C:C,C508)+SUMIFS(P:P,D:D,"&lt;="&amp;D508,C:C,C508))</f>
        <v>0</v>
      </c>
      <c r="AM508" s="111">
        <f t="shared" si="156"/>
        <v>0</v>
      </c>
      <c r="AN508" s="111">
        <f t="shared" si="149"/>
        <v>0</v>
      </c>
      <c r="AO508" s="204" t="str">
        <f t="shared" si="159"/>
        <v/>
      </c>
    </row>
    <row r="509" spans="1:41" hidden="1" x14ac:dyDescent="0.25">
      <c r="A509" s="103" t="str">
        <f>Start!D$7</f>
        <v>Anyland</v>
      </c>
      <c r="B509" s="109" t="str">
        <f>VLOOKUP(A509,list!B:C,2,FALSE)</f>
        <v>ANY</v>
      </c>
      <c r="C509" s="109" t="str">
        <f>IF(Start!$C$26="","",Start!$C$26)</f>
        <v/>
      </c>
      <c r="D509" s="298">
        <f t="shared" si="150"/>
        <v>45200</v>
      </c>
      <c r="E509" s="105" t="str">
        <f>IFERROR(VLOOKUP(C509,Start!C$15:D$31,2,FALSE),"No")</f>
        <v>No</v>
      </c>
      <c r="F509" s="105">
        <f t="shared" si="151"/>
        <v>0</v>
      </c>
      <c r="G509" s="106"/>
      <c r="H509" s="106"/>
      <c r="I509" s="106"/>
      <c r="J509" s="105">
        <f t="shared" si="143"/>
        <v>0</v>
      </c>
      <c r="K509" s="106"/>
      <c r="L509" s="177" t="str">
        <f t="shared" si="144"/>
        <v/>
      </c>
      <c r="M509" s="105">
        <f t="shared" si="145"/>
        <v>0</v>
      </c>
      <c r="N509" s="110"/>
      <c r="O509" s="124"/>
      <c r="P509" s="110"/>
      <c r="Q509" s="124"/>
      <c r="R509" s="111">
        <f>SUMIFS('Shipments data'!L:L,'Shipments data'!F:F,'Supply planning data'!C509,'Shipments data'!A:A,'Supply planning data'!A509,'Shipments data'!Y:Y,'Supply planning data'!D509,'Shipments data'!O:O,"received", 'Shipments data'!N:N, "Public")</f>
        <v>0</v>
      </c>
      <c r="S509" s="111">
        <f>SUMIFS('Shipments data'!L:L,'Shipments data'!F:F,'Supply planning data'!C509,'Shipments data'!A:A,'Supply planning data'!A509,'Shipments data'!Y:Y,'Supply planning data'!D509,'Shipments data'!O:O,"ordered", 'Shipments data'!N:N, "Public")</f>
        <v>0</v>
      </c>
      <c r="T509" s="111">
        <f>IF(SUMIFS('Shipments data'!L:L,'Shipments data'!F:F,'Supply planning data'!C509,'Shipments data'!A:A,'Supply planning data'!A509,'Shipments data'!O:O,"received",'Shipments data'!Q:Q,"&lt;"&amp;'Supply planning data'!D524,'Shipments data'!AC:AC,"&lt;"&amp;'Supply planning data'!D524)-SUMIFS(M:M,D:D,"&lt;="&amp;D509,C:C,C509)+SUMIFS(N:N,D:D,"&lt;="&amp;D509,C:C,C509)+SUMIFS(P:P,D:D,"&lt;="&amp;D509,C:C,C509)&lt;0,0,SUMIFS('Shipments data'!L:L,'Shipments data'!F:F,'Supply planning data'!C509,'Shipments data'!A:A,'Supply planning data'!A509,'Shipments data'!O:O,"received",'Shipments data'!Q:Q,"&lt;"&amp;'Supply planning data'!D524,'Shipments data'!AC:AC,"&lt;"&amp;'Supply planning data'!D524)-SUMIFS(M:M,D:D,"&lt;="&amp;D509,C:C,C509)+SUMIFS(N:N,D:D,"&lt;="&amp;D509,C:C,C509)+SUMIFS(P:P,D:D,"&lt;="&amp;D509,C:C,C509))</f>
        <v>0</v>
      </c>
      <c r="U509" s="112">
        <f t="shared" si="152"/>
        <v>0</v>
      </c>
      <c r="V509" s="111">
        <f t="shared" si="160"/>
        <v>0</v>
      </c>
      <c r="W509" s="204" t="str">
        <f t="shared" si="158"/>
        <v/>
      </c>
      <c r="X509" s="111">
        <f t="shared" si="153"/>
        <v>0</v>
      </c>
      <c r="Y509" s="110"/>
      <c r="Z509" s="107"/>
      <c r="AA509" s="111">
        <f t="shared" si="146"/>
        <v>0</v>
      </c>
      <c r="AB509" s="235"/>
      <c r="AC509" s="111">
        <f>IF(SUMIFS('Shipments data'!L:L,'Shipments data'!F:F,'Supply planning data'!C509,'Shipments data'!A:A,'Supply planning data'!A509,'Shipments data'!O:O,"received",'Shipments data'!Q:Q,"&lt;"&amp;'Supply planning data'!D524,'Shipments data'!AC:AC,"&lt;"&amp;'Supply planning data'!D524)-SUMIFS(M:M,D:D,"&lt;="&amp;D509,C:C,C509)-SUMIFS(AA:AA,D:D,"&lt;="&amp;D509,C:C,C509)+SUMIFS(N:N,D:D,"&lt;="&amp;D509,C:C,C509)+SUMIFS(P:P,D:D,"&lt;="&amp;D509,C:C,C509)&lt;0,0,SUMIFS('Shipments data'!L:L,'Shipments data'!F:F,'Supply planning data'!C509,'Shipments data'!A:A,'Supply planning data'!A509,'Shipments data'!O:O,"received",'Shipments data'!Q:Q,"&lt;"&amp;'Supply planning data'!D524,'Shipments data'!AC:AC,"&lt;"&amp;'Supply planning data'!D524)-SUMIFS(M:M,D:D,"&lt;="&amp;D509,C:C,C509)-SUMIFS(AA:AA,D:D,"&lt;="&amp;D509,C:C,C509)+SUMIFS(N:N,D:D,"&lt;="&amp;D509,C:C,C509)+SUMIFS(P:P,D:D,"&lt;="&amp;D509,C:C,C509))</f>
        <v>0</v>
      </c>
      <c r="AD509" s="111">
        <f t="shared" si="154"/>
        <v>0</v>
      </c>
      <c r="AE509" s="111">
        <f t="shared" si="148"/>
        <v>0</v>
      </c>
      <c r="AF509" s="204" t="str">
        <f t="shared" si="157"/>
        <v/>
      </c>
      <c r="AG509" s="111">
        <f t="shared" si="155"/>
        <v>0</v>
      </c>
      <c r="AH509" s="110"/>
      <c r="AI509" s="313"/>
      <c r="AJ509" s="111">
        <f t="shared" si="147"/>
        <v>0</v>
      </c>
      <c r="AK509" s="235"/>
      <c r="AL509" s="111">
        <f>IF(SUMIFS('Shipments data'!L:L,'Shipments data'!F:F,'Supply planning data'!C509,'Shipments data'!A:A,'Supply planning data'!A509,'Shipments data'!O:O,"received",'Shipments data'!Q:Q,"&lt;"&amp;'Supply planning data'!D524,'Shipments data'!AC:AC,"&lt;"&amp;'Supply planning data'!D524)-SUMIFS(M:M,D:D,"&lt;="&amp;D509,C:C,C509)-SUMIFS(AJ:AJ,D:D,"&lt;="&amp;D509,C:C,C509)+SUMIFS(N:N,D:D,"&lt;="&amp;D509,C:C,C509)+SUMIFS(P:P,D:D,"&lt;="&amp;D509,C:C,C509)&lt;0,0,SUMIFS('Shipments data'!L:L,'Shipments data'!F:F,'Supply planning data'!C509,'Shipments data'!A:A,'Supply planning data'!A509,'Shipments data'!O:O,"received",'Shipments data'!Q:Q,"&lt;"&amp;'Supply planning data'!D524,'Shipments data'!AC:AC,"&lt;"&amp;'Supply planning data'!D524)-SUMIFS(M:M,D:D,"&lt;="&amp;D509,C:C,C509)-SUMIFS(AJ:AJ,D:D,"&lt;="&amp;D509,C:C,C509)+SUMIFS(N:N,D:D,"&lt;="&amp;D509,C:C,C509)+SUMIFS(P:P,D:D,"&lt;="&amp;D509,C:C,C509))</f>
        <v>0</v>
      </c>
      <c r="AM509" s="111">
        <f t="shared" si="156"/>
        <v>0</v>
      </c>
      <c r="AN509" s="111">
        <f t="shared" si="149"/>
        <v>0</v>
      </c>
      <c r="AO509" s="204" t="str">
        <f t="shared" si="159"/>
        <v/>
      </c>
    </row>
    <row r="510" spans="1:41" hidden="1" x14ac:dyDescent="0.25">
      <c r="A510" s="103" t="str">
        <f>Start!D$7</f>
        <v>Anyland</v>
      </c>
      <c r="B510" s="109" t="str">
        <f>VLOOKUP(A510,list!B:C,2,FALSE)</f>
        <v>ANY</v>
      </c>
      <c r="C510" s="104" t="str">
        <f>IF(Start!$C$27="","",Start!$C$27)</f>
        <v/>
      </c>
      <c r="D510" s="298">
        <f t="shared" si="150"/>
        <v>45200</v>
      </c>
      <c r="E510" s="105" t="str">
        <f>IFERROR(VLOOKUP(C510,Start!C$15:D$31,2,FALSE),"No")</f>
        <v>No</v>
      </c>
      <c r="F510" s="105">
        <f t="shared" si="151"/>
        <v>0</v>
      </c>
      <c r="G510" s="106"/>
      <c r="H510" s="106"/>
      <c r="I510" s="106"/>
      <c r="J510" s="105">
        <f t="shared" si="143"/>
        <v>0</v>
      </c>
      <c r="K510" s="106"/>
      <c r="L510" s="177" t="str">
        <f t="shared" si="144"/>
        <v/>
      </c>
      <c r="M510" s="105">
        <f t="shared" si="145"/>
        <v>0</v>
      </c>
      <c r="N510" s="110"/>
      <c r="O510" s="124"/>
      <c r="P510" s="110"/>
      <c r="Q510" s="124"/>
      <c r="R510" s="111">
        <f>SUMIFS('Shipments data'!L:L,'Shipments data'!F:F,'Supply planning data'!C510,'Shipments data'!A:A,'Supply planning data'!A510,'Shipments data'!Y:Y,'Supply planning data'!D510,'Shipments data'!O:O,"received", 'Shipments data'!N:N, "Public")</f>
        <v>0</v>
      </c>
      <c r="S510" s="111">
        <f>SUMIFS('Shipments data'!L:L,'Shipments data'!F:F,'Supply planning data'!C510,'Shipments data'!A:A,'Supply planning data'!A510,'Shipments data'!Y:Y,'Supply planning data'!D510,'Shipments data'!O:O,"ordered", 'Shipments data'!N:N, "Public")</f>
        <v>0</v>
      </c>
      <c r="T510" s="111">
        <f>IF(SUMIFS('Shipments data'!L:L,'Shipments data'!F:F,'Supply planning data'!C510,'Shipments data'!A:A,'Supply planning data'!A510,'Shipments data'!O:O,"received",'Shipments data'!Q:Q,"&lt;"&amp;'Supply planning data'!D525,'Shipments data'!AC:AC,"&lt;"&amp;'Supply planning data'!D525)-SUMIFS(M:M,D:D,"&lt;="&amp;D510,C:C,C510)+SUMIFS(N:N,D:D,"&lt;="&amp;D510,C:C,C510)+SUMIFS(P:P,D:D,"&lt;="&amp;D510,C:C,C510)&lt;0,0,SUMIFS('Shipments data'!L:L,'Shipments data'!F:F,'Supply planning data'!C510,'Shipments data'!A:A,'Supply planning data'!A510,'Shipments data'!O:O,"received",'Shipments data'!Q:Q,"&lt;"&amp;'Supply planning data'!D525,'Shipments data'!AC:AC,"&lt;"&amp;'Supply planning data'!D525)-SUMIFS(M:M,D:D,"&lt;="&amp;D510,C:C,C510)+SUMIFS(N:N,D:D,"&lt;="&amp;D510,C:C,C510)+SUMIFS(P:P,D:D,"&lt;="&amp;D510,C:C,C510))</f>
        <v>0</v>
      </c>
      <c r="U510" s="112">
        <f t="shared" si="152"/>
        <v>0</v>
      </c>
      <c r="V510" s="111">
        <f t="shared" si="160"/>
        <v>0</v>
      </c>
      <c r="W510" s="204" t="str">
        <f t="shared" si="158"/>
        <v/>
      </c>
      <c r="X510" s="111">
        <f t="shared" si="153"/>
        <v>0</v>
      </c>
      <c r="Y510" s="110"/>
      <c r="Z510" s="107"/>
      <c r="AA510" s="111">
        <f t="shared" si="146"/>
        <v>0</v>
      </c>
      <c r="AB510" s="235"/>
      <c r="AC510" s="111">
        <f>IF(SUMIFS('Shipments data'!L:L,'Shipments data'!F:F,'Supply planning data'!C510,'Shipments data'!A:A,'Supply planning data'!A510,'Shipments data'!O:O,"received",'Shipments data'!Q:Q,"&lt;"&amp;'Supply planning data'!D525,'Shipments data'!AC:AC,"&lt;"&amp;'Supply planning data'!D525)-SUMIFS(M:M,D:D,"&lt;="&amp;D510,C:C,C510)-SUMIFS(AA:AA,D:D,"&lt;="&amp;D510,C:C,C510)+SUMIFS(N:N,D:D,"&lt;="&amp;D510,C:C,C510)+SUMIFS(P:P,D:D,"&lt;="&amp;D510,C:C,C510)&lt;0,0,SUMIFS('Shipments data'!L:L,'Shipments data'!F:F,'Supply planning data'!C510,'Shipments data'!A:A,'Supply planning data'!A510,'Shipments data'!O:O,"received",'Shipments data'!Q:Q,"&lt;"&amp;'Supply planning data'!D525,'Shipments data'!AC:AC,"&lt;"&amp;'Supply planning data'!D525)-SUMIFS(M:M,D:D,"&lt;="&amp;D510,C:C,C510)-SUMIFS(AA:AA,D:D,"&lt;="&amp;D510,C:C,C510)+SUMIFS(N:N,D:D,"&lt;="&amp;D510,C:C,C510)+SUMIFS(P:P,D:D,"&lt;="&amp;D510,C:C,C510))</f>
        <v>0</v>
      </c>
      <c r="AD510" s="111">
        <f t="shared" si="154"/>
        <v>0</v>
      </c>
      <c r="AE510" s="111">
        <f t="shared" si="148"/>
        <v>0</v>
      </c>
      <c r="AF510" s="204" t="str">
        <f t="shared" si="157"/>
        <v/>
      </c>
      <c r="AG510" s="111">
        <f t="shared" si="155"/>
        <v>0</v>
      </c>
      <c r="AH510" s="110"/>
      <c r="AI510" s="313"/>
      <c r="AJ510" s="111">
        <f t="shared" si="147"/>
        <v>0</v>
      </c>
      <c r="AK510" s="235"/>
      <c r="AL510" s="111">
        <f>IF(SUMIFS('Shipments data'!L:L,'Shipments data'!F:F,'Supply planning data'!C510,'Shipments data'!A:A,'Supply planning data'!A510,'Shipments data'!O:O,"received",'Shipments data'!Q:Q,"&lt;"&amp;'Supply planning data'!D525,'Shipments data'!AC:AC,"&lt;"&amp;'Supply planning data'!D525)-SUMIFS(M:M,D:D,"&lt;="&amp;D510,C:C,C510)-SUMIFS(AJ:AJ,D:D,"&lt;="&amp;D510,C:C,C510)+SUMIFS(N:N,D:D,"&lt;="&amp;D510,C:C,C510)+SUMIFS(P:P,D:D,"&lt;="&amp;D510,C:C,C510)&lt;0,0,SUMIFS('Shipments data'!L:L,'Shipments data'!F:F,'Supply planning data'!C510,'Shipments data'!A:A,'Supply planning data'!A510,'Shipments data'!O:O,"received",'Shipments data'!Q:Q,"&lt;"&amp;'Supply planning data'!D525,'Shipments data'!AC:AC,"&lt;"&amp;'Supply planning data'!D525)-SUMIFS(M:M,D:D,"&lt;="&amp;D510,C:C,C510)-SUMIFS(AJ:AJ,D:D,"&lt;="&amp;D510,C:C,C510)+SUMIFS(N:N,D:D,"&lt;="&amp;D510,C:C,C510)+SUMIFS(P:P,D:D,"&lt;="&amp;D510,C:C,C510))</f>
        <v>0</v>
      </c>
      <c r="AM510" s="111">
        <f t="shared" si="156"/>
        <v>0</v>
      </c>
      <c r="AN510" s="111">
        <f t="shared" si="149"/>
        <v>0</v>
      </c>
      <c r="AO510" s="204" t="str">
        <f t="shared" si="159"/>
        <v/>
      </c>
    </row>
    <row r="511" spans="1:41" hidden="1" x14ac:dyDescent="0.25">
      <c r="A511" s="103" t="str">
        <f>Start!D$7</f>
        <v>Anyland</v>
      </c>
      <c r="B511" s="109" t="str">
        <f>VLOOKUP(A511,list!B:C,2,FALSE)</f>
        <v>ANY</v>
      </c>
      <c r="C511" s="109" t="str">
        <f>IF(Start!$C$28="","",Start!$C$28)</f>
        <v/>
      </c>
      <c r="D511" s="298">
        <f t="shared" si="150"/>
        <v>45200</v>
      </c>
      <c r="E511" s="105" t="str">
        <f>IFERROR(VLOOKUP(C511,Start!C$15:D$31,2,FALSE),"No")</f>
        <v>No</v>
      </c>
      <c r="F511" s="105">
        <f t="shared" si="151"/>
        <v>0</v>
      </c>
      <c r="G511" s="106"/>
      <c r="H511" s="106"/>
      <c r="I511" s="106"/>
      <c r="J511" s="105">
        <f t="shared" si="143"/>
        <v>0</v>
      </c>
      <c r="K511" s="106"/>
      <c r="L511" s="177" t="str">
        <f t="shared" si="144"/>
        <v/>
      </c>
      <c r="M511" s="105">
        <f t="shared" si="145"/>
        <v>0</v>
      </c>
      <c r="N511" s="110"/>
      <c r="O511" s="124"/>
      <c r="P511" s="110"/>
      <c r="Q511" s="124"/>
      <c r="R511" s="111">
        <f>SUMIFS('Shipments data'!L:L,'Shipments data'!F:F,'Supply planning data'!C511,'Shipments data'!A:A,'Supply planning data'!A511,'Shipments data'!Y:Y,'Supply planning data'!D511,'Shipments data'!O:O,"received", 'Shipments data'!N:N, "Public")</f>
        <v>0</v>
      </c>
      <c r="S511" s="111">
        <f>SUMIFS('Shipments data'!L:L,'Shipments data'!F:F,'Supply planning data'!C511,'Shipments data'!A:A,'Supply planning data'!A511,'Shipments data'!Y:Y,'Supply planning data'!D511,'Shipments data'!O:O,"ordered", 'Shipments data'!N:N, "Public")</f>
        <v>0</v>
      </c>
      <c r="T511" s="111">
        <f>IF(SUMIFS('Shipments data'!L:L,'Shipments data'!F:F,'Supply planning data'!C511,'Shipments data'!A:A,'Supply planning data'!A511,'Shipments data'!O:O,"received",'Shipments data'!Q:Q,"&lt;"&amp;'Supply planning data'!D526,'Shipments data'!AC:AC,"&lt;"&amp;'Supply planning data'!D526)-SUMIFS(M:M,D:D,"&lt;="&amp;D511,C:C,C511)+SUMIFS(N:N,D:D,"&lt;="&amp;D511,C:C,C511)+SUMIFS(P:P,D:D,"&lt;="&amp;D511,C:C,C511)&lt;0,0,SUMIFS('Shipments data'!L:L,'Shipments data'!F:F,'Supply planning data'!C511,'Shipments data'!A:A,'Supply planning data'!A511,'Shipments data'!O:O,"received",'Shipments data'!Q:Q,"&lt;"&amp;'Supply planning data'!D526,'Shipments data'!AC:AC,"&lt;"&amp;'Supply planning data'!D526)-SUMIFS(M:M,D:D,"&lt;="&amp;D511,C:C,C511)+SUMIFS(N:N,D:D,"&lt;="&amp;D511,C:C,C511)+SUMIFS(P:P,D:D,"&lt;="&amp;D511,C:C,C511))</f>
        <v>0</v>
      </c>
      <c r="U511" s="112">
        <f t="shared" si="152"/>
        <v>0</v>
      </c>
      <c r="V511" s="111">
        <f t="shared" si="160"/>
        <v>0</v>
      </c>
      <c r="W511" s="204" t="str">
        <f t="shared" si="158"/>
        <v/>
      </c>
      <c r="X511" s="111">
        <f t="shared" si="153"/>
        <v>0</v>
      </c>
      <c r="Y511" s="110"/>
      <c r="Z511" s="107"/>
      <c r="AA511" s="111">
        <f t="shared" si="146"/>
        <v>0</v>
      </c>
      <c r="AB511" s="235"/>
      <c r="AC511" s="111">
        <f>IF(SUMIFS('Shipments data'!L:L,'Shipments data'!F:F,'Supply planning data'!C511,'Shipments data'!A:A,'Supply planning data'!A511,'Shipments data'!O:O,"received",'Shipments data'!Q:Q,"&lt;"&amp;'Supply planning data'!D526,'Shipments data'!AC:AC,"&lt;"&amp;'Supply planning data'!D526)-SUMIFS(M:M,D:D,"&lt;="&amp;D511,C:C,C511)-SUMIFS(AA:AA,D:D,"&lt;="&amp;D511,C:C,C511)+SUMIFS(N:N,D:D,"&lt;="&amp;D511,C:C,C511)+SUMIFS(P:P,D:D,"&lt;="&amp;D511,C:C,C511)&lt;0,0,SUMIFS('Shipments data'!L:L,'Shipments data'!F:F,'Supply planning data'!C511,'Shipments data'!A:A,'Supply planning data'!A511,'Shipments data'!O:O,"received",'Shipments data'!Q:Q,"&lt;"&amp;'Supply planning data'!D526,'Shipments data'!AC:AC,"&lt;"&amp;'Supply planning data'!D526)-SUMIFS(M:M,D:D,"&lt;="&amp;D511,C:C,C511)-SUMIFS(AA:AA,D:D,"&lt;="&amp;D511,C:C,C511)+SUMIFS(N:N,D:D,"&lt;="&amp;D511,C:C,C511)+SUMIFS(P:P,D:D,"&lt;="&amp;D511,C:C,C511))</f>
        <v>0</v>
      </c>
      <c r="AD511" s="111">
        <f t="shared" si="154"/>
        <v>0</v>
      </c>
      <c r="AE511" s="111">
        <f t="shared" si="148"/>
        <v>0</v>
      </c>
      <c r="AF511" s="204" t="str">
        <f t="shared" si="157"/>
        <v/>
      </c>
      <c r="AG511" s="111">
        <f t="shared" si="155"/>
        <v>0</v>
      </c>
      <c r="AH511" s="110"/>
      <c r="AI511" s="313"/>
      <c r="AJ511" s="111">
        <f t="shared" si="147"/>
        <v>0</v>
      </c>
      <c r="AK511" s="235"/>
      <c r="AL511" s="111">
        <f>IF(SUMIFS('Shipments data'!L:L,'Shipments data'!F:F,'Supply planning data'!C511,'Shipments data'!A:A,'Supply planning data'!A511,'Shipments data'!O:O,"received",'Shipments data'!Q:Q,"&lt;"&amp;'Supply planning data'!D526,'Shipments data'!AC:AC,"&lt;"&amp;'Supply planning data'!D526)-SUMIFS(M:M,D:D,"&lt;="&amp;D511,C:C,C511)-SUMIFS(AJ:AJ,D:D,"&lt;="&amp;D511,C:C,C511)+SUMIFS(N:N,D:D,"&lt;="&amp;D511,C:C,C511)+SUMIFS(P:P,D:D,"&lt;="&amp;D511,C:C,C511)&lt;0,0,SUMIFS('Shipments data'!L:L,'Shipments data'!F:F,'Supply planning data'!C511,'Shipments data'!A:A,'Supply planning data'!A511,'Shipments data'!O:O,"received",'Shipments data'!Q:Q,"&lt;"&amp;'Supply planning data'!D526,'Shipments data'!AC:AC,"&lt;"&amp;'Supply planning data'!D526)-SUMIFS(M:M,D:D,"&lt;="&amp;D511,C:C,C511)-SUMIFS(AJ:AJ,D:D,"&lt;="&amp;D511,C:C,C511)+SUMIFS(N:N,D:D,"&lt;="&amp;D511,C:C,C511)+SUMIFS(P:P,D:D,"&lt;="&amp;D511,C:C,C511))</f>
        <v>0</v>
      </c>
      <c r="AM511" s="111">
        <f t="shared" si="156"/>
        <v>0</v>
      </c>
      <c r="AN511" s="111">
        <f t="shared" si="149"/>
        <v>0</v>
      </c>
      <c r="AO511" s="204" t="str">
        <f t="shared" si="159"/>
        <v/>
      </c>
    </row>
    <row r="512" spans="1:41" hidden="1" x14ac:dyDescent="0.25">
      <c r="A512" s="103" t="str">
        <f>Start!D$7</f>
        <v>Anyland</v>
      </c>
      <c r="B512" s="109" t="str">
        <f>VLOOKUP(A512,list!B:C,2,FALSE)</f>
        <v>ANY</v>
      </c>
      <c r="C512" s="104" t="str">
        <f>IF(Start!$C$29="","",Start!$C$29)</f>
        <v/>
      </c>
      <c r="D512" s="298">
        <f t="shared" si="150"/>
        <v>45200</v>
      </c>
      <c r="E512" s="105" t="str">
        <f>IFERROR(VLOOKUP(C512,Start!C$15:D$31,2,FALSE),"No")</f>
        <v>No</v>
      </c>
      <c r="F512" s="105">
        <f t="shared" si="151"/>
        <v>0</v>
      </c>
      <c r="G512" s="106"/>
      <c r="H512" s="106"/>
      <c r="I512" s="106"/>
      <c r="J512" s="105">
        <f t="shared" si="143"/>
        <v>0</v>
      </c>
      <c r="K512" s="106"/>
      <c r="L512" s="177" t="str">
        <f t="shared" si="144"/>
        <v/>
      </c>
      <c r="M512" s="105">
        <f t="shared" si="145"/>
        <v>0</v>
      </c>
      <c r="N512" s="110"/>
      <c r="O512" s="124"/>
      <c r="P512" s="110"/>
      <c r="Q512" s="124"/>
      <c r="R512" s="111">
        <f>SUMIFS('Shipments data'!L:L,'Shipments data'!F:F,'Supply planning data'!C512,'Shipments data'!A:A,'Supply planning data'!A512,'Shipments data'!Y:Y,'Supply planning data'!D512,'Shipments data'!O:O,"received", 'Shipments data'!N:N, "Public")</f>
        <v>0</v>
      </c>
      <c r="S512" s="111">
        <f>SUMIFS('Shipments data'!L:L,'Shipments data'!F:F,'Supply planning data'!C512,'Shipments data'!A:A,'Supply planning data'!A512,'Shipments data'!Y:Y,'Supply planning data'!D512,'Shipments data'!O:O,"ordered", 'Shipments data'!N:N, "Public")</f>
        <v>0</v>
      </c>
      <c r="T512" s="111">
        <f>IF(SUMIFS('Shipments data'!L:L,'Shipments data'!F:F,'Supply planning data'!C512,'Shipments data'!A:A,'Supply planning data'!A512,'Shipments data'!O:O,"received",'Shipments data'!Q:Q,"&lt;"&amp;'Supply planning data'!D527,'Shipments data'!AC:AC,"&lt;"&amp;'Supply planning data'!D527)-SUMIFS(M:M,D:D,"&lt;="&amp;D512,C:C,C512)+SUMIFS(N:N,D:D,"&lt;="&amp;D512,C:C,C512)+SUMIFS(P:P,D:D,"&lt;="&amp;D512,C:C,C512)&lt;0,0,SUMIFS('Shipments data'!L:L,'Shipments data'!F:F,'Supply planning data'!C512,'Shipments data'!A:A,'Supply planning data'!A512,'Shipments data'!O:O,"received",'Shipments data'!Q:Q,"&lt;"&amp;'Supply planning data'!D527,'Shipments data'!AC:AC,"&lt;"&amp;'Supply planning data'!D527)-SUMIFS(M:M,D:D,"&lt;="&amp;D512,C:C,C512)+SUMIFS(N:N,D:D,"&lt;="&amp;D512,C:C,C512)+SUMIFS(P:P,D:D,"&lt;="&amp;D512,C:C,C512))</f>
        <v>0</v>
      </c>
      <c r="U512" s="112">
        <f t="shared" si="152"/>
        <v>0</v>
      </c>
      <c r="V512" s="111">
        <f t="shared" si="160"/>
        <v>0</v>
      </c>
      <c r="W512" s="204" t="str">
        <f t="shared" si="158"/>
        <v/>
      </c>
      <c r="X512" s="111">
        <f t="shared" si="153"/>
        <v>0</v>
      </c>
      <c r="Y512" s="110"/>
      <c r="Z512" s="107"/>
      <c r="AA512" s="111">
        <f t="shared" si="146"/>
        <v>0</v>
      </c>
      <c r="AB512" s="235"/>
      <c r="AC512" s="111">
        <f>IF(SUMIFS('Shipments data'!L:L,'Shipments data'!F:F,'Supply planning data'!C512,'Shipments data'!A:A,'Supply planning data'!A512,'Shipments data'!O:O,"received",'Shipments data'!Q:Q,"&lt;"&amp;'Supply planning data'!D527,'Shipments data'!AC:AC,"&lt;"&amp;'Supply planning data'!D527)-SUMIFS(M:M,D:D,"&lt;="&amp;D512,C:C,C512)-SUMIFS(AA:AA,D:D,"&lt;="&amp;D512,C:C,C512)+SUMIFS(N:N,D:D,"&lt;="&amp;D512,C:C,C512)+SUMIFS(P:P,D:D,"&lt;="&amp;D512,C:C,C512)&lt;0,0,SUMIFS('Shipments data'!L:L,'Shipments data'!F:F,'Supply planning data'!C512,'Shipments data'!A:A,'Supply planning data'!A512,'Shipments data'!O:O,"received",'Shipments data'!Q:Q,"&lt;"&amp;'Supply planning data'!D527,'Shipments data'!AC:AC,"&lt;"&amp;'Supply planning data'!D527)-SUMIFS(M:M,D:D,"&lt;="&amp;D512,C:C,C512)-SUMIFS(AA:AA,D:D,"&lt;="&amp;D512,C:C,C512)+SUMIFS(N:N,D:D,"&lt;="&amp;D512,C:C,C512)+SUMIFS(P:P,D:D,"&lt;="&amp;D512,C:C,C512))</f>
        <v>0</v>
      </c>
      <c r="AD512" s="111">
        <f t="shared" si="154"/>
        <v>0</v>
      </c>
      <c r="AE512" s="111">
        <f t="shared" si="148"/>
        <v>0</v>
      </c>
      <c r="AF512" s="204" t="str">
        <f t="shared" si="157"/>
        <v/>
      </c>
      <c r="AG512" s="111">
        <f t="shared" si="155"/>
        <v>0</v>
      </c>
      <c r="AH512" s="110"/>
      <c r="AI512" s="313"/>
      <c r="AJ512" s="111">
        <f t="shared" si="147"/>
        <v>0</v>
      </c>
      <c r="AK512" s="235"/>
      <c r="AL512" s="111">
        <f>IF(SUMIFS('Shipments data'!L:L,'Shipments data'!F:F,'Supply planning data'!C512,'Shipments data'!A:A,'Supply planning data'!A512,'Shipments data'!O:O,"received",'Shipments data'!Q:Q,"&lt;"&amp;'Supply planning data'!D527,'Shipments data'!AC:AC,"&lt;"&amp;'Supply planning data'!D527)-SUMIFS(M:M,D:D,"&lt;="&amp;D512,C:C,C512)-SUMIFS(AJ:AJ,D:D,"&lt;="&amp;D512,C:C,C512)+SUMIFS(N:N,D:D,"&lt;="&amp;D512,C:C,C512)+SUMIFS(P:P,D:D,"&lt;="&amp;D512,C:C,C512)&lt;0,0,SUMIFS('Shipments data'!L:L,'Shipments data'!F:F,'Supply planning data'!C512,'Shipments data'!A:A,'Supply planning data'!A512,'Shipments data'!O:O,"received",'Shipments data'!Q:Q,"&lt;"&amp;'Supply planning data'!D527,'Shipments data'!AC:AC,"&lt;"&amp;'Supply planning data'!D527)-SUMIFS(M:M,D:D,"&lt;="&amp;D512,C:C,C512)-SUMIFS(AJ:AJ,D:D,"&lt;="&amp;D512,C:C,C512)+SUMIFS(N:N,D:D,"&lt;="&amp;D512,C:C,C512)+SUMIFS(P:P,D:D,"&lt;="&amp;D512,C:C,C512))</f>
        <v>0</v>
      </c>
      <c r="AM512" s="111">
        <f t="shared" si="156"/>
        <v>0</v>
      </c>
      <c r="AN512" s="111">
        <f t="shared" si="149"/>
        <v>0</v>
      </c>
      <c r="AO512" s="204" t="str">
        <f t="shared" si="159"/>
        <v/>
      </c>
    </row>
    <row r="513" spans="1:41" hidden="1" x14ac:dyDescent="0.25">
      <c r="A513" s="103" t="str">
        <f>Start!D$7</f>
        <v>Anyland</v>
      </c>
      <c r="B513" s="109" t="str">
        <f>VLOOKUP(A513,list!B:C,2,FALSE)</f>
        <v>ANY</v>
      </c>
      <c r="C513" s="109" t="str">
        <f>IF(Start!$C$30="","",Start!$C$30)</f>
        <v/>
      </c>
      <c r="D513" s="298">
        <f t="shared" si="150"/>
        <v>45200</v>
      </c>
      <c r="E513" s="105" t="str">
        <f>IFERROR(VLOOKUP(C513,Start!C$15:D$31,2,FALSE),"No")</f>
        <v>No</v>
      </c>
      <c r="F513" s="105">
        <f t="shared" si="151"/>
        <v>0</v>
      </c>
      <c r="G513" s="106"/>
      <c r="H513" s="106"/>
      <c r="I513" s="106"/>
      <c r="J513" s="105">
        <f t="shared" si="143"/>
        <v>0</v>
      </c>
      <c r="K513" s="106"/>
      <c r="L513" s="177" t="str">
        <f t="shared" si="144"/>
        <v/>
      </c>
      <c r="M513" s="105">
        <f t="shared" si="145"/>
        <v>0</v>
      </c>
      <c r="N513" s="110"/>
      <c r="O513" s="124"/>
      <c r="P513" s="110"/>
      <c r="Q513" s="124"/>
      <c r="R513" s="111">
        <f>SUMIFS('Shipments data'!L:L,'Shipments data'!F:F,'Supply planning data'!C513,'Shipments data'!A:A,'Supply planning data'!A513,'Shipments data'!Y:Y,'Supply planning data'!D513,'Shipments data'!O:O,"received", 'Shipments data'!N:N, "Public")</f>
        <v>0</v>
      </c>
      <c r="S513" s="111">
        <f>SUMIFS('Shipments data'!L:L,'Shipments data'!F:F,'Supply planning data'!C513,'Shipments data'!A:A,'Supply planning data'!A513,'Shipments data'!Y:Y,'Supply planning data'!D513,'Shipments data'!O:O,"ordered", 'Shipments data'!N:N, "Public")</f>
        <v>0</v>
      </c>
      <c r="T513" s="111">
        <f>IF(SUMIFS('Shipments data'!L:L,'Shipments data'!F:F,'Supply planning data'!C513,'Shipments data'!A:A,'Supply planning data'!A513,'Shipments data'!O:O,"received",'Shipments data'!Q:Q,"&lt;"&amp;'Supply planning data'!D528,'Shipments data'!AC:AC,"&lt;"&amp;'Supply planning data'!D528)-SUMIFS(M:M,D:D,"&lt;="&amp;D513,C:C,C513)+SUMIFS(N:N,D:D,"&lt;="&amp;D513,C:C,C513)+SUMIFS(P:P,D:D,"&lt;="&amp;D513,C:C,C513)&lt;0,0,SUMIFS('Shipments data'!L:L,'Shipments data'!F:F,'Supply planning data'!C513,'Shipments data'!A:A,'Supply planning data'!A513,'Shipments data'!O:O,"received",'Shipments data'!Q:Q,"&lt;"&amp;'Supply planning data'!D528,'Shipments data'!AC:AC,"&lt;"&amp;'Supply planning data'!D528)-SUMIFS(M:M,D:D,"&lt;="&amp;D513,C:C,C513)+SUMIFS(N:N,D:D,"&lt;="&amp;D513,C:C,C513)+SUMIFS(P:P,D:D,"&lt;="&amp;D513,C:C,C513))</f>
        <v>0</v>
      </c>
      <c r="U513" s="112">
        <f t="shared" si="152"/>
        <v>0</v>
      </c>
      <c r="V513" s="111">
        <f t="shared" si="160"/>
        <v>0</v>
      </c>
      <c r="W513" s="204" t="str">
        <f t="shared" si="158"/>
        <v/>
      </c>
      <c r="X513" s="111">
        <f t="shared" si="153"/>
        <v>0</v>
      </c>
      <c r="Y513" s="110"/>
      <c r="Z513" s="107"/>
      <c r="AA513" s="111">
        <f t="shared" si="146"/>
        <v>0</v>
      </c>
      <c r="AB513" s="235"/>
      <c r="AC513" s="111">
        <f>IF(SUMIFS('Shipments data'!L:L,'Shipments data'!F:F,'Supply planning data'!C513,'Shipments data'!A:A,'Supply planning data'!A513,'Shipments data'!O:O,"received",'Shipments data'!Q:Q,"&lt;"&amp;'Supply planning data'!D528,'Shipments data'!AC:AC,"&lt;"&amp;'Supply planning data'!D528)-SUMIFS(M:M,D:D,"&lt;="&amp;D513,C:C,C513)-SUMIFS(AA:AA,D:D,"&lt;="&amp;D513,C:C,C513)+SUMIFS(N:N,D:D,"&lt;="&amp;D513,C:C,C513)+SUMIFS(P:P,D:D,"&lt;="&amp;D513,C:C,C513)&lt;0,0,SUMIFS('Shipments data'!L:L,'Shipments data'!F:F,'Supply planning data'!C513,'Shipments data'!A:A,'Supply planning data'!A513,'Shipments data'!O:O,"received",'Shipments data'!Q:Q,"&lt;"&amp;'Supply planning data'!D528,'Shipments data'!AC:AC,"&lt;"&amp;'Supply planning data'!D528)-SUMIFS(M:M,D:D,"&lt;="&amp;D513,C:C,C513)-SUMIFS(AA:AA,D:D,"&lt;="&amp;D513,C:C,C513)+SUMIFS(N:N,D:D,"&lt;="&amp;D513,C:C,C513)+SUMIFS(P:P,D:D,"&lt;="&amp;D513,C:C,C513))</f>
        <v>0</v>
      </c>
      <c r="AD513" s="111">
        <f t="shared" si="154"/>
        <v>0</v>
      </c>
      <c r="AE513" s="111">
        <f t="shared" si="148"/>
        <v>0</v>
      </c>
      <c r="AF513" s="204" t="str">
        <f t="shared" si="157"/>
        <v/>
      </c>
      <c r="AG513" s="111">
        <f t="shared" si="155"/>
        <v>0</v>
      </c>
      <c r="AH513" s="110"/>
      <c r="AI513" s="313"/>
      <c r="AJ513" s="111">
        <f t="shared" si="147"/>
        <v>0</v>
      </c>
      <c r="AK513" s="235"/>
      <c r="AL513" s="111">
        <f>IF(SUMIFS('Shipments data'!L:L,'Shipments data'!F:F,'Supply planning data'!C513,'Shipments data'!A:A,'Supply planning data'!A513,'Shipments data'!O:O,"received",'Shipments data'!Q:Q,"&lt;"&amp;'Supply planning data'!D528,'Shipments data'!AC:AC,"&lt;"&amp;'Supply planning data'!D528)-SUMIFS(M:M,D:D,"&lt;="&amp;D513,C:C,C513)-SUMIFS(AJ:AJ,D:D,"&lt;="&amp;D513,C:C,C513)+SUMIFS(N:N,D:D,"&lt;="&amp;D513,C:C,C513)+SUMIFS(P:P,D:D,"&lt;="&amp;D513,C:C,C513)&lt;0,0,SUMIFS('Shipments data'!L:L,'Shipments data'!F:F,'Supply planning data'!C513,'Shipments data'!A:A,'Supply planning data'!A513,'Shipments data'!O:O,"received",'Shipments data'!Q:Q,"&lt;"&amp;'Supply planning data'!D528,'Shipments data'!AC:AC,"&lt;"&amp;'Supply planning data'!D528)-SUMIFS(M:M,D:D,"&lt;="&amp;D513,C:C,C513)-SUMIFS(AJ:AJ,D:D,"&lt;="&amp;D513,C:C,C513)+SUMIFS(N:N,D:D,"&lt;="&amp;D513,C:C,C513)+SUMIFS(P:P,D:D,"&lt;="&amp;D513,C:C,C513))</f>
        <v>0</v>
      </c>
      <c r="AM513" s="111">
        <f t="shared" si="156"/>
        <v>0</v>
      </c>
      <c r="AN513" s="111">
        <f t="shared" si="149"/>
        <v>0</v>
      </c>
      <c r="AO513" s="204" t="str">
        <f t="shared" si="159"/>
        <v/>
      </c>
    </row>
    <row r="514" spans="1:41" hidden="1" x14ac:dyDescent="0.25">
      <c r="A514" s="113" t="str">
        <f>Start!D$7</f>
        <v>Anyland</v>
      </c>
      <c r="B514" s="114" t="str">
        <f>VLOOKUP(A514,list!B:C,2,FALSE)</f>
        <v>ANY</v>
      </c>
      <c r="C514" s="104" t="str">
        <f>IF(Start!$C$31="","",Start!$C$31)</f>
        <v/>
      </c>
      <c r="D514" s="298">
        <f t="shared" si="150"/>
        <v>45200</v>
      </c>
      <c r="E514" s="105" t="str">
        <f>IFERROR(VLOOKUP(C514,Start!C$15:D$31,2,FALSE),"No")</f>
        <v>No</v>
      </c>
      <c r="F514" s="105">
        <f t="shared" si="151"/>
        <v>0</v>
      </c>
      <c r="G514" s="106"/>
      <c r="H514" s="106"/>
      <c r="I514" s="106"/>
      <c r="J514" s="105">
        <f t="shared" si="143"/>
        <v>0</v>
      </c>
      <c r="K514" s="106"/>
      <c r="L514" s="177" t="str">
        <f t="shared" si="144"/>
        <v/>
      </c>
      <c r="M514" s="105">
        <f t="shared" si="145"/>
        <v>0</v>
      </c>
      <c r="N514" s="110"/>
      <c r="O514" s="124"/>
      <c r="P514" s="110"/>
      <c r="Q514" s="124"/>
      <c r="R514" s="111">
        <f>SUMIFS('Shipments data'!L:L,'Shipments data'!F:F,'Supply planning data'!C514,'Shipments data'!A:A,'Supply planning data'!A514,'Shipments data'!Y:Y,'Supply planning data'!D514,'Shipments data'!O:O,"received", 'Shipments data'!N:N, "Public")</f>
        <v>0</v>
      </c>
      <c r="S514" s="111">
        <f>SUMIFS('Shipments data'!L:L,'Shipments data'!F:F,'Supply planning data'!C514,'Shipments data'!A:A,'Supply planning data'!A514,'Shipments data'!Y:Y,'Supply planning data'!D514,'Shipments data'!O:O,"ordered", 'Shipments data'!N:N, "Public")</f>
        <v>0</v>
      </c>
      <c r="T514" s="111">
        <f>IF(SUMIFS('Shipments data'!L:L,'Shipments data'!F:F,'Supply planning data'!C514,'Shipments data'!A:A,'Supply planning data'!A514,'Shipments data'!O:O,"received",'Shipments data'!Q:Q,"&lt;"&amp;'Supply planning data'!D529,'Shipments data'!AC:AC,"&lt;"&amp;'Supply planning data'!D529)-SUMIFS(M:M,D:D,"&lt;="&amp;D514,C:C,C514)+SUMIFS(N:N,D:D,"&lt;="&amp;D514,C:C,C514)+SUMIFS(P:P,D:D,"&lt;="&amp;D514,C:C,C514)&lt;0,0,SUMIFS('Shipments data'!L:L,'Shipments data'!F:F,'Supply planning data'!C514,'Shipments data'!A:A,'Supply planning data'!A514,'Shipments data'!O:O,"received",'Shipments data'!Q:Q,"&lt;"&amp;'Supply planning data'!D529,'Shipments data'!AC:AC,"&lt;"&amp;'Supply planning data'!D529)-SUMIFS(M:M,D:D,"&lt;="&amp;D514,C:C,C514)+SUMIFS(N:N,D:D,"&lt;="&amp;D514,C:C,C514)+SUMIFS(P:P,D:D,"&lt;="&amp;D514,C:C,C514))</f>
        <v>0</v>
      </c>
      <c r="U514" s="112">
        <f t="shared" si="152"/>
        <v>0</v>
      </c>
      <c r="V514" s="111">
        <f t="shared" si="160"/>
        <v>0</v>
      </c>
      <c r="W514" s="204" t="str">
        <f t="shared" si="158"/>
        <v/>
      </c>
      <c r="X514" s="111">
        <f t="shared" si="153"/>
        <v>0</v>
      </c>
      <c r="Y514" s="110"/>
      <c r="Z514" s="107"/>
      <c r="AA514" s="111">
        <f t="shared" si="146"/>
        <v>0</v>
      </c>
      <c r="AB514" s="235"/>
      <c r="AC514" s="111">
        <f>IF(SUMIFS('Shipments data'!L:L,'Shipments data'!F:F,'Supply planning data'!C514,'Shipments data'!A:A,'Supply planning data'!A514,'Shipments data'!O:O,"received",'Shipments data'!Q:Q,"&lt;"&amp;'Supply planning data'!D529,'Shipments data'!AC:AC,"&lt;"&amp;'Supply planning data'!D529)-SUMIFS(M:M,D:D,"&lt;="&amp;D514,C:C,C514)-SUMIFS(AA:AA,D:D,"&lt;="&amp;D514,C:C,C514)+SUMIFS(N:N,D:D,"&lt;="&amp;D514,C:C,C514)+SUMIFS(P:P,D:D,"&lt;="&amp;D514,C:C,C514)&lt;0,0,SUMIFS('Shipments data'!L:L,'Shipments data'!F:F,'Supply planning data'!C514,'Shipments data'!A:A,'Supply planning data'!A514,'Shipments data'!O:O,"received",'Shipments data'!Q:Q,"&lt;"&amp;'Supply planning data'!D529,'Shipments data'!AC:AC,"&lt;"&amp;'Supply planning data'!D529)-SUMIFS(M:M,D:D,"&lt;="&amp;D514,C:C,C514)-SUMIFS(AA:AA,D:D,"&lt;="&amp;D514,C:C,C514)+SUMIFS(N:N,D:D,"&lt;="&amp;D514,C:C,C514)+SUMIFS(P:P,D:D,"&lt;="&amp;D514,C:C,C514))</f>
        <v>0</v>
      </c>
      <c r="AD514" s="111">
        <f t="shared" si="154"/>
        <v>0</v>
      </c>
      <c r="AE514" s="111">
        <f t="shared" si="148"/>
        <v>0</v>
      </c>
      <c r="AF514" s="204" t="str">
        <f t="shared" si="157"/>
        <v/>
      </c>
      <c r="AG514" s="111">
        <f t="shared" si="155"/>
        <v>0</v>
      </c>
      <c r="AH514" s="110"/>
      <c r="AI514" s="313"/>
      <c r="AJ514" s="111">
        <f t="shared" si="147"/>
        <v>0</v>
      </c>
      <c r="AK514" s="235"/>
      <c r="AL514" s="111">
        <f>IF(SUMIFS('Shipments data'!L:L,'Shipments data'!F:F,'Supply planning data'!C514,'Shipments data'!A:A,'Supply planning data'!A514,'Shipments data'!O:O,"received",'Shipments data'!Q:Q,"&lt;"&amp;'Supply planning data'!D529,'Shipments data'!AC:AC,"&lt;"&amp;'Supply planning data'!D529)-SUMIFS(M:M,D:D,"&lt;="&amp;D514,C:C,C514)-SUMIFS(AJ:AJ,D:D,"&lt;="&amp;D514,C:C,C514)+SUMIFS(N:N,D:D,"&lt;="&amp;D514,C:C,C514)+SUMIFS(P:P,D:D,"&lt;="&amp;D514,C:C,C514)&lt;0,0,SUMIFS('Shipments data'!L:L,'Shipments data'!F:F,'Supply planning data'!C514,'Shipments data'!A:A,'Supply planning data'!A514,'Shipments data'!O:O,"received",'Shipments data'!Q:Q,"&lt;"&amp;'Supply planning data'!D529,'Shipments data'!AC:AC,"&lt;"&amp;'Supply planning data'!D529)-SUMIFS(M:M,D:D,"&lt;="&amp;D514,C:C,C514)-SUMIFS(AJ:AJ,D:D,"&lt;="&amp;D514,C:C,C514)+SUMIFS(N:N,D:D,"&lt;="&amp;D514,C:C,C514)+SUMIFS(P:P,D:D,"&lt;="&amp;D514,C:C,C514))</f>
        <v>0</v>
      </c>
      <c r="AM514" s="111">
        <f t="shared" si="156"/>
        <v>0</v>
      </c>
      <c r="AN514" s="111">
        <f t="shared" si="149"/>
        <v>0</v>
      </c>
      <c r="AO514" s="204" t="str">
        <f t="shared" si="159"/>
        <v/>
      </c>
    </row>
    <row r="515" spans="1:41" x14ac:dyDescent="0.25">
      <c r="A515" s="89" t="str">
        <f>Start!D$7</f>
        <v>Anyland</v>
      </c>
      <c r="B515" s="90" t="str">
        <f>VLOOKUP(A515,list!B:C,2,FALSE)</f>
        <v>ANY</v>
      </c>
      <c r="C515" s="90" t="str">
        <f>IF(Start!$C$17="","",Start!$C$17)</f>
        <v>AstraZeneca</v>
      </c>
      <c r="D515" s="296">
        <f t="shared" si="150"/>
        <v>45231</v>
      </c>
      <c r="E515" s="92" t="str">
        <f>IFERROR(VLOOKUP(C515,Start!C$15:D$31,2,FALSE),"No")</f>
        <v>Yes</v>
      </c>
      <c r="F515" s="92">
        <f t="shared" si="151"/>
        <v>0</v>
      </c>
      <c r="G515" s="91"/>
      <c r="H515" s="91"/>
      <c r="I515" s="91"/>
      <c r="J515" s="92">
        <f t="shared" si="143"/>
        <v>0</v>
      </c>
      <c r="K515" s="91"/>
      <c r="L515" s="174" t="str">
        <f t="shared" si="144"/>
        <v/>
      </c>
      <c r="M515" s="92">
        <f t="shared" si="145"/>
        <v>0</v>
      </c>
      <c r="N515" s="91"/>
      <c r="O515" s="121"/>
      <c r="P515" s="91"/>
      <c r="Q515" s="121"/>
      <c r="R515" s="92">
        <f>SUMIFS('Shipments data'!L:L,'Shipments data'!F:F,'Supply planning data'!C515,'Shipments data'!A:A,'Supply planning data'!A515,'Shipments data'!Y:Y,'Supply planning data'!D515,'Shipments data'!O:O,"received", 'Shipments data'!N:N, "Public")</f>
        <v>0</v>
      </c>
      <c r="S515" s="92">
        <f>SUMIFS('Shipments data'!L:L,'Shipments data'!F:F,'Supply planning data'!C515,'Shipments data'!A:A,'Supply planning data'!A515,'Shipments data'!Y:Y,'Supply planning data'!D515,'Shipments data'!O:O,"ordered", 'Shipments data'!N:N, "Public")</f>
        <v>0</v>
      </c>
      <c r="T515" s="92">
        <f>IF(SUMIFS('Shipments data'!L:L,'Shipments data'!F:F,'Supply planning data'!C515,'Shipments data'!A:A,'Supply planning data'!A515,'Shipments data'!O:O,"received",'Shipments data'!Q:Q,"&lt;"&amp;'Supply planning data'!D530,'Shipments data'!AC:AC,"&lt;"&amp;'Supply planning data'!D530)-SUMIFS(M:M,D:D,"&lt;="&amp;D515,C:C,C515)+SUMIFS(N:N,D:D,"&lt;="&amp;D515,C:C,C515)+SUMIFS(P:P,D:D,"&lt;="&amp;D515,C:C,C515)&lt;0,0,SUMIFS('Shipments data'!L:L,'Shipments data'!F:F,'Supply planning data'!C515,'Shipments data'!A:A,'Supply planning data'!A515,'Shipments data'!O:O,"received",'Shipments data'!Q:Q,"&lt;"&amp;'Supply planning data'!D530,'Shipments data'!AC:AC,"&lt;"&amp;'Supply planning data'!D530)-SUMIFS(M:M,D:D,"&lt;="&amp;D515,C:C,C515)+SUMIFS(N:N,D:D,"&lt;="&amp;D515,C:C,C515)+SUMIFS(P:P,D:D,"&lt;="&amp;D515,C:C,C515))</f>
        <v>0</v>
      </c>
      <c r="U515" s="94">
        <f t="shared" si="152"/>
        <v>0</v>
      </c>
      <c r="V515" s="92">
        <f t="shared" si="160"/>
        <v>0</v>
      </c>
      <c r="W515" s="205" t="str">
        <f t="shared" si="158"/>
        <v/>
      </c>
      <c r="X515" s="92">
        <f t="shared" si="153"/>
        <v>154701</v>
      </c>
      <c r="Y515" s="91"/>
      <c r="Z515" s="93"/>
      <c r="AA515" s="92">
        <f t="shared" si="146"/>
        <v>0</v>
      </c>
      <c r="AB515" s="232"/>
      <c r="AC515" s="92">
        <f>IF(SUMIFS('Shipments data'!L:L,'Shipments data'!F:F,'Supply planning data'!C515,'Shipments data'!A:A,'Supply planning data'!A515,'Shipments data'!O:O,"received",'Shipments data'!Q:Q,"&lt;"&amp;'Supply planning data'!D530,'Shipments data'!AC:AC,"&lt;"&amp;'Supply planning data'!D530)-SUMIFS(M:M,D:D,"&lt;="&amp;D515,C:C,C515)-SUMIFS(AA:AA,D:D,"&lt;="&amp;D515,C:C,C515)+SUMIFS(N:N,D:D,"&lt;="&amp;D515,C:C,C515)+SUMIFS(P:P,D:D,"&lt;="&amp;D515,C:C,C515)&lt;0,0,SUMIFS('Shipments data'!L:L,'Shipments data'!F:F,'Supply planning data'!C515,'Shipments data'!A:A,'Supply planning data'!A515,'Shipments data'!O:O,"received",'Shipments data'!Q:Q,"&lt;"&amp;'Supply planning data'!D530,'Shipments data'!AC:AC,"&lt;"&amp;'Supply planning data'!D530)-SUMIFS(M:M,D:D,"&lt;="&amp;D515,C:C,C515)-SUMIFS(AA:AA,D:D,"&lt;="&amp;D515,C:C,C515)+SUMIFS(N:N,D:D,"&lt;="&amp;D515,C:C,C515)+SUMIFS(P:P,D:D,"&lt;="&amp;D515,C:C,C515))</f>
        <v>0</v>
      </c>
      <c r="AD515" s="92">
        <f t="shared" si="154"/>
        <v>0</v>
      </c>
      <c r="AE515" s="92">
        <f t="shared" si="148"/>
        <v>154701</v>
      </c>
      <c r="AF515" s="205" t="str">
        <f t="shared" si="157"/>
        <v/>
      </c>
      <c r="AG515" s="92">
        <f t="shared" si="155"/>
        <v>0</v>
      </c>
      <c r="AH515" s="91"/>
      <c r="AI515" s="310"/>
      <c r="AJ515" s="92">
        <f t="shared" si="147"/>
        <v>0</v>
      </c>
      <c r="AK515" s="232"/>
      <c r="AL515" s="92">
        <f>IF(SUMIFS('Shipments data'!L:L,'Shipments data'!F:F,'Supply planning data'!C515,'Shipments data'!A:A,'Supply planning data'!A515,'Shipments data'!O:O,"received",'Shipments data'!Q:Q,"&lt;"&amp;'Supply planning data'!D530,'Shipments data'!AC:AC,"&lt;"&amp;'Supply planning data'!D530)-SUMIFS(M:M,D:D,"&lt;="&amp;D515,C:C,C515)-SUMIFS(AJ:AJ,D:D,"&lt;="&amp;D515,C:C,C515)+SUMIFS(N:N,D:D,"&lt;="&amp;D515,C:C,C515)+SUMIFS(P:P,D:D,"&lt;="&amp;D515,C:C,C515)&lt;0,0,SUMIFS('Shipments data'!L:L,'Shipments data'!F:F,'Supply planning data'!C515,'Shipments data'!A:A,'Supply planning data'!A515,'Shipments data'!O:O,"received",'Shipments data'!Q:Q,"&lt;"&amp;'Supply planning data'!D530,'Shipments data'!AC:AC,"&lt;"&amp;'Supply planning data'!D530)-SUMIFS(M:M,D:D,"&lt;="&amp;D515,C:C,C515)-SUMIFS(AJ:AJ,D:D,"&lt;="&amp;D515,C:C,C515)+SUMIFS(N:N,D:D,"&lt;="&amp;D515,C:C,C515)+SUMIFS(P:P,D:D,"&lt;="&amp;D515,C:C,C515))</f>
        <v>0</v>
      </c>
      <c r="AM515" s="92">
        <f t="shared" si="156"/>
        <v>0</v>
      </c>
      <c r="AN515" s="92">
        <f t="shared" si="149"/>
        <v>0</v>
      </c>
      <c r="AO515" s="205" t="str">
        <f t="shared" si="159"/>
        <v/>
      </c>
    </row>
    <row r="516" spans="1:41" x14ac:dyDescent="0.25">
      <c r="A516" s="95" t="str">
        <f>Start!D$7</f>
        <v>Anyland</v>
      </c>
      <c r="B516" s="96" t="str">
        <f>VLOOKUP(A516,list!B:C,2,FALSE)</f>
        <v>ANY</v>
      </c>
      <c r="C516" s="90" t="str">
        <f>IF(Start!$C$18="","",Start!$C$18)</f>
        <v>Jansen</v>
      </c>
      <c r="D516" s="296">
        <f t="shared" si="150"/>
        <v>45231</v>
      </c>
      <c r="E516" s="92" t="str">
        <f>IFERROR(VLOOKUP(C516,Start!C$15:D$31,2,FALSE),"No")</f>
        <v>Yes</v>
      </c>
      <c r="F516" s="92">
        <f t="shared" si="151"/>
        <v>2258747</v>
      </c>
      <c r="G516" s="91"/>
      <c r="H516" s="97"/>
      <c r="I516" s="97"/>
      <c r="J516" s="98">
        <f t="shared" si="143"/>
        <v>0</v>
      </c>
      <c r="K516" s="97"/>
      <c r="L516" s="175" t="str">
        <f t="shared" si="144"/>
        <v/>
      </c>
      <c r="M516" s="98">
        <f t="shared" si="145"/>
        <v>0</v>
      </c>
      <c r="N516" s="97"/>
      <c r="O516" s="122"/>
      <c r="P516" s="97"/>
      <c r="Q516" s="122"/>
      <c r="R516" s="98">
        <f>SUMIFS('Shipments data'!L:L,'Shipments data'!F:F,'Supply planning data'!C516,'Shipments data'!A:A,'Supply planning data'!A516,'Shipments data'!Y:Y,'Supply planning data'!D516,'Shipments data'!O:O,"received", 'Shipments data'!N:N, "Public")</f>
        <v>0</v>
      </c>
      <c r="S516" s="98">
        <f>SUMIFS('Shipments data'!L:L,'Shipments data'!F:F,'Supply planning data'!C516,'Shipments data'!A:A,'Supply planning data'!A516,'Shipments data'!Y:Y,'Supply planning data'!D516,'Shipments data'!O:O,"ordered", 'Shipments data'!N:N, "Public")</f>
        <v>0</v>
      </c>
      <c r="T516" s="98">
        <f>IF(SUMIFS('Shipments data'!L:L,'Shipments data'!F:F,'Supply planning data'!C516,'Shipments data'!A:A,'Supply planning data'!A516,'Shipments data'!O:O,"received",'Shipments data'!Q:Q,"&lt;"&amp;'Supply planning data'!D531,'Shipments data'!AC:AC,"&lt;"&amp;'Supply planning data'!D531)-SUMIFS(M:M,D:D,"&lt;="&amp;D516,C:C,C516)+SUMIFS(N:N,D:D,"&lt;="&amp;D516,C:C,C516)+SUMIFS(P:P,D:D,"&lt;="&amp;D516,C:C,C516)&lt;0,0,SUMIFS('Shipments data'!L:L,'Shipments data'!F:F,'Supply planning data'!C516,'Shipments data'!A:A,'Supply planning data'!A516,'Shipments data'!O:O,"received",'Shipments data'!Q:Q,"&lt;"&amp;'Supply planning data'!D531,'Shipments data'!AC:AC,"&lt;"&amp;'Supply planning data'!D531)-SUMIFS(M:M,D:D,"&lt;="&amp;D516,C:C,C516)+SUMIFS(N:N,D:D,"&lt;="&amp;D516,C:C,C516)+SUMIFS(P:P,D:D,"&lt;="&amp;D516,C:C,C516))</f>
        <v>187547</v>
      </c>
      <c r="U516" s="99">
        <f t="shared" si="152"/>
        <v>187547</v>
      </c>
      <c r="V516" s="98">
        <f t="shared" si="160"/>
        <v>2071200</v>
      </c>
      <c r="W516" s="203" t="str">
        <f t="shared" si="158"/>
        <v/>
      </c>
      <c r="X516" s="98">
        <f t="shared" si="153"/>
        <v>1698747</v>
      </c>
      <c r="Y516" s="97"/>
      <c r="Z516" s="93"/>
      <c r="AA516" s="98">
        <f t="shared" si="146"/>
        <v>0</v>
      </c>
      <c r="AB516" s="233"/>
      <c r="AC516" s="98">
        <f>IF(SUMIFS('Shipments data'!L:L,'Shipments data'!F:F,'Supply planning data'!C516,'Shipments data'!A:A,'Supply planning data'!A516,'Shipments data'!O:O,"received",'Shipments data'!Q:Q,"&lt;"&amp;'Supply planning data'!D531,'Shipments data'!AC:AC,"&lt;"&amp;'Supply planning data'!D531)-SUMIFS(M:M,D:D,"&lt;="&amp;D516,C:C,C516)-SUMIFS(AA:AA,D:D,"&lt;="&amp;D516,C:C,C516)+SUMIFS(N:N,D:D,"&lt;="&amp;D516,C:C,C516)+SUMIFS(P:P,D:D,"&lt;="&amp;D516,C:C,C516)&lt;0,0,SUMIFS('Shipments data'!L:L,'Shipments data'!F:F,'Supply planning data'!C516,'Shipments data'!A:A,'Supply planning data'!A516,'Shipments data'!O:O,"received",'Shipments data'!Q:Q,"&lt;"&amp;'Supply planning data'!D531,'Shipments data'!AC:AC,"&lt;"&amp;'Supply planning data'!D531)-SUMIFS(M:M,D:D,"&lt;="&amp;D516,C:C,C516)-SUMIFS(AA:AA,D:D,"&lt;="&amp;D516,C:C,C516)+SUMIFS(N:N,D:D,"&lt;="&amp;D516,C:C,C516)+SUMIFS(P:P,D:D,"&lt;="&amp;D516,C:C,C516))</f>
        <v>0</v>
      </c>
      <c r="AD516" s="98">
        <f t="shared" si="154"/>
        <v>0</v>
      </c>
      <c r="AE516" s="98">
        <f t="shared" si="148"/>
        <v>1511200</v>
      </c>
      <c r="AF516" s="205" t="str">
        <f t="shared" si="157"/>
        <v/>
      </c>
      <c r="AG516" s="98">
        <f t="shared" si="155"/>
        <v>2258747</v>
      </c>
      <c r="AH516" s="97"/>
      <c r="AI516" s="311"/>
      <c r="AJ516" s="98">
        <f t="shared" si="147"/>
        <v>0</v>
      </c>
      <c r="AK516" s="233"/>
      <c r="AL516" s="98">
        <f>IF(SUMIFS('Shipments data'!L:L,'Shipments data'!F:F,'Supply planning data'!C516,'Shipments data'!A:A,'Supply planning data'!A516,'Shipments data'!O:O,"received",'Shipments data'!Q:Q,"&lt;"&amp;'Supply planning data'!D531,'Shipments data'!AC:AC,"&lt;"&amp;'Supply planning data'!D531)-SUMIFS(M:M,D:D,"&lt;="&amp;D516,C:C,C516)-SUMIFS(AJ:AJ,D:D,"&lt;="&amp;D516,C:C,C516)+SUMIFS(N:N,D:D,"&lt;="&amp;D516,C:C,C516)+SUMIFS(P:P,D:D,"&lt;="&amp;D516,C:C,C516)&lt;0,0,SUMIFS('Shipments data'!L:L,'Shipments data'!F:F,'Supply planning data'!C516,'Shipments data'!A:A,'Supply planning data'!A516,'Shipments data'!O:O,"received",'Shipments data'!Q:Q,"&lt;"&amp;'Supply planning data'!D531,'Shipments data'!AC:AC,"&lt;"&amp;'Supply planning data'!D531)-SUMIFS(M:M,D:D,"&lt;="&amp;D516,C:C,C516)-SUMIFS(AJ:AJ,D:D,"&lt;="&amp;D516,C:C,C516)+SUMIFS(N:N,D:D,"&lt;="&amp;D516,C:C,C516)+SUMIFS(P:P,D:D,"&lt;="&amp;D516,C:C,C516))</f>
        <v>187547</v>
      </c>
      <c r="AM516" s="98">
        <f t="shared" si="156"/>
        <v>187547</v>
      </c>
      <c r="AN516" s="98">
        <f t="shared" si="149"/>
        <v>2071200</v>
      </c>
      <c r="AO516" s="203" t="str">
        <f t="shared" si="159"/>
        <v/>
      </c>
    </row>
    <row r="517" spans="1:41" x14ac:dyDescent="0.25">
      <c r="A517" s="95" t="str">
        <f>Start!D$7</f>
        <v>Anyland</v>
      </c>
      <c r="B517" s="96" t="str">
        <f>VLOOKUP(A517,list!B:C,2,FALSE)</f>
        <v>ANY</v>
      </c>
      <c r="C517" s="90" t="str">
        <f>IF(Start!$C$19="","",Start!$C$19)</f>
        <v>Moderna</v>
      </c>
      <c r="D517" s="296">
        <f t="shared" si="150"/>
        <v>45231</v>
      </c>
      <c r="E517" s="92" t="str">
        <f>IFERROR(VLOOKUP(C517,Start!C$15:D$31,2,FALSE),"No")</f>
        <v>No</v>
      </c>
      <c r="F517" s="92">
        <f t="shared" si="151"/>
        <v>0</v>
      </c>
      <c r="G517" s="91"/>
      <c r="H517" s="97"/>
      <c r="I517" s="97"/>
      <c r="J517" s="98">
        <f t="shared" ref="J517:J580" si="161">SUM(G517:I517)</f>
        <v>0</v>
      </c>
      <c r="K517" s="97"/>
      <c r="L517" s="175" t="str">
        <f t="shared" ref="L517:L580" si="162">IFERROR(K517/J517, "")</f>
        <v/>
      </c>
      <c r="M517" s="98">
        <f t="shared" ref="M517:M580" si="163">SUM(J517,K517)</f>
        <v>0</v>
      </c>
      <c r="N517" s="97"/>
      <c r="O517" s="122"/>
      <c r="P517" s="97"/>
      <c r="Q517" s="122"/>
      <c r="R517" s="98">
        <f>SUMIFS('Shipments data'!L:L,'Shipments data'!F:F,'Supply planning data'!C517,'Shipments data'!A:A,'Supply planning data'!A517,'Shipments data'!Y:Y,'Supply planning data'!D517,'Shipments data'!O:O,"received", 'Shipments data'!N:N, "Public")</f>
        <v>0</v>
      </c>
      <c r="S517" s="98">
        <f>SUMIFS('Shipments data'!L:L,'Shipments data'!F:F,'Supply planning data'!C517,'Shipments data'!A:A,'Supply planning data'!A517,'Shipments data'!Y:Y,'Supply planning data'!D517,'Shipments data'!O:O,"ordered", 'Shipments data'!N:N, "Public")</f>
        <v>0</v>
      </c>
      <c r="T517" s="98">
        <f>IF(SUMIFS('Shipments data'!L:L,'Shipments data'!F:F,'Supply planning data'!C517,'Shipments data'!A:A,'Supply planning data'!A517,'Shipments data'!O:O,"received",'Shipments data'!Q:Q,"&lt;"&amp;'Supply planning data'!D532,'Shipments data'!AC:AC,"&lt;"&amp;'Supply planning data'!D532)-SUMIFS(M:M,D:D,"&lt;="&amp;D517,C:C,C517)+SUMIFS(N:N,D:D,"&lt;="&amp;D517,C:C,C517)+SUMIFS(P:P,D:D,"&lt;="&amp;D517,C:C,C517)&lt;0,0,SUMIFS('Shipments data'!L:L,'Shipments data'!F:F,'Supply planning data'!C517,'Shipments data'!A:A,'Supply planning data'!A517,'Shipments data'!O:O,"received",'Shipments data'!Q:Q,"&lt;"&amp;'Supply planning data'!D532,'Shipments data'!AC:AC,"&lt;"&amp;'Supply planning data'!D532)-SUMIFS(M:M,D:D,"&lt;="&amp;D517,C:C,C517)+SUMIFS(N:N,D:D,"&lt;="&amp;D517,C:C,C517)+SUMIFS(P:P,D:D,"&lt;="&amp;D517,C:C,C517))</f>
        <v>0</v>
      </c>
      <c r="U517" s="99">
        <f t="shared" si="152"/>
        <v>0</v>
      </c>
      <c r="V517" s="98">
        <f t="shared" si="160"/>
        <v>0</v>
      </c>
      <c r="W517" s="203" t="str">
        <f t="shared" si="158"/>
        <v/>
      </c>
      <c r="X517" s="98">
        <f t="shared" si="153"/>
        <v>0</v>
      </c>
      <c r="Y517" s="97"/>
      <c r="Z517" s="93"/>
      <c r="AA517" s="98">
        <f t="shared" ref="AA517:AA580" si="164">IFERROR(Z517*Y517,0)+Y517</f>
        <v>0</v>
      </c>
      <c r="AB517" s="233"/>
      <c r="AC517" s="98">
        <f>IF(SUMIFS('Shipments data'!L:L,'Shipments data'!F:F,'Supply planning data'!C517,'Shipments data'!A:A,'Supply planning data'!A517,'Shipments data'!O:O,"received",'Shipments data'!Q:Q,"&lt;"&amp;'Supply planning data'!D532,'Shipments data'!AC:AC,"&lt;"&amp;'Supply planning data'!D532)-SUMIFS(M:M,D:D,"&lt;="&amp;D517,C:C,C517)-SUMIFS(AA:AA,D:D,"&lt;="&amp;D517,C:C,C517)+SUMIFS(N:N,D:D,"&lt;="&amp;D517,C:C,C517)+SUMIFS(P:P,D:D,"&lt;="&amp;D517,C:C,C517)&lt;0,0,SUMIFS('Shipments data'!L:L,'Shipments data'!F:F,'Supply planning data'!C517,'Shipments data'!A:A,'Supply planning data'!A517,'Shipments data'!O:O,"received",'Shipments data'!Q:Q,"&lt;"&amp;'Supply planning data'!D532,'Shipments data'!AC:AC,"&lt;"&amp;'Supply planning data'!D532)-SUMIFS(M:M,D:D,"&lt;="&amp;D517,C:C,C517)-SUMIFS(AA:AA,D:D,"&lt;="&amp;D517,C:C,C517)+SUMIFS(N:N,D:D,"&lt;="&amp;D517,C:C,C517)+SUMIFS(P:P,D:D,"&lt;="&amp;D517,C:C,C517))</f>
        <v>0</v>
      </c>
      <c r="AD517" s="98">
        <f t="shared" si="154"/>
        <v>0</v>
      </c>
      <c r="AE517" s="98">
        <f t="shared" si="148"/>
        <v>0</v>
      </c>
      <c r="AF517" s="205" t="str">
        <f t="shared" si="157"/>
        <v/>
      </c>
      <c r="AG517" s="98">
        <f t="shared" si="155"/>
        <v>0</v>
      </c>
      <c r="AH517" s="97"/>
      <c r="AI517" s="311"/>
      <c r="AJ517" s="98">
        <f t="shared" ref="AJ517:AJ580" si="165">IFERROR(AI517*AH517,0)+AH517</f>
        <v>0</v>
      </c>
      <c r="AK517" s="233"/>
      <c r="AL517" s="98">
        <f>IF(SUMIFS('Shipments data'!L:L,'Shipments data'!F:F,'Supply planning data'!C517,'Shipments data'!A:A,'Supply planning data'!A517,'Shipments data'!O:O,"received",'Shipments data'!Q:Q,"&lt;"&amp;'Supply planning data'!D532,'Shipments data'!AC:AC,"&lt;"&amp;'Supply planning data'!D532)-SUMIFS(M:M,D:D,"&lt;="&amp;D517,C:C,C517)-SUMIFS(AJ:AJ,D:D,"&lt;="&amp;D517,C:C,C517)+SUMIFS(N:N,D:D,"&lt;="&amp;D517,C:C,C517)+SUMIFS(P:P,D:D,"&lt;="&amp;D517,C:C,C517)&lt;0,0,SUMIFS('Shipments data'!L:L,'Shipments data'!F:F,'Supply planning data'!C517,'Shipments data'!A:A,'Supply planning data'!A517,'Shipments data'!O:O,"received",'Shipments data'!Q:Q,"&lt;"&amp;'Supply planning data'!D532,'Shipments data'!AC:AC,"&lt;"&amp;'Supply planning data'!D532)-SUMIFS(M:M,D:D,"&lt;="&amp;D517,C:C,C517)-SUMIFS(AJ:AJ,D:D,"&lt;="&amp;D517,C:C,C517)+SUMIFS(N:N,D:D,"&lt;="&amp;D517,C:C,C517)+SUMIFS(P:P,D:D,"&lt;="&amp;D517,C:C,C517))</f>
        <v>0</v>
      </c>
      <c r="AM517" s="98">
        <f t="shared" si="156"/>
        <v>0</v>
      </c>
      <c r="AN517" s="98">
        <f t="shared" si="149"/>
        <v>0</v>
      </c>
      <c r="AO517" s="203" t="str">
        <f t="shared" si="159"/>
        <v/>
      </c>
    </row>
    <row r="518" spans="1:41" x14ac:dyDescent="0.25">
      <c r="A518" s="95" t="str">
        <f>Start!D$7</f>
        <v>Anyland</v>
      </c>
      <c r="B518" s="96" t="str">
        <f>VLOOKUP(A518,list!B:C,2,FALSE)</f>
        <v>ANY</v>
      </c>
      <c r="C518" s="90" t="str">
        <f>IF(Start!$C$20="","",Start!$C$20)</f>
        <v>Pfizer</v>
      </c>
      <c r="D518" s="296">
        <f t="shared" si="150"/>
        <v>45231</v>
      </c>
      <c r="E518" s="92" t="str">
        <f>IFERROR(VLOOKUP(C518,Start!C$15:D$31,2,FALSE),"No")</f>
        <v>Yes</v>
      </c>
      <c r="F518" s="92">
        <f t="shared" si="151"/>
        <v>3000000</v>
      </c>
      <c r="G518" s="91"/>
      <c r="H518" s="97"/>
      <c r="I518" s="97"/>
      <c r="J518" s="98">
        <f t="shared" si="161"/>
        <v>0</v>
      </c>
      <c r="K518" s="97"/>
      <c r="L518" s="175" t="str">
        <f t="shared" si="162"/>
        <v/>
      </c>
      <c r="M518" s="98">
        <f t="shared" si="163"/>
        <v>0</v>
      </c>
      <c r="N518" s="97"/>
      <c r="O518" s="122"/>
      <c r="P518" s="97"/>
      <c r="Q518" s="122"/>
      <c r="R518" s="98">
        <f>SUMIFS('Shipments data'!L:L,'Shipments data'!F:F,'Supply planning data'!C518,'Shipments data'!A:A,'Supply planning data'!A518,'Shipments data'!Y:Y,'Supply planning data'!D518,'Shipments data'!O:O,"received", 'Shipments data'!N:N, "Public")</f>
        <v>0</v>
      </c>
      <c r="S518" s="98">
        <f>SUMIFS('Shipments data'!L:L,'Shipments data'!F:F,'Supply planning data'!C518,'Shipments data'!A:A,'Supply planning data'!A518,'Shipments data'!Y:Y,'Supply planning data'!D518,'Shipments data'!O:O,"ordered", 'Shipments data'!N:N, "Public")</f>
        <v>0</v>
      </c>
      <c r="T518" s="98">
        <f>IF(SUMIFS('Shipments data'!L:L,'Shipments data'!F:F,'Supply planning data'!C518,'Shipments data'!A:A,'Supply planning data'!A518,'Shipments data'!O:O,"received",'Shipments data'!Q:Q,"&lt;"&amp;'Supply planning data'!D533,'Shipments data'!AC:AC,"&lt;"&amp;'Supply planning data'!D533)-SUMIFS(M:M,D:D,"&lt;="&amp;D518,C:C,C518)+SUMIFS(N:N,D:D,"&lt;="&amp;D518,C:C,C518)+SUMIFS(P:P,D:D,"&lt;="&amp;D518,C:C,C518)&lt;0,0,SUMIFS('Shipments data'!L:L,'Shipments data'!F:F,'Supply planning data'!C518,'Shipments data'!A:A,'Supply planning data'!A518,'Shipments data'!O:O,"received",'Shipments data'!Q:Q,"&lt;"&amp;'Supply planning data'!D533,'Shipments data'!AC:AC,"&lt;"&amp;'Supply planning data'!D533)-SUMIFS(M:M,D:D,"&lt;="&amp;D518,C:C,C518)+SUMIFS(N:N,D:D,"&lt;="&amp;D518,C:C,C518)+SUMIFS(P:P,D:D,"&lt;="&amp;D518,C:C,C518))</f>
        <v>110538</v>
      </c>
      <c r="U518" s="99">
        <f t="shared" si="152"/>
        <v>0</v>
      </c>
      <c r="V518" s="98">
        <f t="shared" si="160"/>
        <v>3000000</v>
      </c>
      <c r="W518" s="203" t="str">
        <f t="shared" si="158"/>
        <v/>
      </c>
      <c r="X518" s="98">
        <f t="shared" si="153"/>
        <v>2440000</v>
      </c>
      <c r="Y518" s="97"/>
      <c r="Z518" s="93"/>
      <c r="AA518" s="98">
        <f t="shared" si="164"/>
        <v>0</v>
      </c>
      <c r="AB518" s="233"/>
      <c r="AC518" s="98">
        <f>IF(SUMIFS('Shipments data'!L:L,'Shipments data'!F:F,'Supply planning data'!C518,'Shipments data'!A:A,'Supply planning data'!A518,'Shipments data'!O:O,"received",'Shipments data'!Q:Q,"&lt;"&amp;'Supply planning data'!D533,'Shipments data'!AC:AC,"&lt;"&amp;'Supply planning data'!D533)-SUMIFS(M:M,D:D,"&lt;="&amp;D518,C:C,C518)-SUMIFS(AA:AA,D:D,"&lt;="&amp;D518,C:C,C518)+SUMIFS(N:N,D:D,"&lt;="&amp;D518,C:C,C518)+SUMIFS(P:P,D:D,"&lt;="&amp;D518,C:C,C518)&lt;0,0,SUMIFS('Shipments data'!L:L,'Shipments data'!F:F,'Supply planning data'!C518,'Shipments data'!A:A,'Supply planning data'!A518,'Shipments data'!O:O,"received",'Shipments data'!Q:Q,"&lt;"&amp;'Supply planning data'!D533,'Shipments data'!AC:AC,"&lt;"&amp;'Supply planning data'!D533)-SUMIFS(M:M,D:D,"&lt;="&amp;D518,C:C,C518)-SUMIFS(AA:AA,D:D,"&lt;="&amp;D518,C:C,C518)+SUMIFS(N:N,D:D,"&lt;="&amp;D518,C:C,C518)+SUMIFS(P:P,D:D,"&lt;="&amp;D518,C:C,C518))</f>
        <v>0</v>
      </c>
      <c r="AD518" s="98">
        <f t="shared" si="154"/>
        <v>0</v>
      </c>
      <c r="AE518" s="98">
        <f t="shared" ref="AE518:AE581" si="166">IF(X518+R518+S518+AB518+N518+P518-M518-AA518-U518&lt;0,0,X518+R518+S518+AB518+N518+P518-M518-AA518-U518)</f>
        <v>2440000</v>
      </c>
      <c r="AF518" s="205" t="str">
        <f t="shared" si="157"/>
        <v/>
      </c>
      <c r="AG518" s="98">
        <f t="shared" si="155"/>
        <v>3000000</v>
      </c>
      <c r="AH518" s="97"/>
      <c r="AI518" s="311"/>
      <c r="AJ518" s="98">
        <f t="shared" si="165"/>
        <v>0</v>
      </c>
      <c r="AK518" s="233"/>
      <c r="AL518" s="98">
        <f>IF(SUMIFS('Shipments data'!L:L,'Shipments data'!F:F,'Supply planning data'!C518,'Shipments data'!A:A,'Supply planning data'!A518,'Shipments data'!O:O,"received",'Shipments data'!Q:Q,"&lt;"&amp;'Supply planning data'!D533,'Shipments data'!AC:AC,"&lt;"&amp;'Supply planning data'!D533)-SUMIFS(M:M,D:D,"&lt;="&amp;D518,C:C,C518)-SUMIFS(AJ:AJ,D:D,"&lt;="&amp;D518,C:C,C518)+SUMIFS(N:N,D:D,"&lt;="&amp;D518,C:C,C518)+SUMIFS(P:P,D:D,"&lt;="&amp;D518,C:C,C518)&lt;0,0,SUMIFS('Shipments data'!L:L,'Shipments data'!F:F,'Supply planning data'!C518,'Shipments data'!A:A,'Supply planning data'!A518,'Shipments data'!O:O,"received",'Shipments data'!Q:Q,"&lt;"&amp;'Supply planning data'!D533,'Shipments data'!AC:AC,"&lt;"&amp;'Supply planning data'!D533)-SUMIFS(M:M,D:D,"&lt;="&amp;D518,C:C,C518)-SUMIFS(AJ:AJ,D:D,"&lt;="&amp;D518,C:C,C518)+SUMIFS(N:N,D:D,"&lt;="&amp;D518,C:C,C518)+SUMIFS(P:P,D:D,"&lt;="&amp;D518,C:C,C518))</f>
        <v>110538</v>
      </c>
      <c r="AM518" s="98">
        <f t="shared" si="156"/>
        <v>0</v>
      </c>
      <c r="AN518" s="98">
        <f t="shared" ref="AN518:AN581" si="167">IF(AG518+$R518+$S518+AK518+$N518+$P518-$M518-AJ518-$AM518&lt;0,0,AG518+$R518+$S518+AK518+$N518+$P518-$M518-AJ518-$AM518)</f>
        <v>3000000</v>
      </c>
      <c r="AO518" s="203" t="str">
        <f t="shared" si="159"/>
        <v/>
      </c>
    </row>
    <row r="519" spans="1:41" x14ac:dyDescent="0.25">
      <c r="A519" s="95" t="str">
        <f>Start!D$7</f>
        <v>Anyland</v>
      </c>
      <c r="B519" s="96" t="str">
        <f>VLOOKUP(A519,list!B:C,2,FALSE)</f>
        <v>ANY</v>
      </c>
      <c r="C519" s="90" t="str">
        <f>IF(Start!$C$21="","",Start!$C$21)</f>
        <v>Sinovac</v>
      </c>
      <c r="D519" s="296">
        <f t="shared" si="150"/>
        <v>45231</v>
      </c>
      <c r="E519" s="92" t="str">
        <f>IFERROR(VLOOKUP(C519,Start!C$15:D$31,2,FALSE),"No")</f>
        <v>No</v>
      </c>
      <c r="F519" s="92">
        <f t="shared" si="151"/>
        <v>0</v>
      </c>
      <c r="G519" s="91"/>
      <c r="H519" s="97"/>
      <c r="I519" s="97"/>
      <c r="J519" s="98">
        <f t="shared" si="161"/>
        <v>0</v>
      </c>
      <c r="K519" s="97"/>
      <c r="L519" s="175" t="str">
        <f t="shared" si="162"/>
        <v/>
      </c>
      <c r="M519" s="98">
        <f t="shared" si="163"/>
        <v>0</v>
      </c>
      <c r="N519" s="97"/>
      <c r="O519" s="122"/>
      <c r="P519" s="97"/>
      <c r="Q519" s="122"/>
      <c r="R519" s="98">
        <f>SUMIFS('Shipments data'!L:L,'Shipments data'!F:F,'Supply planning data'!C519,'Shipments data'!A:A,'Supply planning data'!A519,'Shipments data'!Y:Y,'Supply planning data'!D519,'Shipments data'!O:O,"received", 'Shipments data'!N:N, "Public")</f>
        <v>0</v>
      </c>
      <c r="S519" s="98">
        <f>SUMIFS('Shipments data'!L:L,'Shipments data'!F:F,'Supply planning data'!C519,'Shipments data'!A:A,'Supply planning data'!A519,'Shipments data'!Y:Y,'Supply planning data'!D519,'Shipments data'!O:O,"ordered", 'Shipments data'!N:N, "Public")</f>
        <v>0</v>
      </c>
      <c r="T519" s="98">
        <f>IF(SUMIFS('Shipments data'!L:L,'Shipments data'!F:F,'Supply planning data'!C519,'Shipments data'!A:A,'Supply planning data'!A519,'Shipments data'!O:O,"received",'Shipments data'!Q:Q,"&lt;"&amp;'Supply planning data'!D534,'Shipments data'!AC:AC,"&lt;"&amp;'Supply planning data'!D534)-SUMIFS(M:M,D:D,"&lt;="&amp;D519,C:C,C519)+SUMIFS(N:N,D:D,"&lt;="&amp;D519,C:C,C519)+SUMIFS(P:P,D:D,"&lt;="&amp;D519,C:C,C519)&lt;0,0,SUMIFS('Shipments data'!L:L,'Shipments data'!F:F,'Supply planning data'!C519,'Shipments data'!A:A,'Supply planning data'!A519,'Shipments data'!O:O,"received",'Shipments data'!Q:Q,"&lt;"&amp;'Supply planning data'!D534,'Shipments data'!AC:AC,"&lt;"&amp;'Supply planning data'!D534)-SUMIFS(M:M,D:D,"&lt;="&amp;D519,C:C,C519)+SUMIFS(N:N,D:D,"&lt;="&amp;D519,C:C,C519)+SUMIFS(P:P,D:D,"&lt;="&amp;D519,C:C,C519))</f>
        <v>0</v>
      </c>
      <c r="U519" s="99">
        <f t="shared" si="152"/>
        <v>0</v>
      </c>
      <c r="V519" s="98">
        <f t="shared" si="160"/>
        <v>0</v>
      </c>
      <c r="W519" s="203" t="str">
        <f t="shared" si="158"/>
        <v/>
      </c>
      <c r="X519" s="98">
        <f t="shared" si="153"/>
        <v>0</v>
      </c>
      <c r="Y519" s="97"/>
      <c r="Z519" s="93"/>
      <c r="AA519" s="98">
        <f t="shared" si="164"/>
        <v>0</v>
      </c>
      <c r="AB519" s="233"/>
      <c r="AC519" s="98">
        <f>IF(SUMIFS('Shipments data'!L:L,'Shipments data'!F:F,'Supply planning data'!C519,'Shipments data'!A:A,'Supply planning data'!A519,'Shipments data'!O:O,"received",'Shipments data'!Q:Q,"&lt;"&amp;'Supply planning data'!D534,'Shipments data'!AC:AC,"&lt;"&amp;'Supply planning data'!D534)-SUMIFS(M:M,D:D,"&lt;="&amp;D519,C:C,C519)-SUMIFS(AA:AA,D:D,"&lt;="&amp;D519,C:C,C519)+SUMIFS(N:N,D:D,"&lt;="&amp;D519,C:C,C519)+SUMIFS(P:P,D:D,"&lt;="&amp;D519,C:C,C519)&lt;0,0,SUMIFS('Shipments data'!L:L,'Shipments data'!F:F,'Supply planning data'!C519,'Shipments data'!A:A,'Supply planning data'!A519,'Shipments data'!O:O,"received",'Shipments data'!Q:Q,"&lt;"&amp;'Supply planning data'!D534,'Shipments data'!AC:AC,"&lt;"&amp;'Supply planning data'!D534)-SUMIFS(M:M,D:D,"&lt;="&amp;D519,C:C,C519)-SUMIFS(AA:AA,D:D,"&lt;="&amp;D519,C:C,C519)+SUMIFS(N:N,D:D,"&lt;="&amp;D519,C:C,C519)+SUMIFS(P:P,D:D,"&lt;="&amp;D519,C:C,C519))</f>
        <v>0</v>
      </c>
      <c r="AD519" s="98">
        <f t="shared" si="154"/>
        <v>0</v>
      </c>
      <c r="AE519" s="98">
        <f t="shared" si="166"/>
        <v>0</v>
      </c>
      <c r="AF519" s="205" t="str">
        <f t="shared" si="157"/>
        <v/>
      </c>
      <c r="AG519" s="98">
        <f t="shared" si="155"/>
        <v>0</v>
      </c>
      <c r="AH519" s="97"/>
      <c r="AI519" s="311"/>
      <c r="AJ519" s="98">
        <f t="shared" si="165"/>
        <v>0</v>
      </c>
      <c r="AK519" s="233"/>
      <c r="AL519" s="98">
        <f>IF(SUMIFS('Shipments data'!L:L,'Shipments data'!F:F,'Supply planning data'!C519,'Shipments data'!A:A,'Supply planning data'!A519,'Shipments data'!O:O,"received",'Shipments data'!Q:Q,"&lt;"&amp;'Supply planning data'!D534,'Shipments data'!AC:AC,"&lt;"&amp;'Supply planning data'!D534)-SUMIFS(M:M,D:D,"&lt;="&amp;D519,C:C,C519)-SUMIFS(AJ:AJ,D:D,"&lt;="&amp;D519,C:C,C519)+SUMIFS(N:N,D:D,"&lt;="&amp;D519,C:C,C519)+SUMIFS(P:P,D:D,"&lt;="&amp;D519,C:C,C519)&lt;0,0,SUMIFS('Shipments data'!L:L,'Shipments data'!F:F,'Supply planning data'!C519,'Shipments data'!A:A,'Supply planning data'!A519,'Shipments data'!O:O,"received",'Shipments data'!Q:Q,"&lt;"&amp;'Supply planning data'!D534,'Shipments data'!AC:AC,"&lt;"&amp;'Supply planning data'!D534)-SUMIFS(M:M,D:D,"&lt;="&amp;D519,C:C,C519)-SUMIFS(AJ:AJ,D:D,"&lt;="&amp;D519,C:C,C519)+SUMIFS(N:N,D:D,"&lt;="&amp;D519,C:C,C519)+SUMIFS(P:P,D:D,"&lt;="&amp;D519,C:C,C519))</f>
        <v>0</v>
      </c>
      <c r="AM519" s="98">
        <f t="shared" si="156"/>
        <v>0</v>
      </c>
      <c r="AN519" s="98">
        <f t="shared" si="167"/>
        <v>0</v>
      </c>
      <c r="AO519" s="203" t="str">
        <f t="shared" si="159"/>
        <v/>
      </c>
    </row>
    <row r="520" spans="1:41" hidden="1" x14ac:dyDescent="0.25">
      <c r="A520" s="95" t="str">
        <f>Start!D$7</f>
        <v>Anyland</v>
      </c>
      <c r="B520" s="96" t="str">
        <f>VLOOKUP(A520,list!B:C,2,FALSE)</f>
        <v>ANY</v>
      </c>
      <c r="C520" s="90" t="str">
        <f>IF(Start!$C$22="","",Start!$C$22)</f>
        <v/>
      </c>
      <c r="D520" s="296">
        <f t="shared" si="150"/>
        <v>45231</v>
      </c>
      <c r="E520" s="92" t="str">
        <f>IFERROR(VLOOKUP(C520,Start!C$15:D$31,2,FALSE),"No")</f>
        <v>No</v>
      </c>
      <c r="F520" s="92">
        <f t="shared" si="151"/>
        <v>0</v>
      </c>
      <c r="G520" s="91"/>
      <c r="H520" s="97"/>
      <c r="I520" s="97"/>
      <c r="J520" s="98">
        <f t="shared" si="161"/>
        <v>0</v>
      </c>
      <c r="K520" s="97"/>
      <c r="L520" s="175" t="str">
        <f t="shared" si="162"/>
        <v/>
      </c>
      <c r="M520" s="98">
        <f t="shared" si="163"/>
        <v>0</v>
      </c>
      <c r="N520" s="97"/>
      <c r="O520" s="122"/>
      <c r="P520" s="97"/>
      <c r="Q520" s="122"/>
      <c r="R520" s="98">
        <f>SUMIFS('Shipments data'!L:L,'Shipments data'!F:F,'Supply planning data'!C520,'Shipments data'!A:A,'Supply planning data'!A520,'Shipments data'!Y:Y,'Supply planning data'!D520,'Shipments data'!O:O,"received", 'Shipments data'!N:N, "Public")</f>
        <v>0</v>
      </c>
      <c r="S520" s="98">
        <f>SUMIFS('Shipments data'!L:L,'Shipments data'!F:F,'Supply planning data'!C520,'Shipments data'!A:A,'Supply planning data'!A520,'Shipments data'!Y:Y,'Supply planning data'!D520,'Shipments data'!O:O,"ordered", 'Shipments data'!N:N, "Public")</f>
        <v>0</v>
      </c>
      <c r="T520" s="98">
        <f>IF(SUMIFS('Shipments data'!L:L,'Shipments data'!F:F,'Supply planning data'!C520,'Shipments data'!A:A,'Supply planning data'!A520,'Shipments data'!O:O,"received",'Shipments data'!Q:Q,"&lt;"&amp;'Supply planning data'!D535,'Shipments data'!AC:AC,"&lt;"&amp;'Supply planning data'!D535)-SUMIFS(M:M,D:D,"&lt;="&amp;D520,C:C,C520)+SUMIFS(N:N,D:D,"&lt;="&amp;D520,C:C,C520)+SUMIFS(P:P,D:D,"&lt;="&amp;D520,C:C,C520)&lt;0,0,SUMIFS('Shipments data'!L:L,'Shipments data'!F:F,'Supply planning data'!C520,'Shipments data'!A:A,'Supply planning data'!A520,'Shipments data'!O:O,"received",'Shipments data'!Q:Q,"&lt;"&amp;'Supply planning data'!D535,'Shipments data'!AC:AC,"&lt;"&amp;'Supply planning data'!D535)-SUMIFS(M:M,D:D,"&lt;="&amp;D520,C:C,C520)+SUMIFS(N:N,D:D,"&lt;="&amp;D520,C:C,C520)+SUMIFS(P:P,D:D,"&lt;="&amp;D520,C:C,C520))</f>
        <v>0</v>
      </c>
      <c r="U520" s="99">
        <f t="shared" si="152"/>
        <v>0</v>
      </c>
      <c r="V520" s="98">
        <f t="shared" si="160"/>
        <v>0</v>
      </c>
      <c r="W520" s="203" t="str">
        <f t="shared" si="158"/>
        <v/>
      </c>
      <c r="X520" s="98">
        <f t="shared" si="153"/>
        <v>0</v>
      </c>
      <c r="Y520" s="97"/>
      <c r="Z520" s="93"/>
      <c r="AA520" s="98">
        <f t="shared" si="164"/>
        <v>0</v>
      </c>
      <c r="AB520" s="233"/>
      <c r="AC520" s="98">
        <f>IF(SUMIFS('Shipments data'!L:L,'Shipments data'!F:F,'Supply planning data'!C520,'Shipments data'!A:A,'Supply planning data'!A520,'Shipments data'!O:O,"received",'Shipments data'!Q:Q,"&lt;"&amp;'Supply planning data'!D535,'Shipments data'!AC:AC,"&lt;"&amp;'Supply planning data'!D535)-SUMIFS(M:M,D:D,"&lt;="&amp;D520,C:C,C520)-SUMIFS(AA:AA,D:D,"&lt;="&amp;D520,C:C,C520)+SUMIFS(N:N,D:D,"&lt;="&amp;D520,C:C,C520)+SUMIFS(P:P,D:D,"&lt;="&amp;D520,C:C,C520)&lt;0,0,SUMIFS('Shipments data'!L:L,'Shipments data'!F:F,'Supply planning data'!C520,'Shipments data'!A:A,'Supply planning data'!A520,'Shipments data'!O:O,"received",'Shipments data'!Q:Q,"&lt;"&amp;'Supply planning data'!D535,'Shipments data'!AC:AC,"&lt;"&amp;'Supply planning data'!D535)-SUMIFS(M:M,D:D,"&lt;="&amp;D520,C:C,C520)-SUMIFS(AA:AA,D:D,"&lt;="&amp;D520,C:C,C520)+SUMIFS(N:N,D:D,"&lt;="&amp;D520,C:C,C520)+SUMIFS(P:P,D:D,"&lt;="&amp;D520,C:C,C520))</f>
        <v>0</v>
      </c>
      <c r="AD520" s="98">
        <f t="shared" si="154"/>
        <v>0</v>
      </c>
      <c r="AE520" s="98">
        <f t="shared" si="166"/>
        <v>0</v>
      </c>
      <c r="AF520" s="205" t="str">
        <f t="shared" si="157"/>
        <v/>
      </c>
      <c r="AG520" s="98">
        <f t="shared" si="155"/>
        <v>0</v>
      </c>
      <c r="AH520" s="97"/>
      <c r="AI520" s="311"/>
      <c r="AJ520" s="98">
        <f t="shared" si="165"/>
        <v>0</v>
      </c>
      <c r="AK520" s="233"/>
      <c r="AL520" s="98">
        <f>IF(SUMIFS('Shipments data'!L:L,'Shipments data'!F:F,'Supply planning data'!C520,'Shipments data'!A:A,'Supply planning data'!A520,'Shipments data'!O:O,"received",'Shipments data'!Q:Q,"&lt;"&amp;'Supply planning data'!D535,'Shipments data'!AC:AC,"&lt;"&amp;'Supply planning data'!D535)-SUMIFS(M:M,D:D,"&lt;="&amp;D520,C:C,C520)-SUMIFS(AJ:AJ,D:D,"&lt;="&amp;D520,C:C,C520)+SUMIFS(N:N,D:D,"&lt;="&amp;D520,C:C,C520)+SUMIFS(P:P,D:D,"&lt;="&amp;D520,C:C,C520)&lt;0,0,SUMIFS('Shipments data'!L:L,'Shipments data'!F:F,'Supply planning data'!C520,'Shipments data'!A:A,'Supply planning data'!A520,'Shipments data'!O:O,"received",'Shipments data'!Q:Q,"&lt;"&amp;'Supply planning data'!D535,'Shipments data'!AC:AC,"&lt;"&amp;'Supply planning data'!D535)-SUMIFS(M:M,D:D,"&lt;="&amp;D520,C:C,C520)-SUMIFS(AJ:AJ,D:D,"&lt;="&amp;D520,C:C,C520)+SUMIFS(N:N,D:D,"&lt;="&amp;D520,C:C,C520)+SUMIFS(P:P,D:D,"&lt;="&amp;D520,C:C,C520))</f>
        <v>0</v>
      </c>
      <c r="AM520" s="98">
        <f t="shared" si="156"/>
        <v>0</v>
      </c>
      <c r="AN520" s="98">
        <f t="shared" si="167"/>
        <v>0</v>
      </c>
      <c r="AO520" s="203" t="str">
        <f t="shared" si="159"/>
        <v/>
      </c>
    </row>
    <row r="521" spans="1:41" hidden="1" x14ac:dyDescent="0.25">
      <c r="A521" s="95" t="str">
        <f>Start!D$7</f>
        <v>Anyland</v>
      </c>
      <c r="B521" s="96" t="str">
        <f>VLOOKUP(A521,list!B:C,2,FALSE)</f>
        <v>ANY</v>
      </c>
      <c r="C521" s="90" t="str">
        <f>IF(Start!$C$23="","",Start!$C$23)</f>
        <v/>
      </c>
      <c r="D521" s="296">
        <f t="shared" si="150"/>
        <v>45231</v>
      </c>
      <c r="E521" s="92" t="str">
        <f>IFERROR(VLOOKUP(C521,Start!C$15:D$31,2,FALSE),"No")</f>
        <v>No</v>
      </c>
      <c r="F521" s="92">
        <f t="shared" si="151"/>
        <v>0</v>
      </c>
      <c r="G521" s="91"/>
      <c r="H521" s="97"/>
      <c r="I521" s="97"/>
      <c r="J521" s="98">
        <f t="shared" si="161"/>
        <v>0</v>
      </c>
      <c r="K521" s="97"/>
      <c r="L521" s="175" t="str">
        <f t="shared" si="162"/>
        <v/>
      </c>
      <c r="M521" s="98">
        <f t="shared" si="163"/>
        <v>0</v>
      </c>
      <c r="N521" s="97"/>
      <c r="O521" s="122"/>
      <c r="P521" s="97"/>
      <c r="Q521" s="122"/>
      <c r="R521" s="98">
        <f>SUMIFS('Shipments data'!L:L,'Shipments data'!F:F,'Supply planning data'!C521,'Shipments data'!A:A,'Supply planning data'!A521,'Shipments data'!Y:Y,'Supply planning data'!D521,'Shipments data'!O:O,"received", 'Shipments data'!N:N, "Public")</f>
        <v>0</v>
      </c>
      <c r="S521" s="98">
        <f>SUMIFS('Shipments data'!L:L,'Shipments data'!F:F,'Supply planning data'!C521,'Shipments data'!A:A,'Supply planning data'!A521,'Shipments data'!Y:Y,'Supply planning data'!D521,'Shipments data'!O:O,"ordered", 'Shipments data'!N:N, "Public")</f>
        <v>0</v>
      </c>
      <c r="T521" s="98">
        <f>IF(SUMIFS('Shipments data'!L:L,'Shipments data'!F:F,'Supply planning data'!C521,'Shipments data'!A:A,'Supply planning data'!A521,'Shipments data'!O:O,"received",'Shipments data'!Q:Q,"&lt;"&amp;'Supply planning data'!D536,'Shipments data'!AC:AC,"&lt;"&amp;'Supply planning data'!D536)-SUMIFS(M:M,D:D,"&lt;="&amp;D521,C:C,C521)+SUMIFS(N:N,D:D,"&lt;="&amp;D521,C:C,C521)+SUMIFS(P:P,D:D,"&lt;="&amp;D521,C:C,C521)&lt;0,0,SUMIFS('Shipments data'!L:L,'Shipments data'!F:F,'Supply planning data'!C521,'Shipments data'!A:A,'Supply planning data'!A521,'Shipments data'!O:O,"received",'Shipments data'!Q:Q,"&lt;"&amp;'Supply planning data'!D536,'Shipments data'!AC:AC,"&lt;"&amp;'Supply planning data'!D536)-SUMIFS(M:M,D:D,"&lt;="&amp;D521,C:C,C521)+SUMIFS(N:N,D:D,"&lt;="&amp;D521,C:C,C521)+SUMIFS(P:P,D:D,"&lt;="&amp;D521,C:C,C521))</f>
        <v>0</v>
      </c>
      <c r="U521" s="99">
        <f t="shared" si="152"/>
        <v>0</v>
      </c>
      <c r="V521" s="98">
        <f t="shared" si="160"/>
        <v>0</v>
      </c>
      <c r="W521" s="203" t="str">
        <f t="shared" si="158"/>
        <v/>
      </c>
      <c r="X521" s="98">
        <f t="shared" si="153"/>
        <v>0</v>
      </c>
      <c r="Y521" s="97"/>
      <c r="Z521" s="93"/>
      <c r="AA521" s="98">
        <f t="shared" si="164"/>
        <v>0</v>
      </c>
      <c r="AB521" s="233"/>
      <c r="AC521" s="98">
        <f>IF(SUMIFS('Shipments data'!L:L,'Shipments data'!F:F,'Supply planning data'!C521,'Shipments data'!A:A,'Supply planning data'!A521,'Shipments data'!O:O,"received",'Shipments data'!Q:Q,"&lt;"&amp;'Supply planning data'!D536,'Shipments data'!AC:AC,"&lt;"&amp;'Supply planning data'!D536)-SUMIFS(M:M,D:D,"&lt;="&amp;D521,C:C,C521)-SUMIFS(AA:AA,D:D,"&lt;="&amp;D521,C:C,C521)+SUMIFS(N:N,D:D,"&lt;="&amp;D521,C:C,C521)+SUMIFS(P:P,D:D,"&lt;="&amp;D521,C:C,C521)&lt;0,0,SUMIFS('Shipments data'!L:L,'Shipments data'!F:F,'Supply planning data'!C521,'Shipments data'!A:A,'Supply planning data'!A521,'Shipments data'!O:O,"received",'Shipments data'!Q:Q,"&lt;"&amp;'Supply planning data'!D536,'Shipments data'!AC:AC,"&lt;"&amp;'Supply planning data'!D536)-SUMIFS(M:M,D:D,"&lt;="&amp;D521,C:C,C521)-SUMIFS(AA:AA,D:D,"&lt;="&amp;D521,C:C,C521)+SUMIFS(N:N,D:D,"&lt;="&amp;D521,C:C,C521)+SUMIFS(P:P,D:D,"&lt;="&amp;D521,C:C,C521))</f>
        <v>0</v>
      </c>
      <c r="AD521" s="98">
        <f t="shared" si="154"/>
        <v>0</v>
      </c>
      <c r="AE521" s="98">
        <f t="shared" si="166"/>
        <v>0</v>
      </c>
      <c r="AF521" s="205" t="str">
        <f t="shared" si="157"/>
        <v/>
      </c>
      <c r="AG521" s="98">
        <f t="shared" si="155"/>
        <v>0</v>
      </c>
      <c r="AH521" s="97"/>
      <c r="AI521" s="311"/>
      <c r="AJ521" s="98">
        <f t="shared" si="165"/>
        <v>0</v>
      </c>
      <c r="AK521" s="233"/>
      <c r="AL521" s="98">
        <f>IF(SUMIFS('Shipments data'!L:L,'Shipments data'!F:F,'Supply planning data'!C521,'Shipments data'!A:A,'Supply planning data'!A521,'Shipments data'!O:O,"received",'Shipments data'!Q:Q,"&lt;"&amp;'Supply planning data'!D536,'Shipments data'!AC:AC,"&lt;"&amp;'Supply planning data'!D536)-SUMIFS(M:M,D:D,"&lt;="&amp;D521,C:C,C521)-SUMIFS(AJ:AJ,D:D,"&lt;="&amp;D521,C:C,C521)+SUMIFS(N:N,D:D,"&lt;="&amp;D521,C:C,C521)+SUMIFS(P:P,D:D,"&lt;="&amp;D521,C:C,C521)&lt;0,0,SUMIFS('Shipments data'!L:L,'Shipments data'!F:F,'Supply planning data'!C521,'Shipments data'!A:A,'Supply planning data'!A521,'Shipments data'!O:O,"received",'Shipments data'!Q:Q,"&lt;"&amp;'Supply planning data'!D536,'Shipments data'!AC:AC,"&lt;"&amp;'Supply planning data'!D536)-SUMIFS(M:M,D:D,"&lt;="&amp;D521,C:C,C521)-SUMIFS(AJ:AJ,D:D,"&lt;="&amp;D521,C:C,C521)+SUMIFS(N:N,D:D,"&lt;="&amp;D521,C:C,C521)+SUMIFS(P:P,D:D,"&lt;="&amp;D521,C:C,C521))</f>
        <v>0</v>
      </c>
      <c r="AM521" s="98">
        <f t="shared" si="156"/>
        <v>0</v>
      </c>
      <c r="AN521" s="98">
        <f t="shared" si="167"/>
        <v>0</v>
      </c>
      <c r="AO521" s="203" t="str">
        <f t="shared" si="159"/>
        <v/>
      </c>
    </row>
    <row r="522" spans="1:41" hidden="1" x14ac:dyDescent="0.25">
      <c r="A522" s="95" t="str">
        <f>Start!D$7</f>
        <v>Anyland</v>
      </c>
      <c r="B522" s="96" t="str">
        <f>VLOOKUP(A522,list!B:C,2,FALSE)</f>
        <v>ANY</v>
      </c>
      <c r="C522" s="90" t="str">
        <f>IF(Start!$C$24="","",Start!$C$24)</f>
        <v/>
      </c>
      <c r="D522" s="296">
        <f t="shared" si="150"/>
        <v>45231</v>
      </c>
      <c r="E522" s="92" t="str">
        <f>IFERROR(VLOOKUP(C522,Start!C$15:D$31,2,FALSE),"No")</f>
        <v>No</v>
      </c>
      <c r="F522" s="92">
        <f t="shared" si="151"/>
        <v>0</v>
      </c>
      <c r="G522" s="91"/>
      <c r="H522" s="97"/>
      <c r="I522" s="97"/>
      <c r="J522" s="98">
        <f t="shared" si="161"/>
        <v>0</v>
      </c>
      <c r="K522" s="97"/>
      <c r="L522" s="175" t="str">
        <f t="shared" si="162"/>
        <v/>
      </c>
      <c r="M522" s="98">
        <f t="shared" si="163"/>
        <v>0</v>
      </c>
      <c r="N522" s="97"/>
      <c r="O522" s="122"/>
      <c r="P522" s="97"/>
      <c r="Q522" s="122"/>
      <c r="R522" s="98">
        <f>SUMIFS('Shipments data'!L:L,'Shipments data'!F:F,'Supply planning data'!C522,'Shipments data'!A:A,'Supply planning data'!A522,'Shipments data'!Y:Y,'Supply planning data'!D522,'Shipments data'!O:O,"received", 'Shipments data'!N:N, "Public")</f>
        <v>0</v>
      </c>
      <c r="S522" s="98">
        <f>SUMIFS('Shipments data'!L:L,'Shipments data'!F:F,'Supply planning data'!C522,'Shipments data'!A:A,'Supply planning data'!A522,'Shipments data'!Y:Y,'Supply planning data'!D522,'Shipments data'!O:O,"ordered", 'Shipments data'!N:N, "Public")</f>
        <v>0</v>
      </c>
      <c r="T522" s="98">
        <f>IF(SUMIFS('Shipments data'!L:L,'Shipments data'!F:F,'Supply planning data'!C522,'Shipments data'!A:A,'Supply planning data'!A522,'Shipments data'!O:O,"received",'Shipments data'!Q:Q,"&lt;"&amp;'Supply planning data'!D537,'Shipments data'!AC:AC,"&lt;"&amp;'Supply planning data'!D537)-SUMIFS(M:M,D:D,"&lt;="&amp;D522,C:C,C522)+SUMIFS(N:N,D:D,"&lt;="&amp;D522,C:C,C522)+SUMIFS(P:P,D:D,"&lt;="&amp;D522,C:C,C522)&lt;0,0,SUMIFS('Shipments data'!L:L,'Shipments data'!F:F,'Supply planning data'!C522,'Shipments data'!A:A,'Supply planning data'!A522,'Shipments data'!O:O,"received",'Shipments data'!Q:Q,"&lt;"&amp;'Supply planning data'!D537,'Shipments data'!AC:AC,"&lt;"&amp;'Supply planning data'!D537)-SUMIFS(M:M,D:D,"&lt;="&amp;D522,C:C,C522)+SUMIFS(N:N,D:D,"&lt;="&amp;D522,C:C,C522)+SUMIFS(P:P,D:D,"&lt;="&amp;D522,C:C,C522))</f>
        <v>0</v>
      </c>
      <c r="U522" s="99">
        <f t="shared" si="152"/>
        <v>0</v>
      </c>
      <c r="V522" s="98">
        <f t="shared" si="160"/>
        <v>0</v>
      </c>
      <c r="W522" s="203" t="str">
        <f t="shared" si="158"/>
        <v/>
      </c>
      <c r="X522" s="98">
        <f t="shared" si="153"/>
        <v>0</v>
      </c>
      <c r="Y522" s="97"/>
      <c r="Z522" s="93"/>
      <c r="AA522" s="98">
        <f t="shared" si="164"/>
        <v>0</v>
      </c>
      <c r="AB522" s="233"/>
      <c r="AC522" s="98">
        <f>IF(SUMIFS('Shipments data'!L:L,'Shipments data'!F:F,'Supply planning data'!C522,'Shipments data'!A:A,'Supply planning data'!A522,'Shipments data'!O:O,"received",'Shipments data'!Q:Q,"&lt;"&amp;'Supply planning data'!D537,'Shipments data'!AC:AC,"&lt;"&amp;'Supply planning data'!D537)-SUMIFS(M:M,D:D,"&lt;="&amp;D522,C:C,C522)-SUMIFS(AA:AA,D:D,"&lt;="&amp;D522,C:C,C522)+SUMIFS(N:N,D:D,"&lt;="&amp;D522,C:C,C522)+SUMIFS(P:P,D:D,"&lt;="&amp;D522,C:C,C522)&lt;0,0,SUMIFS('Shipments data'!L:L,'Shipments data'!F:F,'Supply planning data'!C522,'Shipments data'!A:A,'Supply planning data'!A522,'Shipments data'!O:O,"received",'Shipments data'!Q:Q,"&lt;"&amp;'Supply planning data'!D537,'Shipments data'!AC:AC,"&lt;"&amp;'Supply planning data'!D537)-SUMIFS(M:M,D:D,"&lt;="&amp;D522,C:C,C522)-SUMIFS(AA:AA,D:D,"&lt;="&amp;D522,C:C,C522)+SUMIFS(N:N,D:D,"&lt;="&amp;D522,C:C,C522)+SUMIFS(P:P,D:D,"&lt;="&amp;D522,C:C,C522))</f>
        <v>0</v>
      </c>
      <c r="AD522" s="98">
        <f t="shared" si="154"/>
        <v>0</v>
      </c>
      <c r="AE522" s="98">
        <f t="shared" si="166"/>
        <v>0</v>
      </c>
      <c r="AF522" s="205" t="str">
        <f t="shared" si="157"/>
        <v/>
      </c>
      <c r="AG522" s="98">
        <f t="shared" si="155"/>
        <v>0</v>
      </c>
      <c r="AH522" s="97"/>
      <c r="AI522" s="311"/>
      <c r="AJ522" s="98">
        <f t="shared" si="165"/>
        <v>0</v>
      </c>
      <c r="AK522" s="233"/>
      <c r="AL522" s="98">
        <f>IF(SUMIFS('Shipments data'!L:L,'Shipments data'!F:F,'Supply planning data'!C522,'Shipments data'!A:A,'Supply planning data'!A522,'Shipments data'!O:O,"received",'Shipments data'!Q:Q,"&lt;"&amp;'Supply planning data'!D537,'Shipments data'!AC:AC,"&lt;"&amp;'Supply planning data'!D537)-SUMIFS(M:M,D:D,"&lt;="&amp;D522,C:C,C522)-SUMIFS(AJ:AJ,D:D,"&lt;="&amp;D522,C:C,C522)+SUMIFS(N:N,D:D,"&lt;="&amp;D522,C:C,C522)+SUMIFS(P:P,D:D,"&lt;="&amp;D522,C:C,C522)&lt;0,0,SUMIFS('Shipments data'!L:L,'Shipments data'!F:F,'Supply planning data'!C522,'Shipments data'!A:A,'Supply planning data'!A522,'Shipments data'!O:O,"received",'Shipments data'!Q:Q,"&lt;"&amp;'Supply planning data'!D537,'Shipments data'!AC:AC,"&lt;"&amp;'Supply planning data'!D537)-SUMIFS(M:M,D:D,"&lt;="&amp;D522,C:C,C522)-SUMIFS(AJ:AJ,D:D,"&lt;="&amp;D522,C:C,C522)+SUMIFS(N:N,D:D,"&lt;="&amp;D522,C:C,C522)+SUMIFS(P:P,D:D,"&lt;="&amp;D522,C:C,C522))</f>
        <v>0</v>
      </c>
      <c r="AM522" s="98">
        <f t="shared" si="156"/>
        <v>0</v>
      </c>
      <c r="AN522" s="98">
        <f t="shared" si="167"/>
        <v>0</v>
      </c>
      <c r="AO522" s="203" t="str">
        <f t="shared" si="159"/>
        <v/>
      </c>
    </row>
    <row r="523" spans="1:41" hidden="1" x14ac:dyDescent="0.25">
      <c r="A523" s="95" t="str">
        <f>Start!D$7</f>
        <v>Anyland</v>
      </c>
      <c r="B523" s="96" t="str">
        <f>VLOOKUP(A523,list!B:C,2,FALSE)</f>
        <v>ANY</v>
      </c>
      <c r="C523" s="90" t="str">
        <f>IF(Start!$C$25="","",Start!$C$25)</f>
        <v/>
      </c>
      <c r="D523" s="296">
        <f t="shared" si="150"/>
        <v>45231</v>
      </c>
      <c r="E523" s="92" t="str">
        <f>IFERROR(VLOOKUP(C523,Start!C$15:D$31,2,FALSE),"No")</f>
        <v>No</v>
      </c>
      <c r="F523" s="92">
        <f t="shared" si="151"/>
        <v>0</v>
      </c>
      <c r="G523" s="91"/>
      <c r="H523" s="97"/>
      <c r="I523" s="97"/>
      <c r="J523" s="98">
        <f t="shared" si="161"/>
        <v>0</v>
      </c>
      <c r="K523" s="97"/>
      <c r="L523" s="175" t="str">
        <f t="shared" si="162"/>
        <v/>
      </c>
      <c r="M523" s="98">
        <f t="shared" si="163"/>
        <v>0</v>
      </c>
      <c r="N523" s="97"/>
      <c r="O523" s="122"/>
      <c r="P523" s="97"/>
      <c r="Q523" s="122"/>
      <c r="R523" s="98">
        <f>SUMIFS('Shipments data'!L:L,'Shipments data'!F:F,'Supply planning data'!C523,'Shipments data'!A:A,'Supply planning data'!A523,'Shipments data'!Y:Y,'Supply planning data'!D523,'Shipments data'!O:O,"received", 'Shipments data'!N:N, "Public")</f>
        <v>0</v>
      </c>
      <c r="S523" s="98">
        <f>SUMIFS('Shipments data'!L:L,'Shipments data'!F:F,'Supply planning data'!C523,'Shipments data'!A:A,'Supply planning data'!A523,'Shipments data'!Y:Y,'Supply planning data'!D523,'Shipments data'!O:O,"ordered", 'Shipments data'!N:N, "Public")</f>
        <v>0</v>
      </c>
      <c r="T523" s="98">
        <f>IF(SUMIFS('Shipments data'!L:L,'Shipments data'!F:F,'Supply planning data'!C523,'Shipments data'!A:A,'Supply planning data'!A523,'Shipments data'!O:O,"received",'Shipments data'!Q:Q,"&lt;"&amp;'Supply planning data'!D538,'Shipments data'!AC:AC,"&lt;"&amp;'Supply planning data'!D538)-SUMIFS(M:M,D:D,"&lt;="&amp;D523,C:C,C523)+SUMIFS(N:N,D:D,"&lt;="&amp;D523,C:C,C523)+SUMIFS(P:P,D:D,"&lt;="&amp;D523,C:C,C523)&lt;0,0,SUMIFS('Shipments data'!L:L,'Shipments data'!F:F,'Supply planning data'!C523,'Shipments data'!A:A,'Supply planning data'!A523,'Shipments data'!O:O,"received",'Shipments data'!Q:Q,"&lt;"&amp;'Supply planning data'!D538,'Shipments data'!AC:AC,"&lt;"&amp;'Supply planning data'!D538)-SUMIFS(M:M,D:D,"&lt;="&amp;D523,C:C,C523)+SUMIFS(N:N,D:D,"&lt;="&amp;D523,C:C,C523)+SUMIFS(P:P,D:D,"&lt;="&amp;D523,C:C,C523))</f>
        <v>0</v>
      </c>
      <c r="U523" s="99">
        <f t="shared" si="152"/>
        <v>0</v>
      </c>
      <c r="V523" s="98">
        <f t="shared" si="160"/>
        <v>0</v>
      </c>
      <c r="W523" s="203" t="str">
        <f t="shared" si="158"/>
        <v/>
      </c>
      <c r="X523" s="98">
        <f t="shared" si="153"/>
        <v>0</v>
      </c>
      <c r="Y523" s="97"/>
      <c r="Z523" s="93"/>
      <c r="AA523" s="98">
        <f t="shared" si="164"/>
        <v>0</v>
      </c>
      <c r="AB523" s="233"/>
      <c r="AC523" s="98">
        <f>IF(SUMIFS('Shipments data'!L:L,'Shipments data'!F:F,'Supply planning data'!C523,'Shipments data'!A:A,'Supply planning data'!A523,'Shipments data'!O:O,"received",'Shipments data'!Q:Q,"&lt;"&amp;'Supply planning data'!D538,'Shipments data'!AC:AC,"&lt;"&amp;'Supply planning data'!D538)-SUMIFS(M:M,D:D,"&lt;="&amp;D523,C:C,C523)-SUMIFS(AA:AA,D:D,"&lt;="&amp;D523,C:C,C523)+SUMIFS(N:N,D:D,"&lt;="&amp;D523,C:C,C523)+SUMIFS(P:P,D:D,"&lt;="&amp;D523,C:C,C523)&lt;0,0,SUMIFS('Shipments data'!L:L,'Shipments data'!F:F,'Supply planning data'!C523,'Shipments data'!A:A,'Supply planning data'!A523,'Shipments data'!O:O,"received",'Shipments data'!Q:Q,"&lt;"&amp;'Supply planning data'!D538,'Shipments data'!AC:AC,"&lt;"&amp;'Supply planning data'!D538)-SUMIFS(M:M,D:D,"&lt;="&amp;D523,C:C,C523)-SUMIFS(AA:AA,D:D,"&lt;="&amp;D523,C:C,C523)+SUMIFS(N:N,D:D,"&lt;="&amp;D523,C:C,C523)+SUMIFS(P:P,D:D,"&lt;="&amp;D523,C:C,C523))</f>
        <v>0</v>
      </c>
      <c r="AD523" s="98">
        <f t="shared" si="154"/>
        <v>0</v>
      </c>
      <c r="AE523" s="98">
        <f t="shared" si="166"/>
        <v>0</v>
      </c>
      <c r="AF523" s="205" t="str">
        <f t="shared" si="157"/>
        <v/>
      </c>
      <c r="AG523" s="98">
        <f t="shared" si="155"/>
        <v>0</v>
      </c>
      <c r="AH523" s="97"/>
      <c r="AI523" s="311"/>
      <c r="AJ523" s="98">
        <f t="shared" si="165"/>
        <v>0</v>
      </c>
      <c r="AK523" s="233"/>
      <c r="AL523" s="98">
        <f>IF(SUMIFS('Shipments data'!L:L,'Shipments data'!F:F,'Supply planning data'!C523,'Shipments data'!A:A,'Supply planning data'!A523,'Shipments data'!O:O,"received",'Shipments data'!Q:Q,"&lt;"&amp;'Supply planning data'!D538,'Shipments data'!AC:AC,"&lt;"&amp;'Supply planning data'!D538)-SUMIFS(M:M,D:D,"&lt;="&amp;D523,C:C,C523)-SUMIFS(AJ:AJ,D:D,"&lt;="&amp;D523,C:C,C523)+SUMIFS(N:N,D:D,"&lt;="&amp;D523,C:C,C523)+SUMIFS(P:P,D:D,"&lt;="&amp;D523,C:C,C523)&lt;0,0,SUMIFS('Shipments data'!L:L,'Shipments data'!F:F,'Supply planning data'!C523,'Shipments data'!A:A,'Supply planning data'!A523,'Shipments data'!O:O,"received",'Shipments data'!Q:Q,"&lt;"&amp;'Supply planning data'!D538,'Shipments data'!AC:AC,"&lt;"&amp;'Supply planning data'!D538)-SUMIFS(M:M,D:D,"&lt;="&amp;D523,C:C,C523)-SUMIFS(AJ:AJ,D:D,"&lt;="&amp;D523,C:C,C523)+SUMIFS(N:N,D:D,"&lt;="&amp;D523,C:C,C523)+SUMIFS(P:P,D:D,"&lt;="&amp;D523,C:C,C523))</f>
        <v>0</v>
      </c>
      <c r="AM523" s="98">
        <f t="shared" si="156"/>
        <v>0</v>
      </c>
      <c r="AN523" s="98">
        <f t="shared" si="167"/>
        <v>0</v>
      </c>
      <c r="AO523" s="203" t="str">
        <f t="shared" si="159"/>
        <v/>
      </c>
    </row>
    <row r="524" spans="1:41" hidden="1" x14ac:dyDescent="0.25">
      <c r="A524" s="95" t="str">
        <f>Start!D$7</f>
        <v>Anyland</v>
      </c>
      <c r="B524" s="96" t="str">
        <f>VLOOKUP(A524,list!B:C,2,FALSE)</f>
        <v>ANY</v>
      </c>
      <c r="C524" s="90" t="str">
        <f>IF(Start!$C$26="","",Start!$C$26)</f>
        <v/>
      </c>
      <c r="D524" s="296">
        <f t="shared" si="150"/>
        <v>45231</v>
      </c>
      <c r="E524" s="92" t="str">
        <f>IFERROR(VLOOKUP(C524,Start!C$15:D$31,2,FALSE),"No")</f>
        <v>No</v>
      </c>
      <c r="F524" s="92">
        <f t="shared" si="151"/>
        <v>0</v>
      </c>
      <c r="G524" s="91"/>
      <c r="H524" s="97"/>
      <c r="I524" s="97"/>
      <c r="J524" s="98">
        <f t="shared" si="161"/>
        <v>0</v>
      </c>
      <c r="K524" s="97"/>
      <c r="L524" s="175" t="str">
        <f t="shared" si="162"/>
        <v/>
      </c>
      <c r="M524" s="98">
        <f t="shared" si="163"/>
        <v>0</v>
      </c>
      <c r="N524" s="97"/>
      <c r="O524" s="122"/>
      <c r="P524" s="97"/>
      <c r="Q524" s="122"/>
      <c r="R524" s="98">
        <f>SUMIFS('Shipments data'!L:L,'Shipments data'!F:F,'Supply planning data'!C524,'Shipments data'!A:A,'Supply planning data'!A524,'Shipments data'!Y:Y,'Supply planning data'!D524,'Shipments data'!O:O,"received", 'Shipments data'!N:N, "Public")</f>
        <v>0</v>
      </c>
      <c r="S524" s="98">
        <f>SUMIFS('Shipments data'!L:L,'Shipments data'!F:F,'Supply planning data'!C524,'Shipments data'!A:A,'Supply planning data'!A524,'Shipments data'!Y:Y,'Supply planning data'!D524,'Shipments data'!O:O,"ordered", 'Shipments data'!N:N, "Public")</f>
        <v>0</v>
      </c>
      <c r="T524" s="98">
        <f>IF(SUMIFS('Shipments data'!L:L,'Shipments data'!F:F,'Supply planning data'!C524,'Shipments data'!A:A,'Supply planning data'!A524,'Shipments data'!O:O,"received",'Shipments data'!Q:Q,"&lt;"&amp;'Supply planning data'!D539,'Shipments data'!AC:AC,"&lt;"&amp;'Supply planning data'!D539)-SUMIFS(M:M,D:D,"&lt;="&amp;D524,C:C,C524)+SUMIFS(N:N,D:D,"&lt;="&amp;D524,C:C,C524)+SUMIFS(P:P,D:D,"&lt;="&amp;D524,C:C,C524)&lt;0,0,SUMIFS('Shipments data'!L:L,'Shipments data'!F:F,'Supply planning data'!C524,'Shipments data'!A:A,'Supply planning data'!A524,'Shipments data'!O:O,"received",'Shipments data'!Q:Q,"&lt;"&amp;'Supply planning data'!D539,'Shipments data'!AC:AC,"&lt;"&amp;'Supply planning data'!D539)-SUMIFS(M:M,D:D,"&lt;="&amp;D524,C:C,C524)+SUMIFS(N:N,D:D,"&lt;="&amp;D524,C:C,C524)+SUMIFS(P:P,D:D,"&lt;="&amp;D524,C:C,C524))</f>
        <v>0</v>
      </c>
      <c r="U524" s="99">
        <f t="shared" si="152"/>
        <v>0</v>
      </c>
      <c r="V524" s="98">
        <f t="shared" si="160"/>
        <v>0</v>
      </c>
      <c r="W524" s="203" t="str">
        <f t="shared" si="158"/>
        <v/>
      </c>
      <c r="X524" s="98">
        <f t="shared" si="153"/>
        <v>0</v>
      </c>
      <c r="Y524" s="97"/>
      <c r="Z524" s="93"/>
      <c r="AA524" s="98">
        <f t="shared" si="164"/>
        <v>0</v>
      </c>
      <c r="AB524" s="233"/>
      <c r="AC524" s="98">
        <f>IF(SUMIFS('Shipments data'!L:L,'Shipments data'!F:F,'Supply planning data'!C524,'Shipments data'!A:A,'Supply planning data'!A524,'Shipments data'!O:O,"received",'Shipments data'!Q:Q,"&lt;"&amp;'Supply planning data'!D539,'Shipments data'!AC:AC,"&lt;"&amp;'Supply planning data'!D539)-SUMIFS(M:M,D:D,"&lt;="&amp;D524,C:C,C524)-SUMIFS(AA:AA,D:D,"&lt;="&amp;D524,C:C,C524)+SUMIFS(N:N,D:D,"&lt;="&amp;D524,C:C,C524)+SUMIFS(P:P,D:D,"&lt;="&amp;D524,C:C,C524)&lt;0,0,SUMIFS('Shipments data'!L:L,'Shipments data'!F:F,'Supply planning data'!C524,'Shipments data'!A:A,'Supply planning data'!A524,'Shipments data'!O:O,"received",'Shipments data'!Q:Q,"&lt;"&amp;'Supply planning data'!D539,'Shipments data'!AC:AC,"&lt;"&amp;'Supply planning data'!D539)-SUMIFS(M:M,D:D,"&lt;="&amp;D524,C:C,C524)-SUMIFS(AA:AA,D:D,"&lt;="&amp;D524,C:C,C524)+SUMIFS(N:N,D:D,"&lt;="&amp;D524,C:C,C524)+SUMIFS(P:P,D:D,"&lt;="&amp;D524,C:C,C524))</f>
        <v>0</v>
      </c>
      <c r="AD524" s="98">
        <f t="shared" si="154"/>
        <v>0</v>
      </c>
      <c r="AE524" s="98">
        <f t="shared" si="166"/>
        <v>0</v>
      </c>
      <c r="AF524" s="205" t="str">
        <f t="shared" si="157"/>
        <v/>
      </c>
      <c r="AG524" s="98">
        <f t="shared" si="155"/>
        <v>0</v>
      </c>
      <c r="AH524" s="97"/>
      <c r="AI524" s="311"/>
      <c r="AJ524" s="98">
        <f t="shared" si="165"/>
        <v>0</v>
      </c>
      <c r="AK524" s="233"/>
      <c r="AL524" s="98">
        <f>IF(SUMIFS('Shipments data'!L:L,'Shipments data'!F:F,'Supply planning data'!C524,'Shipments data'!A:A,'Supply planning data'!A524,'Shipments data'!O:O,"received",'Shipments data'!Q:Q,"&lt;"&amp;'Supply planning data'!D539,'Shipments data'!AC:AC,"&lt;"&amp;'Supply planning data'!D539)-SUMIFS(M:M,D:D,"&lt;="&amp;D524,C:C,C524)-SUMIFS(AJ:AJ,D:D,"&lt;="&amp;D524,C:C,C524)+SUMIFS(N:N,D:D,"&lt;="&amp;D524,C:C,C524)+SUMIFS(P:P,D:D,"&lt;="&amp;D524,C:C,C524)&lt;0,0,SUMIFS('Shipments data'!L:L,'Shipments data'!F:F,'Supply planning data'!C524,'Shipments data'!A:A,'Supply planning data'!A524,'Shipments data'!O:O,"received",'Shipments data'!Q:Q,"&lt;"&amp;'Supply planning data'!D539,'Shipments data'!AC:AC,"&lt;"&amp;'Supply planning data'!D539)-SUMIFS(M:M,D:D,"&lt;="&amp;D524,C:C,C524)-SUMIFS(AJ:AJ,D:D,"&lt;="&amp;D524,C:C,C524)+SUMIFS(N:N,D:D,"&lt;="&amp;D524,C:C,C524)+SUMIFS(P:P,D:D,"&lt;="&amp;D524,C:C,C524))</f>
        <v>0</v>
      </c>
      <c r="AM524" s="98">
        <f t="shared" si="156"/>
        <v>0</v>
      </c>
      <c r="AN524" s="98">
        <f t="shared" si="167"/>
        <v>0</v>
      </c>
      <c r="AO524" s="203" t="str">
        <f t="shared" si="159"/>
        <v/>
      </c>
    </row>
    <row r="525" spans="1:41" hidden="1" x14ac:dyDescent="0.25">
      <c r="A525" s="95" t="str">
        <f>Start!D$7</f>
        <v>Anyland</v>
      </c>
      <c r="B525" s="96" t="str">
        <f>VLOOKUP(A525,list!B:C,2,FALSE)</f>
        <v>ANY</v>
      </c>
      <c r="C525" s="90" t="str">
        <f>IF(Start!$C$27="","",Start!$C$27)</f>
        <v/>
      </c>
      <c r="D525" s="296">
        <f t="shared" si="150"/>
        <v>45231</v>
      </c>
      <c r="E525" s="92" t="str">
        <f>IFERROR(VLOOKUP(C525,Start!C$15:D$31,2,FALSE),"No")</f>
        <v>No</v>
      </c>
      <c r="F525" s="92">
        <f t="shared" si="151"/>
        <v>0</v>
      </c>
      <c r="G525" s="91"/>
      <c r="H525" s="97"/>
      <c r="I525" s="97"/>
      <c r="J525" s="98">
        <f t="shared" si="161"/>
        <v>0</v>
      </c>
      <c r="K525" s="97"/>
      <c r="L525" s="175" t="str">
        <f t="shared" si="162"/>
        <v/>
      </c>
      <c r="M525" s="98">
        <f t="shared" si="163"/>
        <v>0</v>
      </c>
      <c r="N525" s="97"/>
      <c r="O525" s="122"/>
      <c r="P525" s="97"/>
      <c r="Q525" s="122"/>
      <c r="R525" s="98">
        <f>SUMIFS('Shipments data'!L:L,'Shipments data'!F:F,'Supply planning data'!C525,'Shipments data'!A:A,'Supply planning data'!A525,'Shipments data'!Y:Y,'Supply planning data'!D525,'Shipments data'!O:O,"received", 'Shipments data'!N:N, "Public")</f>
        <v>0</v>
      </c>
      <c r="S525" s="98">
        <f>SUMIFS('Shipments data'!L:L,'Shipments data'!F:F,'Supply planning data'!C525,'Shipments data'!A:A,'Supply planning data'!A525,'Shipments data'!Y:Y,'Supply planning data'!D525,'Shipments data'!O:O,"ordered", 'Shipments data'!N:N, "Public")</f>
        <v>0</v>
      </c>
      <c r="T525" s="98">
        <f>IF(SUMIFS('Shipments data'!L:L,'Shipments data'!F:F,'Supply planning data'!C525,'Shipments data'!A:A,'Supply planning data'!A525,'Shipments data'!O:O,"received",'Shipments data'!Q:Q,"&lt;"&amp;'Supply planning data'!D540,'Shipments data'!AC:AC,"&lt;"&amp;'Supply planning data'!D540)-SUMIFS(M:M,D:D,"&lt;="&amp;D525,C:C,C525)+SUMIFS(N:N,D:D,"&lt;="&amp;D525,C:C,C525)+SUMIFS(P:P,D:D,"&lt;="&amp;D525,C:C,C525)&lt;0,0,SUMIFS('Shipments data'!L:L,'Shipments data'!F:F,'Supply planning data'!C525,'Shipments data'!A:A,'Supply planning data'!A525,'Shipments data'!O:O,"received",'Shipments data'!Q:Q,"&lt;"&amp;'Supply planning data'!D540,'Shipments data'!AC:AC,"&lt;"&amp;'Supply planning data'!D540)-SUMIFS(M:M,D:D,"&lt;="&amp;D525,C:C,C525)+SUMIFS(N:N,D:D,"&lt;="&amp;D525,C:C,C525)+SUMIFS(P:P,D:D,"&lt;="&amp;D525,C:C,C525))</f>
        <v>0</v>
      </c>
      <c r="U525" s="99">
        <f t="shared" si="152"/>
        <v>0</v>
      </c>
      <c r="V525" s="98">
        <f t="shared" si="160"/>
        <v>0</v>
      </c>
      <c r="W525" s="203" t="str">
        <f t="shared" si="158"/>
        <v/>
      </c>
      <c r="X525" s="98">
        <f t="shared" si="153"/>
        <v>0</v>
      </c>
      <c r="Y525" s="97"/>
      <c r="Z525" s="93"/>
      <c r="AA525" s="98">
        <f t="shared" si="164"/>
        <v>0</v>
      </c>
      <c r="AB525" s="233"/>
      <c r="AC525" s="98">
        <f>IF(SUMIFS('Shipments data'!L:L,'Shipments data'!F:F,'Supply planning data'!C525,'Shipments data'!A:A,'Supply planning data'!A525,'Shipments data'!O:O,"received",'Shipments data'!Q:Q,"&lt;"&amp;'Supply planning data'!D540,'Shipments data'!AC:AC,"&lt;"&amp;'Supply planning data'!D540)-SUMIFS(M:M,D:D,"&lt;="&amp;D525,C:C,C525)-SUMIFS(AA:AA,D:D,"&lt;="&amp;D525,C:C,C525)+SUMIFS(N:N,D:D,"&lt;="&amp;D525,C:C,C525)+SUMIFS(P:P,D:D,"&lt;="&amp;D525,C:C,C525)&lt;0,0,SUMIFS('Shipments data'!L:L,'Shipments data'!F:F,'Supply planning data'!C525,'Shipments data'!A:A,'Supply planning data'!A525,'Shipments data'!O:O,"received",'Shipments data'!Q:Q,"&lt;"&amp;'Supply planning data'!D540,'Shipments data'!AC:AC,"&lt;"&amp;'Supply planning data'!D540)-SUMIFS(M:M,D:D,"&lt;="&amp;D525,C:C,C525)-SUMIFS(AA:AA,D:D,"&lt;="&amp;D525,C:C,C525)+SUMIFS(N:N,D:D,"&lt;="&amp;D525,C:C,C525)+SUMIFS(P:P,D:D,"&lt;="&amp;D525,C:C,C525))</f>
        <v>0</v>
      </c>
      <c r="AD525" s="98">
        <f t="shared" si="154"/>
        <v>0</v>
      </c>
      <c r="AE525" s="98">
        <f t="shared" si="166"/>
        <v>0</v>
      </c>
      <c r="AF525" s="205" t="str">
        <f t="shared" si="157"/>
        <v/>
      </c>
      <c r="AG525" s="98">
        <f t="shared" si="155"/>
        <v>0</v>
      </c>
      <c r="AH525" s="97"/>
      <c r="AI525" s="311"/>
      <c r="AJ525" s="98">
        <f t="shared" si="165"/>
        <v>0</v>
      </c>
      <c r="AK525" s="233"/>
      <c r="AL525" s="98">
        <f>IF(SUMIFS('Shipments data'!L:L,'Shipments data'!F:F,'Supply planning data'!C525,'Shipments data'!A:A,'Supply planning data'!A525,'Shipments data'!O:O,"received",'Shipments data'!Q:Q,"&lt;"&amp;'Supply planning data'!D540,'Shipments data'!AC:AC,"&lt;"&amp;'Supply planning data'!D540)-SUMIFS(M:M,D:D,"&lt;="&amp;D525,C:C,C525)-SUMIFS(AJ:AJ,D:D,"&lt;="&amp;D525,C:C,C525)+SUMIFS(N:N,D:D,"&lt;="&amp;D525,C:C,C525)+SUMIFS(P:P,D:D,"&lt;="&amp;D525,C:C,C525)&lt;0,0,SUMIFS('Shipments data'!L:L,'Shipments data'!F:F,'Supply planning data'!C525,'Shipments data'!A:A,'Supply planning data'!A525,'Shipments data'!O:O,"received",'Shipments data'!Q:Q,"&lt;"&amp;'Supply planning data'!D540,'Shipments data'!AC:AC,"&lt;"&amp;'Supply planning data'!D540)-SUMIFS(M:M,D:D,"&lt;="&amp;D525,C:C,C525)-SUMIFS(AJ:AJ,D:D,"&lt;="&amp;D525,C:C,C525)+SUMIFS(N:N,D:D,"&lt;="&amp;D525,C:C,C525)+SUMIFS(P:P,D:D,"&lt;="&amp;D525,C:C,C525))</f>
        <v>0</v>
      </c>
      <c r="AM525" s="98">
        <f t="shared" si="156"/>
        <v>0</v>
      </c>
      <c r="AN525" s="98">
        <f t="shared" si="167"/>
        <v>0</v>
      </c>
      <c r="AO525" s="203" t="str">
        <f t="shared" si="159"/>
        <v/>
      </c>
    </row>
    <row r="526" spans="1:41" hidden="1" x14ac:dyDescent="0.25">
      <c r="A526" s="95" t="str">
        <f>Start!D$7</f>
        <v>Anyland</v>
      </c>
      <c r="B526" s="96" t="str">
        <f>VLOOKUP(A526,list!B:C,2,FALSE)</f>
        <v>ANY</v>
      </c>
      <c r="C526" s="90" t="str">
        <f>IF(Start!$C$28="","",Start!$C$28)</f>
        <v/>
      </c>
      <c r="D526" s="296">
        <f t="shared" si="150"/>
        <v>45231</v>
      </c>
      <c r="E526" s="92" t="str">
        <f>IFERROR(VLOOKUP(C526,Start!C$15:D$31,2,FALSE),"No")</f>
        <v>No</v>
      </c>
      <c r="F526" s="92">
        <f t="shared" si="151"/>
        <v>0</v>
      </c>
      <c r="G526" s="91"/>
      <c r="H526" s="97"/>
      <c r="I526" s="97"/>
      <c r="J526" s="98">
        <f t="shared" si="161"/>
        <v>0</v>
      </c>
      <c r="K526" s="97"/>
      <c r="L526" s="175" t="str">
        <f t="shared" si="162"/>
        <v/>
      </c>
      <c r="M526" s="98">
        <f t="shared" si="163"/>
        <v>0</v>
      </c>
      <c r="N526" s="97"/>
      <c r="O526" s="122"/>
      <c r="P526" s="97"/>
      <c r="Q526" s="122"/>
      <c r="R526" s="98">
        <f>SUMIFS('Shipments data'!L:L,'Shipments data'!F:F,'Supply planning data'!C526,'Shipments data'!A:A,'Supply planning data'!A526,'Shipments data'!Y:Y,'Supply planning data'!D526,'Shipments data'!O:O,"received", 'Shipments data'!N:N, "Public")</f>
        <v>0</v>
      </c>
      <c r="S526" s="98">
        <f>SUMIFS('Shipments data'!L:L,'Shipments data'!F:F,'Supply planning data'!C526,'Shipments data'!A:A,'Supply planning data'!A526,'Shipments data'!Y:Y,'Supply planning data'!D526,'Shipments data'!O:O,"ordered", 'Shipments data'!N:N, "Public")</f>
        <v>0</v>
      </c>
      <c r="T526" s="98">
        <f>IF(SUMIFS('Shipments data'!L:L,'Shipments data'!F:F,'Supply planning data'!C526,'Shipments data'!A:A,'Supply planning data'!A526,'Shipments data'!O:O,"received",'Shipments data'!Q:Q,"&lt;"&amp;'Supply planning data'!D541,'Shipments data'!AC:AC,"&lt;"&amp;'Supply planning data'!D541)-SUMIFS(M:M,D:D,"&lt;="&amp;D526,C:C,C526)+SUMIFS(N:N,D:D,"&lt;="&amp;D526,C:C,C526)+SUMIFS(P:P,D:D,"&lt;="&amp;D526,C:C,C526)&lt;0,0,SUMIFS('Shipments data'!L:L,'Shipments data'!F:F,'Supply planning data'!C526,'Shipments data'!A:A,'Supply planning data'!A526,'Shipments data'!O:O,"received",'Shipments data'!Q:Q,"&lt;"&amp;'Supply planning data'!D541,'Shipments data'!AC:AC,"&lt;"&amp;'Supply planning data'!D541)-SUMIFS(M:M,D:D,"&lt;="&amp;D526,C:C,C526)+SUMIFS(N:N,D:D,"&lt;="&amp;D526,C:C,C526)+SUMIFS(P:P,D:D,"&lt;="&amp;D526,C:C,C526))</f>
        <v>0</v>
      </c>
      <c r="U526" s="99">
        <f t="shared" si="152"/>
        <v>0</v>
      </c>
      <c r="V526" s="98">
        <f t="shared" si="160"/>
        <v>0</v>
      </c>
      <c r="W526" s="203" t="str">
        <f t="shared" si="158"/>
        <v/>
      </c>
      <c r="X526" s="98">
        <f t="shared" si="153"/>
        <v>0</v>
      </c>
      <c r="Y526" s="97"/>
      <c r="Z526" s="93"/>
      <c r="AA526" s="98">
        <f t="shared" si="164"/>
        <v>0</v>
      </c>
      <c r="AB526" s="233"/>
      <c r="AC526" s="98">
        <f>IF(SUMIFS('Shipments data'!L:L,'Shipments data'!F:F,'Supply planning data'!C526,'Shipments data'!A:A,'Supply planning data'!A526,'Shipments data'!O:O,"received",'Shipments data'!Q:Q,"&lt;"&amp;'Supply planning data'!D541,'Shipments data'!AC:AC,"&lt;"&amp;'Supply planning data'!D541)-SUMIFS(M:M,D:D,"&lt;="&amp;D526,C:C,C526)-SUMIFS(AA:AA,D:D,"&lt;="&amp;D526,C:C,C526)+SUMIFS(N:N,D:D,"&lt;="&amp;D526,C:C,C526)+SUMIFS(P:P,D:D,"&lt;="&amp;D526,C:C,C526)&lt;0,0,SUMIFS('Shipments data'!L:L,'Shipments data'!F:F,'Supply planning data'!C526,'Shipments data'!A:A,'Supply planning data'!A526,'Shipments data'!O:O,"received",'Shipments data'!Q:Q,"&lt;"&amp;'Supply planning data'!D541,'Shipments data'!AC:AC,"&lt;"&amp;'Supply planning data'!D541)-SUMIFS(M:M,D:D,"&lt;="&amp;D526,C:C,C526)-SUMIFS(AA:AA,D:D,"&lt;="&amp;D526,C:C,C526)+SUMIFS(N:N,D:D,"&lt;="&amp;D526,C:C,C526)+SUMIFS(P:P,D:D,"&lt;="&amp;D526,C:C,C526))</f>
        <v>0</v>
      </c>
      <c r="AD526" s="98">
        <f t="shared" si="154"/>
        <v>0</v>
      </c>
      <c r="AE526" s="98">
        <f t="shared" si="166"/>
        <v>0</v>
      </c>
      <c r="AF526" s="205" t="str">
        <f t="shared" si="157"/>
        <v/>
      </c>
      <c r="AG526" s="98">
        <f t="shared" si="155"/>
        <v>0</v>
      </c>
      <c r="AH526" s="97"/>
      <c r="AI526" s="311"/>
      <c r="AJ526" s="98">
        <f t="shared" si="165"/>
        <v>0</v>
      </c>
      <c r="AK526" s="233"/>
      <c r="AL526" s="98">
        <f>IF(SUMIFS('Shipments data'!L:L,'Shipments data'!F:F,'Supply planning data'!C526,'Shipments data'!A:A,'Supply planning data'!A526,'Shipments data'!O:O,"received",'Shipments data'!Q:Q,"&lt;"&amp;'Supply planning data'!D541,'Shipments data'!AC:AC,"&lt;"&amp;'Supply planning data'!D541)-SUMIFS(M:M,D:D,"&lt;="&amp;D526,C:C,C526)-SUMIFS(AJ:AJ,D:D,"&lt;="&amp;D526,C:C,C526)+SUMIFS(N:N,D:D,"&lt;="&amp;D526,C:C,C526)+SUMIFS(P:P,D:D,"&lt;="&amp;D526,C:C,C526)&lt;0,0,SUMIFS('Shipments data'!L:L,'Shipments data'!F:F,'Supply planning data'!C526,'Shipments data'!A:A,'Supply planning data'!A526,'Shipments data'!O:O,"received",'Shipments data'!Q:Q,"&lt;"&amp;'Supply planning data'!D541,'Shipments data'!AC:AC,"&lt;"&amp;'Supply planning data'!D541)-SUMIFS(M:M,D:D,"&lt;="&amp;D526,C:C,C526)-SUMIFS(AJ:AJ,D:D,"&lt;="&amp;D526,C:C,C526)+SUMIFS(N:N,D:D,"&lt;="&amp;D526,C:C,C526)+SUMIFS(P:P,D:D,"&lt;="&amp;D526,C:C,C526))</f>
        <v>0</v>
      </c>
      <c r="AM526" s="98">
        <f t="shared" si="156"/>
        <v>0</v>
      </c>
      <c r="AN526" s="98">
        <f t="shared" si="167"/>
        <v>0</v>
      </c>
      <c r="AO526" s="203" t="str">
        <f t="shared" si="159"/>
        <v/>
      </c>
    </row>
    <row r="527" spans="1:41" hidden="1" x14ac:dyDescent="0.25">
      <c r="A527" s="95" t="str">
        <f>Start!D$7</f>
        <v>Anyland</v>
      </c>
      <c r="B527" s="96" t="str">
        <f>VLOOKUP(A527,list!B:C,2,FALSE)</f>
        <v>ANY</v>
      </c>
      <c r="C527" s="90" t="str">
        <f>IF(Start!$C$29="","",Start!$C$29)</f>
        <v/>
      </c>
      <c r="D527" s="296">
        <f t="shared" si="150"/>
        <v>45231</v>
      </c>
      <c r="E527" s="92" t="str">
        <f>IFERROR(VLOOKUP(C527,Start!C$15:D$31,2,FALSE),"No")</f>
        <v>No</v>
      </c>
      <c r="F527" s="92">
        <f t="shared" si="151"/>
        <v>0</v>
      </c>
      <c r="G527" s="91"/>
      <c r="H527" s="97"/>
      <c r="I527" s="97"/>
      <c r="J527" s="98">
        <f t="shared" si="161"/>
        <v>0</v>
      </c>
      <c r="K527" s="97"/>
      <c r="L527" s="175" t="str">
        <f t="shared" si="162"/>
        <v/>
      </c>
      <c r="M527" s="98">
        <f t="shared" si="163"/>
        <v>0</v>
      </c>
      <c r="N527" s="97"/>
      <c r="O527" s="122"/>
      <c r="P527" s="97"/>
      <c r="Q527" s="122"/>
      <c r="R527" s="98">
        <f>SUMIFS('Shipments data'!L:L,'Shipments data'!F:F,'Supply planning data'!C527,'Shipments data'!A:A,'Supply planning data'!A527,'Shipments data'!Y:Y,'Supply planning data'!D527,'Shipments data'!O:O,"received", 'Shipments data'!N:N, "Public")</f>
        <v>0</v>
      </c>
      <c r="S527" s="98">
        <f>SUMIFS('Shipments data'!L:L,'Shipments data'!F:F,'Supply planning data'!C527,'Shipments data'!A:A,'Supply planning data'!A527,'Shipments data'!Y:Y,'Supply planning data'!D527,'Shipments data'!O:O,"ordered", 'Shipments data'!N:N, "Public")</f>
        <v>0</v>
      </c>
      <c r="T527" s="98">
        <f>IF(SUMIFS('Shipments data'!L:L,'Shipments data'!F:F,'Supply planning data'!C527,'Shipments data'!A:A,'Supply planning data'!A527,'Shipments data'!O:O,"received",'Shipments data'!Q:Q,"&lt;"&amp;'Supply planning data'!D542,'Shipments data'!AC:AC,"&lt;"&amp;'Supply planning data'!D542)-SUMIFS(M:M,D:D,"&lt;="&amp;D527,C:C,C527)+SUMIFS(N:N,D:D,"&lt;="&amp;D527,C:C,C527)+SUMIFS(P:P,D:D,"&lt;="&amp;D527,C:C,C527)&lt;0,0,SUMIFS('Shipments data'!L:L,'Shipments data'!F:F,'Supply planning data'!C527,'Shipments data'!A:A,'Supply planning data'!A527,'Shipments data'!O:O,"received",'Shipments data'!Q:Q,"&lt;"&amp;'Supply planning data'!D542,'Shipments data'!AC:AC,"&lt;"&amp;'Supply planning data'!D542)-SUMIFS(M:M,D:D,"&lt;="&amp;D527,C:C,C527)+SUMIFS(N:N,D:D,"&lt;="&amp;D527,C:C,C527)+SUMIFS(P:P,D:D,"&lt;="&amp;D527,C:C,C527))</f>
        <v>0</v>
      </c>
      <c r="U527" s="99">
        <f t="shared" si="152"/>
        <v>0</v>
      </c>
      <c r="V527" s="98">
        <f t="shared" si="160"/>
        <v>0</v>
      </c>
      <c r="W527" s="203" t="str">
        <f t="shared" si="158"/>
        <v/>
      </c>
      <c r="X527" s="98">
        <f t="shared" si="153"/>
        <v>0</v>
      </c>
      <c r="Y527" s="97"/>
      <c r="Z527" s="93"/>
      <c r="AA527" s="98">
        <f t="shared" si="164"/>
        <v>0</v>
      </c>
      <c r="AB527" s="233"/>
      <c r="AC527" s="98">
        <f>IF(SUMIFS('Shipments data'!L:L,'Shipments data'!F:F,'Supply planning data'!C527,'Shipments data'!A:A,'Supply planning data'!A527,'Shipments data'!O:O,"received",'Shipments data'!Q:Q,"&lt;"&amp;'Supply planning data'!D542,'Shipments data'!AC:AC,"&lt;"&amp;'Supply planning data'!D542)-SUMIFS(M:M,D:D,"&lt;="&amp;D527,C:C,C527)-SUMIFS(AA:AA,D:D,"&lt;="&amp;D527,C:C,C527)+SUMIFS(N:N,D:D,"&lt;="&amp;D527,C:C,C527)+SUMIFS(P:P,D:D,"&lt;="&amp;D527,C:C,C527)&lt;0,0,SUMIFS('Shipments data'!L:L,'Shipments data'!F:F,'Supply planning data'!C527,'Shipments data'!A:A,'Supply planning data'!A527,'Shipments data'!O:O,"received",'Shipments data'!Q:Q,"&lt;"&amp;'Supply planning data'!D542,'Shipments data'!AC:AC,"&lt;"&amp;'Supply planning data'!D542)-SUMIFS(M:M,D:D,"&lt;="&amp;D527,C:C,C527)-SUMIFS(AA:AA,D:D,"&lt;="&amp;D527,C:C,C527)+SUMIFS(N:N,D:D,"&lt;="&amp;D527,C:C,C527)+SUMIFS(P:P,D:D,"&lt;="&amp;D527,C:C,C527))</f>
        <v>0</v>
      </c>
      <c r="AD527" s="98">
        <f t="shared" si="154"/>
        <v>0</v>
      </c>
      <c r="AE527" s="98">
        <f t="shared" si="166"/>
        <v>0</v>
      </c>
      <c r="AF527" s="205" t="str">
        <f t="shared" si="157"/>
        <v/>
      </c>
      <c r="AG527" s="98">
        <f t="shared" si="155"/>
        <v>0</v>
      </c>
      <c r="AH527" s="97"/>
      <c r="AI527" s="311"/>
      <c r="AJ527" s="98">
        <f t="shared" si="165"/>
        <v>0</v>
      </c>
      <c r="AK527" s="233"/>
      <c r="AL527" s="98">
        <f>IF(SUMIFS('Shipments data'!L:L,'Shipments data'!F:F,'Supply planning data'!C527,'Shipments data'!A:A,'Supply planning data'!A527,'Shipments data'!O:O,"received",'Shipments data'!Q:Q,"&lt;"&amp;'Supply planning data'!D542,'Shipments data'!AC:AC,"&lt;"&amp;'Supply planning data'!D542)-SUMIFS(M:M,D:D,"&lt;="&amp;D527,C:C,C527)-SUMIFS(AJ:AJ,D:D,"&lt;="&amp;D527,C:C,C527)+SUMIFS(N:N,D:D,"&lt;="&amp;D527,C:C,C527)+SUMIFS(P:P,D:D,"&lt;="&amp;D527,C:C,C527)&lt;0,0,SUMIFS('Shipments data'!L:L,'Shipments data'!F:F,'Supply planning data'!C527,'Shipments data'!A:A,'Supply planning data'!A527,'Shipments data'!O:O,"received",'Shipments data'!Q:Q,"&lt;"&amp;'Supply planning data'!D542,'Shipments data'!AC:AC,"&lt;"&amp;'Supply planning data'!D542)-SUMIFS(M:M,D:D,"&lt;="&amp;D527,C:C,C527)-SUMIFS(AJ:AJ,D:D,"&lt;="&amp;D527,C:C,C527)+SUMIFS(N:N,D:D,"&lt;="&amp;D527,C:C,C527)+SUMIFS(P:P,D:D,"&lt;="&amp;D527,C:C,C527))</f>
        <v>0</v>
      </c>
      <c r="AM527" s="98">
        <f t="shared" si="156"/>
        <v>0</v>
      </c>
      <c r="AN527" s="98">
        <f t="shared" si="167"/>
        <v>0</v>
      </c>
      <c r="AO527" s="203" t="str">
        <f t="shared" si="159"/>
        <v/>
      </c>
    </row>
    <row r="528" spans="1:41" hidden="1" x14ac:dyDescent="0.25">
      <c r="A528" s="95" t="str">
        <f>Start!D$7</f>
        <v>Anyland</v>
      </c>
      <c r="B528" s="96" t="str">
        <f>VLOOKUP(A528,list!B:C,2,FALSE)</f>
        <v>ANY</v>
      </c>
      <c r="C528" s="90" t="str">
        <f>IF(Start!$C$30="","",Start!$C$30)</f>
        <v/>
      </c>
      <c r="D528" s="296">
        <f t="shared" si="150"/>
        <v>45231</v>
      </c>
      <c r="E528" s="92" t="str">
        <f>IFERROR(VLOOKUP(C528,Start!C$15:D$31,2,FALSE),"No")</f>
        <v>No</v>
      </c>
      <c r="F528" s="92">
        <f t="shared" si="151"/>
        <v>0</v>
      </c>
      <c r="G528" s="91"/>
      <c r="H528" s="97"/>
      <c r="I528" s="97"/>
      <c r="J528" s="98">
        <f t="shared" si="161"/>
        <v>0</v>
      </c>
      <c r="K528" s="97"/>
      <c r="L528" s="175" t="str">
        <f t="shared" si="162"/>
        <v/>
      </c>
      <c r="M528" s="98">
        <f t="shared" si="163"/>
        <v>0</v>
      </c>
      <c r="N528" s="97"/>
      <c r="O528" s="122"/>
      <c r="P528" s="97"/>
      <c r="Q528" s="122"/>
      <c r="R528" s="98">
        <f>SUMIFS('Shipments data'!L:L,'Shipments data'!F:F,'Supply planning data'!C528,'Shipments data'!A:A,'Supply planning data'!A528,'Shipments data'!Y:Y,'Supply planning data'!D528,'Shipments data'!O:O,"received", 'Shipments data'!N:N, "Public")</f>
        <v>0</v>
      </c>
      <c r="S528" s="98">
        <f>SUMIFS('Shipments data'!L:L,'Shipments data'!F:F,'Supply planning data'!C528,'Shipments data'!A:A,'Supply planning data'!A528,'Shipments data'!Y:Y,'Supply planning data'!D528,'Shipments data'!O:O,"ordered", 'Shipments data'!N:N, "Public")</f>
        <v>0</v>
      </c>
      <c r="T528" s="98">
        <f>IF(SUMIFS('Shipments data'!L:L,'Shipments data'!F:F,'Supply planning data'!C528,'Shipments data'!A:A,'Supply planning data'!A528,'Shipments data'!O:O,"received",'Shipments data'!Q:Q,"&lt;"&amp;'Supply planning data'!D543,'Shipments data'!AC:AC,"&lt;"&amp;'Supply planning data'!D543)-SUMIFS(M:M,D:D,"&lt;="&amp;D528,C:C,C528)+SUMIFS(N:N,D:D,"&lt;="&amp;D528,C:C,C528)+SUMIFS(P:P,D:D,"&lt;="&amp;D528,C:C,C528)&lt;0,0,SUMIFS('Shipments data'!L:L,'Shipments data'!F:F,'Supply planning data'!C528,'Shipments data'!A:A,'Supply planning data'!A528,'Shipments data'!O:O,"received",'Shipments data'!Q:Q,"&lt;"&amp;'Supply planning data'!D543,'Shipments data'!AC:AC,"&lt;"&amp;'Supply planning data'!D543)-SUMIFS(M:M,D:D,"&lt;="&amp;D528,C:C,C528)+SUMIFS(N:N,D:D,"&lt;="&amp;D528,C:C,C528)+SUMIFS(P:P,D:D,"&lt;="&amp;D528,C:C,C528))</f>
        <v>0</v>
      </c>
      <c r="U528" s="99">
        <f t="shared" si="152"/>
        <v>0</v>
      </c>
      <c r="V528" s="98">
        <f t="shared" si="160"/>
        <v>0</v>
      </c>
      <c r="W528" s="203" t="str">
        <f t="shared" si="158"/>
        <v/>
      </c>
      <c r="X528" s="98">
        <f t="shared" si="153"/>
        <v>0</v>
      </c>
      <c r="Y528" s="97"/>
      <c r="Z528" s="93"/>
      <c r="AA528" s="98">
        <f t="shared" si="164"/>
        <v>0</v>
      </c>
      <c r="AB528" s="233"/>
      <c r="AC528" s="98">
        <f>IF(SUMIFS('Shipments data'!L:L,'Shipments data'!F:F,'Supply planning data'!C528,'Shipments data'!A:A,'Supply planning data'!A528,'Shipments data'!O:O,"received",'Shipments data'!Q:Q,"&lt;"&amp;'Supply planning data'!D543,'Shipments data'!AC:AC,"&lt;"&amp;'Supply planning data'!D543)-SUMIFS(M:M,D:D,"&lt;="&amp;D528,C:C,C528)-SUMIFS(AA:AA,D:D,"&lt;="&amp;D528,C:C,C528)+SUMIFS(N:N,D:D,"&lt;="&amp;D528,C:C,C528)+SUMIFS(P:P,D:D,"&lt;="&amp;D528,C:C,C528)&lt;0,0,SUMIFS('Shipments data'!L:L,'Shipments data'!F:F,'Supply planning data'!C528,'Shipments data'!A:A,'Supply planning data'!A528,'Shipments data'!O:O,"received",'Shipments data'!Q:Q,"&lt;"&amp;'Supply planning data'!D543,'Shipments data'!AC:AC,"&lt;"&amp;'Supply planning data'!D543)-SUMIFS(M:M,D:D,"&lt;="&amp;D528,C:C,C528)-SUMIFS(AA:AA,D:D,"&lt;="&amp;D528,C:C,C528)+SUMIFS(N:N,D:D,"&lt;="&amp;D528,C:C,C528)+SUMIFS(P:P,D:D,"&lt;="&amp;D528,C:C,C528))</f>
        <v>0</v>
      </c>
      <c r="AD528" s="98">
        <f t="shared" si="154"/>
        <v>0</v>
      </c>
      <c r="AE528" s="98">
        <f t="shared" si="166"/>
        <v>0</v>
      </c>
      <c r="AF528" s="205" t="str">
        <f t="shared" si="157"/>
        <v/>
      </c>
      <c r="AG528" s="98">
        <f t="shared" si="155"/>
        <v>0</v>
      </c>
      <c r="AH528" s="97"/>
      <c r="AI528" s="311"/>
      <c r="AJ528" s="98">
        <f t="shared" si="165"/>
        <v>0</v>
      </c>
      <c r="AK528" s="233"/>
      <c r="AL528" s="98">
        <f>IF(SUMIFS('Shipments data'!L:L,'Shipments data'!F:F,'Supply planning data'!C528,'Shipments data'!A:A,'Supply planning data'!A528,'Shipments data'!O:O,"received",'Shipments data'!Q:Q,"&lt;"&amp;'Supply planning data'!D543,'Shipments data'!AC:AC,"&lt;"&amp;'Supply planning data'!D543)-SUMIFS(M:M,D:D,"&lt;="&amp;D528,C:C,C528)-SUMIFS(AJ:AJ,D:D,"&lt;="&amp;D528,C:C,C528)+SUMIFS(N:N,D:D,"&lt;="&amp;D528,C:C,C528)+SUMIFS(P:P,D:D,"&lt;="&amp;D528,C:C,C528)&lt;0,0,SUMIFS('Shipments data'!L:L,'Shipments data'!F:F,'Supply planning data'!C528,'Shipments data'!A:A,'Supply planning data'!A528,'Shipments data'!O:O,"received",'Shipments data'!Q:Q,"&lt;"&amp;'Supply planning data'!D543,'Shipments data'!AC:AC,"&lt;"&amp;'Supply planning data'!D543)-SUMIFS(M:M,D:D,"&lt;="&amp;D528,C:C,C528)-SUMIFS(AJ:AJ,D:D,"&lt;="&amp;D528,C:C,C528)+SUMIFS(N:N,D:D,"&lt;="&amp;D528,C:C,C528)+SUMIFS(P:P,D:D,"&lt;="&amp;D528,C:C,C528))</f>
        <v>0</v>
      </c>
      <c r="AM528" s="98">
        <f t="shared" si="156"/>
        <v>0</v>
      </c>
      <c r="AN528" s="98">
        <f t="shared" si="167"/>
        <v>0</v>
      </c>
      <c r="AO528" s="203" t="str">
        <f t="shared" si="159"/>
        <v/>
      </c>
    </row>
    <row r="529" spans="1:41" hidden="1" x14ac:dyDescent="0.25">
      <c r="A529" s="95" t="str">
        <f>Start!D$7</f>
        <v>Anyland</v>
      </c>
      <c r="B529" s="100" t="str">
        <f>VLOOKUP(A529,list!B:C,2,FALSE)</f>
        <v>ANY</v>
      </c>
      <c r="C529" s="90" t="str">
        <f>IF(Start!$C$31="","",Start!$C$31)</f>
        <v/>
      </c>
      <c r="D529" s="296">
        <f t="shared" si="150"/>
        <v>45231</v>
      </c>
      <c r="E529" s="92" t="str">
        <f>IFERROR(VLOOKUP(C529,Start!C$15:D$31,2,FALSE),"No")</f>
        <v>No</v>
      </c>
      <c r="F529" s="92">
        <f t="shared" si="151"/>
        <v>0</v>
      </c>
      <c r="G529" s="91"/>
      <c r="H529" s="97"/>
      <c r="I529" s="97"/>
      <c r="J529" s="98">
        <f t="shared" si="161"/>
        <v>0</v>
      </c>
      <c r="K529" s="97"/>
      <c r="L529" s="175" t="str">
        <f t="shared" si="162"/>
        <v/>
      </c>
      <c r="M529" s="98">
        <f t="shared" si="163"/>
        <v>0</v>
      </c>
      <c r="N529" s="97"/>
      <c r="O529" s="122"/>
      <c r="P529" s="97"/>
      <c r="Q529" s="122"/>
      <c r="R529" s="98">
        <f>SUMIFS('Shipments data'!L:L,'Shipments data'!F:F,'Supply planning data'!C529,'Shipments data'!A:A,'Supply planning data'!A529,'Shipments data'!Y:Y,'Supply planning data'!D529,'Shipments data'!O:O,"received", 'Shipments data'!N:N, "Public")</f>
        <v>0</v>
      </c>
      <c r="S529" s="98">
        <f>SUMIFS('Shipments data'!L:L,'Shipments data'!F:F,'Supply planning data'!C529,'Shipments data'!A:A,'Supply planning data'!A529,'Shipments data'!Y:Y,'Supply planning data'!D529,'Shipments data'!O:O,"ordered", 'Shipments data'!N:N, "Public")</f>
        <v>0</v>
      </c>
      <c r="T529" s="98">
        <f>IF(SUMIFS('Shipments data'!L:L,'Shipments data'!F:F,'Supply planning data'!C529,'Shipments data'!A:A,'Supply planning data'!A529,'Shipments data'!O:O,"received",'Shipments data'!Q:Q,"&lt;"&amp;'Supply planning data'!D544,'Shipments data'!AC:AC,"&lt;"&amp;'Supply planning data'!D544)-SUMIFS(M:M,D:D,"&lt;="&amp;D529,C:C,C529)+SUMIFS(N:N,D:D,"&lt;="&amp;D529,C:C,C529)+SUMIFS(P:P,D:D,"&lt;="&amp;D529,C:C,C529)&lt;0,0,SUMIFS('Shipments data'!L:L,'Shipments data'!F:F,'Supply planning data'!C529,'Shipments data'!A:A,'Supply planning data'!A529,'Shipments data'!O:O,"received",'Shipments data'!Q:Q,"&lt;"&amp;'Supply planning data'!D544,'Shipments data'!AC:AC,"&lt;"&amp;'Supply planning data'!D544)-SUMIFS(M:M,D:D,"&lt;="&amp;D529,C:C,C529)+SUMIFS(N:N,D:D,"&lt;="&amp;D529,C:C,C529)+SUMIFS(P:P,D:D,"&lt;="&amp;D529,C:C,C529))</f>
        <v>0</v>
      </c>
      <c r="U529" s="99">
        <f t="shared" si="152"/>
        <v>0</v>
      </c>
      <c r="V529" s="98">
        <f t="shared" si="160"/>
        <v>0</v>
      </c>
      <c r="W529" s="203" t="str">
        <f t="shared" si="158"/>
        <v/>
      </c>
      <c r="X529" s="98">
        <f t="shared" si="153"/>
        <v>0</v>
      </c>
      <c r="Y529" s="97"/>
      <c r="Z529" s="93"/>
      <c r="AA529" s="98">
        <f t="shared" si="164"/>
        <v>0</v>
      </c>
      <c r="AB529" s="233"/>
      <c r="AC529" s="98">
        <f>IF(SUMIFS('Shipments data'!L:L,'Shipments data'!F:F,'Supply planning data'!C529,'Shipments data'!A:A,'Supply planning data'!A529,'Shipments data'!O:O,"received",'Shipments data'!Q:Q,"&lt;"&amp;'Supply planning data'!D544,'Shipments data'!AC:AC,"&lt;"&amp;'Supply planning data'!D544)-SUMIFS(M:M,D:D,"&lt;="&amp;D529,C:C,C529)-SUMIFS(AA:AA,D:D,"&lt;="&amp;D529,C:C,C529)+SUMIFS(N:N,D:D,"&lt;="&amp;D529,C:C,C529)+SUMIFS(P:P,D:D,"&lt;="&amp;D529,C:C,C529)&lt;0,0,SUMIFS('Shipments data'!L:L,'Shipments data'!F:F,'Supply planning data'!C529,'Shipments data'!A:A,'Supply planning data'!A529,'Shipments data'!O:O,"received",'Shipments data'!Q:Q,"&lt;"&amp;'Supply planning data'!D544,'Shipments data'!AC:AC,"&lt;"&amp;'Supply planning data'!D544)-SUMIFS(M:M,D:D,"&lt;="&amp;D529,C:C,C529)-SUMIFS(AA:AA,D:D,"&lt;="&amp;D529,C:C,C529)+SUMIFS(N:N,D:D,"&lt;="&amp;D529,C:C,C529)+SUMIFS(P:P,D:D,"&lt;="&amp;D529,C:C,C529))</f>
        <v>0</v>
      </c>
      <c r="AD529" s="98">
        <f t="shared" si="154"/>
        <v>0</v>
      </c>
      <c r="AE529" s="98">
        <f t="shared" si="166"/>
        <v>0</v>
      </c>
      <c r="AF529" s="205" t="str">
        <f t="shared" si="157"/>
        <v/>
      </c>
      <c r="AG529" s="98">
        <f t="shared" si="155"/>
        <v>0</v>
      </c>
      <c r="AH529" s="97"/>
      <c r="AI529" s="311"/>
      <c r="AJ529" s="98">
        <f t="shared" si="165"/>
        <v>0</v>
      </c>
      <c r="AK529" s="233"/>
      <c r="AL529" s="98">
        <f>IF(SUMIFS('Shipments data'!L:L,'Shipments data'!F:F,'Supply planning data'!C529,'Shipments data'!A:A,'Supply planning data'!A529,'Shipments data'!O:O,"received",'Shipments data'!Q:Q,"&lt;"&amp;'Supply planning data'!D544,'Shipments data'!AC:AC,"&lt;"&amp;'Supply planning data'!D544)-SUMIFS(M:M,D:D,"&lt;="&amp;D529,C:C,C529)-SUMIFS(AJ:AJ,D:D,"&lt;="&amp;D529,C:C,C529)+SUMIFS(N:N,D:D,"&lt;="&amp;D529,C:C,C529)+SUMIFS(P:P,D:D,"&lt;="&amp;D529,C:C,C529)&lt;0,0,SUMIFS('Shipments data'!L:L,'Shipments data'!F:F,'Supply planning data'!C529,'Shipments data'!A:A,'Supply planning data'!A529,'Shipments data'!O:O,"received",'Shipments data'!Q:Q,"&lt;"&amp;'Supply planning data'!D544,'Shipments data'!AC:AC,"&lt;"&amp;'Supply planning data'!D544)-SUMIFS(M:M,D:D,"&lt;="&amp;D529,C:C,C529)-SUMIFS(AJ:AJ,D:D,"&lt;="&amp;D529,C:C,C529)+SUMIFS(N:N,D:D,"&lt;="&amp;D529,C:C,C529)+SUMIFS(P:P,D:D,"&lt;="&amp;D529,C:C,C529))</f>
        <v>0</v>
      </c>
      <c r="AM529" s="98">
        <f t="shared" si="156"/>
        <v>0</v>
      </c>
      <c r="AN529" s="98">
        <f t="shared" si="167"/>
        <v>0</v>
      </c>
      <c r="AO529" s="203" t="str">
        <f t="shared" si="159"/>
        <v/>
      </c>
    </row>
    <row r="530" spans="1:41" x14ac:dyDescent="0.25">
      <c r="A530" s="103" t="str">
        <f>Start!D$7</f>
        <v>Anyland</v>
      </c>
      <c r="B530" s="104" t="str">
        <f>VLOOKUP(A530,list!B:C,2,FALSE)</f>
        <v>ANY</v>
      </c>
      <c r="C530" s="104" t="str">
        <f>IF(Start!$C$17="","",Start!$C$17)</f>
        <v>AstraZeneca</v>
      </c>
      <c r="D530" s="298">
        <f t="shared" si="150"/>
        <v>45261</v>
      </c>
      <c r="E530" s="105" t="str">
        <f>IFERROR(VLOOKUP(C530,Start!C$15:D$31,2,FALSE),"No")</f>
        <v>Yes</v>
      </c>
      <c r="F530" s="105">
        <f t="shared" si="151"/>
        <v>0</v>
      </c>
      <c r="G530" s="106"/>
      <c r="H530" s="106"/>
      <c r="I530" s="106"/>
      <c r="J530" s="105">
        <f t="shared" si="161"/>
        <v>0</v>
      </c>
      <c r="K530" s="106"/>
      <c r="L530" s="177" t="str">
        <f t="shared" si="162"/>
        <v/>
      </c>
      <c r="M530" s="105">
        <f t="shared" si="163"/>
        <v>0</v>
      </c>
      <c r="N530" s="106"/>
      <c r="O530" s="123"/>
      <c r="P530" s="106"/>
      <c r="Q530" s="123"/>
      <c r="R530" s="105">
        <f>SUMIFS('Shipments data'!L:L,'Shipments data'!F:F,'Supply planning data'!C530,'Shipments data'!A:A,'Supply planning data'!A530,'Shipments data'!Y:Y,'Supply planning data'!D530,'Shipments data'!O:O,"received", 'Shipments data'!N:N, "Public")</f>
        <v>0</v>
      </c>
      <c r="S530" s="105">
        <f>SUMIFS('Shipments data'!L:L,'Shipments data'!F:F,'Supply planning data'!C530,'Shipments data'!A:A,'Supply planning data'!A530,'Shipments data'!Y:Y,'Supply planning data'!D530,'Shipments data'!O:O,"ordered", 'Shipments data'!N:N, "Public")</f>
        <v>0</v>
      </c>
      <c r="T530" s="105">
        <f>IF(SUMIFS('Shipments data'!L:L,'Shipments data'!F:F,'Supply planning data'!C530,'Shipments data'!A:A,'Supply planning data'!A530,'Shipments data'!O:O,"received",'Shipments data'!Q:Q,"&lt;"&amp;'Supply planning data'!D545,'Shipments data'!AC:AC,"&lt;"&amp;'Supply planning data'!D545)-SUMIFS(M:M,D:D,"&lt;="&amp;D530,C:C,C530)+SUMIFS(N:N,D:D,"&lt;="&amp;D530,C:C,C530)+SUMIFS(P:P,D:D,"&lt;="&amp;D530,C:C,C530)&lt;0,0,SUMIFS('Shipments data'!L:L,'Shipments data'!F:F,'Supply planning data'!C530,'Shipments data'!A:A,'Supply planning data'!A530,'Shipments data'!O:O,"received",'Shipments data'!Q:Q,"&lt;"&amp;'Supply planning data'!D545,'Shipments data'!AC:AC,"&lt;"&amp;'Supply planning data'!D545)-SUMIFS(M:M,D:D,"&lt;="&amp;D530,C:C,C530)+SUMIFS(N:N,D:D,"&lt;="&amp;D530,C:C,C530)+SUMIFS(P:P,D:D,"&lt;="&amp;D530,C:C,C530))</f>
        <v>0</v>
      </c>
      <c r="U530" s="108">
        <f t="shared" si="152"/>
        <v>0</v>
      </c>
      <c r="V530" s="105">
        <f t="shared" si="160"/>
        <v>0</v>
      </c>
      <c r="W530" s="206" t="str">
        <f t="shared" si="158"/>
        <v/>
      </c>
      <c r="X530" s="105">
        <f t="shared" si="153"/>
        <v>154701</v>
      </c>
      <c r="Y530" s="106"/>
      <c r="Z530" s="107"/>
      <c r="AA530" s="105">
        <f t="shared" si="164"/>
        <v>0</v>
      </c>
      <c r="AB530" s="234"/>
      <c r="AC530" s="105">
        <f>IF(SUMIFS('Shipments data'!L:L,'Shipments data'!F:F,'Supply planning data'!C530,'Shipments data'!A:A,'Supply planning data'!A530,'Shipments data'!O:O,"received",'Shipments data'!Q:Q,"&lt;"&amp;'Supply planning data'!D545,'Shipments data'!AC:AC,"&lt;"&amp;'Supply planning data'!D545)-SUMIFS(M:M,D:D,"&lt;="&amp;D530,C:C,C530)-SUMIFS(AA:AA,D:D,"&lt;="&amp;D530,C:C,C530)+SUMIFS(N:N,D:D,"&lt;="&amp;D530,C:C,C530)+SUMIFS(P:P,D:D,"&lt;="&amp;D530,C:C,C530)&lt;0,0,SUMIFS('Shipments data'!L:L,'Shipments data'!F:F,'Supply planning data'!C530,'Shipments data'!A:A,'Supply planning data'!A530,'Shipments data'!O:O,"received",'Shipments data'!Q:Q,"&lt;"&amp;'Supply planning data'!D545,'Shipments data'!AC:AC,"&lt;"&amp;'Supply planning data'!D545)-SUMIFS(M:M,D:D,"&lt;="&amp;D530,C:C,C530)-SUMIFS(AA:AA,D:D,"&lt;="&amp;D530,C:C,C530)+SUMIFS(N:N,D:D,"&lt;="&amp;D530,C:C,C530)+SUMIFS(P:P,D:D,"&lt;="&amp;D530,C:C,C530))</f>
        <v>0</v>
      </c>
      <c r="AD530" s="105">
        <f t="shared" si="154"/>
        <v>0</v>
      </c>
      <c r="AE530" s="105">
        <f t="shared" si="166"/>
        <v>154701</v>
      </c>
      <c r="AF530" s="206" t="str">
        <f>IF(M530+AA530&lt;=0,"",IFERROR(AE530/(SUM(M530,M560,M545,AA530,AA560,AA545)/3),""))</f>
        <v/>
      </c>
      <c r="AG530" s="105">
        <f t="shared" si="155"/>
        <v>0</v>
      </c>
      <c r="AH530" s="106"/>
      <c r="AI530" s="312"/>
      <c r="AJ530" s="105">
        <f t="shared" si="165"/>
        <v>0</v>
      </c>
      <c r="AK530" s="234"/>
      <c r="AL530" s="105">
        <f>IF(SUMIFS('Shipments data'!L:L,'Shipments data'!F:F,'Supply planning data'!C530,'Shipments data'!A:A,'Supply planning data'!A530,'Shipments data'!O:O,"received",'Shipments data'!Q:Q,"&lt;"&amp;'Supply planning data'!D545,'Shipments data'!AC:AC,"&lt;"&amp;'Supply planning data'!D545)-SUMIFS(M:M,D:D,"&lt;="&amp;D530,C:C,C530)-SUMIFS(AJ:AJ,D:D,"&lt;="&amp;D530,C:C,C530)+SUMIFS(N:N,D:D,"&lt;="&amp;D530,C:C,C530)+SUMIFS(P:P,D:D,"&lt;="&amp;D530,C:C,C530)&lt;0,0,SUMIFS('Shipments data'!L:L,'Shipments data'!F:F,'Supply planning data'!C530,'Shipments data'!A:A,'Supply planning data'!A530,'Shipments data'!O:O,"received",'Shipments data'!Q:Q,"&lt;"&amp;'Supply planning data'!D545,'Shipments data'!AC:AC,"&lt;"&amp;'Supply planning data'!D545)-SUMIFS(M:M,D:D,"&lt;="&amp;D530,C:C,C530)-SUMIFS(AJ:AJ,D:D,"&lt;="&amp;D530,C:C,C530)+SUMIFS(N:N,D:D,"&lt;="&amp;D530,C:C,C530)+SUMIFS(P:P,D:D,"&lt;="&amp;D530,C:C,C530))</f>
        <v>0</v>
      </c>
      <c r="AM530" s="105">
        <f t="shared" si="156"/>
        <v>0</v>
      </c>
      <c r="AN530" s="105">
        <f t="shared" si="167"/>
        <v>0</v>
      </c>
      <c r="AO530" s="206" t="str">
        <f t="shared" si="159"/>
        <v/>
      </c>
    </row>
    <row r="531" spans="1:41" x14ac:dyDescent="0.25">
      <c r="A531" s="103" t="str">
        <f>Start!D$7</f>
        <v>Anyland</v>
      </c>
      <c r="B531" s="109" t="str">
        <f>VLOOKUP(A531,list!B:C,2,FALSE)</f>
        <v>ANY</v>
      </c>
      <c r="C531" s="109" t="str">
        <f>IF(Start!$C$18="","",Start!$C$18)</f>
        <v>Jansen</v>
      </c>
      <c r="D531" s="298">
        <f t="shared" si="150"/>
        <v>45261</v>
      </c>
      <c r="E531" s="105" t="str">
        <f>IFERROR(VLOOKUP(C531,Start!C$15:D$31,2,FALSE),"No")</f>
        <v>Yes</v>
      </c>
      <c r="F531" s="105">
        <f t="shared" si="151"/>
        <v>2071200</v>
      </c>
      <c r="G531" s="106"/>
      <c r="H531" s="106"/>
      <c r="I531" s="106"/>
      <c r="J531" s="105">
        <f t="shared" si="161"/>
        <v>0</v>
      </c>
      <c r="K531" s="106"/>
      <c r="L531" s="177" t="str">
        <f t="shared" si="162"/>
        <v/>
      </c>
      <c r="M531" s="105">
        <f t="shared" si="163"/>
        <v>0</v>
      </c>
      <c r="N531" s="110"/>
      <c r="O531" s="124"/>
      <c r="P531" s="110"/>
      <c r="Q531" s="124"/>
      <c r="R531" s="111">
        <f>SUMIFS('Shipments data'!L:L,'Shipments data'!F:F,'Supply planning data'!C531,'Shipments data'!A:A,'Supply planning data'!A531,'Shipments data'!Y:Y,'Supply planning data'!D531,'Shipments data'!O:O,"received", 'Shipments data'!N:N, "Public")</f>
        <v>0</v>
      </c>
      <c r="S531" s="111">
        <f>SUMIFS('Shipments data'!L:L,'Shipments data'!F:F,'Supply planning data'!C531,'Shipments data'!A:A,'Supply planning data'!A531,'Shipments data'!Y:Y,'Supply planning data'!D531,'Shipments data'!O:O,"ordered", 'Shipments data'!N:N, "Public")</f>
        <v>0</v>
      </c>
      <c r="T531" s="111">
        <f>IF(SUMIFS('Shipments data'!L:L,'Shipments data'!F:F,'Supply planning data'!C531,'Shipments data'!A:A,'Supply planning data'!A531,'Shipments data'!O:O,"received",'Shipments data'!Q:Q,"&lt;"&amp;'Supply planning data'!D546,'Shipments data'!AC:AC,"&lt;"&amp;'Supply planning data'!D546)-SUMIFS(M:M,D:D,"&lt;="&amp;D531,C:C,C531)+SUMIFS(N:N,D:D,"&lt;="&amp;D531,C:C,C531)+SUMIFS(P:P,D:D,"&lt;="&amp;D531,C:C,C531)&lt;0,0,SUMIFS('Shipments data'!L:L,'Shipments data'!F:F,'Supply planning data'!C531,'Shipments data'!A:A,'Supply planning data'!A531,'Shipments data'!O:O,"received",'Shipments data'!Q:Q,"&lt;"&amp;'Supply planning data'!D546,'Shipments data'!AC:AC,"&lt;"&amp;'Supply planning data'!D546)-SUMIFS(M:M,D:D,"&lt;="&amp;D531,C:C,C531)+SUMIFS(N:N,D:D,"&lt;="&amp;D531,C:C,C531)+SUMIFS(P:P,D:D,"&lt;="&amp;D531,C:C,C531))</f>
        <v>387547</v>
      </c>
      <c r="U531" s="112">
        <f t="shared" si="152"/>
        <v>200000</v>
      </c>
      <c r="V531" s="111">
        <f t="shared" si="160"/>
        <v>1871200</v>
      </c>
      <c r="W531" s="204" t="str">
        <f t="shared" si="158"/>
        <v/>
      </c>
      <c r="X531" s="111">
        <f t="shared" si="153"/>
        <v>1511200</v>
      </c>
      <c r="Y531" s="110"/>
      <c r="Z531" s="107"/>
      <c r="AA531" s="111">
        <f t="shared" si="164"/>
        <v>0</v>
      </c>
      <c r="AB531" s="235"/>
      <c r="AC531" s="111">
        <f>IF(SUMIFS('Shipments data'!L:L,'Shipments data'!F:F,'Supply planning data'!C531,'Shipments data'!A:A,'Supply planning data'!A531,'Shipments data'!O:O,"received",'Shipments data'!Q:Q,"&lt;"&amp;'Supply planning data'!D546,'Shipments data'!AC:AC,"&lt;"&amp;'Supply planning data'!D546)-SUMIFS(M:M,D:D,"&lt;="&amp;D531,C:C,C531)-SUMIFS(AA:AA,D:D,"&lt;="&amp;D531,C:C,C531)+SUMIFS(N:N,D:D,"&lt;="&amp;D531,C:C,C531)+SUMIFS(P:P,D:D,"&lt;="&amp;D531,C:C,C531)&lt;0,0,SUMIFS('Shipments data'!L:L,'Shipments data'!F:F,'Supply planning data'!C531,'Shipments data'!A:A,'Supply planning data'!A531,'Shipments data'!O:O,"received",'Shipments data'!Q:Q,"&lt;"&amp;'Supply planning data'!D546,'Shipments data'!AC:AC,"&lt;"&amp;'Supply planning data'!D546)-SUMIFS(M:M,D:D,"&lt;="&amp;D531,C:C,C531)-SUMIFS(AA:AA,D:D,"&lt;="&amp;D531,C:C,C531)+SUMIFS(N:N,D:D,"&lt;="&amp;D531,C:C,C531)+SUMIFS(P:P,D:D,"&lt;="&amp;D531,C:C,C531))</f>
        <v>0</v>
      </c>
      <c r="AD531" s="111">
        <f t="shared" si="154"/>
        <v>0</v>
      </c>
      <c r="AE531" s="111">
        <f t="shared" si="166"/>
        <v>1311200</v>
      </c>
      <c r="AF531" s="204" t="str">
        <f t="shared" si="157"/>
        <v/>
      </c>
      <c r="AG531" s="111">
        <f t="shared" si="155"/>
        <v>2071200</v>
      </c>
      <c r="AH531" s="110"/>
      <c r="AI531" s="313"/>
      <c r="AJ531" s="111">
        <f t="shared" si="165"/>
        <v>0</v>
      </c>
      <c r="AK531" s="235"/>
      <c r="AL531" s="111">
        <f>IF(SUMIFS('Shipments data'!L:L,'Shipments data'!F:F,'Supply planning data'!C531,'Shipments data'!A:A,'Supply planning data'!A531,'Shipments data'!O:O,"received",'Shipments data'!Q:Q,"&lt;"&amp;'Supply planning data'!D546,'Shipments data'!AC:AC,"&lt;"&amp;'Supply planning data'!D546)-SUMIFS(M:M,D:D,"&lt;="&amp;D531,C:C,C531)-SUMIFS(AJ:AJ,D:D,"&lt;="&amp;D531,C:C,C531)+SUMIFS(N:N,D:D,"&lt;="&amp;D531,C:C,C531)+SUMIFS(P:P,D:D,"&lt;="&amp;D531,C:C,C531)&lt;0,0,SUMIFS('Shipments data'!L:L,'Shipments data'!F:F,'Supply planning data'!C531,'Shipments data'!A:A,'Supply planning data'!A531,'Shipments data'!O:O,"received",'Shipments data'!Q:Q,"&lt;"&amp;'Supply planning data'!D546,'Shipments data'!AC:AC,"&lt;"&amp;'Supply planning data'!D546)-SUMIFS(M:M,D:D,"&lt;="&amp;D531,C:C,C531)-SUMIFS(AJ:AJ,D:D,"&lt;="&amp;D531,C:C,C531)+SUMIFS(N:N,D:D,"&lt;="&amp;D531,C:C,C531)+SUMIFS(P:P,D:D,"&lt;="&amp;D531,C:C,C531))</f>
        <v>387547</v>
      </c>
      <c r="AM531" s="111">
        <f t="shared" si="156"/>
        <v>200000</v>
      </c>
      <c r="AN531" s="111">
        <f t="shared" si="167"/>
        <v>1871200</v>
      </c>
      <c r="AO531" s="204" t="str">
        <f t="shared" si="159"/>
        <v/>
      </c>
    </row>
    <row r="532" spans="1:41" x14ac:dyDescent="0.25">
      <c r="A532" s="103" t="str">
        <f>Start!D$7</f>
        <v>Anyland</v>
      </c>
      <c r="B532" s="109" t="str">
        <f>VLOOKUP(A532,list!B:C,2,FALSE)</f>
        <v>ANY</v>
      </c>
      <c r="C532" s="104" t="str">
        <f>IF(Start!$C$19="","",Start!$C$19)</f>
        <v>Moderna</v>
      </c>
      <c r="D532" s="298">
        <f t="shared" ref="D532:D595" si="168">DATE(YEAR(D517),MONTH(D517)+1,1)</f>
        <v>45261</v>
      </c>
      <c r="E532" s="105" t="str">
        <f>IFERROR(VLOOKUP(C532,Start!C$15:D$31,2,FALSE),"No")</f>
        <v>No</v>
      </c>
      <c r="F532" s="105">
        <f t="shared" ref="F532:F595" si="169">V517</f>
        <v>0</v>
      </c>
      <c r="G532" s="106"/>
      <c r="H532" s="106"/>
      <c r="I532" s="106"/>
      <c r="J532" s="105">
        <f t="shared" si="161"/>
        <v>0</v>
      </c>
      <c r="K532" s="106"/>
      <c r="L532" s="177" t="str">
        <f t="shared" si="162"/>
        <v/>
      </c>
      <c r="M532" s="105">
        <f t="shared" si="163"/>
        <v>0</v>
      </c>
      <c r="N532" s="110"/>
      <c r="O532" s="124"/>
      <c r="P532" s="110"/>
      <c r="Q532" s="124"/>
      <c r="R532" s="111">
        <f>SUMIFS('Shipments data'!L:L,'Shipments data'!F:F,'Supply planning data'!C532,'Shipments data'!A:A,'Supply planning data'!A532,'Shipments data'!Y:Y,'Supply planning data'!D532,'Shipments data'!O:O,"received", 'Shipments data'!N:N, "Public")</f>
        <v>0</v>
      </c>
      <c r="S532" s="111">
        <f>SUMIFS('Shipments data'!L:L,'Shipments data'!F:F,'Supply planning data'!C532,'Shipments data'!A:A,'Supply planning data'!A532,'Shipments data'!Y:Y,'Supply planning data'!D532,'Shipments data'!O:O,"ordered", 'Shipments data'!N:N, "Public")</f>
        <v>0</v>
      </c>
      <c r="T532" s="111">
        <f>IF(SUMIFS('Shipments data'!L:L,'Shipments data'!F:F,'Supply planning data'!C532,'Shipments data'!A:A,'Supply planning data'!A532,'Shipments data'!O:O,"received",'Shipments data'!Q:Q,"&lt;"&amp;'Supply planning data'!D547,'Shipments data'!AC:AC,"&lt;"&amp;'Supply planning data'!D547)-SUMIFS(M:M,D:D,"&lt;="&amp;D532,C:C,C532)+SUMIFS(N:N,D:D,"&lt;="&amp;D532,C:C,C532)+SUMIFS(P:P,D:D,"&lt;="&amp;D532,C:C,C532)&lt;0,0,SUMIFS('Shipments data'!L:L,'Shipments data'!F:F,'Supply planning data'!C532,'Shipments data'!A:A,'Supply planning data'!A532,'Shipments data'!O:O,"received",'Shipments data'!Q:Q,"&lt;"&amp;'Supply planning data'!D547,'Shipments data'!AC:AC,"&lt;"&amp;'Supply planning data'!D547)-SUMIFS(M:M,D:D,"&lt;="&amp;D532,C:C,C532)+SUMIFS(N:N,D:D,"&lt;="&amp;D532,C:C,C532)+SUMIFS(P:P,D:D,"&lt;="&amp;D532,C:C,C532))</f>
        <v>0</v>
      </c>
      <c r="U532" s="112">
        <f t="shared" ref="U532:U595" si="170">IF(T532-T517&lt;0,0,T532-T517)</f>
        <v>0</v>
      </c>
      <c r="V532" s="111">
        <f t="shared" si="160"/>
        <v>0</v>
      </c>
      <c r="W532" s="204" t="str">
        <f t="shared" si="158"/>
        <v/>
      </c>
      <c r="X532" s="111">
        <f t="shared" ref="X532:X595" si="171">AE517</f>
        <v>0</v>
      </c>
      <c r="Y532" s="110"/>
      <c r="Z532" s="107"/>
      <c r="AA532" s="111">
        <f t="shared" si="164"/>
        <v>0</v>
      </c>
      <c r="AB532" s="235"/>
      <c r="AC532" s="111">
        <f>IF(SUMIFS('Shipments data'!L:L,'Shipments data'!F:F,'Supply planning data'!C532,'Shipments data'!A:A,'Supply planning data'!A532,'Shipments data'!O:O,"received",'Shipments data'!Q:Q,"&lt;"&amp;'Supply planning data'!D547,'Shipments data'!AC:AC,"&lt;"&amp;'Supply planning data'!D547)-SUMIFS(M:M,D:D,"&lt;="&amp;D532,C:C,C532)-SUMIFS(AA:AA,D:D,"&lt;="&amp;D532,C:C,C532)+SUMIFS(N:N,D:D,"&lt;="&amp;D532,C:C,C532)+SUMIFS(P:P,D:D,"&lt;="&amp;D532,C:C,C532)&lt;0,0,SUMIFS('Shipments data'!L:L,'Shipments data'!F:F,'Supply planning data'!C532,'Shipments data'!A:A,'Supply planning data'!A532,'Shipments data'!O:O,"received",'Shipments data'!Q:Q,"&lt;"&amp;'Supply planning data'!D547,'Shipments data'!AC:AC,"&lt;"&amp;'Supply planning data'!D547)-SUMIFS(M:M,D:D,"&lt;="&amp;D532,C:C,C532)-SUMIFS(AA:AA,D:D,"&lt;="&amp;D532,C:C,C532)+SUMIFS(N:N,D:D,"&lt;="&amp;D532,C:C,C532)+SUMIFS(P:P,D:D,"&lt;="&amp;D532,C:C,C532))</f>
        <v>0</v>
      </c>
      <c r="AD532" s="111">
        <f t="shared" ref="AD532:AD595" si="172">IF(AC532-AC517&lt;0,0,AC532-AC517)</f>
        <v>0</v>
      </c>
      <c r="AE532" s="111">
        <f t="shared" si="166"/>
        <v>0</v>
      </c>
      <c r="AF532" s="204" t="str">
        <f t="shared" si="157"/>
        <v/>
      </c>
      <c r="AG532" s="111">
        <f t="shared" ref="AG532:AG595" si="173">AN517</f>
        <v>0</v>
      </c>
      <c r="AH532" s="110"/>
      <c r="AI532" s="313"/>
      <c r="AJ532" s="111">
        <f t="shared" si="165"/>
        <v>0</v>
      </c>
      <c r="AK532" s="235"/>
      <c r="AL532" s="111">
        <f>IF(SUMIFS('Shipments data'!L:L,'Shipments data'!F:F,'Supply planning data'!C532,'Shipments data'!A:A,'Supply planning data'!A532,'Shipments data'!O:O,"received",'Shipments data'!Q:Q,"&lt;"&amp;'Supply planning data'!D547,'Shipments data'!AC:AC,"&lt;"&amp;'Supply planning data'!D547)-SUMIFS(M:M,D:D,"&lt;="&amp;D532,C:C,C532)-SUMIFS(AJ:AJ,D:D,"&lt;="&amp;D532,C:C,C532)+SUMIFS(N:N,D:D,"&lt;="&amp;D532,C:C,C532)+SUMIFS(P:P,D:D,"&lt;="&amp;D532,C:C,C532)&lt;0,0,SUMIFS('Shipments data'!L:L,'Shipments data'!F:F,'Supply planning data'!C532,'Shipments data'!A:A,'Supply planning data'!A532,'Shipments data'!O:O,"received",'Shipments data'!Q:Q,"&lt;"&amp;'Supply planning data'!D547,'Shipments data'!AC:AC,"&lt;"&amp;'Supply planning data'!D547)-SUMIFS(M:M,D:D,"&lt;="&amp;D532,C:C,C532)-SUMIFS(AJ:AJ,D:D,"&lt;="&amp;D532,C:C,C532)+SUMIFS(N:N,D:D,"&lt;="&amp;D532,C:C,C532)+SUMIFS(P:P,D:D,"&lt;="&amp;D532,C:C,C532))</f>
        <v>0</v>
      </c>
      <c r="AM532" s="111">
        <f t="shared" ref="AM532:AM595" si="174">IF(AL532-AL517&lt;0,0,AL532-AL517)</f>
        <v>0</v>
      </c>
      <c r="AN532" s="111">
        <f t="shared" si="167"/>
        <v>0</v>
      </c>
      <c r="AO532" s="204" t="str">
        <f t="shared" si="159"/>
        <v/>
      </c>
    </row>
    <row r="533" spans="1:41" x14ac:dyDescent="0.25">
      <c r="A533" s="103" t="str">
        <f>Start!D$7</f>
        <v>Anyland</v>
      </c>
      <c r="B533" s="109" t="str">
        <f>VLOOKUP(A533,list!B:C,2,FALSE)</f>
        <v>ANY</v>
      </c>
      <c r="C533" s="109" t="str">
        <f>IF(Start!$C$20="","",Start!$C$20)</f>
        <v>Pfizer</v>
      </c>
      <c r="D533" s="298">
        <f t="shared" si="168"/>
        <v>45261</v>
      </c>
      <c r="E533" s="105" t="str">
        <f>IFERROR(VLOOKUP(C533,Start!C$15:D$31,2,FALSE),"No")</f>
        <v>Yes</v>
      </c>
      <c r="F533" s="105">
        <f t="shared" si="169"/>
        <v>3000000</v>
      </c>
      <c r="G533" s="106"/>
      <c r="H533" s="106"/>
      <c r="I533" s="106"/>
      <c r="J533" s="105">
        <f t="shared" si="161"/>
        <v>0</v>
      </c>
      <c r="K533" s="106"/>
      <c r="L533" s="177" t="str">
        <f t="shared" si="162"/>
        <v/>
      </c>
      <c r="M533" s="105">
        <f t="shared" si="163"/>
        <v>0</v>
      </c>
      <c r="N533" s="110"/>
      <c r="O533" s="124"/>
      <c r="P533" s="110"/>
      <c r="Q533" s="124"/>
      <c r="R533" s="111">
        <f>SUMIFS('Shipments data'!L:L,'Shipments data'!F:F,'Supply planning data'!C533,'Shipments data'!A:A,'Supply planning data'!A533,'Shipments data'!Y:Y,'Supply planning data'!D533,'Shipments data'!O:O,"received", 'Shipments data'!N:N, "Public")</f>
        <v>0</v>
      </c>
      <c r="S533" s="111">
        <f>SUMIFS('Shipments data'!L:L,'Shipments data'!F:F,'Supply planning data'!C533,'Shipments data'!A:A,'Supply planning data'!A533,'Shipments data'!Y:Y,'Supply planning data'!D533,'Shipments data'!O:O,"ordered", 'Shipments data'!N:N, "Public")</f>
        <v>0</v>
      </c>
      <c r="T533" s="111">
        <f>IF(SUMIFS('Shipments data'!L:L,'Shipments data'!F:F,'Supply planning data'!C533,'Shipments data'!A:A,'Supply planning data'!A533,'Shipments data'!O:O,"received",'Shipments data'!Q:Q,"&lt;"&amp;'Supply planning data'!D548,'Shipments data'!AC:AC,"&lt;"&amp;'Supply planning data'!D548)-SUMIFS(M:M,D:D,"&lt;="&amp;D533,C:C,C533)+SUMIFS(N:N,D:D,"&lt;="&amp;D533,C:C,C533)+SUMIFS(P:P,D:D,"&lt;="&amp;D533,C:C,C533)&lt;0,0,SUMIFS('Shipments data'!L:L,'Shipments data'!F:F,'Supply planning data'!C533,'Shipments data'!A:A,'Supply planning data'!A533,'Shipments data'!O:O,"received",'Shipments data'!Q:Q,"&lt;"&amp;'Supply planning data'!D548,'Shipments data'!AC:AC,"&lt;"&amp;'Supply planning data'!D548)-SUMIFS(M:M,D:D,"&lt;="&amp;D533,C:C,C533)+SUMIFS(N:N,D:D,"&lt;="&amp;D533,C:C,C533)+SUMIFS(P:P,D:D,"&lt;="&amp;D533,C:C,C533))</f>
        <v>110538</v>
      </c>
      <c r="U533" s="112">
        <f t="shared" si="170"/>
        <v>0</v>
      </c>
      <c r="V533" s="111">
        <f t="shared" si="160"/>
        <v>3000000</v>
      </c>
      <c r="W533" s="204" t="str">
        <f t="shared" si="158"/>
        <v/>
      </c>
      <c r="X533" s="111">
        <f t="shared" si="171"/>
        <v>2440000</v>
      </c>
      <c r="Y533" s="110"/>
      <c r="Z533" s="107"/>
      <c r="AA533" s="111">
        <f t="shared" si="164"/>
        <v>0</v>
      </c>
      <c r="AB533" s="235"/>
      <c r="AC533" s="111">
        <f>IF(SUMIFS('Shipments data'!L:L,'Shipments data'!F:F,'Supply planning data'!C533,'Shipments data'!A:A,'Supply planning data'!A533,'Shipments data'!O:O,"received",'Shipments data'!Q:Q,"&lt;"&amp;'Supply planning data'!D548,'Shipments data'!AC:AC,"&lt;"&amp;'Supply planning data'!D548)-SUMIFS(M:M,D:D,"&lt;="&amp;D533,C:C,C533)-SUMIFS(AA:AA,D:D,"&lt;="&amp;D533,C:C,C533)+SUMIFS(N:N,D:D,"&lt;="&amp;D533,C:C,C533)+SUMIFS(P:P,D:D,"&lt;="&amp;D533,C:C,C533)&lt;0,0,SUMIFS('Shipments data'!L:L,'Shipments data'!F:F,'Supply planning data'!C533,'Shipments data'!A:A,'Supply planning data'!A533,'Shipments data'!O:O,"received",'Shipments data'!Q:Q,"&lt;"&amp;'Supply planning data'!D548,'Shipments data'!AC:AC,"&lt;"&amp;'Supply planning data'!D548)-SUMIFS(M:M,D:D,"&lt;="&amp;D533,C:C,C533)-SUMIFS(AA:AA,D:D,"&lt;="&amp;D533,C:C,C533)+SUMIFS(N:N,D:D,"&lt;="&amp;D533,C:C,C533)+SUMIFS(P:P,D:D,"&lt;="&amp;D533,C:C,C533))</f>
        <v>0</v>
      </c>
      <c r="AD533" s="111">
        <f t="shared" si="172"/>
        <v>0</v>
      </c>
      <c r="AE533" s="111">
        <f t="shared" si="166"/>
        <v>2440000</v>
      </c>
      <c r="AF533" s="204" t="str">
        <f t="shared" si="157"/>
        <v/>
      </c>
      <c r="AG533" s="111">
        <f t="shared" si="173"/>
        <v>3000000</v>
      </c>
      <c r="AH533" s="110"/>
      <c r="AI533" s="313"/>
      <c r="AJ533" s="111">
        <f t="shared" si="165"/>
        <v>0</v>
      </c>
      <c r="AK533" s="235"/>
      <c r="AL533" s="111">
        <f>IF(SUMIFS('Shipments data'!L:L,'Shipments data'!F:F,'Supply planning data'!C533,'Shipments data'!A:A,'Supply planning data'!A533,'Shipments data'!O:O,"received",'Shipments data'!Q:Q,"&lt;"&amp;'Supply planning data'!D548,'Shipments data'!AC:AC,"&lt;"&amp;'Supply planning data'!D548)-SUMIFS(M:M,D:D,"&lt;="&amp;D533,C:C,C533)-SUMIFS(AJ:AJ,D:D,"&lt;="&amp;D533,C:C,C533)+SUMIFS(N:N,D:D,"&lt;="&amp;D533,C:C,C533)+SUMIFS(P:P,D:D,"&lt;="&amp;D533,C:C,C533)&lt;0,0,SUMIFS('Shipments data'!L:L,'Shipments data'!F:F,'Supply planning data'!C533,'Shipments data'!A:A,'Supply planning data'!A533,'Shipments data'!O:O,"received",'Shipments data'!Q:Q,"&lt;"&amp;'Supply planning data'!D548,'Shipments data'!AC:AC,"&lt;"&amp;'Supply planning data'!D548)-SUMIFS(M:M,D:D,"&lt;="&amp;D533,C:C,C533)-SUMIFS(AJ:AJ,D:D,"&lt;="&amp;D533,C:C,C533)+SUMIFS(N:N,D:D,"&lt;="&amp;D533,C:C,C533)+SUMIFS(P:P,D:D,"&lt;="&amp;D533,C:C,C533))</f>
        <v>110538</v>
      </c>
      <c r="AM533" s="111">
        <f t="shared" si="174"/>
        <v>0</v>
      </c>
      <c r="AN533" s="111">
        <f t="shared" si="167"/>
        <v>3000000</v>
      </c>
      <c r="AO533" s="204" t="str">
        <f t="shared" si="159"/>
        <v/>
      </c>
    </row>
    <row r="534" spans="1:41" x14ac:dyDescent="0.25">
      <c r="A534" s="103" t="str">
        <f>Start!D$7</f>
        <v>Anyland</v>
      </c>
      <c r="B534" s="109" t="str">
        <f>VLOOKUP(A534,list!B:C,2,FALSE)</f>
        <v>ANY</v>
      </c>
      <c r="C534" s="104" t="str">
        <f>IF(Start!$C$21="","",Start!$C$21)</f>
        <v>Sinovac</v>
      </c>
      <c r="D534" s="298">
        <f t="shared" si="168"/>
        <v>45261</v>
      </c>
      <c r="E534" s="105" t="str">
        <f>IFERROR(VLOOKUP(C534,Start!C$15:D$31,2,FALSE),"No")</f>
        <v>No</v>
      </c>
      <c r="F534" s="105">
        <f t="shared" si="169"/>
        <v>0</v>
      </c>
      <c r="G534" s="106"/>
      <c r="H534" s="106"/>
      <c r="I534" s="106"/>
      <c r="J534" s="105">
        <f t="shared" si="161"/>
        <v>0</v>
      </c>
      <c r="K534" s="106"/>
      <c r="L534" s="177" t="str">
        <f t="shared" si="162"/>
        <v/>
      </c>
      <c r="M534" s="105">
        <f t="shared" si="163"/>
        <v>0</v>
      </c>
      <c r="N534" s="110"/>
      <c r="O534" s="124"/>
      <c r="P534" s="110"/>
      <c r="Q534" s="124"/>
      <c r="R534" s="111">
        <f>SUMIFS('Shipments data'!L:L,'Shipments data'!F:F,'Supply planning data'!C534,'Shipments data'!A:A,'Supply planning data'!A534,'Shipments data'!Y:Y,'Supply planning data'!D534,'Shipments data'!O:O,"received", 'Shipments data'!N:N, "Public")</f>
        <v>0</v>
      </c>
      <c r="S534" s="111">
        <f>SUMIFS('Shipments data'!L:L,'Shipments data'!F:F,'Supply planning data'!C534,'Shipments data'!A:A,'Supply planning data'!A534,'Shipments data'!Y:Y,'Supply planning data'!D534,'Shipments data'!O:O,"ordered", 'Shipments data'!N:N, "Public")</f>
        <v>0</v>
      </c>
      <c r="T534" s="111">
        <f>IF(SUMIFS('Shipments data'!L:L,'Shipments data'!F:F,'Supply planning data'!C534,'Shipments data'!A:A,'Supply planning data'!A534,'Shipments data'!O:O,"received",'Shipments data'!Q:Q,"&lt;"&amp;'Supply planning data'!D549,'Shipments data'!AC:AC,"&lt;"&amp;'Supply planning data'!D549)-SUMIFS(M:M,D:D,"&lt;="&amp;D534,C:C,C534)+SUMIFS(N:N,D:D,"&lt;="&amp;D534,C:C,C534)+SUMIFS(P:P,D:D,"&lt;="&amp;D534,C:C,C534)&lt;0,0,SUMIFS('Shipments data'!L:L,'Shipments data'!F:F,'Supply planning data'!C534,'Shipments data'!A:A,'Supply planning data'!A534,'Shipments data'!O:O,"received",'Shipments data'!Q:Q,"&lt;"&amp;'Supply planning data'!D549,'Shipments data'!AC:AC,"&lt;"&amp;'Supply planning data'!D549)-SUMIFS(M:M,D:D,"&lt;="&amp;D534,C:C,C534)+SUMIFS(N:N,D:D,"&lt;="&amp;D534,C:C,C534)+SUMIFS(P:P,D:D,"&lt;="&amp;D534,C:C,C534))</f>
        <v>0</v>
      </c>
      <c r="U534" s="112">
        <f t="shared" si="170"/>
        <v>0</v>
      </c>
      <c r="V534" s="111">
        <f t="shared" si="160"/>
        <v>0</v>
      </c>
      <c r="W534" s="204" t="str">
        <f t="shared" si="158"/>
        <v/>
      </c>
      <c r="X534" s="111">
        <f t="shared" si="171"/>
        <v>0</v>
      </c>
      <c r="Y534" s="110"/>
      <c r="Z534" s="107"/>
      <c r="AA534" s="111">
        <f t="shared" si="164"/>
        <v>0</v>
      </c>
      <c r="AB534" s="235"/>
      <c r="AC534" s="111">
        <f>IF(SUMIFS('Shipments data'!L:L,'Shipments data'!F:F,'Supply planning data'!C534,'Shipments data'!A:A,'Supply planning data'!A534,'Shipments data'!O:O,"received",'Shipments data'!Q:Q,"&lt;"&amp;'Supply planning data'!D549,'Shipments data'!AC:AC,"&lt;"&amp;'Supply planning data'!D549)-SUMIFS(M:M,D:D,"&lt;="&amp;D534,C:C,C534)-SUMIFS(AA:AA,D:D,"&lt;="&amp;D534,C:C,C534)+SUMIFS(N:N,D:D,"&lt;="&amp;D534,C:C,C534)+SUMIFS(P:P,D:D,"&lt;="&amp;D534,C:C,C534)&lt;0,0,SUMIFS('Shipments data'!L:L,'Shipments data'!F:F,'Supply planning data'!C534,'Shipments data'!A:A,'Supply planning data'!A534,'Shipments data'!O:O,"received",'Shipments data'!Q:Q,"&lt;"&amp;'Supply planning data'!D549,'Shipments data'!AC:AC,"&lt;"&amp;'Supply planning data'!D549)-SUMIFS(M:M,D:D,"&lt;="&amp;D534,C:C,C534)-SUMIFS(AA:AA,D:D,"&lt;="&amp;D534,C:C,C534)+SUMIFS(N:N,D:D,"&lt;="&amp;D534,C:C,C534)+SUMIFS(P:P,D:D,"&lt;="&amp;D534,C:C,C534))</f>
        <v>0</v>
      </c>
      <c r="AD534" s="111">
        <f t="shared" si="172"/>
        <v>0</v>
      </c>
      <c r="AE534" s="111">
        <f t="shared" si="166"/>
        <v>0</v>
      </c>
      <c r="AF534" s="204" t="str">
        <f t="shared" si="157"/>
        <v/>
      </c>
      <c r="AG534" s="111">
        <f t="shared" si="173"/>
        <v>0</v>
      </c>
      <c r="AH534" s="110"/>
      <c r="AI534" s="313"/>
      <c r="AJ534" s="111">
        <f t="shared" si="165"/>
        <v>0</v>
      </c>
      <c r="AK534" s="235"/>
      <c r="AL534" s="111">
        <f>IF(SUMIFS('Shipments data'!L:L,'Shipments data'!F:F,'Supply planning data'!C534,'Shipments data'!A:A,'Supply planning data'!A534,'Shipments data'!O:O,"received",'Shipments data'!Q:Q,"&lt;"&amp;'Supply planning data'!D549,'Shipments data'!AC:AC,"&lt;"&amp;'Supply planning data'!D549)-SUMIFS(M:M,D:D,"&lt;="&amp;D534,C:C,C534)-SUMIFS(AJ:AJ,D:D,"&lt;="&amp;D534,C:C,C534)+SUMIFS(N:N,D:D,"&lt;="&amp;D534,C:C,C534)+SUMIFS(P:P,D:D,"&lt;="&amp;D534,C:C,C534)&lt;0,0,SUMIFS('Shipments data'!L:L,'Shipments data'!F:F,'Supply planning data'!C534,'Shipments data'!A:A,'Supply planning data'!A534,'Shipments data'!O:O,"received",'Shipments data'!Q:Q,"&lt;"&amp;'Supply planning data'!D549,'Shipments data'!AC:AC,"&lt;"&amp;'Supply planning data'!D549)-SUMIFS(M:M,D:D,"&lt;="&amp;D534,C:C,C534)-SUMIFS(AJ:AJ,D:D,"&lt;="&amp;D534,C:C,C534)+SUMIFS(N:N,D:D,"&lt;="&amp;D534,C:C,C534)+SUMIFS(P:P,D:D,"&lt;="&amp;D534,C:C,C534))</f>
        <v>0</v>
      </c>
      <c r="AM534" s="111">
        <f t="shared" si="174"/>
        <v>0</v>
      </c>
      <c r="AN534" s="111">
        <f t="shared" si="167"/>
        <v>0</v>
      </c>
      <c r="AO534" s="204" t="str">
        <f t="shared" si="159"/>
        <v/>
      </c>
    </row>
    <row r="535" spans="1:41" hidden="1" x14ac:dyDescent="0.25">
      <c r="A535" s="103" t="str">
        <f>Start!D$7</f>
        <v>Anyland</v>
      </c>
      <c r="B535" s="109" t="str">
        <f>VLOOKUP(A535,list!B:C,2,FALSE)</f>
        <v>ANY</v>
      </c>
      <c r="C535" s="109" t="str">
        <f>IF(Start!$C$22="","",Start!$C$22)</f>
        <v/>
      </c>
      <c r="D535" s="298">
        <f t="shared" si="168"/>
        <v>45261</v>
      </c>
      <c r="E535" s="105" t="str">
        <f>IFERROR(VLOOKUP(C535,Start!C$15:D$31,2,FALSE),"No")</f>
        <v>No</v>
      </c>
      <c r="F535" s="105">
        <f t="shared" si="169"/>
        <v>0</v>
      </c>
      <c r="G535" s="106"/>
      <c r="H535" s="106"/>
      <c r="I535" s="106"/>
      <c r="J535" s="105">
        <f t="shared" si="161"/>
        <v>0</v>
      </c>
      <c r="K535" s="106"/>
      <c r="L535" s="177" t="str">
        <f t="shared" si="162"/>
        <v/>
      </c>
      <c r="M535" s="105">
        <f t="shared" si="163"/>
        <v>0</v>
      </c>
      <c r="N535" s="110"/>
      <c r="O535" s="124"/>
      <c r="P535" s="110"/>
      <c r="Q535" s="124"/>
      <c r="R535" s="111">
        <f>SUMIFS('Shipments data'!L:L,'Shipments data'!F:F,'Supply planning data'!C535,'Shipments data'!A:A,'Supply planning data'!A535,'Shipments data'!Y:Y,'Supply planning data'!D535,'Shipments data'!O:O,"received", 'Shipments data'!N:N, "Public")</f>
        <v>0</v>
      </c>
      <c r="S535" s="111">
        <f>SUMIFS('Shipments data'!L:L,'Shipments data'!F:F,'Supply planning data'!C535,'Shipments data'!A:A,'Supply planning data'!A535,'Shipments data'!Y:Y,'Supply planning data'!D535,'Shipments data'!O:O,"ordered", 'Shipments data'!N:N, "Public")</f>
        <v>0</v>
      </c>
      <c r="T535" s="111">
        <f>IF(SUMIFS('Shipments data'!L:L,'Shipments data'!F:F,'Supply planning data'!C535,'Shipments data'!A:A,'Supply planning data'!A535,'Shipments data'!O:O,"received",'Shipments data'!Q:Q,"&lt;"&amp;'Supply planning data'!D550,'Shipments data'!AC:AC,"&lt;"&amp;'Supply planning data'!D550)-SUMIFS(M:M,D:D,"&lt;="&amp;D535,C:C,C535)+SUMIFS(N:N,D:D,"&lt;="&amp;D535,C:C,C535)+SUMIFS(P:P,D:D,"&lt;="&amp;D535,C:C,C535)&lt;0,0,SUMIFS('Shipments data'!L:L,'Shipments data'!F:F,'Supply planning data'!C535,'Shipments data'!A:A,'Supply planning data'!A535,'Shipments data'!O:O,"received",'Shipments data'!Q:Q,"&lt;"&amp;'Supply planning data'!D550,'Shipments data'!AC:AC,"&lt;"&amp;'Supply planning data'!D550)-SUMIFS(M:M,D:D,"&lt;="&amp;D535,C:C,C535)+SUMIFS(N:N,D:D,"&lt;="&amp;D535,C:C,C535)+SUMIFS(P:P,D:D,"&lt;="&amp;D535,C:C,C535))</f>
        <v>0</v>
      </c>
      <c r="U535" s="112">
        <f t="shared" si="170"/>
        <v>0</v>
      </c>
      <c r="V535" s="111">
        <f t="shared" si="160"/>
        <v>0</v>
      </c>
      <c r="W535" s="204" t="str">
        <f t="shared" si="158"/>
        <v/>
      </c>
      <c r="X535" s="111">
        <f t="shared" si="171"/>
        <v>0</v>
      </c>
      <c r="Y535" s="110"/>
      <c r="Z535" s="107"/>
      <c r="AA535" s="111">
        <f t="shared" si="164"/>
        <v>0</v>
      </c>
      <c r="AB535" s="235"/>
      <c r="AC535" s="111">
        <f>IF(SUMIFS('Shipments data'!L:L,'Shipments data'!F:F,'Supply planning data'!C535,'Shipments data'!A:A,'Supply planning data'!A535,'Shipments data'!O:O,"received",'Shipments data'!Q:Q,"&lt;"&amp;'Supply planning data'!D550,'Shipments data'!AC:AC,"&lt;"&amp;'Supply planning data'!D550)-SUMIFS(M:M,D:D,"&lt;="&amp;D535,C:C,C535)-SUMIFS(AA:AA,D:D,"&lt;="&amp;D535,C:C,C535)+SUMIFS(N:N,D:D,"&lt;="&amp;D535,C:C,C535)+SUMIFS(P:P,D:D,"&lt;="&amp;D535,C:C,C535)&lt;0,0,SUMIFS('Shipments data'!L:L,'Shipments data'!F:F,'Supply planning data'!C535,'Shipments data'!A:A,'Supply planning data'!A535,'Shipments data'!O:O,"received",'Shipments data'!Q:Q,"&lt;"&amp;'Supply planning data'!D550,'Shipments data'!AC:AC,"&lt;"&amp;'Supply planning data'!D550)-SUMIFS(M:M,D:D,"&lt;="&amp;D535,C:C,C535)-SUMIFS(AA:AA,D:D,"&lt;="&amp;D535,C:C,C535)+SUMIFS(N:N,D:D,"&lt;="&amp;D535,C:C,C535)+SUMIFS(P:P,D:D,"&lt;="&amp;D535,C:C,C535))</f>
        <v>0</v>
      </c>
      <c r="AD535" s="111">
        <f t="shared" si="172"/>
        <v>0</v>
      </c>
      <c r="AE535" s="111">
        <f t="shared" si="166"/>
        <v>0</v>
      </c>
      <c r="AF535" s="204" t="str">
        <f t="shared" si="157"/>
        <v/>
      </c>
      <c r="AG535" s="111">
        <f t="shared" si="173"/>
        <v>0</v>
      </c>
      <c r="AH535" s="110"/>
      <c r="AI535" s="313"/>
      <c r="AJ535" s="111">
        <f t="shared" si="165"/>
        <v>0</v>
      </c>
      <c r="AK535" s="235"/>
      <c r="AL535" s="111">
        <f>IF(SUMIFS('Shipments data'!L:L,'Shipments data'!F:F,'Supply planning data'!C535,'Shipments data'!A:A,'Supply planning data'!A535,'Shipments data'!O:O,"received",'Shipments data'!Q:Q,"&lt;"&amp;'Supply planning data'!D550,'Shipments data'!AC:AC,"&lt;"&amp;'Supply planning data'!D550)-SUMIFS(M:M,D:D,"&lt;="&amp;D535,C:C,C535)-SUMIFS(AJ:AJ,D:D,"&lt;="&amp;D535,C:C,C535)+SUMIFS(N:N,D:D,"&lt;="&amp;D535,C:C,C535)+SUMIFS(P:P,D:D,"&lt;="&amp;D535,C:C,C535)&lt;0,0,SUMIFS('Shipments data'!L:L,'Shipments data'!F:F,'Supply planning data'!C535,'Shipments data'!A:A,'Supply planning data'!A535,'Shipments data'!O:O,"received",'Shipments data'!Q:Q,"&lt;"&amp;'Supply planning data'!D550,'Shipments data'!AC:AC,"&lt;"&amp;'Supply planning data'!D550)-SUMIFS(M:M,D:D,"&lt;="&amp;D535,C:C,C535)-SUMIFS(AJ:AJ,D:D,"&lt;="&amp;D535,C:C,C535)+SUMIFS(N:N,D:D,"&lt;="&amp;D535,C:C,C535)+SUMIFS(P:P,D:D,"&lt;="&amp;D535,C:C,C535))</f>
        <v>0</v>
      </c>
      <c r="AM535" s="111">
        <f t="shared" si="174"/>
        <v>0</v>
      </c>
      <c r="AN535" s="111">
        <f t="shared" si="167"/>
        <v>0</v>
      </c>
      <c r="AO535" s="204" t="str">
        <f t="shared" si="159"/>
        <v/>
      </c>
    </row>
    <row r="536" spans="1:41" hidden="1" x14ac:dyDescent="0.25">
      <c r="A536" s="103" t="str">
        <f>Start!D$7</f>
        <v>Anyland</v>
      </c>
      <c r="B536" s="109" t="str">
        <f>VLOOKUP(A536,list!B:C,2,FALSE)</f>
        <v>ANY</v>
      </c>
      <c r="C536" s="104" t="str">
        <f>IF(Start!$C$23="","",Start!$C$23)</f>
        <v/>
      </c>
      <c r="D536" s="298">
        <f t="shared" si="168"/>
        <v>45261</v>
      </c>
      <c r="E536" s="105" t="str">
        <f>IFERROR(VLOOKUP(C536,Start!C$15:D$31,2,FALSE),"No")</f>
        <v>No</v>
      </c>
      <c r="F536" s="105">
        <f t="shared" si="169"/>
        <v>0</v>
      </c>
      <c r="G536" s="106"/>
      <c r="H536" s="106"/>
      <c r="I536" s="106"/>
      <c r="J536" s="105">
        <f t="shared" si="161"/>
        <v>0</v>
      </c>
      <c r="K536" s="106"/>
      <c r="L536" s="177" t="str">
        <f t="shared" si="162"/>
        <v/>
      </c>
      <c r="M536" s="105">
        <f t="shared" si="163"/>
        <v>0</v>
      </c>
      <c r="N536" s="110"/>
      <c r="O536" s="124"/>
      <c r="P536" s="110"/>
      <c r="Q536" s="124"/>
      <c r="R536" s="111">
        <f>SUMIFS('Shipments data'!L:L,'Shipments data'!F:F,'Supply planning data'!C536,'Shipments data'!A:A,'Supply planning data'!A536,'Shipments data'!Y:Y,'Supply planning data'!D536,'Shipments data'!O:O,"received", 'Shipments data'!N:N, "Public")</f>
        <v>0</v>
      </c>
      <c r="S536" s="111">
        <f>SUMIFS('Shipments data'!L:L,'Shipments data'!F:F,'Supply planning data'!C536,'Shipments data'!A:A,'Supply planning data'!A536,'Shipments data'!Y:Y,'Supply planning data'!D536,'Shipments data'!O:O,"ordered", 'Shipments data'!N:N, "Public")</f>
        <v>0</v>
      </c>
      <c r="T536" s="111">
        <f>IF(SUMIFS('Shipments data'!L:L,'Shipments data'!F:F,'Supply planning data'!C536,'Shipments data'!A:A,'Supply planning data'!A536,'Shipments data'!O:O,"received",'Shipments data'!Q:Q,"&lt;"&amp;'Supply planning data'!D551,'Shipments data'!AC:AC,"&lt;"&amp;'Supply planning data'!D551)-SUMIFS(M:M,D:D,"&lt;="&amp;D536,C:C,C536)+SUMIFS(N:N,D:D,"&lt;="&amp;D536,C:C,C536)+SUMIFS(P:P,D:D,"&lt;="&amp;D536,C:C,C536)&lt;0,0,SUMIFS('Shipments data'!L:L,'Shipments data'!F:F,'Supply planning data'!C536,'Shipments data'!A:A,'Supply planning data'!A536,'Shipments data'!O:O,"received",'Shipments data'!Q:Q,"&lt;"&amp;'Supply planning data'!D551,'Shipments data'!AC:AC,"&lt;"&amp;'Supply planning data'!D551)-SUMIFS(M:M,D:D,"&lt;="&amp;D536,C:C,C536)+SUMIFS(N:N,D:D,"&lt;="&amp;D536,C:C,C536)+SUMIFS(P:P,D:D,"&lt;="&amp;D536,C:C,C536))</f>
        <v>0</v>
      </c>
      <c r="U536" s="112">
        <f t="shared" si="170"/>
        <v>0</v>
      </c>
      <c r="V536" s="111">
        <f t="shared" si="160"/>
        <v>0</v>
      </c>
      <c r="W536" s="204" t="str">
        <f t="shared" si="158"/>
        <v/>
      </c>
      <c r="X536" s="111">
        <f t="shared" si="171"/>
        <v>0</v>
      </c>
      <c r="Y536" s="110"/>
      <c r="Z536" s="107"/>
      <c r="AA536" s="111">
        <f t="shared" si="164"/>
        <v>0</v>
      </c>
      <c r="AB536" s="235"/>
      <c r="AC536" s="111">
        <f>IF(SUMIFS('Shipments data'!L:L,'Shipments data'!F:F,'Supply planning data'!C536,'Shipments data'!A:A,'Supply planning data'!A536,'Shipments data'!O:O,"received",'Shipments data'!Q:Q,"&lt;"&amp;'Supply planning data'!D551,'Shipments data'!AC:AC,"&lt;"&amp;'Supply planning data'!D551)-SUMIFS(M:M,D:D,"&lt;="&amp;D536,C:C,C536)-SUMIFS(AA:AA,D:D,"&lt;="&amp;D536,C:C,C536)+SUMIFS(N:N,D:D,"&lt;="&amp;D536,C:C,C536)+SUMIFS(P:P,D:D,"&lt;="&amp;D536,C:C,C536)&lt;0,0,SUMIFS('Shipments data'!L:L,'Shipments data'!F:F,'Supply planning data'!C536,'Shipments data'!A:A,'Supply planning data'!A536,'Shipments data'!O:O,"received",'Shipments data'!Q:Q,"&lt;"&amp;'Supply planning data'!D551,'Shipments data'!AC:AC,"&lt;"&amp;'Supply planning data'!D551)-SUMIFS(M:M,D:D,"&lt;="&amp;D536,C:C,C536)-SUMIFS(AA:AA,D:D,"&lt;="&amp;D536,C:C,C536)+SUMIFS(N:N,D:D,"&lt;="&amp;D536,C:C,C536)+SUMIFS(P:P,D:D,"&lt;="&amp;D536,C:C,C536))</f>
        <v>0</v>
      </c>
      <c r="AD536" s="111">
        <f t="shared" si="172"/>
        <v>0</v>
      </c>
      <c r="AE536" s="111">
        <f t="shared" si="166"/>
        <v>0</v>
      </c>
      <c r="AF536" s="204" t="str">
        <f t="shared" si="157"/>
        <v/>
      </c>
      <c r="AG536" s="111">
        <f t="shared" si="173"/>
        <v>0</v>
      </c>
      <c r="AH536" s="110"/>
      <c r="AI536" s="313"/>
      <c r="AJ536" s="111">
        <f t="shared" si="165"/>
        <v>0</v>
      </c>
      <c r="AK536" s="235"/>
      <c r="AL536" s="111">
        <f>IF(SUMIFS('Shipments data'!L:L,'Shipments data'!F:F,'Supply planning data'!C536,'Shipments data'!A:A,'Supply planning data'!A536,'Shipments data'!O:O,"received",'Shipments data'!Q:Q,"&lt;"&amp;'Supply planning data'!D551,'Shipments data'!AC:AC,"&lt;"&amp;'Supply planning data'!D551)-SUMIFS(M:M,D:D,"&lt;="&amp;D536,C:C,C536)-SUMIFS(AJ:AJ,D:D,"&lt;="&amp;D536,C:C,C536)+SUMIFS(N:N,D:D,"&lt;="&amp;D536,C:C,C536)+SUMIFS(P:P,D:D,"&lt;="&amp;D536,C:C,C536)&lt;0,0,SUMIFS('Shipments data'!L:L,'Shipments data'!F:F,'Supply planning data'!C536,'Shipments data'!A:A,'Supply planning data'!A536,'Shipments data'!O:O,"received",'Shipments data'!Q:Q,"&lt;"&amp;'Supply planning data'!D551,'Shipments data'!AC:AC,"&lt;"&amp;'Supply planning data'!D551)-SUMIFS(M:M,D:D,"&lt;="&amp;D536,C:C,C536)-SUMIFS(AJ:AJ,D:D,"&lt;="&amp;D536,C:C,C536)+SUMIFS(N:N,D:D,"&lt;="&amp;D536,C:C,C536)+SUMIFS(P:P,D:D,"&lt;="&amp;D536,C:C,C536))</f>
        <v>0</v>
      </c>
      <c r="AM536" s="111">
        <f t="shared" si="174"/>
        <v>0</v>
      </c>
      <c r="AN536" s="111">
        <f t="shared" si="167"/>
        <v>0</v>
      </c>
      <c r="AO536" s="204" t="str">
        <f t="shared" si="159"/>
        <v/>
      </c>
    </row>
    <row r="537" spans="1:41" hidden="1" x14ac:dyDescent="0.25">
      <c r="A537" s="103" t="str">
        <f>Start!D$7</f>
        <v>Anyland</v>
      </c>
      <c r="B537" s="109" t="str">
        <f>VLOOKUP(A537,list!B:C,2,FALSE)</f>
        <v>ANY</v>
      </c>
      <c r="C537" s="109" t="str">
        <f>IF(Start!$C$24="","",Start!$C$24)</f>
        <v/>
      </c>
      <c r="D537" s="298">
        <f t="shared" si="168"/>
        <v>45261</v>
      </c>
      <c r="E537" s="105" t="str">
        <f>IFERROR(VLOOKUP(C537,Start!C$15:D$31,2,FALSE),"No")</f>
        <v>No</v>
      </c>
      <c r="F537" s="105">
        <f t="shared" si="169"/>
        <v>0</v>
      </c>
      <c r="G537" s="106"/>
      <c r="H537" s="106"/>
      <c r="I537" s="106"/>
      <c r="J537" s="105">
        <f t="shared" si="161"/>
        <v>0</v>
      </c>
      <c r="K537" s="106"/>
      <c r="L537" s="177" t="str">
        <f t="shared" si="162"/>
        <v/>
      </c>
      <c r="M537" s="105">
        <f t="shared" si="163"/>
        <v>0</v>
      </c>
      <c r="N537" s="110"/>
      <c r="O537" s="124"/>
      <c r="P537" s="110"/>
      <c r="Q537" s="124"/>
      <c r="R537" s="111">
        <f>SUMIFS('Shipments data'!L:L,'Shipments data'!F:F,'Supply planning data'!C537,'Shipments data'!A:A,'Supply planning data'!A537,'Shipments data'!Y:Y,'Supply planning data'!D537,'Shipments data'!O:O,"received", 'Shipments data'!N:N, "Public")</f>
        <v>0</v>
      </c>
      <c r="S537" s="111">
        <f>SUMIFS('Shipments data'!L:L,'Shipments data'!F:F,'Supply planning data'!C537,'Shipments data'!A:A,'Supply planning data'!A537,'Shipments data'!Y:Y,'Supply planning data'!D537,'Shipments data'!O:O,"ordered", 'Shipments data'!N:N, "Public")</f>
        <v>0</v>
      </c>
      <c r="T537" s="111">
        <f>IF(SUMIFS('Shipments data'!L:L,'Shipments data'!F:F,'Supply planning data'!C537,'Shipments data'!A:A,'Supply planning data'!A537,'Shipments data'!O:O,"received",'Shipments data'!Q:Q,"&lt;"&amp;'Supply planning data'!D552,'Shipments data'!AC:AC,"&lt;"&amp;'Supply planning data'!D552)-SUMIFS(M:M,D:D,"&lt;="&amp;D537,C:C,C537)+SUMIFS(N:N,D:D,"&lt;="&amp;D537,C:C,C537)+SUMIFS(P:P,D:D,"&lt;="&amp;D537,C:C,C537)&lt;0,0,SUMIFS('Shipments data'!L:L,'Shipments data'!F:F,'Supply planning data'!C537,'Shipments data'!A:A,'Supply planning data'!A537,'Shipments data'!O:O,"received",'Shipments data'!Q:Q,"&lt;"&amp;'Supply planning data'!D552,'Shipments data'!AC:AC,"&lt;"&amp;'Supply planning data'!D552)-SUMIFS(M:M,D:D,"&lt;="&amp;D537,C:C,C537)+SUMIFS(N:N,D:D,"&lt;="&amp;D537,C:C,C537)+SUMIFS(P:P,D:D,"&lt;="&amp;D537,C:C,C537))</f>
        <v>0</v>
      </c>
      <c r="U537" s="112">
        <f t="shared" si="170"/>
        <v>0</v>
      </c>
      <c r="V537" s="111">
        <f t="shared" si="160"/>
        <v>0</v>
      </c>
      <c r="W537" s="204" t="str">
        <f t="shared" si="158"/>
        <v/>
      </c>
      <c r="X537" s="111">
        <f t="shared" si="171"/>
        <v>0</v>
      </c>
      <c r="Y537" s="110"/>
      <c r="Z537" s="107"/>
      <c r="AA537" s="111">
        <f t="shared" si="164"/>
        <v>0</v>
      </c>
      <c r="AB537" s="235"/>
      <c r="AC537" s="111">
        <f>IF(SUMIFS('Shipments data'!L:L,'Shipments data'!F:F,'Supply planning data'!C537,'Shipments data'!A:A,'Supply planning data'!A537,'Shipments data'!O:O,"received",'Shipments data'!Q:Q,"&lt;"&amp;'Supply planning data'!D552,'Shipments data'!AC:AC,"&lt;"&amp;'Supply planning data'!D552)-SUMIFS(M:M,D:D,"&lt;="&amp;D537,C:C,C537)-SUMIFS(AA:AA,D:D,"&lt;="&amp;D537,C:C,C537)+SUMIFS(N:N,D:D,"&lt;="&amp;D537,C:C,C537)+SUMIFS(P:P,D:D,"&lt;="&amp;D537,C:C,C537)&lt;0,0,SUMIFS('Shipments data'!L:L,'Shipments data'!F:F,'Supply planning data'!C537,'Shipments data'!A:A,'Supply planning data'!A537,'Shipments data'!O:O,"received",'Shipments data'!Q:Q,"&lt;"&amp;'Supply planning data'!D552,'Shipments data'!AC:AC,"&lt;"&amp;'Supply planning data'!D552)-SUMIFS(M:M,D:D,"&lt;="&amp;D537,C:C,C537)-SUMIFS(AA:AA,D:D,"&lt;="&amp;D537,C:C,C537)+SUMIFS(N:N,D:D,"&lt;="&amp;D537,C:C,C537)+SUMIFS(P:P,D:D,"&lt;="&amp;D537,C:C,C537))</f>
        <v>0</v>
      </c>
      <c r="AD537" s="111">
        <f t="shared" si="172"/>
        <v>0</v>
      </c>
      <c r="AE537" s="111">
        <f t="shared" si="166"/>
        <v>0</v>
      </c>
      <c r="AF537" s="204" t="str">
        <f t="shared" si="157"/>
        <v/>
      </c>
      <c r="AG537" s="111">
        <f t="shared" si="173"/>
        <v>0</v>
      </c>
      <c r="AH537" s="110"/>
      <c r="AI537" s="313"/>
      <c r="AJ537" s="111">
        <f t="shared" si="165"/>
        <v>0</v>
      </c>
      <c r="AK537" s="235"/>
      <c r="AL537" s="111">
        <f>IF(SUMIFS('Shipments data'!L:L,'Shipments data'!F:F,'Supply planning data'!C537,'Shipments data'!A:A,'Supply planning data'!A537,'Shipments data'!O:O,"received",'Shipments data'!Q:Q,"&lt;"&amp;'Supply planning data'!D552,'Shipments data'!AC:AC,"&lt;"&amp;'Supply planning data'!D552)-SUMIFS(M:M,D:D,"&lt;="&amp;D537,C:C,C537)-SUMIFS(AJ:AJ,D:D,"&lt;="&amp;D537,C:C,C537)+SUMIFS(N:N,D:D,"&lt;="&amp;D537,C:C,C537)+SUMIFS(P:P,D:D,"&lt;="&amp;D537,C:C,C537)&lt;0,0,SUMIFS('Shipments data'!L:L,'Shipments data'!F:F,'Supply planning data'!C537,'Shipments data'!A:A,'Supply planning data'!A537,'Shipments data'!O:O,"received",'Shipments data'!Q:Q,"&lt;"&amp;'Supply planning data'!D552,'Shipments data'!AC:AC,"&lt;"&amp;'Supply planning data'!D552)-SUMIFS(M:M,D:D,"&lt;="&amp;D537,C:C,C537)-SUMIFS(AJ:AJ,D:D,"&lt;="&amp;D537,C:C,C537)+SUMIFS(N:N,D:D,"&lt;="&amp;D537,C:C,C537)+SUMIFS(P:P,D:D,"&lt;="&amp;D537,C:C,C537))</f>
        <v>0</v>
      </c>
      <c r="AM537" s="111">
        <f t="shared" si="174"/>
        <v>0</v>
      </c>
      <c r="AN537" s="111">
        <f t="shared" si="167"/>
        <v>0</v>
      </c>
      <c r="AO537" s="204" t="str">
        <f t="shared" si="159"/>
        <v/>
      </c>
    </row>
    <row r="538" spans="1:41" hidden="1" x14ac:dyDescent="0.25">
      <c r="A538" s="103" t="str">
        <f>Start!D$7</f>
        <v>Anyland</v>
      </c>
      <c r="B538" s="109" t="str">
        <f>VLOOKUP(A538,list!B:C,2,FALSE)</f>
        <v>ANY</v>
      </c>
      <c r="C538" s="104" t="str">
        <f>IF(Start!$C$25="","",Start!$C$25)</f>
        <v/>
      </c>
      <c r="D538" s="298">
        <f t="shared" si="168"/>
        <v>45261</v>
      </c>
      <c r="E538" s="105" t="str">
        <f>IFERROR(VLOOKUP(C538,Start!C$15:D$31,2,FALSE),"No")</f>
        <v>No</v>
      </c>
      <c r="F538" s="105">
        <f t="shared" si="169"/>
        <v>0</v>
      </c>
      <c r="G538" s="106"/>
      <c r="H538" s="106"/>
      <c r="I538" s="106"/>
      <c r="J538" s="105">
        <f t="shared" si="161"/>
        <v>0</v>
      </c>
      <c r="K538" s="106"/>
      <c r="L538" s="177" t="str">
        <f t="shared" si="162"/>
        <v/>
      </c>
      <c r="M538" s="105">
        <f t="shared" si="163"/>
        <v>0</v>
      </c>
      <c r="N538" s="110"/>
      <c r="O538" s="124"/>
      <c r="P538" s="110"/>
      <c r="Q538" s="124"/>
      <c r="R538" s="111">
        <f>SUMIFS('Shipments data'!L:L,'Shipments data'!F:F,'Supply planning data'!C538,'Shipments data'!A:A,'Supply planning data'!A538,'Shipments data'!Y:Y,'Supply planning data'!D538,'Shipments data'!O:O,"received", 'Shipments data'!N:N, "Public")</f>
        <v>0</v>
      </c>
      <c r="S538" s="111">
        <f>SUMIFS('Shipments data'!L:L,'Shipments data'!F:F,'Supply planning data'!C538,'Shipments data'!A:A,'Supply planning data'!A538,'Shipments data'!Y:Y,'Supply planning data'!D538,'Shipments data'!O:O,"ordered", 'Shipments data'!N:N, "Public")</f>
        <v>0</v>
      </c>
      <c r="T538" s="111">
        <f>IF(SUMIFS('Shipments data'!L:L,'Shipments data'!F:F,'Supply planning data'!C538,'Shipments data'!A:A,'Supply planning data'!A538,'Shipments data'!O:O,"received",'Shipments data'!Q:Q,"&lt;"&amp;'Supply planning data'!D553,'Shipments data'!AC:AC,"&lt;"&amp;'Supply planning data'!D553)-SUMIFS(M:M,D:D,"&lt;="&amp;D538,C:C,C538)+SUMIFS(N:N,D:D,"&lt;="&amp;D538,C:C,C538)+SUMIFS(P:P,D:D,"&lt;="&amp;D538,C:C,C538)&lt;0,0,SUMIFS('Shipments data'!L:L,'Shipments data'!F:F,'Supply planning data'!C538,'Shipments data'!A:A,'Supply planning data'!A538,'Shipments data'!O:O,"received",'Shipments data'!Q:Q,"&lt;"&amp;'Supply planning data'!D553,'Shipments data'!AC:AC,"&lt;"&amp;'Supply planning data'!D553)-SUMIFS(M:M,D:D,"&lt;="&amp;D538,C:C,C538)+SUMIFS(N:N,D:D,"&lt;="&amp;D538,C:C,C538)+SUMIFS(P:P,D:D,"&lt;="&amp;D538,C:C,C538))</f>
        <v>0</v>
      </c>
      <c r="U538" s="112">
        <f t="shared" si="170"/>
        <v>0</v>
      </c>
      <c r="V538" s="111">
        <f t="shared" si="160"/>
        <v>0</v>
      </c>
      <c r="W538" s="204" t="str">
        <f t="shared" si="158"/>
        <v/>
      </c>
      <c r="X538" s="111">
        <f t="shared" si="171"/>
        <v>0</v>
      </c>
      <c r="Y538" s="110"/>
      <c r="Z538" s="107"/>
      <c r="AA538" s="111">
        <f t="shared" si="164"/>
        <v>0</v>
      </c>
      <c r="AB538" s="235"/>
      <c r="AC538" s="111">
        <f>IF(SUMIFS('Shipments data'!L:L,'Shipments data'!F:F,'Supply planning data'!C538,'Shipments data'!A:A,'Supply planning data'!A538,'Shipments data'!O:O,"received",'Shipments data'!Q:Q,"&lt;"&amp;'Supply planning data'!D553,'Shipments data'!AC:AC,"&lt;"&amp;'Supply planning data'!D553)-SUMIFS(M:M,D:D,"&lt;="&amp;D538,C:C,C538)-SUMIFS(AA:AA,D:D,"&lt;="&amp;D538,C:C,C538)+SUMIFS(N:N,D:D,"&lt;="&amp;D538,C:C,C538)+SUMIFS(P:P,D:D,"&lt;="&amp;D538,C:C,C538)&lt;0,0,SUMIFS('Shipments data'!L:L,'Shipments data'!F:F,'Supply planning data'!C538,'Shipments data'!A:A,'Supply planning data'!A538,'Shipments data'!O:O,"received",'Shipments data'!Q:Q,"&lt;"&amp;'Supply planning data'!D553,'Shipments data'!AC:AC,"&lt;"&amp;'Supply planning data'!D553)-SUMIFS(M:M,D:D,"&lt;="&amp;D538,C:C,C538)-SUMIFS(AA:AA,D:D,"&lt;="&amp;D538,C:C,C538)+SUMIFS(N:N,D:D,"&lt;="&amp;D538,C:C,C538)+SUMIFS(P:P,D:D,"&lt;="&amp;D538,C:C,C538))</f>
        <v>0</v>
      </c>
      <c r="AD538" s="111">
        <f t="shared" si="172"/>
        <v>0</v>
      </c>
      <c r="AE538" s="111">
        <f t="shared" si="166"/>
        <v>0</v>
      </c>
      <c r="AF538" s="204" t="str">
        <f t="shared" si="157"/>
        <v/>
      </c>
      <c r="AG538" s="111">
        <f t="shared" si="173"/>
        <v>0</v>
      </c>
      <c r="AH538" s="110"/>
      <c r="AI538" s="313"/>
      <c r="AJ538" s="111">
        <f t="shared" si="165"/>
        <v>0</v>
      </c>
      <c r="AK538" s="235"/>
      <c r="AL538" s="111">
        <f>IF(SUMIFS('Shipments data'!L:L,'Shipments data'!F:F,'Supply planning data'!C538,'Shipments data'!A:A,'Supply planning data'!A538,'Shipments data'!O:O,"received",'Shipments data'!Q:Q,"&lt;"&amp;'Supply planning data'!D553,'Shipments data'!AC:AC,"&lt;"&amp;'Supply planning data'!D553)-SUMIFS(M:M,D:D,"&lt;="&amp;D538,C:C,C538)-SUMIFS(AJ:AJ,D:D,"&lt;="&amp;D538,C:C,C538)+SUMIFS(N:N,D:D,"&lt;="&amp;D538,C:C,C538)+SUMIFS(P:P,D:D,"&lt;="&amp;D538,C:C,C538)&lt;0,0,SUMIFS('Shipments data'!L:L,'Shipments data'!F:F,'Supply planning data'!C538,'Shipments data'!A:A,'Supply planning data'!A538,'Shipments data'!O:O,"received",'Shipments data'!Q:Q,"&lt;"&amp;'Supply planning data'!D553,'Shipments data'!AC:AC,"&lt;"&amp;'Supply planning data'!D553)-SUMIFS(M:M,D:D,"&lt;="&amp;D538,C:C,C538)-SUMIFS(AJ:AJ,D:D,"&lt;="&amp;D538,C:C,C538)+SUMIFS(N:N,D:D,"&lt;="&amp;D538,C:C,C538)+SUMIFS(P:P,D:D,"&lt;="&amp;D538,C:C,C538))</f>
        <v>0</v>
      </c>
      <c r="AM538" s="111">
        <f t="shared" si="174"/>
        <v>0</v>
      </c>
      <c r="AN538" s="111">
        <f t="shared" si="167"/>
        <v>0</v>
      </c>
      <c r="AO538" s="204" t="str">
        <f t="shared" si="159"/>
        <v/>
      </c>
    </row>
    <row r="539" spans="1:41" hidden="1" x14ac:dyDescent="0.25">
      <c r="A539" s="103" t="str">
        <f>Start!D$7</f>
        <v>Anyland</v>
      </c>
      <c r="B539" s="109" t="str">
        <f>VLOOKUP(A539,list!B:C,2,FALSE)</f>
        <v>ANY</v>
      </c>
      <c r="C539" s="109" t="str">
        <f>IF(Start!$C$26="","",Start!$C$26)</f>
        <v/>
      </c>
      <c r="D539" s="298">
        <f t="shared" si="168"/>
        <v>45261</v>
      </c>
      <c r="E539" s="105" t="str">
        <f>IFERROR(VLOOKUP(C539,Start!C$15:D$31,2,FALSE),"No")</f>
        <v>No</v>
      </c>
      <c r="F539" s="105">
        <f t="shared" si="169"/>
        <v>0</v>
      </c>
      <c r="G539" s="106"/>
      <c r="H539" s="106"/>
      <c r="I539" s="106"/>
      <c r="J539" s="105">
        <f t="shared" si="161"/>
        <v>0</v>
      </c>
      <c r="K539" s="106"/>
      <c r="L539" s="177" t="str">
        <f t="shared" si="162"/>
        <v/>
      </c>
      <c r="M539" s="105">
        <f t="shared" si="163"/>
        <v>0</v>
      </c>
      <c r="N539" s="110"/>
      <c r="O539" s="124"/>
      <c r="P539" s="110"/>
      <c r="Q539" s="124"/>
      <c r="R539" s="111">
        <f>SUMIFS('Shipments data'!L:L,'Shipments data'!F:F,'Supply planning data'!C539,'Shipments data'!A:A,'Supply planning data'!A539,'Shipments data'!Y:Y,'Supply planning data'!D539,'Shipments data'!O:O,"received", 'Shipments data'!N:N, "Public")</f>
        <v>0</v>
      </c>
      <c r="S539" s="111">
        <f>SUMIFS('Shipments data'!L:L,'Shipments data'!F:F,'Supply planning data'!C539,'Shipments data'!A:A,'Supply planning data'!A539,'Shipments data'!Y:Y,'Supply planning data'!D539,'Shipments data'!O:O,"ordered", 'Shipments data'!N:N, "Public")</f>
        <v>0</v>
      </c>
      <c r="T539" s="111">
        <f>IF(SUMIFS('Shipments data'!L:L,'Shipments data'!F:F,'Supply planning data'!C539,'Shipments data'!A:A,'Supply planning data'!A539,'Shipments data'!O:O,"received",'Shipments data'!Q:Q,"&lt;"&amp;'Supply planning data'!D554,'Shipments data'!AC:AC,"&lt;"&amp;'Supply planning data'!D554)-SUMIFS(M:M,D:D,"&lt;="&amp;D539,C:C,C539)+SUMIFS(N:N,D:D,"&lt;="&amp;D539,C:C,C539)+SUMIFS(P:P,D:D,"&lt;="&amp;D539,C:C,C539)&lt;0,0,SUMIFS('Shipments data'!L:L,'Shipments data'!F:F,'Supply planning data'!C539,'Shipments data'!A:A,'Supply planning data'!A539,'Shipments data'!O:O,"received",'Shipments data'!Q:Q,"&lt;"&amp;'Supply planning data'!D554,'Shipments data'!AC:AC,"&lt;"&amp;'Supply planning data'!D554)-SUMIFS(M:M,D:D,"&lt;="&amp;D539,C:C,C539)+SUMIFS(N:N,D:D,"&lt;="&amp;D539,C:C,C539)+SUMIFS(P:P,D:D,"&lt;="&amp;D539,C:C,C539))</f>
        <v>0</v>
      </c>
      <c r="U539" s="112">
        <f t="shared" si="170"/>
        <v>0</v>
      </c>
      <c r="V539" s="111">
        <f t="shared" si="160"/>
        <v>0</v>
      </c>
      <c r="W539" s="204" t="str">
        <f t="shared" si="158"/>
        <v/>
      </c>
      <c r="X539" s="111">
        <f t="shared" si="171"/>
        <v>0</v>
      </c>
      <c r="Y539" s="110"/>
      <c r="Z539" s="107"/>
      <c r="AA539" s="111">
        <f t="shared" si="164"/>
        <v>0</v>
      </c>
      <c r="AB539" s="235"/>
      <c r="AC539" s="111">
        <f>IF(SUMIFS('Shipments data'!L:L,'Shipments data'!F:F,'Supply planning data'!C539,'Shipments data'!A:A,'Supply planning data'!A539,'Shipments data'!O:O,"received",'Shipments data'!Q:Q,"&lt;"&amp;'Supply planning data'!D554,'Shipments data'!AC:AC,"&lt;"&amp;'Supply planning data'!D554)-SUMIFS(M:M,D:D,"&lt;="&amp;D539,C:C,C539)-SUMIFS(AA:AA,D:D,"&lt;="&amp;D539,C:C,C539)+SUMIFS(N:N,D:D,"&lt;="&amp;D539,C:C,C539)+SUMIFS(P:P,D:D,"&lt;="&amp;D539,C:C,C539)&lt;0,0,SUMIFS('Shipments data'!L:L,'Shipments data'!F:F,'Supply planning data'!C539,'Shipments data'!A:A,'Supply planning data'!A539,'Shipments data'!O:O,"received",'Shipments data'!Q:Q,"&lt;"&amp;'Supply planning data'!D554,'Shipments data'!AC:AC,"&lt;"&amp;'Supply planning data'!D554)-SUMIFS(M:M,D:D,"&lt;="&amp;D539,C:C,C539)-SUMIFS(AA:AA,D:D,"&lt;="&amp;D539,C:C,C539)+SUMIFS(N:N,D:D,"&lt;="&amp;D539,C:C,C539)+SUMIFS(P:P,D:D,"&lt;="&amp;D539,C:C,C539))</f>
        <v>0</v>
      </c>
      <c r="AD539" s="111">
        <f t="shared" si="172"/>
        <v>0</v>
      </c>
      <c r="AE539" s="111">
        <f t="shared" si="166"/>
        <v>0</v>
      </c>
      <c r="AF539" s="204" t="str">
        <f t="shared" si="157"/>
        <v/>
      </c>
      <c r="AG539" s="111">
        <f t="shared" si="173"/>
        <v>0</v>
      </c>
      <c r="AH539" s="110"/>
      <c r="AI539" s="313"/>
      <c r="AJ539" s="111">
        <f t="shared" si="165"/>
        <v>0</v>
      </c>
      <c r="AK539" s="235"/>
      <c r="AL539" s="111">
        <f>IF(SUMIFS('Shipments data'!L:L,'Shipments data'!F:F,'Supply planning data'!C539,'Shipments data'!A:A,'Supply planning data'!A539,'Shipments data'!O:O,"received",'Shipments data'!Q:Q,"&lt;"&amp;'Supply planning data'!D554,'Shipments data'!AC:AC,"&lt;"&amp;'Supply planning data'!D554)-SUMIFS(M:M,D:D,"&lt;="&amp;D539,C:C,C539)-SUMIFS(AJ:AJ,D:D,"&lt;="&amp;D539,C:C,C539)+SUMIFS(N:N,D:D,"&lt;="&amp;D539,C:C,C539)+SUMIFS(P:P,D:D,"&lt;="&amp;D539,C:C,C539)&lt;0,0,SUMIFS('Shipments data'!L:L,'Shipments data'!F:F,'Supply planning data'!C539,'Shipments data'!A:A,'Supply planning data'!A539,'Shipments data'!O:O,"received",'Shipments data'!Q:Q,"&lt;"&amp;'Supply planning data'!D554,'Shipments data'!AC:AC,"&lt;"&amp;'Supply planning data'!D554)-SUMIFS(M:M,D:D,"&lt;="&amp;D539,C:C,C539)-SUMIFS(AJ:AJ,D:D,"&lt;="&amp;D539,C:C,C539)+SUMIFS(N:N,D:D,"&lt;="&amp;D539,C:C,C539)+SUMIFS(P:P,D:D,"&lt;="&amp;D539,C:C,C539))</f>
        <v>0</v>
      </c>
      <c r="AM539" s="111">
        <f t="shared" si="174"/>
        <v>0</v>
      </c>
      <c r="AN539" s="111">
        <f t="shared" si="167"/>
        <v>0</v>
      </c>
      <c r="AO539" s="204" t="str">
        <f t="shared" si="159"/>
        <v/>
      </c>
    </row>
    <row r="540" spans="1:41" hidden="1" x14ac:dyDescent="0.25">
      <c r="A540" s="103" t="str">
        <f>Start!D$7</f>
        <v>Anyland</v>
      </c>
      <c r="B540" s="109" t="str">
        <f>VLOOKUP(A540,list!B:C,2,FALSE)</f>
        <v>ANY</v>
      </c>
      <c r="C540" s="104" t="str">
        <f>IF(Start!$C$27="","",Start!$C$27)</f>
        <v/>
      </c>
      <c r="D540" s="298">
        <f t="shared" si="168"/>
        <v>45261</v>
      </c>
      <c r="E540" s="105" t="str">
        <f>IFERROR(VLOOKUP(C540,Start!C$15:D$31,2,FALSE),"No")</f>
        <v>No</v>
      </c>
      <c r="F540" s="105">
        <f t="shared" si="169"/>
        <v>0</v>
      </c>
      <c r="G540" s="106"/>
      <c r="H540" s="106"/>
      <c r="I540" s="106"/>
      <c r="J540" s="105">
        <f t="shared" si="161"/>
        <v>0</v>
      </c>
      <c r="K540" s="106"/>
      <c r="L540" s="177" t="str">
        <f t="shared" si="162"/>
        <v/>
      </c>
      <c r="M540" s="105">
        <f t="shared" si="163"/>
        <v>0</v>
      </c>
      <c r="N540" s="110"/>
      <c r="O540" s="124"/>
      <c r="P540" s="110"/>
      <c r="Q540" s="124"/>
      <c r="R540" s="111">
        <f>SUMIFS('Shipments data'!L:L,'Shipments data'!F:F,'Supply planning data'!C540,'Shipments data'!A:A,'Supply planning data'!A540,'Shipments data'!Y:Y,'Supply planning data'!D540,'Shipments data'!O:O,"received", 'Shipments data'!N:N, "Public")</f>
        <v>0</v>
      </c>
      <c r="S540" s="111">
        <f>SUMIFS('Shipments data'!L:L,'Shipments data'!F:F,'Supply planning data'!C540,'Shipments data'!A:A,'Supply planning data'!A540,'Shipments data'!Y:Y,'Supply planning data'!D540,'Shipments data'!O:O,"ordered", 'Shipments data'!N:N, "Public")</f>
        <v>0</v>
      </c>
      <c r="T540" s="111">
        <f>IF(SUMIFS('Shipments data'!L:L,'Shipments data'!F:F,'Supply planning data'!C540,'Shipments data'!A:A,'Supply planning data'!A540,'Shipments data'!O:O,"received",'Shipments data'!Q:Q,"&lt;"&amp;'Supply planning data'!D555,'Shipments data'!AC:AC,"&lt;"&amp;'Supply planning data'!D555)-SUMIFS(M:M,D:D,"&lt;="&amp;D540,C:C,C540)+SUMIFS(N:N,D:D,"&lt;="&amp;D540,C:C,C540)+SUMIFS(P:P,D:D,"&lt;="&amp;D540,C:C,C540)&lt;0,0,SUMIFS('Shipments data'!L:L,'Shipments data'!F:F,'Supply planning data'!C540,'Shipments data'!A:A,'Supply planning data'!A540,'Shipments data'!O:O,"received",'Shipments data'!Q:Q,"&lt;"&amp;'Supply planning data'!D555,'Shipments data'!AC:AC,"&lt;"&amp;'Supply planning data'!D555)-SUMIFS(M:M,D:D,"&lt;="&amp;D540,C:C,C540)+SUMIFS(N:N,D:D,"&lt;="&amp;D540,C:C,C540)+SUMIFS(P:P,D:D,"&lt;="&amp;D540,C:C,C540))</f>
        <v>0</v>
      </c>
      <c r="U540" s="112">
        <f t="shared" si="170"/>
        <v>0</v>
      </c>
      <c r="V540" s="111">
        <f t="shared" si="160"/>
        <v>0</v>
      </c>
      <c r="W540" s="204" t="str">
        <f t="shared" si="158"/>
        <v/>
      </c>
      <c r="X540" s="111">
        <f t="shared" si="171"/>
        <v>0</v>
      </c>
      <c r="Y540" s="110"/>
      <c r="Z540" s="107"/>
      <c r="AA540" s="111">
        <f t="shared" si="164"/>
        <v>0</v>
      </c>
      <c r="AB540" s="235"/>
      <c r="AC540" s="111">
        <f>IF(SUMIFS('Shipments data'!L:L,'Shipments data'!F:F,'Supply planning data'!C540,'Shipments data'!A:A,'Supply planning data'!A540,'Shipments data'!O:O,"received",'Shipments data'!Q:Q,"&lt;"&amp;'Supply planning data'!D555,'Shipments data'!AC:AC,"&lt;"&amp;'Supply planning data'!D555)-SUMIFS(M:M,D:D,"&lt;="&amp;D540,C:C,C540)-SUMIFS(AA:AA,D:D,"&lt;="&amp;D540,C:C,C540)+SUMIFS(N:N,D:D,"&lt;="&amp;D540,C:C,C540)+SUMIFS(P:P,D:D,"&lt;="&amp;D540,C:C,C540)&lt;0,0,SUMIFS('Shipments data'!L:L,'Shipments data'!F:F,'Supply planning data'!C540,'Shipments data'!A:A,'Supply planning data'!A540,'Shipments data'!O:O,"received",'Shipments data'!Q:Q,"&lt;"&amp;'Supply planning data'!D555,'Shipments data'!AC:AC,"&lt;"&amp;'Supply planning data'!D555)-SUMIFS(M:M,D:D,"&lt;="&amp;D540,C:C,C540)-SUMIFS(AA:AA,D:D,"&lt;="&amp;D540,C:C,C540)+SUMIFS(N:N,D:D,"&lt;="&amp;D540,C:C,C540)+SUMIFS(P:P,D:D,"&lt;="&amp;D540,C:C,C540))</f>
        <v>0</v>
      </c>
      <c r="AD540" s="111">
        <f t="shared" si="172"/>
        <v>0</v>
      </c>
      <c r="AE540" s="111">
        <f t="shared" si="166"/>
        <v>0</v>
      </c>
      <c r="AF540" s="204" t="str">
        <f t="shared" si="157"/>
        <v/>
      </c>
      <c r="AG540" s="111">
        <f t="shared" si="173"/>
        <v>0</v>
      </c>
      <c r="AH540" s="110"/>
      <c r="AI540" s="313"/>
      <c r="AJ540" s="111">
        <f t="shared" si="165"/>
        <v>0</v>
      </c>
      <c r="AK540" s="235"/>
      <c r="AL540" s="111">
        <f>IF(SUMIFS('Shipments data'!L:L,'Shipments data'!F:F,'Supply planning data'!C540,'Shipments data'!A:A,'Supply planning data'!A540,'Shipments data'!O:O,"received",'Shipments data'!Q:Q,"&lt;"&amp;'Supply planning data'!D555,'Shipments data'!AC:AC,"&lt;"&amp;'Supply planning data'!D555)-SUMIFS(M:M,D:D,"&lt;="&amp;D540,C:C,C540)-SUMIFS(AJ:AJ,D:D,"&lt;="&amp;D540,C:C,C540)+SUMIFS(N:N,D:D,"&lt;="&amp;D540,C:C,C540)+SUMIFS(P:P,D:D,"&lt;="&amp;D540,C:C,C540)&lt;0,0,SUMIFS('Shipments data'!L:L,'Shipments data'!F:F,'Supply planning data'!C540,'Shipments data'!A:A,'Supply planning data'!A540,'Shipments data'!O:O,"received",'Shipments data'!Q:Q,"&lt;"&amp;'Supply planning data'!D555,'Shipments data'!AC:AC,"&lt;"&amp;'Supply planning data'!D555)-SUMIFS(M:M,D:D,"&lt;="&amp;D540,C:C,C540)-SUMIFS(AJ:AJ,D:D,"&lt;="&amp;D540,C:C,C540)+SUMIFS(N:N,D:D,"&lt;="&amp;D540,C:C,C540)+SUMIFS(P:P,D:D,"&lt;="&amp;D540,C:C,C540))</f>
        <v>0</v>
      </c>
      <c r="AM540" s="111">
        <f t="shared" si="174"/>
        <v>0</v>
      </c>
      <c r="AN540" s="111">
        <f t="shared" si="167"/>
        <v>0</v>
      </c>
      <c r="AO540" s="204" t="str">
        <f t="shared" si="159"/>
        <v/>
      </c>
    </row>
    <row r="541" spans="1:41" hidden="1" x14ac:dyDescent="0.25">
      <c r="A541" s="103" t="str">
        <f>Start!D$7</f>
        <v>Anyland</v>
      </c>
      <c r="B541" s="109" t="str">
        <f>VLOOKUP(A541,list!B:C,2,FALSE)</f>
        <v>ANY</v>
      </c>
      <c r="C541" s="109" t="str">
        <f>IF(Start!$C$28="","",Start!$C$28)</f>
        <v/>
      </c>
      <c r="D541" s="298">
        <f t="shared" si="168"/>
        <v>45261</v>
      </c>
      <c r="E541" s="105" t="str">
        <f>IFERROR(VLOOKUP(C541,Start!C$15:D$31,2,FALSE),"No")</f>
        <v>No</v>
      </c>
      <c r="F541" s="105">
        <f t="shared" si="169"/>
        <v>0</v>
      </c>
      <c r="G541" s="106"/>
      <c r="H541" s="106"/>
      <c r="I541" s="106"/>
      <c r="J541" s="105">
        <f t="shared" si="161"/>
        <v>0</v>
      </c>
      <c r="K541" s="106"/>
      <c r="L541" s="177" t="str">
        <f t="shared" si="162"/>
        <v/>
      </c>
      <c r="M541" s="105">
        <f t="shared" si="163"/>
        <v>0</v>
      </c>
      <c r="N541" s="110"/>
      <c r="O541" s="124"/>
      <c r="P541" s="110"/>
      <c r="Q541" s="124"/>
      <c r="R541" s="111">
        <f>SUMIFS('Shipments data'!L:L,'Shipments data'!F:F,'Supply planning data'!C541,'Shipments data'!A:A,'Supply planning data'!A541,'Shipments data'!Y:Y,'Supply planning data'!D541,'Shipments data'!O:O,"received", 'Shipments data'!N:N, "Public")</f>
        <v>0</v>
      </c>
      <c r="S541" s="111">
        <f>SUMIFS('Shipments data'!L:L,'Shipments data'!F:F,'Supply planning data'!C541,'Shipments data'!A:A,'Supply planning data'!A541,'Shipments data'!Y:Y,'Supply planning data'!D541,'Shipments data'!O:O,"ordered", 'Shipments data'!N:N, "Public")</f>
        <v>0</v>
      </c>
      <c r="T541" s="111">
        <f>IF(SUMIFS('Shipments data'!L:L,'Shipments data'!F:F,'Supply planning data'!C541,'Shipments data'!A:A,'Supply planning data'!A541,'Shipments data'!O:O,"received",'Shipments data'!Q:Q,"&lt;"&amp;'Supply planning data'!D556,'Shipments data'!AC:AC,"&lt;"&amp;'Supply planning data'!D556)-SUMIFS(M:M,D:D,"&lt;="&amp;D541,C:C,C541)+SUMIFS(N:N,D:D,"&lt;="&amp;D541,C:C,C541)+SUMIFS(P:P,D:D,"&lt;="&amp;D541,C:C,C541)&lt;0,0,SUMIFS('Shipments data'!L:L,'Shipments data'!F:F,'Supply planning data'!C541,'Shipments data'!A:A,'Supply planning data'!A541,'Shipments data'!O:O,"received",'Shipments data'!Q:Q,"&lt;"&amp;'Supply planning data'!D556,'Shipments data'!AC:AC,"&lt;"&amp;'Supply planning data'!D556)-SUMIFS(M:M,D:D,"&lt;="&amp;D541,C:C,C541)+SUMIFS(N:N,D:D,"&lt;="&amp;D541,C:C,C541)+SUMIFS(P:P,D:D,"&lt;="&amp;D541,C:C,C541))</f>
        <v>0</v>
      </c>
      <c r="U541" s="112">
        <f t="shared" si="170"/>
        <v>0</v>
      </c>
      <c r="V541" s="111">
        <f t="shared" si="160"/>
        <v>0</v>
      </c>
      <c r="W541" s="204" t="str">
        <f t="shared" si="158"/>
        <v/>
      </c>
      <c r="X541" s="111">
        <f t="shared" si="171"/>
        <v>0</v>
      </c>
      <c r="Y541" s="110"/>
      <c r="Z541" s="107"/>
      <c r="AA541" s="111">
        <f t="shared" si="164"/>
        <v>0</v>
      </c>
      <c r="AB541" s="235"/>
      <c r="AC541" s="111">
        <f>IF(SUMIFS('Shipments data'!L:L,'Shipments data'!F:F,'Supply planning data'!C541,'Shipments data'!A:A,'Supply planning data'!A541,'Shipments data'!O:O,"received",'Shipments data'!Q:Q,"&lt;"&amp;'Supply planning data'!D556,'Shipments data'!AC:AC,"&lt;"&amp;'Supply planning data'!D556)-SUMIFS(M:M,D:D,"&lt;="&amp;D541,C:C,C541)-SUMIFS(AA:AA,D:D,"&lt;="&amp;D541,C:C,C541)+SUMIFS(N:N,D:D,"&lt;="&amp;D541,C:C,C541)+SUMIFS(P:P,D:D,"&lt;="&amp;D541,C:C,C541)&lt;0,0,SUMIFS('Shipments data'!L:L,'Shipments data'!F:F,'Supply planning data'!C541,'Shipments data'!A:A,'Supply planning data'!A541,'Shipments data'!O:O,"received",'Shipments data'!Q:Q,"&lt;"&amp;'Supply planning data'!D556,'Shipments data'!AC:AC,"&lt;"&amp;'Supply planning data'!D556)-SUMIFS(M:M,D:D,"&lt;="&amp;D541,C:C,C541)-SUMIFS(AA:AA,D:D,"&lt;="&amp;D541,C:C,C541)+SUMIFS(N:N,D:D,"&lt;="&amp;D541,C:C,C541)+SUMIFS(P:P,D:D,"&lt;="&amp;D541,C:C,C541))</f>
        <v>0</v>
      </c>
      <c r="AD541" s="111">
        <f t="shared" si="172"/>
        <v>0</v>
      </c>
      <c r="AE541" s="111">
        <f t="shared" si="166"/>
        <v>0</v>
      </c>
      <c r="AF541" s="204" t="str">
        <f t="shared" si="157"/>
        <v/>
      </c>
      <c r="AG541" s="111">
        <f t="shared" si="173"/>
        <v>0</v>
      </c>
      <c r="AH541" s="110"/>
      <c r="AI541" s="313"/>
      <c r="AJ541" s="111">
        <f t="shared" si="165"/>
        <v>0</v>
      </c>
      <c r="AK541" s="235"/>
      <c r="AL541" s="111">
        <f>IF(SUMIFS('Shipments data'!L:L,'Shipments data'!F:F,'Supply planning data'!C541,'Shipments data'!A:A,'Supply planning data'!A541,'Shipments data'!O:O,"received",'Shipments data'!Q:Q,"&lt;"&amp;'Supply planning data'!D556,'Shipments data'!AC:AC,"&lt;"&amp;'Supply planning data'!D556)-SUMIFS(M:M,D:D,"&lt;="&amp;D541,C:C,C541)-SUMIFS(AJ:AJ,D:D,"&lt;="&amp;D541,C:C,C541)+SUMIFS(N:N,D:D,"&lt;="&amp;D541,C:C,C541)+SUMIFS(P:P,D:D,"&lt;="&amp;D541,C:C,C541)&lt;0,0,SUMIFS('Shipments data'!L:L,'Shipments data'!F:F,'Supply planning data'!C541,'Shipments data'!A:A,'Supply planning data'!A541,'Shipments data'!O:O,"received",'Shipments data'!Q:Q,"&lt;"&amp;'Supply planning data'!D556,'Shipments data'!AC:AC,"&lt;"&amp;'Supply planning data'!D556)-SUMIFS(M:M,D:D,"&lt;="&amp;D541,C:C,C541)-SUMIFS(AJ:AJ,D:D,"&lt;="&amp;D541,C:C,C541)+SUMIFS(N:N,D:D,"&lt;="&amp;D541,C:C,C541)+SUMIFS(P:P,D:D,"&lt;="&amp;D541,C:C,C541))</f>
        <v>0</v>
      </c>
      <c r="AM541" s="111">
        <f t="shared" si="174"/>
        <v>0</v>
      </c>
      <c r="AN541" s="111">
        <f t="shared" si="167"/>
        <v>0</v>
      </c>
      <c r="AO541" s="204" t="str">
        <f t="shared" si="159"/>
        <v/>
      </c>
    </row>
    <row r="542" spans="1:41" hidden="1" x14ac:dyDescent="0.25">
      <c r="A542" s="103" t="str">
        <f>Start!D$7</f>
        <v>Anyland</v>
      </c>
      <c r="B542" s="109" t="str">
        <f>VLOOKUP(A542,list!B:C,2,FALSE)</f>
        <v>ANY</v>
      </c>
      <c r="C542" s="104" t="str">
        <f>IF(Start!$C$29="","",Start!$C$29)</f>
        <v/>
      </c>
      <c r="D542" s="298">
        <f t="shared" si="168"/>
        <v>45261</v>
      </c>
      <c r="E542" s="105" t="str">
        <f>IFERROR(VLOOKUP(C542,Start!C$15:D$31,2,FALSE),"No")</f>
        <v>No</v>
      </c>
      <c r="F542" s="105">
        <f t="shared" si="169"/>
        <v>0</v>
      </c>
      <c r="G542" s="106"/>
      <c r="H542" s="106"/>
      <c r="I542" s="106"/>
      <c r="J542" s="105">
        <f t="shared" si="161"/>
        <v>0</v>
      </c>
      <c r="K542" s="106"/>
      <c r="L542" s="177" t="str">
        <f t="shared" si="162"/>
        <v/>
      </c>
      <c r="M542" s="105">
        <f t="shared" si="163"/>
        <v>0</v>
      </c>
      <c r="N542" s="110"/>
      <c r="O542" s="124"/>
      <c r="P542" s="110"/>
      <c r="Q542" s="124"/>
      <c r="R542" s="111">
        <f>SUMIFS('Shipments data'!L:L,'Shipments data'!F:F,'Supply planning data'!C542,'Shipments data'!A:A,'Supply planning data'!A542,'Shipments data'!Y:Y,'Supply planning data'!D542,'Shipments data'!O:O,"received", 'Shipments data'!N:N, "Public")</f>
        <v>0</v>
      </c>
      <c r="S542" s="111">
        <f>SUMIFS('Shipments data'!L:L,'Shipments data'!F:F,'Supply planning data'!C542,'Shipments data'!A:A,'Supply planning data'!A542,'Shipments data'!Y:Y,'Supply planning data'!D542,'Shipments data'!O:O,"ordered", 'Shipments data'!N:N, "Public")</f>
        <v>0</v>
      </c>
      <c r="T542" s="111">
        <f>IF(SUMIFS('Shipments data'!L:L,'Shipments data'!F:F,'Supply planning data'!C542,'Shipments data'!A:A,'Supply planning data'!A542,'Shipments data'!O:O,"received",'Shipments data'!Q:Q,"&lt;"&amp;'Supply planning data'!D557,'Shipments data'!AC:AC,"&lt;"&amp;'Supply planning data'!D557)-SUMIFS(M:M,D:D,"&lt;="&amp;D542,C:C,C542)+SUMIFS(N:N,D:D,"&lt;="&amp;D542,C:C,C542)+SUMIFS(P:P,D:D,"&lt;="&amp;D542,C:C,C542)&lt;0,0,SUMIFS('Shipments data'!L:L,'Shipments data'!F:F,'Supply planning data'!C542,'Shipments data'!A:A,'Supply planning data'!A542,'Shipments data'!O:O,"received",'Shipments data'!Q:Q,"&lt;"&amp;'Supply planning data'!D557,'Shipments data'!AC:AC,"&lt;"&amp;'Supply planning data'!D557)-SUMIFS(M:M,D:D,"&lt;="&amp;D542,C:C,C542)+SUMIFS(N:N,D:D,"&lt;="&amp;D542,C:C,C542)+SUMIFS(P:P,D:D,"&lt;="&amp;D542,C:C,C542))</f>
        <v>0</v>
      </c>
      <c r="U542" s="112">
        <f t="shared" si="170"/>
        <v>0</v>
      </c>
      <c r="V542" s="111">
        <f t="shared" si="160"/>
        <v>0</v>
      </c>
      <c r="W542" s="204" t="str">
        <f t="shared" si="158"/>
        <v/>
      </c>
      <c r="X542" s="111">
        <f t="shared" si="171"/>
        <v>0</v>
      </c>
      <c r="Y542" s="110"/>
      <c r="Z542" s="107"/>
      <c r="AA542" s="111">
        <f t="shared" si="164"/>
        <v>0</v>
      </c>
      <c r="AB542" s="235"/>
      <c r="AC542" s="111">
        <f>IF(SUMIFS('Shipments data'!L:L,'Shipments data'!F:F,'Supply planning data'!C542,'Shipments data'!A:A,'Supply planning data'!A542,'Shipments data'!O:O,"received",'Shipments data'!Q:Q,"&lt;"&amp;'Supply planning data'!D557,'Shipments data'!AC:AC,"&lt;"&amp;'Supply planning data'!D557)-SUMIFS(M:M,D:D,"&lt;="&amp;D542,C:C,C542)-SUMIFS(AA:AA,D:D,"&lt;="&amp;D542,C:C,C542)+SUMIFS(N:N,D:D,"&lt;="&amp;D542,C:C,C542)+SUMIFS(P:P,D:D,"&lt;="&amp;D542,C:C,C542)&lt;0,0,SUMIFS('Shipments data'!L:L,'Shipments data'!F:F,'Supply planning data'!C542,'Shipments data'!A:A,'Supply planning data'!A542,'Shipments data'!O:O,"received",'Shipments data'!Q:Q,"&lt;"&amp;'Supply planning data'!D557,'Shipments data'!AC:AC,"&lt;"&amp;'Supply planning data'!D557)-SUMIFS(M:M,D:D,"&lt;="&amp;D542,C:C,C542)-SUMIFS(AA:AA,D:D,"&lt;="&amp;D542,C:C,C542)+SUMIFS(N:N,D:D,"&lt;="&amp;D542,C:C,C542)+SUMIFS(P:P,D:D,"&lt;="&amp;D542,C:C,C542))</f>
        <v>0</v>
      </c>
      <c r="AD542" s="111">
        <f t="shared" si="172"/>
        <v>0</v>
      </c>
      <c r="AE542" s="111">
        <f t="shared" si="166"/>
        <v>0</v>
      </c>
      <c r="AF542" s="204" t="str">
        <f t="shared" si="157"/>
        <v/>
      </c>
      <c r="AG542" s="111">
        <f t="shared" si="173"/>
        <v>0</v>
      </c>
      <c r="AH542" s="110"/>
      <c r="AI542" s="313"/>
      <c r="AJ542" s="111">
        <f t="shared" si="165"/>
        <v>0</v>
      </c>
      <c r="AK542" s="235"/>
      <c r="AL542" s="111">
        <f>IF(SUMIFS('Shipments data'!L:L,'Shipments data'!F:F,'Supply planning data'!C542,'Shipments data'!A:A,'Supply planning data'!A542,'Shipments data'!O:O,"received",'Shipments data'!Q:Q,"&lt;"&amp;'Supply planning data'!D557,'Shipments data'!AC:AC,"&lt;"&amp;'Supply planning data'!D557)-SUMIFS(M:M,D:D,"&lt;="&amp;D542,C:C,C542)-SUMIFS(AJ:AJ,D:D,"&lt;="&amp;D542,C:C,C542)+SUMIFS(N:N,D:D,"&lt;="&amp;D542,C:C,C542)+SUMIFS(P:P,D:D,"&lt;="&amp;D542,C:C,C542)&lt;0,0,SUMIFS('Shipments data'!L:L,'Shipments data'!F:F,'Supply planning data'!C542,'Shipments data'!A:A,'Supply planning data'!A542,'Shipments data'!O:O,"received",'Shipments data'!Q:Q,"&lt;"&amp;'Supply planning data'!D557,'Shipments data'!AC:AC,"&lt;"&amp;'Supply planning data'!D557)-SUMIFS(M:M,D:D,"&lt;="&amp;D542,C:C,C542)-SUMIFS(AJ:AJ,D:D,"&lt;="&amp;D542,C:C,C542)+SUMIFS(N:N,D:D,"&lt;="&amp;D542,C:C,C542)+SUMIFS(P:P,D:D,"&lt;="&amp;D542,C:C,C542))</f>
        <v>0</v>
      </c>
      <c r="AM542" s="111">
        <f t="shared" si="174"/>
        <v>0</v>
      </c>
      <c r="AN542" s="111">
        <f t="shared" si="167"/>
        <v>0</v>
      </c>
      <c r="AO542" s="204" t="str">
        <f t="shared" si="159"/>
        <v/>
      </c>
    </row>
    <row r="543" spans="1:41" hidden="1" x14ac:dyDescent="0.25">
      <c r="A543" s="103" t="str">
        <f>Start!D$7</f>
        <v>Anyland</v>
      </c>
      <c r="B543" s="109" t="str">
        <f>VLOOKUP(A543,list!B:C,2,FALSE)</f>
        <v>ANY</v>
      </c>
      <c r="C543" s="109" t="str">
        <f>IF(Start!$C$30="","",Start!$C$30)</f>
        <v/>
      </c>
      <c r="D543" s="298">
        <f t="shared" si="168"/>
        <v>45261</v>
      </c>
      <c r="E543" s="105" t="str">
        <f>IFERROR(VLOOKUP(C543,Start!C$15:D$31,2,FALSE),"No")</f>
        <v>No</v>
      </c>
      <c r="F543" s="105">
        <f t="shared" si="169"/>
        <v>0</v>
      </c>
      <c r="G543" s="106"/>
      <c r="H543" s="106"/>
      <c r="I543" s="106"/>
      <c r="J543" s="105">
        <f t="shared" si="161"/>
        <v>0</v>
      </c>
      <c r="K543" s="106"/>
      <c r="L543" s="177" t="str">
        <f t="shared" si="162"/>
        <v/>
      </c>
      <c r="M543" s="105">
        <f t="shared" si="163"/>
        <v>0</v>
      </c>
      <c r="N543" s="110"/>
      <c r="O543" s="124"/>
      <c r="P543" s="110"/>
      <c r="Q543" s="124"/>
      <c r="R543" s="111">
        <f>SUMIFS('Shipments data'!L:L,'Shipments data'!F:F,'Supply planning data'!C543,'Shipments data'!A:A,'Supply planning data'!A543,'Shipments data'!Y:Y,'Supply planning data'!D543,'Shipments data'!O:O,"received", 'Shipments data'!N:N, "Public")</f>
        <v>0</v>
      </c>
      <c r="S543" s="111">
        <f>SUMIFS('Shipments data'!L:L,'Shipments data'!F:F,'Supply planning data'!C543,'Shipments data'!A:A,'Supply planning data'!A543,'Shipments data'!Y:Y,'Supply planning data'!D543,'Shipments data'!O:O,"ordered", 'Shipments data'!N:N, "Public")</f>
        <v>0</v>
      </c>
      <c r="T543" s="111">
        <f>IF(SUMIFS('Shipments data'!L:L,'Shipments data'!F:F,'Supply planning data'!C543,'Shipments data'!A:A,'Supply planning data'!A543,'Shipments data'!O:O,"received",'Shipments data'!Q:Q,"&lt;"&amp;'Supply planning data'!D558,'Shipments data'!AC:AC,"&lt;"&amp;'Supply planning data'!D558)-SUMIFS(M:M,D:D,"&lt;="&amp;D543,C:C,C543)+SUMIFS(N:N,D:D,"&lt;="&amp;D543,C:C,C543)+SUMIFS(P:P,D:D,"&lt;="&amp;D543,C:C,C543)&lt;0,0,SUMIFS('Shipments data'!L:L,'Shipments data'!F:F,'Supply planning data'!C543,'Shipments data'!A:A,'Supply planning data'!A543,'Shipments data'!O:O,"received",'Shipments data'!Q:Q,"&lt;"&amp;'Supply planning data'!D558,'Shipments data'!AC:AC,"&lt;"&amp;'Supply planning data'!D558)-SUMIFS(M:M,D:D,"&lt;="&amp;D543,C:C,C543)+SUMIFS(N:N,D:D,"&lt;="&amp;D543,C:C,C543)+SUMIFS(P:P,D:D,"&lt;="&amp;D543,C:C,C543))</f>
        <v>0</v>
      </c>
      <c r="U543" s="112">
        <f t="shared" si="170"/>
        <v>0</v>
      </c>
      <c r="V543" s="111">
        <f t="shared" si="160"/>
        <v>0</v>
      </c>
      <c r="W543" s="204" t="str">
        <f t="shared" si="158"/>
        <v/>
      </c>
      <c r="X543" s="111">
        <f t="shared" si="171"/>
        <v>0</v>
      </c>
      <c r="Y543" s="110"/>
      <c r="Z543" s="107"/>
      <c r="AA543" s="111">
        <f t="shared" si="164"/>
        <v>0</v>
      </c>
      <c r="AB543" s="235"/>
      <c r="AC543" s="111">
        <f>IF(SUMIFS('Shipments data'!L:L,'Shipments data'!F:F,'Supply planning data'!C543,'Shipments data'!A:A,'Supply planning data'!A543,'Shipments data'!O:O,"received",'Shipments data'!Q:Q,"&lt;"&amp;'Supply planning data'!D558,'Shipments data'!AC:AC,"&lt;"&amp;'Supply planning data'!D558)-SUMIFS(M:M,D:D,"&lt;="&amp;D543,C:C,C543)-SUMIFS(AA:AA,D:D,"&lt;="&amp;D543,C:C,C543)+SUMIFS(N:N,D:D,"&lt;="&amp;D543,C:C,C543)+SUMIFS(P:P,D:D,"&lt;="&amp;D543,C:C,C543)&lt;0,0,SUMIFS('Shipments data'!L:L,'Shipments data'!F:F,'Supply planning data'!C543,'Shipments data'!A:A,'Supply planning data'!A543,'Shipments data'!O:O,"received",'Shipments data'!Q:Q,"&lt;"&amp;'Supply planning data'!D558,'Shipments data'!AC:AC,"&lt;"&amp;'Supply planning data'!D558)-SUMIFS(M:M,D:D,"&lt;="&amp;D543,C:C,C543)-SUMIFS(AA:AA,D:D,"&lt;="&amp;D543,C:C,C543)+SUMIFS(N:N,D:D,"&lt;="&amp;D543,C:C,C543)+SUMIFS(P:P,D:D,"&lt;="&amp;D543,C:C,C543))</f>
        <v>0</v>
      </c>
      <c r="AD543" s="111">
        <f t="shared" si="172"/>
        <v>0</v>
      </c>
      <c r="AE543" s="111">
        <f t="shared" si="166"/>
        <v>0</v>
      </c>
      <c r="AF543" s="204" t="str">
        <f t="shared" ref="AF543:AF606" si="175">IF(M543+AA543&lt;=0,"",IFERROR(AE543/(SUM(M543,M573,M558,AA543,AA573,AA558)/3),""))</f>
        <v/>
      </c>
      <c r="AG543" s="111">
        <f t="shared" si="173"/>
        <v>0</v>
      </c>
      <c r="AH543" s="110"/>
      <c r="AI543" s="313"/>
      <c r="AJ543" s="111">
        <f t="shared" si="165"/>
        <v>0</v>
      </c>
      <c r="AK543" s="235"/>
      <c r="AL543" s="111">
        <f>IF(SUMIFS('Shipments data'!L:L,'Shipments data'!F:F,'Supply planning data'!C543,'Shipments data'!A:A,'Supply planning data'!A543,'Shipments data'!O:O,"received",'Shipments data'!Q:Q,"&lt;"&amp;'Supply planning data'!D558,'Shipments data'!AC:AC,"&lt;"&amp;'Supply planning data'!D558)-SUMIFS(M:M,D:D,"&lt;="&amp;D543,C:C,C543)-SUMIFS(AJ:AJ,D:D,"&lt;="&amp;D543,C:C,C543)+SUMIFS(N:N,D:D,"&lt;="&amp;D543,C:C,C543)+SUMIFS(P:P,D:D,"&lt;="&amp;D543,C:C,C543)&lt;0,0,SUMIFS('Shipments data'!L:L,'Shipments data'!F:F,'Supply planning data'!C543,'Shipments data'!A:A,'Supply planning data'!A543,'Shipments data'!O:O,"received",'Shipments data'!Q:Q,"&lt;"&amp;'Supply planning data'!D558,'Shipments data'!AC:AC,"&lt;"&amp;'Supply planning data'!D558)-SUMIFS(M:M,D:D,"&lt;="&amp;D543,C:C,C543)-SUMIFS(AJ:AJ,D:D,"&lt;="&amp;D543,C:C,C543)+SUMIFS(N:N,D:D,"&lt;="&amp;D543,C:C,C543)+SUMIFS(P:P,D:D,"&lt;="&amp;D543,C:C,C543))</f>
        <v>0</v>
      </c>
      <c r="AM543" s="111">
        <f t="shared" si="174"/>
        <v>0</v>
      </c>
      <c r="AN543" s="111">
        <f t="shared" si="167"/>
        <v>0</v>
      </c>
      <c r="AO543" s="204" t="str">
        <f t="shared" si="159"/>
        <v/>
      </c>
    </row>
    <row r="544" spans="1:41" hidden="1" x14ac:dyDescent="0.25">
      <c r="A544" s="113" t="str">
        <f>Start!D$7</f>
        <v>Anyland</v>
      </c>
      <c r="B544" s="114" t="str">
        <f>VLOOKUP(A544,list!B:C,2,FALSE)</f>
        <v>ANY</v>
      </c>
      <c r="C544" s="104" t="str">
        <f>IF(Start!$C$31="","",Start!$C$31)</f>
        <v/>
      </c>
      <c r="D544" s="298">
        <f t="shared" si="168"/>
        <v>45261</v>
      </c>
      <c r="E544" s="105" t="str">
        <f>IFERROR(VLOOKUP(C544,Start!C$15:D$31,2,FALSE),"No")</f>
        <v>No</v>
      </c>
      <c r="F544" s="105">
        <f t="shared" si="169"/>
        <v>0</v>
      </c>
      <c r="G544" s="106"/>
      <c r="H544" s="106"/>
      <c r="I544" s="106"/>
      <c r="J544" s="105">
        <f t="shared" si="161"/>
        <v>0</v>
      </c>
      <c r="K544" s="106"/>
      <c r="L544" s="177" t="str">
        <f t="shared" si="162"/>
        <v/>
      </c>
      <c r="M544" s="105">
        <f t="shared" si="163"/>
        <v>0</v>
      </c>
      <c r="N544" s="110"/>
      <c r="O544" s="124"/>
      <c r="P544" s="110"/>
      <c r="Q544" s="124"/>
      <c r="R544" s="111">
        <f>SUMIFS('Shipments data'!L:L,'Shipments data'!F:F,'Supply planning data'!C544,'Shipments data'!A:A,'Supply planning data'!A544,'Shipments data'!Y:Y,'Supply planning data'!D544,'Shipments data'!O:O,"received", 'Shipments data'!N:N, "Public")</f>
        <v>0</v>
      </c>
      <c r="S544" s="111">
        <f>SUMIFS('Shipments data'!L:L,'Shipments data'!F:F,'Supply planning data'!C544,'Shipments data'!A:A,'Supply planning data'!A544,'Shipments data'!Y:Y,'Supply planning data'!D544,'Shipments data'!O:O,"ordered", 'Shipments data'!N:N, "Public")</f>
        <v>0</v>
      </c>
      <c r="T544" s="111">
        <f>IF(SUMIFS('Shipments data'!L:L,'Shipments data'!F:F,'Supply planning data'!C544,'Shipments data'!A:A,'Supply planning data'!A544,'Shipments data'!O:O,"received",'Shipments data'!Q:Q,"&lt;"&amp;'Supply planning data'!D559,'Shipments data'!AC:AC,"&lt;"&amp;'Supply planning data'!D559)-SUMIFS(M:M,D:D,"&lt;="&amp;D544,C:C,C544)+SUMIFS(N:N,D:D,"&lt;="&amp;D544,C:C,C544)+SUMIFS(P:P,D:D,"&lt;="&amp;D544,C:C,C544)&lt;0,0,SUMIFS('Shipments data'!L:L,'Shipments data'!F:F,'Supply planning data'!C544,'Shipments data'!A:A,'Supply planning data'!A544,'Shipments data'!O:O,"received",'Shipments data'!Q:Q,"&lt;"&amp;'Supply planning data'!D559,'Shipments data'!AC:AC,"&lt;"&amp;'Supply planning data'!D559)-SUMIFS(M:M,D:D,"&lt;="&amp;D544,C:C,C544)+SUMIFS(N:N,D:D,"&lt;="&amp;D544,C:C,C544)+SUMIFS(P:P,D:D,"&lt;="&amp;D544,C:C,C544))</f>
        <v>0</v>
      </c>
      <c r="U544" s="112">
        <f t="shared" si="170"/>
        <v>0</v>
      </c>
      <c r="V544" s="111">
        <f t="shared" si="160"/>
        <v>0</v>
      </c>
      <c r="W544" s="204" t="str">
        <f t="shared" si="158"/>
        <v/>
      </c>
      <c r="X544" s="111">
        <f t="shared" si="171"/>
        <v>0</v>
      </c>
      <c r="Y544" s="110"/>
      <c r="Z544" s="107"/>
      <c r="AA544" s="111">
        <f t="shared" si="164"/>
        <v>0</v>
      </c>
      <c r="AB544" s="235"/>
      <c r="AC544" s="111">
        <f>IF(SUMIFS('Shipments data'!L:L,'Shipments data'!F:F,'Supply planning data'!C544,'Shipments data'!A:A,'Supply planning data'!A544,'Shipments data'!O:O,"received",'Shipments data'!Q:Q,"&lt;"&amp;'Supply planning data'!D559,'Shipments data'!AC:AC,"&lt;"&amp;'Supply planning data'!D559)-SUMIFS(M:M,D:D,"&lt;="&amp;D544,C:C,C544)-SUMIFS(AA:AA,D:D,"&lt;="&amp;D544,C:C,C544)+SUMIFS(N:N,D:D,"&lt;="&amp;D544,C:C,C544)+SUMIFS(P:P,D:D,"&lt;="&amp;D544,C:C,C544)&lt;0,0,SUMIFS('Shipments data'!L:L,'Shipments data'!F:F,'Supply planning data'!C544,'Shipments data'!A:A,'Supply planning data'!A544,'Shipments data'!O:O,"received",'Shipments data'!Q:Q,"&lt;"&amp;'Supply planning data'!D559,'Shipments data'!AC:AC,"&lt;"&amp;'Supply planning data'!D559)-SUMIFS(M:M,D:D,"&lt;="&amp;D544,C:C,C544)-SUMIFS(AA:AA,D:D,"&lt;="&amp;D544,C:C,C544)+SUMIFS(N:N,D:D,"&lt;="&amp;D544,C:C,C544)+SUMIFS(P:P,D:D,"&lt;="&amp;D544,C:C,C544))</f>
        <v>0</v>
      </c>
      <c r="AD544" s="111">
        <f t="shared" si="172"/>
        <v>0</v>
      </c>
      <c r="AE544" s="111">
        <f t="shared" si="166"/>
        <v>0</v>
      </c>
      <c r="AF544" s="204" t="str">
        <f t="shared" si="175"/>
        <v/>
      </c>
      <c r="AG544" s="111">
        <f t="shared" si="173"/>
        <v>0</v>
      </c>
      <c r="AH544" s="110"/>
      <c r="AI544" s="313"/>
      <c r="AJ544" s="111">
        <f t="shared" si="165"/>
        <v>0</v>
      </c>
      <c r="AK544" s="235"/>
      <c r="AL544" s="111">
        <f>IF(SUMIFS('Shipments data'!L:L,'Shipments data'!F:F,'Supply planning data'!C544,'Shipments data'!A:A,'Supply planning data'!A544,'Shipments data'!O:O,"received",'Shipments data'!Q:Q,"&lt;"&amp;'Supply planning data'!D559,'Shipments data'!AC:AC,"&lt;"&amp;'Supply planning data'!D559)-SUMIFS(M:M,D:D,"&lt;="&amp;D544,C:C,C544)-SUMIFS(AJ:AJ,D:D,"&lt;="&amp;D544,C:C,C544)+SUMIFS(N:N,D:D,"&lt;="&amp;D544,C:C,C544)+SUMIFS(P:P,D:D,"&lt;="&amp;D544,C:C,C544)&lt;0,0,SUMIFS('Shipments data'!L:L,'Shipments data'!F:F,'Supply planning data'!C544,'Shipments data'!A:A,'Supply planning data'!A544,'Shipments data'!O:O,"received",'Shipments data'!Q:Q,"&lt;"&amp;'Supply planning data'!D559,'Shipments data'!AC:AC,"&lt;"&amp;'Supply planning data'!D559)-SUMIFS(M:M,D:D,"&lt;="&amp;D544,C:C,C544)-SUMIFS(AJ:AJ,D:D,"&lt;="&amp;D544,C:C,C544)+SUMIFS(N:N,D:D,"&lt;="&amp;D544,C:C,C544)+SUMIFS(P:P,D:D,"&lt;="&amp;D544,C:C,C544))</f>
        <v>0</v>
      </c>
      <c r="AM544" s="111">
        <f t="shared" si="174"/>
        <v>0</v>
      </c>
      <c r="AN544" s="111">
        <f t="shared" si="167"/>
        <v>0</v>
      </c>
      <c r="AO544" s="204" t="str">
        <f t="shared" si="159"/>
        <v/>
      </c>
    </row>
    <row r="545" spans="1:41" x14ac:dyDescent="0.25">
      <c r="A545" s="89" t="str">
        <f>Start!D$7</f>
        <v>Anyland</v>
      </c>
      <c r="B545" s="90" t="str">
        <f>VLOOKUP(A545,list!B:C,2,FALSE)</f>
        <v>ANY</v>
      </c>
      <c r="C545" s="90" t="str">
        <f>IF(Start!$C$17="","",Start!$C$17)</f>
        <v>AstraZeneca</v>
      </c>
      <c r="D545" s="296">
        <f t="shared" si="168"/>
        <v>45292</v>
      </c>
      <c r="E545" s="92" t="str">
        <f>IFERROR(VLOOKUP(C545,Start!C$15:D$31,2,FALSE),"No")</f>
        <v>Yes</v>
      </c>
      <c r="F545" s="92">
        <f t="shared" si="169"/>
        <v>0</v>
      </c>
      <c r="G545" s="91"/>
      <c r="H545" s="91"/>
      <c r="I545" s="91"/>
      <c r="J545" s="92">
        <f t="shared" si="161"/>
        <v>0</v>
      </c>
      <c r="K545" s="91"/>
      <c r="L545" s="174" t="str">
        <f t="shared" si="162"/>
        <v/>
      </c>
      <c r="M545" s="92">
        <f t="shared" si="163"/>
        <v>0</v>
      </c>
      <c r="N545" s="91"/>
      <c r="O545" s="121"/>
      <c r="P545" s="91"/>
      <c r="Q545" s="121"/>
      <c r="R545" s="92">
        <f>SUMIFS('Shipments data'!L:L,'Shipments data'!F:F,'Supply planning data'!C545,'Shipments data'!A:A,'Supply planning data'!A545,'Shipments data'!Y:Y,'Supply planning data'!D545,'Shipments data'!O:O,"received", 'Shipments data'!N:N, "Public")</f>
        <v>0</v>
      </c>
      <c r="S545" s="92">
        <f>SUMIFS('Shipments data'!L:L,'Shipments data'!F:F,'Supply planning data'!C545,'Shipments data'!A:A,'Supply planning data'!A545,'Shipments data'!Y:Y,'Supply planning data'!D545,'Shipments data'!O:O,"ordered", 'Shipments data'!N:N, "Public")</f>
        <v>0</v>
      </c>
      <c r="T545" s="92">
        <f>IF(SUMIFS('Shipments data'!L:L,'Shipments data'!F:F,'Supply planning data'!C545,'Shipments data'!A:A,'Supply planning data'!A545,'Shipments data'!O:O,"received",'Shipments data'!Q:Q,"&lt;"&amp;'Supply planning data'!D560,'Shipments data'!AC:AC,"&lt;"&amp;'Supply planning data'!D560)-SUMIFS(M:M,D:D,"&lt;="&amp;D545,C:C,C545)+SUMIFS(N:N,D:D,"&lt;="&amp;D545,C:C,C545)+SUMIFS(P:P,D:D,"&lt;="&amp;D545,C:C,C545)&lt;0,0,SUMIFS('Shipments data'!L:L,'Shipments data'!F:F,'Supply planning data'!C545,'Shipments data'!A:A,'Supply planning data'!A545,'Shipments data'!O:O,"received",'Shipments data'!Q:Q,"&lt;"&amp;'Supply planning data'!D560,'Shipments data'!AC:AC,"&lt;"&amp;'Supply planning data'!D560)-SUMIFS(M:M,D:D,"&lt;="&amp;D545,C:C,C545)+SUMIFS(N:N,D:D,"&lt;="&amp;D545,C:C,C545)+SUMIFS(P:P,D:D,"&lt;="&amp;D545,C:C,C545))</f>
        <v>0</v>
      </c>
      <c r="U545" s="94">
        <f t="shared" si="170"/>
        <v>0</v>
      </c>
      <c r="V545" s="92">
        <f t="shared" si="160"/>
        <v>0</v>
      </c>
      <c r="W545" s="205" t="str">
        <f t="shared" si="158"/>
        <v/>
      </c>
      <c r="X545" s="92">
        <f t="shared" si="171"/>
        <v>154701</v>
      </c>
      <c r="Y545" s="91"/>
      <c r="Z545" s="93"/>
      <c r="AA545" s="92">
        <f t="shared" si="164"/>
        <v>0</v>
      </c>
      <c r="AB545" s="232"/>
      <c r="AC545" s="92">
        <f>IF(SUMIFS('Shipments data'!L:L,'Shipments data'!F:F,'Supply planning data'!C545,'Shipments data'!A:A,'Supply planning data'!A545,'Shipments data'!O:O,"received",'Shipments data'!Q:Q,"&lt;"&amp;'Supply planning data'!D560,'Shipments data'!AC:AC,"&lt;"&amp;'Supply planning data'!D560)-SUMIFS(M:M,D:D,"&lt;="&amp;D545,C:C,C545)-SUMIFS(AA:AA,D:D,"&lt;="&amp;D545,C:C,C545)+SUMIFS(N:N,D:D,"&lt;="&amp;D545,C:C,C545)+SUMIFS(P:P,D:D,"&lt;="&amp;D545,C:C,C545)&lt;0,0,SUMIFS('Shipments data'!L:L,'Shipments data'!F:F,'Supply planning data'!C545,'Shipments data'!A:A,'Supply planning data'!A545,'Shipments data'!O:O,"received",'Shipments data'!Q:Q,"&lt;"&amp;'Supply planning data'!D560,'Shipments data'!AC:AC,"&lt;"&amp;'Supply planning data'!D560)-SUMIFS(M:M,D:D,"&lt;="&amp;D545,C:C,C545)-SUMIFS(AA:AA,D:D,"&lt;="&amp;D545,C:C,C545)+SUMIFS(N:N,D:D,"&lt;="&amp;D545,C:C,C545)+SUMIFS(P:P,D:D,"&lt;="&amp;D545,C:C,C545))</f>
        <v>0</v>
      </c>
      <c r="AD545" s="92">
        <f t="shared" si="172"/>
        <v>0</v>
      </c>
      <c r="AE545" s="92">
        <f t="shared" si="166"/>
        <v>154701</v>
      </c>
      <c r="AF545" s="205" t="str">
        <f t="shared" si="175"/>
        <v/>
      </c>
      <c r="AG545" s="92">
        <f t="shared" si="173"/>
        <v>0</v>
      </c>
      <c r="AH545" s="91"/>
      <c r="AI545" s="310"/>
      <c r="AJ545" s="92">
        <f t="shared" si="165"/>
        <v>0</v>
      </c>
      <c r="AK545" s="232"/>
      <c r="AL545" s="92">
        <f>IF(SUMIFS('Shipments data'!L:L,'Shipments data'!F:F,'Supply planning data'!C545,'Shipments data'!A:A,'Supply planning data'!A545,'Shipments data'!O:O,"received",'Shipments data'!Q:Q,"&lt;"&amp;'Supply planning data'!D560,'Shipments data'!AC:AC,"&lt;"&amp;'Supply planning data'!D560)-SUMIFS(M:M,D:D,"&lt;="&amp;D545,C:C,C545)-SUMIFS(AJ:AJ,D:D,"&lt;="&amp;D545,C:C,C545)+SUMIFS(N:N,D:D,"&lt;="&amp;D545,C:C,C545)+SUMIFS(P:P,D:D,"&lt;="&amp;D545,C:C,C545)&lt;0,0,SUMIFS('Shipments data'!L:L,'Shipments data'!F:F,'Supply planning data'!C545,'Shipments data'!A:A,'Supply planning data'!A545,'Shipments data'!O:O,"received",'Shipments data'!Q:Q,"&lt;"&amp;'Supply planning data'!D560,'Shipments data'!AC:AC,"&lt;"&amp;'Supply planning data'!D560)-SUMIFS(M:M,D:D,"&lt;="&amp;D545,C:C,C545)-SUMIFS(AJ:AJ,D:D,"&lt;="&amp;D545,C:C,C545)+SUMIFS(N:N,D:D,"&lt;="&amp;D545,C:C,C545)+SUMIFS(P:P,D:D,"&lt;="&amp;D545,C:C,C545))</f>
        <v>0</v>
      </c>
      <c r="AM545" s="92">
        <f t="shared" si="174"/>
        <v>0</v>
      </c>
      <c r="AN545" s="92">
        <f t="shared" si="167"/>
        <v>0</v>
      </c>
      <c r="AO545" s="205" t="str">
        <f t="shared" si="159"/>
        <v/>
      </c>
    </row>
    <row r="546" spans="1:41" x14ac:dyDescent="0.25">
      <c r="A546" s="95" t="str">
        <f>Start!D$7</f>
        <v>Anyland</v>
      </c>
      <c r="B546" s="96" t="str">
        <f>VLOOKUP(A546,list!B:C,2,FALSE)</f>
        <v>ANY</v>
      </c>
      <c r="C546" s="90" t="str">
        <f>IF(Start!$C$18="","",Start!$C$18)</f>
        <v>Jansen</v>
      </c>
      <c r="D546" s="296">
        <f t="shared" si="168"/>
        <v>45292</v>
      </c>
      <c r="E546" s="92" t="str">
        <f>IFERROR(VLOOKUP(C546,Start!C$15:D$31,2,FALSE),"No")</f>
        <v>Yes</v>
      </c>
      <c r="F546" s="92">
        <f t="shared" si="169"/>
        <v>1871200</v>
      </c>
      <c r="G546" s="91"/>
      <c r="H546" s="97"/>
      <c r="I546" s="97"/>
      <c r="J546" s="98">
        <f t="shared" si="161"/>
        <v>0</v>
      </c>
      <c r="K546" s="97"/>
      <c r="L546" s="175" t="str">
        <f t="shared" si="162"/>
        <v/>
      </c>
      <c r="M546" s="98">
        <f t="shared" si="163"/>
        <v>0</v>
      </c>
      <c r="N546" s="97"/>
      <c r="O546" s="122"/>
      <c r="P546" s="97"/>
      <c r="Q546" s="122"/>
      <c r="R546" s="98">
        <f>SUMIFS('Shipments data'!L:L,'Shipments data'!F:F,'Supply planning data'!C546,'Shipments data'!A:A,'Supply planning data'!A546,'Shipments data'!Y:Y,'Supply planning data'!D546,'Shipments data'!O:O,"received", 'Shipments data'!N:N, "Public")</f>
        <v>0</v>
      </c>
      <c r="S546" s="98">
        <f>SUMIFS('Shipments data'!L:L,'Shipments data'!F:F,'Supply planning data'!C546,'Shipments data'!A:A,'Supply planning data'!A546,'Shipments data'!Y:Y,'Supply planning data'!D546,'Shipments data'!O:O,"ordered", 'Shipments data'!N:N, "Public")</f>
        <v>0</v>
      </c>
      <c r="T546" s="98">
        <f>IF(SUMIFS('Shipments data'!L:L,'Shipments data'!F:F,'Supply planning data'!C546,'Shipments data'!A:A,'Supply planning data'!A546,'Shipments data'!O:O,"received",'Shipments data'!Q:Q,"&lt;"&amp;'Supply planning data'!D561,'Shipments data'!AC:AC,"&lt;"&amp;'Supply planning data'!D561)-SUMIFS(M:M,D:D,"&lt;="&amp;D546,C:C,C546)+SUMIFS(N:N,D:D,"&lt;="&amp;D546,C:C,C546)+SUMIFS(P:P,D:D,"&lt;="&amp;D546,C:C,C546)&lt;0,0,SUMIFS('Shipments data'!L:L,'Shipments data'!F:F,'Supply planning data'!C546,'Shipments data'!A:A,'Supply planning data'!A546,'Shipments data'!O:O,"received",'Shipments data'!Q:Q,"&lt;"&amp;'Supply planning data'!D561,'Shipments data'!AC:AC,"&lt;"&amp;'Supply planning data'!D561)-SUMIFS(M:M,D:D,"&lt;="&amp;D546,C:C,C546)+SUMIFS(N:N,D:D,"&lt;="&amp;D546,C:C,C546)+SUMIFS(P:P,D:D,"&lt;="&amp;D546,C:C,C546))</f>
        <v>387547</v>
      </c>
      <c r="U546" s="99">
        <f t="shared" si="170"/>
        <v>0</v>
      </c>
      <c r="V546" s="98">
        <f t="shared" si="160"/>
        <v>1871200</v>
      </c>
      <c r="W546" s="203" t="str">
        <f t="shared" si="158"/>
        <v/>
      </c>
      <c r="X546" s="98">
        <f t="shared" si="171"/>
        <v>1311200</v>
      </c>
      <c r="Y546" s="97"/>
      <c r="Z546" s="93"/>
      <c r="AA546" s="98">
        <f t="shared" si="164"/>
        <v>0</v>
      </c>
      <c r="AB546" s="233"/>
      <c r="AC546" s="98">
        <f>IF(SUMIFS('Shipments data'!L:L,'Shipments data'!F:F,'Supply planning data'!C546,'Shipments data'!A:A,'Supply planning data'!A546,'Shipments data'!O:O,"received",'Shipments data'!Q:Q,"&lt;"&amp;'Supply planning data'!D561,'Shipments data'!AC:AC,"&lt;"&amp;'Supply planning data'!D561)-SUMIFS(M:M,D:D,"&lt;="&amp;D546,C:C,C546)-SUMIFS(AA:AA,D:D,"&lt;="&amp;D546,C:C,C546)+SUMIFS(N:N,D:D,"&lt;="&amp;D546,C:C,C546)+SUMIFS(P:P,D:D,"&lt;="&amp;D546,C:C,C546)&lt;0,0,SUMIFS('Shipments data'!L:L,'Shipments data'!F:F,'Supply planning data'!C546,'Shipments data'!A:A,'Supply planning data'!A546,'Shipments data'!O:O,"received",'Shipments data'!Q:Q,"&lt;"&amp;'Supply planning data'!D561,'Shipments data'!AC:AC,"&lt;"&amp;'Supply planning data'!D561)-SUMIFS(M:M,D:D,"&lt;="&amp;D546,C:C,C546)-SUMIFS(AA:AA,D:D,"&lt;="&amp;D546,C:C,C546)+SUMIFS(N:N,D:D,"&lt;="&amp;D546,C:C,C546)+SUMIFS(P:P,D:D,"&lt;="&amp;D546,C:C,C546))</f>
        <v>0</v>
      </c>
      <c r="AD546" s="98">
        <f t="shared" si="172"/>
        <v>0</v>
      </c>
      <c r="AE546" s="98">
        <f t="shared" si="166"/>
        <v>1311200</v>
      </c>
      <c r="AF546" s="205" t="str">
        <f t="shared" si="175"/>
        <v/>
      </c>
      <c r="AG546" s="98">
        <f t="shared" si="173"/>
        <v>1871200</v>
      </c>
      <c r="AH546" s="97"/>
      <c r="AI546" s="311"/>
      <c r="AJ546" s="98">
        <f t="shared" si="165"/>
        <v>0</v>
      </c>
      <c r="AK546" s="233"/>
      <c r="AL546" s="98">
        <f>IF(SUMIFS('Shipments data'!L:L,'Shipments data'!F:F,'Supply planning data'!C546,'Shipments data'!A:A,'Supply planning data'!A546,'Shipments data'!O:O,"received",'Shipments data'!Q:Q,"&lt;"&amp;'Supply planning data'!D561,'Shipments data'!AC:AC,"&lt;"&amp;'Supply planning data'!D561)-SUMIFS(M:M,D:D,"&lt;="&amp;D546,C:C,C546)-SUMIFS(AJ:AJ,D:D,"&lt;="&amp;D546,C:C,C546)+SUMIFS(N:N,D:D,"&lt;="&amp;D546,C:C,C546)+SUMIFS(P:P,D:D,"&lt;="&amp;D546,C:C,C546)&lt;0,0,SUMIFS('Shipments data'!L:L,'Shipments data'!F:F,'Supply planning data'!C546,'Shipments data'!A:A,'Supply planning data'!A546,'Shipments data'!O:O,"received",'Shipments data'!Q:Q,"&lt;"&amp;'Supply planning data'!D561,'Shipments data'!AC:AC,"&lt;"&amp;'Supply planning data'!D561)-SUMIFS(M:M,D:D,"&lt;="&amp;D546,C:C,C546)-SUMIFS(AJ:AJ,D:D,"&lt;="&amp;D546,C:C,C546)+SUMIFS(N:N,D:D,"&lt;="&amp;D546,C:C,C546)+SUMIFS(P:P,D:D,"&lt;="&amp;D546,C:C,C546))</f>
        <v>387547</v>
      </c>
      <c r="AM546" s="98">
        <f t="shared" si="174"/>
        <v>0</v>
      </c>
      <c r="AN546" s="98">
        <f t="shared" si="167"/>
        <v>1871200</v>
      </c>
      <c r="AO546" s="203" t="str">
        <f t="shared" si="159"/>
        <v/>
      </c>
    </row>
    <row r="547" spans="1:41" x14ac:dyDescent="0.25">
      <c r="A547" s="95" t="str">
        <f>Start!D$7</f>
        <v>Anyland</v>
      </c>
      <c r="B547" s="96" t="str">
        <f>VLOOKUP(A547,list!B:C,2,FALSE)</f>
        <v>ANY</v>
      </c>
      <c r="C547" s="90" t="str">
        <f>IF(Start!$C$19="","",Start!$C$19)</f>
        <v>Moderna</v>
      </c>
      <c r="D547" s="296">
        <f t="shared" si="168"/>
        <v>45292</v>
      </c>
      <c r="E547" s="92" t="str">
        <f>IFERROR(VLOOKUP(C547,Start!C$15:D$31,2,FALSE),"No")</f>
        <v>No</v>
      </c>
      <c r="F547" s="92">
        <f t="shared" si="169"/>
        <v>0</v>
      </c>
      <c r="G547" s="91"/>
      <c r="H547" s="97"/>
      <c r="I547" s="97"/>
      <c r="J547" s="98">
        <f t="shared" si="161"/>
        <v>0</v>
      </c>
      <c r="K547" s="97"/>
      <c r="L547" s="175" t="str">
        <f t="shared" si="162"/>
        <v/>
      </c>
      <c r="M547" s="98">
        <f t="shared" si="163"/>
        <v>0</v>
      </c>
      <c r="N547" s="97"/>
      <c r="O547" s="122"/>
      <c r="P547" s="97"/>
      <c r="Q547" s="122"/>
      <c r="R547" s="98">
        <f>SUMIFS('Shipments data'!L:L,'Shipments data'!F:F,'Supply planning data'!C547,'Shipments data'!A:A,'Supply planning data'!A547,'Shipments data'!Y:Y,'Supply planning data'!D547,'Shipments data'!O:O,"received", 'Shipments data'!N:N, "Public")</f>
        <v>0</v>
      </c>
      <c r="S547" s="98">
        <f>SUMIFS('Shipments data'!L:L,'Shipments data'!F:F,'Supply planning data'!C547,'Shipments data'!A:A,'Supply planning data'!A547,'Shipments data'!Y:Y,'Supply planning data'!D547,'Shipments data'!O:O,"ordered", 'Shipments data'!N:N, "Public")</f>
        <v>0</v>
      </c>
      <c r="T547" s="98">
        <f>IF(SUMIFS('Shipments data'!L:L,'Shipments data'!F:F,'Supply planning data'!C547,'Shipments data'!A:A,'Supply planning data'!A547,'Shipments data'!O:O,"received",'Shipments data'!Q:Q,"&lt;"&amp;'Supply planning data'!D562,'Shipments data'!AC:AC,"&lt;"&amp;'Supply planning data'!D562)-SUMIFS(M:M,D:D,"&lt;="&amp;D547,C:C,C547)+SUMIFS(N:N,D:D,"&lt;="&amp;D547,C:C,C547)+SUMIFS(P:P,D:D,"&lt;="&amp;D547,C:C,C547)&lt;0,0,SUMIFS('Shipments data'!L:L,'Shipments data'!F:F,'Supply planning data'!C547,'Shipments data'!A:A,'Supply planning data'!A547,'Shipments data'!O:O,"received",'Shipments data'!Q:Q,"&lt;"&amp;'Supply planning data'!D562,'Shipments data'!AC:AC,"&lt;"&amp;'Supply planning data'!D562)-SUMIFS(M:M,D:D,"&lt;="&amp;D547,C:C,C547)+SUMIFS(N:N,D:D,"&lt;="&amp;D547,C:C,C547)+SUMIFS(P:P,D:D,"&lt;="&amp;D547,C:C,C547))</f>
        <v>0</v>
      </c>
      <c r="U547" s="99">
        <f t="shared" si="170"/>
        <v>0</v>
      </c>
      <c r="V547" s="98">
        <f t="shared" si="160"/>
        <v>0</v>
      </c>
      <c r="W547" s="203" t="str">
        <f t="shared" si="158"/>
        <v/>
      </c>
      <c r="X547" s="98">
        <f t="shared" si="171"/>
        <v>0</v>
      </c>
      <c r="Y547" s="97"/>
      <c r="Z547" s="93"/>
      <c r="AA547" s="98">
        <f t="shared" si="164"/>
        <v>0</v>
      </c>
      <c r="AB547" s="233"/>
      <c r="AC547" s="98">
        <f>IF(SUMIFS('Shipments data'!L:L,'Shipments data'!F:F,'Supply planning data'!C547,'Shipments data'!A:A,'Supply planning data'!A547,'Shipments data'!O:O,"received",'Shipments data'!Q:Q,"&lt;"&amp;'Supply planning data'!D562,'Shipments data'!AC:AC,"&lt;"&amp;'Supply planning data'!D562)-SUMIFS(M:M,D:D,"&lt;="&amp;D547,C:C,C547)-SUMIFS(AA:AA,D:D,"&lt;="&amp;D547,C:C,C547)+SUMIFS(N:N,D:D,"&lt;="&amp;D547,C:C,C547)+SUMIFS(P:P,D:D,"&lt;="&amp;D547,C:C,C547)&lt;0,0,SUMIFS('Shipments data'!L:L,'Shipments data'!F:F,'Supply planning data'!C547,'Shipments data'!A:A,'Supply planning data'!A547,'Shipments data'!O:O,"received",'Shipments data'!Q:Q,"&lt;"&amp;'Supply planning data'!D562,'Shipments data'!AC:AC,"&lt;"&amp;'Supply planning data'!D562)-SUMIFS(M:M,D:D,"&lt;="&amp;D547,C:C,C547)-SUMIFS(AA:AA,D:D,"&lt;="&amp;D547,C:C,C547)+SUMIFS(N:N,D:D,"&lt;="&amp;D547,C:C,C547)+SUMIFS(P:P,D:D,"&lt;="&amp;D547,C:C,C547))</f>
        <v>0</v>
      </c>
      <c r="AD547" s="98">
        <f t="shared" si="172"/>
        <v>0</v>
      </c>
      <c r="AE547" s="98">
        <f t="shared" si="166"/>
        <v>0</v>
      </c>
      <c r="AF547" s="205" t="str">
        <f t="shared" si="175"/>
        <v/>
      </c>
      <c r="AG547" s="98">
        <f t="shared" si="173"/>
        <v>0</v>
      </c>
      <c r="AH547" s="97"/>
      <c r="AI547" s="311"/>
      <c r="AJ547" s="98">
        <f t="shared" si="165"/>
        <v>0</v>
      </c>
      <c r="AK547" s="233"/>
      <c r="AL547" s="98">
        <f>IF(SUMIFS('Shipments data'!L:L,'Shipments data'!F:F,'Supply planning data'!C547,'Shipments data'!A:A,'Supply planning data'!A547,'Shipments data'!O:O,"received",'Shipments data'!Q:Q,"&lt;"&amp;'Supply planning data'!D562,'Shipments data'!AC:AC,"&lt;"&amp;'Supply planning data'!D562)-SUMIFS(M:M,D:D,"&lt;="&amp;D547,C:C,C547)-SUMIFS(AJ:AJ,D:D,"&lt;="&amp;D547,C:C,C547)+SUMIFS(N:N,D:D,"&lt;="&amp;D547,C:C,C547)+SUMIFS(P:P,D:D,"&lt;="&amp;D547,C:C,C547)&lt;0,0,SUMIFS('Shipments data'!L:L,'Shipments data'!F:F,'Supply planning data'!C547,'Shipments data'!A:A,'Supply planning data'!A547,'Shipments data'!O:O,"received",'Shipments data'!Q:Q,"&lt;"&amp;'Supply planning data'!D562,'Shipments data'!AC:AC,"&lt;"&amp;'Supply planning data'!D562)-SUMIFS(M:M,D:D,"&lt;="&amp;D547,C:C,C547)-SUMIFS(AJ:AJ,D:D,"&lt;="&amp;D547,C:C,C547)+SUMIFS(N:N,D:D,"&lt;="&amp;D547,C:C,C547)+SUMIFS(P:P,D:D,"&lt;="&amp;D547,C:C,C547))</f>
        <v>0</v>
      </c>
      <c r="AM547" s="98">
        <f t="shared" si="174"/>
        <v>0</v>
      </c>
      <c r="AN547" s="98">
        <f t="shared" si="167"/>
        <v>0</v>
      </c>
      <c r="AO547" s="203" t="str">
        <f t="shared" si="159"/>
        <v/>
      </c>
    </row>
    <row r="548" spans="1:41" x14ac:dyDescent="0.25">
      <c r="A548" s="95" t="str">
        <f>Start!D$7</f>
        <v>Anyland</v>
      </c>
      <c r="B548" s="96" t="str">
        <f>VLOOKUP(A548,list!B:C,2,FALSE)</f>
        <v>ANY</v>
      </c>
      <c r="C548" s="90" t="str">
        <f>IF(Start!$C$20="","",Start!$C$20)</f>
        <v>Pfizer</v>
      </c>
      <c r="D548" s="296">
        <f t="shared" si="168"/>
        <v>45292</v>
      </c>
      <c r="E548" s="92" t="str">
        <f>IFERROR(VLOOKUP(C548,Start!C$15:D$31,2,FALSE),"No")</f>
        <v>Yes</v>
      </c>
      <c r="F548" s="92">
        <f t="shared" si="169"/>
        <v>3000000</v>
      </c>
      <c r="G548" s="91"/>
      <c r="H548" s="97"/>
      <c r="I548" s="97"/>
      <c r="J548" s="98">
        <f t="shared" si="161"/>
        <v>0</v>
      </c>
      <c r="K548" s="97"/>
      <c r="L548" s="175" t="str">
        <f t="shared" si="162"/>
        <v/>
      </c>
      <c r="M548" s="98">
        <f t="shared" si="163"/>
        <v>0</v>
      </c>
      <c r="N548" s="97"/>
      <c r="O548" s="122"/>
      <c r="P548" s="97"/>
      <c r="Q548" s="122"/>
      <c r="R548" s="98">
        <f>SUMIFS('Shipments data'!L:L,'Shipments data'!F:F,'Supply planning data'!C548,'Shipments data'!A:A,'Supply planning data'!A548,'Shipments data'!Y:Y,'Supply planning data'!D548,'Shipments data'!O:O,"received", 'Shipments data'!N:N, "Public")</f>
        <v>0</v>
      </c>
      <c r="S548" s="98">
        <f>SUMIFS('Shipments data'!L:L,'Shipments data'!F:F,'Supply planning data'!C548,'Shipments data'!A:A,'Supply planning data'!A548,'Shipments data'!Y:Y,'Supply planning data'!D548,'Shipments data'!O:O,"ordered", 'Shipments data'!N:N, "Public")</f>
        <v>0</v>
      </c>
      <c r="T548" s="98">
        <f>IF(SUMIFS('Shipments data'!L:L,'Shipments data'!F:F,'Supply planning data'!C548,'Shipments data'!A:A,'Supply planning data'!A548,'Shipments data'!O:O,"received",'Shipments data'!Q:Q,"&lt;"&amp;'Supply planning data'!D563,'Shipments data'!AC:AC,"&lt;"&amp;'Supply planning data'!D563)-SUMIFS(M:M,D:D,"&lt;="&amp;D548,C:C,C548)+SUMIFS(N:N,D:D,"&lt;="&amp;D548,C:C,C548)+SUMIFS(P:P,D:D,"&lt;="&amp;D548,C:C,C548)&lt;0,0,SUMIFS('Shipments data'!L:L,'Shipments data'!F:F,'Supply planning data'!C548,'Shipments data'!A:A,'Supply planning data'!A548,'Shipments data'!O:O,"received",'Shipments data'!Q:Q,"&lt;"&amp;'Supply planning data'!D563,'Shipments data'!AC:AC,"&lt;"&amp;'Supply planning data'!D563)-SUMIFS(M:M,D:D,"&lt;="&amp;D548,C:C,C548)+SUMIFS(N:N,D:D,"&lt;="&amp;D548,C:C,C548)+SUMIFS(P:P,D:D,"&lt;="&amp;D548,C:C,C548))</f>
        <v>110538</v>
      </c>
      <c r="U548" s="99">
        <f t="shared" si="170"/>
        <v>0</v>
      </c>
      <c r="V548" s="98">
        <f t="shared" si="160"/>
        <v>3000000</v>
      </c>
      <c r="W548" s="203" t="str">
        <f t="shared" ref="W548:W611" si="176">IF(M548&lt;=0,"",IFERROR(V548/(SUM(M548,M533,M518)/3),""))</f>
        <v/>
      </c>
      <c r="X548" s="98">
        <f t="shared" si="171"/>
        <v>2440000</v>
      </c>
      <c r="Y548" s="97"/>
      <c r="Z548" s="93"/>
      <c r="AA548" s="98">
        <f t="shared" si="164"/>
        <v>0</v>
      </c>
      <c r="AB548" s="233"/>
      <c r="AC548" s="98">
        <f>IF(SUMIFS('Shipments data'!L:L,'Shipments data'!F:F,'Supply planning data'!C548,'Shipments data'!A:A,'Supply planning data'!A548,'Shipments data'!O:O,"received",'Shipments data'!Q:Q,"&lt;"&amp;'Supply planning data'!D563,'Shipments data'!AC:AC,"&lt;"&amp;'Supply planning data'!D563)-SUMIFS(M:M,D:D,"&lt;="&amp;D548,C:C,C548)-SUMIFS(AA:AA,D:D,"&lt;="&amp;D548,C:C,C548)+SUMIFS(N:N,D:D,"&lt;="&amp;D548,C:C,C548)+SUMIFS(P:P,D:D,"&lt;="&amp;D548,C:C,C548)&lt;0,0,SUMIFS('Shipments data'!L:L,'Shipments data'!F:F,'Supply planning data'!C548,'Shipments data'!A:A,'Supply planning data'!A548,'Shipments data'!O:O,"received",'Shipments data'!Q:Q,"&lt;"&amp;'Supply planning data'!D563,'Shipments data'!AC:AC,"&lt;"&amp;'Supply planning data'!D563)-SUMIFS(M:M,D:D,"&lt;="&amp;D548,C:C,C548)-SUMIFS(AA:AA,D:D,"&lt;="&amp;D548,C:C,C548)+SUMIFS(N:N,D:D,"&lt;="&amp;D548,C:C,C548)+SUMIFS(P:P,D:D,"&lt;="&amp;D548,C:C,C548))</f>
        <v>0</v>
      </c>
      <c r="AD548" s="98">
        <f t="shared" si="172"/>
        <v>0</v>
      </c>
      <c r="AE548" s="98">
        <f t="shared" si="166"/>
        <v>2440000</v>
      </c>
      <c r="AF548" s="205" t="str">
        <f t="shared" si="175"/>
        <v/>
      </c>
      <c r="AG548" s="98">
        <f t="shared" si="173"/>
        <v>3000000</v>
      </c>
      <c r="AH548" s="97"/>
      <c r="AI548" s="311"/>
      <c r="AJ548" s="98">
        <f t="shared" si="165"/>
        <v>0</v>
      </c>
      <c r="AK548" s="233"/>
      <c r="AL548" s="98">
        <f>IF(SUMIFS('Shipments data'!L:L,'Shipments data'!F:F,'Supply planning data'!C548,'Shipments data'!A:A,'Supply planning data'!A548,'Shipments data'!O:O,"received",'Shipments data'!Q:Q,"&lt;"&amp;'Supply planning data'!D563,'Shipments data'!AC:AC,"&lt;"&amp;'Supply planning data'!D563)-SUMIFS(M:M,D:D,"&lt;="&amp;D548,C:C,C548)-SUMIFS(AJ:AJ,D:D,"&lt;="&amp;D548,C:C,C548)+SUMIFS(N:N,D:D,"&lt;="&amp;D548,C:C,C548)+SUMIFS(P:P,D:D,"&lt;="&amp;D548,C:C,C548)&lt;0,0,SUMIFS('Shipments data'!L:L,'Shipments data'!F:F,'Supply planning data'!C548,'Shipments data'!A:A,'Supply planning data'!A548,'Shipments data'!O:O,"received",'Shipments data'!Q:Q,"&lt;"&amp;'Supply planning data'!D563,'Shipments data'!AC:AC,"&lt;"&amp;'Supply planning data'!D563)-SUMIFS(M:M,D:D,"&lt;="&amp;D548,C:C,C548)-SUMIFS(AJ:AJ,D:D,"&lt;="&amp;D548,C:C,C548)+SUMIFS(N:N,D:D,"&lt;="&amp;D548,C:C,C548)+SUMIFS(P:P,D:D,"&lt;="&amp;D548,C:C,C548))</f>
        <v>110538</v>
      </c>
      <c r="AM548" s="98">
        <f t="shared" si="174"/>
        <v>0</v>
      </c>
      <c r="AN548" s="98">
        <f t="shared" si="167"/>
        <v>3000000</v>
      </c>
      <c r="AO548" s="203" t="str">
        <f t="shared" ref="AO548:AO611" si="177">IF(M548+AJ548&lt;=0,"",IFERROR(AN548/(SUM(M548,M578,M563,AJ548,AJ578,AJ563)/3),""))</f>
        <v/>
      </c>
    </row>
    <row r="549" spans="1:41" x14ac:dyDescent="0.25">
      <c r="A549" s="95" t="str">
        <f>Start!D$7</f>
        <v>Anyland</v>
      </c>
      <c r="B549" s="96" t="str">
        <f>VLOOKUP(A549,list!B:C,2,FALSE)</f>
        <v>ANY</v>
      </c>
      <c r="C549" s="90" t="str">
        <f>IF(Start!$C$21="","",Start!$C$21)</f>
        <v>Sinovac</v>
      </c>
      <c r="D549" s="296">
        <f t="shared" si="168"/>
        <v>45292</v>
      </c>
      <c r="E549" s="92" t="str">
        <f>IFERROR(VLOOKUP(C549,Start!C$15:D$31,2,FALSE),"No")</f>
        <v>No</v>
      </c>
      <c r="F549" s="92">
        <f t="shared" si="169"/>
        <v>0</v>
      </c>
      <c r="G549" s="91"/>
      <c r="H549" s="97"/>
      <c r="I549" s="97"/>
      <c r="J549" s="98">
        <f t="shared" si="161"/>
        <v>0</v>
      </c>
      <c r="K549" s="97"/>
      <c r="L549" s="175" t="str">
        <f t="shared" si="162"/>
        <v/>
      </c>
      <c r="M549" s="98">
        <f t="shared" si="163"/>
        <v>0</v>
      </c>
      <c r="N549" s="97"/>
      <c r="O549" s="122"/>
      <c r="P549" s="97"/>
      <c r="Q549" s="122"/>
      <c r="R549" s="98">
        <f>SUMIFS('Shipments data'!L:L,'Shipments data'!F:F,'Supply planning data'!C549,'Shipments data'!A:A,'Supply planning data'!A549,'Shipments data'!Y:Y,'Supply planning data'!D549,'Shipments data'!O:O,"received", 'Shipments data'!N:N, "Public")</f>
        <v>0</v>
      </c>
      <c r="S549" s="98">
        <f>SUMIFS('Shipments data'!L:L,'Shipments data'!F:F,'Supply planning data'!C549,'Shipments data'!A:A,'Supply planning data'!A549,'Shipments data'!Y:Y,'Supply planning data'!D549,'Shipments data'!O:O,"ordered", 'Shipments data'!N:N, "Public")</f>
        <v>0</v>
      </c>
      <c r="T549" s="98">
        <f>IF(SUMIFS('Shipments data'!L:L,'Shipments data'!F:F,'Supply planning data'!C549,'Shipments data'!A:A,'Supply planning data'!A549,'Shipments data'!O:O,"received",'Shipments data'!Q:Q,"&lt;"&amp;'Supply planning data'!D564,'Shipments data'!AC:AC,"&lt;"&amp;'Supply planning data'!D564)-SUMIFS(M:M,D:D,"&lt;="&amp;D549,C:C,C549)+SUMIFS(N:N,D:D,"&lt;="&amp;D549,C:C,C549)+SUMIFS(P:P,D:D,"&lt;="&amp;D549,C:C,C549)&lt;0,0,SUMIFS('Shipments data'!L:L,'Shipments data'!F:F,'Supply planning data'!C549,'Shipments data'!A:A,'Supply planning data'!A549,'Shipments data'!O:O,"received",'Shipments data'!Q:Q,"&lt;"&amp;'Supply planning data'!D564,'Shipments data'!AC:AC,"&lt;"&amp;'Supply planning data'!D564)-SUMIFS(M:M,D:D,"&lt;="&amp;D549,C:C,C549)+SUMIFS(N:N,D:D,"&lt;="&amp;D549,C:C,C549)+SUMIFS(P:P,D:D,"&lt;="&amp;D549,C:C,C549))</f>
        <v>0</v>
      </c>
      <c r="U549" s="99">
        <f t="shared" si="170"/>
        <v>0</v>
      </c>
      <c r="V549" s="98">
        <f t="shared" si="160"/>
        <v>0</v>
      </c>
      <c r="W549" s="203" t="str">
        <f t="shared" si="176"/>
        <v/>
      </c>
      <c r="X549" s="98">
        <f t="shared" si="171"/>
        <v>0</v>
      </c>
      <c r="Y549" s="97"/>
      <c r="Z549" s="93"/>
      <c r="AA549" s="98">
        <f t="shared" si="164"/>
        <v>0</v>
      </c>
      <c r="AB549" s="233"/>
      <c r="AC549" s="98">
        <f>IF(SUMIFS('Shipments data'!L:L,'Shipments data'!F:F,'Supply planning data'!C549,'Shipments data'!A:A,'Supply planning data'!A549,'Shipments data'!O:O,"received",'Shipments data'!Q:Q,"&lt;"&amp;'Supply planning data'!D564,'Shipments data'!AC:AC,"&lt;"&amp;'Supply planning data'!D564)-SUMIFS(M:M,D:D,"&lt;="&amp;D549,C:C,C549)-SUMIFS(AA:AA,D:D,"&lt;="&amp;D549,C:C,C549)+SUMIFS(N:N,D:D,"&lt;="&amp;D549,C:C,C549)+SUMIFS(P:P,D:D,"&lt;="&amp;D549,C:C,C549)&lt;0,0,SUMIFS('Shipments data'!L:L,'Shipments data'!F:F,'Supply planning data'!C549,'Shipments data'!A:A,'Supply planning data'!A549,'Shipments data'!O:O,"received",'Shipments data'!Q:Q,"&lt;"&amp;'Supply planning data'!D564,'Shipments data'!AC:AC,"&lt;"&amp;'Supply planning data'!D564)-SUMIFS(M:M,D:D,"&lt;="&amp;D549,C:C,C549)-SUMIFS(AA:AA,D:D,"&lt;="&amp;D549,C:C,C549)+SUMIFS(N:N,D:D,"&lt;="&amp;D549,C:C,C549)+SUMIFS(P:P,D:D,"&lt;="&amp;D549,C:C,C549))</f>
        <v>0</v>
      </c>
      <c r="AD549" s="98">
        <f t="shared" si="172"/>
        <v>0</v>
      </c>
      <c r="AE549" s="98">
        <f t="shared" si="166"/>
        <v>0</v>
      </c>
      <c r="AF549" s="205" t="str">
        <f t="shared" si="175"/>
        <v/>
      </c>
      <c r="AG549" s="98">
        <f t="shared" si="173"/>
        <v>0</v>
      </c>
      <c r="AH549" s="97"/>
      <c r="AI549" s="311"/>
      <c r="AJ549" s="98">
        <f t="shared" si="165"/>
        <v>0</v>
      </c>
      <c r="AK549" s="233"/>
      <c r="AL549" s="98">
        <f>IF(SUMIFS('Shipments data'!L:L,'Shipments data'!F:F,'Supply planning data'!C549,'Shipments data'!A:A,'Supply planning data'!A549,'Shipments data'!O:O,"received",'Shipments data'!Q:Q,"&lt;"&amp;'Supply planning data'!D564,'Shipments data'!AC:AC,"&lt;"&amp;'Supply planning data'!D564)-SUMIFS(M:M,D:D,"&lt;="&amp;D549,C:C,C549)-SUMIFS(AJ:AJ,D:D,"&lt;="&amp;D549,C:C,C549)+SUMIFS(N:N,D:D,"&lt;="&amp;D549,C:C,C549)+SUMIFS(P:P,D:D,"&lt;="&amp;D549,C:C,C549)&lt;0,0,SUMIFS('Shipments data'!L:L,'Shipments data'!F:F,'Supply planning data'!C549,'Shipments data'!A:A,'Supply planning data'!A549,'Shipments data'!O:O,"received",'Shipments data'!Q:Q,"&lt;"&amp;'Supply planning data'!D564,'Shipments data'!AC:AC,"&lt;"&amp;'Supply planning data'!D564)-SUMIFS(M:M,D:D,"&lt;="&amp;D549,C:C,C549)-SUMIFS(AJ:AJ,D:D,"&lt;="&amp;D549,C:C,C549)+SUMIFS(N:N,D:D,"&lt;="&amp;D549,C:C,C549)+SUMIFS(P:P,D:D,"&lt;="&amp;D549,C:C,C549))</f>
        <v>0</v>
      </c>
      <c r="AM549" s="98">
        <f t="shared" si="174"/>
        <v>0</v>
      </c>
      <c r="AN549" s="98">
        <f t="shared" si="167"/>
        <v>0</v>
      </c>
      <c r="AO549" s="203" t="str">
        <f t="shared" si="177"/>
        <v/>
      </c>
    </row>
    <row r="550" spans="1:41" hidden="1" x14ac:dyDescent="0.25">
      <c r="A550" s="95" t="str">
        <f>Start!D$7</f>
        <v>Anyland</v>
      </c>
      <c r="B550" s="96" t="str">
        <f>VLOOKUP(A550,list!B:C,2,FALSE)</f>
        <v>ANY</v>
      </c>
      <c r="C550" s="90" t="str">
        <f>IF(Start!$C$22="","",Start!$C$22)</f>
        <v/>
      </c>
      <c r="D550" s="296">
        <f t="shared" si="168"/>
        <v>45292</v>
      </c>
      <c r="E550" s="92" t="str">
        <f>IFERROR(VLOOKUP(C550,Start!C$15:D$31,2,FALSE),"No")</f>
        <v>No</v>
      </c>
      <c r="F550" s="92">
        <f t="shared" si="169"/>
        <v>0</v>
      </c>
      <c r="G550" s="91"/>
      <c r="H550" s="97"/>
      <c r="I550" s="97"/>
      <c r="J550" s="98">
        <f t="shared" si="161"/>
        <v>0</v>
      </c>
      <c r="K550" s="97"/>
      <c r="L550" s="175" t="str">
        <f t="shared" si="162"/>
        <v/>
      </c>
      <c r="M550" s="98">
        <f t="shared" si="163"/>
        <v>0</v>
      </c>
      <c r="N550" s="97"/>
      <c r="O550" s="122"/>
      <c r="P550" s="97"/>
      <c r="Q550" s="122"/>
      <c r="R550" s="98">
        <f>SUMIFS('Shipments data'!L:L,'Shipments data'!F:F,'Supply planning data'!C550,'Shipments data'!A:A,'Supply planning data'!A550,'Shipments data'!Y:Y,'Supply planning data'!D550,'Shipments data'!O:O,"received", 'Shipments data'!N:N, "Public")</f>
        <v>0</v>
      </c>
      <c r="S550" s="98">
        <f>SUMIFS('Shipments data'!L:L,'Shipments data'!F:F,'Supply planning data'!C550,'Shipments data'!A:A,'Supply planning data'!A550,'Shipments data'!Y:Y,'Supply planning data'!D550,'Shipments data'!O:O,"ordered", 'Shipments data'!N:N, "Public")</f>
        <v>0</v>
      </c>
      <c r="T550" s="98">
        <f>IF(SUMIFS('Shipments data'!L:L,'Shipments data'!F:F,'Supply planning data'!C550,'Shipments data'!A:A,'Supply planning data'!A550,'Shipments data'!O:O,"received",'Shipments data'!Q:Q,"&lt;"&amp;'Supply planning data'!D565,'Shipments data'!AC:AC,"&lt;"&amp;'Supply planning data'!D565)-SUMIFS(M:M,D:D,"&lt;="&amp;D550,C:C,C550)+SUMIFS(N:N,D:D,"&lt;="&amp;D550,C:C,C550)+SUMIFS(P:P,D:D,"&lt;="&amp;D550,C:C,C550)&lt;0,0,SUMIFS('Shipments data'!L:L,'Shipments data'!F:F,'Supply planning data'!C550,'Shipments data'!A:A,'Supply planning data'!A550,'Shipments data'!O:O,"received",'Shipments data'!Q:Q,"&lt;"&amp;'Supply planning data'!D565,'Shipments data'!AC:AC,"&lt;"&amp;'Supply planning data'!D565)-SUMIFS(M:M,D:D,"&lt;="&amp;D550,C:C,C550)+SUMIFS(N:N,D:D,"&lt;="&amp;D550,C:C,C550)+SUMIFS(P:P,D:D,"&lt;="&amp;D550,C:C,C550))</f>
        <v>0</v>
      </c>
      <c r="U550" s="99">
        <f t="shared" si="170"/>
        <v>0</v>
      </c>
      <c r="V550" s="98">
        <f t="shared" si="160"/>
        <v>0</v>
      </c>
      <c r="W550" s="203" t="str">
        <f t="shared" si="176"/>
        <v/>
      </c>
      <c r="X550" s="98">
        <f t="shared" si="171"/>
        <v>0</v>
      </c>
      <c r="Y550" s="97"/>
      <c r="Z550" s="93"/>
      <c r="AA550" s="98">
        <f t="shared" si="164"/>
        <v>0</v>
      </c>
      <c r="AB550" s="233"/>
      <c r="AC550" s="98">
        <f>IF(SUMIFS('Shipments data'!L:L,'Shipments data'!F:F,'Supply planning data'!C550,'Shipments data'!A:A,'Supply planning data'!A550,'Shipments data'!O:O,"received",'Shipments data'!Q:Q,"&lt;"&amp;'Supply planning data'!D565,'Shipments data'!AC:AC,"&lt;"&amp;'Supply planning data'!D565)-SUMIFS(M:M,D:D,"&lt;="&amp;D550,C:C,C550)-SUMIFS(AA:AA,D:D,"&lt;="&amp;D550,C:C,C550)+SUMIFS(N:N,D:D,"&lt;="&amp;D550,C:C,C550)+SUMIFS(P:P,D:D,"&lt;="&amp;D550,C:C,C550)&lt;0,0,SUMIFS('Shipments data'!L:L,'Shipments data'!F:F,'Supply planning data'!C550,'Shipments data'!A:A,'Supply planning data'!A550,'Shipments data'!O:O,"received",'Shipments data'!Q:Q,"&lt;"&amp;'Supply planning data'!D565,'Shipments data'!AC:AC,"&lt;"&amp;'Supply planning data'!D565)-SUMIFS(M:M,D:D,"&lt;="&amp;D550,C:C,C550)-SUMIFS(AA:AA,D:D,"&lt;="&amp;D550,C:C,C550)+SUMIFS(N:N,D:D,"&lt;="&amp;D550,C:C,C550)+SUMIFS(P:P,D:D,"&lt;="&amp;D550,C:C,C550))</f>
        <v>0</v>
      </c>
      <c r="AD550" s="98">
        <f t="shared" si="172"/>
        <v>0</v>
      </c>
      <c r="AE550" s="98">
        <f t="shared" si="166"/>
        <v>0</v>
      </c>
      <c r="AF550" s="205" t="str">
        <f t="shared" si="175"/>
        <v/>
      </c>
      <c r="AG550" s="98">
        <f t="shared" si="173"/>
        <v>0</v>
      </c>
      <c r="AH550" s="97"/>
      <c r="AI550" s="311"/>
      <c r="AJ550" s="98">
        <f t="shared" si="165"/>
        <v>0</v>
      </c>
      <c r="AK550" s="233"/>
      <c r="AL550" s="98">
        <f>IF(SUMIFS('Shipments data'!L:L,'Shipments data'!F:F,'Supply planning data'!C550,'Shipments data'!A:A,'Supply planning data'!A550,'Shipments data'!O:O,"received",'Shipments data'!Q:Q,"&lt;"&amp;'Supply planning data'!D565,'Shipments data'!AC:AC,"&lt;"&amp;'Supply planning data'!D565)-SUMIFS(M:M,D:D,"&lt;="&amp;D550,C:C,C550)-SUMIFS(AJ:AJ,D:D,"&lt;="&amp;D550,C:C,C550)+SUMIFS(N:N,D:D,"&lt;="&amp;D550,C:C,C550)+SUMIFS(P:P,D:D,"&lt;="&amp;D550,C:C,C550)&lt;0,0,SUMIFS('Shipments data'!L:L,'Shipments data'!F:F,'Supply planning data'!C550,'Shipments data'!A:A,'Supply planning data'!A550,'Shipments data'!O:O,"received",'Shipments data'!Q:Q,"&lt;"&amp;'Supply planning data'!D565,'Shipments data'!AC:AC,"&lt;"&amp;'Supply planning data'!D565)-SUMIFS(M:M,D:D,"&lt;="&amp;D550,C:C,C550)-SUMIFS(AJ:AJ,D:D,"&lt;="&amp;D550,C:C,C550)+SUMIFS(N:N,D:D,"&lt;="&amp;D550,C:C,C550)+SUMIFS(P:P,D:D,"&lt;="&amp;D550,C:C,C550))</f>
        <v>0</v>
      </c>
      <c r="AM550" s="98">
        <f t="shared" si="174"/>
        <v>0</v>
      </c>
      <c r="AN550" s="98">
        <f t="shared" si="167"/>
        <v>0</v>
      </c>
      <c r="AO550" s="203" t="str">
        <f t="shared" si="177"/>
        <v/>
      </c>
    </row>
    <row r="551" spans="1:41" hidden="1" x14ac:dyDescent="0.25">
      <c r="A551" s="95" t="str">
        <f>Start!D$7</f>
        <v>Anyland</v>
      </c>
      <c r="B551" s="96" t="str">
        <f>VLOOKUP(A551,list!B:C,2,FALSE)</f>
        <v>ANY</v>
      </c>
      <c r="C551" s="90" t="str">
        <f>IF(Start!$C$23="","",Start!$C$23)</f>
        <v/>
      </c>
      <c r="D551" s="296">
        <f t="shared" si="168"/>
        <v>45292</v>
      </c>
      <c r="E551" s="92" t="str">
        <f>IFERROR(VLOOKUP(C551,Start!C$15:D$31,2,FALSE),"No")</f>
        <v>No</v>
      </c>
      <c r="F551" s="92">
        <f t="shared" si="169"/>
        <v>0</v>
      </c>
      <c r="G551" s="91"/>
      <c r="H551" s="97"/>
      <c r="I551" s="97"/>
      <c r="J551" s="98">
        <f t="shared" si="161"/>
        <v>0</v>
      </c>
      <c r="K551" s="97"/>
      <c r="L551" s="175" t="str">
        <f t="shared" si="162"/>
        <v/>
      </c>
      <c r="M551" s="98">
        <f t="shared" si="163"/>
        <v>0</v>
      </c>
      <c r="N551" s="97"/>
      <c r="O551" s="122"/>
      <c r="P551" s="97"/>
      <c r="Q551" s="122"/>
      <c r="R551" s="98">
        <f>SUMIFS('Shipments data'!L:L,'Shipments data'!F:F,'Supply planning data'!C551,'Shipments data'!A:A,'Supply planning data'!A551,'Shipments data'!Y:Y,'Supply planning data'!D551,'Shipments data'!O:O,"received", 'Shipments data'!N:N, "Public")</f>
        <v>0</v>
      </c>
      <c r="S551" s="98">
        <f>SUMIFS('Shipments data'!L:L,'Shipments data'!F:F,'Supply planning data'!C551,'Shipments data'!A:A,'Supply planning data'!A551,'Shipments data'!Y:Y,'Supply planning data'!D551,'Shipments data'!O:O,"ordered", 'Shipments data'!N:N, "Public")</f>
        <v>0</v>
      </c>
      <c r="T551" s="98">
        <f>IF(SUMIFS('Shipments data'!L:L,'Shipments data'!F:F,'Supply planning data'!C551,'Shipments data'!A:A,'Supply planning data'!A551,'Shipments data'!O:O,"received",'Shipments data'!Q:Q,"&lt;"&amp;'Supply planning data'!D566,'Shipments data'!AC:AC,"&lt;"&amp;'Supply planning data'!D566)-SUMIFS(M:M,D:D,"&lt;="&amp;D551,C:C,C551)+SUMIFS(N:N,D:D,"&lt;="&amp;D551,C:C,C551)+SUMIFS(P:P,D:D,"&lt;="&amp;D551,C:C,C551)&lt;0,0,SUMIFS('Shipments data'!L:L,'Shipments data'!F:F,'Supply planning data'!C551,'Shipments data'!A:A,'Supply planning data'!A551,'Shipments data'!O:O,"received",'Shipments data'!Q:Q,"&lt;"&amp;'Supply planning data'!D566,'Shipments data'!AC:AC,"&lt;"&amp;'Supply planning data'!D566)-SUMIFS(M:M,D:D,"&lt;="&amp;D551,C:C,C551)+SUMIFS(N:N,D:D,"&lt;="&amp;D551,C:C,C551)+SUMIFS(P:P,D:D,"&lt;="&amp;D551,C:C,C551))</f>
        <v>0</v>
      </c>
      <c r="U551" s="99">
        <f t="shared" si="170"/>
        <v>0</v>
      </c>
      <c r="V551" s="98">
        <f t="shared" si="160"/>
        <v>0</v>
      </c>
      <c r="W551" s="203" t="str">
        <f t="shared" si="176"/>
        <v/>
      </c>
      <c r="X551" s="98">
        <f t="shared" si="171"/>
        <v>0</v>
      </c>
      <c r="Y551" s="97"/>
      <c r="Z551" s="93"/>
      <c r="AA551" s="98">
        <f t="shared" si="164"/>
        <v>0</v>
      </c>
      <c r="AB551" s="233"/>
      <c r="AC551" s="98">
        <f>IF(SUMIFS('Shipments data'!L:L,'Shipments data'!F:F,'Supply planning data'!C551,'Shipments data'!A:A,'Supply planning data'!A551,'Shipments data'!O:O,"received",'Shipments data'!Q:Q,"&lt;"&amp;'Supply planning data'!D566,'Shipments data'!AC:AC,"&lt;"&amp;'Supply planning data'!D566)-SUMIFS(M:M,D:D,"&lt;="&amp;D551,C:C,C551)-SUMIFS(AA:AA,D:D,"&lt;="&amp;D551,C:C,C551)+SUMIFS(N:N,D:D,"&lt;="&amp;D551,C:C,C551)+SUMIFS(P:P,D:D,"&lt;="&amp;D551,C:C,C551)&lt;0,0,SUMIFS('Shipments data'!L:L,'Shipments data'!F:F,'Supply planning data'!C551,'Shipments data'!A:A,'Supply planning data'!A551,'Shipments data'!O:O,"received",'Shipments data'!Q:Q,"&lt;"&amp;'Supply planning data'!D566,'Shipments data'!AC:AC,"&lt;"&amp;'Supply planning data'!D566)-SUMIFS(M:M,D:D,"&lt;="&amp;D551,C:C,C551)-SUMIFS(AA:AA,D:D,"&lt;="&amp;D551,C:C,C551)+SUMIFS(N:N,D:D,"&lt;="&amp;D551,C:C,C551)+SUMIFS(P:P,D:D,"&lt;="&amp;D551,C:C,C551))</f>
        <v>0</v>
      </c>
      <c r="AD551" s="98">
        <f t="shared" si="172"/>
        <v>0</v>
      </c>
      <c r="AE551" s="98">
        <f t="shared" si="166"/>
        <v>0</v>
      </c>
      <c r="AF551" s="205" t="str">
        <f t="shared" si="175"/>
        <v/>
      </c>
      <c r="AG551" s="98">
        <f t="shared" si="173"/>
        <v>0</v>
      </c>
      <c r="AH551" s="97"/>
      <c r="AI551" s="311"/>
      <c r="AJ551" s="98">
        <f t="shared" si="165"/>
        <v>0</v>
      </c>
      <c r="AK551" s="233"/>
      <c r="AL551" s="98">
        <f>IF(SUMIFS('Shipments data'!L:L,'Shipments data'!F:F,'Supply planning data'!C551,'Shipments data'!A:A,'Supply planning data'!A551,'Shipments data'!O:O,"received",'Shipments data'!Q:Q,"&lt;"&amp;'Supply planning data'!D566,'Shipments data'!AC:AC,"&lt;"&amp;'Supply planning data'!D566)-SUMIFS(M:M,D:D,"&lt;="&amp;D551,C:C,C551)-SUMIFS(AJ:AJ,D:D,"&lt;="&amp;D551,C:C,C551)+SUMIFS(N:N,D:D,"&lt;="&amp;D551,C:C,C551)+SUMIFS(P:P,D:D,"&lt;="&amp;D551,C:C,C551)&lt;0,0,SUMIFS('Shipments data'!L:L,'Shipments data'!F:F,'Supply planning data'!C551,'Shipments data'!A:A,'Supply planning data'!A551,'Shipments data'!O:O,"received",'Shipments data'!Q:Q,"&lt;"&amp;'Supply planning data'!D566,'Shipments data'!AC:AC,"&lt;"&amp;'Supply planning data'!D566)-SUMIFS(M:M,D:D,"&lt;="&amp;D551,C:C,C551)-SUMIFS(AJ:AJ,D:D,"&lt;="&amp;D551,C:C,C551)+SUMIFS(N:N,D:D,"&lt;="&amp;D551,C:C,C551)+SUMIFS(P:P,D:D,"&lt;="&amp;D551,C:C,C551))</f>
        <v>0</v>
      </c>
      <c r="AM551" s="98">
        <f t="shared" si="174"/>
        <v>0</v>
      </c>
      <c r="AN551" s="98">
        <f t="shared" si="167"/>
        <v>0</v>
      </c>
      <c r="AO551" s="203" t="str">
        <f t="shared" si="177"/>
        <v/>
      </c>
    </row>
    <row r="552" spans="1:41" hidden="1" x14ac:dyDescent="0.25">
      <c r="A552" s="95" t="str">
        <f>Start!D$7</f>
        <v>Anyland</v>
      </c>
      <c r="B552" s="96" t="str">
        <f>VLOOKUP(A552,list!B:C,2,FALSE)</f>
        <v>ANY</v>
      </c>
      <c r="C552" s="90" t="str">
        <f>IF(Start!$C$24="","",Start!$C$24)</f>
        <v/>
      </c>
      <c r="D552" s="296">
        <f t="shared" si="168"/>
        <v>45292</v>
      </c>
      <c r="E552" s="92" t="str">
        <f>IFERROR(VLOOKUP(C552,Start!C$15:D$31,2,FALSE),"No")</f>
        <v>No</v>
      </c>
      <c r="F552" s="92">
        <f t="shared" si="169"/>
        <v>0</v>
      </c>
      <c r="G552" s="91"/>
      <c r="H552" s="97"/>
      <c r="I552" s="97"/>
      <c r="J552" s="98">
        <f t="shared" si="161"/>
        <v>0</v>
      </c>
      <c r="K552" s="97"/>
      <c r="L552" s="175" t="str">
        <f t="shared" si="162"/>
        <v/>
      </c>
      <c r="M552" s="98">
        <f t="shared" si="163"/>
        <v>0</v>
      </c>
      <c r="N552" s="97"/>
      <c r="O552" s="122"/>
      <c r="P552" s="97"/>
      <c r="Q552" s="122"/>
      <c r="R552" s="98">
        <f>SUMIFS('Shipments data'!L:L,'Shipments data'!F:F,'Supply planning data'!C552,'Shipments data'!A:A,'Supply planning data'!A552,'Shipments data'!Y:Y,'Supply planning data'!D552,'Shipments data'!O:O,"received", 'Shipments data'!N:N, "Public")</f>
        <v>0</v>
      </c>
      <c r="S552" s="98">
        <f>SUMIFS('Shipments data'!L:L,'Shipments data'!F:F,'Supply planning data'!C552,'Shipments data'!A:A,'Supply planning data'!A552,'Shipments data'!Y:Y,'Supply planning data'!D552,'Shipments data'!O:O,"ordered", 'Shipments data'!N:N, "Public")</f>
        <v>0</v>
      </c>
      <c r="T552" s="98">
        <f>IF(SUMIFS('Shipments data'!L:L,'Shipments data'!F:F,'Supply planning data'!C552,'Shipments data'!A:A,'Supply planning data'!A552,'Shipments data'!O:O,"received",'Shipments data'!Q:Q,"&lt;"&amp;'Supply planning data'!D567,'Shipments data'!AC:AC,"&lt;"&amp;'Supply planning data'!D567)-SUMIFS(M:M,D:D,"&lt;="&amp;D552,C:C,C552)+SUMIFS(N:N,D:D,"&lt;="&amp;D552,C:C,C552)+SUMIFS(P:P,D:D,"&lt;="&amp;D552,C:C,C552)&lt;0,0,SUMIFS('Shipments data'!L:L,'Shipments data'!F:F,'Supply planning data'!C552,'Shipments data'!A:A,'Supply planning data'!A552,'Shipments data'!O:O,"received",'Shipments data'!Q:Q,"&lt;"&amp;'Supply planning data'!D567,'Shipments data'!AC:AC,"&lt;"&amp;'Supply planning data'!D567)-SUMIFS(M:M,D:D,"&lt;="&amp;D552,C:C,C552)+SUMIFS(N:N,D:D,"&lt;="&amp;D552,C:C,C552)+SUMIFS(P:P,D:D,"&lt;="&amp;D552,C:C,C552))</f>
        <v>0</v>
      </c>
      <c r="U552" s="99">
        <f t="shared" si="170"/>
        <v>0</v>
      </c>
      <c r="V552" s="98">
        <f t="shared" si="160"/>
        <v>0</v>
      </c>
      <c r="W552" s="203" t="str">
        <f t="shared" si="176"/>
        <v/>
      </c>
      <c r="X552" s="98">
        <f t="shared" si="171"/>
        <v>0</v>
      </c>
      <c r="Y552" s="97"/>
      <c r="Z552" s="93"/>
      <c r="AA552" s="98">
        <f t="shared" si="164"/>
        <v>0</v>
      </c>
      <c r="AB552" s="233"/>
      <c r="AC552" s="98">
        <f>IF(SUMIFS('Shipments data'!L:L,'Shipments data'!F:F,'Supply planning data'!C552,'Shipments data'!A:A,'Supply planning data'!A552,'Shipments data'!O:O,"received",'Shipments data'!Q:Q,"&lt;"&amp;'Supply planning data'!D567,'Shipments data'!AC:AC,"&lt;"&amp;'Supply planning data'!D567)-SUMIFS(M:M,D:D,"&lt;="&amp;D552,C:C,C552)-SUMIFS(AA:AA,D:D,"&lt;="&amp;D552,C:C,C552)+SUMIFS(N:N,D:D,"&lt;="&amp;D552,C:C,C552)+SUMIFS(P:P,D:D,"&lt;="&amp;D552,C:C,C552)&lt;0,0,SUMIFS('Shipments data'!L:L,'Shipments data'!F:F,'Supply planning data'!C552,'Shipments data'!A:A,'Supply planning data'!A552,'Shipments data'!O:O,"received",'Shipments data'!Q:Q,"&lt;"&amp;'Supply planning data'!D567,'Shipments data'!AC:AC,"&lt;"&amp;'Supply planning data'!D567)-SUMIFS(M:M,D:D,"&lt;="&amp;D552,C:C,C552)-SUMIFS(AA:AA,D:D,"&lt;="&amp;D552,C:C,C552)+SUMIFS(N:N,D:D,"&lt;="&amp;D552,C:C,C552)+SUMIFS(P:P,D:D,"&lt;="&amp;D552,C:C,C552))</f>
        <v>0</v>
      </c>
      <c r="AD552" s="98">
        <f t="shared" si="172"/>
        <v>0</v>
      </c>
      <c r="AE552" s="98">
        <f t="shared" si="166"/>
        <v>0</v>
      </c>
      <c r="AF552" s="205" t="str">
        <f t="shared" si="175"/>
        <v/>
      </c>
      <c r="AG552" s="98">
        <f t="shared" si="173"/>
        <v>0</v>
      </c>
      <c r="AH552" s="97"/>
      <c r="AI552" s="311"/>
      <c r="AJ552" s="98">
        <f t="shared" si="165"/>
        <v>0</v>
      </c>
      <c r="AK552" s="233"/>
      <c r="AL552" s="98">
        <f>IF(SUMIFS('Shipments data'!L:L,'Shipments data'!F:F,'Supply planning data'!C552,'Shipments data'!A:A,'Supply planning data'!A552,'Shipments data'!O:O,"received",'Shipments data'!Q:Q,"&lt;"&amp;'Supply planning data'!D567,'Shipments data'!AC:AC,"&lt;"&amp;'Supply planning data'!D567)-SUMIFS(M:M,D:D,"&lt;="&amp;D552,C:C,C552)-SUMIFS(AJ:AJ,D:D,"&lt;="&amp;D552,C:C,C552)+SUMIFS(N:N,D:D,"&lt;="&amp;D552,C:C,C552)+SUMIFS(P:P,D:D,"&lt;="&amp;D552,C:C,C552)&lt;0,0,SUMIFS('Shipments data'!L:L,'Shipments data'!F:F,'Supply planning data'!C552,'Shipments data'!A:A,'Supply planning data'!A552,'Shipments data'!O:O,"received",'Shipments data'!Q:Q,"&lt;"&amp;'Supply planning data'!D567,'Shipments data'!AC:AC,"&lt;"&amp;'Supply planning data'!D567)-SUMIFS(M:M,D:D,"&lt;="&amp;D552,C:C,C552)-SUMIFS(AJ:AJ,D:D,"&lt;="&amp;D552,C:C,C552)+SUMIFS(N:N,D:D,"&lt;="&amp;D552,C:C,C552)+SUMIFS(P:P,D:D,"&lt;="&amp;D552,C:C,C552))</f>
        <v>0</v>
      </c>
      <c r="AM552" s="98">
        <f t="shared" si="174"/>
        <v>0</v>
      </c>
      <c r="AN552" s="98">
        <f t="shared" si="167"/>
        <v>0</v>
      </c>
      <c r="AO552" s="203" t="str">
        <f t="shared" si="177"/>
        <v/>
      </c>
    </row>
    <row r="553" spans="1:41" hidden="1" x14ac:dyDescent="0.25">
      <c r="A553" s="95" t="str">
        <f>Start!D$7</f>
        <v>Anyland</v>
      </c>
      <c r="B553" s="96" t="str">
        <f>VLOOKUP(A553,list!B:C,2,FALSE)</f>
        <v>ANY</v>
      </c>
      <c r="C553" s="90" t="str">
        <f>IF(Start!$C$25="","",Start!$C$25)</f>
        <v/>
      </c>
      <c r="D553" s="296">
        <f t="shared" si="168"/>
        <v>45292</v>
      </c>
      <c r="E553" s="92" t="str">
        <f>IFERROR(VLOOKUP(C553,Start!C$15:D$31,2,FALSE),"No")</f>
        <v>No</v>
      </c>
      <c r="F553" s="92">
        <f t="shared" si="169"/>
        <v>0</v>
      </c>
      <c r="G553" s="91"/>
      <c r="H553" s="97"/>
      <c r="I553" s="97"/>
      <c r="J553" s="98">
        <f t="shared" si="161"/>
        <v>0</v>
      </c>
      <c r="K553" s="97"/>
      <c r="L553" s="175" t="str">
        <f t="shared" si="162"/>
        <v/>
      </c>
      <c r="M553" s="98">
        <f t="shared" si="163"/>
        <v>0</v>
      </c>
      <c r="N553" s="97"/>
      <c r="O553" s="122"/>
      <c r="P553" s="97"/>
      <c r="Q553" s="122"/>
      <c r="R553" s="98">
        <f>SUMIFS('Shipments data'!L:L,'Shipments data'!F:F,'Supply planning data'!C553,'Shipments data'!A:A,'Supply planning data'!A553,'Shipments data'!Y:Y,'Supply planning data'!D553,'Shipments data'!O:O,"received", 'Shipments data'!N:N, "Public")</f>
        <v>0</v>
      </c>
      <c r="S553" s="98">
        <f>SUMIFS('Shipments data'!L:L,'Shipments data'!F:F,'Supply planning data'!C553,'Shipments data'!A:A,'Supply planning data'!A553,'Shipments data'!Y:Y,'Supply planning data'!D553,'Shipments data'!O:O,"ordered", 'Shipments data'!N:N, "Public")</f>
        <v>0</v>
      </c>
      <c r="T553" s="98">
        <f>IF(SUMIFS('Shipments data'!L:L,'Shipments data'!F:F,'Supply planning data'!C553,'Shipments data'!A:A,'Supply planning data'!A553,'Shipments data'!O:O,"received",'Shipments data'!Q:Q,"&lt;"&amp;'Supply planning data'!D568,'Shipments data'!AC:AC,"&lt;"&amp;'Supply planning data'!D568)-SUMIFS(M:M,D:D,"&lt;="&amp;D553,C:C,C553)+SUMIFS(N:N,D:D,"&lt;="&amp;D553,C:C,C553)+SUMIFS(P:P,D:D,"&lt;="&amp;D553,C:C,C553)&lt;0,0,SUMIFS('Shipments data'!L:L,'Shipments data'!F:F,'Supply planning data'!C553,'Shipments data'!A:A,'Supply planning data'!A553,'Shipments data'!O:O,"received",'Shipments data'!Q:Q,"&lt;"&amp;'Supply planning data'!D568,'Shipments data'!AC:AC,"&lt;"&amp;'Supply planning data'!D568)-SUMIFS(M:M,D:D,"&lt;="&amp;D553,C:C,C553)+SUMIFS(N:N,D:D,"&lt;="&amp;D553,C:C,C553)+SUMIFS(P:P,D:D,"&lt;="&amp;D553,C:C,C553))</f>
        <v>0</v>
      </c>
      <c r="U553" s="99">
        <f t="shared" si="170"/>
        <v>0</v>
      </c>
      <c r="V553" s="98">
        <f t="shared" si="160"/>
        <v>0</v>
      </c>
      <c r="W553" s="203" t="str">
        <f t="shared" si="176"/>
        <v/>
      </c>
      <c r="X553" s="98">
        <f t="shared" si="171"/>
        <v>0</v>
      </c>
      <c r="Y553" s="97"/>
      <c r="Z553" s="93"/>
      <c r="AA553" s="98">
        <f t="shared" si="164"/>
        <v>0</v>
      </c>
      <c r="AB553" s="233"/>
      <c r="AC553" s="98">
        <f>IF(SUMIFS('Shipments data'!L:L,'Shipments data'!F:F,'Supply planning data'!C553,'Shipments data'!A:A,'Supply planning data'!A553,'Shipments data'!O:O,"received",'Shipments data'!Q:Q,"&lt;"&amp;'Supply planning data'!D568,'Shipments data'!AC:AC,"&lt;"&amp;'Supply planning data'!D568)-SUMIFS(M:M,D:D,"&lt;="&amp;D553,C:C,C553)-SUMIFS(AA:AA,D:D,"&lt;="&amp;D553,C:C,C553)+SUMIFS(N:N,D:D,"&lt;="&amp;D553,C:C,C553)+SUMIFS(P:P,D:D,"&lt;="&amp;D553,C:C,C553)&lt;0,0,SUMIFS('Shipments data'!L:L,'Shipments data'!F:F,'Supply planning data'!C553,'Shipments data'!A:A,'Supply planning data'!A553,'Shipments data'!O:O,"received",'Shipments data'!Q:Q,"&lt;"&amp;'Supply planning data'!D568,'Shipments data'!AC:AC,"&lt;"&amp;'Supply planning data'!D568)-SUMIFS(M:M,D:D,"&lt;="&amp;D553,C:C,C553)-SUMIFS(AA:AA,D:D,"&lt;="&amp;D553,C:C,C553)+SUMIFS(N:N,D:D,"&lt;="&amp;D553,C:C,C553)+SUMIFS(P:P,D:D,"&lt;="&amp;D553,C:C,C553))</f>
        <v>0</v>
      </c>
      <c r="AD553" s="98">
        <f t="shared" si="172"/>
        <v>0</v>
      </c>
      <c r="AE553" s="98">
        <f t="shared" si="166"/>
        <v>0</v>
      </c>
      <c r="AF553" s="205" t="str">
        <f t="shared" si="175"/>
        <v/>
      </c>
      <c r="AG553" s="98">
        <f t="shared" si="173"/>
        <v>0</v>
      </c>
      <c r="AH553" s="97"/>
      <c r="AI553" s="311"/>
      <c r="AJ553" s="98">
        <f t="shared" si="165"/>
        <v>0</v>
      </c>
      <c r="AK553" s="233"/>
      <c r="AL553" s="98">
        <f>IF(SUMIFS('Shipments data'!L:L,'Shipments data'!F:F,'Supply planning data'!C553,'Shipments data'!A:A,'Supply planning data'!A553,'Shipments data'!O:O,"received",'Shipments data'!Q:Q,"&lt;"&amp;'Supply planning data'!D568,'Shipments data'!AC:AC,"&lt;"&amp;'Supply planning data'!D568)-SUMIFS(M:M,D:D,"&lt;="&amp;D553,C:C,C553)-SUMIFS(AJ:AJ,D:D,"&lt;="&amp;D553,C:C,C553)+SUMIFS(N:N,D:D,"&lt;="&amp;D553,C:C,C553)+SUMIFS(P:P,D:D,"&lt;="&amp;D553,C:C,C553)&lt;0,0,SUMIFS('Shipments data'!L:L,'Shipments data'!F:F,'Supply planning data'!C553,'Shipments data'!A:A,'Supply planning data'!A553,'Shipments data'!O:O,"received",'Shipments data'!Q:Q,"&lt;"&amp;'Supply planning data'!D568,'Shipments data'!AC:AC,"&lt;"&amp;'Supply planning data'!D568)-SUMIFS(M:M,D:D,"&lt;="&amp;D553,C:C,C553)-SUMIFS(AJ:AJ,D:D,"&lt;="&amp;D553,C:C,C553)+SUMIFS(N:N,D:D,"&lt;="&amp;D553,C:C,C553)+SUMIFS(P:P,D:D,"&lt;="&amp;D553,C:C,C553))</f>
        <v>0</v>
      </c>
      <c r="AM553" s="98">
        <f t="shared" si="174"/>
        <v>0</v>
      </c>
      <c r="AN553" s="98">
        <f t="shared" si="167"/>
        <v>0</v>
      </c>
      <c r="AO553" s="203" t="str">
        <f t="shared" si="177"/>
        <v/>
      </c>
    </row>
    <row r="554" spans="1:41" hidden="1" x14ac:dyDescent="0.25">
      <c r="A554" s="95" t="str">
        <f>Start!D$7</f>
        <v>Anyland</v>
      </c>
      <c r="B554" s="96" t="str">
        <f>VLOOKUP(A554,list!B:C,2,FALSE)</f>
        <v>ANY</v>
      </c>
      <c r="C554" s="90" t="str">
        <f>IF(Start!$C$26="","",Start!$C$26)</f>
        <v/>
      </c>
      <c r="D554" s="296">
        <f t="shared" si="168"/>
        <v>45292</v>
      </c>
      <c r="E554" s="92" t="str">
        <f>IFERROR(VLOOKUP(C554,Start!C$15:D$31,2,FALSE),"No")</f>
        <v>No</v>
      </c>
      <c r="F554" s="92">
        <f t="shared" si="169"/>
        <v>0</v>
      </c>
      <c r="G554" s="91"/>
      <c r="H554" s="97"/>
      <c r="I554" s="97"/>
      <c r="J554" s="98">
        <f t="shared" si="161"/>
        <v>0</v>
      </c>
      <c r="K554" s="97"/>
      <c r="L554" s="175" t="str">
        <f t="shared" si="162"/>
        <v/>
      </c>
      <c r="M554" s="98">
        <f t="shared" si="163"/>
        <v>0</v>
      </c>
      <c r="N554" s="97"/>
      <c r="O554" s="122"/>
      <c r="P554" s="97"/>
      <c r="Q554" s="122"/>
      <c r="R554" s="98">
        <f>SUMIFS('Shipments data'!L:L,'Shipments data'!F:F,'Supply planning data'!C554,'Shipments data'!A:A,'Supply planning data'!A554,'Shipments data'!Y:Y,'Supply planning data'!D554,'Shipments data'!O:O,"received", 'Shipments data'!N:N, "Public")</f>
        <v>0</v>
      </c>
      <c r="S554" s="98">
        <f>SUMIFS('Shipments data'!L:L,'Shipments data'!F:F,'Supply planning data'!C554,'Shipments data'!A:A,'Supply planning data'!A554,'Shipments data'!Y:Y,'Supply planning data'!D554,'Shipments data'!O:O,"ordered", 'Shipments data'!N:N, "Public")</f>
        <v>0</v>
      </c>
      <c r="T554" s="98">
        <f>IF(SUMIFS('Shipments data'!L:L,'Shipments data'!F:F,'Supply planning data'!C554,'Shipments data'!A:A,'Supply planning data'!A554,'Shipments data'!O:O,"received",'Shipments data'!Q:Q,"&lt;"&amp;'Supply planning data'!D569,'Shipments data'!AC:AC,"&lt;"&amp;'Supply planning data'!D569)-SUMIFS(M:M,D:D,"&lt;="&amp;D554,C:C,C554)+SUMIFS(N:N,D:D,"&lt;="&amp;D554,C:C,C554)+SUMIFS(P:P,D:D,"&lt;="&amp;D554,C:C,C554)&lt;0,0,SUMIFS('Shipments data'!L:L,'Shipments data'!F:F,'Supply planning data'!C554,'Shipments data'!A:A,'Supply planning data'!A554,'Shipments data'!O:O,"received",'Shipments data'!Q:Q,"&lt;"&amp;'Supply planning data'!D569,'Shipments data'!AC:AC,"&lt;"&amp;'Supply planning data'!D569)-SUMIFS(M:M,D:D,"&lt;="&amp;D554,C:C,C554)+SUMIFS(N:N,D:D,"&lt;="&amp;D554,C:C,C554)+SUMIFS(P:P,D:D,"&lt;="&amp;D554,C:C,C554))</f>
        <v>0</v>
      </c>
      <c r="U554" s="99">
        <f t="shared" si="170"/>
        <v>0</v>
      </c>
      <c r="V554" s="98">
        <f t="shared" si="160"/>
        <v>0</v>
      </c>
      <c r="W554" s="203" t="str">
        <f t="shared" si="176"/>
        <v/>
      </c>
      <c r="X554" s="98">
        <f t="shared" si="171"/>
        <v>0</v>
      </c>
      <c r="Y554" s="97"/>
      <c r="Z554" s="93"/>
      <c r="AA554" s="98">
        <f t="shared" si="164"/>
        <v>0</v>
      </c>
      <c r="AB554" s="233"/>
      <c r="AC554" s="98">
        <f>IF(SUMIFS('Shipments data'!L:L,'Shipments data'!F:F,'Supply planning data'!C554,'Shipments data'!A:A,'Supply planning data'!A554,'Shipments data'!O:O,"received",'Shipments data'!Q:Q,"&lt;"&amp;'Supply planning data'!D569,'Shipments data'!AC:AC,"&lt;"&amp;'Supply planning data'!D569)-SUMIFS(M:M,D:D,"&lt;="&amp;D554,C:C,C554)-SUMIFS(AA:AA,D:D,"&lt;="&amp;D554,C:C,C554)+SUMIFS(N:N,D:D,"&lt;="&amp;D554,C:C,C554)+SUMIFS(P:P,D:D,"&lt;="&amp;D554,C:C,C554)&lt;0,0,SUMIFS('Shipments data'!L:L,'Shipments data'!F:F,'Supply planning data'!C554,'Shipments data'!A:A,'Supply planning data'!A554,'Shipments data'!O:O,"received",'Shipments data'!Q:Q,"&lt;"&amp;'Supply planning data'!D569,'Shipments data'!AC:AC,"&lt;"&amp;'Supply planning data'!D569)-SUMIFS(M:M,D:D,"&lt;="&amp;D554,C:C,C554)-SUMIFS(AA:AA,D:D,"&lt;="&amp;D554,C:C,C554)+SUMIFS(N:N,D:D,"&lt;="&amp;D554,C:C,C554)+SUMIFS(P:P,D:D,"&lt;="&amp;D554,C:C,C554))</f>
        <v>0</v>
      </c>
      <c r="AD554" s="98">
        <f t="shared" si="172"/>
        <v>0</v>
      </c>
      <c r="AE554" s="98">
        <f t="shared" si="166"/>
        <v>0</v>
      </c>
      <c r="AF554" s="205" t="str">
        <f t="shared" si="175"/>
        <v/>
      </c>
      <c r="AG554" s="98">
        <f t="shared" si="173"/>
        <v>0</v>
      </c>
      <c r="AH554" s="97"/>
      <c r="AI554" s="311"/>
      <c r="AJ554" s="98">
        <f t="shared" si="165"/>
        <v>0</v>
      </c>
      <c r="AK554" s="233"/>
      <c r="AL554" s="98">
        <f>IF(SUMIFS('Shipments data'!L:L,'Shipments data'!F:F,'Supply planning data'!C554,'Shipments data'!A:A,'Supply planning data'!A554,'Shipments data'!O:O,"received",'Shipments data'!Q:Q,"&lt;"&amp;'Supply planning data'!D569,'Shipments data'!AC:AC,"&lt;"&amp;'Supply planning data'!D569)-SUMIFS(M:M,D:D,"&lt;="&amp;D554,C:C,C554)-SUMIFS(AJ:AJ,D:D,"&lt;="&amp;D554,C:C,C554)+SUMIFS(N:N,D:D,"&lt;="&amp;D554,C:C,C554)+SUMIFS(P:P,D:D,"&lt;="&amp;D554,C:C,C554)&lt;0,0,SUMIFS('Shipments data'!L:L,'Shipments data'!F:F,'Supply planning data'!C554,'Shipments data'!A:A,'Supply planning data'!A554,'Shipments data'!O:O,"received",'Shipments data'!Q:Q,"&lt;"&amp;'Supply planning data'!D569,'Shipments data'!AC:AC,"&lt;"&amp;'Supply planning data'!D569)-SUMIFS(M:M,D:D,"&lt;="&amp;D554,C:C,C554)-SUMIFS(AJ:AJ,D:D,"&lt;="&amp;D554,C:C,C554)+SUMIFS(N:N,D:D,"&lt;="&amp;D554,C:C,C554)+SUMIFS(P:P,D:D,"&lt;="&amp;D554,C:C,C554))</f>
        <v>0</v>
      </c>
      <c r="AM554" s="98">
        <f t="shared" si="174"/>
        <v>0</v>
      </c>
      <c r="AN554" s="98">
        <f t="shared" si="167"/>
        <v>0</v>
      </c>
      <c r="AO554" s="203" t="str">
        <f t="shared" si="177"/>
        <v/>
      </c>
    </row>
    <row r="555" spans="1:41" hidden="1" x14ac:dyDescent="0.25">
      <c r="A555" s="95" t="str">
        <f>Start!D$7</f>
        <v>Anyland</v>
      </c>
      <c r="B555" s="96" t="str">
        <f>VLOOKUP(A555,list!B:C,2,FALSE)</f>
        <v>ANY</v>
      </c>
      <c r="C555" s="90" t="str">
        <f>IF(Start!$C$27="","",Start!$C$27)</f>
        <v/>
      </c>
      <c r="D555" s="296">
        <f t="shared" si="168"/>
        <v>45292</v>
      </c>
      <c r="E555" s="92" t="str">
        <f>IFERROR(VLOOKUP(C555,Start!C$15:D$31,2,FALSE),"No")</f>
        <v>No</v>
      </c>
      <c r="F555" s="92">
        <f t="shared" si="169"/>
        <v>0</v>
      </c>
      <c r="G555" s="91"/>
      <c r="H555" s="97"/>
      <c r="I555" s="97"/>
      <c r="J555" s="98">
        <f t="shared" si="161"/>
        <v>0</v>
      </c>
      <c r="K555" s="97"/>
      <c r="L555" s="175" t="str">
        <f t="shared" si="162"/>
        <v/>
      </c>
      <c r="M555" s="98">
        <f t="shared" si="163"/>
        <v>0</v>
      </c>
      <c r="N555" s="97"/>
      <c r="O555" s="122"/>
      <c r="P555" s="97"/>
      <c r="Q555" s="122"/>
      <c r="R555" s="98">
        <f>SUMIFS('Shipments data'!L:L,'Shipments data'!F:F,'Supply planning data'!C555,'Shipments data'!A:A,'Supply planning data'!A555,'Shipments data'!Y:Y,'Supply planning data'!D555,'Shipments data'!O:O,"received", 'Shipments data'!N:N, "Public")</f>
        <v>0</v>
      </c>
      <c r="S555" s="98">
        <f>SUMIFS('Shipments data'!L:L,'Shipments data'!F:F,'Supply planning data'!C555,'Shipments data'!A:A,'Supply planning data'!A555,'Shipments data'!Y:Y,'Supply planning data'!D555,'Shipments data'!O:O,"ordered", 'Shipments data'!N:N, "Public")</f>
        <v>0</v>
      </c>
      <c r="T555" s="98">
        <f>IF(SUMIFS('Shipments data'!L:L,'Shipments data'!F:F,'Supply planning data'!C555,'Shipments data'!A:A,'Supply planning data'!A555,'Shipments data'!O:O,"received",'Shipments data'!Q:Q,"&lt;"&amp;'Supply planning data'!D570,'Shipments data'!AC:AC,"&lt;"&amp;'Supply planning data'!D570)-SUMIFS(M:M,D:D,"&lt;="&amp;D555,C:C,C555)+SUMIFS(N:N,D:D,"&lt;="&amp;D555,C:C,C555)+SUMIFS(P:P,D:D,"&lt;="&amp;D555,C:C,C555)&lt;0,0,SUMIFS('Shipments data'!L:L,'Shipments data'!F:F,'Supply planning data'!C555,'Shipments data'!A:A,'Supply planning data'!A555,'Shipments data'!O:O,"received",'Shipments data'!Q:Q,"&lt;"&amp;'Supply planning data'!D570,'Shipments data'!AC:AC,"&lt;"&amp;'Supply planning data'!D570)-SUMIFS(M:M,D:D,"&lt;="&amp;D555,C:C,C555)+SUMIFS(N:N,D:D,"&lt;="&amp;D555,C:C,C555)+SUMIFS(P:P,D:D,"&lt;="&amp;D555,C:C,C555))</f>
        <v>0</v>
      </c>
      <c r="U555" s="99">
        <f t="shared" si="170"/>
        <v>0</v>
      </c>
      <c r="V555" s="98">
        <f t="shared" si="160"/>
        <v>0</v>
      </c>
      <c r="W555" s="203" t="str">
        <f t="shared" si="176"/>
        <v/>
      </c>
      <c r="X555" s="98">
        <f t="shared" si="171"/>
        <v>0</v>
      </c>
      <c r="Y555" s="97"/>
      <c r="Z555" s="93"/>
      <c r="AA555" s="98">
        <f t="shared" si="164"/>
        <v>0</v>
      </c>
      <c r="AB555" s="233"/>
      <c r="AC555" s="98">
        <f>IF(SUMIFS('Shipments data'!L:L,'Shipments data'!F:F,'Supply planning data'!C555,'Shipments data'!A:A,'Supply planning data'!A555,'Shipments data'!O:O,"received",'Shipments data'!Q:Q,"&lt;"&amp;'Supply planning data'!D570,'Shipments data'!AC:AC,"&lt;"&amp;'Supply planning data'!D570)-SUMIFS(M:M,D:D,"&lt;="&amp;D555,C:C,C555)-SUMIFS(AA:AA,D:D,"&lt;="&amp;D555,C:C,C555)+SUMIFS(N:N,D:D,"&lt;="&amp;D555,C:C,C555)+SUMIFS(P:P,D:D,"&lt;="&amp;D555,C:C,C555)&lt;0,0,SUMIFS('Shipments data'!L:L,'Shipments data'!F:F,'Supply planning data'!C555,'Shipments data'!A:A,'Supply planning data'!A555,'Shipments data'!O:O,"received",'Shipments data'!Q:Q,"&lt;"&amp;'Supply planning data'!D570,'Shipments data'!AC:AC,"&lt;"&amp;'Supply planning data'!D570)-SUMIFS(M:M,D:D,"&lt;="&amp;D555,C:C,C555)-SUMIFS(AA:AA,D:D,"&lt;="&amp;D555,C:C,C555)+SUMIFS(N:N,D:D,"&lt;="&amp;D555,C:C,C555)+SUMIFS(P:P,D:D,"&lt;="&amp;D555,C:C,C555))</f>
        <v>0</v>
      </c>
      <c r="AD555" s="98">
        <f t="shared" si="172"/>
        <v>0</v>
      </c>
      <c r="AE555" s="98">
        <f t="shared" si="166"/>
        <v>0</v>
      </c>
      <c r="AF555" s="205" t="str">
        <f t="shared" si="175"/>
        <v/>
      </c>
      <c r="AG555" s="98">
        <f t="shared" si="173"/>
        <v>0</v>
      </c>
      <c r="AH555" s="97"/>
      <c r="AI555" s="311"/>
      <c r="AJ555" s="98">
        <f t="shared" si="165"/>
        <v>0</v>
      </c>
      <c r="AK555" s="233"/>
      <c r="AL555" s="98">
        <f>IF(SUMIFS('Shipments data'!L:L,'Shipments data'!F:F,'Supply planning data'!C555,'Shipments data'!A:A,'Supply planning data'!A555,'Shipments data'!O:O,"received",'Shipments data'!Q:Q,"&lt;"&amp;'Supply planning data'!D570,'Shipments data'!AC:AC,"&lt;"&amp;'Supply planning data'!D570)-SUMIFS(M:M,D:D,"&lt;="&amp;D555,C:C,C555)-SUMIFS(AJ:AJ,D:D,"&lt;="&amp;D555,C:C,C555)+SUMIFS(N:N,D:D,"&lt;="&amp;D555,C:C,C555)+SUMIFS(P:P,D:D,"&lt;="&amp;D555,C:C,C555)&lt;0,0,SUMIFS('Shipments data'!L:L,'Shipments data'!F:F,'Supply planning data'!C555,'Shipments data'!A:A,'Supply planning data'!A555,'Shipments data'!O:O,"received",'Shipments data'!Q:Q,"&lt;"&amp;'Supply planning data'!D570,'Shipments data'!AC:AC,"&lt;"&amp;'Supply planning data'!D570)-SUMIFS(M:M,D:D,"&lt;="&amp;D555,C:C,C555)-SUMIFS(AJ:AJ,D:D,"&lt;="&amp;D555,C:C,C555)+SUMIFS(N:N,D:D,"&lt;="&amp;D555,C:C,C555)+SUMIFS(P:P,D:D,"&lt;="&amp;D555,C:C,C555))</f>
        <v>0</v>
      </c>
      <c r="AM555" s="98">
        <f t="shared" si="174"/>
        <v>0</v>
      </c>
      <c r="AN555" s="98">
        <f t="shared" si="167"/>
        <v>0</v>
      </c>
      <c r="AO555" s="203" t="str">
        <f t="shared" si="177"/>
        <v/>
      </c>
    </row>
    <row r="556" spans="1:41" hidden="1" x14ac:dyDescent="0.25">
      <c r="A556" s="95" t="str">
        <f>Start!D$7</f>
        <v>Anyland</v>
      </c>
      <c r="B556" s="96" t="str">
        <f>VLOOKUP(A556,list!B:C,2,FALSE)</f>
        <v>ANY</v>
      </c>
      <c r="C556" s="90" t="str">
        <f>IF(Start!$C$28="","",Start!$C$28)</f>
        <v/>
      </c>
      <c r="D556" s="296">
        <f t="shared" si="168"/>
        <v>45292</v>
      </c>
      <c r="E556" s="92" t="str">
        <f>IFERROR(VLOOKUP(C556,Start!C$15:D$31,2,FALSE),"No")</f>
        <v>No</v>
      </c>
      <c r="F556" s="92">
        <f t="shared" si="169"/>
        <v>0</v>
      </c>
      <c r="G556" s="91"/>
      <c r="H556" s="97"/>
      <c r="I556" s="97"/>
      <c r="J556" s="98">
        <f t="shared" si="161"/>
        <v>0</v>
      </c>
      <c r="K556" s="97"/>
      <c r="L556" s="175" t="str">
        <f t="shared" si="162"/>
        <v/>
      </c>
      <c r="M556" s="98">
        <f t="shared" si="163"/>
        <v>0</v>
      </c>
      <c r="N556" s="97"/>
      <c r="O556" s="122"/>
      <c r="P556" s="97"/>
      <c r="Q556" s="122"/>
      <c r="R556" s="98">
        <f>SUMIFS('Shipments data'!L:L,'Shipments data'!F:F,'Supply planning data'!C556,'Shipments data'!A:A,'Supply planning data'!A556,'Shipments data'!Y:Y,'Supply planning data'!D556,'Shipments data'!O:O,"received", 'Shipments data'!N:N, "Public")</f>
        <v>0</v>
      </c>
      <c r="S556" s="98">
        <f>SUMIFS('Shipments data'!L:L,'Shipments data'!F:F,'Supply planning data'!C556,'Shipments data'!A:A,'Supply planning data'!A556,'Shipments data'!Y:Y,'Supply planning data'!D556,'Shipments data'!O:O,"ordered", 'Shipments data'!N:N, "Public")</f>
        <v>0</v>
      </c>
      <c r="T556" s="98">
        <f>IF(SUMIFS('Shipments data'!L:L,'Shipments data'!F:F,'Supply planning data'!C556,'Shipments data'!A:A,'Supply planning data'!A556,'Shipments data'!O:O,"received",'Shipments data'!Q:Q,"&lt;"&amp;'Supply planning data'!D571,'Shipments data'!AC:AC,"&lt;"&amp;'Supply planning data'!D571)-SUMIFS(M:M,D:D,"&lt;="&amp;D556,C:C,C556)+SUMIFS(N:N,D:D,"&lt;="&amp;D556,C:C,C556)+SUMIFS(P:P,D:D,"&lt;="&amp;D556,C:C,C556)&lt;0,0,SUMIFS('Shipments data'!L:L,'Shipments data'!F:F,'Supply planning data'!C556,'Shipments data'!A:A,'Supply planning data'!A556,'Shipments data'!O:O,"received",'Shipments data'!Q:Q,"&lt;"&amp;'Supply planning data'!D571,'Shipments data'!AC:AC,"&lt;"&amp;'Supply planning data'!D571)-SUMIFS(M:M,D:D,"&lt;="&amp;D556,C:C,C556)+SUMIFS(N:N,D:D,"&lt;="&amp;D556,C:C,C556)+SUMIFS(P:P,D:D,"&lt;="&amp;D556,C:C,C556))</f>
        <v>0</v>
      </c>
      <c r="U556" s="99">
        <f t="shared" si="170"/>
        <v>0</v>
      </c>
      <c r="V556" s="98">
        <f t="shared" si="160"/>
        <v>0</v>
      </c>
      <c r="W556" s="203" t="str">
        <f t="shared" si="176"/>
        <v/>
      </c>
      <c r="X556" s="98">
        <f t="shared" si="171"/>
        <v>0</v>
      </c>
      <c r="Y556" s="97"/>
      <c r="Z556" s="93"/>
      <c r="AA556" s="98">
        <f t="shared" si="164"/>
        <v>0</v>
      </c>
      <c r="AB556" s="233"/>
      <c r="AC556" s="98">
        <f>IF(SUMIFS('Shipments data'!L:L,'Shipments data'!F:F,'Supply planning data'!C556,'Shipments data'!A:A,'Supply planning data'!A556,'Shipments data'!O:O,"received",'Shipments data'!Q:Q,"&lt;"&amp;'Supply planning data'!D571,'Shipments data'!AC:AC,"&lt;"&amp;'Supply planning data'!D571)-SUMIFS(M:M,D:D,"&lt;="&amp;D556,C:C,C556)-SUMIFS(AA:AA,D:D,"&lt;="&amp;D556,C:C,C556)+SUMIFS(N:N,D:D,"&lt;="&amp;D556,C:C,C556)+SUMIFS(P:P,D:D,"&lt;="&amp;D556,C:C,C556)&lt;0,0,SUMIFS('Shipments data'!L:L,'Shipments data'!F:F,'Supply planning data'!C556,'Shipments data'!A:A,'Supply planning data'!A556,'Shipments data'!O:O,"received",'Shipments data'!Q:Q,"&lt;"&amp;'Supply planning data'!D571,'Shipments data'!AC:AC,"&lt;"&amp;'Supply planning data'!D571)-SUMIFS(M:M,D:D,"&lt;="&amp;D556,C:C,C556)-SUMIFS(AA:AA,D:D,"&lt;="&amp;D556,C:C,C556)+SUMIFS(N:N,D:D,"&lt;="&amp;D556,C:C,C556)+SUMIFS(P:P,D:D,"&lt;="&amp;D556,C:C,C556))</f>
        <v>0</v>
      </c>
      <c r="AD556" s="98">
        <f t="shared" si="172"/>
        <v>0</v>
      </c>
      <c r="AE556" s="98">
        <f t="shared" si="166"/>
        <v>0</v>
      </c>
      <c r="AF556" s="205" t="str">
        <f t="shared" si="175"/>
        <v/>
      </c>
      <c r="AG556" s="98">
        <f t="shared" si="173"/>
        <v>0</v>
      </c>
      <c r="AH556" s="97"/>
      <c r="AI556" s="311"/>
      <c r="AJ556" s="98">
        <f t="shared" si="165"/>
        <v>0</v>
      </c>
      <c r="AK556" s="233"/>
      <c r="AL556" s="98">
        <f>IF(SUMIFS('Shipments data'!L:L,'Shipments data'!F:F,'Supply planning data'!C556,'Shipments data'!A:A,'Supply planning data'!A556,'Shipments data'!O:O,"received",'Shipments data'!Q:Q,"&lt;"&amp;'Supply planning data'!D571,'Shipments data'!AC:AC,"&lt;"&amp;'Supply planning data'!D571)-SUMIFS(M:M,D:D,"&lt;="&amp;D556,C:C,C556)-SUMIFS(AJ:AJ,D:D,"&lt;="&amp;D556,C:C,C556)+SUMIFS(N:N,D:D,"&lt;="&amp;D556,C:C,C556)+SUMIFS(P:P,D:D,"&lt;="&amp;D556,C:C,C556)&lt;0,0,SUMIFS('Shipments data'!L:L,'Shipments data'!F:F,'Supply planning data'!C556,'Shipments data'!A:A,'Supply planning data'!A556,'Shipments data'!O:O,"received",'Shipments data'!Q:Q,"&lt;"&amp;'Supply planning data'!D571,'Shipments data'!AC:AC,"&lt;"&amp;'Supply planning data'!D571)-SUMIFS(M:M,D:D,"&lt;="&amp;D556,C:C,C556)-SUMIFS(AJ:AJ,D:D,"&lt;="&amp;D556,C:C,C556)+SUMIFS(N:N,D:D,"&lt;="&amp;D556,C:C,C556)+SUMIFS(P:P,D:D,"&lt;="&amp;D556,C:C,C556))</f>
        <v>0</v>
      </c>
      <c r="AM556" s="98">
        <f t="shared" si="174"/>
        <v>0</v>
      </c>
      <c r="AN556" s="98">
        <f t="shared" si="167"/>
        <v>0</v>
      </c>
      <c r="AO556" s="203" t="str">
        <f t="shared" si="177"/>
        <v/>
      </c>
    </row>
    <row r="557" spans="1:41" hidden="1" x14ac:dyDescent="0.25">
      <c r="A557" s="95" t="str">
        <f>Start!D$7</f>
        <v>Anyland</v>
      </c>
      <c r="B557" s="96" t="str">
        <f>VLOOKUP(A557,list!B:C,2,FALSE)</f>
        <v>ANY</v>
      </c>
      <c r="C557" s="90" t="str">
        <f>IF(Start!$C$29="","",Start!$C$29)</f>
        <v/>
      </c>
      <c r="D557" s="296">
        <f t="shared" si="168"/>
        <v>45292</v>
      </c>
      <c r="E557" s="92" t="str">
        <f>IFERROR(VLOOKUP(C557,Start!C$15:D$31,2,FALSE),"No")</f>
        <v>No</v>
      </c>
      <c r="F557" s="92">
        <f t="shared" si="169"/>
        <v>0</v>
      </c>
      <c r="G557" s="91"/>
      <c r="H557" s="97"/>
      <c r="I557" s="97"/>
      <c r="J557" s="98">
        <f t="shared" si="161"/>
        <v>0</v>
      </c>
      <c r="K557" s="97"/>
      <c r="L557" s="175" t="str">
        <f t="shared" si="162"/>
        <v/>
      </c>
      <c r="M557" s="98">
        <f t="shared" si="163"/>
        <v>0</v>
      </c>
      <c r="N557" s="97"/>
      <c r="O557" s="122"/>
      <c r="P557" s="97"/>
      <c r="Q557" s="122"/>
      <c r="R557" s="98">
        <f>SUMIFS('Shipments data'!L:L,'Shipments data'!F:F,'Supply planning data'!C557,'Shipments data'!A:A,'Supply planning data'!A557,'Shipments data'!Y:Y,'Supply planning data'!D557,'Shipments data'!O:O,"received", 'Shipments data'!N:N, "Public")</f>
        <v>0</v>
      </c>
      <c r="S557" s="98">
        <f>SUMIFS('Shipments data'!L:L,'Shipments data'!F:F,'Supply planning data'!C557,'Shipments data'!A:A,'Supply planning data'!A557,'Shipments data'!Y:Y,'Supply planning data'!D557,'Shipments data'!O:O,"ordered", 'Shipments data'!N:N, "Public")</f>
        <v>0</v>
      </c>
      <c r="T557" s="98">
        <f>IF(SUMIFS('Shipments data'!L:L,'Shipments data'!F:F,'Supply planning data'!C557,'Shipments data'!A:A,'Supply planning data'!A557,'Shipments data'!O:O,"received",'Shipments data'!Q:Q,"&lt;"&amp;'Supply planning data'!D572,'Shipments data'!AC:AC,"&lt;"&amp;'Supply planning data'!D572)-SUMIFS(M:M,D:D,"&lt;="&amp;D557,C:C,C557)+SUMIFS(N:N,D:D,"&lt;="&amp;D557,C:C,C557)+SUMIFS(P:P,D:D,"&lt;="&amp;D557,C:C,C557)&lt;0,0,SUMIFS('Shipments data'!L:L,'Shipments data'!F:F,'Supply planning data'!C557,'Shipments data'!A:A,'Supply planning data'!A557,'Shipments data'!O:O,"received",'Shipments data'!Q:Q,"&lt;"&amp;'Supply planning data'!D572,'Shipments data'!AC:AC,"&lt;"&amp;'Supply planning data'!D572)-SUMIFS(M:M,D:D,"&lt;="&amp;D557,C:C,C557)+SUMIFS(N:N,D:D,"&lt;="&amp;D557,C:C,C557)+SUMIFS(P:P,D:D,"&lt;="&amp;D557,C:C,C557))</f>
        <v>0</v>
      </c>
      <c r="U557" s="99">
        <f t="shared" si="170"/>
        <v>0</v>
      </c>
      <c r="V557" s="98">
        <f t="shared" si="160"/>
        <v>0</v>
      </c>
      <c r="W557" s="203" t="str">
        <f t="shared" si="176"/>
        <v/>
      </c>
      <c r="X557" s="98">
        <f t="shared" si="171"/>
        <v>0</v>
      </c>
      <c r="Y557" s="97"/>
      <c r="Z557" s="93"/>
      <c r="AA557" s="98">
        <f t="shared" si="164"/>
        <v>0</v>
      </c>
      <c r="AB557" s="233"/>
      <c r="AC557" s="98">
        <f>IF(SUMIFS('Shipments data'!L:L,'Shipments data'!F:F,'Supply planning data'!C557,'Shipments data'!A:A,'Supply planning data'!A557,'Shipments data'!O:O,"received",'Shipments data'!Q:Q,"&lt;"&amp;'Supply planning data'!D572,'Shipments data'!AC:AC,"&lt;"&amp;'Supply planning data'!D572)-SUMIFS(M:M,D:D,"&lt;="&amp;D557,C:C,C557)-SUMIFS(AA:AA,D:D,"&lt;="&amp;D557,C:C,C557)+SUMIFS(N:N,D:D,"&lt;="&amp;D557,C:C,C557)+SUMIFS(P:P,D:D,"&lt;="&amp;D557,C:C,C557)&lt;0,0,SUMIFS('Shipments data'!L:L,'Shipments data'!F:F,'Supply planning data'!C557,'Shipments data'!A:A,'Supply planning data'!A557,'Shipments data'!O:O,"received",'Shipments data'!Q:Q,"&lt;"&amp;'Supply planning data'!D572,'Shipments data'!AC:AC,"&lt;"&amp;'Supply planning data'!D572)-SUMIFS(M:M,D:D,"&lt;="&amp;D557,C:C,C557)-SUMIFS(AA:AA,D:D,"&lt;="&amp;D557,C:C,C557)+SUMIFS(N:N,D:D,"&lt;="&amp;D557,C:C,C557)+SUMIFS(P:P,D:D,"&lt;="&amp;D557,C:C,C557))</f>
        <v>0</v>
      </c>
      <c r="AD557" s="98">
        <f t="shared" si="172"/>
        <v>0</v>
      </c>
      <c r="AE557" s="98">
        <f t="shared" si="166"/>
        <v>0</v>
      </c>
      <c r="AF557" s="205" t="str">
        <f t="shared" si="175"/>
        <v/>
      </c>
      <c r="AG557" s="98">
        <f t="shared" si="173"/>
        <v>0</v>
      </c>
      <c r="AH557" s="97"/>
      <c r="AI557" s="311"/>
      <c r="AJ557" s="98">
        <f t="shared" si="165"/>
        <v>0</v>
      </c>
      <c r="AK557" s="233"/>
      <c r="AL557" s="98">
        <f>IF(SUMIFS('Shipments data'!L:L,'Shipments data'!F:F,'Supply planning data'!C557,'Shipments data'!A:A,'Supply planning data'!A557,'Shipments data'!O:O,"received",'Shipments data'!Q:Q,"&lt;"&amp;'Supply planning data'!D572,'Shipments data'!AC:AC,"&lt;"&amp;'Supply planning data'!D572)-SUMIFS(M:M,D:D,"&lt;="&amp;D557,C:C,C557)-SUMIFS(AJ:AJ,D:D,"&lt;="&amp;D557,C:C,C557)+SUMIFS(N:N,D:D,"&lt;="&amp;D557,C:C,C557)+SUMIFS(P:P,D:D,"&lt;="&amp;D557,C:C,C557)&lt;0,0,SUMIFS('Shipments data'!L:L,'Shipments data'!F:F,'Supply planning data'!C557,'Shipments data'!A:A,'Supply planning data'!A557,'Shipments data'!O:O,"received",'Shipments data'!Q:Q,"&lt;"&amp;'Supply planning data'!D572,'Shipments data'!AC:AC,"&lt;"&amp;'Supply planning data'!D572)-SUMIFS(M:M,D:D,"&lt;="&amp;D557,C:C,C557)-SUMIFS(AJ:AJ,D:D,"&lt;="&amp;D557,C:C,C557)+SUMIFS(N:N,D:D,"&lt;="&amp;D557,C:C,C557)+SUMIFS(P:P,D:D,"&lt;="&amp;D557,C:C,C557))</f>
        <v>0</v>
      </c>
      <c r="AM557" s="98">
        <f t="shared" si="174"/>
        <v>0</v>
      </c>
      <c r="AN557" s="98">
        <f t="shared" si="167"/>
        <v>0</v>
      </c>
      <c r="AO557" s="203" t="str">
        <f t="shared" si="177"/>
        <v/>
      </c>
    </row>
    <row r="558" spans="1:41" hidden="1" x14ac:dyDescent="0.25">
      <c r="A558" s="95" t="str">
        <f>Start!D$7</f>
        <v>Anyland</v>
      </c>
      <c r="B558" s="96" t="str">
        <f>VLOOKUP(A558,list!B:C,2,FALSE)</f>
        <v>ANY</v>
      </c>
      <c r="C558" s="90" t="str">
        <f>IF(Start!$C$30="","",Start!$C$30)</f>
        <v/>
      </c>
      <c r="D558" s="296">
        <f t="shared" si="168"/>
        <v>45292</v>
      </c>
      <c r="E558" s="92" t="str">
        <f>IFERROR(VLOOKUP(C558,Start!C$15:D$31,2,FALSE),"No")</f>
        <v>No</v>
      </c>
      <c r="F558" s="92">
        <f t="shared" si="169"/>
        <v>0</v>
      </c>
      <c r="G558" s="91"/>
      <c r="H558" s="97"/>
      <c r="I558" s="97"/>
      <c r="J558" s="98">
        <f t="shared" si="161"/>
        <v>0</v>
      </c>
      <c r="K558" s="97"/>
      <c r="L558" s="175" t="str">
        <f t="shared" si="162"/>
        <v/>
      </c>
      <c r="M558" s="98">
        <f t="shared" si="163"/>
        <v>0</v>
      </c>
      <c r="N558" s="97"/>
      <c r="O558" s="122"/>
      <c r="P558" s="97"/>
      <c r="Q558" s="122"/>
      <c r="R558" s="98">
        <f>SUMIFS('Shipments data'!L:L,'Shipments data'!F:F,'Supply planning data'!C558,'Shipments data'!A:A,'Supply planning data'!A558,'Shipments data'!Y:Y,'Supply planning data'!D558,'Shipments data'!O:O,"received", 'Shipments data'!N:N, "Public")</f>
        <v>0</v>
      </c>
      <c r="S558" s="98">
        <f>SUMIFS('Shipments data'!L:L,'Shipments data'!F:F,'Supply planning data'!C558,'Shipments data'!A:A,'Supply planning data'!A558,'Shipments data'!Y:Y,'Supply planning data'!D558,'Shipments data'!O:O,"ordered", 'Shipments data'!N:N, "Public")</f>
        <v>0</v>
      </c>
      <c r="T558" s="98">
        <f>IF(SUMIFS('Shipments data'!L:L,'Shipments data'!F:F,'Supply planning data'!C558,'Shipments data'!A:A,'Supply planning data'!A558,'Shipments data'!O:O,"received",'Shipments data'!Q:Q,"&lt;"&amp;'Supply planning data'!D573,'Shipments data'!AC:AC,"&lt;"&amp;'Supply planning data'!D573)-SUMIFS(M:M,D:D,"&lt;="&amp;D558,C:C,C558)+SUMIFS(N:N,D:D,"&lt;="&amp;D558,C:C,C558)+SUMIFS(P:P,D:D,"&lt;="&amp;D558,C:C,C558)&lt;0,0,SUMIFS('Shipments data'!L:L,'Shipments data'!F:F,'Supply planning data'!C558,'Shipments data'!A:A,'Supply planning data'!A558,'Shipments data'!O:O,"received",'Shipments data'!Q:Q,"&lt;"&amp;'Supply planning data'!D573,'Shipments data'!AC:AC,"&lt;"&amp;'Supply planning data'!D573)-SUMIFS(M:M,D:D,"&lt;="&amp;D558,C:C,C558)+SUMIFS(N:N,D:D,"&lt;="&amp;D558,C:C,C558)+SUMIFS(P:P,D:D,"&lt;="&amp;D558,C:C,C558))</f>
        <v>0</v>
      </c>
      <c r="U558" s="99">
        <f t="shared" si="170"/>
        <v>0</v>
      </c>
      <c r="V558" s="98">
        <f t="shared" si="160"/>
        <v>0</v>
      </c>
      <c r="W558" s="203" t="str">
        <f t="shared" si="176"/>
        <v/>
      </c>
      <c r="X558" s="98">
        <f t="shared" si="171"/>
        <v>0</v>
      </c>
      <c r="Y558" s="97"/>
      <c r="Z558" s="93"/>
      <c r="AA558" s="98">
        <f t="shared" si="164"/>
        <v>0</v>
      </c>
      <c r="AB558" s="233"/>
      <c r="AC558" s="98">
        <f>IF(SUMIFS('Shipments data'!L:L,'Shipments data'!F:F,'Supply planning data'!C558,'Shipments data'!A:A,'Supply planning data'!A558,'Shipments data'!O:O,"received",'Shipments data'!Q:Q,"&lt;"&amp;'Supply planning data'!D573,'Shipments data'!AC:AC,"&lt;"&amp;'Supply planning data'!D573)-SUMIFS(M:M,D:D,"&lt;="&amp;D558,C:C,C558)-SUMIFS(AA:AA,D:D,"&lt;="&amp;D558,C:C,C558)+SUMIFS(N:N,D:D,"&lt;="&amp;D558,C:C,C558)+SUMIFS(P:P,D:D,"&lt;="&amp;D558,C:C,C558)&lt;0,0,SUMIFS('Shipments data'!L:L,'Shipments data'!F:F,'Supply planning data'!C558,'Shipments data'!A:A,'Supply planning data'!A558,'Shipments data'!O:O,"received",'Shipments data'!Q:Q,"&lt;"&amp;'Supply planning data'!D573,'Shipments data'!AC:AC,"&lt;"&amp;'Supply planning data'!D573)-SUMIFS(M:M,D:D,"&lt;="&amp;D558,C:C,C558)-SUMIFS(AA:AA,D:D,"&lt;="&amp;D558,C:C,C558)+SUMIFS(N:N,D:D,"&lt;="&amp;D558,C:C,C558)+SUMIFS(P:P,D:D,"&lt;="&amp;D558,C:C,C558))</f>
        <v>0</v>
      </c>
      <c r="AD558" s="98">
        <f t="shared" si="172"/>
        <v>0</v>
      </c>
      <c r="AE558" s="98">
        <f t="shared" si="166"/>
        <v>0</v>
      </c>
      <c r="AF558" s="205" t="str">
        <f t="shared" si="175"/>
        <v/>
      </c>
      <c r="AG558" s="98">
        <f t="shared" si="173"/>
        <v>0</v>
      </c>
      <c r="AH558" s="97"/>
      <c r="AI558" s="311"/>
      <c r="AJ558" s="98">
        <f t="shared" si="165"/>
        <v>0</v>
      </c>
      <c r="AK558" s="233"/>
      <c r="AL558" s="98">
        <f>IF(SUMIFS('Shipments data'!L:L,'Shipments data'!F:F,'Supply planning data'!C558,'Shipments data'!A:A,'Supply planning data'!A558,'Shipments data'!O:O,"received",'Shipments data'!Q:Q,"&lt;"&amp;'Supply planning data'!D573,'Shipments data'!AC:AC,"&lt;"&amp;'Supply planning data'!D573)-SUMIFS(M:M,D:D,"&lt;="&amp;D558,C:C,C558)-SUMIFS(AJ:AJ,D:D,"&lt;="&amp;D558,C:C,C558)+SUMIFS(N:N,D:D,"&lt;="&amp;D558,C:C,C558)+SUMIFS(P:P,D:D,"&lt;="&amp;D558,C:C,C558)&lt;0,0,SUMIFS('Shipments data'!L:L,'Shipments data'!F:F,'Supply planning data'!C558,'Shipments data'!A:A,'Supply planning data'!A558,'Shipments data'!O:O,"received",'Shipments data'!Q:Q,"&lt;"&amp;'Supply planning data'!D573,'Shipments data'!AC:AC,"&lt;"&amp;'Supply planning data'!D573)-SUMIFS(M:M,D:D,"&lt;="&amp;D558,C:C,C558)-SUMIFS(AJ:AJ,D:D,"&lt;="&amp;D558,C:C,C558)+SUMIFS(N:N,D:D,"&lt;="&amp;D558,C:C,C558)+SUMIFS(P:P,D:D,"&lt;="&amp;D558,C:C,C558))</f>
        <v>0</v>
      </c>
      <c r="AM558" s="98">
        <f t="shared" si="174"/>
        <v>0</v>
      </c>
      <c r="AN558" s="98">
        <f t="shared" si="167"/>
        <v>0</v>
      </c>
      <c r="AO558" s="203" t="str">
        <f t="shared" si="177"/>
        <v/>
      </c>
    </row>
    <row r="559" spans="1:41" hidden="1" x14ac:dyDescent="0.25">
      <c r="A559" s="95" t="str">
        <f>Start!D$7</f>
        <v>Anyland</v>
      </c>
      <c r="B559" s="100" t="str">
        <f>VLOOKUP(A559,list!B:C,2,FALSE)</f>
        <v>ANY</v>
      </c>
      <c r="C559" s="90" t="str">
        <f>IF(Start!$C$31="","",Start!$C$31)</f>
        <v/>
      </c>
      <c r="D559" s="296">
        <f t="shared" si="168"/>
        <v>45292</v>
      </c>
      <c r="E559" s="92" t="str">
        <f>IFERROR(VLOOKUP(C559,Start!C$15:D$31,2,FALSE),"No")</f>
        <v>No</v>
      </c>
      <c r="F559" s="92">
        <f t="shared" si="169"/>
        <v>0</v>
      </c>
      <c r="G559" s="91"/>
      <c r="H559" s="97"/>
      <c r="I559" s="97"/>
      <c r="J559" s="98">
        <f t="shared" si="161"/>
        <v>0</v>
      </c>
      <c r="K559" s="97"/>
      <c r="L559" s="175" t="str">
        <f t="shared" si="162"/>
        <v/>
      </c>
      <c r="M559" s="98">
        <f t="shared" si="163"/>
        <v>0</v>
      </c>
      <c r="N559" s="97"/>
      <c r="O559" s="122"/>
      <c r="P559" s="97"/>
      <c r="Q559" s="122"/>
      <c r="R559" s="98">
        <f>SUMIFS('Shipments data'!L:L,'Shipments data'!F:F,'Supply planning data'!C559,'Shipments data'!A:A,'Supply planning data'!A559,'Shipments data'!Y:Y,'Supply planning data'!D559,'Shipments data'!O:O,"received", 'Shipments data'!N:N, "Public")</f>
        <v>0</v>
      </c>
      <c r="S559" s="98">
        <f>SUMIFS('Shipments data'!L:L,'Shipments data'!F:F,'Supply planning data'!C559,'Shipments data'!A:A,'Supply planning data'!A559,'Shipments data'!Y:Y,'Supply planning data'!D559,'Shipments data'!O:O,"ordered", 'Shipments data'!N:N, "Public")</f>
        <v>0</v>
      </c>
      <c r="T559" s="98">
        <f>IF(SUMIFS('Shipments data'!L:L,'Shipments data'!F:F,'Supply planning data'!C559,'Shipments data'!A:A,'Supply planning data'!A559,'Shipments data'!O:O,"received",'Shipments data'!Q:Q,"&lt;"&amp;'Supply planning data'!D574,'Shipments data'!AC:AC,"&lt;"&amp;'Supply planning data'!D574)-SUMIFS(M:M,D:D,"&lt;="&amp;D559,C:C,C559)+SUMIFS(N:N,D:D,"&lt;="&amp;D559,C:C,C559)+SUMIFS(P:P,D:D,"&lt;="&amp;D559,C:C,C559)&lt;0,0,SUMIFS('Shipments data'!L:L,'Shipments data'!F:F,'Supply planning data'!C559,'Shipments data'!A:A,'Supply planning data'!A559,'Shipments data'!O:O,"received",'Shipments data'!Q:Q,"&lt;"&amp;'Supply planning data'!D574,'Shipments data'!AC:AC,"&lt;"&amp;'Supply planning data'!D574)-SUMIFS(M:M,D:D,"&lt;="&amp;D559,C:C,C559)+SUMIFS(N:N,D:D,"&lt;="&amp;D559,C:C,C559)+SUMIFS(P:P,D:D,"&lt;="&amp;D559,C:C,C559))</f>
        <v>0</v>
      </c>
      <c r="U559" s="99">
        <f t="shared" si="170"/>
        <v>0</v>
      </c>
      <c r="V559" s="98">
        <f t="shared" si="160"/>
        <v>0</v>
      </c>
      <c r="W559" s="203" t="str">
        <f t="shared" si="176"/>
        <v/>
      </c>
      <c r="X559" s="98">
        <f t="shared" si="171"/>
        <v>0</v>
      </c>
      <c r="Y559" s="97"/>
      <c r="Z559" s="93"/>
      <c r="AA559" s="98">
        <f t="shared" si="164"/>
        <v>0</v>
      </c>
      <c r="AB559" s="233"/>
      <c r="AC559" s="98">
        <f>IF(SUMIFS('Shipments data'!L:L,'Shipments data'!F:F,'Supply planning data'!C559,'Shipments data'!A:A,'Supply planning data'!A559,'Shipments data'!O:O,"received",'Shipments data'!Q:Q,"&lt;"&amp;'Supply planning data'!D574,'Shipments data'!AC:AC,"&lt;"&amp;'Supply planning data'!D574)-SUMIFS(M:M,D:D,"&lt;="&amp;D559,C:C,C559)-SUMIFS(AA:AA,D:D,"&lt;="&amp;D559,C:C,C559)+SUMIFS(N:N,D:D,"&lt;="&amp;D559,C:C,C559)+SUMIFS(P:P,D:D,"&lt;="&amp;D559,C:C,C559)&lt;0,0,SUMIFS('Shipments data'!L:L,'Shipments data'!F:F,'Supply planning data'!C559,'Shipments data'!A:A,'Supply planning data'!A559,'Shipments data'!O:O,"received",'Shipments data'!Q:Q,"&lt;"&amp;'Supply planning data'!D574,'Shipments data'!AC:AC,"&lt;"&amp;'Supply planning data'!D574)-SUMIFS(M:M,D:D,"&lt;="&amp;D559,C:C,C559)-SUMIFS(AA:AA,D:D,"&lt;="&amp;D559,C:C,C559)+SUMIFS(N:N,D:D,"&lt;="&amp;D559,C:C,C559)+SUMIFS(P:P,D:D,"&lt;="&amp;D559,C:C,C559))</f>
        <v>0</v>
      </c>
      <c r="AD559" s="98">
        <f t="shared" si="172"/>
        <v>0</v>
      </c>
      <c r="AE559" s="98">
        <f t="shared" si="166"/>
        <v>0</v>
      </c>
      <c r="AF559" s="205" t="str">
        <f t="shared" si="175"/>
        <v/>
      </c>
      <c r="AG559" s="98">
        <f t="shared" si="173"/>
        <v>0</v>
      </c>
      <c r="AH559" s="97"/>
      <c r="AI559" s="311"/>
      <c r="AJ559" s="98">
        <f t="shared" si="165"/>
        <v>0</v>
      </c>
      <c r="AK559" s="233"/>
      <c r="AL559" s="98">
        <f>IF(SUMIFS('Shipments data'!L:L,'Shipments data'!F:F,'Supply planning data'!C559,'Shipments data'!A:A,'Supply planning data'!A559,'Shipments data'!O:O,"received",'Shipments data'!Q:Q,"&lt;"&amp;'Supply planning data'!D574,'Shipments data'!AC:AC,"&lt;"&amp;'Supply planning data'!D574)-SUMIFS(M:M,D:D,"&lt;="&amp;D559,C:C,C559)-SUMIFS(AJ:AJ,D:D,"&lt;="&amp;D559,C:C,C559)+SUMIFS(N:N,D:D,"&lt;="&amp;D559,C:C,C559)+SUMIFS(P:P,D:D,"&lt;="&amp;D559,C:C,C559)&lt;0,0,SUMIFS('Shipments data'!L:L,'Shipments data'!F:F,'Supply planning data'!C559,'Shipments data'!A:A,'Supply planning data'!A559,'Shipments data'!O:O,"received",'Shipments data'!Q:Q,"&lt;"&amp;'Supply planning data'!D574,'Shipments data'!AC:AC,"&lt;"&amp;'Supply planning data'!D574)-SUMIFS(M:M,D:D,"&lt;="&amp;D559,C:C,C559)-SUMIFS(AJ:AJ,D:D,"&lt;="&amp;D559,C:C,C559)+SUMIFS(N:N,D:D,"&lt;="&amp;D559,C:C,C559)+SUMIFS(P:P,D:D,"&lt;="&amp;D559,C:C,C559))</f>
        <v>0</v>
      </c>
      <c r="AM559" s="98">
        <f t="shared" si="174"/>
        <v>0</v>
      </c>
      <c r="AN559" s="98">
        <f t="shared" si="167"/>
        <v>0</v>
      </c>
      <c r="AO559" s="203" t="str">
        <f t="shared" si="177"/>
        <v/>
      </c>
    </row>
    <row r="560" spans="1:41" x14ac:dyDescent="0.25">
      <c r="A560" s="103" t="str">
        <f>Start!D$7</f>
        <v>Anyland</v>
      </c>
      <c r="B560" s="104" t="str">
        <f>VLOOKUP(A560,list!B:C,2,FALSE)</f>
        <v>ANY</v>
      </c>
      <c r="C560" s="104" t="str">
        <f>IF(Start!$C$17="","",Start!$C$17)</f>
        <v>AstraZeneca</v>
      </c>
      <c r="D560" s="298">
        <f t="shared" si="168"/>
        <v>45323</v>
      </c>
      <c r="E560" s="105" t="str">
        <f>IFERROR(VLOOKUP(C560,Start!C$15:D$31,2,FALSE),"No")</f>
        <v>Yes</v>
      </c>
      <c r="F560" s="105">
        <f t="shared" si="169"/>
        <v>0</v>
      </c>
      <c r="G560" s="106"/>
      <c r="H560" s="106"/>
      <c r="I560" s="106"/>
      <c r="J560" s="105">
        <f t="shared" si="161"/>
        <v>0</v>
      </c>
      <c r="K560" s="106"/>
      <c r="L560" s="177" t="str">
        <f t="shared" si="162"/>
        <v/>
      </c>
      <c r="M560" s="105">
        <f t="shared" si="163"/>
        <v>0</v>
      </c>
      <c r="N560" s="106"/>
      <c r="O560" s="123"/>
      <c r="P560" s="106"/>
      <c r="Q560" s="123"/>
      <c r="R560" s="105">
        <f>SUMIFS('Shipments data'!L:L,'Shipments data'!F:F,'Supply planning data'!C560,'Shipments data'!A:A,'Supply planning data'!A560,'Shipments data'!Y:Y,'Supply planning data'!D560,'Shipments data'!O:O,"received", 'Shipments data'!N:N, "Public")</f>
        <v>0</v>
      </c>
      <c r="S560" s="105">
        <f>SUMIFS('Shipments data'!L:L,'Shipments data'!F:F,'Supply planning data'!C560,'Shipments data'!A:A,'Supply planning data'!A560,'Shipments data'!Y:Y,'Supply planning data'!D560,'Shipments data'!O:O,"ordered", 'Shipments data'!N:N, "Public")</f>
        <v>0</v>
      </c>
      <c r="T560" s="105">
        <f>IF(SUMIFS('Shipments data'!L:L,'Shipments data'!F:F,'Supply planning data'!C560,'Shipments data'!A:A,'Supply planning data'!A560,'Shipments data'!O:O,"received",'Shipments data'!Q:Q,"&lt;"&amp;'Supply planning data'!D575,'Shipments data'!AC:AC,"&lt;"&amp;'Supply planning data'!D575)-SUMIFS(M:M,D:D,"&lt;="&amp;D560,C:C,C560)+SUMIFS(N:N,D:D,"&lt;="&amp;D560,C:C,C560)+SUMIFS(P:P,D:D,"&lt;="&amp;D560,C:C,C560)&lt;0,0,SUMIFS('Shipments data'!L:L,'Shipments data'!F:F,'Supply planning data'!C560,'Shipments data'!A:A,'Supply planning data'!A560,'Shipments data'!O:O,"received",'Shipments data'!Q:Q,"&lt;"&amp;'Supply planning data'!D575,'Shipments data'!AC:AC,"&lt;"&amp;'Supply planning data'!D575)-SUMIFS(M:M,D:D,"&lt;="&amp;D560,C:C,C560)+SUMIFS(N:N,D:D,"&lt;="&amp;D560,C:C,C560)+SUMIFS(P:P,D:D,"&lt;="&amp;D560,C:C,C560))</f>
        <v>0</v>
      </c>
      <c r="U560" s="108">
        <f t="shared" si="170"/>
        <v>0</v>
      </c>
      <c r="V560" s="105">
        <f t="shared" si="160"/>
        <v>0</v>
      </c>
      <c r="W560" s="206" t="str">
        <f t="shared" si="176"/>
        <v/>
      </c>
      <c r="X560" s="105">
        <f t="shared" si="171"/>
        <v>154701</v>
      </c>
      <c r="Y560" s="106"/>
      <c r="Z560" s="107"/>
      <c r="AA560" s="105">
        <f t="shared" si="164"/>
        <v>0</v>
      </c>
      <c r="AB560" s="234"/>
      <c r="AC560" s="105">
        <f>IF(SUMIFS('Shipments data'!L:L,'Shipments data'!F:F,'Supply planning data'!C560,'Shipments data'!A:A,'Supply planning data'!A560,'Shipments data'!O:O,"received",'Shipments data'!Q:Q,"&lt;"&amp;'Supply planning data'!D575,'Shipments data'!AC:AC,"&lt;"&amp;'Supply planning data'!D575)-SUMIFS(M:M,D:D,"&lt;="&amp;D560,C:C,C560)-SUMIFS(AA:AA,D:D,"&lt;="&amp;D560,C:C,C560)+SUMIFS(N:N,D:D,"&lt;="&amp;D560,C:C,C560)+SUMIFS(P:P,D:D,"&lt;="&amp;D560,C:C,C560)&lt;0,0,SUMIFS('Shipments data'!L:L,'Shipments data'!F:F,'Supply planning data'!C560,'Shipments data'!A:A,'Supply planning data'!A560,'Shipments data'!O:O,"received",'Shipments data'!Q:Q,"&lt;"&amp;'Supply planning data'!D575,'Shipments data'!AC:AC,"&lt;"&amp;'Supply planning data'!D575)-SUMIFS(M:M,D:D,"&lt;="&amp;D560,C:C,C560)-SUMIFS(AA:AA,D:D,"&lt;="&amp;D560,C:C,C560)+SUMIFS(N:N,D:D,"&lt;="&amp;D560,C:C,C560)+SUMIFS(P:P,D:D,"&lt;="&amp;D560,C:C,C560))</f>
        <v>0</v>
      </c>
      <c r="AD560" s="105">
        <f t="shared" si="172"/>
        <v>0</v>
      </c>
      <c r="AE560" s="105">
        <f t="shared" si="166"/>
        <v>154701</v>
      </c>
      <c r="AF560" s="206" t="str">
        <f t="shared" si="175"/>
        <v/>
      </c>
      <c r="AG560" s="105">
        <f t="shared" si="173"/>
        <v>0</v>
      </c>
      <c r="AH560" s="106"/>
      <c r="AI560" s="312"/>
      <c r="AJ560" s="105">
        <f t="shared" si="165"/>
        <v>0</v>
      </c>
      <c r="AK560" s="234"/>
      <c r="AL560" s="105">
        <f>IF(SUMIFS('Shipments data'!L:L,'Shipments data'!F:F,'Supply planning data'!C560,'Shipments data'!A:A,'Supply planning data'!A560,'Shipments data'!O:O,"received",'Shipments data'!Q:Q,"&lt;"&amp;'Supply planning data'!D575,'Shipments data'!AC:AC,"&lt;"&amp;'Supply planning data'!D575)-SUMIFS(M:M,D:D,"&lt;="&amp;D560,C:C,C560)-SUMIFS(AJ:AJ,D:D,"&lt;="&amp;D560,C:C,C560)+SUMIFS(N:N,D:D,"&lt;="&amp;D560,C:C,C560)+SUMIFS(P:P,D:D,"&lt;="&amp;D560,C:C,C560)&lt;0,0,SUMIFS('Shipments data'!L:L,'Shipments data'!F:F,'Supply planning data'!C560,'Shipments data'!A:A,'Supply planning data'!A560,'Shipments data'!O:O,"received",'Shipments data'!Q:Q,"&lt;"&amp;'Supply planning data'!D575,'Shipments data'!AC:AC,"&lt;"&amp;'Supply planning data'!D575)-SUMIFS(M:M,D:D,"&lt;="&amp;D560,C:C,C560)-SUMIFS(AJ:AJ,D:D,"&lt;="&amp;D560,C:C,C560)+SUMIFS(N:N,D:D,"&lt;="&amp;D560,C:C,C560)+SUMIFS(P:P,D:D,"&lt;="&amp;D560,C:C,C560))</f>
        <v>0</v>
      </c>
      <c r="AM560" s="105">
        <f t="shared" si="174"/>
        <v>0</v>
      </c>
      <c r="AN560" s="105">
        <f t="shared" si="167"/>
        <v>0</v>
      </c>
      <c r="AO560" s="206" t="str">
        <f t="shared" si="177"/>
        <v/>
      </c>
    </row>
    <row r="561" spans="1:41" x14ac:dyDescent="0.25">
      <c r="A561" s="103" t="str">
        <f>Start!D$7</f>
        <v>Anyland</v>
      </c>
      <c r="B561" s="109" t="str">
        <f>VLOOKUP(A561,list!B:C,2,FALSE)</f>
        <v>ANY</v>
      </c>
      <c r="C561" s="109" t="str">
        <f>IF(Start!$C$18="","",Start!$C$18)</f>
        <v>Jansen</v>
      </c>
      <c r="D561" s="298">
        <f t="shared" si="168"/>
        <v>45323</v>
      </c>
      <c r="E561" s="105" t="str">
        <f>IFERROR(VLOOKUP(C561,Start!C$15:D$31,2,FALSE),"No")</f>
        <v>Yes</v>
      </c>
      <c r="F561" s="105">
        <f t="shared" si="169"/>
        <v>1871200</v>
      </c>
      <c r="G561" s="106"/>
      <c r="H561" s="106"/>
      <c r="I561" s="106"/>
      <c r="J561" s="105">
        <f t="shared" si="161"/>
        <v>0</v>
      </c>
      <c r="K561" s="106"/>
      <c r="L561" s="177" t="str">
        <f t="shared" si="162"/>
        <v/>
      </c>
      <c r="M561" s="105">
        <f t="shared" si="163"/>
        <v>0</v>
      </c>
      <c r="N561" s="110"/>
      <c r="O561" s="124"/>
      <c r="P561" s="110"/>
      <c r="Q561" s="124"/>
      <c r="R561" s="111">
        <f>SUMIFS('Shipments data'!L:L,'Shipments data'!F:F,'Supply planning data'!C561,'Shipments data'!A:A,'Supply planning data'!A561,'Shipments data'!Y:Y,'Supply planning data'!D561,'Shipments data'!O:O,"received", 'Shipments data'!N:N, "Public")</f>
        <v>0</v>
      </c>
      <c r="S561" s="111">
        <f>SUMIFS('Shipments data'!L:L,'Shipments data'!F:F,'Supply planning data'!C561,'Shipments data'!A:A,'Supply planning data'!A561,'Shipments data'!Y:Y,'Supply planning data'!D561,'Shipments data'!O:O,"ordered", 'Shipments data'!N:N, "Public")</f>
        <v>0</v>
      </c>
      <c r="T561" s="111">
        <f>IF(SUMIFS('Shipments data'!L:L,'Shipments data'!F:F,'Supply planning data'!C561,'Shipments data'!A:A,'Supply planning data'!A561,'Shipments data'!O:O,"received",'Shipments data'!Q:Q,"&lt;"&amp;'Supply planning data'!D576,'Shipments data'!AC:AC,"&lt;"&amp;'Supply planning data'!D576)-SUMIFS(M:M,D:D,"&lt;="&amp;D561,C:C,C561)+SUMIFS(N:N,D:D,"&lt;="&amp;D561,C:C,C561)+SUMIFS(P:P,D:D,"&lt;="&amp;D561,C:C,C561)&lt;0,0,SUMIFS('Shipments data'!L:L,'Shipments data'!F:F,'Supply planning data'!C561,'Shipments data'!A:A,'Supply planning data'!A561,'Shipments data'!O:O,"received",'Shipments data'!Q:Q,"&lt;"&amp;'Supply planning data'!D576,'Shipments data'!AC:AC,"&lt;"&amp;'Supply planning data'!D576)-SUMIFS(M:M,D:D,"&lt;="&amp;D561,C:C,C561)+SUMIFS(N:N,D:D,"&lt;="&amp;D561,C:C,C561)+SUMIFS(P:P,D:D,"&lt;="&amp;D561,C:C,C561))</f>
        <v>387547</v>
      </c>
      <c r="U561" s="112">
        <f t="shared" si="170"/>
        <v>0</v>
      </c>
      <c r="V561" s="111">
        <f t="shared" si="160"/>
        <v>1871200</v>
      </c>
      <c r="W561" s="204" t="str">
        <f t="shared" si="176"/>
        <v/>
      </c>
      <c r="X561" s="111">
        <f t="shared" si="171"/>
        <v>1311200</v>
      </c>
      <c r="Y561" s="110"/>
      <c r="Z561" s="107"/>
      <c r="AA561" s="111">
        <f t="shared" si="164"/>
        <v>0</v>
      </c>
      <c r="AB561" s="235"/>
      <c r="AC561" s="111">
        <f>IF(SUMIFS('Shipments data'!L:L,'Shipments data'!F:F,'Supply planning data'!C561,'Shipments data'!A:A,'Supply planning data'!A561,'Shipments data'!O:O,"received",'Shipments data'!Q:Q,"&lt;"&amp;'Supply planning data'!D576,'Shipments data'!AC:AC,"&lt;"&amp;'Supply planning data'!D576)-SUMIFS(M:M,D:D,"&lt;="&amp;D561,C:C,C561)-SUMIFS(AA:AA,D:D,"&lt;="&amp;D561,C:C,C561)+SUMIFS(N:N,D:D,"&lt;="&amp;D561,C:C,C561)+SUMIFS(P:P,D:D,"&lt;="&amp;D561,C:C,C561)&lt;0,0,SUMIFS('Shipments data'!L:L,'Shipments data'!F:F,'Supply planning data'!C561,'Shipments data'!A:A,'Supply planning data'!A561,'Shipments data'!O:O,"received",'Shipments data'!Q:Q,"&lt;"&amp;'Supply planning data'!D576,'Shipments data'!AC:AC,"&lt;"&amp;'Supply planning data'!D576)-SUMIFS(M:M,D:D,"&lt;="&amp;D561,C:C,C561)-SUMIFS(AA:AA,D:D,"&lt;="&amp;D561,C:C,C561)+SUMIFS(N:N,D:D,"&lt;="&amp;D561,C:C,C561)+SUMIFS(P:P,D:D,"&lt;="&amp;D561,C:C,C561))</f>
        <v>0</v>
      </c>
      <c r="AD561" s="111">
        <f t="shared" si="172"/>
        <v>0</v>
      </c>
      <c r="AE561" s="111">
        <f t="shared" si="166"/>
        <v>1311200</v>
      </c>
      <c r="AF561" s="204" t="str">
        <f t="shared" si="175"/>
        <v/>
      </c>
      <c r="AG561" s="111">
        <f t="shared" si="173"/>
        <v>1871200</v>
      </c>
      <c r="AH561" s="110"/>
      <c r="AI561" s="313"/>
      <c r="AJ561" s="111">
        <f t="shared" si="165"/>
        <v>0</v>
      </c>
      <c r="AK561" s="235"/>
      <c r="AL561" s="111">
        <f>IF(SUMIFS('Shipments data'!L:L,'Shipments data'!F:F,'Supply planning data'!C561,'Shipments data'!A:A,'Supply planning data'!A561,'Shipments data'!O:O,"received",'Shipments data'!Q:Q,"&lt;"&amp;'Supply planning data'!D576,'Shipments data'!AC:AC,"&lt;"&amp;'Supply planning data'!D576)-SUMIFS(M:M,D:D,"&lt;="&amp;D561,C:C,C561)-SUMIFS(AJ:AJ,D:D,"&lt;="&amp;D561,C:C,C561)+SUMIFS(N:N,D:D,"&lt;="&amp;D561,C:C,C561)+SUMIFS(P:P,D:D,"&lt;="&amp;D561,C:C,C561)&lt;0,0,SUMIFS('Shipments data'!L:L,'Shipments data'!F:F,'Supply planning data'!C561,'Shipments data'!A:A,'Supply planning data'!A561,'Shipments data'!O:O,"received",'Shipments data'!Q:Q,"&lt;"&amp;'Supply planning data'!D576,'Shipments data'!AC:AC,"&lt;"&amp;'Supply planning data'!D576)-SUMIFS(M:M,D:D,"&lt;="&amp;D561,C:C,C561)-SUMIFS(AJ:AJ,D:D,"&lt;="&amp;D561,C:C,C561)+SUMIFS(N:N,D:D,"&lt;="&amp;D561,C:C,C561)+SUMIFS(P:P,D:D,"&lt;="&amp;D561,C:C,C561))</f>
        <v>387547</v>
      </c>
      <c r="AM561" s="111">
        <f t="shared" si="174"/>
        <v>0</v>
      </c>
      <c r="AN561" s="111">
        <f t="shared" si="167"/>
        <v>1871200</v>
      </c>
      <c r="AO561" s="204" t="str">
        <f t="shared" si="177"/>
        <v/>
      </c>
    </row>
    <row r="562" spans="1:41" x14ac:dyDescent="0.25">
      <c r="A562" s="103" t="str">
        <f>Start!D$7</f>
        <v>Anyland</v>
      </c>
      <c r="B562" s="109" t="str">
        <f>VLOOKUP(A562,list!B:C,2,FALSE)</f>
        <v>ANY</v>
      </c>
      <c r="C562" s="104" t="str">
        <f>IF(Start!$C$19="","",Start!$C$19)</f>
        <v>Moderna</v>
      </c>
      <c r="D562" s="298">
        <f t="shared" si="168"/>
        <v>45323</v>
      </c>
      <c r="E562" s="105" t="str">
        <f>IFERROR(VLOOKUP(C562,Start!C$15:D$31,2,FALSE),"No")</f>
        <v>No</v>
      </c>
      <c r="F562" s="105">
        <f t="shared" si="169"/>
        <v>0</v>
      </c>
      <c r="G562" s="106"/>
      <c r="H562" s="106"/>
      <c r="I562" s="106"/>
      <c r="J562" s="105">
        <f t="shared" si="161"/>
        <v>0</v>
      </c>
      <c r="K562" s="106"/>
      <c r="L562" s="177" t="str">
        <f t="shared" si="162"/>
        <v/>
      </c>
      <c r="M562" s="105">
        <f t="shared" si="163"/>
        <v>0</v>
      </c>
      <c r="N562" s="110"/>
      <c r="O562" s="124"/>
      <c r="P562" s="110"/>
      <c r="Q562" s="124"/>
      <c r="R562" s="111">
        <f>SUMIFS('Shipments data'!L:L,'Shipments data'!F:F,'Supply planning data'!C562,'Shipments data'!A:A,'Supply planning data'!A562,'Shipments data'!Y:Y,'Supply planning data'!D562,'Shipments data'!O:O,"received", 'Shipments data'!N:N, "Public")</f>
        <v>0</v>
      </c>
      <c r="S562" s="111">
        <f>SUMIFS('Shipments data'!L:L,'Shipments data'!F:F,'Supply planning data'!C562,'Shipments data'!A:A,'Supply planning data'!A562,'Shipments data'!Y:Y,'Supply planning data'!D562,'Shipments data'!O:O,"ordered", 'Shipments data'!N:N, "Public")</f>
        <v>0</v>
      </c>
      <c r="T562" s="111">
        <f>IF(SUMIFS('Shipments data'!L:L,'Shipments data'!F:F,'Supply planning data'!C562,'Shipments data'!A:A,'Supply planning data'!A562,'Shipments data'!O:O,"received",'Shipments data'!Q:Q,"&lt;"&amp;'Supply planning data'!D577,'Shipments data'!AC:AC,"&lt;"&amp;'Supply planning data'!D577)-SUMIFS(M:M,D:D,"&lt;="&amp;D562,C:C,C562)+SUMIFS(N:N,D:D,"&lt;="&amp;D562,C:C,C562)+SUMIFS(P:P,D:D,"&lt;="&amp;D562,C:C,C562)&lt;0,0,SUMIFS('Shipments data'!L:L,'Shipments data'!F:F,'Supply planning data'!C562,'Shipments data'!A:A,'Supply planning data'!A562,'Shipments data'!O:O,"received",'Shipments data'!Q:Q,"&lt;"&amp;'Supply planning data'!D577,'Shipments data'!AC:AC,"&lt;"&amp;'Supply planning data'!D577)-SUMIFS(M:M,D:D,"&lt;="&amp;D562,C:C,C562)+SUMIFS(N:N,D:D,"&lt;="&amp;D562,C:C,C562)+SUMIFS(P:P,D:D,"&lt;="&amp;D562,C:C,C562))</f>
        <v>0</v>
      </c>
      <c r="U562" s="112">
        <f t="shared" si="170"/>
        <v>0</v>
      </c>
      <c r="V562" s="111">
        <f t="shared" si="160"/>
        <v>0</v>
      </c>
      <c r="W562" s="204" t="str">
        <f t="shared" si="176"/>
        <v/>
      </c>
      <c r="X562" s="111">
        <f t="shared" si="171"/>
        <v>0</v>
      </c>
      <c r="Y562" s="110"/>
      <c r="Z562" s="107"/>
      <c r="AA562" s="111">
        <f t="shared" si="164"/>
        <v>0</v>
      </c>
      <c r="AB562" s="235"/>
      <c r="AC562" s="111">
        <f>IF(SUMIFS('Shipments data'!L:L,'Shipments data'!F:F,'Supply planning data'!C562,'Shipments data'!A:A,'Supply planning data'!A562,'Shipments data'!O:O,"received",'Shipments data'!Q:Q,"&lt;"&amp;'Supply planning data'!D577,'Shipments data'!AC:AC,"&lt;"&amp;'Supply planning data'!D577)-SUMIFS(M:M,D:D,"&lt;="&amp;D562,C:C,C562)-SUMIFS(AA:AA,D:D,"&lt;="&amp;D562,C:C,C562)+SUMIFS(N:N,D:D,"&lt;="&amp;D562,C:C,C562)+SUMIFS(P:P,D:D,"&lt;="&amp;D562,C:C,C562)&lt;0,0,SUMIFS('Shipments data'!L:L,'Shipments data'!F:F,'Supply planning data'!C562,'Shipments data'!A:A,'Supply planning data'!A562,'Shipments data'!O:O,"received",'Shipments data'!Q:Q,"&lt;"&amp;'Supply planning data'!D577,'Shipments data'!AC:AC,"&lt;"&amp;'Supply planning data'!D577)-SUMIFS(M:M,D:D,"&lt;="&amp;D562,C:C,C562)-SUMIFS(AA:AA,D:D,"&lt;="&amp;D562,C:C,C562)+SUMIFS(N:N,D:D,"&lt;="&amp;D562,C:C,C562)+SUMIFS(P:P,D:D,"&lt;="&amp;D562,C:C,C562))</f>
        <v>0</v>
      </c>
      <c r="AD562" s="111">
        <f t="shared" si="172"/>
        <v>0</v>
      </c>
      <c r="AE562" s="111">
        <f t="shared" si="166"/>
        <v>0</v>
      </c>
      <c r="AF562" s="204" t="str">
        <f t="shared" si="175"/>
        <v/>
      </c>
      <c r="AG562" s="111">
        <f t="shared" si="173"/>
        <v>0</v>
      </c>
      <c r="AH562" s="110"/>
      <c r="AI562" s="313"/>
      <c r="AJ562" s="111">
        <f t="shared" si="165"/>
        <v>0</v>
      </c>
      <c r="AK562" s="235"/>
      <c r="AL562" s="111">
        <f>IF(SUMIFS('Shipments data'!L:L,'Shipments data'!F:F,'Supply planning data'!C562,'Shipments data'!A:A,'Supply planning data'!A562,'Shipments data'!O:O,"received",'Shipments data'!Q:Q,"&lt;"&amp;'Supply planning data'!D577,'Shipments data'!AC:AC,"&lt;"&amp;'Supply planning data'!D577)-SUMIFS(M:M,D:D,"&lt;="&amp;D562,C:C,C562)-SUMIFS(AJ:AJ,D:D,"&lt;="&amp;D562,C:C,C562)+SUMIFS(N:N,D:D,"&lt;="&amp;D562,C:C,C562)+SUMIFS(P:P,D:D,"&lt;="&amp;D562,C:C,C562)&lt;0,0,SUMIFS('Shipments data'!L:L,'Shipments data'!F:F,'Supply planning data'!C562,'Shipments data'!A:A,'Supply planning data'!A562,'Shipments data'!O:O,"received",'Shipments data'!Q:Q,"&lt;"&amp;'Supply planning data'!D577,'Shipments data'!AC:AC,"&lt;"&amp;'Supply planning data'!D577)-SUMIFS(M:M,D:D,"&lt;="&amp;D562,C:C,C562)-SUMIFS(AJ:AJ,D:D,"&lt;="&amp;D562,C:C,C562)+SUMIFS(N:N,D:D,"&lt;="&amp;D562,C:C,C562)+SUMIFS(P:P,D:D,"&lt;="&amp;D562,C:C,C562))</f>
        <v>0</v>
      </c>
      <c r="AM562" s="111">
        <f t="shared" si="174"/>
        <v>0</v>
      </c>
      <c r="AN562" s="111">
        <f t="shared" si="167"/>
        <v>0</v>
      </c>
      <c r="AO562" s="204" t="str">
        <f t="shared" si="177"/>
        <v/>
      </c>
    </row>
    <row r="563" spans="1:41" x14ac:dyDescent="0.25">
      <c r="A563" s="103" t="str">
        <f>Start!D$7</f>
        <v>Anyland</v>
      </c>
      <c r="B563" s="109" t="str">
        <f>VLOOKUP(A563,list!B:C,2,FALSE)</f>
        <v>ANY</v>
      </c>
      <c r="C563" s="109" t="str">
        <f>IF(Start!$C$20="","",Start!$C$20)</f>
        <v>Pfizer</v>
      </c>
      <c r="D563" s="298">
        <f t="shared" si="168"/>
        <v>45323</v>
      </c>
      <c r="E563" s="105" t="str">
        <f>IFERROR(VLOOKUP(C563,Start!C$15:D$31,2,FALSE),"No")</f>
        <v>Yes</v>
      </c>
      <c r="F563" s="105">
        <f t="shared" si="169"/>
        <v>3000000</v>
      </c>
      <c r="G563" s="106"/>
      <c r="H563" s="106"/>
      <c r="I563" s="106"/>
      <c r="J563" s="105">
        <f t="shared" si="161"/>
        <v>0</v>
      </c>
      <c r="K563" s="106"/>
      <c r="L563" s="177" t="str">
        <f t="shared" si="162"/>
        <v/>
      </c>
      <c r="M563" s="105">
        <f t="shared" si="163"/>
        <v>0</v>
      </c>
      <c r="N563" s="110"/>
      <c r="O563" s="124"/>
      <c r="P563" s="110"/>
      <c r="Q563" s="124"/>
      <c r="R563" s="111">
        <f>SUMIFS('Shipments data'!L:L,'Shipments data'!F:F,'Supply planning data'!C563,'Shipments data'!A:A,'Supply planning data'!A563,'Shipments data'!Y:Y,'Supply planning data'!D563,'Shipments data'!O:O,"received", 'Shipments data'!N:N, "Public")</f>
        <v>0</v>
      </c>
      <c r="S563" s="111">
        <f>SUMIFS('Shipments data'!L:L,'Shipments data'!F:F,'Supply planning data'!C563,'Shipments data'!A:A,'Supply planning data'!A563,'Shipments data'!Y:Y,'Supply planning data'!D563,'Shipments data'!O:O,"ordered", 'Shipments data'!N:N, "Public")</f>
        <v>0</v>
      </c>
      <c r="T563" s="111">
        <f>IF(SUMIFS('Shipments data'!L:L,'Shipments data'!F:F,'Supply planning data'!C563,'Shipments data'!A:A,'Supply planning data'!A563,'Shipments data'!O:O,"received",'Shipments data'!Q:Q,"&lt;"&amp;'Supply planning data'!D578,'Shipments data'!AC:AC,"&lt;"&amp;'Supply planning data'!D578)-SUMIFS(M:M,D:D,"&lt;="&amp;D563,C:C,C563)+SUMIFS(N:N,D:D,"&lt;="&amp;D563,C:C,C563)+SUMIFS(P:P,D:D,"&lt;="&amp;D563,C:C,C563)&lt;0,0,SUMIFS('Shipments data'!L:L,'Shipments data'!F:F,'Supply planning data'!C563,'Shipments data'!A:A,'Supply planning data'!A563,'Shipments data'!O:O,"received",'Shipments data'!Q:Q,"&lt;"&amp;'Supply planning data'!D578,'Shipments data'!AC:AC,"&lt;"&amp;'Supply planning data'!D578)-SUMIFS(M:M,D:D,"&lt;="&amp;D563,C:C,C563)+SUMIFS(N:N,D:D,"&lt;="&amp;D563,C:C,C563)+SUMIFS(P:P,D:D,"&lt;="&amp;D563,C:C,C563))</f>
        <v>110538</v>
      </c>
      <c r="U563" s="112">
        <f t="shared" si="170"/>
        <v>0</v>
      </c>
      <c r="V563" s="111">
        <f t="shared" ref="V563:V626" si="178">IF(F563-M563+N563+P563+R563+S563-U563&lt;0,0,F563-M563+N563+P563+R563+S563-U563)</f>
        <v>3000000</v>
      </c>
      <c r="W563" s="204" t="str">
        <f t="shared" si="176"/>
        <v/>
      </c>
      <c r="X563" s="111">
        <f t="shared" si="171"/>
        <v>2440000</v>
      </c>
      <c r="Y563" s="110"/>
      <c r="Z563" s="107"/>
      <c r="AA563" s="111">
        <f t="shared" si="164"/>
        <v>0</v>
      </c>
      <c r="AB563" s="235"/>
      <c r="AC563" s="111">
        <f>IF(SUMIFS('Shipments data'!L:L,'Shipments data'!F:F,'Supply planning data'!C563,'Shipments data'!A:A,'Supply planning data'!A563,'Shipments data'!O:O,"received",'Shipments data'!Q:Q,"&lt;"&amp;'Supply planning data'!D578,'Shipments data'!AC:AC,"&lt;"&amp;'Supply planning data'!D578)-SUMIFS(M:M,D:D,"&lt;="&amp;D563,C:C,C563)-SUMIFS(AA:AA,D:D,"&lt;="&amp;D563,C:C,C563)+SUMIFS(N:N,D:D,"&lt;="&amp;D563,C:C,C563)+SUMIFS(P:P,D:D,"&lt;="&amp;D563,C:C,C563)&lt;0,0,SUMIFS('Shipments data'!L:L,'Shipments data'!F:F,'Supply planning data'!C563,'Shipments data'!A:A,'Supply planning data'!A563,'Shipments data'!O:O,"received",'Shipments data'!Q:Q,"&lt;"&amp;'Supply planning data'!D578,'Shipments data'!AC:AC,"&lt;"&amp;'Supply planning data'!D578)-SUMIFS(M:M,D:D,"&lt;="&amp;D563,C:C,C563)-SUMIFS(AA:AA,D:D,"&lt;="&amp;D563,C:C,C563)+SUMIFS(N:N,D:D,"&lt;="&amp;D563,C:C,C563)+SUMIFS(P:P,D:D,"&lt;="&amp;D563,C:C,C563))</f>
        <v>0</v>
      </c>
      <c r="AD563" s="111">
        <f t="shared" si="172"/>
        <v>0</v>
      </c>
      <c r="AE563" s="111">
        <f t="shared" si="166"/>
        <v>2440000</v>
      </c>
      <c r="AF563" s="204" t="str">
        <f t="shared" si="175"/>
        <v/>
      </c>
      <c r="AG563" s="111">
        <f t="shared" si="173"/>
        <v>3000000</v>
      </c>
      <c r="AH563" s="110"/>
      <c r="AI563" s="313"/>
      <c r="AJ563" s="111">
        <f t="shared" si="165"/>
        <v>0</v>
      </c>
      <c r="AK563" s="235"/>
      <c r="AL563" s="111">
        <f>IF(SUMIFS('Shipments data'!L:L,'Shipments data'!F:F,'Supply planning data'!C563,'Shipments data'!A:A,'Supply planning data'!A563,'Shipments data'!O:O,"received",'Shipments data'!Q:Q,"&lt;"&amp;'Supply planning data'!D578,'Shipments data'!AC:AC,"&lt;"&amp;'Supply planning data'!D578)-SUMIFS(M:M,D:D,"&lt;="&amp;D563,C:C,C563)-SUMIFS(AJ:AJ,D:D,"&lt;="&amp;D563,C:C,C563)+SUMIFS(N:N,D:D,"&lt;="&amp;D563,C:C,C563)+SUMIFS(P:P,D:D,"&lt;="&amp;D563,C:C,C563)&lt;0,0,SUMIFS('Shipments data'!L:L,'Shipments data'!F:F,'Supply planning data'!C563,'Shipments data'!A:A,'Supply planning data'!A563,'Shipments data'!O:O,"received",'Shipments data'!Q:Q,"&lt;"&amp;'Supply planning data'!D578,'Shipments data'!AC:AC,"&lt;"&amp;'Supply planning data'!D578)-SUMIFS(M:M,D:D,"&lt;="&amp;D563,C:C,C563)-SUMIFS(AJ:AJ,D:D,"&lt;="&amp;D563,C:C,C563)+SUMIFS(N:N,D:D,"&lt;="&amp;D563,C:C,C563)+SUMIFS(P:P,D:D,"&lt;="&amp;D563,C:C,C563))</f>
        <v>110538</v>
      </c>
      <c r="AM563" s="111">
        <f t="shared" si="174"/>
        <v>0</v>
      </c>
      <c r="AN563" s="111">
        <f t="shared" si="167"/>
        <v>3000000</v>
      </c>
      <c r="AO563" s="204" t="str">
        <f t="shared" si="177"/>
        <v/>
      </c>
    </row>
    <row r="564" spans="1:41" x14ac:dyDescent="0.25">
      <c r="A564" s="103" t="str">
        <f>Start!D$7</f>
        <v>Anyland</v>
      </c>
      <c r="B564" s="109" t="str">
        <f>VLOOKUP(A564,list!B:C,2,FALSE)</f>
        <v>ANY</v>
      </c>
      <c r="C564" s="104" t="str">
        <f>IF(Start!$C$21="","",Start!$C$21)</f>
        <v>Sinovac</v>
      </c>
      <c r="D564" s="298">
        <f t="shared" si="168"/>
        <v>45323</v>
      </c>
      <c r="E564" s="105" t="str">
        <f>IFERROR(VLOOKUP(C564,Start!C$15:D$31,2,FALSE),"No")</f>
        <v>No</v>
      </c>
      <c r="F564" s="105">
        <f t="shared" si="169"/>
        <v>0</v>
      </c>
      <c r="G564" s="106"/>
      <c r="H564" s="106"/>
      <c r="I564" s="106"/>
      <c r="J564" s="105">
        <f t="shared" si="161"/>
        <v>0</v>
      </c>
      <c r="K564" s="106"/>
      <c r="L564" s="177" t="str">
        <f t="shared" si="162"/>
        <v/>
      </c>
      <c r="M564" s="105">
        <f t="shared" si="163"/>
        <v>0</v>
      </c>
      <c r="N564" s="110"/>
      <c r="O564" s="124"/>
      <c r="P564" s="110"/>
      <c r="Q564" s="124"/>
      <c r="R564" s="111">
        <f>SUMIFS('Shipments data'!L:L,'Shipments data'!F:F,'Supply planning data'!C564,'Shipments data'!A:A,'Supply planning data'!A564,'Shipments data'!Y:Y,'Supply planning data'!D564,'Shipments data'!O:O,"received", 'Shipments data'!N:N, "Public")</f>
        <v>0</v>
      </c>
      <c r="S564" s="111">
        <f>SUMIFS('Shipments data'!L:L,'Shipments data'!F:F,'Supply planning data'!C564,'Shipments data'!A:A,'Supply planning data'!A564,'Shipments data'!Y:Y,'Supply planning data'!D564,'Shipments data'!O:O,"ordered", 'Shipments data'!N:N, "Public")</f>
        <v>0</v>
      </c>
      <c r="T564" s="111">
        <f>IF(SUMIFS('Shipments data'!L:L,'Shipments data'!F:F,'Supply planning data'!C564,'Shipments data'!A:A,'Supply planning data'!A564,'Shipments data'!O:O,"received",'Shipments data'!Q:Q,"&lt;"&amp;'Supply planning data'!D579,'Shipments data'!AC:AC,"&lt;"&amp;'Supply planning data'!D579)-SUMIFS(M:M,D:D,"&lt;="&amp;D564,C:C,C564)+SUMIFS(N:N,D:D,"&lt;="&amp;D564,C:C,C564)+SUMIFS(P:P,D:D,"&lt;="&amp;D564,C:C,C564)&lt;0,0,SUMIFS('Shipments data'!L:L,'Shipments data'!F:F,'Supply planning data'!C564,'Shipments data'!A:A,'Supply planning data'!A564,'Shipments data'!O:O,"received",'Shipments data'!Q:Q,"&lt;"&amp;'Supply planning data'!D579,'Shipments data'!AC:AC,"&lt;"&amp;'Supply planning data'!D579)-SUMIFS(M:M,D:D,"&lt;="&amp;D564,C:C,C564)+SUMIFS(N:N,D:D,"&lt;="&amp;D564,C:C,C564)+SUMIFS(P:P,D:D,"&lt;="&amp;D564,C:C,C564))</f>
        <v>0</v>
      </c>
      <c r="U564" s="112">
        <f t="shared" si="170"/>
        <v>0</v>
      </c>
      <c r="V564" s="111">
        <f t="shared" si="178"/>
        <v>0</v>
      </c>
      <c r="W564" s="204" t="str">
        <f t="shared" si="176"/>
        <v/>
      </c>
      <c r="X564" s="111">
        <f t="shared" si="171"/>
        <v>0</v>
      </c>
      <c r="Y564" s="110"/>
      <c r="Z564" s="107"/>
      <c r="AA564" s="111">
        <f t="shared" si="164"/>
        <v>0</v>
      </c>
      <c r="AB564" s="235"/>
      <c r="AC564" s="111">
        <f>IF(SUMIFS('Shipments data'!L:L,'Shipments data'!F:F,'Supply planning data'!C564,'Shipments data'!A:A,'Supply planning data'!A564,'Shipments data'!O:O,"received",'Shipments data'!Q:Q,"&lt;"&amp;'Supply planning data'!D579,'Shipments data'!AC:AC,"&lt;"&amp;'Supply planning data'!D579)-SUMIFS(M:M,D:D,"&lt;="&amp;D564,C:C,C564)-SUMIFS(AA:AA,D:D,"&lt;="&amp;D564,C:C,C564)+SUMIFS(N:N,D:D,"&lt;="&amp;D564,C:C,C564)+SUMIFS(P:P,D:D,"&lt;="&amp;D564,C:C,C564)&lt;0,0,SUMIFS('Shipments data'!L:L,'Shipments data'!F:F,'Supply planning data'!C564,'Shipments data'!A:A,'Supply planning data'!A564,'Shipments data'!O:O,"received",'Shipments data'!Q:Q,"&lt;"&amp;'Supply planning data'!D579,'Shipments data'!AC:AC,"&lt;"&amp;'Supply planning data'!D579)-SUMIFS(M:M,D:D,"&lt;="&amp;D564,C:C,C564)-SUMIFS(AA:AA,D:D,"&lt;="&amp;D564,C:C,C564)+SUMIFS(N:N,D:D,"&lt;="&amp;D564,C:C,C564)+SUMIFS(P:P,D:D,"&lt;="&amp;D564,C:C,C564))</f>
        <v>0</v>
      </c>
      <c r="AD564" s="111">
        <f t="shared" si="172"/>
        <v>0</v>
      </c>
      <c r="AE564" s="111">
        <f t="shared" si="166"/>
        <v>0</v>
      </c>
      <c r="AF564" s="204" t="str">
        <f t="shared" si="175"/>
        <v/>
      </c>
      <c r="AG564" s="111">
        <f t="shared" si="173"/>
        <v>0</v>
      </c>
      <c r="AH564" s="110"/>
      <c r="AI564" s="313"/>
      <c r="AJ564" s="111">
        <f t="shared" si="165"/>
        <v>0</v>
      </c>
      <c r="AK564" s="235"/>
      <c r="AL564" s="111">
        <f>IF(SUMIFS('Shipments data'!L:L,'Shipments data'!F:F,'Supply planning data'!C564,'Shipments data'!A:A,'Supply planning data'!A564,'Shipments data'!O:O,"received",'Shipments data'!Q:Q,"&lt;"&amp;'Supply planning data'!D579,'Shipments data'!AC:AC,"&lt;"&amp;'Supply planning data'!D579)-SUMIFS(M:M,D:D,"&lt;="&amp;D564,C:C,C564)-SUMIFS(AJ:AJ,D:D,"&lt;="&amp;D564,C:C,C564)+SUMIFS(N:N,D:D,"&lt;="&amp;D564,C:C,C564)+SUMIFS(P:P,D:D,"&lt;="&amp;D564,C:C,C564)&lt;0,0,SUMIFS('Shipments data'!L:L,'Shipments data'!F:F,'Supply planning data'!C564,'Shipments data'!A:A,'Supply planning data'!A564,'Shipments data'!O:O,"received",'Shipments data'!Q:Q,"&lt;"&amp;'Supply planning data'!D579,'Shipments data'!AC:AC,"&lt;"&amp;'Supply planning data'!D579)-SUMIFS(M:M,D:D,"&lt;="&amp;D564,C:C,C564)-SUMIFS(AJ:AJ,D:D,"&lt;="&amp;D564,C:C,C564)+SUMIFS(N:N,D:D,"&lt;="&amp;D564,C:C,C564)+SUMIFS(P:P,D:D,"&lt;="&amp;D564,C:C,C564))</f>
        <v>0</v>
      </c>
      <c r="AM564" s="111">
        <f t="shared" si="174"/>
        <v>0</v>
      </c>
      <c r="AN564" s="111">
        <f t="shared" si="167"/>
        <v>0</v>
      </c>
      <c r="AO564" s="204" t="str">
        <f t="shared" si="177"/>
        <v/>
      </c>
    </row>
    <row r="565" spans="1:41" hidden="1" x14ac:dyDescent="0.25">
      <c r="A565" s="103" t="str">
        <f>Start!D$7</f>
        <v>Anyland</v>
      </c>
      <c r="B565" s="109" t="str">
        <f>VLOOKUP(A565,list!B:C,2,FALSE)</f>
        <v>ANY</v>
      </c>
      <c r="C565" s="109" t="str">
        <f>IF(Start!$C$22="","",Start!$C$22)</f>
        <v/>
      </c>
      <c r="D565" s="298">
        <f t="shared" si="168"/>
        <v>45323</v>
      </c>
      <c r="E565" s="105" t="str">
        <f>IFERROR(VLOOKUP(C565,Start!C$15:D$31,2,FALSE),"No")</f>
        <v>No</v>
      </c>
      <c r="F565" s="105">
        <f t="shared" si="169"/>
        <v>0</v>
      </c>
      <c r="G565" s="106"/>
      <c r="H565" s="106"/>
      <c r="I565" s="106"/>
      <c r="J565" s="105">
        <f t="shared" si="161"/>
        <v>0</v>
      </c>
      <c r="K565" s="106"/>
      <c r="L565" s="177" t="str">
        <f t="shared" si="162"/>
        <v/>
      </c>
      <c r="M565" s="105">
        <f t="shared" si="163"/>
        <v>0</v>
      </c>
      <c r="N565" s="110"/>
      <c r="O565" s="124"/>
      <c r="P565" s="110"/>
      <c r="Q565" s="124"/>
      <c r="R565" s="111">
        <f>SUMIFS('Shipments data'!L:L,'Shipments data'!F:F,'Supply planning data'!C565,'Shipments data'!A:A,'Supply planning data'!A565,'Shipments data'!Y:Y,'Supply planning data'!D565,'Shipments data'!O:O,"received", 'Shipments data'!N:N, "Public")</f>
        <v>0</v>
      </c>
      <c r="S565" s="111">
        <f>SUMIFS('Shipments data'!L:L,'Shipments data'!F:F,'Supply planning data'!C565,'Shipments data'!A:A,'Supply planning data'!A565,'Shipments data'!Y:Y,'Supply planning data'!D565,'Shipments data'!O:O,"ordered", 'Shipments data'!N:N, "Public")</f>
        <v>0</v>
      </c>
      <c r="T565" s="111">
        <f>IF(SUMIFS('Shipments data'!L:L,'Shipments data'!F:F,'Supply planning data'!C565,'Shipments data'!A:A,'Supply planning data'!A565,'Shipments data'!O:O,"received",'Shipments data'!Q:Q,"&lt;"&amp;'Supply planning data'!D580,'Shipments data'!AC:AC,"&lt;"&amp;'Supply planning data'!D580)-SUMIFS(M:M,D:D,"&lt;="&amp;D565,C:C,C565)+SUMIFS(N:N,D:D,"&lt;="&amp;D565,C:C,C565)+SUMIFS(P:P,D:D,"&lt;="&amp;D565,C:C,C565)&lt;0,0,SUMIFS('Shipments data'!L:L,'Shipments data'!F:F,'Supply planning data'!C565,'Shipments data'!A:A,'Supply planning data'!A565,'Shipments data'!O:O,"received",'Shipments data'!Q:Q,"&lt;"&amp;'Supply planning data'!D580,'Shipments data'!AC:AC,"&lt;"&amp;'Supply planning data'!D580)-SUMIFS(M:M,D:D,"&lt;="&amp;D565,C:C,C565)+SUMIFS(N:N,D:D,"&lt;="&amp;D565,C:C,C565)+SUMIFS(P:P,D:D,"&lt;="&amp;D565,C:C,C565))</f>
        <v>0</v>
      </c>
      <c r="U565" s="112">
        <f t="shared" si="170"/>
        <v>0</v>
      </c>
      <c r="V565" s="111">
        <f t="shared" si="178"/>
        <v>0</v>
      </c>
      <c r="W565" s="204" t="str">
        <f t="shared" si="176"/>
        <v/>
      </c>
      <c r="X565" s="111">
        <f t="shared" si="171"/>
        <v>0</v>
      </c>
      <c r="Y565" s="110"/>
      <c r="Z565" s="107"/>
      <c r="AA565" s="111">
        <f t="shared" si="164"/>
        <v>0</v>
      </c>
      <c r="AB565" s="235"/>
      <c r="AC565" s="111">
        <f>IF(SUMIFS('Shipments data'!L:L,'Shipments data'!F:F,'Supply planning data'!C565,'Shipments data'!A:A,'Supply planning data'!A565,'Shipments data'!O:O,"received",'Shipments data'!Q:Q,"&lt;"&amp;'Supply planning data'!D580,'Shipments data'!AC:AC,"&lt;"&amp;'Supply planning data'!D580)-SUMIFS(M:M,D:D,"&lt;="&amp;D565,C:C,C565)-SUMIFS(AA:AA,D:D,"&lt;="&amp;D565,C:C,C565)+SUMIFS(N:N,D:D,"&lt;="&amp;D565,C:C,C565)+SUMIFS(P:P,D:D,"&lt;="&amp;D565,C:C,C565)&lt;0,0,SUMIFS('Shipments data'!L:L,'Shipments data'!F:F,'Supply planning data'!C565,'Shipments data'!A:A,'Supply planning data'!A565,'Shipments data'!O:O,"received",'Shipments data'!Q:Q,"&lt;"&amp;'Supply planning data'!D580,'Shipments data'!AC:AC,"&lt;"&amp;'Supply planning data'!D580)-SUMIFS(M:M,D:D,"&lt;="&amp;D565,C:C,C565)-SUMIFS(AA:AA,D:D,"&lt;="&amp;D565,C:C,C565)+SUMIFS(N:N,D:D,"&lt;="&amp;D565,C:C,C565)+SUMIFS(P:P,D:D,"&lt;="&amp;D565,C:C,C565))</f>
        <v>0</v>
      </c>
      <c r="AD565" s="111">
        <f t="shared" si="172"/>
        <v>0</v>
      </c>
      <c r="AE565" s="111">
        <f t="shared" si="166"/>
        <v>0</v>
      </c>
      <c r="AF565" s="204" t="str">
        <f t="shared" si="175"/>
        <v/>
      </c>
      <c r="AG565" s="111">
        <f t="shared" si="173"/>
        <v>0</v>
      </c>
      <c r="AH565" s="110"/>
      <c r="AI565" s="313"/>
      <c r="AJ565" s="111">
        <f t="shared" si="165"/>
        <v>0</v>
      </c>
      <c r="AK565" s="235"/>
      <c r="AL565" s="111">
        <f>IF(SUMIFS('Shipments data'!L:L,'Shipments data'!F:F,'Supply planning data'!C565,'Shipments data'!A:A,'Supply planning data'!A565,'Shipments data'!O:O,"received",'Shipments data'!Q:Q,"&lt;"&amp;'Supply planning data'!D580,'Shipments data'!AC:AC,"&lt;"&amp;'Supply planning data'!D580)-SUMIFS(M:M,D:D,"&lt;="&amp;D565,C:C,C565)-SUMIFS(AJ:AJ,D:D,"&lt;="&amp;D565,C:C,C565)+SUMIFS(N:N,D:D,"&lt;="&amp;D565,C:C,C565)+SUMIFS(P:P,D:D,"&lt;="&amp;D565,C:C,C565)&lt;0,0,SUMIFS('Shipments data'!L:L,'Shipments data'!F:F,'Supply planning data'!C565,'Shipments data'!A:A,'Supply planning data'!A565,'Shipments data'!O:O,"received",'Shipments data'!Q:Q,"&lt;"&amp;'Supply planning data'!D580,'Shipments data'!AC:AC,"&lt;"&amp;'Supply planning data'!D580)-SUMIFS(M:M,D:D,"&lt;="&amp;D565,C:C,C565)-SUMIFS(AJ:AJ,D:D,"&lt;="&amp;D565,C:C,C565)+SUMIFS(N:N,D:D,"&lt;="&amp;D565,C:C,C565)+SUMIFS(P:P,D:D,"&lt;="&amp;D565,C:C,C565))</f>
        <v>0</v>
      </c>
      <c r="AM565" s="111">
        <f t="shared" si="174"/>
        <v>0</v>
      </c>
      <c r="AN565" s="111">
        <f t="shared" si="167"/>
        <v>0</v>
      </c>
      <c r="AO565" s="204" t="str">
        <f t="shared" si="177"/>
        <v/>
      </c>
    </row>
    <row r="566" spans="1:41" hidden="1" x14ac:dyDescent="0.25">
      <c r="A566" s="103" t="str">
        <f>Start!D$7</f>
        <v>Anyland</v>
      </c>
      <c r="B566" s="109" t="str">
        <f>VLOOKUP(A566,list!B:C,2,FALSE)</f>
        <v>ANY</v>
      </c>
      <c r="C566" s="104" t="str">
        <f>IF(Start!$C$23="","",Start!$C$23)</f>
        <v/>
      </c>
      <c r="D566" s="298">
        <f t="shared" si="168"/>
        <v>45323</v>
      </c>
      <c r="E566" s="105" t="str">
        <f>IFERROR(VLOOKUP(C566,Start!C$15:D$31,2,FALSE),"No")</f>
        <v>No</v>
      </c>
      <c r="F566" s="105">
        <f t="shared" si="169"/>
        <v>0</v>
      </c>
      <c r="G566" s="106"/>
      <c r="H566" s="106"/>
      <c r="I566" s="106"/>
      <c r="J566" s="105">
        <f t="shared" si="161"/>
        <v>0</v>
      </c>
      <c r="K566" s="106"/>
      <c r="L566" s="177" t="str">
        <f t="shared" si="162"/>
        <v/>
      </c>
      <c r="M566" s="105">
        <f t="shared" si="163"/>
        <v>0</v>
      </c>
      <c r="N566" s="110"/>
      <c r="O566" s="124"/>
      <c r="P566" s="110"/>
      <c r="Q566" s="124"/>
      <c r="R566" s="111">
        <f>SUMIFS('Shipments data'!L:L,'Shipments data'!F:F,'Supply planning data'!C566,'Shipments data'!A:A,'Supply planning data'!A566,'Shipments data'!Y:Y,'Supply planning data'!D566,'Shipments data'!O:O,"received", 'Shipments data'!N:N, "Public")</f>
        <v>0</v>
      </c>
      <c r="S566" s="111">
        <f>SUMIFS('Shipments data'!L:L,'Shipments data'!F:F,'Supply planning data'!C566,'Shipments data'!A:A,'Supply planning data'!A566,'Shipments data'!Y:Y,'Supply planning data'!D566,'Shipments data'!O:O,"ordered", 'Shipments data'!N:N, "Public")</f>
        <v>0</v>
      </c>
      <c r="T566" s="111">
        <f>IF(SUMIFS('Shipments data'!L:L,'Shipments data'!F:F,'Supply planning data'!C566,'Shipments data'!A:A,'Supply planning data'!A566,'Shipments data'!O:O,"received",'Shipments data'!Q:Q,"&lt;"&amp;'Supply planning data'!D581,'Shipments data'!AC:AC,"&lt;"&amp;'Supply planning data'!D581)-SUMIFS(M:M,D:D,"&lt;="&amp;D566,C:C,C566)+SUMIFS(N:N,D:D,"&lt;="&amp;D566,C:C,C566)+SUMIFS(P:P,D:D,"&lt;="&amp;D566,C:C,C566)&lt;0,0,SUMIFS('Shipments data'!L:L,'Shipments data'!F:F,'Supply planning data'!C566,'Shipments data'!A:A,'Supply planning data'!A566,'Shipments data'!O:O,"received",'Shipments data'!Q:Q,"&lt;"&amp;'Supply planning data'!D581,'Shipments data'!AC:AC,"&lt;"&amp;'Supply planning data'!D581)-SUMIFS(M:M,D:D,"&lt;="&amp;D566,C:C,C566)+SUMIFS(N:N,D:D,"&lt;="&amp;D566,C:C,C566)+SUMIFS(P:P,D:D,"&lt;="&amp;D566,C:C,C566))</f>
        <v>0</v>
      </c>
      <c r="U566" s="112">
        <f t="shared" si="170"/>
        <v>0</v>
      </c>
      <c r="V566" s="111">
        <f t="shared" si="178"/>
        <v>0</v>
      </c>
      <c r="W566" s="204" t="str">
        <f t="shared" si="176"/>
        <v/>
      </c>
      <c r="X566" s="111">
        <f t="shared" si="171"/>
        <v>0</v>
      </c>
      <c r="Y566" s="110"/>
      <c r="Z566" s="107"/>
      <c r="AA566" s="111">
        <f t="shared" si="164"/>
        <v>0</v>
      </c>
      <c r="AB566" s="235"/>
      <c r="AC566" s="111">
        <f>IF(SUMIFS('Shipments data'!L:L,'Shipments data'!F:F,'Supply planning data'!C566,'Shipments data'!A:A,'Supply planning data'!A566,'Shipments data'!O:O,"received",'Shipments data'!Q:Q,"&lt;"&amp;'Supply planning data'!D581,'Shipments data'!AC:AC,"&lt;"&amp;'Supply planning data'!D581)-SUMIFS(M:M,D:D,"&lt;="&amp;D566,C:C,C566)-SUMIFS(AA:AA,D:D,"&lt;="&amp;D566,C:C,C566)+SUMIFS(N:N,D:D,"&lt;="&amp;D566,C:C,C566)+SUMIFS(P:P,D:D,"&lt;="&amp;D566,C:C,C566)&lt;0,0,SUMIFS('Shipments data'!L:L,'Shipments data'!F:F,'Supply planning data'!C566,'Shipments data'!A:A,'Supply planning data'!A566,'Shipments data'!O:O,"received",'Shipments data'!Q:Q,"&lt;"&amp;'Supply planning data'!D581,'Shipments data'!AC:AC,"&lt;"&amp;'Supply planning data'!D581)-SUMIFS(M:M,D:D,"&lt;="&amp;D566,C:C,C566)-SUMIFS(AA:AA,D:D,"&lt;="&amp;D566,C:C,C566)+SUMIFS(N:N,D:D,"&lt;="&amp;D566,C:C,C566)+SUMIFS(P:P,D:D,"&lt;="&amp;D566,C:C,C566))</f>
        <v>0</v>
      </c>
      <c r="AD566" s="111">
        <f t="shared" si="172"/>
        <v>0</v>
      </c>
      <c r="AE566" s="111">
        <f t="shared" si="166"/>
        <v>0</v>
      </c>
      <c r="AF566" s="204" t="str">
        <f t="shared" si="175"/>
        <v/>
      </c>
      <c r="AG566" s="111">
        <f t="shared" si="173"/>
        <v>0</v>
      </c>
      <c r="AH566" s="110"/>
      <c r="AI566" s="313"/>
      <c r="AJ566" s="111">
        <f t="shared" si="165"/>
        <v>0</v>
      </c>
      <c r="AK566" s="235"/>
      <c r="AL566" s="111">
        <f>IF(SUMIFS('Shipments data'!L:L,'Shipments data'!F:F,'Supply planning data'!C566,'Shipments data'!A:A,'Supply planning data'!A566,'Shipments data'!O:O,"received",'Shipments data'!Q:Q,"&lt;"&amp;'Supply planning data'!D581,'Shipments data'!AC:AC,"&lt;"&amp;'Supply planning data'!D581)-SUMIFS(M:M,D:D,"&lt;="&amp;D566,C:C,C566)-SUMIFS(AJ:AJ,D:D,"&lt;="&amp;D566,C:C,C566)+SUMIFS(N:N,D:D,"&lt;="&amp;D566,C:C,C566)+SUMIFS(P:P,D:D,"&lt;="&amp;D566,C:C,C566)&lt;0,0,SUMIFS('Shipments data'!L:L,'Shipments data'!F:F,'Supply planning data'!C566,'Shipments data'!A:A,'Supply planning data'!A566,'Shipments data'!O:O,"received",'Shipments data'!Q:Q,"&lt;"&amp;'Supply planning data'!D581,'Shipments data'!AC:AC,"&lt;"&amp;'Supply planning data'!D581)-SUMIFS(M:M,D:D,"&lt;="&amp;D566,C:C,C566)-SUMIFS(AJ:AJ,D:D,"&lt;="&amp;D566,C:C,C566)+SUMIFS(N:N,D:D,"&lt;="&amp;D566,C:C,C566)+SUMIFS(P:P,D:D,"&lt;="&amp;D566,C:C,C566))</f>
        <v>0</v>
      </c>
      <c r="AM566" s="111">
        <f t="shared" si="174"/>
        <v>0</v>
      </c>
      <c r="AN566" s="111">
        <f t="shared" si="167"/>
        <v>0</v>
      </c>
      <c r="AO566" s="204" t="str">
        <f t="shared" si="177"/>
        <v/>
      </c>
    </row>
    <row r="567" spans="1:41" hidden="1" x14ac:dyDescent="0.25">
      <c r="A567" s="103" t="str">
        <f>Start!D$7</f>
        <v>Anyland</v>
      </c>
      <c r="B567" s="109" t="str">
        <f>VLOOKUP(A567,list!B:C,2,FALSE)</f>
        <v>ANY</v>
      </c>
      <c r="C567" s="109" t="str">
        <f>IF(Start!$C$24="","",Start!$C$24)</f>
        <v/>
      </c>
      <c r="D567" s="298">
        <f t="shared" si="168"/>
        <v>45323</v>
      </c>
      <c r="E567" s="105" t="str">
        <f>IFERROR(VLOOKUP(C567,Start!C$15:D$31,2,FALSE),"No")</f>
        <v>No</v>
      </c>
      <c r="F567" s="105">
        <f t="shared" si="169"/>
        <v>0</v>
      </c>
      <c r="G567" s="106"/>
      <c r="H567" s="106"/>
      <c r="I567" s="106"/>
      <c r="J567" s="105">
        <f t="shared" si="161"/>
        <v>0</v>
      </c>
      <c r="K567" s="106"/>
      <c r="L567" s="177" t="str">
        <f t="shared" si="162"/>
        <v/>
      </c>
      <c r="M567" s="105">
        <f t="shared" si="163"/>
        <v>0</v>
      </c>
      <c r="N567" s="110"/>
      <c r="O567" s="124"/>
      <c r="P567" s="110"/>
      <c r="Q567" s="124"/>
      <c r="R567" s="111">
        <f>SUMIFS('Shipments data'!L:L,'Shipments data'!F:F,'Supply planning data'!C567,'Shipments data'!A:A,'Supply planning data'!A567,'Shipments data'!Y:Y,'Supply planning data'!D567,'Shipments data'!O:O,"received", 'Shipments data'!N:N, "Public")</f>
        <v>0</v>
      </c>
      <c r="S567" s="111">
        <f>SUMIFS('Shipments data'!L:L,'Shipments data'!F:F,'Supply planning data'!C567,'Shipments data'!A:A,'Supply planning data'!A567,'Shipments data'!Y:Y,'Supply planning data'!D567,'Shipments data'!O:O,"ordered", 'Shipments data'!N:N, "Public")</f>
        <v>0</v>
      </c>
      <c r="T567" s="111">
        <f>IF(SUMIFS('Shipments data'!L:L,'Shipments data'!F:F,'Supply planning data'!C567,'Shipments data'!A:A,'Supply planning data'!A567,'Shipments data'!O:O,"received",'Shipments data'!Q:Q,"&lt;"&amp;'Supply planning data'!D582,'Shipments data'!AC:AC,"&lt;"&amp;'Supply planning data'!D582)-SUMIFS(M:M,D:D,"&lt;="&amp;D567,C:C,C567)+SUMIFS(N:N,D:D,"&lt;="&amp;D567,C:C,C567)+SUMIFS(P:P,D:D,"&lt;="&amp;D567,C:C,C567)&lt;0,0,SUMIFS('Shipments data'!L:L,'Shipments data'!F:F,'Supply planning data'!C567,'Shipments data'!A:A,'Supply planning data'!A567,'Shipments data'!O:O,"received",'Shipments data'!Q:Q,"&lt;"&amp;'Supply planning data'!D582,'Shipments data'!AC:AC,"&lt;"&amp;'Supply planning data'!D582)-SUMIFS(M:M,D:D,"&lt;="&amp;D567,C:C,C567)+SUMIFS(N:N,D:D,"&lt;="&amp;D567,C:C,C567)+SUMIFS(P:P,D:D,"&lt;="&amp;D567,C:C,C567))</f>
        <v>0</v>
      </c>
      <c r="U567" s="112">
        <f t="shared" si="170"/>
        <v>0</v>
      </c>
      <c r="V567" s="111">
        <f t="shared" si="178"/>
        <v>0</v>
      </c>
      <c r="W567" s="204" t="str">
        <f t="shared" si="176"/>
        <v/>
      </c>
      <c r="X567" s="111">
        <f t="shared" si="171"/>
        <v>0</v>
      </c>
      <c r="Y567" s="110"/>
      <c r="Z567" s="107"/>
      <c r="AA567" s="111">
        <f t="shared" si="164"/>
        <v>0</v>
      </c>
      <c r="AB567" s="235"/>
      <c r="AC567" s="111">
        <f>IF(SUMIFS('Shipments data'!L:L,'Shipments data'!F:F,'Supply planning data'!C567,'Shipments data'!A:A,'Supply planning data'!A567,'Shipments data'!O:O,"received",'Shipments data'!Q:Q,"&lt;"&amp;'Supply planning data'!D582,'Shipments data'!AC:AC,"&lt;"&amp;'Supply planning data'!D582)-SUMIFS(M:M,D:D,"&lt;="&amp;D567,C:C,C567)-SUMIFS(AA:AA,D:D,"&lt;="&amp;D567,C:C,C567)+SUMIFS(N:N,D:D,"&lt;="&amp;D567,C:C,C567)+SUMIFS(P:P,D:D,"&lt;="&amp;D567,C:C,C567)&lt;0,0,SUMIFS('Shipments data'!L:L,'Shipments data'!F:F,'Supply planning data'!C567,'Shipments data'!A:A,'Supply planning data'!A567,'Shipments data'!O:O,"received",'Shipments data'!Q:Q,"&lt;"&amp;'Supply planning data'!D582,'Shipments data'!AC:AC,"&lt;"&amp;'Supply planning data'!D582)-SUMIFS(M:M,D:D,"&lt;="&amp;D567,C:C,C567)-SUMIFS(AA:AA,D:D,"&lt;="&amp;D567,C:C,C567)+SUMIFS(N:N,D:D,"&lt;="&amp;D567,C:C,C567)+SUMIFS(P:P,D:D,"&lt;="&amp;D567,C:C,C567))</f>
        <v>0</v>
      </c>
      <c r="AD567" s="111">
        <f t="shared" si="172"/>
        <v>0</v>
      </c>
      <c r="AE567" s="111">
        <f t="shared" si="166"/>
        <v>0</v>
      </c>
      <c r="AF567" s="204" t="str">
        <f t="shared" si="175"/>
        <v/>
      </c>
      <c r="AG567" s="111">
        <f t="shared" si="173"/>
        <v>0</v>
      </c>
      <c r="AH567" s="110"/>
      <c r="AI567" s="313"/>
      <c r="AJ567" s="111">
        <f t="shared" si="165"/>
        <v>0</v>
      </c>
      <c r="AK567" s="235"/>
      <c r="AL567" s="111">
        <f>IF(SUMIFS('Shipments data'!L:L,'Shipments data'!F:F,'Supply planning data'!C567,'Shipments data'!A:A,'Supply planning data'!A567,'Shipments data'!O:O,"received",'Shipments data'!Q:Q,"&lt;"&amp;'Supply planning data'!D582,'Shipments data'!AC:AC,"&lt;"&amp;'Supply planning data'!D582)-SUMIFS(M:M,D:D,"&lt;="&amp;D567,C:C,C567)-SUMIFS(AJ:AJ,D:D,"&lt;="&amp;D567,C:C,C567)+SUMIFS(N:N,D:D,"&lt;="&amp;D567,C:C,C567)+SUMIFS(P:P,D:D,"&lt;="&amp;D567,C:C,C567)&lt;0,0,SUMIFS('Shipments data'!L:L,'Shipments data'!F:F,'Supply planning data'!C567,'Shipments data'!A:A,'Supply planning data'!A567,'Shipments data'!O:O,"received",'Shipments data'!Q:Q,"&lt;"&amp;'Supply planning data'!D582,'Shipments data'!AC:AC,"&lt;"&amp;'Supply planning data'!D582)-SUMIFS(M:M,D:D,"&lt;="&amp;D567,C:C,C567)-SUMIFS(AJ:AJ,D:D,"&lt;="&amp;D567,C:C,C567)+SUMIFS(N:N,D:D,"&lt;="&amp;D567,C:C,C567)+SUMIFS(P:P,D:D,"&lt;="&amp;D567,C:C,C567))</f>
        <v>0</v>
      </c>
      <c r="AM567" s="111">
        <f t="shared" si="174"/>
        <v>0</v>
      </c>
      <c r="AN567" s="111">
        <f t="shared" si="167"/>
        <v>0</v>
      </c>
      <c r="AO567" s="204" t="str">
        <f t="shared" si="177"/>
        <v/>
      </c>
    </row>
    <row r="568" spans="1:41" hidden="1" x14ac:dyDescent="0.25">
      <c r="A568" s="103" t="str">
        <f>Start!D$7</f>
        <v>Anyland</v>
      </c>
      <c r="B568" s="109" t="str">
        <f>VLOOKUP(A568,list!B:C,2,FALSE)</f>
        <v>ANY</v>
      </c>
      <c r="C568" s="104" t="str">
        <f>IF(Start!$C$25="","",Start!$C$25)</f>
        <v/>
      </c>
      <c r="D568" s="298">
        <f t="shared" si="168"/>
        <v>45323</v>
      </c>
      <c r="E568" s="105" t="str">
        <f>IFERROR(VLOOKUP(C568,Start!C$15:D$31,2,FALSE),"No")</f>
        <v>No</v>
      </c>
      <c r="F568" s="105">
        <f t="shared" si="169"/>
        <v>0</v>
      </c>
      <c r="G568" s="106"/>
      <c r="H568" s="106"/>
      <c r="I568" s="106"/>
      <c r="J568" s="105">
        <f t="shared" si="161"/>
        <v>0</v>
      </c>
      <c r="K568" s="106"/>
      <c r="L568" s="177" t="str">
        <f t="shared" si="162"/>
        <v/>
      </c>
      <c r="M568" s="105">
        <f t="shared" si="163"/>
        <v>0</v>
      </c>
      <c r="N568" s="110"/>
      <c r="O568" s="124"/>
      <c r="P568" s="110"/>
      <c r="Q568" s="124"/>
      <c r="R568" s="111">
        <f>SUMIFS('Shipments data'!L:L,'Shipments data'!F:F,'Supply planning data'!C568,'Shipments data'!A:A,'Supply planning data'!A568,'Shipments data'!Y:Y,'Supply planning data'!D568,'Shipments data'!O:O,"received", 'Shipments data'!N:N, "Public")</f>
        <v>0</v>
      </c>
      <c r="S568" s="111">
        <f>SUMIFS('Shipments data'!L:L,'Shipments data'!F:F,'Supply planning data'!C568,'Shipments data'!A:A,'Supply planning data'!A568,'Shipments data'!Y:Y,'Supply planning data'!D568,'Shipments data'!O:O,"ordered", 'Shipments data'!N:N, "Public")</f>
        <v>0</v>
      </c>
      <c r="T568" s="111">
        <f>IF(SUMIFS('Shipments data'!L:L,'Shipments data'!F:F,'Supply planning data'!C568,'Shipments data'!A:A,'Supply planning data'!A568,'Shipments data'!O:O,"received",'Shipments data'!Q:Q,"&lt;"&amp;'Supply planning data'!D583,'Shipments data'!AC:AC,"&lt;"&amp;'Supply planning data'!D583)-SUMIFS(M:M,D:D,"&lt;="&amp;D568,C:C,C568)+SUMIFS(N:N,D:D,"&lt;="&amp;D568,C:C,C568)+SUMIFS(P:P,D:D,"&lt;="&amp;D568,C:C,C568)&lt;0,0,SUMIFS('Shipments data'!L:L,'Shipments data'!F:F,'Supply planning data'!C568,'Shipments data'!A:A,'Supply planning data'!A568,'Shipments data'!O:O,"received",'Shipments data'!Q:Q,"&lt;"&amp;'Supply planning data'!D583,'Shipments data'!AC:AC,"&lt;"&amp;'Supply planning data'!D583)-SUMIFS(M:M,D:D,"&lt;="&amp;D568,C:C,C568)+SUMIFS(N:N,D:D,"&lt;="&amp;D568,C:C,C568)+SUMIFS(P:P,D:D,"&lt;="&amp;D568,C:C,C568))</f>
        <v>0</v>
      </c>
      <c r="U568" s="112">
        <f t="shared" si="170"/>
        <v>0</v>
      </c>
      <c r="V568" s="111">
        <f t="shared" si="178"/>
        <v>0</v>
      </c>
      <c r="W568" s="204" t="str">
        <f t="shared" si="176"/>
        <v/>
      </c>
      <c r="X568" s="111">
        <f t="shared" si="171"/>
        <v>0</v>
      </c>
      <c r="Y568" s="110"/>
      <c r="Z568" s="107"/>
      <c r="AA568" s="111">
        <f t="shared" si="164"/>
        <v>0</v>
      </c>
      <c r="AB568" s="235"/>
      <c r="AC568" s="111">
        <f>IF(SUMIFS('Shipments data'!L:L,'Shipments data'!F:F,'Supply planning data'!C568,'Shipments data'!A:A,'Supply planning data'!A568,'Shipments data'!O:O,"received",'Shipments data'!Q:Q,"&lt;"&amp;'Supply planning data'!D583,'Shipments data'!AC:AC,"&lt;"&amp;'Supply planning data'!D583)-SUMIFS(M:M,D:D,"&lt;="&amp;D568,C:C,C568)-SUMIFS(AA:AA,D:D,"&lt;="&amp;D568,C:C,C568)+SUMIFS(N:N,D:D,"&lt;="&amp;D568,C:C,C568)+SUMIFS(P:P,D:D,"&lt;="&amp;D568,C:C,C568)&lt;0,0,SUMIFS('Shipments data'!L:L,'Shipments data'!F:F,'Supply planning data'!C568,'Shipments data'!A:A,'Supply planning data'!A568,'Shipments data'!O:O,"received",'Shipments data'!Q:Q,"&lt;"&amp;'Supply planning data'!D583,'Shipments data'!AC:AC,"&lt;"&amp;'Supply planning data'!D583)-SUMIFS(M:M,D:D,"&lt;="&amp;D568,C:C,C568)-SUMIFS(AA:AA,D:D,"&lt;="&amp;D568,C:C,C568)+SUMIFS(N:N,D:D,"&lt;="&amp;D568,C:C,C568)+SUMIFS(P:P,D:D,"&lt;="&amp;D568,C:C,C568))</f>
        <v>0</v>
      </c>
      <c r="AD568" s="111">
        <f t="shared" si="172"/>
        <v>0</v>
      </c>
      <c r="AE568" s="111">
        <f t="shared" si="166"/>
        <v>0</v>
      </c>
      <c r="AF568" s="204" t="str">
        <f t="shared" si="175"/>
        <v/>
      </c>
      <c r="AG568" s="111">
        <f t="shared" si="173"/>
        <v>0</v>
      </c>
      <c r="AH568" s="110"/>
      <c r="AI568" s="313"/>
      <c r="AJ568" s="111">
        <f t="shared" si="165"/>
        <v>0</v>
      </c>
      <c r="AK568" s="235"/>
      <c r="AL568" s="111">
        <f>IF(SUMIFS('Shipments data'!L:L,'Shipments data'!F:F,'Supply planning data'!C568,'Shipments data'!A:A,'Supply planning data'!A568,'Shipments data'!O:O,"received",'Shipments data'!Q:Q,"&lt;"&amp;'Supply planning data'!D583,'Shipments data'!AC:AC,"&lt;"&amp;'Supply planning data'!D583)-SUMIFS(M:M,D:D,"&lt;="&amp;D568,C:C,C568)-SUMIFS(AJ:AJ,D:D,"&lt;="&amp;D568,C:C,C568)+SUMIFS(N:N,D:D,"&lt;="&amp;D568,C:C,C568)+SUMIFS(P:P,D:D,"&lt;="&amp;D568,C:C,C568)&lt;0,0,SUMIFS('Shipments data'!L:L,'Shipments data'!F:F,'Supply planning data'!C568,'Shipments data'!A:A,'Supply planning data'!A568,'Shipments data'!O:O,"received",'Shipments data'!Q:Q,"&lt;"&amp;'Supply planning data'!D583,'Shipments data'!AC:AC,"&lt;"&amp;'Supply planning data'!D583)-SUMIFS(M:M,D:D,"&lt;="&amp;D568,C:C,C568)-SUMIFS(AJ:AJ,D:D,"&lt;="&amp;D568,C:C,C568)+SUMIFS(N:N,D:D,"&lt;="&amp;D568,C:C,C568)+SUMIFS(P:P,D:D,"&lt;="&amp;D568,C:C,C568))</f>
        <v>0</v>
      </c>
      <c r="AM568" s="111">
        <f t="shared" si="174"/>
        <v>0</v>
      </c>
      <c r="AN568" s="111">
        <f t="shared" si="167"/>
        <v>0</v>
      </c>
      <c r="AO568" s="204" t="str">
        <f t="shared" si="177"/>
        <v/>
      </c>
    </row>
    <row r="569" spans="1:41" hidden="1" x14ac:dyDescent="0.25">
      <c r="A569" s="103" t="str">
        <f>Start!D$7</f>
        <v>Anyland</v>
      </c>
      <c r="B569" s="109" t="str">
        <f>VLOOKUP(A569,list!B:C,2,FALSE)</f>
        <v>ANY</v>
      </c>
      <c r="C569" s="109" t="str">
        <f>IF(Start!$C$26="","",Start!$C$26)</f>
        <v/>
      </c>
      <c r="D569" s="298">
        <f t="shared" si="168"/>
        <v>45323</v>
      </c>
      <c r="E569" s="105" t="str">
        <f>IFERROR(VLOOKUP(C569,Start!C$15:D$31,2,FALSE),"No")</f>
        <v>No</v>
      </c>
      <c r="F569" s="105">
        <f t="shared" si="169"/>
        <v>0</v>
      </c>
      <c r="G569" s="106"/>
      <c r="H569" s="106"/>
      <c r="I569" s="106"/>
      <c r="J569" s="105">
        <f t="shared" si="161"/>
        <v>0</v>
      </c>
      <c r="K569" s="106"/>
      <c r="L569" s="177" t="str">
        <f t="shared" si="162"/>
        <v/>
      </c>
      <c r="M569" s="105">
        <f t="shared" si="163"/>
        <v>0</v>
      </c>
      <c r="N569" s="110"/>
      <c r="O569" s="124"/>
      <c r="P569" s="110"/>
      <c r="Q569" s="124"/>
      <c r="R569" s="111">
        <f>SUMIFS('Shipments data'!L:L,'Shipments data'!F:F,'Supply planning data'!C569,'Shipments data'!A:A,'Supply planning data'!A569,'Shipments data'!Y:Y,'Supply planning data'!D569,'Shipments data'!O:O,"received", 'Shipments data'!N:N, "Public")</f>
        <v>0</v>
      </c>
      <c r="S569" s="111">
        <f>SUMIFS('Shipments data'!L:L,'Shipments data'!F:F,'Supply planning data'!C569,'Shipments data'!A:A,'Supply planning data'!A569,'Shipments data'!Y:Y,'Supply planning data'!D569,'Shipments data'!O:O,"ordered", 'Shipments data'!N:N, "Public")</f>
        <v>0</v>
      </c>
      <c r="T569" s="111">
        <f>IF(SUMIFS('Shipments data'!L:L,'Shipments data'!F:F,'Supply planning data'!C569,'Shipments data'!A:A,'Supply planning data'!A569,'Shipments data'!O:O,"received",'Shipments data'!Q:Q,"&lt;"&amp;'Supply planning data'!D584,'Shipments data'!AC:AC,"&lt;"&amp;'Supply planning data'!D584)-SUMIFS(M:M,D:D,"&lt;="&amp;D569,C:C,C569)+SUMIFS(N:N,D:D,"&lt;="&amp;D569,C:C,C569)+SUMIFS(P:P,D:D,"&lt;="&amp;D569,C:C,C569)&lt;0,0,SUMIFS('Shipments data'!L:L,'Shipments data'!F:F,'Supply planning data'!C569,'Shipments data'!A:A,'Supply planning data'!A569,'Shipments data'!O:O,"received",'Shipments data'!Q:Q,"&lt;"&amp;'Supply planning data'!D584,'Shipments data'!AC:AC,"&lt;"&amp;'Supply planning data'!D584)-SUMIFS(M:M,D:D,"&lt;="&amp;D569,C:C,C569)+SUMIFS(N:N,D:D,"&lt;="&amp;D569,C:C,C569)+SUMIFS(P:P,D:D,"&lt;="&amp;D569,C:C,C569))</f>
        <v>0</v>
      </c>
      <c r="U569" s="112">
        <f t="shared" si="170"/>
        <v>0</v>
      </c>
      <c r="V569" s="111">
        <f t="shared" si="178"/>
        <v>0</v>
      </c>
      <c r="W569" s="204" t="str">
        <f t="shared" si="176"/>
        <v/>
      </c>
      <c r="X569" s="111">
        <f t="shared" si="171"/>
        <v>0</v>
      </c>
      <c r="Y569" s="110"/>
      <c r="Z569" s="107"/>
      <c r="AA569" s="111">
        <f t="shared" si="164"/>
        <v>0</v>
      </c>
      <c r="AB569" s="235"/>
      <c r="AC569" s="111">
        <f>IF(SUMIFS('Shipments data'!L:L,'Shipments data'!F:F,'Supply planning data'!C569,'Shipments data'!A:A,'Supply planning data'!A569,'Shipments data'!O:O,"received",'Shipments data'!Q:Q,"&lt;"&amp;'Supply planning data'!D584,'Shipments data'!AC:AC,"&lt;"&amp;'Supply planning data'!D584)-SUMIFS(M:M,D:D,"&lt;="&amp;D569,C:C,C569)-SUMIFS(AA:AA,D:D,"&lt;="&amp;D569,C:C,C569)+SUMIFS(N:N,D:D,"&lt;="&amp;D569,C:C,C569)+SUMIFS(P:P,D:D,"&lt;="&amp;D569,C:C,C569)&lt;0,0,SUMIFS('Shipments data'!L:L,'Shipments data'!F:F,'Supply planning data'!C569,'Shipments data'!A:A,'Supply planning data'!A569,'Shipments data'!O:O,"received",'Shipments data'!Q:Q,"&lt;"&amp;'Supply planning data'!D584,'Shipments data'!AC:AC,"&lt;"&amp;'Supply planning data'!D584)-SUMIFS(M:M,D:D,"&lt;="&amp;D569,C:C,C569)-SUMIFS(AA:AA,D:D,"&lt;="&amp;D569,C:C,C569)+SUMIFS(N:N,D:D,"&lt;="&amp;D569,C:C,C569)+SUMIFS(P:P,D:D,"&lt;="&amp;D569,C:C,C569))</f>
        <v>0</v>
      </c>
      <c r="AD569" s="111">
        <f t="shared" si="172"/>
        <v>0</v>
      </c>
      <c r="AE569" s="111">
        <f t="shared" si="166"/>
        <v>0</v>
      </c>
      <c r="AF569" s="204" t="str">
        <f t="shared" si="175"/>
        <v/>
      </c>
      <c r="AG569" s="111">
        <f t="shared" si="173"/>
        <v>0</v>
      </c>
      <c r="AH569" s="110"/>
      <c r="AI569" s="313"/>
      <c r="AJ569" s="111">
        <f t="shared" si="165"/>
        <v>0</v>
      </c>
      <c r="AK569" s="235"/>
      <c r="AL569" s="111">
        <f>IF(SUMIFS('Shipments data'!L:L,'Shipments data'!F:F,'Supply planning data'!C569,'Shipments data'!A:A,'Supply planning data'!A569,'Shipments data'!O:O,"received",'Shipments data'!Q:Q,"&lt;"&amp;'Supply planning data'!D584,'Shipments data'!AC:AC,"&lt;"&amp;'Supply planning data'!D584)-SUMIFS(M:M,D:D,"&lt;="&amp;D569,C:C,C569)-SUMIFS(AJ:AJ,D:D,"&lt;="&amp;D569,C:C,C569)+SUMIFS(N:N,D:D,"&lt;="&amp;D569,C:C,C569)+SUMIFS(P:P,D:D,"&lt;="&amp;D569,C:C,C569)&lt;0,0,SUMIFS('Shipments data'!L:L,'Shipments data'!F:F,'Supply planning data'!C569,'Shipments data'!A:A,'Supply planning data'!A569,'Shipments data'!O:O,"received",'Shipments data'!Q:Q,"&lt;"&amp;'Supply planning data'!D584,'Shipments data'!AC:AC,"&lt;"&amp;'Supply planning data'!D584)-SUMIFS(M:M,D:D,"&lt;="&amp;D569,C:C,C569)-SUMIFS(AJ:AJ,D:D,"&lt;="&amp;D569,C:C,C569)+SUMIFS(N:N,D:D,"&lt;="&amp;D569,C:C,C569)+SUMIFS(P:P,D:D,"&lt;="&amp;D569,C:C,C569))</f>
        <v>0</v>
      </c>
      <c r="AM569" s="111">
        <f t="shared" si="174"/>
        <v>0</v>
      </c>
      <c r="AN569" s="111">
        <f t="shared" si="167"/>
        <v>0</v>
      </c>
      <c r="AO569" s="204" t="str">
        <f t="shared" si="177"/>
        <v/>
      </c>
    </row>
    <row r="570" spans="1:41" hidden="1" x14ac:dyDescent="0.25">
      <c r="A570" s="103" t="str">
        <f>Start!D$7</f>
        <v>Anyland</v>
      </c>
      <c r="B570" s="109" t="str">
        <f>VLOOKUP(A570,list!B:C,2,FALSE)</f>
        <v>ANY</v>
      </c>
      <c r="C570" s="104" t="str">
        <f>IF(Start!$C$27="","",Start!$C$27)</f>
        <v/>
      </c>
      <c r="D570" s="298">
        <f t="shared" si="168"/>
        <v>45323</v>
      </c>
      <c r="E570" s="105" t="str">
        <f>IFERROR(VLOOKUP(C570,Start!C$15:D$31,2,FALSE),"No")</f>
        <v>No</v>
      </c>
      <c r="F570" s="105">
        <f t="shared" si="169"/>
        <v>0</v>
      </c>
      <c r="G570" s="106"/>
      <c r="H570" s="106"/>
      <c r="I570" s="106"/>
      <c r="J570" s="105">
        <f t="shared" si="161"/>
        <v>0</v>
      </c>
      <c r="K570" s="106"/>
      <c r="L570" s="177" t="str">
        <f t="shared" si="162"/>
        <v/>
      </c>
      <c r="M570" s="105">
        <f t="shared" si="163"/>
        <v>0</v>
      </c>
      <c r="N570" s="110"/>
      <c r="O570" s="124"/>
      <c r="P570" s="110"/>
      <c r="Q570" s="124"/>
      <c r="R570" s="111">
        <f>SUMIFS('Shipments data'!L:L,'Shipments data'!F:F,'Supply planning data'!C570,'Shipments data'!A:A,'Supply planning data'!A570,'Shipments data'!Y:Y,'Supply planning data'!D570,'Shipments data'!O:O,"received", 'Shipments data'!N:N, "Public")</f>
        <v>0</v>
      </c>
      <c r="S570" s="111">
        <f>SUMIFS('Shipments data'!L:L,'Shipments data'!F:F,'Supply planning data'!C570,'Shipments data'!A:A,'Supply planning data'!A570,'Shipments data'!Y:Y,'Supply planning data'!D570,'Shipments data'!O:O,"ordered", 'Shipments data'!N:N, "Public")</f>
        <v>0</v>
      </c>
      <c r="T570" s="111">
        <f>IF(SUMIFS('Shipments data'!L:L,'Shipments data'!F:F,'Supply planning data'!C570,'Shipments data'!A:A,'Supply planning data'!A570,'Shipments data'!O:O,"received",'Shipments data'!Q:Q,"&lt;"&amp;'Supply planning data'!D585,'Shipments data'!AC:AC,"&lt;"&amp;'Supply planning data'!D585)-SUMIFS(M:M,D:D,"&lt;="&amp;D570,C:C,C570)+SUMIFS(N:N,D:D,"&lt;="&amp;D570,C:C,C570)+SUMIFS(P:P,D:D,"&lt;="&amp;D570,C:C,C570)&lt;0,0,SUMIFS('Shipments data'!L:L,'Shipments data'!F:F,'Supply planning data'!C570,'Shipments data'!A:A,'Supply planning data'!A570,'Shipments data'!O:O,"received",'Shipments data'!Q:Q,"&lt;"&amp;'Supply planning data'!D585,'Shipments data'!AC:AC,"&lt;"&amp;'Supply planning data'!D585)-SUMIFS(M:M,D:D,"&lt;="&amp;D570,C:C,C570)+SUMIFS(N:N,D:D,"&lt;="&amp;D570,C:C,C570)+SUMIFS(P:P,D:D,"&lt;="&amp;D570,C:C,C570))</f>
        <v>0</v>
      </c>
      <c r="U570" s="112">
        <f t="shared" si="170"/>
        <v>0</v>
      </c>
      <c r="V570" s="111">
        <f t="shared" si="178"/>
        <v>0</v>
      </c>
      <c r="W570" s="204" t="str">
        <f t="shared" si="176"/>
        <v/>
      </c>
      <c r="X570" s="111">
        <f t="shared" si="171"/>
        <v>0</v>
      </c>
      <c r="Y570" s="110"/>
      <c r="Z570" s="107"/>
      <c r="AA570" s="111">
        <f t="shared" si="164"/>
        <v>0</v>
      </c>
      <c r="AB570" s="235"/>
      <c r="AC570" s="111">
        <f>IF(SUMIFS('Shipments data'!L:L,'Shipments data'!F:F,'Supply planning data'!C570,'Shipments data'!A:A,'Supply planning data'!A570,'Shipments data'!O:O,"received",'Shipments data'!Q:Q,"&lt;"&amp;'Supply planning data'!D585,'Shipments data'!AC:AC,"&lt;"&amp;'Supply planning data'!D585)-SUMIFS(M:M,D:D,"&lt;="&amp;D570,C:C,C570)-SUMIFS(AA:AA,D:D,"&lt;="&amp;D570,C:C,C570)+SUMIFS(N:N,D:D,"&lt;="&amp;D570,C:C,C570)+SUMIFS(P:P,D:D,"&lt;="&amp;D570,C:C,C570)&lt;0,0,SUMIFS('Shipments data'!L:L,'Shipments data'!F:F,'Supply planning data'!C570,'Shipments data'!A:A,'Supply planning data'!A570,'Shipments data'!O:O,"received",'Shipments data'!Q:Q,"&lt;"&amp;'Supply planning data'!D585,'Shipments data'!AC:AC,"&lt;"&amp;'Supply planning data'!D585)-SUMIFS(M:M,D:D,"&lt;="&amp;D570,C:C,C570)-SUMIFS(AA:AA,D:D,"&lt;="&amp;D570,C:C,C570)+SUMIFS(N:N,D:D,"&lt;="&amp;D570,C:C,C570)+SUMIFS(P:P,D:D,"&lt;="&amp;D570,C:C,C570))</f>
        <v>0</v>
      </c>
      <c r="AD570" s="111">
        <f t="shared" si="172"/>
        <v>0</v>
      </c>
      <c r="AE570" s="111">
        <f t="shared" si="166"/>
        <v>0</v>
      </c>
      <c r="AF570" s="204" t="str">
        <f t="shared" si="175"/>
        <v/>
      </c>
      <c r="AG570" s="111">
        <f t="shared" si="173"/>
        <v>0</v>
      </c>
      <c r="AH570" s="110"/>
      <c r="AI570" s="313"/>
      <c r="AJ570" s="111">
        <f t="shared" si="165"/>
        <v>0</v>
      </c>
      <c r="AK570" s="235"/>
      <c r="AL570" s="111">
        <f>IF(SUMIFS('Shipments data'!L:L,'Shipments data'!F:F,'Supply planning data'!C570,'Shipments data'!A:A,'Supply planning data'!A570,'Shipments data'!O:O,"received",'Shipments data'!Q:Q,"&lt;"&amp;'Supply planning data'!D585,'Shipments data'!AC:AC,"&lt;"&amp;'Supply planning data'!D585)-SUMIFS(M:M,D:D,"&lt;="&amp;D570,C:C,C570)-SUMIFS(AJ:AJ,D:D,"&lt;="&amp;D570,C:C,C570)+SUMIFS(N:N,D:D,"&lt;="&amp;D570,C:C,C570)+SUMIFS(P:P,D:D,"&lt;="&amp;D570,C:C,C570)&lt;0,0,SUMIFS('Shipments data'!L:L,'Shipments data'!F:F,'Supply planning data'!C570,'Shipments data'!A:A,'Supply planning data'!A570,'Shipments data'!O:O,"received",'Shipments data'!Q:Q,"&lt;"&amp;'Supply planning data'!D585,'Shipments data'!AC:AC,"&lt;"&amp;'Supply planning data'!D585)-SUMIFS(M:M,D:D,"&lt;="&amp;D570,C:C,C570)-SUMIFS(AJ:AJ,D:D,"&lt;="&amp;D570,C:C,C570)+SUMIFS(N:N,D:D,"&lt;="&amp;D570,C:C,C570)+SUMIFS(P:P,D:D,"&lt;="&amp;D570,C:C,C570))</f>
        <v>0</v>
      </c>
      <c r="AM570" s="111">
        <f t="shared" si="174"/>
        <v>0</v>
      </c>
      <c r="AN570" s="111">
        <f t="shared" si="167"/>
        <v>0</v>
      </c>
      <c r="AO570" s="204" t="str">
        <f t="shared" si="177"/>
        <v/>
      </c>
    </row>
    <row r="571" spans="1:41" hidden="1" x14ac:dyDescent="0.25">
      <c r="A571" s="103" t="str">
        <f>Start!D$7</f>
        <v>Anyland</v>
      </c>
      <c r="B571" s="109" t="str">
        <f>VLOOKUP(A571,list!B:C,2,FALSE)</f>
        <v>ANY</v>
      </c>
      <c r="C571" s="109" t="str">
        <f>IF(Start!$C$28="","",Start!$C$28)</f>
        <v/>
      </c>
      <c r="D571" s="298">
        <f t="shared" si="168"/>
        <v>45323</v>
      </c>
      <c r="E571" s="105" t="str">
        <f>IFERROR(VLOOKUP(C571,Start!C$15:D$31,2,FALSE),"No")</f>
        <v>No</v>
      </c>
      <c r="F571" s="105">
        <f t="shared" si="169"/>
        <v>0</v>
      </c>
      <c r="G571" s="106"/>
      <c r="H571" s="106"/>
      <c r="I571" s="106"/>
      <c r="J571" s="105">
        <f t="shared" si="161"/>
        <v>0</v>
      </c>
      <c r="K571" s="106"/>
      <c r="L571" s="177" t="str">
        <f t="shared" si="162"/>
        <v/>
      </c>
      <c r="M571" s="105">
        <f t="shared" si="163"/>
        <v>0</v>
      </c>
      <c r="N571" s="110"/>
      <c r="O571" s="124"/>
      <c r="P571" s="110"/>
      <c r="Q571" s="124"/>
      <c r="R571" s="111">
        <f>SUMIFS('Shipments data'!L:L,'Shipments data'!F:F,'Supply planning data'!C571,'Shipments data'!A:A,'Supply planning data'!A571,'Shipments data'!Y:Y,'Supply planning data'!D571,'Shipments data'!O:O,"received", 'Shipments data'!N:N, "Public")</f>
        <v>0</v>
      </c>
      <c r="S571" s="111">
        <f>SUMIFS('Shipments data'!L:L,'Shipments data'!F:F,'Supply planning data'!C571,'Shipments data'!A:A,'Supply planning data'!A571,'Shipments data'!Y:Y,'Supply planning data'!D571,'Shipments data'!O:O,"ordered", 'Shipments data'!N:N, "Public")</f>
        <v>0</v>
      </c>
      <c r="T571" s="111">
        <f>IF(SUMIFS('Shipments data'!L:L,'Shipments data'!F:F,'Supply planning data'!C571,'Shipments data'!A:A,'Supply planning data'!A571,'Shipments data'!O:O,"received",'Shipments data'!Q:Q,"&lt;"&amp;'Supply planning data'!D586,'Shipments data'!AC:AC,"&lt;"&amp;'Supply planning data'!D586)-SUMIFS(M:M,D:D,"&lt;="&amp;D571,C:C,C571)+SUMIFS(N:N,D:D,"&lt;="&amp;D571,C:C,C571)+SUMIFS(P:P,D:D,"&lt;="&amp;D571,C:C,C571)&lt;0,0,SUMIFS('Shipments data'!L:L,'Shipments data'!F:F,'Supply planning data'!C571,'Shipments data'!A:A,'Supply planning data'!A571,'Shipments data'!O:O,"received",'Shipments data'!Q:Q,"&lt;"&amp;'Supply planning data'!D586,'Shipments data'!AC:AC,"&lt;"&amp;'Supply planning data'!D586)-SUMIFS(M:M,D:D,"&lt;="&amp;D571,C:C,C571)+SUMIFS(N:N,D:D,"&lt;="&amp;D571,C:C,C571)+SUMIFS(P:P,D:D,"&lt;="&amp;D571,C:C,C571))</f>
        <v>0</v>
      </c>
      <c r="U571" s="112">
        <f t="shared" si="170"/>
        <v>0</v>
      </c>
      <c r="V571" s="111">
        <f t="shared" si="178"/>
        <v>0</v>
      </c>
      <c r="W571" s="204" t="str">
        <f t="shared" si="176"/>
        <v/>
      </c>
      <c r="X571" s="111">
        <f t="shared" si="171"/>
        <v>0</v>
      </c>
      <c r="Y571" s="110"/>
      <c r="Z571" s="107"/>
      <c r="AA571" s="111">
        <f t="shared" si="164"/>
        <v>0</v>
      </c>
      <c r="AB571" s="235"/>
      <c r="AC571" s="111">
        <f>IF(SUMIFS('Shipments data'!L:L,'Shipments data'!F:F,'Supply planning data'!C571,'Shipments data'!A:A,'Supply planning data'!A571,'Shipments data'!O:O,"received",'Shipments data'!Q:Q,"&lt;"&amp;'Supply planning data'!D586,'Shipments data'!AC:AC,"&lt;"&amp;'Supply planning data'!D586)-SUMIFS(M:M,D:D,"&lt;="&amp;D571,C:C,C571)-SUMIFS(AA:AA,D:D,"&lt;="&amp;D571,C:C,C571)+SUMIFS(N:N,D:D,"&lt;="&amp;D571,C:C,C571)+SUMIFS(P:P,D:D,"&lt;="&amp;D571,C:C,C571)&lt;0,0,SUMIFS('Shipments data'!L:L,'Shipments data'!F:F,'Supply planning data'!C571,'Shipments data'!A:A,'Supply planning data'!A571,'Shipments data'!O:O,"received",'Shipments data'!Q:Q,"&lt;"&amp;'Supply planning data'!D586,'Shipments data'!AC:AC,"&lt;"&amp;'Supply planning data'!D586)-SUMIFS(M:M,D:D,"&lt;="&amp;D571,C:C,C571)-SUMIFS(AA:AA,D:D,"&lt;="&amp;D571,C:C,C571)+SUMIFS(N:N,D:D,"&lt;="&amp;D571,C:C,C571)+SUMIFS(P:P,D:D,"&lt;="&amp;D571,C:C,C571))</f>
        <v>0</v>
      </c>
      <c r="AD571" s="111">
        <f t="shared" si="172"/>
        <v>0</v>
      </c>
      <c r="AE571" s="111">
        <f t="shared" si="166"/>
        <v>0</v>
      </c>
      <c r="AF571" s="204" t="str">
        <f t="shared" si="175"/>
        <v/>
      </c>
      <c r="AG571" s="111">
        <f t="shared" si="173"/>
        <v>0</v>
      </c>
      <c r="AH571" s="110"/>
      <c r="AI571" s="313"/>
      <c r="AJ571" s="111">
        <f t="shared" si="165"/>
        <v>0</v>
      </c>
      <c r="AK571" s="235"/>
      <c r="AL571" s="111">
        <f>IF(SUMIFS('Shipments data'!L:L,'Shipments data'!F:F,'Supply planning data'!C571,'Shipments data'!A:A,'Supply planning data'!A571,'Shipments data'!O:O,"received",'Shipments data'!Q:Q,"&lt;"&amp;'Supply planning data'!D586,'Shipments data'!AC:AC,"&lt;"&amp;'Supply planning data'!D586)-SUMIFS(M:M,D:D,"&lt;="&amp;D571,C:C,C571)-SUMIFS(AJ:AJ,D:D,"&lt;="&amp;D571,C:C,C571)+SUMIFS(N:N,D:D,"&lt;="&amp;D571,C:C,C571)+SUMIFS(P:P,D:D,"&lt;="&amp;D571,C:C,C571)&lt;0,0,SUMIFS('Shipments data'!L:L,'Shipments data'!F:F,'Supply planning data'!C571,'Shipments data'!A:A,'Supply planning data'!A571,'Shipments data'!O:O,"received",'Shipments data'!Q:Q,"&lt;"&amp;'Supply planning data'!D586,'Shipments data'!AC:AC,"&lt;"&amp;'Supply planning data'!D586)-SUMIFS(M:M,D:D,"&lt;="&amp;D571,C:C,C571)-SUMIFS(AJ:AJ,D:D,"&lt;="&amp;D571,C:C,C571)+SUMIFS(N:N,D:D,"&lt;="&amp;D571,C:C,C571)+SUMIFS(P:P,D:D,"&lt;="&amp;D571,C:C,C571))</f>
        <v>0</v>
      </c>
      <c r="AM571" s="111">
        <f t="shared" si="174"/>
        <v>0</v>
      </c>
      <c r="AN571" s="111">
        <f t="shared" si="167"/>
        <v>0</v>
      </c>
      <c r="AO571" s="204" t="str">
        <f t="shared" si="177"/>
        <v/>
      </c>
    </row>
    <row r="572" spans="1:41" hidden="1" x14ac:dyDescent="0.25">
      <c r="A572" s="103" t="str">
        <f>Start!D$7</f>
        <v>Anyland</v>
      </c>
      <c r="B572" s="109" t="str">
        <f>VLOOKUP(A572,list!B:C,2,FALSE)</f>
        <v>ANY</v>
      </c>
      <c r="C572" s="104" t="str">
        <f>IF(Start!$C$29="","",Start!$C$29)</f>
        <v/>
      </c>
      <c r="D572" s="298">
        <f t="shared" si="168"/>
        <v>45323</v>
      </c>
      <c r="E572" s="105" t="str">
        <f>IFERROR(VLOOKUP(C572,Start!C$15:D$31,2,FALSE),"No")</f>
        <v>No</v>
      </c>
      <c r="F572" s="105">
        <f t="shared" si="169"/>
        <v>0</v>
      </c>
      <c r="G572" s="106"/>
      <c r="H572" s="106"/>
      <c r="I572" s="106"/>
      <c r="J572" s="105">
        <f t="shared" si="161"/>
        <v>0</v>
      </c>
      <c r="K572" s="106"/>
      <c r="L572" s="177" t="str">
        <f t="shared" si="162"/>
        <v/>
      </c>
      <c r="M572" s="105">
        <f t="shared" si="163"/>
        <v>0</v>
      </c>
      <c r="N572" s="110"/>
      <c r="O572" s="124"/>
      <c r="P572" s="110"/>
      <c r="Q572" s="124"/>
      <c r="R572" s="111">
        <f>SUMIFS('Shipments data'!L:L,'Shipments data'!F:F,'Supply planning data'!C572,'Shipments data'!A:A,'Supply planning data'!A572,'Shipments data'!Y:Y,'Supply planning data'!D572,'Shipments data'!O:O,"received", 'Shipments data'!N:N, "Public")</f>
        <v>0</v>
      </c>
      <c r="S572" s="111">
        <f>SUMIFS('Shipments data'!L:L,'Shipments data'!F:F,'Supply planning data'!C572,'Shipments data'!A:A,'Supply planning data'!A572,'Shipments data'!Y:Y,'Supply planning data'!D572,'Shipments data'!O:O,"ordered", 'Shipments data'!N:N, "Public")</f>
        <v>0</v>
      </c>
      <c r="T572" s="111">
        <f>IF(SUMIFS('Shipments data'!L:L,'Shipments data'!F:F,'Supply planning data'!C572,'Shipments data'!A:A,'Supply planning data'!A572,'Shipments data'!O:O,"received",'Shipments data'!Q:Q,"&lt;"&amp;'Supply planning data'!D587,'Shipments data'!AC:AC,"&lt;"&amp;'Supply planning data'!D587)-SUMIFS(M:M,D:D,"&lt;="&amp;D572,C:C,C572)+SUMIFS(N:N,D:D,"&lt;="&amp;D572,C:C,C572)+SUMIFS(P:P,D:D,"&lt;="&amp;D572,C:C,C572)&lt;0,0,SUMIFS('Shipments data'!L:L,'Shipments data'!F:F,'Supply planning data'!C572,'Shipments data'!A:A,'Supply planning data'!A572,'Shipments data'!O:O,"received",'Shipments data'!Q:Q,"&lt;"&amp;'Supply planning data'!D587,'Shipments data'!AC:AC,"&lt;"&amp;'Supply planning data'!D587)-SUMIFS(M:M,D:D,"&lt;="&amp;D572,C:C,C572)+SUMIFS(N:N,D:D,"&lt;="&amp;D572,C:C,C572)+SUMIFS(P:P,D:D,"&lt;="&amp;D572,C:C,C572))</f>
        <v>0</v>
      </c>
      <c r="U572" s="112">
        <f t="shared" si="170"/>
        <v>0</v>
      </c>
      <c r="V572" s="111">
        <f t="shared" si="178"/>
        <v>0</v>
      </c>
      <c r="W572" s="204" t="str">
        <f t="shared" si="176"/>
        <v/>
      </c>
      <c r="X572" s="111">
        <f t="shared" si="171"/>
        <v>0</v>
      </c>
      <c r="Y572" s="110"/>
      <c r="Z572" s="107"/>
      <c r="AA572" s="111">
        <f t="shared" si="164"/>
        <v>0</v>
      </c>
      <c r="AB572" s="235"/>
      <c r="AC572" s="111">
        <f>IF(SUMIFS('Shipments data'!L:L,'Shipments data'!F:F,'Supply planning data'!C572,'Shipments data'!A:A,'Supply planning data'!A572,'Shipments data'!O:O,"received",'Shipments data'!Q:Q,"&lt;"&amp;'Supply planning data'!D587,'Shipments data'!AC:AC,"&lt;"&amp;'Supply planning data'!D587)-SUMIFS(M:M,D:D,"&lt;="&amp;D572,C:C,C572)-SUMIFS(AA:AA,D:D,"&lt;="&amp;D572,C:C,C572)+SUMIFS(N:N,D:D,"&lt;="&amp;D572,C:C,C572)+SUMIFS(P:P,D:D,"&lt;="&amp;D572,C:C,C572)&lt;0,0,SUMIFS('Shipments data'!L:L,'Shipments data'!F:F,'Supply planning data'!C572,'Shipments data'!A:A,'Supply planning data'!A572,'Shipments data'!O:O,"received",'Shipments data'!Q:Q,"&lt;"&amp;'Supply planning data'!D587,'Shipments data'!AC:AC,"&lt;"&amp;'Supply planning data'!D587)-SUMIFS(M:M,D:D,"&lt;="&amp;D572,C:C,C572)-SUMIFS(AA:AA,D:D,"&lt;="&amp;D572,C:C,C572)+SUMIFS(N:N,D:D,"&lt;="&amp;D572,C:C,C572)+SUMIFS(P:P,D:D,"&lt;="&amp;D572,C:C,C572))</f>
        <v>0</v>
      </c>
      <c r="AD572" s="111">
        <f t="shared" si="172"/>
        <v>0</v>
      </c>
      <c r="AE572" s="111">
        <f t="shared" si="166"/>
        <v>0</v>
      </c>
      <c r="AF572" s="204" t="str">
        <f t="shared" si="175"/>
        <v/>
      </c>
      <c r="AG572" s="111">
        <f t="shared" si="173"/>
        <v>0</v>
      </c>
      <c r="AH572" s="110"/>
      <c r="AI572" s="313"/>
      <c r="AJ572" s="111">
        <f t="shared" si="165"/>
        <v>0</v>
      </c>
      <c r="AK572" s="235"/>
      <c r="AL572" s="111">
        <f>IF(SUMIFS('Shipments data'!L:L,'Shipments data'!F:F,'Supply planning data'!C572,'Shipments data'!A:A,'Supply planning data'!A572,'Shipments data'!O:O,"received",'Shipments data'!Q:Q,"&lt;"&amp;'Supply planning data'!D587,'Shipments data'!AC:AC,"&lt;"&amp;'Supply planning data'!D587)-SUMIFS(M:M,D:D,"&lt;="&amp;D572,C:C,C572)-SUMIFS(AJ:AJ,D:D,"&lt;="&amp;D572,C:C,C572)+SUMIFS(N:N,D:D,"&lt;="&amp;D572,C:C,C572)+SUMIFS(P:P,D:D,"&lt;="&amp;D572,C:C,C572)&lt;0,0,SUMIFS('Shipments data'!L:L,'Shipments data'!F:F,'Supply planning data'!C572,'Shipments data'!A:A,'Supply planning data'!A572,'Shipments data'!O:O,"received",'Shipments data'!Q:Q,"&lt;"&amp;'Supply planning data'!D587,'Shipments data'!AC:AC,"&lt;"&amp;'Supply planning data'!D587)-SUMIFS(M:M,D:D,"&lt;="&amp;D572,C:C,C572)-SUMIFS(AJ:AJ,D:D,"&lt;="&amp;D572,C:C,C572)+SUMIFS(N:N,D:D,"&lt;="&amp;D572,C:C,C572)+SUMIFS(P:P,D:D,"&lt;="&amp;D572,C:C,C572))</f>
        <v>0</v>
      </c>
      <c r="AM572" s="111">
        <f t="shared" si="174"/>
        <v>0</v>
      </c>
      <c r="AN572" s="111">
        <f t="shared" si="167"/>
        <v>0</v>
      </c>
      <c r="AO572" s="204" t="str">
        <f t="shared" si="177"/>
        <v/>
      </c>
    </row>
    <row r="573" spans="1:41" hidden="1" x14ac:dyDescent="0.25">
      <c r="A573" s="103" t="str">
        <f>Start!D$7</f>
        <v>Anyland</v>
      </c>
      <c r="B573" s="109" t="str">
        <f>VLOOKUP(A573,list!B:C,2,FALSE)</f>
        <v>ANY</v>
      </c>
      <c r="C573" s="109" t="str">
        <f>IF(Start!$C$30="","",Start!$C$30)</f>
        <v/>
      </c>
      <c r="D573" s="298">
        <f t="shared" si="168"/>
        <v>45323</v>
      </c>
      <c r="E573" s="105" t="str">
        <f>IFERROR(VLOOKUP(C573,Start!C$15:D$31,2,FALSE),"No")</f>
        <v>No</v>
      </c>
      <c r="F573" s="105">
        <f t="shared" si="169"/>
        <v>0</v>
      </c>
      <c r="G573" s="106"/>
      <c r="H573" s="106"/>
      <c r="I573" s="106"/>
      <c r="J573" s="105">
        <f t="shared" si="161"/>
        <v>0</v>
      </c>
      <c r="K573" s="106"/>
      <c r="L573" s="177" t="str">
        <f t="shared" si="162"/>
        <v/>
      </c>
      <c r="M573" s="105">
        <f t="shared" si="163"/>
        <v>0</v>
      </c>
      <c r="N573" s="110"/>
      <c r="O573" s="124"/>
      <c r="P573" s="110"/>
      <c r="Q573" s="124"/>
      <c r="R573" s="111">
        <f>SUMIFS('Shipments data'!L:L,'Shipments data'!F:F,'Supply planning data'!C573,'Shipments data'!A:A,'Supply planning data'!A573,'Shipments data'!Y:Y,'Supply planning data'!D573,'Shipments data'!O:O,"received", 'Shipments data'!N:N, "Public")</f>
        <v>0</v>
      </c>
      <c r="S573" s="111">
        <f>SUMIFS('Shipments data'!L:L,'Shipments data'!F:F,'Supply planning data'!C573,'Shipments data'!A:A,'Supply planning data'!A573,'Shipments data'!Y:Y,'Supply planning data'!D573,'Shipments data'!O:O,"ordered", 'Shipments data'!N:N, "Public")</f>
        <v>0</v>
      </c>
      <c r="T573" s="111">
        <f>IF(SUMIFS('Shipments data'!L:L,'Shipments data'!F:F,'Supply planning data'!C573,'Shipments data'!A:A,'Supply planning data'!A573,'Shipments data'!O:O,"received",'Shipments data'!Q:Q,"&lt;"&amp;'Supply planning data'!D588,'Shipments data'!AC:AC,"&lt;"&amp;'Supply planning data'!D588)-SUMIFS(M:M,D:D,"&lt;="&amp;D573,C:C,C573)+SUMIFS(N:N,D:D,"&lt;="&amp;D573,C:C,C573)+SUMIFS(P:P,D:D,"&lt;="&amp;D573,C:C,C573)&lt;0,0,SUMIFS('Shipments data'!L:L,'Shipments data'!F:F,'Supply planning data'!C573,'Shipments data'!A:A,'Supply planning data'!A573,'Shipments data'!O:O,"received",'Shipments data'!Q:Q,"&lt;"&amp;'Supply planning data'!D588,'Shipments data'!AC:AC,"&lt;"&amp;'Supply planning data'!D588)-SUMIFS(M:M,D:D,"&lt;="&amp;D573,C:C,C573)+SUMIFS(N:N,D:D,"&lt;="&amp;D573,C:C,C573)+SUMIFS(P:P,D:D,"&lt;="&amp;D573,C:C,C573))</f>
        <v>0</v>
      </c>
      <c r="U573" s="112">
        <f t="shared" si="170"/>
        <v>0</v>
      </c>
      <c r="V573" s="111">
        <f t="shared" si="178"/>
        <v>0</v>
      </c>
      <c r="W573" s="204" t="str">
        <f t="shared" si="176"/>
        <v/>
      </c>
      <c r="X573" s="111">
        <f t="shared" si="171"/>
        <v>0</v>
      </c>
      <c r="Y573" s="110"/>
      <c r="Z573" s="107"/>
      <c r="AA573" s="111">
        <f t="shared" si="164"/>
        <v>0</v>
      </c>
      <c r="AB573" s="235"/>
      <c r="AC573" s="111">
        <f>IF(SUMIFS('Shipments data'!L:L,'Shipments data'!F:F,'Supply planning data'!C573,'Shipments data'!A:A,'Supply planning data'!A573,'Shipments data'!O:O,"received",'Shipments data'!Q:Q,"&lt;"&amp;'Supply planning data'!D588,'Shipments data'!AC:AC,"&lt;"&amp;'Supply planning data'!D588)-SUMIFS(M:M,D:D,"&lt;="&amp;D573,C:C,C573)-SUMIFS(AA:AA,D:D,"&lt;="&amp;D573,C:C,C573)+SUMIFS(N:N,D:D,"&lt;="&amp;D573,C:C,C573)+SUMIFS(P:P,D:D,"&lt;="&amp;D573,C:C,C573)&lt;0,0,SUMIFS('Shipments data'!L:L,'Shipments data'!F:F,'Supply planning data'!C573,'Shipments data'!A:A,'Supply planning data'!A573,'Shipments data'!O:O,"received",'Shipments data'!Q:Q,"&lt;"&amp;'Supply planning data'!D588,'Shipments data'!AC:AC,"&lt;"&amp;'Supply planning data'!D588)-SUMIFS(M:M,D:D,"&lt;="&amp;D573,C:C,C573)-SUMIFS(AA:AA,D:D,"&lt;="&amp;D573,C:C,C573)+SUMIFS(N:N,D:D,"&lt;="&amp;D573,C:C,C573)+SUMIFS(P:P,D:D,"&lt;="&amp;D573,C:C,C573))</f>
        <v>0</v>
      </c>
      <c r="AD573" s="111">
        <f t="shared" si="172"/>
        <v>0</v>
      </c>
      <c r="AE573" s="111">
        <f t="shared" si="166"/>
        <v>0</v>
      </c>
      <c r="AF573" s="204" t="str">
        <f t="shared" si="175"/>
        <v/>
      </c>
      <c r="AG573" s="111">
        <f t="shared" si="173"/>
        <v>0</v>
      </c>
      <c r="AH573" s="110"/>
      <c r="AI573" s="313"/>
      <c r="AJ573" s="111">
        <f t="shared" si="165"/>
        <v>0</v>
      </c>
      <c r="AK573" s="235"/>
      <c r="AL573" s="111">
        <f>IF(SUMIFS('Shipments data'!L:L,'Shipments data'!F:F,'Supply planning data'!C573,'Shipments data'!A:A,'Supply planning data'!A573,'Shipments data'!O:O,"received",'Shipments data'!Q:Q,"&lt;"&amp;'Supply planning data'!D588,'Shipments data'!AC:AC,"&lt;"&amp;'Supply planning data'!D588)-SUMIFS(M:M,D:D,"&lt;="&amp;D573,C:C,C573)-SUMIFS(AJ:AJ,D:D,"&lt;="&amp;D573,C:C,C573)+SUMIFS(N:N,D:D,"&lt;="&amp;D573,C:C,C573)+SUMIFS(P:P,D:D,"&lt;="&amp;D573,C:C,C573)&lt;0,0,SUMIFS('Shipments data'!L:L,'Shipments data'!F:F,'Supply planning data'!C573,'Shipments data'!A:A,'Supply planning data'!A573,'Shipments data'!O:O,"received",'Shipments data'!Q:Q,"&lt;"&amp;'Supply planning data'!D588,'Shipments data'!AC:AC,"&lt;"&amp;'Supply planning data'!D588)-SUMIFS(M:M,D:D,"&lt;="&amp;D573,C:C,C573)-SUMIFS(AJ:AJ,D:D,"&lt;="&amp;D573,C:C,C573)+SUMIFS(N:N,D:D,"&lt;="&amp;D573,C:C,C573)+SUMIFS(P:P,D:D,"&lt;="&amp;D573,C:C,C573))</f>
        <v>0</v>
      </c>
      <c r="AM573" s="111">
        <f t="shared" si="174"/>
        <v>0</v>
      </c>
      <c r="AN573" s="111">
        <f t="shared" si="167"/>
        <v>0</v>
      </c>
      <c r="AO573" s="204" t="str">
        <f t="shared" si="177"/>
        <v/>
      </c>
    </row>
    <row r="574" spans="1:41" hidden="1" x14ac:dyDescent="0.25">
      <c r="A574" s="113" t="str">
        <f>Start!D$7</f>
        <v>Anyland</v>
      </c>
      <c r="B574" s="114" t="str">
        <f>VLOOKUP(A574,list!B:C,2,FALSE)</f>
        <v>ANY</v>
      </c>
      <c r="C574" s="104" t="str">
        <f>IF(Start!$C$31="","",Start!$C$31)</f>
        <v/>
      </c>
      <c r="D574" s="298">
        <f t="shared" si="168"/>
        <v>45323</v>
      </c>
      <c r="E574" s="105" t="str">
        <f>IFERROR(VLOOKUP(C574,Start!C$15:D$31,2,FALSE),"No")</f>
        <v>No</v>
      </c>
      <c r="F574" s="105">
        <f t="shared" si="169"/>
        <v>0</v>
      </c>
      <c r="G574" s="106"/>
      <c r="H574" s="106"/>
      <c r="I574" s="106"/>
      <c r="J574" s="105">
        <f t="shared" si="161"/>
        <v>0</v>
      </c>
      <c r="K574" s="106"/>
      <c r="L574" s="177" t="str">
        <f t="shared" si="162"/>
        <v/>
      </c>
      <c r="M574" s="105">
        <f t="shared" si="163"/>
        <v>0</v>
      </c>
      <c r="N574" s="110"/>
      <c r="O574" s="124"/>
      <c r="P574" s="110"/>
      <c r="Q574" s="124"/>
      <c r="R574" s="111">
        <f>SUMIFS('Shipments data'!L:L,'Shipments data'!F:F,'Supply planning data'!C574,'Shipments data'!A:A,'Supply planning data'!A574,'Shipments data'!Y:Y,'Supply planning data'!D574,'Shipments data'!O:O,"received", 'Shipments data'!N:N, "Public")</f>
        <v>0</v>
      </c>
      <c r="S574" s="111">
        <f>SUMIFS('Shipments data'!L:L,'Shipments data'!F:F,'Supply planning data'!C574,'Shipments data'!A:A,'Supply planning data'!A574,'Shipments data'!Y:Y,'Supply planning data'!D574,'Shipments data'!O:O,"ordered", 'Shipments data'!N:N, "Public")</f>
        <v>0</v>
      </c>
      <c r="T574" s="111">
        <f>IF(SUMIFS('Shipments data'!L:L,'Shipments data'!F:F,'Supply planning data'!C574,'Shipments data'!A:A,'Supply planning data'!A574,'Shipments data'!O:O,"received",'Shipments data'!Q:Q,"&lt;"&amp;'Supply planning data'!D589,'Shipments data'!AC:AC,"&lt;"&amp;'Supply planning data'!D589)-SUMIFS(M:M,D:D,"&lt;="&amp;D574,C:C,C574)+SUMIFS(N:N,D:D,"&lt;="&amp;D574,C:C,C574)+SUMIFS(P:P,D:D,"&lt;="&amp;D574,C:C,C574)&lt;0,0,SUMIFS('Shipments data'!L:L,'Shipments data'!F:F,'Supply planning data'!C574,'Shipments data'!A:A,'Supply planning data'!A574,'Shipments data'!O:O,"received",'Shipments data'!Q:Q,"&lt;"&amp;'Supply planning data'!D589,'Shipments data'!AC:AC,"&lt;"&amp;'Supply planning data'!D589)-SUMIFS(M:M,D:D,"&lt;="&amp;D574,C:C,C574)+SUMIFS(N:N,D:D,"&lt;="&amp;D574,C:C,C574)+SUMIFS(P:P,D:D,"&lt;="&amp;D574,C:C,C574))</f>
        <v>0</v>
      </c>
      <c r="U574" s="112">
        <f t="shared" si="170"/>
        <v>0</v>
      </c>
      <c r="V574" s="111">
        <f t="shared" si="178"/>
        <v>0</v>
      </c>
      <c r="W574" s="204" t="str">
        <f t="shared" si="176"/>
        <v/>
      </c>
      <c r="X574" s="111">
        <f t="shared" si="171"/>
        <v>0</v>
      </c>
      <c r="Y574" s="110"/>
      <c r="Z574" s="107"/>
      <c r="AA574" s="111">
        <f t="shared" si="164"/>
        <v>0</v>
      </c>
      <c r="AB574" s="235"/>
      <c r="AC574" s="111">
        <f>IF(SUMIFS('Shipments data'!L:L,'Shipments data'!F:F,'Supply planning data'!C574,'Shipments data'!A:A,'Supply planning data'!A574,'Shipments data'!O:O,"received",'Shipments data'!Q:Q,"&lt;"&amp;'Supply planning data'!D589,'Shipments data'!AC:AC,"&lt;"&amp;'Supply planning data'!D589)-SUMIFS(M:M,D:D,"&lt;="&amp;D574,C:C,C574)-SUMIFS(AA:AA,D:D,"&lt;="&amp;D574,C:C,C574)+SUMIFS(N:N,D:D,"&lt;="&amp;D574,C:C,C574)+SUMIFS(P:P,D:D,"&lt;="&amp;D574,C:C,C574)&lt;0,0,SUMIFS('Shipments data'!L:L,'Shipments data'!F:F,'Supply planning data'!C574,'Shipments data'!A:A,'Supply planning data'!A574,'Shipments data'!O:O,"received",'Shipments data'!Q:Q,"&lt;"&amp;'Supply planning data'!D589,'Shipments data'!AC:AC,"&lt;"&amp;'Supply planning data'!D589)-SUMIFS(M:M,D:D,"&lt;="&amp;D574,C:C,C574)-SUMIFS(AA:AA,D:D,"&lt;="&amp;D574,C:C,C574)+SUMIFS(N:N,D:D,"&lt;="&amp;D574,C:C,C574)+SUMIFS(P:P,D:D,"&lt;="&amp;D574,C:C,C574))</f>
        <v>0</v>
      </c>
      <c r="AD574" s="111">
        <f t="shared" si="172"/>
        <v>0</v>
      </c>
      <c r="AE574" s="111">
        <f t="shared" si="166"/>
        <v>0</v>
      </c>
      <c r="AF574" s="204" t="str">
        <f t="shared" si="175"/>
        <v/>
      </c>
      <c r="AG574" s="111">
        <f t="shared" si="173"/>
        <v>0</v>
      </c>
      <c r="AH574" s="110"/>
      <c r="AI574" s="313"/>
      <c r="AJ574" s="111">
        <f t="shared" si="165"/>
        <v>0</v>
      </c>
      <c r="AK574" s="235"/>
      <c r="AL574" s="111">
        <f>IF(SUMIFS('Shipments data'!L:L,'Shipments data'!F:F,'Supply planning data'!C574,'Shipments data'!A:A,'Supply planning data'!A574,'Shipments data'!O:O,"received",'Shipments data'!Q:Q,"&lt;"&amp;'Supply planning data'!D589,'Shipments data'!AC:AC,"&lt;"&amp;'Supply planning data'!D589)-SUMIFS(M:M,D:D,"&lt;="&amp;D574,C:C,C574)-SUMIFS(AJ:AJ,D:D,"&lt;="&amp;D574,C:C,C574)+SUMIFS(N:N,D:D,"&lt;="&amp;D574,C:C,C574)+SUMIFS(P:P,D:D,"&lt;="&amp;D574,C:C,C574)&lt;0,0,SUMIFS('Shipments data'!L:L,'Shipments data'!F:F,'Supply planning data'!C574,'Shipments data'!A:A,'Supply planning data'!A574,'Shipments data'!O:O,"received",'Shipments data'!Q:Q,"&lt;"&amp;'Supply planning data'!D589,'Shipments data'!AC:AC,"&lt;"&amp;'Supply planning data'!D589)-SUMIFS(M:M,D:D,"&lt;="&amp;D574,C:C,C574)-SUMIFS(AJ:AJ,D:D,"&lt;="&amp;D574,C:C,C574)+SUMIFS(N:N,D:D,"&lt;="&amp;D574,C:C,C574)+SUMIFS(P:P,D:D,"&lt;="&amp;D574,C:C,C574))</f>
        <v>0</v>
      </c>
      <c r="AM574" s="111">
        <f t="shared" si="174"/>
        <v>0</v>
      </c>
      <c r="AN574" s="111">
        <f t="shared" si="167"/>
        <v>0</v>
      </c>
      <c r="AO574" s="204" t="str">
        <f t="shared" si="177"/>
        <v/>
      </c>
    </row>
    <row r="575" spans="1:41" x14ac:dyDescent="0.25">
      <c r="A575" s="89" t="str">
        <f>Start!D$7</f>
        <v>Anyland</v>
      </c>
      <c r="B575" s="90" t="str">
        <f>VLOOKUP(A575,list!B:C,2,FALSE)</f>
        <v>ANY</v>
      </c>
      <c r="C575" s="90" t="str">
        <f>IF(Start!$C$17="","",Start!$C$17)</f>
        <v>AstraZeneca</v>
      </c>
      <c r="D575" s="296">
        <f t="shared" si="168"/>
        <v>45352</v>
      </c>
      <c r="E575" s="92" t="str">
        <f>IFERROR(VLOOKUP(C575,Start!C$15:D$31,2,FALSE),"No")</f>
        <v>Yes</v>
      </c>
      <c r="F575" s="92">
        <f t="shared" si="169"/>
        <v>0</v>
      </c>
      <c r="G575" s="91"/>
      <c r="H575" s="91"/>
      <c r="I575" s="91"/>
      <c r="J575" s="92">
        <f t="shared" si="161"/>
        <v>0</v>
      </c>
      <c r="K575" s="91"/>
      <c r="L575" s="174" t="str">
        <f t="shared" si="162"/>
        <v/>
      </c>
      <c r="M575" s="92">
        <f t="shared" si="163"/>
        <v>0</v>
      </c>
      <c r="N575" s="91"/>
      <c r="O575" s="121"/>
      <c r="P575" s="91"/>
      <c r="Q575" s="121"/>
      <c r="R575" s="92">
        <f>SUMIFS('Shipments data'!L:L,'Shipments data'!F:F,'Supply planning data'!C575,'Shipments data'!A:A,'Supply planning data'!A575,'Shipments data'!Y:Y,'Supply planning data'!D575,'Shipments data'!O:O,"received", 'Shipments data'!N:N, "Public")</f>
        <v>0</v>
      </c>
      <c r="S575" s="92">
        <f>SUMIFS('Shipments data'!L:L,'Shipments data'!F:F,'Supply planning data'!C575,'Shipments data'!A:A,'Supply planning data'!A575,'Shipments data'!Y:Y,'Supply planning data'!D575,'Shipments data'!O:O,"ordered", 'Shipments data'!N:N, "Public")</f>
        <v>0</v>
      </c>
      <c r="T575" s="92">
        <f>IF(SUMIFS('Shipments data'!L:L,'Shipments data'!F:F,'Supply planning data'!C575,'Shipments data'!A:A,'Supply planning data'!A575,'Shipments data'!O:O,"received",'Shipments data'!Q:Q,"&lt;"&amp;'Supply planning data'!D590,'Shipments data'!AC:AC,"&lt;"&amp;'Supply planning data'!D590)-SUMIFS(M:M,D:D,"&lt;="&amp;D575,C:C,C575)+SUMIFS(N:N,D:D,"&lt;="&amp;D575,C:C,C575)+SUMIFS(P:P,D:D,"&lt;="&amp;D575,C:C,C575)&lt;0,0,SUMIFS('Shipments data'!L:L,'Shipments data'!F:F,'Supply planning data'!C575,'Shipments data'!A:A,'Supply planning data'!A575,'Shipments data'!O:O,"received",'Shipments data'!Q:Q,"&lt;"&amp;'Supply planning data'!D590,'Shipments data'!AC:AC,"&lt;"&amp;'Supply planning data'!D590)-SUMIFS(M:M,D:D,"&lt;="&amp;D575,C:C,C575)+SUMIFS(N:N,D:D,"&lt;="&amp;D575,C:C,C575)+SUMIFS(P:P,D:D,"&lt;="&amp;D575,C:C,C575))</f>
        <v>0</v>
      </c>
      <c r="U575" s="94">
        <f t="shared" si="170"/>
        <v>0</v>
      </c>
      <c r="V575" s="92">
        <f t="shared" si="178"/>
        <v>0</v>
      </c>
      <c r="W575" s="205" t="str">
        <f t="shared" si="176"/>
        <v/>
      </c>
      <c r="X575" s="92">
        <f t="shared" si="171"/>
        <v>154701</v>
      </c>
      <c r="Y575" s="91"/>
      <c r="Z575" s="93"/>
      <c r="AA575" s="92">
        <f t="shared" si="164"/>
        <v>0</v>
      </c>
      <c r="AB575" s="232"/>
      <c r="AC575" s="92">
        <f>IF(SUMIFS('Shipments data'!L:L,'Shipments data'!F:F,'Supply planning data'!C575,'Shipments data'!A:A,'Supply planning data'!A575,'Shipments data'!O:O,"received",'Shipments data'!Q:Q,"&lt;"&amp;'Supply planning data'!D590,'Shipments data'!AC:AC,"&lt;"&amp;'Supply planning data'!D590)-SUMIFS(M:M,D:D,"&lt;="&amp;D575,C:C,C575)-SUMIFS(AA:AA,D:D,"&lt;="&amp;D575,C:C,C575)+SUMIFS(N:N,D:D,"&lt;="&amp;D575,C:C,C575)+SUMIFS(P:P,D:D,"&lt;="&amp;D575,C:C,C575)&lt;0,0,SUMIFS('Shipments data'!L:L,'Shipments data'!F:F,'Supply planning data'!C575,'Shipments data'!A:A,'Supply planning data'!A575,'Shipments data'!O:O,"received",'Shipments data'!Q:Q,"&lt;"&amp;'Supply planning data'!D590,'Shipments data'!AC:AC,"&lt;"&amp;'Supply planning data'!D590)-SUMIFS(M:M,D:D,"&lt;="&amp;D575,C:C,C575)-SUMIFS(AA:AA,D:D,"&lt;="&amp;D575,C:C,C575)+SUMIFS(N:N,D:D,"&lt;="&amp;D575,C:C,C575)+SUMIFS(P:P,D:D,"&lt;="&amp;D575,C:C,C575))</f>
        <v>0</v>
      </c>
      <c r="AD575" s="92">
        <f t="shared" si="172"/>
        <v>0</v>
      </c>
      <c r="AE575" s="92">
        <f t="shared" si="166"/>
        <v>154701</v>
      </c>
      <c r="AF575" s="205" t="str">
        <f t="shared" si="175"/>
        <v/>
      </c>
      <c r="AG575" s="92">
        <f t="shared" si="173"/>
        <v>0</v>
      </c>
      <c r="AH575" s="91"/>
      <c r="AI575" s="310"/>
      <c r="AJ575" s="92">
        <f t="shared" si="165"/>
        <v>0</v>
      </c>
      <c r="AK575" s="232"/>
      <c r="AL575" s="92">
        <f>IF(SUMIFS('Shipments data'!L:L,'Shipments data'!F:F,'Supply planning data'!C575,'Shipments data'!A:A,'Supply planning data'!A575,'Shipments data'!O:O,"received",'Shipments data'!Q:Q,"&lt;"&amp;'Supply planning data'!D590,'Shipments data'!AC:AC,"&lt;"&amp;'Supply planning data'!D590)-SUMIFS(M:M,D:D,"&lt;="&amp;D575,C:C,C575)-SUMIFS(AJ:AJ,D:D,"&lt;="&amp;D575,C:C,C575)+SUMIFS(N:N,D:D,"&lt;="&amp;D575,C:C,C575)+SUMIFS(P:P,D:D,"&lt;="&amp;D575,C:C,C575)&lt;0,0,SUMIFS('Shipments data'!L:L,'Shipments data'!F:F,'Supply planning data'!C575,'Shipments data'!A:A,'Supply planning data'!A575,'Shipments data'!O:O,"received",'Shipments data'!Q:Q,"&lt;"&amp;'Supply planning data'!D590,'Shipments data'!AC:AC,"&lt;"&amp;'Supply planning data'!D590)-SUMIFS(M:M,D:D,"&lt;="&amp;D575,C:C,C575)-SUMIFS(AJ:AJ,D:D,"&lt;="&amp;D575,C:C,C575)+SUMIFS(N:N,D:D,"&lt;="&amp;D575,C:C,C575)+SUMIFS(P:P,D:D,"&lt;="&amp;D575,C:C,C575))</f>
        <v>0</v>
      </c>
      <c r="AM575" s="92">
        <f t="shared" si="174"/>
        <v>0</v>
      </c>
      <c r="AN575" s="92">
        <f t="shared" si="167"/>
        <v>0</v>
      </c>
      <c r="AO575" s="205" t="str">
        <f t="shared" si="177"/>
        <v/>
      </c>
    </row>
    <row r="576" spans="1:41" x14ac:dyDescent="0.25">
      <c r="A576" s="95" t="str">
        <f>Start!D$7</f>
        <v>Anyland</v>
      </c>
      <c r="B576" s="96" t="str">
        <f>VLOOKUP(A576,list!B:C,2,FALSE)</f>
        <v>ANY</v>
      </c>
      <c r="C576" s="90" t="str">
        <f>IF(Start!$C$18="","",Start!$C$18)</f>
        <v>Jansen</v>
      </c>
      <c r="D576" s="296">
        <f t="shared" si="168"/>
        <v>45352</v>
      </c>
      <c r="E576" s="92" t="str">
        <f>IFERROR(VLOOKUP(C576,Start!C$15:D$31,2,FALSE),"No")</f>
        <v>Yes</v>
      </c>
      <c r="F576" s="92">
        <f t="shared" si="169"/>
        <v>1871200</v>
      </c>
      <c r="G576" s="91"/>
      <c r="H576" s="97"/>
      <c r="I576" s="97"/>
      <c r="J576" s="98">
        <f t="shared" si="161"/>
        <v>0</v>
      </c>
      <c r="K576" s="97"/>
      <c r="L576" s="175" t="str">
        <f t="shared" si="162"/>
        <v/>
      </c>
      <c r="M576" s="98">
        <f t="shared" si="163"/>
        <v>0</v>
      </c>
      <c r="N576" s="97"/>
      <c r="O576" s="122"/>
      <c r="P576" s="97"/>
      <c r="Q576" s="122"/>
      <c r="R576" s="98">
        <f>SUMIFS('Shipments data'!L:L,'Shipments data'!F:F,'Supply planning data'!C576,'Shipments data'!A:A,'Supply planning data'!A576,'Shipments data'!Y:Y,'Supply planning data'!D576,'Shipments data'!O:O,"received", 'Shipments data'!N:N, "Public")</f>
        <v>0</v>
      </c>
      <c r="S576" s="98">
        <f>SUMIFS('Shipments data'!L:L,'Shipments data'!F:F,'Supply planning data'!C576,'Shipments data'!A:A,'Supply planning data'!A576,'Shipments data'!Y:Y,'Supply planning data'!D576,'Shipments data'!O:O,"ordered", 'Shipments data'!N:N, "Public")</f>
        <v>0</v>
      </c>
      <c r="T576" s="98">
        <f>IF(SUMIFS('Shipments data'!L:L,'Shipments data'!F:F,'Supply planning data'!C576,'Shipments data'!A:A,'Supply planning data'!A576,'Shipments data'!O:O,"received",'Shipments data'!Q:Q,"&lt;"&amp;'Supply planning data'!D591,'Shipments data'!AC:AC,"&lt;"&amp;'Supply planning data'!D591)-SUMIFS(M:M,D:D,"&lt;="&amp;D576,C:C,C576)+SUMIFS(N:N,D:D,"&lt;="&amp;D576,C:C,C576)+SUMIFS(P:P,D:D,"&lt;="&amp;D576,C:C,C576)&lt;0,0,SUMIFS('Shipments data'!L:L,'Shipments data'!F:F,'Supply planning data'!C576,'Shipments data'!A:A,'Supply planning data'!A576,'Shipments data'!O:O,"received",'Shipments data'!Q:Q,"&lt;"&amp;'Supply planning data'!D591,'Shipments data'!AC:AC,"&lt;"&amp;'Supply planning data'!D591)-SUMIFS(M:M,D:D,"&lt;="&amp;D576,C:C,C576)+SUMIFS(N:N,D:D,"&lt;="&amp;D576,C:C,C576)+SUMIFS(P:P,D:D,"&lt;="&amp;D576,C:C,C576))</f>
        <v>387547</v>
      </c>
      <c r="U576" s="99">
        <f t="shared" si="170"/>
        <v>0</v>
      </c>
      <c r="V576" s="98">
        <f t="shared" si="178"/>
        <v>1871200</v>
      </c>
      <c r="W576" s="203" t="str">
        <f t="shared" si="176"/>
        <v/>
      </c>
      <c r="X576" s="98">
        <f t="shared" si="171"/>
        <v>1311200</v>
      </c>
      <c r="Y576" s="97"/>
      <c r="Z576" s="93"/>
      <c r="AA576" s="98">
        <f t="shared" si="164"/>
        <v>0</v>
      </c>
      <c r="AB576" s="233"/>
      <c r="AC576" s="98">
        <f>IF(SUMIFS('Shipments data'!L:L,'Shipments data'!F:F,'Supply planning data'!C576,'Shipments data'!A:A,'Supply planning data'!A576,'Shipments data'!O:O,"received",'Shipments data'!Q:Q,"&lt;"&amp;'Supply planning data'!D591,'Shipments data'!AC:AC,"&lt;"&amp;'Supply planning data'!D591)-SUMIFS(M:M,D:D,"&lt;="&amp;D576,C:C,C576)-SUMIFS(AA:AA,D:D,"&lt;="&amp;D576,C:C,C576)+SUMIFS(N:N,D:D,"&lt;="&amp;D576,C:C,C576)+SUMIFS(P:P,D:D,"&lt;="&amp;D576,C:C,C576)&lt;0,0,SUMIFS('Shipments data'!L:L,'Shipments data'!F:F,'Supply planning data'!C576,'Shipments data'!A:A,'Supply planning data'!A576,'Shipments data'!O:O,"received",'Shipments data'!Q:Q,"&lt;"&amp;'Supply planning data'!D591,'Shipments data'!AC:AC,"&lt;"&amp;'Supply planning data'!D591)-SUMIFS(M:M,D:D,"&lt;="&amp;D576,C:C,C576)-SUMIFS(AA:AA,D:D,"&lt;="&amp;D576,C:C,C576)+SUMIFS(N:N,D:D,"&lt;="&amp;D576,C:C,C576)+SUMIFS(P:P,D:D,"&lt;="&amp;D576,C:C,C576))</f>
        <v>0</v>
      </c>
      <c r="AD576" s="98">
        <f t="shared" si="172"/>
        <v>0</v>
      </c>
      <c r="AE576" s="98">
        <f t="shared" si="166"/>
        <v>1311200</v>
      </c>
      <c r="AF576" s="205" t="str">
        <f t="shared" si="175"/>
        <v/>
      </c>
      <c r="AG576" s="98">
        <f t="shared" si="173"/>
        <v>1871200</v>
      </c>
      <c r="AH576" s="97"/>
      <c r="AI576" s="311"/>
      <c r="AJ576" s="98">
        <f t="shared" si="165"/>
        <v>0</v>
      </c>
      <c r="AK576" s="233"/>
      <c r="AL576" s="98">
        <f>IF(SUMIFS('Shipments data'!L:L,'Shipments data'!F:F,'Supply planning data'!C576,'Shipments data'!A:A,'Supply planning data'!A576,'Shipments data'!O:O,"received",'Shipments data'!Q:Q,"&lt;"&amp;'Supply planning data'!D591,'Shipments data'!AC:AC,"&lt;"&amp;'Supply planning data'!D591)-SUMIFS(M:M,D:D,"&lt;="&amp;D576,C:C,C576)-SUMIFS(AJ:AJ,D:D,"&lt;="&amp;D576,C:C,C576)+SUMIFS(N:N,D:D,"&lt;="&amp;D576,C:C,C576)+SUMIFS(P:P,D:D,"&lt;="&amp;D576,C:C,C576)&lt;0,0,SUMIFS('Shipments data'!L:L,'Shipments data'!F:F,'Supply planning data'!C576,'Shipments data'!A:A,'Supply planning data'!A576,'Shipments data'!O:O,"received",'Shipments data'!Q:Q,"&lt;"&amp;'Supply planning data'!D591,'Shipments data'!AC:AC,"&lt;"&amp;'Supply planning data'!D591)-SUMIFS(M:M,D:D,"&lt;="&amp;D576,C:C,C576)-SUMIFS(AJ:AJ,D:D,"&lt;="&amp;D576,C:C,C576)+SUMIFS(N:N,D:D,"&lt;="&amp;D576,C:C,C576)+SUMIFS(P:P,D:D,"&lt;="&amp;D576,C:C,C576))</f>
        <v>387547</v>
      </c>
      <c r="AM576" s="98">
        <f t="shared" si="174"/>
        <v>0</v>
      </c>
      <c r="AN576" s="98">
        <f t="shared" si="167"/>
        <v>1871200</v>
      </c>
      <c r="AO576" s="203" t="str">
        <f t="shared" si="177"/>
        <v/>
      </c>
    </row>
    <row r="577" spans="1:41" x14ac:dyDescent="0.25">
      <c r="A577" s="95" t="str">
        <f>Start!D$7</f>
        <v>Anyland</v>
      </c>
      <c r="B577" s="96" t="str">
        <f>VLOOKUP(A577,list!B:C,2,FALSE)</f>
        <v>ANY</v>
      </c>
      <c r="C577" s="90" t="str">
        <f>IF(Start!$C$19="","",Start!$C$19)</f>
        <v>Moderna</v>
      </c>
      <c r="D577" s="296">
        <f t="shared" si="168"/>
        <v>45352</v>
      </c>
      <c r="E577" s="92" t="str">
        <f>IFERROR(VLOOKUP(C577,Start!C$15:D$31,2,FALSE),"No")</f>
        <v>No</v>
      </c>
      <c r="F577" s="92">
        <f t="shared" si="169"/>
        <v>0</v>
      </c>
      <c r="G577" s="91"/>
      <c r="H577" s="97"/>
      <c r="I577" s="97"/>
      <c r="J577" s="98">
        <f t="shared" si="161"/>
        <v>0</v>
      </c>
      <c r="K577" s="97"/>
      <c r="L577" s="175" t="str">
        <f t="shared" si="162"/>
        <v/>
      </c>
      <c r="M577" s="98">
        <f t="shared" si="163"/>
        <v>0</v>
      </c>
      <c r="N577" s="97"/>
      <c r="O577" s="122"/>
      <c r="P577" s="97"/>
      <c r="Q577" s="122"/>
      <c r="R577" s="98">
        <f>SUMIFS('Shipments data'!L:L,'Shipments data'!F:F,'Supply planning data'!C577,'Shipments data'!A:A,'Supply planning data'!A577,'Shipments data'!Y:Y,'Supply planning data'!D577,'Shipments data'!O:O,"received", 'Shipments data'!N:N, "Public")</f>
        <v>0</v>
      </c>
      <c r="S577" s="98">
        <f>SUMIFS('Shipments data'!L:L,'Shipments data'!F:F,'Supply planning data'!C577,'Shipments data'!A:A,'Supply planning data'!A577,'Shipments data'!Y:Y,'Supply planning data'!D577,'Shipments data'!O:O,"ordered", 'Shipments data'!N:N, "Public")</f>
        <v>0</v>
      </c>
      <c r="T577" s="98">
        <f>IF(SUMIFS('Shipments data'!L:L,'Shipments data'!F:F,'Supply planning data'!C577,'Shipments data'!A:A,'Supply planning data'!A577,'Shipments data'!O:O,"received",'Shipments data'!Q:Q,"&lt;"&amp;'Supply planning data'!D592,'Shipments data'!AC:AC,"&lt;"&amp;'Supply planning data'!D592)-SUMIFS(M:M,D:D,"&lt;="&amp;D577,C:C,C577)+SUMIFS(N:N,D:D,"&lt;="&amp;D577,C:C,C577)+SUMIFS(P:P,D:D,"&lt;="&amp;D577,C:C,C577)&lt;0,0,SUMIFS('Shipments data'!L:L,'Shipments data'!F:F,'Supply planning data'!C577,'Shipments data'!A:A,'Supply planning data'!A577,'Shipments data'!O:O,"received",'Shipments data'!Q:Q,"&lt;"&amp;'Supply planning data'!D592,'Shipments data'!AC:AC,"&lt;"&amp;'Supply planning data'!D592)-SUMIFS(M:M,D:D,"&lt;="&amp;D577,C:C,C577)+SUMIFS(N:N,D:D,"&lt;="&amp;D577,C:C,C577)+SUMIFS(P:P,D:D,"&lt;="&amp;D577,C:C,C577))</f>
        <v>0</v>
      </c>
      <c r="U577" s="99">
        <f t="shared" si="170"/>
        <v>0</v>
      </c>
      <c r="V577" s="98">
        <f t="shared" si="178"/>
        <v>0</v>
      </c>
      <c r="W577" s="203" t="str">
        <f t="shared" si="176"/>
        <v/>
      </c>
      <c r="X577" s="98">
        <f t="shared" si="171"/>
        <v>0</v>
      </c>
      <c r="Y577" s="97"/>
      <c r="Z577" s="93"/>
      <c r="AA577" s="98">
        <f t="shared" si="164"/>
        <v>0</v>
      </c>
      <c r="AB577" s="233"/>
      <c r="AC577" s="98">
        <f>IF(SUMIFS('Shipments data'!L:L,'Shipments data'!F:F,'Supply planning data'!C577,'Shipments data'!A:A,'Supply planning data'!A577,'Shipments data'!O:O,"received",'Shipments data'!Q:Q,"&lt;"&amp;'Supply planning data'!D592,'Shipments data'!AC:AC,"&lt;"&amp;'Supply planning data'!D592)-SUMIFS(M:M,D:D,"&lt;="&amp;D577,C:C,C577)-SUMIFS(AA:AA,D:D,"&lt;="&amp;D577,C:C,C577)+SUMIFS(N:N,D:D,"&lt;="&amp;D577,C:C,C577)+SUMIFS(P:P,D:D,"&lt;="&amp;D577,C:C,C577)&lt;0,0,SUMIFS('Shipments data'!L:L,'Shipments data'!F:F,'Supply planning data'!C577,'Shipments data'!A:A,'Supply planning data'!A577,'Shipments data'!O:O,"received",'Shipments data'!Q:Q,"&lt;"&amp;'Supply planning data'!D592,'Shipments data'!AC:AC,"&lt;"&amp;'Supply planning data'!D592)-SUMIFS(M:M,D:D,"&lt;="&amp;D577,C:C,C577)-SUMIFS(AA:AA,D:D,"&lt;="&amp;D577,C:C,C577)+SUMIFS(N:N,D:D,"&lt;="&amp;D577,C:C,C577)+SUMIFS(P:P,D:D,"&lt;="&amp;D577,C:C,C577))</f>
        <v>0</v>
      </c>
      <c r="AD577" s="98">
        <f t="shared" si="172"/>
        <v>0</v>
      </c>
      <c r="AE577" s="98">
        <f t="shared" si="166"/>
        <v>0</v>
      </c>
      <c r="AF577" s="205" t="str">
        <f t="shared" si="175"/>
        <v/>
      </c>
      <c r="AG577" s="98">
        <f t="shared" si="173"/>
        <v>0</v>
      </c>
      <c r="AH577" s="97"/>
      <c r="AI577" s="311"/>
      <c r="AJ577" s="98">
        <f t="shared" si="165"/>
        <v>0</v>
      </c>
      <c r="AK577" s="233"/>
      <c r="AL577" s="98">
        <f>IF(SUMIFS('Shipments data'!L:L,'Shipments data'!F:F,'Supply planning data'!C577,'Shipments data'!A:A,'Supply planning data'!A577,'Shipments data'!O:O,"received",'Shipments data'!Q:Q,"&lt;"&amp;'Supply planning data'!D592,'Shipments data'!AC:AC,"&lt;"&amp;'Supply planning data'!D592)-SUMIFS(M:M,D:D,"&lt;="&amp;D577,C:C,C577)-SUMIFS(AJ:AJ,D:D,"&lt;="&amp;D577,C:C,C577)+SUMIFS(N:N,D:D,"&lt;="&amp;D577,C:C,C577)+SUMIFS(P:P,D:D,"&lt;="&amp;D577,C:C,C577)&lt;0,0,SUMIFS('Shipments data'!L:L,'Shipments data'!F:F,'Supply planning data'!C577,'Shipments data'!A:A,'Supply planning data'!A577,'Shipments data'!O:O,"received",'Shipments data'!Q:Q,"&lt;"&amp;'Supply planning data'!D592,'Shipments data'!AC:AC,"&lt;"&amp;'Supply planning data'!D592)-SUMIFS(M:M,D:D,"&lt;="&amp;D577,C:C,C577)-SUMIFS(AJ:AJ,D:D,"&lt;="&amp;D577,C:C,C577)+SUMIFS(N:N,D:D,"&lt;="&amp;D577,C:C,C577)+SUMIFS(P:P,D:D,"&lt;="&amp;D577,C:C,C577))</f>
        <v>0</v>
      </c>
      <c r="AM577" s="98">
        <f t="shared" si="174"/>
        <v>0</v>
      </c>
      <c r="AN577" s="98">
        <f t="shared" si="167"/>
        <v>0</v>
      </c>
      <c r="AO577" s="203" t="str">
        <f t="shared" si="177"/>
        <v/>
      </c>
    </row>
    <row r="578" spans="1:41" x14ac:dyDescent="0.25">
      <c r="A578" s="95" t="str">
        <f>Start!D$7</f>
        <v>Anyland</v>
      </c>
      <c r="B578" s="96" t="str">
        <f>VLOOKUP(A578,list!B:C,2,FALSE)</f>
        <v>ANY</v>
      </c>
      <c r="C578" s="90" t="str">
        <f>IF(Start!$C$20="","",Start!$C$20)</f>
        <v>Pfizer</v>
      </c>
      <c r="D578" s="296">
        <f t="shared" si="168"/>
        <v>45352</v>
      </c>
      <c r="E578" s="92" t="str">
        <f>IFERROR(VLOOKUP(C578,Start!C$15:D$31,2,FALSE),"No")</f>
        <v>Yes</v>
      </c>
      <c r="F578" s="92">
        <f t="shared" si="169"/>
        <v>3000000</v>
      </c>
      <c r="G578" s="91"/>
      <c r="H578" s="97"/>
      <c r="I578" s="97"/>
      <c r="J578" s="98">
        <f t="shared" si="161"/>
        <v>0</v>
      </c>
      <c r="K578" s="97"/>
      <c r="L578" s="175" t="str">
        <f t="shared" si="162"/>
        <v/>
      </c>
      <c r="M578" s="98">
        <f t="shared" si="163"/>
        <v>0</v>
      </c>
      <c r="N578" s="97"/>
      <c r="O578" s="122"/>
      <c r="P578" s="97"/>
      <c r="Q578" s="122"/>
      <c r="R578" s="98">
        <f>SUMIFS('Shipments data'!L:L,'Shipments data'!F:F,'Supply planning data'!C578,'Shipments data'!A:A,'Supply planning data'!A578,'Shipments data'!Y:Y,'Supply planning data'!D578,'Shipments data'!O:O,"received", 'Shipments data'!N:N, "Public")</f>
        <v>0</v>
      </c>
      <c r="S578" s="98">
        <f>SUMIFS('Shipments data'!L:L,'Shipments data'!F:F,'Supply planning data'!C578,'Shipments data'!A:A,'Supply planning data'!A578,'Shipments data'!Y:Y,'Supply planning data'!D578,'Shipments data'!O:O,"ordered", 'Shipments data'!N:N, "Public")</f>
        <v>0</v>
      </c>
      <c r="T578" s="98">
        <f>IF(SUMIFS('Shipments data'!L:L,'Shipments data'!F:F,'Supply planning data'!C578,'Shipments data'!A:A,'Supply planning data'!A578,'Shipments data'!O:O,"received",'Shipments data'!Q:Q,"&lt;"&amp;'Supply planning data'!D593,'Shipments data'!AC:AC,"&lt;"&amp;'Supply planning data'!D593)-SUMIFS(M:M,D:D,"&lt;="&amp;D578,C:C,C578)+SUMIFS(N:N,D:D,"&lt;="&amp;D578,C:C,C578)+SUMIFS(P:P,D:D,"&lt;="&amp;D578,C:C,C578)&lt;0,0,SUMIFS('Shipments data'!L:L,'Shipments data'!F:F,'Supply planning data'!C578,'Shipments data'!A:A,'Supply planning data'!A578,'Shipments data'!O:O,"received",'Shipments data'!Q:Q,"&lt;"&amp;'Supply planning data'!D593,'Shipments data'!AC:AC,"&lt;"&amp;'Supply planning data'!D593)-SUMIFS(M:M,D:D,"&lt;="&amp;D578,C:C,C578)+SUMIFS(N:N,D:D,"&lt;="&amp;D578,C:C,C578)+SUMIFS(P:P,D:D,"&lt;="&amp;D578,C:C,C578))</f>
        <v>110538</v>
      </c>
      <c r="U578" s="99">
        <f t="shared" si="170"/>
        <v>0</v>
      </c>
      <c r="V578" s="98">
        <f t="shared" si="178"/>
        <v>3000000</v>
      </c>
      <c r="W578" s="203" t="str">
        <f t="shared" si="176"/>
        <v/>
      </c>
      <c r="X578" s="98">
        <f t="shared" si="171"/>
        <v>2440000</v>
      </c>
      <c r="Y578" s="97"/>
      <c r="Z578" s="93"/>
      <c r="AA578" s="98">
        <f t="shared" si="164"/>
        <v>0</v>
      </c>
      <c r="AB578" s="233"/>
      <c r="AC578" s="98">
        <f>IF(SUMIFS('Shipments data'!L:L,'Shipments data'!F:F,'Supply planning data'!C578,'Shipments data'!A:A,'Supply planning data'!A578,'Shipments data'!O:O,"received",'Shipments data'!Q:Q,"&lt;"&amp;'Supply planning data'!D593,'Shipments data'!AC:AC,"&lt;"&amp;'Supply planning data'!D593)-SUMIFS(M:M,D:D,"&lt;="&amp;D578,C:C,C578)-SUMIFS(AA:AA,D:D,"&lt;="&amp;D578,C:C,C578)+SUMIFS(N:N,D:D,"&lt;="&amp;D578,C:C,C578)+SUMIFS(P:P,D:D,"&lt;="&amp;D578,C:C,C578)&lt;0,0,SUMIFS('Shipments data'!L:L,'Shipments data'!F:F,'Supply planning data'!C578,'Shipments data'!A:A,'Supply planning data'!A578,'Shipments data'!O:O,"received",'Shipments data'!Q:Q,"&lt;"&amp;'Supply planning data'!D593,'Shipments data'!AC:AC,"&lt;"&amp;'Supply planning data'!D593)-SUMIFS(M:M,D:D,"&lt;="&amp;D578,C:C,C578)-SUMIFS(AA:AA,D:D,"&lt;="&amp;D578,C:C,C578)+SUMIFS(N:N,D:D,"&lt;="&amp;D578,C:C,C578)+SUMIFS(P:P,D:D,"&lt;="&amp;D578,C:C,C578))</f>
        <v>0</v>
      </c>
      <c r="AD578" s="98">
        <f t="shared" si="172"/>
        <v>0</v>
      </c>
      <c r="AE578" s="98">
        <f t="shared" si="166"/>
        <v>2440000</v>
      </c>
      <c r="AF578" s="205" t="str">
        <f t="shared" si="175"/>
        <v/>
      </c>
      <c r="AG578" s="98">
        <f t="shared" si="173"/>
        <v>3000000</v>
      </c>
      <c r="AH578" s="97"/>
      <c r="AI578" s="311"/>
      <c r="AJ578" s="98">
        <f t="shared" si="165"/>
        <v>0</v>
      </c>
      <c r="AK578" s="233"/>
      <c r="AL578" s="98">
        <f>IF(SUMIFS('Shipments data'!L:L,'Shipments data'!F:F,'Supply planning data'!C578,'Shipments data'!A:A,'Supply planning data'!A578,'Shipments data'!O:O,"received",'Shipments data'!Q:Q,"&lt;"&amp;'Supply planning data'!D593,'Shipments data'!AC:AC,"&lt;"&amp;'Supply planning data'!D593)-SUMIFS(M:M,D:D,"&lt;="&amp;D578,C:C,C578)-SUMIFS(AJ:AJ,D:D,"&lt;="&amp;D578,C:C,C578)+SUMIFS(N:N,D:D,"&lt;="&amp;D578,C:C,C578)+SUMIFS(P:P,D:D,"&lt;="&amp;D578,C:C,C578)&lt;0,0,SUMIFS('Shipments data'!L:L,'Shipments data'!F:F,'Supply planning data'!C578,'Shipments data'!A:A,'Supply planning data'!A578,'Shipments data'!O:O,"received",'Shipments data'!Q:Q,"&lt;"&amp;'Supply planning data'!D593,'Shipments data'!AC:AC,"&lt;"&amp;'Supply planning data'!D593)-SUMIFS(M:M,D:D,"&lt;="&amp;D578,C:C,C578)-SUMIFS(AJ:AJ,D:D,"&lt;="&amp;D578,C:C,C578)+SUMIFS(N:N,D:D,"&lt;="&amp;D578,C:C,C578)+SUMIFS(P:P,D:D,"&lt;="&amp;D578,C:C,C578))</f>
        <v>110538</v>
      </c>
      <c r="AM578" s="98">
        <f t="shared" si="174"/>
        <v>0</v>
      </c>
      <c r="AN578" s="98">
        <f t="shared" si="167"/>
        <v>3000000</v>
      </c>
      <c r="AO578" s="203" t="str">
        <f t="shared" si="177"/>
        <v/>
      </c>
    </row>
    <row r="579" spans="1:41" x14ac:dyDescent="0.25">
      <c r="A579" s="95" t="str">
        <f>Start!D$7</f>
        <v>Anyland</v>
      </c>
      <c r="B579" s="96" t="str">
        <f>VLOOKUP(A579,list!B:C,2,FALSE)</f>
        <v>ANY</v>
      </c>
      <c r="C579" s="90" t="str">
        <f>IF(Start!$C$21="","",Start!$C$21)</f>
        <v>Sinovac</v>
      </c>
      <c r="D579" s="296">
        <f t="shared" si="168"/>
        <v>45352</v>
      </c>
      <c r="E579" s="92" t="str">
        <f>IFERROR(VLOOKUP(C579,Start!C$15:D$31,2,FALSE),"No")</f>
        <v>No</v>
      </c>
      <c r="F579" s="92">
        <f t="shared" si="169"/>
        <v>0</v>
      </c>
      <c r="G579" s="91"/>
      <c r="H579" s="97"/>
      <c r="I579" s="97"/>
      <c r="J579" s="98">
        <f t="shared" si="161"/>
        <v>0</v>
      </c>
      <c r="K579" s="97"/>
      <c r="L579" s="175" t="str">
        <f t="shared" si="162"/>
        <v/>
      </c>
      <c r="M579" s="98">
        <f t="shared" si="163"/>
        <v>0</v>
      </c>
      <c r="N579" s="97"/>
      <c r="O579" s="122"/>
      <c r="P579" s="97"/>
      <c r="Q579" s="122"/>
      <c r="R579" s="98">
        <f>SUMIFS('Shipments data'!L:L,'Shipments data'!F:F,'Supply planning data'!C579,'Shipments data'!A:A,'Supply planning data'!A579,'Shipments data'!Y:Y,'Supply planning data'!D579,'Shipments data'!O:O,"received", 'Shipments data'!N:N, "Public")</f>
        <v>0</v>
      </c>
      <c r="S579" s="98">
        <f>SUMIFS('Shipments data'!L:L,'Shipments data'!F:F,'Supply planning data'!C579,'Shipments data'!A:A,'Supply planning data'!A579,'Shipments data'!Y:Y,'Supply planning data'!D579,'Shipments data'!O:O,"ordered", 'Shipments data'!N:N, "Public")</f>
        <v>0</v>
      </c>
      <c r="T579" s="98">
        <f>IF(SUMIFS('Shipments data'!L:L,'Shipments data'!F:F,'Supply planning data'!C579,'Shipments data'!A:A,'Supply planning data'!A579,'Shipments data'!O:O,"received",'Shipments data'!Q:Q,"&lt;"&amp;'Supply planning data'!D594,'Shipments data'!AC:AC,"&lt;"&amp;'Supply planning data'!D594)-SUMIFS(M:M,D:D,"&lt;="&amp;D579,C:C,C579)+SUMIFS(N:N,D:D,"&lt;="&amp;D579,C:C,C579)+SUMIFS(P:P,D:D,"&lt;="&amp;D579,C:C,C579)&lt;0,0,SUMIFS('Shipments data'!L:L,'Shipments data'!F:F,'Supply planning data'!C579,'Shipments data'!A:A,'Supply planning data'!A579,'Shipments data'!O:O,"received",'Shipments data'!Q:Q,"&lt;"&amp;'Supply planning data'!D594,'Shipments data'!AC:AC,"&lt;"&amp;'Supply planning data'!D594)-SUMIFS(M:M,D:D,"&lt;="&amp;D579,C:C,C579)+SUMIFS(N:N,D:D,"&lt;="&amp;D579,C:C,C579)+SUMIFS(P:P,D:D,"&lt;="&amp;D579,C:C,C579))</f>
        <v>0</v>
      </c>
      <c r="U579" s="99">
        <f t="shared" si="170"/>
        <v>0</v>
      </c>
      <c r="V579" s="98">
        <f t="shared" si="178"/>
        <v>0</v>
      </c>
      <c r="W579" s="203" t="str">
        <f t="shared" si="176"/>
        <v/>
      </c>
      <c r="X579" s="98">
        <f t="shared" si="171"/>
        <v>0</v>
      </c>
      <c r="Y579" s="97"/>
      <c r="Z579" s="93"/>
      <c r="AA579" s="98">
        <f t="shared" si="164"/>
        <v>0</v>
      </c>
      <c r="AB579" s="233"/>
      <c r="AC579" s="98">
        <f>IF(SUMIFS('Shipments data'!L:L,'Shipments data'!F:F,'Supply planning data'!C579,'Shipments data'!A:A,'Supply planning data'!A579,'Shipments data'!O:O,"received",'Shipments data'!Q:Q,"&lt;"&amp;'Supply planning data'!D594,'Shipments data'!AC:AC,"&lt;"&amp;'Supply planning data'!D594)-SUMIFS(M:M,D:D,"&lt;="&amp;D579,C:C,C579)-SUMIFS(AA:AA,D:D,"&lt;="&amp;D579,C:C,C579)+SUMIFS(N:N,D:D,"&lt;="&amp;D579,C:C,C579)+SUMIFS(P:P,D:D,"&lt;="&amp;D579,C:C,C579)&lt;0,0,SUMIFS('Shipments data'!L:L,'Shipments data'!F:F,'Supply planning data'!C579,'Shipments data'!A:A,'Supply planning data'!A579,'Shipments data'!O:O,"received",'Shipments data'!Q:Q,"&lt;"&amp;'Supply planning data'!D594,'Shipments data'!AC:AC,"&lt;"&amp;'Supply planning data'!D594)-SUMIFS(M:M,D:D,"&lt;="&amp;D579,C:C,C579)-SUMIFS(AA:AA,D:D,"&lt;="&amp;D579,C:C,C579)+SUMIFS(N:N,D:D,"&lt;="&amp;D579,C:C,C579)+SUMIFS(P:P,D:D,"&lt;="&amp;D579,C:C,C579))</f>
        <v>0</v>
      </c>
      <c r="AD579" s="98">
        <f t="shared" si="172"/>
        <v>0</v>
      </c>
      <c r="AE579" s="98">
        <f t="shared" si="166"/>
        <v>0</v>
      </c>
      <c r="AF579" s="205" t="str">
        <f t="shared" si="175"/>
        <v/>
      </c>
      <c r="AG579" s="98">
        <f t="shared" si="173"/>
        <v>0</v>
      </c>
      <c r="AH579" s="97"/>
      <c r="AI579" s="311"/>
      <c r="AJ579" s="98">
        <f t="shared" si="165"/>
        <v>0</v>
      </c>
      <c r="AK579" s="233"/>
      <c r="AL579" s="98">
        <f>IF(SUMIFS('Shipments data'!L:L,'Shipments data'!F:F,'Supply planning data'!C579,'Shipments data'!A:A,'Supply planning data'!A579,'Shipments data'!O:O,"received",'Shipments data'!Q:Q,"&lt;"&amp;'Supply planning data'!D594,'Shipments data'!AC:AC,"&lt;"&amp;'Supply planning data'!D594)-SUMIFS(M:M,D:D,"&lt;="&amp;D579,C:C,C579)-SUMIFS(AJ:AJ,D:D,"&lt;="&amp;D579,C:C,C579)+SUMIFS(N:N,D:D,"&lt;="&amp;D579,C:C,C579)+SUMIFS(P:P,D:D,"&lt;="&amp;D579,C:C,C579)&lt;0,0,SUMIFS('Shipments data'!L:L,'Shipments data'!F:F,'Supply planning data'!C579,'Shipments data'!A:A,'Supply planning data'!A579,'Shipments data'!O:O,"received",'Shipments data'!Q:Q,"&lt;"&amp;'Supply planning data'!D594,'Shipments data'!AC:AC,"&lt;"&amp;'Supply planning data'!D594)-SUMIFS(M:M,D:D,"&lt;="&amp;D579,C:C,C579)-SUMIFS(AJ:AJ,D:D,"&lt;="&amp;D579,C:C,C579)+SUMIFS(N:N,D:D,"&lt;="&amp;D579,C:C,C579)+SUMIFS(P:P,D:D,"&lt;="&amp;D579,C:C,C579))</f>
        <v>0</v>
      </c>
      <c r="AM579" s="98">
        <f t="shared" si="174"/>
        <v>0</v>
      </c>
      <c r="AN579" s="98">
        <f t="shared" si="167"/>
        <v>0</v>
      </c>
      <c r="AO579" s="203" t="str">
        <f t="shared" si="177"/>
        <v/>
      </c>
    </row>
    <row r="580" spans="1:41" hidden="1" x14ac:dyDescent="0.25">
      <c r="A580" s="95" t="str">
        <f>Start!D$7</f>
        <v>Anyland</v>
      </c>
      <c r="B580" s="96" t="str">
        <f>VLOOKUP(A580,list!B:C,2,FALSE)</f>
        <v>ANY</v>
      </c>
      <c r="C580" s="90" t="str">
        <f>IF(Start!$C$22="","",Start!$C$22)</f>
        <v/>
      </c>
      <c r="D580" s="296">
        <f t="shared" si="168"/>
        <v>45352</v>
      </c>
      <c r="E580" s="92" t="str">
        <f>IFERROR(VLOOKUP(C580,Start!C$15:D$31,2,FALSE),"No")</f>
        <v>No</v>
      </c>
      <c r="F580" s="92">
        <f t="shared" si="169"/>
        <v>0</v>
      </c>
      <c r="G580" s="91"/>
      <c r="H580" s="97"/>
      <c r="I580" s="97"/>
      <c r="J580" s="98">
        <f t="shared" si="161"/>
        <v>0</v>
      </c>
      <c r="K580" s="97"/>
      <c r="L580" s="175" t="str">
        <f t="shared" si="162"/>
        <v/>
      </c>
      <c r="M580" s="98">
        <f t="shared" si="163"/>
        <v>0</v>
      </c>
      <c r="N580" s="97"/>
      <c r="O580" s="122"/>
      <c r="P580" s="97"/>
      <c r="Q580" s="122"/>
      <c r="R580" s="98">
        <f>SUMIFS('Shipments data'!L:L,'Shipments data'!F:F,'Supply planning data'!C580,'Shipments data'!A:A,'Supply planning data'!A580,'Shipments data'!Y:Y,'Supply planning data'!D580,'Shipments data'!O:O,"received", 'Shipments data'!N:N, "Public")</f>
        <v>0</v>
      </c>
      <c r="S580" s="98">
        <f>SUMIFS('Shipments data'!L:L,'Shipments data'!F:F,'Supply planning data'!C580,'Shipments data'!A:A,'Supply planning data'!A580,'Shipments data'!Y:Y,'Supply planning data'!D580,'Shipments data'!O:O,"ordered", 'Shipments data'!N:N, "Public")</f>
        <v>0</v>
      </c>
      <c r="T580" s="98">
        <f>IF(SUMIFS('Shipments data'!L:L,'Shipments data'!F:F,'Supply planning data'!C580,'Shipments data'!A:A,'Supply planning data'!A580,'Shipments data'!O:O,"received",'Shipments data'!Q:Q,"&lt;"&amp;'Supply planning data'!D595,'Shipments data'!AC:AC,"&lt;"&amp;'Supply planning data'!D595)-SUMIFS(M:M,D:D,"&lt;="&amp;D580,C:C,C580)+SUMIFS(N:N,D:D,"&lt;="&amp;D580,C:C,C580)+SUMIFS(P:P,D:D,"&lt;="&amp;D580,C:C,C580)&lt;0,0,SUMIFS('Shipments data'!L:L,'Shipments data'!F:F,'Supply planning data'!C580,'Shipments data'!A:A,'Supply planning data'!A580,'Shipments data'!O:O,"received",'Shipments data'!Q:Q,"&lt;"&amp;'Supply planning data'!D595,'Shipments data'!AC:AC,"&lt;"&amp;'Supply planning data'!D595)-SUMIFS(M:M,D:D,"&lt;="&amp;D580,C:C,C580)+SUMIFS(N:N,D:D,"&lt;="&amp;D580,C:C,C580)+SUMIFS(P:P,D:D,"&lt;="&amp;D580,C:C,C580))</f>
        <v>0</v>
      </c>
      <c r="U580" s="99">
        <f t="shared" si="170"/>
        <v>0</v>
      </c>
      <c r="V580" s="98">
        <f t="shared" si="178"/>
        <v>0</v>
      </c>
      <c r="W580" s="203" t="str">
        <f t="shared" si="176"/>
        <v/>
      </c>
      <c r="X580" s="98">
        <f t="shared" si="171"/>
        <v>0</v>
      </c>
      <c r="Y580" s="97"/>
      <c r="Z580" s="93"/>
      <c r="AA580" s="98">
        <f t="shared" si="164"/>
        <v>0</v>
      </c>
      <c r="AB580" s="233"/>
      <c r="AC580" s="98">
        <f>IF(SUMIFS('Shipments data'!L:L,'Shipments data'!F:F,'Supply planning data'!C580,'Shipments data'!A:A,'Supply planning data'!A580,'Shipments data'!O:O,"received",'Shipments data'!Q:Q,"&lt;"&amp;'Supply planning data'!D595,'Shipments data'!AC:AC,"&lt;"&amp;'Supply planning data'!D595)-SUMIFS(M:M,D:D,"&lt;="&amp;D580,C:C,C580)-SUMIFS(AA:AA,D:D,"&lt;="&amp;D580,C:C,C580)+SUMIFS(N:N,D:D,"&lt;="&amp;D580,C:C,C580)+SUMIFS(P:P,D:D,"&lt;="&amp;D580,C:C,C580)&lt;0,0,SUMIFS('Shipments data'!L:L,'Shipments data'!F:F,'Supply planning data'!C580,'Shipments data'!A:A,'Supply planning data'!A580,'Shipments data'!O:O,"received",'Shipments data'!Q:Q,"&lt;"&amp;'Supply planning data'!D595,'Shipments data'!AC:AC,"&lt;"&amp;'Supply planning data'!D595)-SUMIFS(M:M,D:D,"&lt;="&amp;D580,C:C,C580)-SUMIFS(AA:AA,D:D,"&lt;="&amp;D580,C:C,C580)+SUMIFS(N:N,D:D,"&lt;="&amp;D580,C:C,C580)+SUMIFS(P:P,D:D,"&lt;="&amp;D580,C:C,C580))</f>
        <v>0</v>
      </c>
      <c r="AD580" s="98">
        <f t="shared" si="172"/>
        <v>0</v>
      </c>
      <c r="AE580" s="98">
        <f t="shared" si="166"/>
        <v>0</v>
      </c>
      <c r="AF580" s="205" t="str">
        <f t="shared" si="175"/>
        <v/>
      </c>
      <c r="AG580" s="98">
        <f t="shared" si="173"/>
        <v>0</v>
      </c>
      <c r="AH580" s="97"/>
      <c r="AI580" s="311"/>
      <c r="AJ580" s="98">
        <f t="shared" si="165"/>
        <v>0</v>
      </c>
      <c r="AK580" s="233"/>
      <c r="AL580" s="98">
        <f>IF(SUMIFS('Shipments data'!L:L,'Shipments data'!F:F,'Supply planning data'!C580,'Shipments data'!A:A,'Supply planning data'!A580,'Shipments data'!O:O,"received",'Shipments data'!Q:Q,"&lt;"&amp;'Supply planning data'!D595,'Shipments data'!AC:AC,"&lt;"&amp;'Supply planning data'!D595)-SUMIFS(M:M,D:D,"&lt;="&amp;D580,C:C,C580)-SUMIFS(AJ:AJ,D:D,"&lt;="&amp;D580,C:C,C580)+SUMIFS(N:N,D:D,"&lt;="&amp;D580,C:C,C580)+SUMIFS(P:P,D:D,"&lt;="&amp;D580,C:C,C580)&lt;0,0,SUMIFS('Shipments data'!L:L,'Shipments data'!F:F,'Supply planning data'!C580,'Shipments data'!A:A,'Supply planning data'!A580,'Shipments data'!O:O,"received",'Shipments data'!Q:Q,"&lt;"&amp;'Supply planning data'!D595,'Shipments data'!AC:AC,"&lt;"&amp;'Supply planning data'!D595)-SUMIFS(M:M,D:D,"&lt;="&amp;D580,C:C,C580)-SUMIFS(AJ:AJ,D:D,"&lt;="&amp;D580,C:C,C580)+SUMIFS(N:N,D:D,"&lt;="&amp;D580,C:C,C580)+SUMIFS(P:P,D:D,"&lt;="&amp;D580,C:C,C580))</f>
        <v>0</v>
      </c>
      <c r="AM580" s="98">
        <f t="shared" si="174"/>
        <v>0</v>
      </c>
      <c r="AN580" s="98">
        <f t="shared" si="167"/>
        <v>0</v>
      </c>
      <c r="AO580" s="203" t="str">
        <f t="shared" si="177"/>
        <v/>
      </c>
    </row>
    <row r="581" spans="1:41" hidden="1" x14ac:dyDescent="0.25">
      <c r="A581" s="95" t="str">
        <f>Start!D$7</f>
        <v>Anyland</v>
      </c>
      <c r="B581" s="96" t="str">
        <f>VLOOKUP(A581,list!B:C,2,FALSE)</f>
        <v>ANY</v>
      </c>
      <c r="C581" s="90" t="str">
        <f>IF(Start!$C$23="","",Start!$C$23)</f>
        <v/>
      </c>
      <c r="D581" s="296">
        <f t="shared" si="168"/>
        <v>45352</v>
      </c>
      <c r="E581" s="92" t="str">
        <f>IFERROR(VLOOKUP(C581,Start!C$15:D$31,2,FALSE),"No")</f>
        <v>No</v>
      </c>
      <c r="F581" s="92">
        <f t="shared" si="169"/>
        <v>0</v>
      </c>
      <c r="G581" s="91"/>
      <c r="H581" s="97"/>
      <c r="I581" s="97"/>
      <c r="J581" s="98">
        <f t="shared" ref="J581:J644" si="179">SUM(G581:I581)</f>
        <v>0</v>
      </c>
      <c r="K581" s="97"/>
      <c r="L581" s="175" t="str">
        <f t="shared" ref="L581:L644" si="180">IFERROR(K581/J581, "")</f>
        <v/>
      </c>
      <c r="M581" s="98">
        <f t="shared" ref="M581:M644" si="181">SUM(J581,K581)</f>
        <v>0</v>
      </c>
      <c r="N581" s="97"/>
      <c r="O581" s="122"/>
      <c r="P581" s="97"/>
      <c r="Q581" s="122"/>
      <c r="R581" s="98">
        <f>SUMIFS('Shipments data'!L:L,'Shipments data'!F:F,'Supply planning data'!C581,'Shipments data'!A:A,'Supply planning data'!A581,'Shipments data'!Y:Y,'Supply planning data'!D581,'Shipments data'!O:O,"received", 'Shipments data'!N:N, "Public")</f>
        <v>0</v>
      </c>
      <c r="S581" s="98">
        <f>SUMIFS('Shipments data'!L:L,'Shipments data'!F:F,'Supply planning data'!C581,'Shipments data'!A:A,'Supply planning data'!A581,'Shipments data'!Y:Y,'Supply planning data'!D581,'Shipments data'!O:O,"ordered", 'Shipments data'!N:N, "Public")</f>
        <v>0</v>
      </c>
      <c r="T581" s="98">
        <f>IF(SUMIFS('Shipments data'!L:L,'Shipments data'!F:F,'Supply planning data'!C581,'Shipments data'!A:A,'Supply planning data'!A581,'Shipments data'!O:O,"received",'Shipments data'!Q:Q,"&lt;"&amp;'Supply planning data'!D596,'Shipments data'!AC:AC,"&lt;"&amp;'Supply planning data'!D596)-SUMIFS(M:M,D:D,"&lt;="&amp;D581,C:C,C581)+SUMIFS(N:N,D:D,"&lt;="&amp;D581,C:C,C581)+SUMIFS(P:P,D:D,"&lt;="&amp;D581,C:C,C581)&lt;0,0,SUMIFS('Shipments data'!L:L,'Shipments data'!F:F,'Supply planning data'!C581,'Shipments data'!A:A,'Supply planning data'!A581,'Shipments data'!O:O,"received",'Shipments data'!Q:Q,"&lt;"&amp;'Supply planning data'!D596,'Shipments data'!AC:AC,"&lt;"&amp;'Supply planning data'!D596)-SUMIFS(M:M,D:D,"&lt;="&amp;D581,C:C,C581)+SUMIFS(N:N,D:D,"&lt;="&amp;D581,C:C,C581)+SUMIFS(P:P,D:D,"&lt;="&amp;D581,C:C,C581))</f>
        <v>0</v>
      </c>
      <c r="U581" s="99">
        <f t="shared" si="170"/>
        <v>0</v>
      </c>
      <c r="V581" s="98">
        <f t="shared" si="178"/>
        <v>0</v>
      </c>
      <c r="W581" s="203" t="str">
        <f t="shared" si="176"/>
        <v/>
      </c>
      <c r="X581" s="98">
        <f t="shared" si="171"/>
        <v>0</v>
      </c>
      <c r="Y581" s="97"/>
      <c r="Z581" s="93"/>
      <c r="AA581" s="98">
        <f t="shared" ref="AA581:AA644" si="182">IFERROR(Z581*Y581,0)+Y581</f>
        <v>0</v>
      </c>
      <c r="AB581" s="233"/>
      <c r="AC581" s="98">
        <f>IF(SUMIFS('Shipments data'!L:L,'Shipments data'!F:F,'Supply planning data'!C581,'Shipments data'!A:A,'Supply planning data'!A581,'Shipments data'!O:O,"received",'Shipments data'!Q:Q,"&lt;"&amp;'Supply planning data'!D596,'Shipments data'!AC:AC,"&lt;"&amp;'Supply planning data'!D596)-SUMIFS(M:M,D:D,"&lt;="&amp;D581,C:C,C581)-SUMIFS(AA:AA,D:D,"&lt;="&amp;D581,C:C,C581)+SUMIFS(N:N,D:D,"&lt;="&amp;D581,C:C,C581)+SUMIFS(P:P,D:D,"&lt;="&amp;D581,C:C,C581)&lt;0,0,SUMIFS('Shipments data'!L:L,'Shipments data'!F:F,'Supply planning data'!C581,'Shipments data'!A:A,'Supply planning data'!A581,'Shipments data'!O:O,"received",'Shipments data'!Q:Q,"&lt;"&amp;'Supply planning data'!D596,'Shipments data'!AC:AC,"&lt;"&amp;'Supply planning data'!D596)-SUMIFS(M:M,D:D,"&lt;="&amp;D581,C:C,C581)-SUMIFS(AA:AA,D:D,"&lt;="&amp;D581,C:C,C581)+SUMIFS(N:N,D:D,"&lt;="&amp;D581,C:C,C581)+SUMIFS(P:P,D:D,"&lt;="&amp;D581,C:C,C581))</f>
        <v>0</v>
      </c>
      <c r="AD581" s="98">
        <f t="shared" si="172"/>
        <v>0</v>
      </c>
      <c r="AE581" s="98">
        <f t="shared" si="166"/>
        <v>0</v>
      </c>
      <c r="AF581" s="205" t="str">
        <f t="shared" si="175"/>
        <v/>
      </c>
      <c r="AG581" s="98">
        <f t="shared" si="173"/>
        <v>0</v>
      </c>
      <c r="AH581" s="97"/>
      <c r="AI581" s="311"/>
      <c r="AJ581" s="98">
        <f t="shared" ref="AJ581:AJ644" si="183">IFERROR(AI581*AH581,0)+AH581</f>
        <v>0</v>
      </c>
      <c r="AK581" s="233"/>
      <c r="AL581" s="98">
        <f>IF(SUMIFS('Shipments data'!L:L,'Shipments data'!F:F,'Supply planning data'!C581,'Shipments data'!A:A,'Supply planning data'!A581,'Shipments data'!O:O,"received",'Shipments data'!Q:Q,"&lt;"&amp;'Supply planning data'!D596,'Shipments data'!AC:AC,"&lt;"&amp;'Supply planning data'!D596)-SUMIFS(M:M,D:D,"&lt;="&amp;D581,C:C,C581)-SUMIFS(AJ:AJ,D:D,"&lt;="&amp;D581,C:C,C581)+SUMIFS(N:N,D:D,"&lt;="&amp;D581,C:C,C581)+SUMIFS(P:P,D:D,"&lt;="&amp;D581,C:C,C581)&lt;0,0,SUMIFS('Shipments data'!L:L,'Shipments data'!F:F,'Supply planning data'!C581,'Shipments data'!A:A,'Supply planning data'!A581,'Shipments data'!O:O,"received",'Shipments data'!Q:Q,"&lt;"&amp;'Supply planning data'!D596,'Shipments data'!AC:AC,"&lt;"&amp;'Supply planning data'!D596)-SUMIFS(M:M,D:D,"&lt;="&amp;D581,C:C,C581)-SUMIFS(AJ:AJ,D:D,"&lt;="&amp;D581,C:C,C581)+SUMIFS(N:N,D:D,"&lt;="&amp;D581,C:C,C581)+SUMIFS(P:P,D:D,"&lt;="&amp;D581,C:C,C581))</f>
        <v>0</v>
      </c>
      <c r="AM581" s="98">
        <f t="shared" si="174"/>
        <v>0</v>
      </c>
      <c r="AN581" s="98">
        <f t="shared" si="167"/>
        <v>0</v>
      </c>
      <c r="AO581" s="203" t="str">
        <f t="shared" si="177"/>
        <v/>
      </c>
    </row>
    <row r="582" spans="1:41" hidden="1" x14ac:dyDescent="0.25">
      <c r="A582" s="95" t="str">
        <f>Start!D$7</f>
        <v>Anyland</v>
      </c>
      <c r="B582" s="96" t="str">
        <f>VLOOKUP(A582,list!B:C,2,FALSE)</f>
        <v>ANY</v>
      </c>
      <c r="C582" s="90" t="str">
        <f>IF(Start!$C$24="","",Start!$C$24)</f>
        <v/>
      </c>
      <c r="D582" s="296">
        <f t="shared" si="168"/>
        <v>45352</v>
      </c>
      <c r="E582" s="92" t="str">
        <f>IFERROR(VLOOKUP(C582,Start!C$15:D$31,2,FALSE),"No")</f>
        <v>No</v>
      </c>
      <c r="F582" s="92">
        <f t="shared" si="169"/>
        <v>0</v>
      </c>
      <c r="G582" s="91"/>
      <c r="H582" s="97"/>
      <c r="I582" s="97"/>
      <c r="J582" s="98">
        <f t="shared" si="179"/>
        <v>0</v>
      </c>
      <c r="K582" s="97"/>
      <c r="L582" s="175" t="str">
        <f t="shared" si="180"/>
        <v/>
      </c>
      <c r="M582" s="98">
        <f t="shared" si="181"/>
        <v>0</v>
      </c>
      <c r="N582" s="97"/>
      <c r="O582" s="122"/>
      <c r="P582" s="97"/>
      <c r="Q582" s="122"/>
      <c r="R582" s="98">
        <f>SUMIFS('Shipments data'!L:L,'Shipments data'!F:F,'Supply planning data'!C582,'Shipments data'!A:A,'Supply planning data'!A582,'Shipments data'!Y:Y,'Supply planning data'!D582,'Shipments data'!O:O,"received", 'Shipments data'!N:N, "Public")</f>
        <v>0</v>
      </c>
      <c r="S582" s="98">
        <f>SUMIFS('Shipments data'!L:L,'Shipments data'!F:F,'Supply planning data'!C582,'Shipments data'!A:A,'Supply planning data'!A582,'Shipments data'!Y:Y,'Supply planning data'!D582,'Shipments data'!O:O,"ordered", 'Shipments data'!N:N, "Public")</f>
        <v>0</v>
      </c>
      <c r="T582" s="98">
        <f>IF(SUMIFS('Shipments data'!L:L,'Shipments data'!F:F,'Supply planning data'!C582,'Shipments data'!A:A,'Supply planning data'!A582,'Shipments data'!O:O,"received",'Shipments data'!Q:Q,"&lt;"&amp;'Supply planning data'!D597,'Shipments data'!AC:AC,"&lt;"&amp;'Supply planning data'!D597)-SUMIFS(M:M,D:D,"&lt;="&amp;D582,C:C,C582)+SUMIFS(N:N,D:D,"&lt;="&amp;D582,C:C,C582)+SUMIFS(P:P,D:D,"&lt;="&amp;D582,C:C,C582)&lt;0,0,SUMIFS('Shipments data'!L:L,'Shipments data'!F:F,'Supply planning data'!C582,'Shipments data'!A:A,'Supply planning data'!A582,'Shipments data'!O:O,"received",'Shipments data'!Q:Q,"&lt;"&amp;'Supply planning data'!D597,'Shipments data'!AC:AC,"&lt;"&amp;'Supply planning data'!D597)-SUMIFS(M:M,D:D,"&lt;="&amp;D582,C:C,C582)+SUMIFS(N:N,D:D,"&lt;="&amp;D582,C:C,C582)+SUMIFS(P:P,D:D,"&lt;="&amp;D582,C:C,C582))</f>
        <v>0</v>
      </c>
      <c r="U582" s="99">
        <f t="shared" si="170"/>
        <v>0</v>
      </c>
      <c r="V582" s="98">
        <f t="shared" si="178"/>
        <v>0</v>
      </c>
      <c r="W582" s="203" t="str">
        <f t="shared" si="176"/>
        <v/>
      </c>
      <c r="X582" s="98">
        <f t="shared" si="171"/>
        <v>0</v>
      </c>
      <c r="Y582" s="97"/>
      <c r="Z582" s="93"/>
      <c r="AA582" s="98">
        <f t="shared" si="182"/>
        <v>0</v>
      </c>
      <c r="AB582" s="233"/>
      <c r="AC582" s="98">
        <f>IF(SUMIFS('Shipments data'!L:L,'Shipments data'!F:F,'Supply planning data'!C582,'Shipments data'!A:A,'Supply planning data'!A582,'Shipments data'!O:O,"received",'Shipments data'!Q:Q,"&lt;"&amp;'Supply planning data'!D597,'Shipments data'!AC:AC,"&lt;"&amp;'Supply planning data'!D597)-SUMIFS(M:M,D:D,"&lt;="&amp;D582,C:C,C582)-SUMIFS(AA:AA,D:D,"&lt;="&amp;D582,C:C,C582)+SUMIFS(N:N,D:D,"&lt;="&amp;D582,C:C,C582)+SUMIFS(P:P,D:D,"&lt;="&amp;D582,C:C,C582)&lt;0,0,SUMIFS('Shipments data'!L:L,'Shipments data'!F:F,'Supply planning data'!C582,'Shipments data'!A:A,'Supply planning data'!A582,'Shipments data'!O:O,"received",'Shipments data'!Q:Q,"&lt;"&amp;'Supply planning data'!D597,'Shipments data'!AC:AC,"&lt;"&amp;'Supply planning data'!D597)-SUMIFS(M:M,D:D,"&lt;="&amp;D582,C:C,C582)-SUMIFS(AA:AA,D:D,"&lt;="&amp;D582,C:C,C582)+SUMIFS(N:N,D:D,"&lt;="&amp;D582,C:C,C582)+SUMIFS(P:P,D:D,"&lt;="&amp;D582,C:C,C582))</f>
        <v>0</v>
      </c>
      <c r="AD582" s="98">
        <f t="shared" si="172"/>
        <v>0</v>
      </c>
      <c r="AE582" s="98">
        <f t="shared" ref="AE582:AE645" si="184">IF(X582+R582+S582+AB582+N582+P582-M582-AA582-U582&lt;0,0,X582+R582+S582+AB582+N582+P582-M582-AA582-U582)</f>
        <v>0</v>
      </c>
      <c r="AF582" s="205" t="str">
        <f t="shared" si="175"/>
        <v/>
      </c>
      <c r="AG582" s="98">
        <f t="shared" si="173"/>
        <v>0</v>
      </c>
      <c r="AH582" s="97"/>
      <c r="AI582" s="311"/>
      <c r="AJ582" s="98">
        <f t="shared" si="183"/>
        <v>0</v>
      </c>
      <c r="AK582" s="233"/>
      <c r="AL582" s="98">
        <f>IF(SUMIFS('Shipments data'!L:L,'Shipments data'!F:F,'Supply planning data'!C582,'Shipments data'!A:A,'Supply planning data'!A582,'Shipments data'!O:O,"received",'Shipments data'!Q:Q,"&lt;"&amp;'Supply planning data'!D597,'Shipments data'!AC:AC,"&lt;"&amp;'Supply planning data'!D597)-SUMIFS(M:M,D:D,"&lt;="&amp;D582,C:C,C582)-SUMIFS(AJ:AJ,D:D,"&lt;="&amp;D582,C:C,C582)+SUMIFS(N:N,D:D,"&lt;="&amp;D582,C:C,C582)+SUMIFS(P:P,D:D,"&lt;="&amp;D582,C:C,C582)&lt;0,0,SUMIFS('Shipments data'!L:L,'Shipments data'!F:F,'Supply planning data'!C582,'Shipments data'!A:A,'Supply planning data'!A582,'Shipments data'!O:O,"received",'Shipments data'!Q:Q,"&lt;"&amp;'Supply planning data'!D597,'Shipments data'!AC:AC,"&lt;"&amp;'Supply planning data'!D597)-SUMIFS(M:M,D:D,"&lt;="&amp;D582,C:C,C582)-SUMIFS(AJ:AJ,D:D,"&lt;="&amp;D582,C:C,C582)+SUMIFS(N:N,D:D,"&lt;="&amp;D582,C:C,C582)+SUMIFS(P:P,D:D,"&lt;="&amp;D582,C:C,C582))</f>
        <v>0</v>
      </c>
      <c r="AM582" s="98">
        <f t="shared" si="174"/>
        <v>0</v>
      </c>
      <c r="AN582" s="98">
        <f t="shared" ref="AN582:AN645" si="185">IF(AG582+$R582+$S582+AK582+$N582+$P582-$M582-AJ582-$AM582&lt;0,0,AG582+$R582+$S582+AK582+$N582+$P582-$M582-AJ582-$AM582)</f>
        <v>0</v>
      </c>
      <c r="AO582" s="203" t="str">
        <f t="shared" si="177"/>
        <v/>
      </c>
    </row>
    <row r="583" spans="1:41" hidden="1" x14ac:dyDescent="0.25">
      <c r="A583" s="95" t="str">
        <f>Start!D$7</f>
        <v>Anyland</v>
      </c>
      <c r="B583" s="96" t="str">
        <f>VLOOKUP(A583,list!B:C,2,FALSE)</f>
        <v>ANY</v>
      </c>
      <c r="C583" s="90" t="str">
        <f>IF(Start!$C$25="","",Start!$C$25)</f>
        <v/>
      </c>
      <c r="D583" s="296">
        <f t="shared" si="168"/>
        <v>45352</v>
      </c>
      <c r="E583" s="92" t="str">
        <f>IFERROR(VLOOKUP(C583,Start!C$15:D$31,2,FALSE),"No")</f>
        <v>No</v>
      </c>
      <c r="F583" s="92">
        <f t="shared" si="169"/>
        <v>0</v>
      </c>
      <c r="G583" s="91"/>
      <c r="H583" s="97"/>
      <c r="I583" s="97"/>
      <c r="J583" s="98">
        <f t="shared" si="179"/>
        <v>0</v>
      </c>
      <c r="K583" s="97"/>
      <c r="L583" s="175" t="str">
        <f t="shared" si="180"/>
        <v/>
      </c>
      <c r="M583" s="98">
        <f t="shared" si="181"/>
        <v>0</v>
      </c>
      <c r="N583" s="97"/>
      <c r="O583" s="122"/>
      <c r="P583" s="97"/>
      <c r="Q583" s="122"/>
      <c r="R583" s="98">
        <f>SUMIFS('Shipments data'!L:L,'Shipments data'!F:F,'Supply planning data'!C583,'Shipments data'!A:A,'Supply planning data'!A583,'Shipments data'!Y:Y,'Supply planning data'!D583,'Shipments data'!O:O,"received", 'Shipments data'!N:N, "Public")</f>
        <v>0</v>
      </c>
      <c r="S583" s="98">
        <f>SUMIFS('Shipments data'!L:L,'Shipments data'!F:F,'Supply planning data'!C583,'Shipments data'!A:A,'Supply planning data'!A583,'Shipments data'!Y:Y,'Supply planning data'!D583,'Shipments data'!O:O,"ordered", 'Shipments data'!N:N, "Public")</f>
        <v>0</v>
      </c>
      <c r="T583" s="98">
        <f>IF(SUMIFS('Shipments data'!L:L,'Shipments data'!F:F,'Supply planning data'!C583,'Shipments data'!A:A,'Supply planning data'!A583,'Shipments data'!O:O,"received",'Shipments data'!Q:Q,"&lt;"&amp;'Supply planning data'!D598,'Shipments data'!AC:AC,"&lt;"&amp;'Supply planning data'!D598)-SUMIFS(M:M,D:D,"&lt;="&amp;D583,C:C,C583)+SUMIFS(N:N,D:D,"&lt;="&amp;D583,C:C,C583)+SUMIFS(P:P,D:D,"&lt;="&amp;D583,C:C,C583)&lt;0,0,SUMIFS('Shipments data'!L:L,'Shipments data'!F:F,'Supply planning data'!C583,'Shipments data'!A:A,'Supply planning data'!A583,'Shipments data'!O:O,"received",'Shipments data'!Q:Q,"&lt;"&amp;'Supply planning data'!D598,'Shipments data'!AC:AC,"&lt;"&amp;'Supply planning data'!D598)-SUMIFS(M:M,D:D,"&lt;="&amp;D583,C:C,C583)+SUMIFS(N:N,D:D,"&lt;="&amp;D583,C:C,C583)+SUMIFS(P:P,D:D,"&lt;="&amp;D583,C:C,C583))</f>
        <v>0</v>
      </c>
      <c r="U583" s="99">
        <f t="shared" si="170"/>
        <v>0</v>
      </c>
      <c r="V583" s="98">
        <f t="shared" si="178"/>
        <v>0</v>
      </c>
      <c r="W583" s="203" t="str">
        <f t="shared" si="176"/>
        <v/>
      </c>
      <c r="X583" s="98">
        <f t="shared" si="171"/>
        <v>0</v>
      </c>
      <c r="Y583" s="97"/>
      <c r="Z583" s="93"/>
      <c r="AA583" s="98">
        <f t="shared" si="182"/>
        <v>0</v>
      </c>
      <c r="AB583" s="233"/>
      <c r="AC583" s="98">
        <f>IF(SUMIFS('Shipments data'!L:L,'Shipments data'!F:F,'Supply planning data'!C583,'Shipments data'!A:A,'Supply planning data'!A583,'Shipments data'!O:O,"received",'Shipments data'!Q:Q,"&lt;"&amp;'Supply planning data'!D598,'Shipments data'!AC:AC,"&lt;"&amp;'Supply planning data'!D598)-SUMIFS(M:M,D:D,"&lt;="&amp;D583,C:C,C583)-SUMIFS(AA:AA,D:D,"&lt;="&amp;D583,C:C,C583)+SUMIFS(N:N,D:D,"&lt;="&amp;D583,C:C,C583)+SUMIFS(P:P,D:D,"&lt;="&amp;D583,C:C,C583)&lt;0,0,SUMIFS('Shipments data'!L:L,'Shipments data'!F:F,'Supply planning data'!C583,'Shipments data'!A:A,'Supply planning data'!A583,'Shipments data'!O:O,"received",'Shipments data'!Q:Q,"&lt;"&amp;'Supply planning data'!D598,'Shipments data'!AC:AC,"&lt;"&amp;'Supply planning data'!D598)-SUMIFS(M:M,D:D,"&lt;="&amp;D583,C:C,C583)-SUMIFS(AA:AA,D:D,"&lt;="&amp;D583,C:C,C583)+SUMIFS(N:N,D:D,"&lt;="&amp;D583,C:C,C583)+SUMIFS(P:P,D:D,"&lt;="&amp;D583,C:C,C583))</f>
        <v>0</v>
      </c>
      <c r="AD583" s="98">
        <f t="shared" si="172"/>
        <v>0</v>
      </c>
      <c r="AE583" s="98">
        <f t="shared" si="184"/>
        <v>0</v>
      </c>
      <c r="AF583" s="205" t="str">
        <f t="shared" si="175"/>
        <v/>
      </c>
      <c r="AG583" s="98">
        <f t="shared" si="173"/>
        <v>0</v>
      </c>
      <c r="AH583" s="97"/>
      <c r="AI583" s="311"/>
      <c r="AJ583" s="98">
        <f t="shared" si="183"/>
        <v>0</v>
      </c>
      <c r="AK583" s="233"/>
      <c r="AL583" s="98">
        <f>IF(SUMIFS('Shipments data'!L:L,'Shipments data'!F:F,'Supply planning data'!C583,'Shipments data'!A:A,'Supply planning data'!A583,'Shipments data'!O:O,"received",'Shipments data'!Q:Q,"&lt;"&amp;'Supply planning data'!D598,'Shipments data'!AC:AC,"&lt;"&amp;'Supply planning data'!D598)-SUMIFS(M:M,D:D,"&lt;="&amp;D583,C:C,C583)-SUMIFS(AJ:AJ,D:D,"&lt;="&amp;D583,C:C,C583)+SUMIFS(N:N,D:D,"&lt;="&amp;D583,C:C,C583)+SUMIFS(P:P,D:D,"&lt;="&amp;D583,C:C,C583)&lt;0,0,SUMIFS('Shipments data'!L:L,'Shipments data'!F:F,'Supply planning data'!C583,'Shipments data'!A:A,'Supply planning data'!A583,'Shipments data'!O:O,"received",'Shipments data'!Q:Q,"&lt;"&amp;'Supply planning data'!D598,'Shipments data'!AC:AC,"&lt;"&amp;'Supply planning data'!D598)-SUMIFS(M:M,D:D,"&lt;="&amp;D583,C:C,C583)-SUMIFS(AJ:AJ,D:D,"&lt;="&amp;D583,C:C,C583)+SUMIFS(N:N,D:D,"&lt;="&amp;D583,C:C,C583)+SUMIFS(P:P,D:D,"&lt;="&amp;D583,C:C,C583))</f>
        <v>0</v>
      </c>
      <c r="AM583" s="98">
        <f t="shared" si="174"/>
        <v>0</v>
      </c>
      <c r="AN583" s="98">
        <f t="shared" si="185"/>
        <v>0</v>
      </c>
      <c r="AO583" s="203" t="str">
        <f t="shared" si="177"/>
        <v/>
      </c>
    </row>
    <row r="584" spans="1:41" hidden="1" x14ac:dyDescent="0.25">
      <c r="A584" s="95" t="str">
        <f>Start!D$7</f>
        <v>Anyland</v>
      </c>
      <c r="B584" s="96" t="str">
        <f>VLOOKUP(A584,list!B:C,2,FALSE)</f>
        <v>ANY</v>
      </c>
      <c r="C584" s="90" t="str">
        <f>IF(Start!$C$26="","",Start!$C$26)</f>
        <v/>
      </c>
      <c r="D584" s="296">
        <f t="shared" si="168"/>
        <v>45352</v>
      </c>
      <c r="E584" s="92" t="str">
        <f>IFERROR(VLOOKUP(C584,Start!C$15:D$31,2,FALSE),"No")</f>
        <v>No</v>
      </c>
      <c r="F584" s="92">
        <f t="shared" si="169"/>
        <v>0</v>
      </c>
      <c r="G584" s="91"/>
      <c r="H584" s="97"/>
      <c r="I584" s="97"/>
      <c r="J584" s="98">
        <f t="shared" si="179"/>
        <v>0</v>
      </c>
      <c r="K584" s="97"/>
      <c r="L584" s="175" t="str">
        <f t="shared" si="180"/>
        <v/>
      </c>
      <c r="M584" s="98">
        <f t="shared" si="181"/>
        <v>0</v>
      </c>
      <c r="N584" s="97"/>
      <c r="O584" s="122"/>
      <c r="P584" s="97"/>
      <c r="Q584" s="122"/>
      <c r="R584" s="98">
        <f>SUMIFS('Shipments data'!L:L,'Shipments data'!F:F,'Supply planning data'!C584,'Shipments data'!A:A,'Supply planning data'!A584,'Shipments data'!Y:Y,'Supply planning data'!D584,'Shipments data'!O:O,"received", 'Shipments data'!N:N, "Public")</f>
        <v>0</v>
      </c>
      <c r="S584" s="98">
        <f>SUMIFS('Shipments data'!L:L,'Shipments data'!F:F,'Supply planning data'!C584,'Shipments data'!A:A,'Supply planning data'!A584,'Shipments data'!Y:Y,'Supply planning data'!D584,'Shipments data'!O:O,"ordered", 'Shipments data'!N:N, "Public")</f>
        <v>0</v>
      </c>
      <c r="T584" s="98">
        <f>IF(SUMIFS('Shipments data'!L:L,'Shipments data'!F:F,'Supply planning data'!C584,'Shipments data'!A:A,'Supply planning data'!A584,'Shipments data'!O:O,"received",'Shipments data'!Q:Q,"&lt;"&amp;'Supply planning data'!D599,'Shipments data'!AC:AC,"&lt;"&amp;'Supply planning data'!D599)-SUMIFS(M:M,D:D,"&lt;="&amp;D584,C:C,C584)+SUMIFS(N:N,D:D,"&lt;="&amp;D584,C:C,C584)+SUMIFS(P:P,D:D,"&lt;="&amp;D584,C:C,C584)&lt;0,0,SUMIFS('Shipments data'!L:L,'Shipments data'!F:F,'Supply planning data'!C584,'Shipments data'!A:A,'Supply planning data'!A584,'Shipments data'!O:O,"received",'Shipments data'!Q:Q,"&lt;"&amp;'Supply planning data'!D599,'Shipments data'!AC:AC,"&lt;"&amp;'Supply planning data'!D599)-SUMIFS(M:M,D:D,"&lt;="&amp;D584,C:C,C584)+SUMIFS(N:N,D:D,"&lt;="&amp;D584,C:C,C584)+SUMIFS(P:P,D:D,"&lt;="&amp;D584,C:C,C584))</f>
        <v>0</v>
      </c>
      <c r="U584" s="99">
        <f t="shared" si="170"/>
        <v>0</v>
      </c>
      <c r="V584" s="98">
        <f t="shared" si="178"/>
        <v>0</v>
      </c>
      <c r="W584" s="203" t="str">
        <f t="shared" si="176"/>
        <v/>
      </c>
      <c r="X584" s="98">
        <f t="shared" si="171"/>
        <v>0</v>
      </c>
      <c r="Y584" s="97"/>
      <c r="Z584" s="93"/>
      <c r="AA584" s="98">
        <f t="shared" si="182"/>
        <v>0</v>
      </c>
      <c r="AB584" s="233"/>
      <c r="AC584" s="98">
        <f>IF(SUMIFS('Shipments data'!L:L,'Shipments data'!F:F,'Supply planning data'!C584,'Shipments data'!A:A,'Supply planning data'!A584,'Shipments data'!O:O,"received",'Shipments data'!Q:Q,"&lt;"&amp;'Supply planning data'!D599,'Shipments data'!AC:AC,"&lt;"&amp;'Supply planning data'!D599)-SUMIFS(M:M,D:D,"&lt;="&amp;D584,C:C,C584)-SUMIFS(AA:AA,D:D,"&lt;="&amp;D584,C:C,C584)+SUMIFS(N:N,D:D,"&lt;="&amp;D584,C:C,C584)+SUMIFS(P:P,D:D,"&lt;="&amp;D584,C:C,C584)&lt;0,0,SUMIFS('Shipments data'!L:L,'Shipments data'!F:F,'Supply planning data'!C584,'Shipments data'!A:A,'Supply planning data'!A584,'Shipments data'!O:O,"received",'Shipments data'!Q:Q,"&lt;"&amp;'Supply planning data'!D599,'Shipments data'!AC:AC,"&lt;"&amp;'Supply planning data'!D599)-SUMIFS(M:M,D:D,"&lt;="&amp;D584,C:C,C584)-SUMIFS(AA:AA,D:D,"&lt;="&amp;D584,C:C,C584)+SUMIFS(N:N,D:D,"&lt;="&amp;D584,C:C,C584)+SUMIFS(P:P,D:D,"&lt;="&amp;D584,C:C,C584))</f>
        <v>0</v>
      </c>
      <c r="AD584" s="98">
        <f t="shared" si="172"/>
        <v>0</v>
      </c>
      <c r="AE584" s="98">
        <f t="shared" si="184"/>
        <v>0</v>
      </c>
      <c r="AF584" s="205" t="str">
        <f t="shared" si="175"/>
        <v/>
      </c>
      <c r="AG584" s="98">
        <f t="shared" si="173"/>
        <v>0</v>
      </c>
      <c r="AH584" s="97"/>
      <c r="AI584" s="311"/>
      <c r="AJ584" s="98">
        <f t="shared" si="183"/>
        <v>0</v>
      </c>
      <c r="AK584" s="233"/>
      <c r="AL584" s="98">
        <f>IF(SUMIFS('Shipments data'!L:L,'Shipments data'!F:F,'Supply planning data'!C584,'Shipments data'!A:A,'Supply planning data'!A584,'Shipments data'!O:O,"received",'Shipments data'!Q:Q,"&lt;"&amp;'Supply planning data'!D599,'Shipments data'!AC:AC,"&lt;"&amp;'Supply planning data'!D599)-SUMIFS(M:M,D:D,"&lt;="&amp;D584,C:C,C584)-SUMIFS(AJ:AJ,D:D,"&lt;="&amp;D584,C:C,C584)+SUMIFS(N:N,D:D,"&lt;="&amp;D584,C:C,C584)+SUMIFS(P:P,D:D,"&lt;="&amp;D584,C:C,C584)&lt;0,0,SUMIFS('Shipments data'!L:L,'Shipments data'!F:F,'Supply planning data'!C584,'Shipments data'!A:A,'Supply planning data'!A584,'Shipments data'!O:O,"received",'Shipments data'!Q:Q,"&lt;"&amp;'Supply planning data'!D599,'Shipments data'!AC:AC,"&lt;"&amp;'Supply planning data'!D599)-SUMIFS(M:M,D:D,"&lt;="&amp;D584,C:C,C584)-SUMIFS(AJ:AJ,D:D,"&lt;="&amp;D584,C:C,C584)+SUMIFS(N:N,D:D,"&lt;="&amp;D584,C:C,C584)+SUMIFS(P:P,D:D,"&lt;="&amp;D584,C:C,C584))</f>
        <v>0</v>
      </c>
      <c r="AM584" s="98">
        <f t="shared" si="174"/>
        <v>0</v>
      </c>
      <c r="AN584" s="98">
        <f t="shared" si="185"/>
        <v>0</v>
      </c>
      <c r="AO584" s="203" t="str">
        <f t="shared" si="177"/>
        <v/>
      </c>
    </row>
    <row r="585" spans="1:41" hidden="1" x14ac:dyDescent="0.25">
      <c r="A585" s="95" t="str">
        <f>Start!D$7</f>
        <v>Anyland</v>
      </c>
      <c r="B585" s="96" t="str">
        <f>VLOOKUP(A585,list!B:C,2,FALSE)</f>
        <v>ANY</v>
      </c>
      <c r="C585" s="90" t="str">
        <f>IF(Start!$C$27="","",Start!$C$27)</f>
        <v/>
      </c>
      <c r="D585" s="296">
        <f t="shared" si="168"/>
        <v>45352</v>
      </c>
      <c r="E585" s="92" t="str">
        <f>IFERROR(VLOOKUP(C585,Start!C$15:D$31,2,FALSE),"No")</f>
        <v>No</v>
      </c>
      <c r="F585" s="92">
        <f t="shared" si="169"/>
        <v>0</v>
      </c>
      <c r="G585" s="91"/>
      <c r="H585" s="97"/>
      <c r="I585" s="97"/>
      <c r="J585" s="98">
        <f t="shared" si="179"/>
        <v>0</v>
      </c>
      <c r="K585" s="97"/>
      <c r="L585" s="175" t="str">
        <f t="shared" si="180"/>
        <v/>
      </c>
      <c r="M585" s="98">
        <f t="shared" si="181"/>
        <v>0</v>
      </c>
      <c r="N585" s="97"/>
      <c r="O585" s="122"/>
      <c r="P585" s="97"/>
      <c r="Q585" s="122"/>
      <c r="R585" s="98">
        <f>SUMIFS('Shipments data'!L:L,'Shipments data'!F:F,'Supply planning data'!C585,'Shipments data'!A:A,'Supply planning data'!A585,'Shipments data'!Y:Y,'Supply planning data'!D585,'Shipments data'!O:O,"received", 'Shipments data'!N:N, "Public")</f>
        <v>0</v>
      </c>
      <c r="S585" s="98">
        <f>SUMIFS('Shipments data'!L:L,'Shipments data'!F:F,'Supply planning data'!C585,'Shipments data'!A:A,'Supply planning data'!A585,'Shipments data'!Y:Y,'Supply planning data'!D585,'Shipments data'!O:O,"ordered", 'Shipments data'!N:N, "Public")</f>
        <v>0</v>
      </c>
      <c r="T585" s="98">
        <f>IF(SUMIFS('Shipments data'!L:L,'Shipments data'!F:F,'Supply planning data'!C585,'Shipments data'!A:A,'Supply planning data'!A585,'Shipments data'!O:O,"received",'Shipments data'!Q:Q,"&lt;"&amp;'Supply planning data'!D600,'Shipments data'!AC:AC,"&lt;"&amp;'Supply planning data'!D600)-SUMIFS(M:M,D:D,"&lt;="&amp;D585,C:C,C585)+SUMIFS(N:N,D:D,"&lt;="&amp;D585,C:C,C585)+SUMIFS(P:P,D:D,"&lt;="&amp;D585,C:C,C585)&lt;0,0,SUMIFS('Shipments data'!L:L,'Shipments data'!F:F,'Supply planning data'!C585,'Shipments data'!A:A,'Supply planning data'!A585,'Shipments data'!O:O,"received",'Shipments data'!Q:Q,"&lt;"&amp;'Supply planning data'!D600,'Shipments data'!AC:AC,"&lt;"&amp;'Supply planning data'!D600)-SUMIFS(M:M,D:D,"&lt;="&amp;D585,C:C,C585)+SUMIFS(N:N,D:D,"&lt;="&amp;D585,C:C,C585)+SUMIFS(P:P,D:D,"&lt;="&amp;D585,C:C,C585))</f>
        <v>0</v>
      </c>
      <c r="U585" s="99">
        <f t="shared" si="170"/>
        <v>0</v>
      </c>
      <c r="V585" s="98">
        <f t="shared" si="178"/>
        <v>0</v>
      </c>
      <c r="W585" s="203" t="str">
        <f t="shared" si="176"/>
        <v/>
      </c>
      <c r="X585" s="98">
        <f t="shared" si="171"/>
        <v>0</v>
      </c>
      <c r="Y585" s="97"/>
      <c r="Z585" s="93"/>
      <c r="AA585" s="98">
        <f t="shared" si="182"/>
        <v>0</v>
      </c>
      <c r="AB585" s="233"/>
      <c r="AC585" s="98">
        <f>IF(SUMIFS('Shipments data'!L:L,'Shipments data'!F:F,'Supply planning data'!C585,'Shipments data'!A:A,'Supply planning data'!A585,'Shipments data'!O:O,"received",'Shipments data'!Q:Q,"&lt;"&amp;'Supply planning data'!D600,'Shipments data'!AC:AC,"&lt;"&amp;'Supply planning data'!D600)-SUMIFS(M:M,D:D,"&lt;="&amp;D585,C:C,C585)-SUMIFS(AA:AA,D:D,"&lt;="&amp;D585,C:C,C585)+SUMIFS(N:N,D:D,"&lt;="&amp;D585,C:C,C585)+SUMIFS(P:P,D:D,"&lt;="&amp;D585,C:C,C585)&lt;0,0,SUMIFS('Shipments data'!L:L,'Shipments data'!F:F,'Supply planning data'!C585,'Shipments data'!A:A,'Supply planning data'!A585,'Shipments data'!O:O,"received",'Shipments data'!Q:Q,"&lt;"&amp;'Supply planning data'!D600,'Shipments data'!AC:AC,"&lt;"&amp;'Supply planning data'!D600)-SUMIFS(M:M,D:D,"&lt;="&amp;D585,C:C,C585)-SUMIFS(AA:AA,D:D,"&lt;="&amp;D585,C:C,C585)+SUMIFS(N:N,D:D,"&lt;="&amp;D585,C:C,C585)+SUMIFS(P:P,D:D,"&lt;="&amp;D585,C:C,C585))</f>
        <v>0</v>
      </c>
      <c r="AD585" s="98">
        <f t="shared" si="172"/>
        <v>0</v>
      </c>
      <c r="AE585" s="98">
        <f t="shared" si="184"/>
        <v>0</v>
      </c>
      <c r="AF585" s="205" t="str">
        <f t="shared" si="175"/>
        <v/>
      </c>
      <c r="AG585" s="98">
        <f t="shared" si="173"/>
        <v>0</v>
      </c>
      <c r="AH585" s="97"/>
      <c r="AI585" s="311"/>
      <c r="AJ585" s="98">
        <f t="shared" si="183"/>
        <v>0</v>
      </c>
      <c r="AK585" s="233"/>
      <c r="AL585" s="98">
        <f>IF(SUMIFS('Shipments data'!L:L,'Shipments data'!F:F,'Supply planning data'!C585,'Shipments data'!A:A,'Supply planning data'!A585,'Shipments data'!O:O,"received",'Shipments data'!Q:Q,"&lt;"&amp;'Supply planning data'!D600,'Shipments data'!AC:AC,"&lt;"&amp;'Supply planning data'!D600)-SUMIFS(M:M,D:D,"&lt;="&amp;D585,C:C,C585)-SUMIFS(AJ:AJ,D:D,"&lt;="&amp;D585,C:C,C585)+SUMIFS(N:N,D:D,"&lt;="&amp;D585,C:C,C585)+SUMIFS(P:P,D:D,"&lt;="&amp;D585,C:C,C585)&lt;0,0,SUMIFS('Shipments data'!L:L,'Shipments data'!F:F,'Supply planning data'!C585,'Shipments data'!A:A,'Supply planning data'!A585,'Shipments data'!O:O,"received",'Shipments data'!Q:Q,"&lt;"&amp;'Supply planning data'!D600,'Shipments data'!AC:AC,"&lt;"&amp;'Supply planning data'!D600)-SUMIFS(M:M,D:D,"&lt;="&amp;D585,C:C,C585)-SUMIFS(AJ:AJ,D:D,"&lt;="&amp;D585,C:C,C585)+SUMIFS(N:N,D:D,"&lt;="&amp;D585,C:C,C585)+SUMIFS(P:P,D:D,"&lt;="&amp;D585,C:C,C585))</f>
        <v>0</v>
      </c>
      <c r="AM585" s="98">
        <f t="shared" si="174"/>
        <v>0</v>
      </c>
      <c r="AN585" s="98">
        <f t="shared" si="185"/>
        <v>0</v>
      </c>
      <c r="AO585" s="203" t="str">
        <f t="shared" si="177"/>
        <v/>
      </c>
    </row>
    <row r="586" spans="1:41" hidden="1" x14ac:dyDescent="0.25">
      <c r="A586" s="95" t="str">
        <f>Start!D$7</f>
        <v>Anyland</v>
      </c>
      <c r="B586" s="96" t="str">
        <f>VLOOKUP(A586,list!B:C,2,FALSE)</f>
        <v>ANY</v>
      </c>
      <c r="C586" s="90" t="str">
        <f>IF(Start!$C$28="","",Start!$C$28)</f>
        <v/>
      </c>
      <c r="D586" s="296">
        <f t="shared" si="168"/>
        <v>45352</v>
      </c>
      <c r="E586" s="92" t="str">
        <f>IFERROR(VLOOKUP(C586,Start!C$15:D$31,2,FALSE),"No")</f>
        <v>No</v>
      </c>
      <c r="F586" s="92">
        <f t="shared" si="169"/>
        <v>0</v>
      </c>
      <c r="G586" s="91"/>
      <c r="H586" s="97"/>
      <c r="I586" s="97"/>
      <c r="J586" s="98">
        <f t="shared" si="179"/>
        <v>0</v>
      </c>
      <c r="K586" s="97"/>
      <c r="L586" s="175" t="str">
        <f t="shared" si="180"/>
        <v/>
      </c>
      <c r="M586" s="98">
        <f t="shared" si="181"/>
        <v>0</v>
      </c>
      <c r="N586" s="97"/>
      <c r="O586" s="122"/>
      <c r="P586" s="97"/>
      <c r="Q586" s="122"/>
      <c r="R586" s="98">
        <f>SUMIFS('Shipments data'!L:L,'Shipments data'!F:F,'Supply planning data'!C586,'Shipments data'!A:A,'Supply planning data'!A586,'Shipments data'!Y:Y,'Supply planning data'!D586,'Shipments data'!O:O,"received", 'Shipments data'!N:N, "Public")</f>
        <v>0</v>
      </c>
      <c r="S586" s="98">
        <f>SUMIFS('Shipments data'!L:L,'Shipments data'!F:F,'Supply planning data'!C586,'Shipments data'!A:A,'Supply planning data'!A586,'Shipments data'!Y:Y,'Supply planning data'!D586,'Shipments data'!O:O,"ordered", 'Shipments data'!N:N, "Public")</f>
        <v>0</v>
      </c>
      <c r="T586" s="98">
        <f>IF(SUMIFS('Shipments data'!L:L,'Shipments data'!F:F,'Supply planning data'!C586,'Shipments data'!A:A,'Supply planning data'!A586,'Shipments data'!O:O,"received",'Shipments data'!Q:Q,"&lt;"&amp;'Supply planning data'!D601,'Shipments data'!AC:AC,"&lt;"&amp;'Supply planning data'!D601)-SUMIFS(M:M,D:D,"&lt;="&amp;D586,C:C,C586)+SUMIFS(N:N,D:D,"&lt;="&amp;D586,C:C,C586)+SUMIFS(P:P,D:D,"&lt;="&amp;D586,C:C,C586)&lt;0,0,SUMIFS('Shipments data'!L:L,'Shipments data'!F:F,'Supply planning data'!C586,'Shipments data'!A:A,'Supply planning data'!A586,'Shipments data'!O:O,"received",'Shipments data'!Q:Q,"&lt;"&amp;'Supply planning data'!D601,'Shipments data'!AC:AC,"&lt;"&amp;'Supply planning data'!D601)-SUMIFS(M:M,D:D,"&lt;="&amp;D586,C:C,C586)+SUMIFS(N:N,D:D,"&lt;="&amp;D586,C:C,C586)+SUMIFS(P:P,D:D,"&lt;="&amp;D586,C:C,C586))</f>
        <v>0</v>
      </c>
      <c r="U586" s="99">
        <f t="shared" si="170"/>
        <v>0</v>
      </c>
      <c r="V586" s="98">
        <f t="shared" si="178"/>
        <v>0</v>
      </c>
      <c r="W586" s="203" t="str">
        <f t="shared" si="176"/>
        <v/>
      </c>
      <c r="X586" s="98">
        <f t="shared" si="171"/>
        <v>0</v>
      </c>
      <c r="Y586" s="97"/>
      <c r="Z586" s="93"/>
      <c r="AA586" s="98">
        <f t="shared" si="182"/>
        <v>0</v>
      </c>
      <c r="AB586" s="233"/>
      <c r="AC586" s="98">
        <f>IF(SUMIFS('Shipments data'!L:L,'Shipments data'!F:F,'Supply planning data'!C586,'Shipments data'!A:A,'Supply planning data'!A586,'Shipments data'!O:O,"received",'Shipments data'!Q:Q,"&lt;"&amp;'Supply planning data'!D601,'Shipments data'!AC:AC,"&lt;"&amp;'Supply planning data'!D601)-SUMIFS(M:M,D:D,"&lt;="&amp;D586,C:C,C586)-SUMIFS(AA:AA,D:D,"&lt;="&amp;D586,C:C,C586)+SUMIFS(N:N,D:D,"&lt;="&amp;D586,C:C,C586)+SUMIFS(P:P,D:D,"&lt;="&amp;D586,C:C,C586)&lt;0,0,SUMIFS('Shipments data'!L:L,'Shipments data'!F:F,'Supply planning data'!C586,'Shipments data'!A:A,'Supply planning data'!A586,'Shipments data'!O:O,"received",'Shipments data'!Q:Q,"&lt;"&amp;'Supply planning data'!D601,'Shipments data'!AC:AC,"&lt;"&amp;'Supply planning data'!D601)-SUMIFS(M:M,D:D,"&lt;="&amp;D586,C:C,C586)-SUMIFS(AA:AA,D:D,"&lt;="&amp;D586,C:C,C586)+SUMIFS(N:N,D:D,"&lt;="&amp;D586,C:C,C586)+SUMIFS(P:P,D:D,"&lt;="&amp;D586,C:C,C586))</f>
        <v>0</v>
      </c>
      <c r="AD586" s="98">
        <f t="shared" si="172"/>
        <v>0</v>
      </c>
      <c r="AE586" s="98">
        <f t="shared" si="184"/>
        <v>0</v>
      </c>
      <c r="AF586" s="205" t="str">
        <f t="shared" si="175"/>
        <v/>
      </c>
      <c r="AG586" s="98">
        <f t="shared" si="173"/>
        <v>0</v>
      </c>
      <c r="AH586" s="97"/>
      <c r="AI586" s="311"/>
      <c r="AJ586" s="98">
        <f t="shared" si="183"/>
        <v>0</v>
      </c>
      <c r="AK586" s="233"/>
      <c r="AL586" s="98">
        <f>IF(SUMIFS('Shipments data'!L:L,'Shipments data'!F:F,'Supply planning data'!C586,'Shipments data'!A:A,'Supply planning data'!A586,'Shipments data'!O:O,"received",'Shipments data'!Q:Q,"&lt;"&amp;'Supply planning data'!D601,'Shipments data'!AC:AC,"&lt;"&amp;'Supply planning data'!D601)-SUMIFS(M:M,D:D,"&lt;="&amp;D586,C:C,C586)-SUMIFS(AJ:AJ,D:D,"&lt;="&amp;D586,C:C,C586)+SUMIFS(N:N,D:D,"&lt;="&amp;D586,C:C,C586)+SUMIFS(P:P,D:D,"&lt;="&amp;D586,C:C,C586)&lt;0,0,SUMIFS('Shipments data'!L:L,'Shipments data'!F:F,'Supply planning data'!C586,'Shipments data'!A:A,'Supply planning data'!A586,'Shipments data'!O:O,"received",'Shipments data'!Q:Q,"&lt;"&amp;'Supply planning data'!D601,'Shipments data'!AC:AC,"&lt;"&amp;'Supply planning data'!D601)-SUMIFS(M:M,D:D,"&lt;="&amp;D586,C:C,C586)-SUMIFS(AJ:AJ,D:D,"&lt;="&amp;D586,C:C,C586)+SUMIFS(N:N,D:D,"&lt;="&amp;D586,C:C,C586)+SUMIFS(P:P,D:D,"&lt;="&amp;D586,C:C,C586))</f>
        <v>0</v>
      </c>
      <c r="AM586" s="98">
        <f t="shared" si="174"/>
        <v>0</v>
      </c>
      <c r="AN586" s="98">
        <f t="shared" si="185"/>
        <v>0</v>
      </c>
      <c r="AO586" s="203" t="str">
        <f t="shared" si="177"/>
        <v/>
      </c>
    </row>
    <row r="587" spans="1:41" hidden="1" x14ac:dyDescent="0.25">
      <c r="A587" s="95" t="str">
        <f>Start!D$7</f>
        <v>Anyland</v>
      </c>
      <c r="B587" s="96" t="str">
        <f>VLOOKUP(A587,list!B:C,2,FALSE)</f>
        <v>ANY</v>
      </c>
      <c r="C587" s="90" t="str">
        <f>IF(Start!$C$29="","",Start!$C$29)</f>
        <v/>
      </c>
      <c r="D587" s="296">
        <f t="shared" si="168"/>
        <v>45352</v>
      </c>
      <c r="E587" s="92" t="str">
        <f>IFERROR(VLOOKUP(C587,Start!C$15:D$31,2,FALSE),"No")</f>
        <v>No</v>
      </c>
      <c r="F587" s="92">
        <f t="shared" si="169"/>
        <v>0</v>
      </c>
      <c r="G587" s="91"/>
      <c r="H587" s="97"/>
      <c r="I587" s="97"/>
      <c r="J587" s="98">
        <f t="shared" si="179"/>
        <v>0</v>
      </c>
      <c r="K587" s="97"/>
      <c r="L587" s="175" t="str">
        <f t="shared" si="180"/>
        <v/>
      </c>
      <c r="M587" s="98">
        <f t="shared" si="181"/>
        <v>0</v>
      </c>
      <c r="N587" s="97"/>
      <c r="O587" s="122"/>
      <c r="P587" s="97"/>
      <c r="Q587" s="122"/>
      <c r="R587" s="98">
        <f>SUMIFS('Shipments data'!L:L,'Shipments data'!F:F,'Supply planning data'!C587,'Shipments data'!A:A,'Supply planning data'!A587,'Shipments data'!Y:Y,'Supply planning data'!D587,'Shipments data'!O:O,"received", 'Shipments data'!N:N, "Public")</f>
        <v>0</v>
      </c>
      <c r="S587" s="98">
        <f>SUMIFS('Shipments data'!L:L,'Shipments data'!F:F,'Supply planning data'!C587,'Shipments data'!A:A,'Supply planning data'!A587,'Shipments data'!Y:Y,'Supply planning data'!D587,'Shipments data'!O:O,"ordered", 'Shipments data'!N:N, "Public")</f>
        <v>0</v>
      </c>
      <c r="T587" s="98">
        <f>IF(SUMIFS('Shipments data'!L:L,'Shipments data'!F:F,'Supply planning data'!C587,'Shipments data'!A:A,'Supply planning data'!A587,'Shipments data'!O:O,"received",'Shipments data'!Q:Q,"&lt;"&amp;'Supply planning data'!D602,'Shipments data'!AC:AC,"&lt;"&amp;'Supply planning data'!D602)-SUMIFS(M:M,D:D,"&lt;="&amp;D587,C:C,C587)+SUMIFS(N:N,D:D,"&lt;="&amp;D587,C:C,C587)+SUMIFS(P:P,D:D,"&lt;="&amp;D587,C:C,C587)&lt;0,0,SUMIFS('Shipments data'!L:L,'Shipments data'!F:F,'Supply planning data'!C587,'Shipments data'!A:A,'Supply planning data'!A587,'Shipments data'!O:O,"received",'Shipments data'!Q:Q,"&lt;"&amp;'Supply planning data'!D602,'Shipments data'!AC:AC,"&lt;"&amp;'Supply planning data'!D602)-SUMIFS(M:M,D:D,"&lt;="&amp;D587,C:C,C587)+SUMIFS(N:N,D:D,"&lt;="&amp;D587,C:C,C587)+SUMIFS(P:P,D:D,"&lt;="&amp;D587,C:C,C587))</f>
        <v>0</v>
      </c>
      <c r="U587" s="99">
        <f t="shared" si="170"/>
        <v>0</v>
      </c>
      <c r="V587" s="98">
        <f t="shared" si="178"/>
        <v>0</v>
      </c>
      <c r="W587" s="203" t="str">
        <f t="shared" si="176"/>
        <v/>
      </c>
      <c r="X587" s="98">
        <f t="shared" si="171"/>
        <v>0</v>
      </c>
      <c r="Y587" s="97"/>
      <c r="Z587" s="93"/>
      <c r="AA587" s="98">
        <f t="shared" si="182"/>
        <v>0</v>
      </c>
      <c r="AB587" s="233"/>
      <c r="AC587" s="98">
        <f>IF(SUMIFS('Shipments data'!L:L,'Shipments data'!F:F,'Supply planning data'!C587,'Shipments data'!A:A,'Supply planning data'!A587,'Shipments data'!O:O,"received",'Shipments data'!Q:Q,"&lt;"&amp;'Supply planning data'!D602,'Shipments data'!AC:AC,"&lt;"&amp;'Supply planning data'!D602)-SUMIFS(M:M,D:D,"&lt;="&amp;D587,C:C,C587)-SUMIFS(AA:AA,D:D,"&lt;="&amp;D587,C:C,C587)+SUMIFS(N:N,D:D,"&lt;="&amp;D587,C:C,C587)+SUMIFS(P:P,D:D,"&lt;="&amp;D587,C:C,C587)&lt;0,0,SUMIFS('Shipments data'!L:L,'Shipments data'!F:F,'Supply planning data'!C587,'Shipments data'!A:A,'Supply planning data'!A587,'Shipments data'!O:O,"received",'Shipments data'!Q:Q,"&lt;"&amp;'Supply planning data'!D602,'Shipments data'!AC:AC,"&lt;"&amp;'Supply planning data'!D602)-SUMIFS(M:M,D:D,"&lt;="&amp;D587,C:C,C587)-SUMIFS(AA:AA,D:D,"&lt;="&amp;D587,C:C,C587)+SUMIFS(N:N,D:D,"&lt;="&amp;D587,C:C,C587)+SUMIFS(P:P,D:D,"&lt;="&amp;D587,C:C,C587))</f>
        <v>0</v>
      </c>
      <c r="AD587" s="98">
        <f t="shared" si="172"/>
        <v>0</v>
      </c>
      <c r="AE587" s="98">
        <f t="shared" si="184"/>
        <v>0</v>
      </c>
      <c r="AF587" s="205" t="str">
        <f t="shared" si="175"/>
        <v/>
      </c>
      <c r="AG587" s="98">
        <f t="shared" si="173"/>
        <v>0</v>
      </c>
      <c r="AH587" s="97"/>
      <c r="AI587" s="311"/>
      <c r="AJ587" s="98">
        <f t="shared" si="183"/>
        <v>0</v>
      </c>
      <c r="AK587" s="233"/>
      <c r="AL587" s="98">
        <f>IF(SUMIFS('Shipments data'!L:L,'Shipments data'!F:F,'Supply planning data'!C587,'Shipments data'!A:A,'Supply planning data'!A587,'Shipments data'!O:O,"received",'Shipments data'!Q:Q,"&lt;"&amp;'Supply planning data'!D602,'Shipments data'!AC:AC,"&lt;"&amp;'Supply planning data'!D602)-SUMIFS(M:M,D:D,"&lt;="&amp;D587,C:C,C587)-SUMIFS(AJ:AJ,D:D,"&lt;="&amp;D587,C:C,C587)+SUMIFS(N:N,D:D,"&lt;="&amp;D587,C:C,C587)+SUMIFS(P:P,D:D,"&lt;="&amp;D587,C:C,C587)&lt;0,0,SUMIFS('Shipments data'!L:L,'Shipments data'!F:F,'Supply planning data'!C587,'Shipments data'!A:A,'Supply planning data'!A587,'Shipments data'!O:O,"received",'Shipments data'!Q:Q,"&lt;"&amp;'Supply planning data'!D602,'Shipments data'!AC:AC,"&lt;"&amp;'Supply planning data'!D602)-SUMIFS(M:M,D:D,"&lt;="&amp;D587,C:C,C587)-SUMIFS(AJ:AJ,D:D,"&lt;="&amp;D587,C:C,C587)+SUMIFS(N:N,D:D,"&lt;="&amp;D587,C:C,C587)+SUMIFS(P:P,D:D,"&lt;="&amp;D587,C:C,C587))</f>
        <v>0</v>
      </c>
      <c r="AM587" s="98">
        <f t="shared" si="174"/>
        <v>0</v>
      </c>
      <c r="AN587" s="98">
        <f t="shared" si="185"/>
        <v>0</v>
      </c>
      <c r="AO587" s="203" t="str">
        <f t="shared" si="177"/>
        <v/>
      </c>
    </row>
    <row r="588" spans="1:41" hidden="1" x14ac:dyDescent="0.25">
      <c r="A588" s="95" t="str">
        <f>Start!D$7</f>
        <v>Anyland</v>
      </c>
      <c r="B588" s="96" t="str">
        <f>VLOOKUP(A588,list!B:C,2,FALSE)</f>
        <v>ANY</v>
      </c>
      <c r="C588" s="90" t="str">
        <f>IF(Start!$C$30="","",Start!$C$30)</f>
        <v/>
      </c>
      <c r="D588" s="296">
        <f t="shared" si="168"/>
        <v>45352</v>
      </c>
      <c r="E588" s="92" t="str">
        <f>IFERROR(VLOOKUP(C588,Start!C$15:D$31,2,FALSE),"No")</f>
        <v>No</v>
      </c>
      <c r="F588" s="92">
        <f t="shared" si="169"/>
        <v>0</v>
      </c>
      <c r="G588" s="91"/>
      <c r="H588" s="97"/>
      <c r="I588" s="97"/>
      <c r="J588" s="98">
        <f t="shared" si="179"/>
        <v>0</v>
      </c>
      <c r="K588" s="97"/>
      <c r="L588" s="175" t="str">
        <f t="shared" si="180"/>
        <v/>
      </c>
      <c r="M588" s="98">
        <f t="shared" si="181"/>
        <v>0</v>
      </c>
      <c r="N588" s="97"/>
      <c r="O588" s="122"/>
      <c r="P588" s="97"/>
      <c r="Q588" s="122"/>
      <c r="R588" s="98">
        <f>SUMIFS('Shipments data'!L:L,'Shipments data'!F:F,'Supply planning data'!C588,'Shipments data'!A:A,'Supply planning data'!A588,'Shipments data'!Y:Y,'Supply planning data'!D588,'Shipments data'!O:O,"received", 'Shipments data'!N:N, "Public")</f>
        <v>0</v>
      </c>
      <c r="S588" s="98">
        <f>SUMIFS('Shipments data'!L:L,'Shipments data'!F:F,'Supply planning data'!C588,'Shipments data'!A:A,'Supply planning data'!A588,'Shipments data'!Y:Y,'Supply planning data'!D588,'Shipments data'!O:O,"ordered", 'Shipments data'!N:N, "Public")</f>
        <v>0</v>
      </c>
      <c r="T588" s="98">
        <f>IF(SUMIFS('Shipments data'!L:L,'Shipments data'!F:F,'Supply planning data'!C588,'Shipments data'!A:A,'Supply planning data'!A588,'Shipments data'!O:O,"received",'Shipments data'!Q:Q,"&lt;"&amp;'Supply planning data'!D603,'Shipments data'!AC:AC,"&lt;"&amp;'Supply planning data'!D603)-SUMIFS(M:M,D:D,"&lt;="&amp;D588,C:C,C588)+SUMIFS(N:N,D:D,"&lt;="&amp;D588,C:C,C588)+SUMIFS(P:P,D:D,"&lt;="&amp;D588,C:C,C588)&lt;0,0,SUMIFS('Shipments data'!L:L,'Shipments data'!F:F,'Supply planning data'!C588,'Shipments data'!A:A,'Supply planning data'!A588,'Shipments data'!O:O,"received",'Shipments data'!Q:Q,"&lt;"&amp;'Supply planning data'!D603,'Shipments data'!AC:AC,"&lt;"&amp;'Supply planning data'!D603)-SUMIFS(M:M,D:D,"&lt;="&amp;D588,C:C,C588)+SUMIFS(N:N,D:D,"&lt;="&amp;D588,C:C,C588)+SUMIFS(P:P,D:D,"&lt;="&amp;D588,C:C,C588))</f>
        <v>0</v>
      </c>
      <c r="U588" s="99">
        <f t="shared" si="170"/>
        <v>0</v>
      </c>
      <c r="V588" s="98">
        <f t="shared" si="178"/>
        <v>0</v>
      </c>
      <c r="W588" s="203" t="str">
        <f t="shared" si="176"/>
        <v/>
      </c>
      <c r="X588" s="98">
        <f t="shared" si="171"/>
        <v>0</v>
      </c>
      <c r="Y588" s="97"/>
      <c r="Z588" s="93"/>
      <c r="AA588" s="98">
        <f t="shared" si="182"/>
        <v>0</v>
      </c>
      <c r="AB588" s="233"/>
      <c r="AC588" s="98">
        <f>IF(SUMIFS('Shipments data'!L:L,'Shipments data'!F:F,'Supply planning data'!C588,'Shipments data'!A:A,'Supply planning data'!A588,'Shipments data'!O:O,"received",'Shipments data'!Q:Q,"&lt;"&amp;'Supply planning data'!D603,'Shipments data'!AC:AC,"&lt;"&amp;'Supply planning data'!D603)-SUMIFS(M:M,D:D,"&lt;="&amp;D588,C:C,C588)-SUMIFS(AA:AA,D:D,"&lt;="&amp;D588,C:C,C588)+SUMIFS(N:N,D:D,"&lt;="&amp;D588,C:C,C588)+SUMIFS(P:P,D:D,"&lt;="&amp;D588,C:C,C588)&lt;0,0,SUMIFS('Shipments data'!L:L,'Shipments data'!F:F,'Supply planning data'!C588,'Shipments data'!A:A,'Supply planning data'!A588,'Shipments data'!O:O,"received",'Shipments data'!Q:Q,"&lt;"&amp;'Supply planning data'!D603,'Shipments data'!AC:AC,"&lt;"&amp;'Supply planning data'!D603)-SUMIFS(M:M,D:D,"&lt;="&amp;D588,C:C,C588)-SUMIFS(AA:AA,D:D,"&lt;="&amp;D588,C:C,C588)+SUMIFS(N:N,D:D,"&lt;="&amp;D588,C:C,C588)+SUMIFS(P:P,D:D,"&lt;="&amp;D588,C:C,C588))</f>
        <v>0</v>
      </c>
      <c r="AD588" s="98">
        <f t="shared" si="172"/>
        <v>0</v>
      </c>
      <c r="AE588" s="98">
        <f t="shared" si="184"/>
        <v>0</v>
      </c>
      <c r="AF588" s="205" t="str">
        <f t="shared" si="175"/>
        <v/>
      </c>
      <c r="AG588" s="98">
        <f t="shared" si="173"/>
        <v>0</v>
      </c>
      <c r="AH588" s="97"/>
      <c r="AI588" s="311"/>
      <c r="AJ588" s="98">
        <f t="shared" si="183"/>
        <v>0</v>
      </c>
      <c r="AK588" s="233"/>
      <c r="AL588" s="98">
        <f>IF(SUMIFS('Shipments data'!L:L,'Shipments data'!F:F,'Supply planning data'!C588,'Shipments data'!A:A,'Supply planning data'!A588,'Shipments data'!O:O,"received",'Shipments data'!Q:Q,"&lt;"&amp;'Supply planning data'!D603,'Shipments data'!AC:AC,"&lt;"&amp;'Supply planning data'!D603)-SUMIFS(M:M,D:D,"&lt;="&amp;D588,C:C,C588)-SUMIFS(AJ:AJ,D:D,"&lt;="&amp;D588,C:C,C588)+SUMIFS(N:N,D:D,"&lt;="&amp;D588,C:C,C588)+SUMIFS(P:P,D:D,"&lt;="&amp;D588,C:C,C588)&lt;0,0,SUMIFS('Shipments data'!L:L,'Shipments data'!F:F,'Supply planning data'!C588,'Shipments data'!A:A,'Supply planning data'!A588,'Shipments data'!O:O,"received",'Shipments data'!Q:Q,"&lt;"&amp;'Supply planning data'!D603,'Shipments data'!AC:AC,"&lt;"&amp;'Supply planning data'!D603)-SUMIFS(M:M,D:D,"&lt;="&amp;D588,C:C,C588)-SUMIFS(AJ:AJ,D:D,"&lt;="&amp;D588,C:C,C588)+SUMIFS(N:N,D:D,"&lt;="&amp;D588,C:C,C588)+SUMIFS(P:P,D:D,"&lt;="&amp;D588,C:C,C588))</f>
        <v>0</v>
      </c>
      <c r="AM588" s="98">
        <f t="shared" si="174"/>
        <v>0</v>
      </c>
      <c r="AN588" s="98">
        <f t="shared" si="185"/>
        <v>0</v>
      </c>
      <c r="AO588" s="203" t="str">
        <f t="shared" si="177"/>
        <v/>
      </c>
    </row>
    <row r="589" spans="1:41" hidden="1" x14ac:dyDescent="0.25">
      <c r="A589" s="95" t="str">
        <f>Start!D$7</f>
        <v>Anyland</v>
      </c>
      <c r="B589" s="100" t="str">
        <f>VLOOKUP(A589,list!B:C,2,FALSE)</f>
        <v>ANY</v>
      </c>
      <c r="C589" s="90" t="str">
        <f>IF(Start!$C$31="","",Start!$C$31)</f>
        <v/>
      </c>
      <c r="D589" s="296">
        <f t="shared" si="168"/>
        <v>45352</v>
      </c>
      <c r="E589" s="92" t="str">
        <f>IFERROR(VLOOKUP(C589,Start!C$15:D$31,2,FALSE),"No")</f>
        <v>No</v>
      </c>
      <c r="F589" s="92">
        <f t="shared" si="169"/>
        <v>0</v>
      </c>
      <c r="G589" s="91"/>
      <c r="H589" s="97"/>
      <c r="I589" s="97"/>
      <c r="J589" s="98">
        <f t="shared" si="179"/>
        <v>0</v>
      </c>
      <c r="K589" s="97"/>
      <c r="L589" s="175" t="str">
        <f t="shared" si="180"/>
        <v/>
      </c>
      <c r="M589" s="98">
        <f t="shared" si="181"/>
        <v>0</v>
      </c>
      <c r="N589" s="97"/>
      <c r="O589" s="122"/>
      <c r="P589" s="97"/>
      <c r="Q589" s="122"/>
      <c r="R589" s="98">
        <f>SUMIFS('Shipments data'!L:L,'Shipments data'!F:F,'Supply planning data'!C589,'Shipments data'!A:A,'Supply planning data'!A589,'Shipments data'!Y:Y,'Supply planning data'!D589,'Shipments data'!O:O,"received", 'Shipments data'!N:N, "Public")</f>
        <v>0</v>
      </c>
      <c r="S589" s="98">
        <f>SUMIFS('Shipments data'!L:L,'Shipments data'!F:F,'Supply planning data'!C589,'Shipments data'!A:A,'Supply planning data'!A589,'Shipments data'!Y:Y,'Supply planning data'!D589,'Shipments data'!O:O,"ordered", 'Shipments data'!N:N, "Public")</f>
        <v>0</v>
      </c>
      <c r="T589" s="98">
        <f>IF(SUMIFS('Shipments data'!L:L,'Shipments data'!F:F,'Supply planning data'!C589,'Shipments data'!A:A,'Supply planning data'!A589,'Shipments data'!O:O,"received",'Shipments data'!Q:Q,"&lt;"&amp;'Supply planning data'!D604,'Shipments data'!AC:AC,"&lt;"&amp;'Supply planning data'!D604)-SUMIFS(M:M,D:D,"&lt;="&amp;D589,C:C,C589)+SUMIFS(N:N,D:D,"&lt;="&amp;D589,C:C,C589)+SUMIFS(P:P,D:D,"&lt;="&amp;D589,C:C,C589)&lt;0,0,SUMIFS('Shipments data'!L:L,'Shipments data'!F:F,'Supply planning data'!C589,'Shipments data'!A:A,'Supply planning data'!A589,'Shipments data'!O:O,"received",'Shipments data'!Q:Q,"&lt;"&amp;'Supply planning data'!D604,'Shipments data'!AC:AC,"&lt;"&amp;'Supply planning data'!D604)-SUMIFS(M:M,D:D,"&lt;="&amp;D589,C:C,C589)+SUMIFS(N:N,D:D,"&lt;="&amp;D589,C:C,C589)+SUMIFS(P:P,D:D,"&lt;="&amp;D589,C:C,C589))</f>
        <v>0</v>
      </c>
      <c r="U589" s="99">
        <f t="shared" si="170"/>
        <v>0</v>
      </c>
      <c r="V589" s="98">
        <f t="shared" si="178"/>
        <v>0</v>
      </c>
      <c r="W589" s="203" t="str">
        <f t="shared" si="176"/>
        <v/>
      </c>
      <c r="X589" s="98">
        <f t="shared" si="171"/>
        <v>0</v>
      </c>
      <c r="Y589" s="97"/>
      <c r="Z589" s="93"/>
      <c r="AA589" s="98">
        <f t="shared" si="182"/>
        <v>0</v>
      </c>
      <c r="AB589" s="233"/>
      <c r="AC589" s="98">
        <f>IF(SUMIFS('Shipments data'!L:L,'Shipments data'!F:F,'Supply planning data'!C589,'Shipments data'!A:A,'Supply planning data'!A589,'Shipments data'!O:O,"received",'Shipments data'!Q:Q,"&lt;"&amp;'Supply planning data'!D604,'Shipments data'!AC:AC,"&lt;"&amp;'Supply planning data'!D604)-SUMIFS(M:M,D:D,"&lt;="&amp;D589,C:C,C589)-SUMIFS(AA:AA,D:D,"&lt;="&amp;D589,C:C,C589)+SUMIFS(N:N,D:D,"&lt;="&amp;D589,C:C,C589)+SUMIFS(P:P,D:D,"&lt;="&amp;D589,C:C,C589)&lt;0,0,SUMIFS('Shipments data'!L:L,'Shipments data'!F:F,'Supply planning data'!C589,'Shipments data'!A:A,'Supply planning data'!A589,'Shipments data'!O:O,"received",'Shipments data'!Q:Q,"&lt;"&amp;'Supply planning data'!D604,'Shipments data'!AC:AC,"&lt;"&amp;'Supply planning data'!D604)-SUMIFS(M:M,D:D,"&lt;="&amp;D589,C:C,C589)-SUMIFS(AA:AA,D:D,"&lt;="&amp;D589,C:C,C589)+SUMIFS(N:N,D:D,"&lt;="&amp;D589,C:C,C589)+SUMIFS(P:P,D:D,"&lt;="&amp;D589,C:C,C589))</f>
        <v>0</v>
      </c>
      <c r="AD589" s="98">
        <f t="shared" si="172"/>
        <v>0</v>
      </c>
      <c r="AE589" s="98">
        <f t="shared" si="184"/>
        <v>0</v>
      </c>
      <c r="AF589" s="205" t="str">
        <f t="shared" si="175"/>
        <v/>
      </c>
      <c r="AG589" s="98">
        <f t="shared" si="173"/>
        <v>0</v>
      </c>
      <c r="AH589" s="97"/>
      <c r="AI589" s="311"/>
      <c r="AJ589" s="98">
        <f t="shared" si="183"/>
        <v>0</v>
      </c>
      <c r="AK589" s="233"/>
      <c r="AL589" s="98">
        <f>IF(SUMIFS('Shipments data'!L:L,'Shipments data'!F:F,'Supply planning data'!C589,'Shipments data'!A:A,'Supply planning data'!A589,'Shipments data'!O:O,"received",'Shipments data'!Q:Q,"&lt;"&amp;'Supply planning data'!D604,'Shipments data'!AC:AC,"&lt;"&amp;'Supply planning data'!D604)-SUMIFS(M:M,D:D,"&lt;="&amp;D589,C:C,C589)-SUMIFS(AJ:AJ,D:D,"&lt;="&amp;D589,C:C,C589)+SUMIFS(N:N,D:D,"&lt;="&amp;D589,C:C,C589)+SUMIFS(P:P,D:D,"&lt;="&amp;D589,C:C,C589)&lt;0,0,SUMIFS('Shipments data'!L:L,'Shipments data'!F:F,'Supply planning data'!C589,'Shipments data'!A:A,'Supply planning data'!A589,'Shipments data'!O:O,"received",'Shipments data'!Q:Q,"&lt;"&amp;'Supply planning data'!D604,'Shipments data'!AC:AC,"&lt;"&amp;'Supply planning data'!D604)-SUMIFS(M:M,D:D,"&lt;="&amp;D589,C:C,C589)-SUMIFS(AJ:AJ,D:D,"&lt;="&amp;D589,C:C,C589)+SUMIFS(N:N,D:D,"&lt;="&amp;D589,C:C,C589)+SUMIFS(P:P,D:D,"&lt;="&amp;D589,C:C,C589))</f>
        <v>0</v>
      </c>
      <c r="AM589" s="98">
        <f t="shared" si="174"/>
        <v>0</v>
      </c>
      <c r="AN589" s="98">
        <f t="shared" si="185"/>
        <v>0</v>
      </c>
      <c r="AO589" s="203" t="str">
        <f t="shared" si="177"/>
        <v/>
      </c>
    </row>
    <row r="590" spans="1:41" x14ac:dyDescent="0.25">
      <c r="A590" s="103" t="str">
        <f>Start!D$7</f>
        <v>Anyland</v>
      </c>
      <c r="B590" s="104" t="str">
        <f>VLOOKUP(A590,list!B:C,2,FALSE)</f>
        <v>ANY</v>
      </c>
      <c r="C590" s="104" t="str">
        <f>IF(Start!$C$17="","",Start!$C$17)</f>
        <v>AstraZeneca</v>
      </c>
      <c r="D590" s="298">
        <f t="shared" si="168"/>
        <v>45383</v>
      </c>
      <c r="E590" s="105" t="str">
        <f>IFERROR(VLOOKUP(C590,Start!C$15:D$31,2,FALSE),"No")</f>
        <v>Yes</v>
      </c>
      <c r="F590" s="105">
        <f t="shared" si="169"/>
        <v>0</v>
      </c>
      <c r="G590" s="106"/>
      <c r="H590" s="106"/>
      <c r="I590" s="106"/>
      <c r="J590" s="105">
        <f t="shared" si="179"/>
        <v>0</v>
      </c>
      <c r="K590" s="106"/>
      <c r="L590" s="177" t="str">
        <f t="shared" si="180"/>
        <v/>
      </c>
      <c r="M590" s="105">
        <f t="shared" si="181"/>
        <v>0</v>
      </c>
      <c r="N590" s="106"/>
      <c r="O590" s="123"/>
      <c r="P590" s="106"/>
      <c r="Q590" s="123"/>
      <c r="R590" s="105">
        <f>SUMIFS('Shipments data'!L:L,'Shipments data'!F:F,'Supply planning data'!C590,'Shipments data'!A:A,'Supply planning data'!A590,'Shipments data'!Y:Y,'Supply planning data'!D590,'Shipments data'!O:O,"received", 'Shipments data'!N:N, "Public")</f>
        <v>0</v>
      </c>
      <c r="S590" s="105">
        <f>SUMIFS('Shipments data'!L:L,'Shipments data'!F:F,'Supply planning data'!C590,'Shipments data'!A:A,'Supply planning data'!A590,'Shipments data'!Y:Y,'Supply planning data'!D590,'Shipments data'!O:O,"ordered", 'Shipments data'!N:N, "Public")</f>
        <v>0</v>
      </c>
      <c r="T590" s="105">
        <f>IF(SUMIFS('Shipments data'!L:L,'Shipments data'!F:F,'Supply planning data'!C590,'Shipments data'!A:A,'Supply planning data'!A590,'Shipments data'!O:O,"received",'Shipments data'!Q:Q,"&lt;"&amp;'Supply planning data'!D605,'Shipments data'!AC:AC,"&lt;"&amp;'Supply planning data'!D605)-SUMIFS(M:M,D:D,"&lt;="&amp;D590,C:C,C590)+SUMIFS(N:N,D:D,"&lt;="&amp;D590,C:C,C590)+SUMIFS(P:P,D:D,"&lt;="&amp;D590,C:C,C590)&lt;0,0,SUMIFS('Shipments data'!L:L,'Shipments data'!F:F,'Supply planning data'!C590,'Shipments data'!A:A,'Supply planning data'!A590,'Shipments data'!O:O,"received",'Shipments data'!Q:Q,"&lt;"&amp;'Supply planning data'!D605,'Shipments data'!AC:AC,"&lt;"&amp;'Supply planning data'!D605)-SUMIFS(M:M,D:D,"&lt;="&amp;D590,C:C,C590)+SUMIFS(N:N,D:D,"&lt;="&amp;D590,C:C,C590)+SUMIFS(P:P,D:D,"&lt;="&amp;D590,C:C,C590))</f>
        <v>0</v>
      </c>
      <c r="U590" s="108">
        <f t="shared" si="170"/>
        <v>0</v>
      </c>
      <c r="V590" s="105">
        <f t="shared" si="178"/>
        <v>0</v>
      </c>
      <c r="W590" s="206" t="str">
        <f t="shared" si="176"/>
        <v/>
      </c>
      <c r="X590" s="105">
        <f t="shared" si="171"/>
        <v>154701</v>
      </c>
      <c r="Y590" s="106"/>
      <c r="Z590" s="107"/>
      <c r="AA590" s="105">
        <f t="shared" si="182"/>
        <v>0</v>
      </c>
      <c r="AB590" s="234"/>
      <c r="AC590" s="105">
        <f>IF(SUMIFS('Shipments data'!L:L,'Shipments data'!F:F,'Supply planning data'!C590,'Shipments data'!A:A,'Supply planning data'!A590,'Shipments data'!O:O,"received",'Shipments data'!Q:Q,"&lt;"&amp;'Supply planning data'!D605,'Shipments data'!AC:AC,"&lt;"&amp;'Supply planning data'!D605)-SUMIFS(M:M,D:D,"&lt;="&amp;D590,C:C,C590)-SUMIFS(AA:AA,D:D,"&lt;="&amp;D590,C:C,C590)+SUMIFS(N:N,D:D,"&lt;="&amp;D590,C:C,C590)+SUMIFS(P:P,D:D,"&lt;="&amp;D590,C:C,C590)&lt;0,0,SUMIFS('Shipments data'!L:L,'Shipments data'!F:F,'Supply planning data'!C590,'Shipments data'!A:A,'Supply planning data'!A590,'Shipments data'!O:O,"received",'Shipments data'!Q:Q,"&lt;"&amp;'Supply planning data'!D605,'Shipments data'!AC:AC,"&lt;"&amp;'Supply planning data'!D605)-SUMIFS(M:M,D:D,"&lt;="&amp;D590,C:C,C590)-SUMIFS(AA:AA,D:D,"&lt;="&amp;D590,C:C,C590)+SUMIFS(N:N,D:D,"&lt;="&amp;D590,C:C,C590)+SUMIFS(P:P,D:D,"&lt;="&amp;D590,C:C,C590))</f>
        <v>0</v>
      </c>
      <c r="AD590" s="105">
        <f t="shared" si="172"/>
        <v>0</v>
      </c>
      <c r="AE590" s="105">
        <f t="shared" si="184"/>
        <v>154701</v>
      </c>
      <c r="AF590" s="206" t="str">
        <f t="shared" si="175"/>
        <v/>
      </c>
      <c r="AG590" s="105">
        <f t="shared" si="173"/>
        <v>0</v>
      </c>
      <c r="AH590" s="106"/>
      <c r="AI590" s="312"/>
      <c r="AJ590" s="105">
        <f t="shared" si="183"/>
        <v>0</v>
      </c>
      <c r="AK590" s="234"/>
      <c r="AL590" s="105">
        <f>IF(SUMIFS('Shipments data'!L:L,'Shipments data'!F:F,'Supply planning data'!C590,'Shipments data'!A:A,'Supply planning data'!A590,'Shipments data'!O:O,"received",'Shipments data'!Q:Q,"&lt;"&amp;'Supply planning data'!D605,'Shipments data'!AC:AC,"&lt;"&amp;'Supply planning data'!D605)-SUMIFS(M:M,D:D,"&lt;="&amp;D590,C:C,C590)-SUMIFS(AJ:AJ,D:D,"&lt;="&amp;D590,C:C,C590)+SUMIFS(N:N,D:D,"&lt;="&amp;D590,C:C,C590)+SUMIFS(P:P,D:D,"&lt;="&amp;D590,C:C,C590)&lt;0,0,SUMIFS('Shipments data'!L:L,'Shipments data'!F:F,'Supply planning data'!C590,'Shipments data'!A:A,'Supply planning data'!A590,'Shipments data'!O:O,"received",'Shipments data'!Q:Q,"&lt;"&amp;'Supply planning data'!D605,'Shipments data'!AC:AC,"&lt;"&amp;'Supply planning data'!D605)-SUMIFS(M:M,D:D,"&lt;="&amp;D590,C:C,C590)-SUMIFS(AJ:AJ,D:D,"&lt;="&amp;D590,C:C,C590)+SUMIFS(N:N,D:D,"&lt;="&amp;D590,C:C,C590)+SUMIFS(P:P,D:D,"&lt;="&amp;D590,C:C,C590))</f>
        <v>0</v>
      </c>
      <c r="AM590" s="105">
        <f t="shared" si="174"/>
        <v>0</v>
      </c>
      <c r="AN590" s="105">
        <f t="shared" si="185"/>
        <v>0</v>
      </c>
      <c r="AO590" s="206" t="str">
        <f t="shared" si="177"/>
        <v/>
      </c>
    </row>
    <row r="591" spans="1:41" x14ac:dyDescent="0.25">
      <c r="A591" s="103" t="str">
        <f>Start!D$7</f>
        <v>Anyland</v>
      </c>
      <c r="B591" s="109" t="str">
        <f>VLOOKUP(A591,list!B:C,2,FALSE)</f>
        <v>ANY</v>
      </c>
      <c r="C591" s="109" t="str">
        <f>IF(Start!$C$18="","",Start!$C$18)</f>
        <v>Jansen</v>
      </c>
      <c r="D591" s="298">
        <f t="shared" si="168"/>
        <v>45383</v>
      </c>
      <c r="E591" s="105" t="str">
        <f>IFERROR(VLOOKUP(C591,Start!C$15:D$31,2,FALSE),"No")</f>
        <v>Yes</v>
      </c>
      <c r="F591" s="105">
        <f t="shared" si="169"/>
        <v>1871200</v>
      </c>
      <c r="G591" s="106"/>
      <c r="H591" s="106"/>
      <c r="I591" s="106"/>
      <c r="J591" s="105">
        <f t="shared" si="179"/>
        <v>0</v>
      </c>
      <c r="K591" s="106"/>
      <c r="L591" s="177" t="str">
        <f t="shared" si="180"/>
        <v/>
      </c>
      <c r="M591" s="105">
        <f t="shared" si="181"/>
        <v>0</v>
      </c>
      <c r="N591" s="110"/>
      <c r="O591" s="124"/>
      <c r="P591" s="110"/>
      <c r="Q591" s="124"/>
      <c r="R591" s="111">
        <f>SUMIFS('Shipments data'!L:L,'Shipments data'!F:F,'Supply planning data'!C591,'Shipments data'!A:A,'Supply planning data'!A591,'Shipments data'!Y:Y,'Supply planning data'!D591,'Shipments data'!O:O,"received", 'Shipments data'!N:N, "Public")</f>
        <v>0</v>
      </c>
      <c r="S591" s="111">
        <f>SUMIFS('Shipments data'!L:L,'Shipments data'!F:F,'Supply planning data'!C591,'Shipments data'!A:A,'Supply planning data'!A591,'Shipments data'!Y:Y,'Supply planning data'!D591,'Shipments data'!O:O,"ordered", 'Shipments data'!N:N, "Public")</f>
        <v>0</v>
      </c>
      <c r="T591" s="111">
        <f>IF(SUMIFS('Shipments data'!L:L,'Shipments data'!F:F,'Supply planning data'!C591,'Shipments data'!A:A,'Supply planning data'!A591,'Shipments data'!O:O,"received",'Shipments data'!Q:Q,"&lt;"&amp;'Supply planning data'!D606,'Shipments data'!AC:AC,"&lt;"&amp;'Supply planning data'!D606)-SUMIFS(M:M,D:D,"&lt;="&amp;D591,C:C,C591)+SUMIFS(N:N,D:D,"&lt;="&amp;D591,C:C,C591)+SUMIFS(P:P,D:D,"&lt;="&amp;D591,C:C,C591)&lt;0,0,SUMIFS('Shipments data'!L:L,'Shipments data'!F:F,'Supply planning data'!C591,'Shipments data'!A:A,'Supply planning data'!A591,'Shipments data'!O:O,"received",'Shipments data'!Q:Q,"&lt;"&amp;'Supply planning data'!D606,'Shipments data'!AC:AC,"&lt;"&amp;'Supply planning data'!D606)-SUMIFS(M:M,D:D,"&lt;="&amp;D591,C:C,C591)+SUMIFS(N:N,D:D,"&lt;="&amp;D591,C:C,C591)+SUMIFS(P:P,D:D,"&lt;="&amp;D591,C:C,C591))</f>
        <v>387547</v>
      </c>
      <c r="U591" s="112">
        <f t="shared" si="170"/>
        <v>0</v>
      </c>
      <c r="V591" s="111">
        <f t="shared" si="178"/>
        <v>1871200</v>
      </c>
      <c r="W591" s="204" t="str">
        <f t="shared" si="176"/>
        <v/>
      </c>
      <c r="X591" s="111">
        <f t="shared" si="171"/>
        <v>1311200</v>
      </c>
      <c r="Y591" s="110"/>
      <c r="Z591" s="107"/>
      <c r="AA591" s="111">
        <f t="shared" si="182"/>
        <v>0</v>
      </c>
      <c r="AB591" s="235"/>
      <c r="AC591" s="111">
        <f>IF(SUMIFS('Shipments data'!L:L,'Shipments data'!F:F,'Supply planning data'!C591,'Shipments data'!A:A,'Supply planning data'!A591,'Shipments data'!O:O,"received",'Shipments data'!Q:Q,"&lt;"&amp;'Supply planning data'!D606,'Shipments data'!AC:AC,"&lt;"&amp;'Supply planning data'!D606)-SUMIFS(M:M,D:D,"&lt;="&amp;D591,C:C,C591)-SUMIFS(AA:AA,D:D,"&lt;="&amp;D591,C:C,C591)+SUMIFS(N:N,D:D,"&lt;="&amp;D591,C:C,C591)+SUMIFS(P:P,D:D,"&lt;="&amp;D591,C:C,C591)&lt;0,0,SUMIFS('Shipments data'!L:L,'Shipments data'!F:F,'Supply planning data'!C591,'Shipments data'!A:A,'Supply planning data'!A591,'Shipments data'!O:O,"received",'Shipments data'!Q:Q,"&lt;"&amp;'Supply planning data'!D606,'Shipments data'!AC:AC,"&lt;"&amp;'Supply planning data'!D606)-SUMIFS(M:M,D:D,"&lt;="&amp;D591,C:C,C591)-SUMIFS(AA:AA,D:D,"&lt;="&amp;D591,C:C,C591)+SUMIFS(N:N,D:D,"&lt;="&amp;D591,C:C,C591)+SUMIFS(P:P,D:D,"&lt;="&amp;D591,C:C,C591))</f>
        <v>0</v>
      </c>
      <c r="AD591" s="111">
        <f t="shared" si="172"/>
        <v>0</v>
      </c>
      <c r="AE591" s="111">
        <f t="shared" si="184"/>
        <v>1311200</v>
      </c>
      <c r="AF591" s="204" t="str">
        <f t="shared" si="175"/>
        <v/>
      </c>
      <c r="AG591" s="111">
        <f t="shared" si="173"/>
        <v>1871200</v>
      </c>
      <c r="AH591" s="110"/>
      <c r="AI591" s="313"/>
      <c r="AJ591" s="111">
        <f t="shared" si="183"/>
        <v>0</v>
      </c>
      <c r="AK591" s="235"/>
      <c r="AL591" s="111">
        <f>IF(SUMIFS('Shipments data'!L:L,'Shipments data'!F:F,'Supply planning data'!C591,'Shipments data'!A:A,'Supply planning data'!A591,'Shipments data'!O:O,"received",'Shipments data'!Q:Q,"&lt;"&amp;'Supply planning data'!D606,'Shipments data'!AC:AC,"&lt;"&amp;'Supply planning data'!D606)-SUMIFS(M:M,D:D,"&lt;="&amp;D591,C:C,C591)-SUMIFS(AJ:AJ,D:D,"&lt;="&amp;D591,C:C,C591)+SUMIFS(N:N,D:D,"&lt;="&amp;D591,C:C,C591)+SUMIFS(P:P,D:D,"&lt;="&amp;D591,C:C,C591)&lt;0,0,SUMIFS('Shipments data'!L:L,'Shipments data'!F:F,'Supply planning data'!C591,'Shipments data'!A:A,'Supply planning data'!A591,'Shipments data'!O:O,"received",'Shipments data'!Q:Q,"&lt;"&amp;'Supply planning data'!D606,'Shipments data'!AC:AC,"&lt;"&amp;'Supply planning data'!D606)-SUMIFS(M:M,D:D,"&lt;="&amp;D591,C:C,C591)-SUMIFS(AJ:AJ,D:D,"&lt;="&amp;D591,C:C,C591)+SUMIFS(N:N,D:D,"&lt;="&amp;D591,C:C,C591)+SUMIFS(P:P,D:D,"&lt;="&amp;D591,C:C,C591))</f>
        <v>387547</v>
      </c>
      <c r="AM591" s="111">
        <f t="shared" si="174"/>
        <v>0</v>
      </c>
      <c r="AN591" s="111">
        <f t="shared" si="185"/>
        <v>1871200</v>
      </c>
      <c r="AO591" s="204" t="str">
        <f t="shared" si="177"/>
        <v/>
      </c>
    </row>
    <row r="592" spans="1:41" x14ac:dyDescent="0.25">
      <c r="A592" s="103" t="str">
        <f>Start!D$7</f>
        <v>Anyland</v>
      </c>
      <c r="B592" s="109" t="str">
        <f>VLOOKUP(A592,list!B:C,2,FALSE)</f>
        <v>ANY</v>
      </c>
      <c r="C592" s="104" t="str">
        <f>IF(Start!$C$19="","",Start!$C$19)</f>
        <v>Moderna</v>
      </c>
      <c r="D592" s="298">
        <f t="shared" si="168"/>
        <v>45383</v>
      </c>
      <c r="E592" s="105" t="str">
        <f>IFERROR(VLOOKUP(C592,Start!C$15:D$31,2,FALSE),"No")</f>
        <v>No</v>
      </c>
      <c r="F592" s="105">
        <f t="shared" si="169"/>
        <v>0</v>
      </c>
      <c r="G592" s="106"/>
      <c r="H592" s="106"/>
      <c r="I592" s="106"/>
      <c r="J592" s="105">
        <f t="shared" si="179"/>
        <v>0</v>
      </c>
      <c r="K592" s="106"/>
      <c r="L592" s="177" t="str">
        <f t="shared" si="180"/>
        <v/>
      </c>
      <c r="M592" s="105">
        <f t="shared" si="181"/>
        <v>0</v>
      </c>
      <c r="N592" s="110"/>
      <c r="O592" s="124"/>
      <c r="P592" s="110"/>
      <c r="Q592" s="124"/>
      <c r="R592" s="111">
        <f>SUMIFS('Shipments data'!L:L,'Shipments data'!F:F,'Supply planning data'!C592,'Shipments data'!A:A,'Supply planning data'!A592,'Shipments data'!Y:Y,'Supply planning data'!D592,'Shipments data'!O:O,"received", 'Shipments data'!N:N, "Public")</f>
        <v>0</v>
      </c>
      <c r="S592" s="111">
        <f>SUMIFS('Shipments data'!L:L,'Shipments data'!F:F,'Supply planning data'!C592,'Shipments data'!A:A,'Supply planning data'!A592,'Shipments data'!Y:Y,'Supply planning data'!D592,'Shipments data'!O:O,"ordered", 'Shipments data'!N:N, "Public")</f>
        <v>0</v>
      </c>
      <c r="T592" s="111">
        <f>IF(SUMIFS('Shipments data'!L:L,'Shipments data'!F:F,'Supply planning data'!C592,'Shipments data'!A:A,'Supply planning data'!A592,'Shipments data'!O:O,"received",'Shipments data'!Q:Q,"&lt;"&amp;'Supply planning data'!D607,'Shipments data'!AC:AC,"&lt;"&amp;'Supply planning data'!D607)-SUMIFS(M:M,D:D,"&lt;="&amp;D592,C:C,C592)+SUMIFS(N:N,D:D,"&lt;="&amp;D592,C:C,C592)+SUMIFS(P:P,D:D,"&lt;="&amp;D592,C:C,C592)&lt;0,0,SUMIFS('Shipments data'!L:L,'Shipments data'!F:F,'Supply planning data'!C592,'Shipments data'!A:A,'Supply planning data'!A592,'Shipments data'!O:O,"received",'Shipments data'!Q:Q,"&lt;"&amp;'Supply planning data'!D607,'Shipments data'!AC:AC,"&lt;"&amp;'Supply planning data'!D607)-SUMIFS(M:M,D:D,"&lt;="&amp;D592,C:C,C592)+SUMIFS(N:N,D:D,"&lt;="&amp;D592,C:C,C592)+SUMIFS(P:P,D:D,"&lt;="&amp;D592,C:C,C592))</f>
        <v>0</v>
      </c>
      <c r="U592" s="112">
        <f t="shared" si="170"/>
        <v>0</v>
      </c>
      <c r="V592" s="111">
        <f t="shared" si="178"/>
        <v>0</v>
      </c>
      <c r="W592" s="204" t="str">
        <f t="shared" si="176"/>
        <v/>
      </c>
      <c r="X592" s="111">
        <f t="shared" si="171"/>
        <v>0</v>
      </c>
      <c r="Y592" s="110"/>
      <c r="Z592" s="107"/>
      <c r="AA592" s="111">
        <f t="shared" si="182"/>
        <v>0</v>
      </c>
      <c r="AB592" s="235"/>
      <c r="AC592" s="111">
        <f>IF(SUMIFS('Shipments data'!L:L,'Shipments data'!F:F,'Supply planning data'!C592,'Shipments data'!A:A,'Supply planning data'!A592,'Shipments data'!O:O,"received",'Shipments data'!Q:Q,"&lt;"&amp;'Supply planning data'!D607,'Shipments data'!AC:AC,"&lt;"&amp;'Supply planning data'!D607)-SUMIFS(M:M,D:D,"&lt;="&amp;D592,C:C,C592)-SUMIFS(AA:AA,D:D,"&lt;="&amp;D592,C:C,C592)+SUMIFS(N:N,D:D,"&lt;="&amp;D592,C:C,C592)+SUMIFS(P:P,D:D,"&lt;="&amp;D592,C:C,C592)&lt;0,0,SUMIFS('Shipments data'!L:L,'Shipments data'!F:F,'Supply planning data'!C592,'Shipments data'!A:A,'Supply planning data'!A592,'Shipments data'!O:O,"received",'Shipments data'!Q:Q,"&lt;"&amp;'Supply planning data'!D607,'Shipments data'!AC:AC,"&lt;"&amp;'Supply planning data'!D607)-SUMIFS(M:M,D:D,"&lt;="&amp;D592,C:C,C592)-SUMIFS(AA:AA,D:D,"&lt;="&amp;D592,C:C,C592)+SUMIFS(N:N,D:D,"&lt;="&amp;D592,C:C,C592)+SUMIFS(P:P,D:D,"&lt;="&amp;D592,C:C,C592))</f>
        <v>0</v>
      </c>
      <c r="AD592" s="111">
        <f t="shared" si="172"/>
        <v>0</v>
      </c>
      <c r="AE592" s="111">
        <f t="shared" si="184"/>
        <v>0</v>
      </c>
      <c r="AF592" s="204" t="str">
        <f t="shared" si="175"/>
        <v/>
      </c>
      <c r="AG592" s="111">
        <f t="shared" si="173"/>
        <v>0</v>
      </c>
      <c r="AH592" s="110"/>
      <c r="AI592" s="313"/>
      <c r="AJ592" s="111">
        <f t="shared" si="183"/>
        <v>0</v>
      </c>
      <c r="AK592" s="235"/>
      <c r="AL592" s="111">
        <f>IF(SUMIFS('Shipments data'!L:L,'Shipments data'!F:F,'Supply planning data'!C592,'Shipments data'!A:A,'Supply planning data'!A592,'Shipments data'!O:O,"received",'Shipments data'!Q:Q,"&lt;"&amp;'Supply planning data'!D607,'Shipments data'!AC:AC,"&lt;"&amp;'Supply planning data'!D607)-SUMIFS(M:M,D:D,"&lt;="&amp;D592,C:C,C592)-SUMIFS(AJ:AJ,D:D,"&lt;="&amp;D592,C:C,C592)+SUMIFS(N:N,D:D,"&lt;="&amp;D592,C:C,C592)+SUMIFS(P:P,D:D,"&lt;="&amp;D592,C:C,C592)&lt;0,0,SUMIFS('Shipments data'!L:L,'Shipments data'!F:F,'Supply planning data'!C592,'Shipments data'!A:A,'Supply planning data'!A592,'Shipments data'!O:O,"received",'Shipments data'!Q:Q,"&lt;"&amp;'Supply planning data'!D607,'Shipments data'!AC:AC,"&lt;"&amp;'Supply planning data'!D607)-SUMIFS(M:M,D:D,"&lt;="&amp;D592,C:C,C592)-SUMIFS(AJ:AJ,D:D,"&lt;="&amp;D592,C:C,C592)+SUMIFS(N:N,D:D,"&lt;="&amp;D592,C:C,C592)+SUMIFS(P:P,D:D,"&lt;="&amp;D592,C:C,C592))</f>
        <v>0</v>
      </c>
      <c r="AM592" s="111">
        <f t="shared" si="174"/>
        <v>0</v>
      </c>
      <c r="AN592" s="111">
        <f t="shared" si="185"/>
        <v>0</v>
      </c>
      <c r="AO592" s="204" t="str">
        <f t="shared" si="177"/>
        <v/>
      </c>
    </row>
    <row r="593" spans="1:41" x14ac:dyDescent="0.25">
      <c r="A593" s="103" t="str">
        <f>Start!D$7</f>
        <v>Anyland</v>
      </c>
      <c r="B593" s="109" t="str">
        <f>VLOOKUP(A593,list!B:C,2,FALSE)</f>
        <v>ANY</v>
      </c>
      <c r="C593" s="109" t="str">
        <f>IF(Start!$C$20="","",Start!$C$20)</f>
        <v>Pfizer</v>
      </c>
      <c r="D593" s="298">
        <f t="shared" si="168"/>
        <v>45383</v>
      </c>
      <c r="E593" s="105" t="str">
        <f>IFERROR(VLOOKUP(C593,Start!C$15:D$31,2,FALSE),"No")</f>
        <v>Yes</v>
      </c>
      <c r="F593" s="105">
        <f t="shared" si="169"/>
        <v>3000000</v>
      </c>
      <c r="G593" s="106"/>
      <c r="H593" s="106"/>
      <c r="I593" s="106"/>
      <c r="J593" s="105">
        <f t="shared" si="179"/>
        <v>0</v>
      </c>
      <c r="K593" s="106"/>
      <c r="L593" s="177" t="str">
        <f t="shared" si="180"/>
        <v/>
      </c>
      <c r="M593" s="105">
        <f t="shared" si="181"/>
        <v>0</v>
      </c>
      <c r="N593" s="110"/>
      <c r="O593" s="124"/>
      <c r="P593" s="110"/>
      <c r="Q593" s="124"/>
      <c r="R593" s="111">
        <f>SUMIFS('Shipments data'!L:L,'Shipments data'!F:F,'Supply planning data'!C593,'Shipments data'!A:A,'Supply planning data'!A593,'Shipments data'!Y:Y,'Supply planning data'!D593,'Shipments data'!O:O,"received", 'Shipments data'!N:N, "Public")</f>
        <v>0</v>
      </c>
      <c r="S593" s="111">
        <f>SUMIFS('Shipments data'!L:L,'Shipments data'!F:F,'Supply planning data'!C593,'Shipments data'!A:A,'Supply planning data'!A593,'Shipments data'!Y:Y,'Supply planning data'!D593,'Shipments data'!O:O,"ordered", 'Shipments data'!N:N, "Public")</f>
        <v>0</v>
      </c>
      <c r="T593" s="111">
        <f>IF(SUMIFS('Shipments data'!L:L,'Shipments data'!F:F,'Supply planning data'!C593,'Shipments data'!A:A,'Supply planning data'!A593,'Shipments data'!O:O,"received",'Shipments data'!Q:Q,"&lt;"&amp;'Supply planning data'!D608,'Shipments data'!AC:AC,"&lt;"&amp;'Supply planning data'!D608)-SUMIFS(M:M,D:D,"&lt;="&amp;D593,C:C,C593)+SUMIFS(N:N,D:D,"&lt;="&amp;D593,C:C,C593)+SUMIFS(P:P,D:D,"&lt;="&amp;D593,C:C,C593)&lt;0,0,SUMIFS('Shipments data'!L:L,'Shipments data'!F:F,'Supply planning data'!C593,'Shipments data'!A:A,'Supply planning data'!A593,'Shipments data'!O:O,"received",'Shipments data'!Q:Q,"&lt;"&amp;'Supply planning data'!D608,'Shipments data'!AC:AC,"&lt;"&amp;'Supply planning data'!D608)-SUMIFS(M:M,D:D,"&lt;="&amp;D593,C:C,C593)+SUMIFS(N:N,D:D,"&lt;="&amp;D593,C:C,C593)+SUMIFS(P:P,D:D,"&lt;="&amp;D593,C:C,C593))</f>
        <v>110538</v>
      </c>
      <c r="U593" s="112">
        <f t="shared" si="170"/>
        <v>0</v>
      </c>
      <c r="V593" s="111">
        <f t="shared" si="178"/>
        <v>3000000</v>
      </c>
      <c r="W593" s="204" t="str">
        <f t="shared" si="176"/>
        <v/>
      </c>
      <c r="X593" s="111">
        <f t="shared" si="171"/>
        <v>2440000</v>
      </c>
      <c r="Y593" s="110"/>
      <c r="Z593" s="107"/>
      <c r="AA593" s="111">
        <f t="shared" si="182"/>
        <v>0</v>
      </c>
      <c r="AB593" s="235"/>
      <c r="AC593" s="111">
        <f>IF(SUMIFS('Shipments data'!L:L,'Shipments data'!F:F,'Supply planning data'!C593,'Shipments data'!A:A,'Supply planning data'!A593,'Shipments data'!O:O,"received",'Shipments data'!Q:Q,"&lt;"&amp;'Supply planning data'!D608,'Shipments data'!AC:AC,"&lt;"&amp;'Supply planning data'!D608)-SUMIFS(M:M,D:D,"&lt;="&amp;D593,C:C,C593)-SUMIFS(AA:AA,D:D,"&lt;="&amp;D593,C:C,C593)+SUMIFS(N:N,D:D,"&lt;="&amp;D593,C:C,C593)+SUMIFS(P:P,D:D,"&lt;="&amp;D593,C:C,C593)&lt;0,0,SUMIFS('Shipments data'!L:L,'Shipments data'!F:F,'Supply planning data'!C593,'Shipments data'!A:A,'Supply planning data'!A593,'Shipments data'!O:O,"received",'Shipments data'!Q:Q,"&lt;"&amp;'Supply planning data'!D608,'Shipments data'!AC:AC,"&lt;"&amp;'Supply planning data'!D608)-SUMIFS(M:M,D:D,"&lt;="&amp;D593,C:C,C593)-SUMIFS(AA:AA,D:D,"&lt;="&amp;D593,C:C,C593)+SUMIFS(N:N,D:D,"&lt;="&amp;D593,C:C,C593)+SUMIFS(P:P,D:D,"&lt;="&amp;D593,C:C,C593))</f>
        <v>0</v>
      </c>
      <c r="AD593" s="111">
        <f t="shared" si="172"/>
        <v>0</v>
      </c>
      <c r="AE593" s="111">
        <f t="shared" si="184"/>
        <v>2440000</v>
      </c>
      <c r="AF593" s="204" t="str">
        <f t="shared" si="175"/>
        <v/>
      </c>
      <c r="AG593" s="111">
        <f t="shared" si="173"/>
        <v>3000000</v>
      </c>
      <c r="AH593" s="110"/>
      <c r="AI593" s="313"/>
      <c r="AJ593" s="111">
        <f t="shared" si="183"/>
        <v>0</v>
      </c>
      <c r="AK593" s="235"/>
      <c r="AL593" s="111">
        <f>IF(SUMIFS('Shipments data'!L:L,'Shipments data'!F:F,'Supply planning data'!C593,'Shipments data'!A:A,'Supply planning data'!A593,'Shipments data'!O:O,"received",'Shipments data'!Q:Q,"&lt;"&amp;'Supply planning data'!D608,'Shipments data'!AC:AC,"&lt;"&amp;'Supply planning data'!D608)-SUMIFS(M:M,D:D,"&lt;="&amp;D593,C:C,C593)-SUMIFS(AJ:AJ,D:D,"&lt;="&amp;D593,C:C,C593)+SUMIFS(N:N,D:D,"&lt;="&amp;D593,C:C,C593)+SUMIFS(P:P,D:D,"&lt;="&amp;D593,C:C,C593)&lt;0,0,SUMIFS('Shipments data'!L:L,'Shipments data'!F:F,'Supply planning data'!C593,'Shipments data'!A:A,'Supply planning data'!A593,'Shipments data'!O:O,"received",'Shipments data'!Q:Q,"&lt;"&amp;'Supply planning data'!D608,'Shipments data'!AC:AC,"&lt;"&amp;'Supply planning data'!D608)-SUMIFS(M:M,D:D,"&lt;="&amp;D593,C:C,C593)-SUMIFS(AJ:AJ,D:D,"&lt;="&amp;D593,C:C,C593)+SUMIFS(N:N,D:D,"&lt;="&amp;D593,C:C,C593)+SUMIFS(P:P,D:D,"&lt;="&amp;D593,C:C,C593))</f>
        <v>110538</v>
      </c>
      <c r="AM593" s="111">
        <f t="shared" si="174"/>
        <v>0</v>
      </c>
      <c r="AN593" s="111">
        <f t="shared" si="185"/>
        <v>3000000</v>
      </c>
      <c r="AO593" s="204" t="str">
        <f t="shared" si="177"/>
        <v/>
      </c>
    </row>
    <row r="594" spans="1:41" x14ac:dyDescent="0.25">
      <c r="A594" s="103" t="str">
        <f>Start!D$7</f>
        <v>Anyland</v>
      </c>
      <c r="B594" s="109" t="str">
        <f>VLOOKUP(A594,list!B:C,2,FALSE)</f>
        <v>ANY</v>
      </c>
      <c r="C594" s="104" t="str">
        <f>IF(Start!$C$21="","",Start!$C$21)</f>
        <v>Sinovac</v>
      </c>
      <c r="D594" s="298">
        <f t="shared" si="168"/>
        <v>45383</v>
      </c>
      <c r="E594" s="105" t="str">
        <f>IFERROR(VLOOKUP(C594,Start!C$15:D$31,2,FALSE),"No")</f>
        <v>No</v>
      </c>
      <c r="F594" s="105">
        <f t="shared" si="169"/>
        <v>0</v>
      </c>
      <c r="G594" s="106"/>
      <c r="H594" s="106"/>
      <c r="I594" s="106"/>
      <c r="J594" s="105">
        <f t="shared" si="179"/>
        <v>0</v>
      </c>
      <c r="K594" s="106"/>
      <c r="L594" s="177" t="str">
        <f t="shared" si="180"/>
        <v/>
      </c>
      <c r="M594" s="105">
        <f t="shared" si="181"/>
        <v>0</v>
      </c>
      <c r="N594" s="110"/>
      <c r="O594" s="124"/>
      <c r="P594" s="110"/>
      <c r="Q594" s="124"/>
      <c r="R594" s="111">
        <f>SUMIFS('Shipments data'!L:L,'Shipments data'!F:F,'Supply planning data'!C594,'Shipments data'!A:A,'Supply planning data'!A594,'Shipments data'!Y:Y,'Supply planning data'!D594,'Shipments data'!O:O,"received", 'Shipments data'!N:N, "Public")</f>
        <v>0</v>
      </c>
      <c r="S594" s="111">
        <f>SUMIFS('Shipments data'!L:L,'Shipments data'!F:F,'Supply planning data'!C594,'Shipments data'!A:A,'Supply planning data'!A594,'Shipments data'!Y:Y,'Supply planning data'!D594,'Shipments data'!O:O,"ordered", 'Shipments data'!N:N, "Public")</f>
        <v>0</v>
      </c>
      <c r="T594" s="111">
        <f>IF(SUMIFS('Shipments data'!L:L,'Shipments data'!F:F,'Supply planning data'!C594,'Shipments data'!A:A,'Supply planning data'!A594,'Shipments data'!O:O,"received",'Shipments data'!Q:Q,"&lt;"&amp;'Supply planning data'!D609,'Shipments data'!AC:AC,"&lt;"&amp;'Supply planning data'!D609)-SUMIFS(M:M,D:D,"&lt;="&amp;D594,C:C,C594)+SUMIFS(N:N,D:D,"&lt;="&amp;D594,C:C,C594)+SUMIFS(P:P,D:D,"&lt;="&amp;D594,C:C,C594)&lt;0,0,SUMIFS('Shipments data'!L:L,'Shipments data'!F:F,'Supply planning data'!C594,'Shipments data'!A:A,'Supply planning data'!A594,'Shipments data'!O:O,"received",'Shipments data'!Q:Q,"&lt;"&amp;'Supply planning data'!D609,'Shipments data'!AC:AC,"&lt;"&amp;'Supply planning data'!D609)-SUMIFS(M:M,D:D,"&lt;="&amp;D594,C:C,C594)+SUMIFS(N:N,D:D,"&lt;="&amp;D594,C:C,C594)+SUMIFS(P:P,D:D,"&lt;="&amp;D594,C:C,C594))</f>
        <v>0</v>
      </c>
      <c r="U594" s="112">
        <f t="shared" si="170"/>
        <v>0</v>
      </c>
      <c r="V594" s="111">
        <f t="shared" si="178"/>
        <v>0</v>
      </c>
      <c r="W594" s="204" t="str">
        <f t="shared" si="176"/>
        <v/>
      </c>
      <c r="X594" s="111">
        <f t="shared" si="171"/>
        <v>0</v>
      </c>
      <c r="Y594" s="110"/>
      <c r="Z594" s="107"/>
      <c r="AA594" s="111">
        <f t="shared" si="182"/>
        <v>0</v>
      </c>
      <c r="AB594" s="235"/>
      <c r="AC594" s="111">
        <f>IF(SUMIFS('Shipments data'!L:L,'Shipments data'!F:F,'Supply planning data'!C594,'Shipments data'!A:A,'Supply planning data'!A594,'Shipments data'!O:O,"received",'Shipments data'!Q:Q,"&lt;"&amp;'Supply planning data'!D609,'Shipments data'!AC:AC,"&lt;"&amp;'Supply planning data'!D609)-SUMIFS(M:M,D:D,"&lt;="&amp;D594,C:C,C594)-SUMIFS(AA:AA,D:D,"&lt;="&amp;D594,C:C,C594)+SUMIFS(N:N,D:D,"&lt;="&amp;D594,C:C,C594)+SUMIFS(P:P,D:D,"&lt;="&amp;D594,C:C,C594)&lt;0,0,SUMIFS('Shipments data'!L:L,'Shipments data'!F:F,'Supply planning data'!C594,'Shipments data'!A:A,'Supply planning data'!A594,'Shipments data'!O:O,"received",'Shipments data'!Q:Q,"&lt;"&amp;'Supply planning data'!D609,'Shipments data'!AC:AC,"&lt;"&amp;'Supply planning data'!D609)-SUMIFS(M:M,D:D,"&lt;="&amp;D594,C:C,C594)-SUMIFS(AA:AA,D:D,"&lt;="&amp;D594,C:C,C594)+SUMIFS(N:N,D:D,"&lt;="&amp;D594,C:C,C594)+SUMIFS(P:P,D:D,"&lt;="&amp;D594,C:C,C594))</f>
        <v>0</v>
      </c>
      <c r="AD594" s="111">
        <f t="shared" si="172"/>
        <v>0</v>
      </c>
      <c r="AE594" s="111">
        <f t="shared" si="184"/>
        <v>0</v>
      </c>
      <c r="AF594" s="204" t="str">
        <f t="shared" si="175"/>
        <v/>
      </c>
      <c r="AG594" s="111">
        <f t="shared" si="173"/>
        <v>0</v>
      </c>
      <c r="AH594" s="110"/>
      <c r="AI594" s="313"/>
      <c r="AJ594" s="111">
        <f t="shared" si="183"/>
        <v>0</v>
      </c>
      <c r="AK594" s="235"/>
      <c r="AL594" s="111">
        <f>IF(SUMIFS('Shipments data'!L:L,'Shipments data'!F:F,'Supply planning data'!C594,'Shipments data'!A:A,'Supply planning data'!A594,'Shipments data'!O:O,"received",'Shipments data'!Q:Q,"&lt;"&amp;'Supply planning data'!D609,'Shipments data'!AC:AC,"&lt;"&amp;'Supply planning data'!D609)-SUMIFS(M:M,D:D,"&lt;="&amp;D594,C:C,C594)-SUMIFS(AJ:AJ,D:D,"&lt;="&amp;D594,C:C,C594)+SUMIFS(N:N,D:D,"&lt;="&amp;D594,C:C,C594)+SUMIFS(P:P,D:D,"&lt;="&amp;D594,C:C,C594)&lt;0,0,SUMIFS('Shipments data'!L:L,'Shipments data'!F:F,'Supply planning data'!C594,'Shipments data'!A:A,'Supply planning data'!A594,'Shipments data'!O:O,"received",'Shipments data'!Q:Q,"&lt;"&amp;'Supply planning data'!D609,'Shipments data'!AC:AC,"&lt;"&amp;'Supply planning data'!D609)-SUMIFS(M:M,D:D,"&lt;="&amp;D594,C:C,C594)-SUMIFS(AJ:AJ,D:D,"&lt;="&amp;D594,C:C,C594)+SUMIFS(N:N,D:D,"&lt;="&amp;D594,C:C,C594)+SUMIFS(P:P,D:D,"&lt;="&amp;D594,C:C,C594))</f>
        <v>0</v>
      </c>
      <c r="AM594" s="111">
        <f t="shared" si="174"/>
        <v>0</v>
      </c>
      <c r="AN594" s="111">
        <f t="shared" si="185"/>
        <v>0</v>
      </c>
      <c r="AO594" s="204" t="str">
        <f t="shared" si="177"/>
        <v/>
      </c>
    </row>
    <row r="595" spans="1:41" hidden="1" x14ac:dyDescent="0.25">
      <c r="A595" s="103" t="str">
        <f>Start!D$7</f>
        <v>Anyland</v>
      </c>
      <c r="B595" s="109" t="str">
        <f>VLOOKUP(A595,list!B:C,2,FALSE)</f>
        <v>ANY</v>
      </c>
      <c r="C595" s="109" t="str">
        <f>IF(Start!$C$22="","",Start!$C$22)</f>
        <v/>
      </c>
      <c r="D595" s="298">
        <f t="shared" si="168"/>
        <v>45383</v>
      </c>
      <c r="E595" s="105" t="str">
        <f>IFERROR(VLOOKUP(C595,Start!C$15:D$31,2,FALSE),"No")</f>
        <v>No</v>
      </c>
      <c r="F595" s="105">
        <f t="shared" si="169"/>
        <v>0</v>
      </c>
      <c r="G595" s="106"/>
      <c r="H595" s="106"/>
      <c r="I595" s="106"/>
      <c r="J595" s="105">
        <f t="shared" si="179"/>
        <v>0</v>
      </c>
      <c r="K595" s="106"/>
      <c r="L595" s="177" t="str">
        <f t="shared" si="180"/>
        <v/>
      </c>
      <c r="M595" s="105">
        <f t="shared" si="181"/>
        <v>0</v>
      </c>
      <c r="N595" s="110"/>
      <c r="O595" s="124"/>
      <c r="P595" s="110"/>
      <c r="Q595" s="124"/>
      <c r="R595" s="111">
        <f>SUMIFS('Shipments data'!L:L,'Shipments data'!F:F,'Supply planning data'!C595,'Shipments data'!A:A,'Supply planning data'!A595,'Shipments data'!Y:Y,'Supply planning data'!D595,'Shipments data'!O:O,"received", 'Shipments data'!N:N, "Public")</f>
        <v>0</v>
      </c>
      <c r="S595" s="111">
        <f>SUMIFS('Shipments data'!L:L,'Shipments data'!F:F,'Supply planning data'!C595,'Shipments data'!A:A,'Supply planning data'!A595,'Shipments data'!Y:Y,'Supply planning data'!D595,'Shipments data'!O:O,"ordered", 'Shipments data'!N:N, "Public")</f>
        <v>0</v>
      </c>
      <c r="T595" s="111">
        <f>IF(SUMIFS('Shipments data'!L:L,'Shipments data'!F:F,'Supply planning data'!C595,'Shipments data'!A:A,'Supply planning data'!A595,'Shipments data'!O:O,"received",'Shipments data'!Q:Q,"&lt;"&amp;'Supply planning data'!D610,'Shipments data'!AC:AC,"&lt;"&amp;'Supply planning data'!D610)-SUMIFS(M:M,D:D,"&lt;="&amp;D595,C:C,C595)+SUMIFS(N:N,D:D,"&lt;="&amp;D595,C:C,C595)+SUMIFS(P:P,D:D,"&lt;="&amp;D595,C:C,C595)&lt;0,0,SUMIFS('Shipments data'!L:L,'Shipments data'!F:F,'Supply planning data'!C595,'Shipments data'!A:A,'Supply planning data'!A595,'Shipments data'!O:O,"received",'Shipments data'!Q:Q,"&lt;"&amp;'Supply planning data'!D610,'Shipments data'!AC:AC,"&lt;"&amp;'Supply planning data'!D610)-SUMIFS(M:M,D:D,"&lt;="&amp;D595,C:C,C595)+SUMIFS(N:N,D:D,"&lt;="&amp;D595,C:C,C595)+SUMIFS(P:P,D:D,"&lt;="&amp;D595,C:C,C595))</f>
        <v>0</v>
      </c>
      <c r="U595" s="112">
        <f t="shared" si="170"/>
        <v>0</v>
      </c>
      <c r="V595" s="111">
        <f t="shared" si="178"/>
        <v>0</v>
      </c>
      <c r="W595" s="204" t="str">
        <f t="shared" si="176"/>
        <v/>
      </c>
      <c r="X595" s="111">
        <f t="shared" si="171"/>
        <v>0</v>
      </c>
      <c r="Y595" s="110"/>
      <c r="Z595" s="107"/>
      <c r="AA595" s="111">
        <f t="shared" si="182"/>
        <v>0</v>
      </c>
      <c r="AB595" s="235"/>
      <c r="AC595" s="111">
        <f>IF(SUMIFS('Shipments data'!L:L,'Shipments data'!F:F,'Supply planning data'!C595,'Shipments data'!A:A,'Supply planning data'!A595,'Shipments data'!O:O,"received",'Shipments data'!Q:Q,"&lt;"&amp;'Supply planning data'!D610,'Shipments data'!AC:AC,"&lt;"&amp;'Supply planning data'!D610)-SUMIFS(M:M,D:D,"&lt;="&amp;D595,C:C,C595)-SUMIFS(AA:AA,D:D,"&lt;="&amp;D595,C:C,C595)+SUMIFS(N:N,D:D,"&lt;="&amp;D595,C:C,C595)+SUMIFS(P:P,D:D,"&lt;="&amp;D595,C:C,C595)&lt;0,0,SUMIFS('Shipments data'!L:L,'Shipments data'!F:F,'Supply planning data'!C595,'Shipments data'!A:A,'Supply planning data'!A595,'Shipments data'!O:O,"received",'Shipments data'!Q:Q,"&lt;"&amp;'Supply planning data'!D610,'Shipments data'!AC:AC,"&lt;"&amp;'Supply planning data'!D610)-SUMIFS(M:M,D:D,"&lt;="&amp;D595,C:C,C595)-SUMIFS(AA:AA,D:D,"&lt;="&amp;D595,C:C,C595)+SUMIFS(N:N,D:D,"&lt;="&amp;D595,C:C,C595)+SUMIFS(P:P,D:D,"&lt;="&amp;D595,C:C,C595))</f>
        <v>0</v>
      </c>
      <c r="AD595" s="111">
        <f t="shared" si="172"/>
        <v>0</v>
      </c>
      <c r="AE595" s="111">
        <f t="shared" si="184"/>
        <v>0</v>
      </c>
      <c r="AF595" s="204" t="str">
        <f t="shared" si="175"/>
        <v/>
      </c>
      <c r="AG595" s="111">
        <f t="shared" si="173"/>
        <v>0</v>
      </c>
      <c r="AH595" s="110"/>
      <c r="AI595" s="313"/>
      <c r="AJ595" s="111">
        <f t="shared" si="183"/>
        <v>0</v>
      </c>
      <c r="AK595" s="235"/>
      <c r="AL595" s="111">
        <f>IF(SUMIFS('Shipments data'!L:L,'Shipments data'!F:F,'Supply planning data'!C595,'Shipments data'!A:A,'Supply planning data'!A595,'Shipments data'!O:O,"received",'Shipments data'!Q:Q,"&lt;"&amp;'Supply planning data'!D610,'Shipments data'!AC:AC,"&lt;"&amp;'Supply planning data'!D610)-SUMIFS(M:M,D:D,"&lt;="&amp;D595,C:C,C595)-SUMIFS(AJ:AJ,D:D,"&lt;="&amp;D595,C:C,C595)+SUMIFS(N:N,D:D,"&lt;="&amp;D595,C:C,C595)+SUMIFS(P:P,D:D,"&lt;="&amp;D595,C:C,C595)&lt;0,0,SUMIFS('Shipments data'!L:L,'Shipments data'!F:F,'Supply planning data'!C595,'Shipments data'!A:A,'Supply planning data'!A595,'Shipments data'!O:O,"received",'Shipments data'!Q:Q,"&lt;"&amp;'Supply planning data'!D610,'Shipments data'!AC:AC,"&lt;"&amp;'Supply planning data'!D610)-SUMIFS(M:M,D:D,"&lt;="&amp;D595,C:C,C595)-SUMIFS(AJ:AJ,D:D,"&lt;="&amp;D595,C:C,C595)+SUMIFS(N:N,D:D,"&lt;="&amp;D595,C:C,C595)+SUMIFS(P:P,D:D,"&lt;="&amp;D595,C:C,C595))</f>
        <v>0</v>
      </c>
      <c r="AM595" s="111">
        <f t="shared" si="174"/>
        <v>0</v>
      </c>
      <c r="AN595" s="111">
        <f t="shared" si="185"/>
        <v>0</v>
      </c>
      <c r="AO595" s="204" t="str">
        <f t="shared" si="177"/>
        <v/>
      </c>
    </row>
    <row r="596" spans="1:41" hidden="1" x14ac:dyDescent="0.25">
      <c r="A596" s="103" t="str">
        <f>Start!D$7</f>
        <v>Anyland</v>
      </c>
      <c r="B596" s="109" t="str">
        <f>VLOOKUP(A596,list!B:C,2,FALSE)</f>
        <v>ANY</v>
      </c>
      <c r="C596" s="104" t="str">
        <f>IF(Start!$C$23="","",Start!$C$23)</f>
        <v/>
      </c>
      <c r="D596" s="298">
        <f t="shared" ref="D596:D659" si="186">DATE(YEAR(D581),MONTH(D581)+1,1)</f>
        <v>45383</v>
      </c>
      <c r="E596" s="105" t="str">
        <f>IFERROR(VLOOKUP(C596,Start!C$15:D$31,2,FALSE),"No")</f>
        <v>No</v>
      </c>
      <c r="F596" s="105">
        <f t="shared" ref="F596:F659" si="187">V581</f>
        <v>0</v>
      </c>
      <c r="G596" s="106"/>
      <c r="H596" s="106"/>
      <c r="I596" s="106"/>
      <c r="J596" s="105">
        <f t="shared" si="179"/>
        <v>0</v>
      </c>
      <c r="K596" s="106"/>
      <c r="L596" s="177" t="str">
        <f t="shared" si="180"/>
        <v/>
      </c>
      <c r="M596" s="105">
        <f t="shared" si="181"/>
        <v>0</v>
      </c>
      <c r="N596" s="110"/>
      <c r="O596" s="124"/>
      <c r="P596" s="110"/>
      <c r="Q596" s="124"/>
      <c r="R596" s="111">
        <f>SUMIFS('Shipments data'!L:L,'Shipments data'!F:F,'Supply planning data'!C596,'Shipments data'!A:A,'Supply planning data'!A596,'Shipments data'!Y:Y,'Supply planning data'!D596,'Shipments data'!O:O,"received", 'Shipments data'!N:N, "Public")</f>
        <v>0</v>
      </c>
      <c r="S596" s="111">
        <f>SUMIFS('Shipments data'!L:L,'Shipments data'!F:F,'Supply planning data'!C596,'Shipments data'!A:A,'Supply planning data'!A596,'Shipments data'!Y:Y,'Supply planning data'!D596,'Shipments data'!O:O,"ordered", 'Shipments data'!N:N, "Public")</f>
        <v>0</v>
      </c>
      <c r="T596" s="111">
        <f>IF(SUMIFS('Shipments data'!L:L,'Shipments data'!F:F,'Supply planning data'!C596,'Shipments data'!A:A,'Supply planning data'!A596,'Shipments data'!O:O,"received",'Shipments data'!Q:Q,"&lt;"&amp;'Supply planning data'!D611,'Shipments data'!AC:AC,"&lt;"&amp;'Supply planning data'!D611)-SUMIFS(M:M,D:D,"&lt;="&amp;D596,C:C,C596)+SUMIFS(N:N,D:D,"&lt;="&amp;D596,C:C,C596)+SUMIFS(P:P,D:D,"&lt;="&amp;D596,C:C,C596)&lt;0,0,SUMIFS('Shipments data'!L:L,'Shipments data'!F:F,'Supply planning data'!C596,'Shipments data'!A:A,'Supply planning data'!A596,'Shipments data'!O:O,"received",'Shipments data'!Q:Q,"&lt;"&amp;'Supply planning data'!D611,'Shipments data'!AC:AC,"&lt;"&amp;'Supply planning data'!D611)-SUMIFS(M:M,D:D,"&lt;="&amp;D596,C:C,C596)+SUMIFS(N:N,D:D,"&lt;="&amp;D596,C:C,C596)+SUMIFS(P:P,D:D,"&lt;="&amp;D596,C:C,C596))</f>
        <v>0</v>
      </c>
      <c r="U596" s="112">
        <f t="shared" ref="U596:U659" si="188">IF(T596-T581&lt;0,0,T596-T581)</f>
        <v>0</v>
      </c>
      <c r="V596" s="111">
        <f t="shared" si="178"/>
        <v>0</v>
      </c>
      <c r="W596" s="204" t="str">
        <f t="shared" si="176"/>
        <v/>
      </c>
      <c r="X596" s="111">
        <f t="shared" ref="X596:X659" si="189">AE581</f>
        <v>0</v>
      </c>
      <c r="Y596" s="110"/>
      <c r="Z596" s="107"/>
      <c r="AA596" s="111">
        <f t="shared" si="182"/>
        <v>0</v>
      </c>
      <c r="AB596" s="235"/>
      <c r="AC596" s="111">
        <f>IF(SUMIFS('Shipments data'!L:L,'Shipments data'!F:F,'Supply planning data'!C596,'Shipments data'!A:A,'Supply planning data'!A596,'Shipments data'!O:O,"received",'Shipments data'!Q:Q,"&lt;"&amp;'Supply planning data'!D611,'Shipments data'!AC:AC,"&lt;"&amp;'Supply planning data'!D611)-SUMIFS(M:M,D:D,"&lt;="&amp;D596,C:C,C596)-SUMIFS(AA:AA,D:D,"&lt;="&amp;D596,C:C,C596)+SUMIFS(N:N,D:D,"&lt;="&amp;D596,C:C,C596)+SUMIFS(P:P,D:D,"&lt;="&amp;D596,C:C,C596)&lt;0,0,SUMIFS('Shipments data'!L:L,'Shipments data'!F:F,'Supply planning data'!C596,'Shipments data'!A:A,'Supply planning data'!A596,'Shipments data'!O:O,"received",'Shipments data'!Q:Q,"&lt;"&amp;'Supply planning data'!D611,'Shipments data'!AC:AC,"&lt;"&amp;'Supply planning data'!D611)-SUMIFS(M:M,D:D,"&lt;="&amp;D596,C:C,C596)-SUMIFS(AA:AA,D:D,"&lt;="&amp;D596,C:C,C596)+SUMIFS(N:N,D:D,"&lt;="&amp;D596,C:C,C596)+SUMIFS(P:P,D:D,"&lt;="&amp;D596,C:C,C596))</f>
        <v>0</v>
      </c>
      <c r="AD596" s="111">
        <f t="shared" ref="AD596:AD659" si="190">IF(AC596-AC581&lt;0,0,AC596-AC581)</f>
        <v>0</v>
      </c>
      <c r="AE596" s="111">
        <f t="shared" si="184"/>
        <v>0</v>
      </c>
      <c r="AF596" s="204" t="str">
        <f t="shared" si="175"/>
        <v/>
      </c>
      <c r="AG596" s="111">
        <f t="shared" ref="AG596:AG659" si="191">AN581</f>
        <v>0</v>
      </c>
      <c r="AH596" s="110"/>
      <c r="AI596" s="313"/>
      <c r="AJ596" s="111">
        <f t="shared" si="183"/>
        <v>0</v>
      </c>
      <c r="AK596" s="235"/>
      <c r="AL596" s="111">
        <f>IF(SUMIFS('Shipments data'!L:L,'Shipments data'!F:F,'Supply planning data'!C596,'Shipments data'!A:A,'Supply planning data'!A596,'Shipments data'!O:O,"received",'Shipments data'!Q:Q,"&lt;"&amp;'Supply planning data'!D611,'Shipments data'!AC:AC,"&lt;"&amp;'Supply planning data'!D611)-SUMIFS(M:M,D:D,"&lt;="&amp;D596,C:C,C596)-SUMIFS(AJ:AJ,D:D,"&lt;="&amp;D596,C:C,C596)+SUMIFS(N:N,D:D,"&lt;="&amp;D596,C:C,C596)+SUMIFS(P:P,D:D,"&lt;="&amp;D596,C:C,C596)&lt;0,0,SUMIFS('Shipments data'!L:L,'Shipments data'!F:F,'Supply planning data'!C596,'Shipments data'!A:A,'Supply planning data'!A596,'Shipments data'!O:O,"received",'Shipments data'!Q:Q,"&lt;"&amp;'Supply planning data'!D611,'Shipments data'!AC:AC,"&lt;"&amp;'Supply planning data'!D611)-SUMIFS(M:M,D:D,"&lt;="&amp;D596,C:C,C596)-SUMIFS(AJ:AJ,D:D,"&lt;="&amp;D596,C:C,C596)+SUMIFS(N:N,D:D,"&lt;="&amp;D596,C:C,C596)+SUMIFS(P:P,D:D,"&lt;="&amp;D596,C:C,C596))</f>
        <v>0</v>
      </c>
      <c r="AM596" s="111">
        <f t="shared" ref="AM596:AM659" si="192">IF(AL596-AL581&lt;0,0,AL596-AL581)</f>
        <v>0</v>
      </c>
      <c r="AN596" s="111">
        <f t="shared" si="185"/>
        <v>0</v>
      </c>
      <c r="AO596" s="204" t="str">
        <f t="shared" si="177"/>
        <v/>
      </c>
    </row>
    <row r="597" spans="1:41" hidden="1" x14ac:dyDescent="0.25">
      <c r="A597" s="103" t="str">
        <f>Start!D$7</f>
        <v>Anyland</v>
      </c>
      <c r="B597" s="109" t="str">
        <f>VLOOKUP(A597,list!B:C,2,FALSE)</f>
        <v>ANY</v>
      </c>
      <c r="C597" s="109" t="str">
        <f>IF(Start!$C$24="","",Start!$C$24)</f>
        <v/>
      </c>
      <c r="D597" s="298">
        <f t="shared" si="186"/>
        <v>45383</v>
      </c>
      <c r="E597" s="105" t="str">
        <f>IFERROR(VLOOKUP(C597,Start!C$15:D$31,2,FALSE),"No")</f>
        <v>No</v>
      </c>
      <c r="F597" s="105">
        <f t="shared" si="187"/>
        <v>0</v>
      </c>
      <c r="G597" s="106"/>
      <c r="H597" s="106"/>
      <c r="I597" s="106"/>
      <c r="J597" s="105">
        <f t="shared" si="179"/>
        <v>0</v>
      </c>
      <c r="K597" s="106"/>
      <c r="L597" s="177" t="str">
        <f t="shared" si="180"/>
        <v/>
      </c>
      <c r="M597" s="105">
        <f t="shared" si="181"/>
        <v>0</v>
      </c>
      <c r="N597" s="110"/>
      <c r="O597" s="124"/>
      <c r="P597" s="110"/>
      <c r="Q597" s="124"/>
      <c r="R597" s="111">
        <f>SUMIFS('Shipments data'!L:L,'Shipments data'!F:F,'Supply planning data'!C597,'Shipments data'!A:A,'Supply planning data'!A597,'Shipments data'!Y:Y,'Supply planning data'!D597,'Shipments data'!O:O,"received", 'Shipments data'!N:N, "Public")</f>
        <v>0</v>
      </c>
      <c r="S597" s="111">
        <f>SUMIFS('Shipments data'!L:L,'Shipments data'!F:F,'Supply planning data'!C597,'Shipments data'!A:A,'Supply planning data'!A597,'Shipments data'!Y:Y,'Supply planning data'!D597,'Shipments data'!O:O,"ordered", 'Shipments data'!N:N, "Public")</f>
        <v>0</v>
      </c>
      <c r="T597" s="111">
        <f>IF(SUMIFS('Shipments data'!L:L,'Shipments data'!F:F,'Supply planning data'!C597,'Shipments data'!A:A,'Supply planning data'!A597,'Shipments data'!O:O,"received",'Shipments data'!Q:Q,"&lt;"&amp;'Supply planning data'!D612,'Shipments data'!AC:AC,"&lt;"&amp;'Supply planning data'!D612)-SUMIFS(M:M,D:D,"&lt;="&amp;D597,C:C,C597)+SUMIFS(N:N,D:D,"&lt;="&amp;D597,C:C,C597)+SUMIFS(P:P,D:D,"&lt;="&amp;D597,C:C,C597)&lt;0,0,SUMIFS('Shipments data'!L:L,'Shipments data'!F:F,'Supply planning data'!C597,'Shipments data'!A:A,'Supply planning data'!A597,'Shipments data'!O:O,"received",'Shipments data'!Q:Q,"&lt;"&amp;'Supply planning data'!D612,'Shipments data'!AC:AC,"&lt;"&amp;'Supply planning data'!D612)-SUMIFS(M:M,D:D,"&lt;="&amp;D597,C:C,C597)+SUMIFS(N:N,D:D,"&lt;="&amp;D597,C:C,C597)+SUMIFS(P:P,D:D,"&lt;="&amp;D597,C:C,C597))</f>
        <v>0</v>
      </c>
      <c r="U597" s="112">
        <f t="shared" si="188"/>
        <v>0</v>
      </c>
      <c r="V597" s="111">
        <f t="shared" si="178"/>
        <v>0</v>
      </c>
      <c r="W597" s="204" t="str">
        <f t="shared" si="176"/>
        <v/>
      </c>
      <c r="X597" s="111">
        <f t="shared" si="189"/>
        <v>0</v>
      </c>
      <c r="Y597" s="110"/>
      <c r="Z597" s="107"/>
      <c r="AA597" s="111">
        <f t="shared" si="182"/>
        <v>0</v>
      </c>
      <c r="AB597" s="235"/>
      <c r="AC597" s="111">
        <f>IF(SUMIFS('Shipments data'!L:L,'Shipments data'!F:F,'Supply planning data'!C597,'Shipments data'!A:A,'Supply planning data'!A597,'Shipments data'!O:O,"received",'Shipments data'!Q:Q,"&lt;"&amp;'Supply planning data'!D612,'Shipments data'!AC:AC,"&lt;"&amp;'Supply planning data'!D612)-SUMIFS(M:M,D:D,"&lt;="&amp;D597,C:C,C597)-SUMIFS(AA:AA,D:D,"&lt;="&amp;D597,C:C,C597)+SUMIFS(N:N,D:D,"&lt;="&amp;D597,C:C,C597)+SUMIFS(P:P,D:D,"&lt;="&amp;D597,C:C,C597)&lt;0,0,SUMIFS('Shipments data'!L:L,'Shipments data'!F:F,'Supply planning data'!C597,'Shipments data'!A:A,'Supply planning data'!A597,'Shipments data'!O:O,"received",'Shipments data'!Q:Q,"&lt;"&amp;'Supply planning data'!D612,'Shipments data'!AC:AC,"&lt;"&amp;'Supply planning data'!D612)-SUMIFS(M:M,D:D,"&lt;="&amp;D597,C:C,C597)-SUMIFS(AA:AA,D:D,"&lt;="&amp;D597,C:C,C597)+SUMIFS(N:N,D:D,"&lt;="&amp;D597,C:C,C597)+SUMIFS(P:P,D:D,"&lt;="&amp;D597,C:C,C597))</f>
        <v>0</v>
      </c>
      <c r="AD597" s="111">
        <f t="shared" si="190"/>
        <v>0</v>
      </c>
      <c r="AE597" s="111">
        <f t="shared" si="184"/>
        <v>0</v>
      </c>
      <c r="AF597" s="204" t="str">
        <f t="shared" si="175"/>
        <v/>
      </c>
      <c r="AG597" s="111">
        <f t="shared" si="191"/>
        <v>0</v>
      </c>
      <c r="AH597" s="110"/>
      <c r="AI597" s="313"/>
      <c r="AJ597" s="111">
        <f t="shared" si="183"/>
        <v>0</v>
      </c>
      <c r="AK597" s="235"/>
      <c r="AL597" s="111">
        <f>IF(SUMIFS('Shipments data'!L:L,'Shipments data'!F:F,'Supply planning data'!C597,'Shipments data'!A:A,'Supply planning data'!A597,'Shipments data'!O:O,"received",'Shipments data'!Q:Q,"&lt;"&amp;'Supply planning data'!D612,'Shipments data'!AC:AC,"&lt;"&amp;'Supply planning data'!D612)-SUMIFS(M:M,D:D,"&lt;="&amp;D597,C:C,C597)-SUMIFS(AJ:AJ,D:D,"&lt;="&amp;D597,C:C,C597)+SUMIFS(N:N,D:D,"&lt;="&amp;D597,C:C,C597)+SUMIFS(P:P,D:D,"&lt;="&amp;D597,C:C,C597)&lt;0,0,SUMIFS('Shipments data'!L:L,'Shipments data'!F:F,'Supply planning data'!C597,'Shipments data'!A:A,'Supply planning data'!A597,'Shipments data'!O:O,"received",'Shipments data'!Q:Q,"&lt;"&amp;'Supply planning data'!D612,'Shipments data'!AC:AC,"&lt;"&amp;'Supply planning data'!D612)-SUMIFS(M:M,D:D,"&lt;="&amp;D597,C:C,C597)-SUMIFS(AJ:AJ,D:D,"&lt;="&amp;D597,C:C,C597)+SUMIFS(N:N,D:D,"&lt;="&amp;D597,C:C,C597)+SUMIFS(P:P,D:D,"&lt;="&amp;D597,C:C,C597))</f>
        <v>0</v>
      </c>
      <c r="AM597" s="111">
        <f t="shared" si="192"/>
        <v>0</v>
      </c>
      <c r="AN597" s="111">
        <f t="shared" si="185"/>
        <v>0</v>
      </c>
      <c r="AO597" s="204" t="str">
        <f t="shared" si="177"/>
        <v/>
      </c>
    </row>
    <row r="598" spans="1:41" hidden="1" x14ac:dyDescent="0.25">
      <c r="A598" s="103" t="str">
        <f>Start!D$7</f>
        <v>Anyland</v>
      </c>
      <c r="B598" s="109" t="str">
        <f>VLOOKUP(A598,list!B:C,2,FALSE)</f>
        <v>ANY</v>
      </c>
      <c r="C598" s="104" t="str">
        <f>IF(Start!$C$25="","",Start!$C$25)</f>
        <v/>
      </c>
      <c r="D598" s="298">
        <f t="shared" si="186"/>
        <v>45383</v>
      </c>
      <c r="E598" s="105" t="str">
        <f>IFERROR(VLOOKUP(C598,Start!C$15:D$31,2,FALSE),"No")</f>
        <v>No</v>
      </c>
      <c r="F598" s="105">
        <f t="shared" si="187"/>
        <v>0</v>
      </c>
      <c r="G598" s="106"/>
      <c r="H598" s="106"/>
      <c r="I598" s="106"/>
      <c r="J598" s="105">
        <f t="shared" si="179"/>
        <v>0</v>
      </c>
      <c r="K598" s="106"/>
      <c r="L598" s="177" t="str">
        <f t="shared" si="180"/>
        <v/>
      </c>
      <c r="M598" s="105">
        <f t="shared" si="181"/>
        <v>0</v>
      </c>
      <c r="N598" s="110"/>
      <c r="O598" s="124"/>
      <c r="P598" s="110"/>
      <c r="Q598" s="124"/>
      <c r="R598" s="111">
        <f>SUMIFS('Shipments data'!L:L,'Shipments data'!F:F,'Supply planning data'!C598,'Shipments data'!A:A,'Supply planning data'!A598,'Shipments data'!Y:Y,'Supply planning data'!D598,'Shipments data'!O:O,"received", 'Shipments data'!N:N, "Public")</f>
        <v>0</v>
      </c>
      <c r="S598" s="111">
        <f>SUMIFS('Shipments data'!L:L,'Shipments data'!F:F,'Supply planning data'!C598,'Shipments data'!A:A,'Supply planning data'!A598,'Shipments data'!Y:Y,'Supply planning data'!D598,'Shipments data'!O:O,"ordered", 'Shipments data'!N:N, "Public")</f>
        <v>0</v>
      </c>
      <c r="T598" s="111">
        <f>IF(SUMIFS('Shipments data'!L:L,'Shipments data'!F:F,'Supply planning data'!C598,'Shipments data'!A:A,'Supply planning data'!A598,'Shipments data'!O:O,"received",'Shipments data'!Q:Q,"&lt;"&amp;'Supply planning data'!D613,'Shipments data'!AC:AC,"&lt;"&amp;'Supply planning data'!D613)-SUMIFS(M:M,D:D,"&lt;="&amp;D598,C:C,C598)+SUMIFS(N:N,D:D,"&lt;="&amp;D598,C:C,C598)+SUMIFS(P:P,D:D,"&lt;="&amp;D598,C:C,C598)&lt;0,0,SUMIFS('Shipments data'!L:L,'Shipments data'!F:F,'Supply planning data'!C598,'Shipments data'!A:A,'Supply planning data'!A598,'Shipments data'!O:O,"received",'Shipments data'!Q:Q,"&lt;"&amp;'Supply planning data'!D613,'Shipments data'!AC:AC,"&lt;"&amp;'Supply planning data'!D613)-SUMIFS(M:M,D:D,"&lt;="&amp;D598,C:C,C598)+SUMIFS(N:N,D:D,"&lt;="&amp;D598,C:C,C598)+SUMIFS(P:P,D:D,"&lt;="&amp;D598,C:C,C598))</f>
        <v>0</v>
      </c>
      <c r="U598" s="112">
        <f t="shared" si="188"/>
        <v>0</v>
      </c>
      <c r="V598" s="111">
        <f t="shared" si="178"/>
        <v>0</v>
      </c>
      <c r="W598" s="204" t="str">
        <f t="shared" si="176"/>
        <v/>
      </c>
      <c r="X598" s="111">
        <f t="shared" si="189"/>
        <v>0</v>
      </c>
      <c r="Y598" s="110"/>
      <c r="Z598" s="107"/>
      <c r="AA598" s="111">
        <f t="shared" si="182"/>
        <v>0</v>
      </c>
      <c r="AB598" s="235"/>
      <c r="AC598" s="111">
        <f>IF(SUMIFS('Shipments data'!L:L,'Shipments data'!F:F,'Supply planning data'!C598,'Shipments data'!A:A,'Supply planning data'!A598,'Shipments data'!O:O,"received",'Shipments data'!Q:Q,"&lt;"&amp;'Supply planning data'!D613,'Shipments data'!AC:AC,"&lt;"&amp;'Supply planning data'!D613)-SUMIFS(M:M,D:D,"&lt;="&amp;D598,C:C,C598)-SUMIFS(AA:AA,D:D,"&lt;="&amp;D598,C:C,C598)+SUMIFS(N:N,D:D,"&lt;="&amp;D598,C:C,C598)+SUMIFS(P:P,D:D,"&lt;="&amp;D598,C:C,C598)&lt;0,0,SUMIFS('Shipments data'!L:L,'Shipments data'!F:F,'Supply planning data'!C598,'Shipments data'!A:A,'Supply planning data'!A598,'Shipments data'!O:O,"received",'Shipments data'!Q:Q,"&lt;"&amp;'Supply planning data'!D613,'Shipments data'!AC:AC,"&lt;"&amp;'Supply planning data'!D613)-SUMIFS(M:M,D:D,"&lt;="&amp;D598,C:C,C598)-SUMIFS(AA:AA,D:D,"&lt;="&amp;D598,C:C,C598)+SUMIFS(N:N,D:D,"&lt;="&amp;D598,C:C,C598)+SUMIFS(P:P,D:D,"&lt;="&amp;D598,C:C,C598))</f>
        <v>0</v>
      </c>
      <c r="AD598" s="111">
        <f t="shared" si="190"/>
        <v>0</v>
      </c>
      <c r="AE598" s="111">
        <f t="shared" si="184"/>
        <v>0</v>
      </c>
      <c r="AF598" s="204" t="str">
        <f t="shared" si="175"/>
        <v/>
      </c>
      <c r="AG598" s="111">
        <f t="shared" si="191"/>
        <v>0</v>
      </c>
      <c r="AH598" s="110"/>
      <c r="AI598" s="313"/>
      <c r="AJ598" s="111">
        <f t="shared" si="183"/>
        <v>0</v>
      </c>
      <c r="AK598" s="235"/>
      <c r="AL598" s="111">
        <f>IF(SUMIFS('Shipments data'!L:L,'Shipments data'!F:F,'Supply planning data'!C598,'Shipments data'!A:A,'Supply planning data'!A598,'Shipments data'!O:O,"received",'Shipments data'!Q:Q,"&lt;"&amp;'Supply planning data'!D613,'Shipments data'!AC:AC,"&lt;"&amp;'Supply planning data'!D613)-SUMIFS(M:M,D:D,"&lt;="&amp;D598,C:C,C598)-SUMIFS(AJ:AJ,D:D,"&lt;="&amp;D598,C:C,C598)+SUMIFS(N:N,D:D,"&lt;="&amp;D598,C:C,C598)+SUMIFS(P:P,D:D,"&lt;="&amp;D598,C:C,C598)&lt;0,0,SUMIFS('Shipments data'!L:L,'Shipments data'!F:F,'Supply planning data'!C598,'Shipments data'!A:A,'Supply planning data'!A598,'Shipments data'!O:O,"received",'Shipments data'!Q:Q,"&lt;"&amp;'Supply planning data'!D613,'Shipments data'!AC:AC,"&lt;"&amp;'Supply planning data'!D613)-SUMIFS(M:M,D:D,"&lt;="&amp;D598,C:C,C598)-SUMIFS(AJ:AJ,D:D,"&lt;="&amp;D598,C:C,C598)+SUMIFS(N:N,D:D,"&lt;="&amp;D598,C:C,C598)+SUMIFS(P:P,D:D,"&lt;="&amp;D598,C:C,C598))</f>
        <v>0</v>
      </c>
      <c r="AM598" s="111">
        <f t="shared" si="192"/>
        <v>0</v>
      </c>
      <c r="AN598" s="111">
        <f t="shared" si="185"/>
        <v>0</v>
      </c>
      <c r="AO598" s="204" t="str">
        <f t="shared" si="177"/>
        <v/>
      </c>
    </row>
    <row r="599" spans="1:41" hidden="1" x14ac:dyDescent="0.25">
      <c r="A599" s="103" t="str">
        <f>Start!D$7</f>
        <v>Anyland</v>
      </c>
      <c r="B599" s="109" t="str">
        <f>VLOOKUP(A599,list!B:C,2,FALSE)</f>
        <v>ANY</v>
      </c>
      <c r="C599" s="109" t="str">
        <f>IF(Start!$C$26="","",Start!$C$26)</f>
        <v/>
      </c>
      <c r="D599" s="298">
        <f t="shared" si="186"/>
        <v>45383</v>
      </c>
      <c r="E599" s="105" t="str">
        <f>IFERROR(VLOOKUP(C599,Start!C$15:D$31,2,FALSE),"No")</f>
        <v>No</v>
      </c>
      <c r="F599" s="105">
        <f t="shared" si="187"/>
        <v>0</v>
      </c>
      <c r="G599" s="106"/>
      <c r="H599" s="106"/>
      <c r="I599" s="106"/>
      <c r="J599" s="105">
        <f t="shared" si="179"/>
        <v>0</v>
      </c>
      <c r="K599" s="106"/>
      <c r="L599" s="177" t="str">
        <f t="shared" si="180"/>
        <v/>
      </c>
      <c r="M599" s="105">
        <f t="shared" si="181"/>
        <v>0</v>
      </c>
      <c r="N599" s="110"/>
      <c r="O599" s="124"/>
      <c r="P599" s="110"/>
      <c r="Q599" s="124"/>
      <c r="R599" s="111">
        <f>SUMIFS('Shipments data'!L:L,'Shipments data'!F:F,'Supply planning data'!C599,'Shipments data'!A:A,'Supply planning data'!A599,'Shipments data'!Y:Y,'Supply planning data'!D599,'Shipments data'!O:O,"received", 'Shipments data'!N:N, "Public")</f>
        <v>0</v>
      </c>
      <c r="S599" s="111">
        <f>SUMIFS('Shipments data'!L:L,'Shipments data'!F:F,'Supply planning data'!C599,'Shipments data'!A:A,'Supply planning data'!A599,'Shipments data'!Y:Y,'Supply planning data'!D599,'Shipments data'!O:O,"ordered", 'Shipments data'!N:N, "Public")</f>
        <v>0</v>
      </c>
      <c r="T599" s="111">
        <f>IF(SUMIFS('Shipments data'!L:L,'Shipments data'!F:F,'Supply planning data'!C599,'Shipments data'!A:A,'Supply planning data'!A599,'Shipments data'!O:O,"received",'Shipments data'!Q:Q,"&lt;"&amp;'Supply planning data'!D614,'Shipments data'!AC:AC,"&lt;"&amp;'Supply planning data'!D614)-SUMIFS(M:M,D:D,"&lt;="&amp;D599,C:C,C599)+SUMIFS(N:N,D:D,"&lt;="&amp;D599,C:C,C599)+SUMIFS(P:P,D:D,"&lt;="&amp;D599,C:C,C599)&lt;0,0,SUMIFS('Shipments data'!L:L,'Shipments data'!F:F,'Supply planning data'!C599,'Shipments data'!A:A,'Supply planning data'!A599,'Shipments data'!O:O,"received",'Shipments data'!Q:Q,"&lt;"&amp;'Supply planning data'!D614,'Shipments data'!AC:AC,"&lt;"&amp;'Supply planning data'!D614)-SUMIFS(M:M,D:D,"&lt;="&amp;D599,C:C,C599)+SUMIFS(N:N,D:D,"&lt;="&amp;D599,C:C,C599)+SUMIFS(P:P,D:D,"&lt;="&amp;D599,C:C,C599))</f>
        <v>0</v>
      </c>
      <c r="U599" s="112">
        <f t="shared" si="188"/>
        <v>0</v>
      </c>
      <c r="V599" s="111">
        <f t="shared" si="178"/>
        <v>0</v>
      </c>
      <c r="W599" s="204" t="str">
        <f t="shared" si="176"/>
        <v/>
      </c>
      <c r="X599" s="111">
        <f t="shared" si="189"/>
        <v>0</v>
      </c>
      <c r="Y599" s="110"/>
      <c r="Z599" s="107"/>
      <c r="AA599" s="111">
        <f t="shared" si="182"/>
        <v>0</v>
      </c>
      <c r="AB599" s="235"/>
      <c r="AC599" s="111">
        <f>IF(SUMIFS('Shipments data'!L:L,'Shipments data'!F:F,'Supply planning data'!C599,'Shipments data'!A:A,'Supply planning data'!A599,'Shipments data'!O:O,"received",'Shipments data'!Q:Q,"&lt;"&amp;'Supply planning data'!D614,'Shipments data'!AC:AC,"&lt;"&amp;'Supply planning data'!D614)-SUMIFS(M:M,D:D,"&lt;="&amp;D599,C:C,C599)-SUMIFS(AA:AA,D:D,"&lt;="&amp;D599,C:C,C599)+SUMIFS(N:N,D:D,"&lt;="&amp;D599,C:C,C599)+SUMIFS(P:P,D:D,"&lt;="&amp;D599,C:C,C599)&lt;0,0,SUMIFS('Shipments data'!L:L,'Shipments data'!F:F,'Supply planning data'!C599,'Shipments data'!A:A,'Supply planning data'!A599,'Shipments data'!O:O,"received",'Shipments data'!Q:Q,"&lt;"&amp;'Supply planning data'!D614,'Shipments data'!AC:AC,"&lt;"&amp;'Supply planning data'!D614)-SUMIFS(M:M,D:D,"&lt;="&amp;D599,C:C,C599)-SUMIFS(AA:AA,D:D,"&lt;="&amp;D599,C:C,C599)+SUMIFS(N:N,D:D,"&lt;="&amp;D599,C:C,C599)+SUMIFS(P:P,D:D,"&lt;="&amp;D599,C:C,C599))</f>
        <v>0</v>
      </c>
      <c r="AD599" s="111">
        <f t="shared" si="190"/>
        <v>0</v>
      </c>
      <c r="AE599" s="111">
        <f t="shared" si="184"/>
        <v>0</v>
      </c>
      <c r="AF599" s="204" t="str">
        <f t="shared" si="175"/>
        <v/>
      </c>
      <c r="AG599" s="111">
        <f t="shared" si="191"/>
        <v>0</v>
      </c>
      <c r="AH599" s="110"/>
      <c r="AI599" s="313"/>
      <c r="AJ599" s="111">
        <f t="shared" si="183"/>
        <v>0</v>
      </c>
      <c r="AK599" s="235"/>
      <c r="AL599" s="111">
        <f>IF(SUMIFS('Shipments data'!L:L,'Shipments data'!F:F,'Supply planning data'!C599,'Shipments data'!A:A,'Supply planning data'!A599,'Shipments data'!O:O,"received",'Shipments data'!Q:Q,"&lt;"&amp;'Supply planning data'!D614,'Shipments data'!AC:AC,"&lt;"&amp;'Supply planning data'!D614)-SUMIFS(M:M,D:D,"&lt;="&amp;D599,C:C,C599)-SUMIFS(AJ:AJ,D:D,"&lt;="&amp;D599,C:C,C599)+SUMIFS(N:N,D:D,"&lt;="&amp;D599,C:C,C599)+SUMIFS(P:P,D:D,"&lt;="&amp;D599,C:C,C599)&lt;0,0,SUMIFS('Shipments data'!L:L,'Shipments data'!F:F,'Supply planning data'!C599,'Shipments data'!A:A,'Supply planning data'!A599,'Shipments data'!O:O,"received",'Shipments data'!Q:Q,"&lt;"&amp;'Supply planning data'!D614,'Shipments data'!AC:AC,"&lt;"&amp;'Supply planning data'!D614)-SUMIFS(M:M,D:D,"&lt;="&amp;D599,C:C,C599)-SUMIFS(AJ:AJ,D:D,"&lt;="&amp;D599,C:C,C599)+SUMIFS(N:N,D:D,"&lt;="&amp;D599,C:C,C599)+SUMIFS(P:P,D:D,"&lt;="&amp;D599,C:C,C599))</f>
        <v>0</v>
      </c>
      <c r="AM599" s="111">
        <f t="shared" si="192"/>
        <v>0</v>
      </c>
      <c r="AN599" s="111">
        <f t="shared" si="185"/>
        <v>0</v>
      </c>
      <c r="AO599" s="204" t="str">
        <f t="shared" si="177"/>
        <v/>
      </c>
    </row>
    <row r="600" spans="1:41" hidden="1" x14ac:dyDescent="0.25">
      <c r="A600" s="103" t="str">
        <f>Start!D$7</f>
        <v>Anyland</v>
      </c>
      <c r="B600" s="109" t="str">
        <f>VLOOKUP(A600,list!B:C,2,FALSE)</f>
        <v>ANY</v>
      </c>
      <c r="C600" s="104" t="str">
        <f>IF(Start!$C$27="","",Start!$C$27)</f>
        <v/>
      </c>
      <c r="D600" s="298">
        <f t="shared" si="186"/>
        <v>45383</v>
      </c>
      <c r="E600" s="105" t="str">
        <f>IFERROR(VLOOKUP(C600,Start!C$15:D$31,2,FALSE),"No")</f>
        <v>No</v>
      </c>
      <c r="F600" s="105">
        <f t="shared" si="187"/>
        <v>0</v>
      </c>
      <c r="G600" s="106"/>
      <c r="H600" s="106"/>
      <c r="I600" s="106"/>
      <c r="J600" s="105">
        <f t="shared" si="179"/>
        <v>0</v>
      </c>
      <c r="K600" s="106"/>
      <c r="L600" s="177" t="str">
        <f t="shared" si="180"/>
        <v/>
      </c>
      <c r="M600" s="105">
        <f t="shared" si="181"/>
        <v>0</v>
      </c>
      <c r="N600" s="110"/>
      <c r="O600" s="124"/>
      <c r="P600" s="110"/>
      <c r="Q600" s="124"/>
      <c r="R600" s="111">
        <f>SUMIFS('Shipments data'!L:L,'Shipments data'!F:F,'Supply planning data'!C600,'Shipments data'!A:A,'Supply planning data'!A600,'Shipments data'!Y:Y,'Supply planning data'!D600,'Shipments data'!O:O,"received", 'Shipments data'!N:N, "Public")</f>
        <v>0</v>
      </c>
      <c r="S600" s="111">
        <f>SUMIFS('Shipments data'!L:L,'Shipments data'!F:F,'Supply planning data'!C600,'Shipments data'!A:A,'Supply planning data'!A600,'Shipments data'!Y:Y,'Supply planning data'!D600,'Shipments data'!O:O,"ordered", 'Shipments data'!N:N, "Public")</f>
        <v>0</v>
      </c>
      <c r="T600" s="111">
        <f>IF(SUMIFS('Shipments data'!L:L,'Shipments data'!F:F,'Supply planning data'!C600,'Shipments data'!A:A,'Supply planning data'!A600,'Shipments data'!O:O,"received",'Shipments data'!Q:Q,"&lt;"&amp;'Supply planning data'!D615,'Shipments data'!AC:AC,"&lt;"&amp;'Supply planning data'!D615)-SUMIFS(M:M,D:D,"&lt;="&amp;D600,C:C,C600)+SUMIFS(N:N,D:D,"&lt;="&amp;D600,C:C,C600)+SUMIFS(P:P,D:D,"&lt;="&amp;D600,C:C,C600)&lt;0,0,SUMIFS('Shipments data'!L:L,'Shipments data'!F:F,'Supply planning data'!C600,'Shipments data'!A:A,'Supply planning data'!A600,'Shipments data'!O:O,"received",'Shipments data'!Q:Q,"&lt;"&amp;'Supply planning data'!D615,'Shipments data'!AC:AC,"&lt;"&amp;'Supply planning data'!D615)-SUMIFS(M:M,D:D,"&lt;="&amp;D600,C:C,C600)+SUMIFS(N:N,D:D,"&lt;="&amp;D600,C:C,C600)+SUMIFS(P:P,D:D,"&lt;="&amp;D600,C:C,C600))</f>
        <v>0</v>
      </c>
      <c r="U600" s="112">
        <f t="shared" si="188"/>
        <v>0</v>
      </c>
      <c r="V600" s="111">
        <f t="shared" si="178"/>
        <v>0</v>
      </c>
      <c r="W600" s="204" t="str">
        <f t="shared" si="176"/>
        <v/>
      </c>
      <c r="X600" s="111">
        <f t="shared" si="189"/>
        <v>0</v>
      </c>
      <c r="Y600" s="110"/>
      <c r="Z600" s="107"/>
      <c r="AA600" s="111">
        <f t="shared" si="182"/>
        <v>0</v>
      </c>
      <c r="AB600" s="235"/>
      <c r="AC600" s="111">
        <f>IF(SUMIFS('Shipments data'!L:L,'Shipments data'!F:F,'Supply planning data'!C600,'Shipments data'!A:A,'Supply planning data'!A600,'Shipments data'!O:O,"received",'Shipments data'!Q:Q,"&lt;"&amp;'Supply planning data'!D615,'Shipments data'!AC:AC,"&lt;"&amp;'Supply planning data'!D615)-SUMIFS(M:M,D:D,"&lt;="&amp;D600,C:C,C600)-SUMIFS(AA:AA,D:D,"&lt;="&amp;D600,C:C,C600)+SUMIFS(N:N,D:D,"&lt;="&amp;D600,C:C,C600)+SUMIFS(P:P,D:D,"&lt;="&amp;D600,C:C,C600)&lt;0,0,SUMIFS('Shipments data'!L:L,'Shipments data'!F:F,'Supply planning data'!C600,'Shipments data'!A:A,'Supply planning data'!A600,'Shipments data'!O:O,"received",'Shipments data'!Q:Q,"&lt;"&amp;'Supply planning data'!D615,'Shipments data'!AC:AC,"&lt;"&amp;'Supply planning data'!D615)-SUMIFS(M:M,D:D,"&lt;="&amp;D600,C:C,C600)-SUMIFS(AA:AA,D:D,"&lt;="&amp;D600,C:C,C600)+SUMIFS(N:N,D:D,"&lt;="&amp;D600,C:C,C600)+SUMIFS(P:P,D:D,"&lt;="&amp;D600,C:C,C600))</f>
        <v>0</v>
      </c>
      <c r="AD600" s="111">
        <f t="shared" si="190"/>
        <v>0</v>
      </c>
      <c r="AE600" s="111">
        <f t="shared" si="184"/>
        <v>0</v>
      </c>
      <c r="AF600" s="204" t="str">
        <f t="shared" si="175"/>
        <v/>
      </c>
      <c r="AG600" s="111">
        <f t="shared" si="191"/>
        <v>0</v>
      </c>
      <c r="AH600" s="110"/>
      <c r="AI600" s="313"/>
      <c r="AJ600" s="111">
        <f t="shared" si="183"/>
        <v>0</v>
      </c>
      <c r="AK600" s="235"/>
      <c r="AL600" s="111">
        <f>IF(SUMIFS('Shipments data'!L:L,'Shipments data'!F:F,'Supply planning data'!C600,'Shipments data'!A:A,'Supply planning data'!A600,'Shipments data'!O:O,"received",'Shipments data'!Q:Q,"&lt;"&amp;'Supply planning data'!D615,'Shipments data'!AC:AC,"&lt;"&amp;'Supply planning data'!D615)-SUMIFS(M:M,D:D,"&lt;="&amp;D600,C:C,C600)-SUMIFS(AJ:AJ,D:D,"&lt;="&amp;D600,C:C,C600)+SUMIFS(N:N,D:D,"&lt;="&amp;D600,C:C,C600)+SUMIFS(P:P,D:D,"&lt;="&amp;D600,C:C,C600)&lt;0,0,SUMIFS('Shipments data'!L:L,'Shipments data'!F:F,'Supply planning data'!C600,'Shipments data'!A:A,'Supply planning data'!A600,'Shipments data'!O:O,"received",'Shipments data'!Q:Q,"&lt;"&amp;'Supply planning data'!D615,'Shipments data'!AC:AC,"&lt;"&amp;'Supply planning data'!D615)-SUMIFS(M:M,D:D,"&lt;="&amp;D600,C:C,C600)-SUMIFS(AJ:AJ,D:D,"&lt;="&amp;D600,C:C,C600)+SUMIFS(N:N,D:D,"&lt;="&amp;D600,C:C,C600)+SUMIFS(P:P,D:D,"&lt;="&amp;D600,C:C,C600))</f>
        <v>0</v>
      </c>
      <c r="AM600" s="111">
        <f t="shared" si="192"/>
        <v>0</v>
      </c>
      <c r="AN600" s="111">
        <f t="shared" si="185"/>
        <v>0</v>
      </c>
      <c r="AO600" s="204" t="str">
        <f t="shared" si="177"/>
        <v/>
      </c>
    </row>
    <row r="601" spans="1:41" hidden="1" x14ac:dyDescent="0.25">
      <c r="A601" s="103" t="str">
        <f>Start!D$7</f>
        <v>Anyland</v>
      </c>
      <c r="B601" s="109" t="str">
        <f>VLOOKUP(A601,list!B:C,2,FALSE)</f>
        <v>ANY</v>
      </c>
      <c r="C601" s="109" t="str">
        <f>IF(Start!$C$28="","",Start!$C$28)</f>
        <v/>
      </c>
      <c r="D601" s="298">
        <f t="shared" si="186"/>
        <v>45383</v>
      </c>
      <c r="E601" s="105" t="str">
        <f>IFERROR(VLOOKUP(C601,Start!C$15:D$31,2,FALSE),"No")</f>
        <v>No</v>
      </c>
      <c r="F601" s="105">
        <f t="shared" si="187"/>
        <v>0</v>
      </c>
      <c r="G601" s="106"/>
      <c r="H601" s="106"/>
      <c r="I601" s="106"/>
      <c r="J601" s="105">
        <f t="shared" si="179"/>
        <v>0</v>
      </c>
      <c r="K601" s="106"/>
      <c r="L601" s="177" t="str">
        <f t="shared" si="180"/>
        <v/>
      </c>
      <c r="M601" s="105">
        <f t="shared" si="181"/>
        <v>0</v>
      </c>
      <c r="N601" s="110"/>
      <c r="O601" s="124"/>
      <c r="P601" s="110"/>
      <c r="Q601" s="124"/>
      <c r="R601" s="111">
        <f>SUMIFS('Shipments data'!L:L,'Shipments data'!F:F,'Supply planning data'!C601,'Shipments data'!A:A,'Supply planning data'!A601,'Shipments data'!Y:Y,'Supply planning data'!D601,'Shipments data'!O:O,"received", 'Shipments data'!N:N, "Public")</f>
        <v>0</v>
      </c>
      <c r="S601" s="111">
        <f>SUMIFS('Shipments data'!L:L,'Shipments data'!F:F,'Supply planning data'!C601,'Shipments data'!A:A,'Supply planning data'!A601,'Shipments data'!Y:Y,'Supply planning data'!D601,'Shipments data'!O:O,"ordered", 'Shipments data'!N:N, "Public")</f>
        <v>0</v>
      </c>
      <c r="T601" s="111">
        <f>IF(SUMIFS('Shipments data'!L:L,'Shipments data'!F:F,'Supply planning data'!C601,'Shipments data'!A:A,'Supply planning data'!A601,'Shipments data'!O:O,"received",'Shipments data'!Q:Q,"&lt;"&amp;'Supply planning data'!D616,'Shipments data'!AC:AC,"&lt;"&amp;'Supply planning data'!D616)-SUMIFS(M:M,D:D,"&lt;="&amp;D601,C:C,C601)+SUMIFS(N:N,D:D,"&lt;="&amp;D601,C:C,C601)+SUMIFS(P:P,D:D,"&lt;="&amp;D601,C:C,C601)&lt;0,0,SUMIFS('Shipments data'!L:L,'Shipments data'!F:F,'Supply planning data'!C601,'Shipments data'!A:A,'Supply planning data'!A601,'Shipments data'!O:O,"received",'Shipments data'!Q:Q,"&lt;"&amp;'Supply planning data'!D616,'Shipments data'!AC:AC,"&lt;"&amp;'Supply planning data'!D616)-SUMIFS(M:M,D:D,"&lt;="&amp;D601,C:C,C601)+SUMIFS(N:N,D:D,"&lt;="&amp;D601,C:C,C601)+SUMIFS(P:P,D:D,"&lt;="&amp;D601,C:C,C601))</f>
        <v>0</v>
      </c>
      <c r="U601" s="112">
        <f t="shared" si="188"/>
        <v>0</v>
      </c>
      <c r="V601" s="111">
        <f t="shared" si="178"/>
        <v>0</v>
      </c>
      <c r="W601" s="204" t="str">
        <f t="shared" si="176"/>
        <v/>
      </c>
      <c r="X601" s="111">
        <f t="shared" si="189"/>
        <v>0</v>
      </c>
      <c r="Y601" s="110"/>
      <c r="Z601" s="107"/>
      <c r="AA601" s="111">
        <f t="shared" si="182"/>
        <v>0</v>
      </c>
      <c r="AB601" s="235"/>
      <c r="AC601" s="111">
        <f>IF(SUMIFS('Shipments data'!L:L,'Shipments data'!F:F,'Supply planning data'!C601,'Shipments data'!A:A,'Supply planning data'!A601,'Shipments data'!O:O,"received",'Shipments data'!Q:Q,"&lt;"&amp;'Supply planning data'!D616,'Shipments data'!AC:AC,"&lt;"&amp;'Supply planning data'!D616)-SUMIFS(M:M,D:D,"&lt;="&amp;D601,C:C,C601)-SUMIFS(AA:AA,D:D,"&lt;="&amp;D601,C:C,C601)+SUMIFS(N:N,D:D,"&lt;="&amp;D601,C:C,C601)+SUMIFS(P:P,D:D,"&lt;="&amp;D601,C:C,C601)&lt;0,0,SUMIFS('Shipments data'!L:L,'Shipments data'!F:F,'Supply planning data'!C601,'Shipments data'!A:A,'Supply planning data'!A601,'Shipments data'!O:O,"received",'Shipments data'!Q:Q,"&lt;"&amp;'Supply planning data'!D616,'Shipments data'!AC:AC,"&lt;"&amp;'Supply planning data'!D616)-SUMIFS(M:M,D:D,"&lt;="&amp;D601,C:C,C601)-SUMIFS(AA:AA,D:D,"&lt;="&amp;D601,C:C,C601)+SUMIFS(N:N,D:D,"&lt;="&amp;D601,C:C,C601)+SUMIFS(P:P,D:D,"&lt;="&amp;D601,C:C,C601))</f>
        <v>0</v>
      </c>
      <c r="AD601" s="111">
        <f t="shared" si="190"/>
        <v>0</v>
      </c>
      <c r="AE601" s="111">
        <f t="shared" si="184"/>
        <v>0</v>
      </c>
      <c r="AF601" s="204" t="str">
        <f t="shared" si="175"/>
        <v/>
      </c>
      <c r="AG601" s="111">
        <f t="shared" si="191"/>
        <v>0</v>
      </c>
      <c r="AH601" s="110"/>
      <c r="AI601" s="313"/>
      <c r="AJ601" s="111">
        <f t="shared" si="183"/>
        <v>0</v>
      </c>
      <c r="AK601" s="235"/>
      <c r="AL601" s="111">
        <f>IF(SUMIFS('Shipments data'!L:L,'Shipments data'!F:F,'Supply planning data'!C601,'Shipments data'!A:A,'Supply planning data'!A601,'Shipments data'!O:O,"received",'Shipments data'!Q:Q,"&lt;"&amp;'Supply planning data'!D616,'Shipments data'!AC:AC,"&lt;"&amp;'Supply planning data'!D616)-SUMIFS(M:M,D:D,"&lt;="&amp;D601,C:C,C601)-SUMIFS(AJ:AJ,D:D,"&lt;="&amp;D601,C:C,C601)+SUMIFS(N:N,D:D,"&lt;="&amp;D601,C:C,C601)+SUMIFS(P:P,D:D,"&lt;="&amp;D601,C:C,C601)&lt;0,0,SUMIFS('Shipments data'!L:L,'Shipments data'!F:F,'Supply planning data'!C601,'Shipments data'!A:A,'Supply planning data'!A601,'Shipments data'!O:O,"received",'Shipments data'!Q:Q,"&lt;"&amp;'Supply planning data'!D616,'Shipments data'!AC:AC,"&lt;"&amp;'Supply planning data'!D616)-SUMIFS(M:M,D:D,"&lt;="&amp;D601,C:C,C601)-SUMIFS(AJ:AJ,D:D,"&lt;="&amp;D601,C:C,C601)+SUMIFS(N:N,D:D,"&lt;="&amp;D601,C:C,C601)+SUMIFS(P:P,D:D,"&lt;="&amp;D601,C:C,C601))</f>
        <v>0</v>
      </c>
      <c r="AM601" s="111">
        <f t="shared" si="192"/>
        <v>0</v>
      </c>
      <c r="AN601" s="111">
        <f t="shared" si="185"/>
        <v>0</v>
      </c>
      <c r="AO601" s="204" t="str">
        <f t="shared" si="177"/>
        <v/>
      </c>
    </row>
    <row r="602" spans="1:41" hidden="1" x14ac:dyDescent="0.25">
      <c r="A602" s="103" t="str">
        <f>Start!D$7</f>
        <v>Anyland</v>
      </c>
      <c r="B602" s="109" t="str">
        <f>VLOOKUP(A602,list!B:C,2,FALSE)</f>
        <v>ANY</v>
      </c>
      <c r="C602" s="104" t="str">
        <f>IF(Start!$C$29="","",Start!$C$29)</f>
        <v/>
      </c>
      <c r="D602" s="298">
        <f t="shared" si="186"/>
        <v>45383</v>
      </c>
      <c r="E602" s="105" t="str">
        <f>IFERROR(VLOOKUP(C602,Start!C$15:D$31,2,FALSE),"No")</f>
        <v>No</v>
      </c>
      <c r="F602" s="105">
        <f t="shared" si="187"/>
        <v>0</v>
      </c>
      <c r="G602" s="106"/>
      <c r="H602" s="106"/>
      <c r="I602" s="106"/>
      <c r="J602" s="105">
        <f t="shared" si="179"/>
        <v>0</v>
      </c>
      <c r="K602" s="106"/>
      <c r="L602" s="177" t="str">
        <f t="shared" si="180"/>
        <v/>
      </c>
      <c r="M602" s="105">
        <f t="shared" si="181"/>
        <v>0</v>
      </c>
      <c r="N602" s="110"/>
      <c r="O602" s="124"/>
      <c r="P602" s="110"/>
      <c r="Q602" s="124"/>
      <c r="R602" s="111">
        <f>SUMIFS('Shipments data'!L:L,'Shipments data'!F:F,'Supply planning data'!C602,'Shipments data'!A:A,'Supply planning data'!A602,'Shipments data'!Y:Y,'Supply planning data'!D602,'Shipments data'!O:O,"received", 'Shipments data'!N:N, "Public")</f>
        <v>0</v>
      </c>
      <c r="S602" s="111">
        <f>SUMIFS('Shipments data'!L:L,'Shipments data'!F:F,'Supply planning data'!C602,'Shipments data'!A:A,'Supply planning data'!A602,'Shipments data'!Y:Y,'Supply planning data'!D602,'Shipments data'!O:O,"ordered", 'Shipments data'!N:N, "Public")</f>
        <v>0</v>
      </c>
      <c r="T602" s="111">
        <f>IF(SUMIFS('Shipments data'!L:L,'Shipments data'!F:F,'Supply planning data'!C602,'Shipments data'!A:A,'Supply planning data'!A602,'Shipments data'!O:O,"received",'Shipments data'!Q:Q,"&lt;"&amp;'Supply planning data'!D617,'Shipments data'!AC:AC,"&lt;"&amp;'Supply planning data'!D617)-SUMIFS(M:M,D:D,"&lt;="&amp;D602,C:C,C602)+SUMIFS(N:N,D:D,"&lt;="&amp;D602,C:C,C602)+SUMIFS(P:P,D:D,"&lt;="&amp;D602,C:C,C602)&lt;0,0,SUMIFS('Shipments data'!L:L,'Shipments data'!F:F,'Supply planning data'!C602,'Shipments data'!A:A,'Supply planning data'!A602,'Shipments data'!O:O,"received",'Shipments data'!Q:Q,"&lt;"&amp;'Supply planning data'!D617,'Shipments data'!AC:AC,"&lt;"&amp;'Supply planning data'!D617)-SUMIFS(M:M,D:D,"&lt;="&amp;D602,C:C,C602)+SUMIFS(N:N,D:D,"&lt;="&amp;D602,C:C,C602)+SUMIFS(P:P,D:D,"&lt;="&amp;D602,C:C,C602))</f>
        <v>0</v>
      </c>
      <c r="U602" s="112">
        <f t="shared" si="188"/>
        <v>0</v>
      </c>
      <c r="V602" s="111">
        <f t="shared" si="178"/>
        <v>0</v>
      </c>
      <c r="W602" s="204" t="str">
        <f t="shared" si="176"/>
        <v/>
      </c>
      <c r="X602" s="111">
        <f t="shared" si="189"/>
        <v>0</v>
      </c>
      <c r="Y602" s="110"/>
      <c r="Z602" s="107"/>
      <c r="AA602" s="111">
        <f t="shared" si="182"/>
        <v>0</v>
      </c>
      <c r="AB602" s="235"/>
      <c r="AC602" s="111">
        <f>IF(SUMIFS('Shipments data'!L:L,'Shipments data'!F:F,'Supply planning data'!C602,'Shipments data'!A:A,'Supply planning data'!A602,'Shipments data'!O:O,"received",'Shipments data'!Q:Q,"&lt;"&amp;'Supply planning data'!D617,'Shipments data'!AC:AC,"&lt;"&amp;'Supply planning data'!D617)-SUMIFS(M:M,D:D,"&lt;="&amp;D602,C:C,C602)-SUMIFS(AA:AA,D:D,"&lt;="&amp;D602,C:C,C602)+SUMIFS(N:N,D:D,"&lt;="&amp;D602,C:C,C602)+SUMIFS(P:P,D:D,"&lt;="&amp;D602,C:C,C602)&lt;0,0,SUMIFS('Shipments data'!L:L,'Shipments data'!F:F,'Supply planning data'!C602,'Shipments data'!A:A,'Supply planning data'!A602,'Shipments data'!O:O,"received",'Shipments data'!Q:Q,"&lt;"&amp;'Supply planning data'!D617,'Shipments data'!AC:AC,"&lt;"&amp;'Supply planning data'!D617)-SUMIFS(M:M,D:D,"&lt;="&amp;D602,C:C,C602)-SUMIFS(AA:AA,D:D,"&lt;="&amp;D602,C:C,C602)+SUMIFS(N:N,D:D,"&lt;="&amp;D602,C:C,C602)+SUMIFS(P:P,D:D,"&lt;="&amp;D602,C:C,C602))</f>
        <v>0</v>
      </c>
      <c r="AD602" s="111">
        <f t="shared" si="190"/>
        <v>0</v>
      </c>
      <c r="AE602" s="111">
        <f t="shared" si="184"/>
        <v>0</v>
      </c>
      <c r="AF602" s="204" t="str">
        <f t="shared" si="175"/>
        <v/>
      </c>
      <c r="AG602" s="111">
        <f t="shared" si="191"/>
        <v>0</v>
      </c>
      <c r="AH602" s="110"/>
      <c r="AI602" s="313"/>
      <c r="AJ602" s="111">
        <f t="shared" si="183"/>
        <v>0</v>
      </c>
      <c r="AK602" s="235"/>
      <c r="AL602" s="111">
        <f>IF(SUMIFS('Shipments data'!L:L,'Shipments data'!F:F,'Supply planning data'!C602,'Shipments data'!A:A,'Supply planning data'!A602,'Shipments data'!O:O,"received",'Shipments data'!Q:Q,"&lt;"&amp;'Supply planning data'!D617,'Shipments data'!AC:AC,"&lt;"&amp;'Supply planning data'!D617)-SUMIFS(M:M,D:D,"&lt;="&amp;D602,C:C,C602)-SUMIFS(AJ:AJ,D:D,"&lt;="&amp;D602,C:C,C602)+SUMIFS(N:N,D:D,"&lt;="&amp;D602,C:C,C602)+SUMIFS(P:P,D:D,"&lt;="&amp;D602,C:C,C602)&lt;0,0,SUMIFS('Shipments data'!L:L,'Shipments data'!F:F,'Supply planning data'!C602,'Shipments data'!A:A,'Supply planning data'!A602,'Shipments data'!O:O,"received",'Shipments data'!Q:Q,"&lt;"&amp;'Supply planning data'!D617,'Shipments data'!AC:AC,"&lt;"&amp;'Supply planning data'!D617)-SUMIFS(M:M,D:D,"&lt;="&amp;D602,C:C,C602)-SUMIFS(AJ:AJ,D:D,"&lt;="&amp;D602,C:C,C602)+SUMIFS(N:N,D:D,"&lt;="&amp;D602,C:C,C602)+SUMIFS(P:P,D:D,"&lt;="&amp;D602,C:C,C602))</f>
        <v>0</v>
      </c>
      <c r="AM602" s="111">
        <f t="shared" si="192"/>
        <v>0</v>
      </c>
      <c r="AN602" s="111">
        <f t="shared" si="185"/>
        <v>0</v>
      </c>
      <c r="AO602" s="204" t="str">
        <f t="shared" si="177"/>
        <v/>
      </c>
    </row>
    <row r="603" spans="1:41" hidden="1" x14ac:dyDescent="0.25">
      <c r="A603" s="103" t="str">
        <f>Start!D$7</f>
        <v>Anyland</v>
      </c>
      <c r="B603" s="109" t="str">
        <f>VLOOKUP(A603,list!B:C,2,FALSE)</f>
        <v>ANY</v>
      </c>
      <c r="C603" s="109" t="str">
        <f>IF(Start!$C$30="","",Start!$C$30)</f>
        <v/>
      </c>
      <c r="D603" s="298">
        <f t="shared" si="186"/>
        <v>45383</v>
      </c>
      <c r="E603" s="105" t="str">
        <f>IFERROR(VLOOKUP(C603,Start!C$15:D$31,2,FALSE),"No")</f>
        <v>No</v>
      </c>
      <c r="F603" s="105">
        <f t="shared" si="187"/>
        <v>0</v>
      </c>
      <c r="G603" s="106"/>
      <c r="H603" s="106"/>
      <c r="I603" s="106"/>
      <c r="J603" s="105">
        <f t="shared" si="179"/>
        <v>0</v>
      </c>
      <c r="K603" s="106"/>
      <c r="L603" s="177" t="str">
        <f t="shared" si="180"/>
        <v/>
      </c>
      <c r="M603" s="105">
        <f t="shared" si="181"/>
        <v>0</v>
      </c>
      <c r="N603" s="110"/>
      <c r="O603" s="124"/>
      <c r="P603" s="110"/>
      <c r="Q603" s="124"/>
      <c r="R603" s="111">
        <f>SUMIFS('Shipments data'!L:L,'Shipments data'!F:F,'Supply planning data'!C603,'Shipments data'!A:A,'Supply planning data'!A603,'Shipments data'!Y:Y,'Supply planning data'!D603,'Shipments data'!O:O,"received", 'Shipments data'!N:N, "Public")</f>
        <v>0</v>
      </c>
      <c r="S603" s="111">
        <f>SUMIFS('Shipments data'!L:L,'Shipments data'!F:F,'Supply planning data'!C603,'Shipments data'!A:A,'Supply planning data'!A603,'Shipments data'!Y:Y,'Supply planning data'!D603,'Shipments data'!O:O,"ordered", 'Shipments data'!N:N, "Public")</f>
        <v>0</v>
      </c>
      <c r="T603" s="111">
        <f>IF(SUMIFS('Shipments data'!L:L,'Shipments data'!F:F,'Supply planning data'!C603,'Shipments data'!A:A,'Supply planning data'!A603,'Shipments data'!O:O,"received",'Shipments data'!Q:Q,"&lt;"&amp;'Supply planning data'!D618,'Shipments data'!AC:AC,"&lt;"&amp;'Supply planning data'!D618)-SUMIFS(M:M,D:D,"&lt;="&amp;D603,C:C,C603)+SUMIFS(N:N,D:D,"&lt;="&amp;D603,C:C,C603)+SUMIFS(P:P,D:D,"&lt;="&amp;D603,C:C,C603)&lt;0,0,SUMIFS('Shipments data'!L:L,'Shipments data'!F:F,'Supply planning data'!C603,'Shipments data'!A:A,'Supply planning data'!A603,'Shipments data'!O:O,"received",'Shipments data'!Q:Q,"&lt;"&amp;'Supply planning data'!D618,'Shipments data'!AC:AC,"&lt;"&amp;'Supply planning data'!D618)-SUMIFS(M:M,D:D,"&lt;="&amp;D603,C:C,C603)+SUMIFS(N:N,D:D,"&lt;="&amp;D603,C:C,C603)+SUMIFS(P:P,D:D,"&lt;="&amp;D603,C:C,C603))</f>
        <v>0</v>
      </c>
      <c r="U603" s="112">
        <f t="shared" si="188"/>
        <v>0</v>
      </c>
      <c r="V603" s="111">
        <f t="shared" si="178"/>
        <v>0</v>
      </c>
      <c r="W603" s="204" t="str">
        <f t="shared" si="176"/>
        <v/>
      </c>
      <c r="X603" s="111">
        <f t="shared" si="189"/>
        <v>0</v>
      </c>
      <c r="Y603" s="110"/>
      <c r="Z603" s="107"/>
      <c r="AA603" s="111">
        <f t="shared" si="182"/>
        <v>0</v>
      </c>
      <c r="AB603" s="235"/>
      <c r="AC603" s="111">
        <f>IF(SUMIFS('Shipments data'!L:L,'Shipments data'!F:F,'Supply planning data'!C603,'Shipments data'!A:A,'Supply planning data'!A603,'Shipments data'!O:O,"received",'Shipments data'!Q:Q,"&lt;"&amp;'Supply planning data'!D618,'Shipments data'!AC:AC,"&lt;"&amp;'Supply planning data'!D618)-SUMIFS(M:M,D:D,"&lt;="&amp;D603,C:C,C603)-SUMIFS(AA:AA,D:D,"&lt;="&amp;D603,C:C,C603)+SUMIFS(N:N,D:D,"&lt;="&amp;D603,C:C,C603)+SUMIFS(P:P,D:D,"&lt;="&amp;D603,C:C,C603)&lt;0,0,SUMIFS('Shipments data'!L:L,'Shipments data'!F:F,'Supply planning data'!C603,'Shipments data'!A:A,'Supply planning data'!A603,'Shipments data'!O:O,"received",'Shipments data'!Q:Q,"&lt;"&amp;'Supply planning data'!D618,'Shipments data'!AC:AC,"&lt;"&amp;'Supply planning data'!D618)-SUMIFS(M:M,D:D,"&lt;="&amp;D603,C:C,C603)-SUMIFS(AA:AA,D:D,"&lt;="&amp;D603,C:C,C603)+SUMIFS(N:N,D:D,"&lt;="&amp;D603,C:C,C603)+SUMIFS(P:P,D:D,"&lt;="&amp;D603,C:C,C603))</f>
        <v>0</v>
      </c>
      <c r="AD603" s="111">
        <f t="shared" si="190"/>
        <v>0</v>
      </c>
      <c r="AE603" s="111">
        <f t="shared" si="184"/>
        <v>0</v>
      </c>
      <c r="AF603" s="204" t="str">
        <f t="shared" si="175"/>
        <v/>
      </c>
      <c r="AG603" s="111">
        <f t="shared" si="191"/>
        <v>0</v>
      </c>
      <c r="AH603" s="110"/>
      <c r="AI603" s="313"/>
      <c r="AJ603" s="111">
        <f t="shared" si="183"/>
        <v>0</v>
      </c>
      <c r="AK603" s="235"/>
      <c r="AL603" s="111">
        <f>IF(SUMIFS('Shipments data'!L:L,'Shipments data'!F:F,'Supply planning data'!C603,'Shipments data'!A:A,'Supply planning data'!A603,'Shipments data'!O:O,"received",'Shipments data'!Q:Q,"&lt;"&amp;'Supply planning data'!D618,'Shipments data'!AC:AC,"&lt;"&amp;'Supply planning data'!D618)-SUMIFS(M:M,D:D,"&lt;="&amp;D603,C:C,C603)-SUMIFS(AJ:AJ,D:D,"&lt;="&amp;D603,C:C,C603)+SUMIFS(N:N,D:D,"&lt;="&amp;D603,C:C,C603)+SUMIFS(P:P,D:D,"&lt;="&amp;D603,C:C,C603)&lt;0,0,SUMIFS('Shipments data'!L:L,'Shipments data'!F:F,'Supply planning data'!C603,'Shipments data'!A:A,'Supply planning data'!A603,'Shipments data'!O:O,"received",'Shipments data'!Q:Q,"&lt;"&amp;'Supply planning data'!D618,'Shipments data'!AC:AC,"&lt;"&amp;'Supply planning data'!D618)-SUMIFS(M:M,D:D,"&lt;="&amp;D603,C:C,C603)-SUMIFS(AJ:AJ,D:D,"&lt;="&amp;D603,C:C,C603)+SUMIFS(N:N,D:D,"&lt;="&amp;D603,C:C,C603)+SUMIFS(P:P,D:D,"&lt;="&amp;D603,C:C,C603))</f>
        <v>0</v>
      </c>
      <c r="AM603" s="111">
        <f t="shared" si="192"/>
        <v>0</v>
      </c>
      <c r="AN603" s="111">
        <f t="shared" si="185"/>
        <v>0</v>
      </c>
      <c r="AO603" s="204" t="str">
        <f t="shared" si="177"/>
        <v/>
      </c>
    </row>
    <row r="604" spans="1:41" hidden="1" x14ac:dyDescent="0.25">
      <c r="A604" s="113" t="str">
        <f>Start!D$7</f>
        <v>Anyland</v>
      </c>
      <c r="B604" s="114" t="str">
        <f>VLOOKUP(A604,list!B:C,2,FALSE)</f>
        <v>ANY</v>
      </c>
      <c r="C604" s="104" t="str">
        <f>IF(Start!$C$31="","",Start!$C$31)</f>
        <v/>
      </c>
      <c r="D604" s="298">
        <f t="shared" si="186"/>
        <v>45383</v>
      </c>
      <c r="E604" s="105" t="str">
        <f>IFERROR(VLOOKUP(C604,Start!C$15:D$31,2,FALSE),"No")</f>
        <v>No</v>
      </c>
      <c r="F604" s="105">
        <f t="shared" si="187"/>
        <v>0</v>
      </c>
      <c r="G604" s="106"/>
      <c r="H604" s="106"/>
      <c r="I604" s="106"/>
      <c r="J604" s="105">
        <f t="shared" si="179"/>
        <v>0</v>
      </c>
      <c r="K604" s="106"/>
      <c r="L604" s="177" t="str">
        <f t="shared" si="180"/>
        <v/>
      </c>
      <c r="M604" s="105">
        <f t="shared" si="181"/>
        <v>0</v>
      </c>
      <c r="N604" s="110"/>
      <c r="O604" s="124"/>
      <c r="P604" s="110"/>
      <c r="Q604" s="124"/>
      <c r="R604" s="111">
        <f>SUMIFS('Shipments data'!L:L,'Shipments data'!F:F,'Supply planning data'!C604,'Shipments data'!A:A,'Supply planning data'!A604,'Shipments data'!Y:Y,'Supply planning data'!D604,'Shipments data'!O:O,"received", 'Shipments data'!N:N, "Public")</f>
        <v>0</v>
      </c>
      <c r="S604" s="111">
        <f>SUMIFS('Shipments data'!L:L,'Shipments data'!F:F,'Supply planning data'!C604,'Shipments data'!A:A,'Supply planning data'!A604,'Shipments data'!Y:Y,'Supply planning data'!D604,'Shipments data'!O:O,"ordered", 'Shipments data'!N:N, "Public")</f>
        <v>0</v>
      </c>
      <c r="T604" s="111">
        <f>IF(SUMIFS('Shipments data'!L:L,'Shipments data'!F:F,'Supply planning data'!C604,'Shipments data'!A:A,'Supply planning data'!A604,'Shipments data'!O:O,"received",'Shipments data'!Q:Q,"&lt;"&amp;'Supply planning data'!D619,'Shipments data'!AC:AC,"&lt;"&amp;'Supply planning data'!D619)-SUMIFS(M:M,D:D,"&lt;="&amp;D604,C:C,C604)+SUMIFS(N:N,D:D,"&lt;="&amp;D604,C:C,C604)+SUMIFS(P:P,D:D,"&lt;="&amp;D604,C:C,C604)&lt;0,0,SUMIFS('Shipments data'!L:L,'Shipments data'!F:F,'Supply planning data'!C604,'Shipments data'!A:A,'Supply planning data'!A604,'Shipments data'!O:O,"received",'Shipments data'!Q:Q,"&lt;"&amp;'Supply planning data'!D619,'Shipments data'!AC:AC,"&lt;"&amp;'Supply planning data'!D619)-SUMIFS(M:M,D:D,"&lt;="&amp;D604,C:C,C604)+SUMIFS(N:N,D:D,"&lt;="&amp;D604,C:C,C604)+SUMIFS(P:P,D:D,"&lt;="&amp;D604,C:C,C604))</f>
        <v>0</v>
      </c>
      <c r="U604" s="112">
        <f t="shared" si="188"/>
        <v>0</v>
      </c>
      <c r="V604" s="111">
        <f t="shared" si="178"/>
        <v>0</v>
      </c>
      <c r="W604" s="204" t="str">
        <f t="shared" si="176"/>
        <v/>
      </c>
      <c r="X604" s="111">
        <f t="shared" si="189"/>
        <v>0</v>
      </c>
      <c r="Y604" s="110"/>
      <c r="Z604" s="107"/>
      <c r="AA604" s="111">
        <f t="shared" si="182"/>
        <v>0</v>
      </c>
      <c r="AB604" s="235"/>
      <c r="AC604" s="111">
        <f>IF(SUMIFS('Shipments data'!L:L,'Shipments data'!F:F,'Supply planning data'!C604,'Shipments data'!A:A,'Supply planning data'!A604,'Shipments data'!O:O,"received",'Shipments data'!Q:Q,"&lt;"&amp;'Supply planning data'!D619,'Shipments data'!AC:AC,"&lt;"&amp;'Supply planning data'!D619)-SUMIFS(M:M,D:D,"&lt;="&amp;D604,C:C,C604)-SUMIFS(AA:AA,D:D,"&lt;="&amp;D604,C:C,C604)+SUMIFS(N:N,D:D,"&lt;="&amp;D604,C:C,C604)+SUMIFS(P:P,D:D,"&lt;="&amp;D604,C:C,C604)&lt;0,0,SUMIFS('Shipments data'!L:L,'Shipments data'!F:F,'Supply planning data'!C604,'Shipments data'!A:A,'Supply planning data'!A604,'Shipments data'!O:O,"received",'Shipments data'!Q:Q,"&lt;"&amp;'Supply planning data'!D619,'Shipments data'!AC:AC,"&lt;"&amp;'Supply planning data'!D619)-SUMIFS(M:M,D:D,"&lt;="&amp;D604,C:C,C604)-SUMIFS(AA:AA,D:D,"&lt;="&amp;D604,C:C,C604)+SUMIFS(N:N,D:D,"&lt;="&amp;D604,C:C,C604)+SUMIFS(P:P,D:D,"&lt;="&amp;D604,C:C,C604))</f>
        <v>0</v>
      </c>
      <c r="AD604" s="111">
        <f t="shared" si="190"/>
        <v>0</v>
      </c>
      <c r="AE604" s="111">
        <f t="shared" si="184"/>
        <v>0</v>
      </c>
      <c r="AF604" s="204" t="str">
        <f t="shared" si="175"/>
        <v/>
      </c>
      <c r="AG604" s="111">
        <f t="shared" si="191"/>
        <v>0</v>
      </c>
      <c r="AH604" s="110"/>
      <c r="AI604" s="313"/>
      <c r="AJ604" s="111">
        <f t="shared" si="183"/>
        <v>0</v>
      </c>
      <c r="AK604" s="235"/>
      <c r="AL604" s="111">
        <f>IF(SUMIFS('Shipments data'!L:L,'Shipments data'!F:F,'Supply planning data'!C604,'Shipments data'!A:A,'Supply planning data'!A604,'Shipments data'!O:O,"received",'Shipments data'!Q:Q,"&lt;"&amp;'Supply planning data'!D619,'Shipments data'!AC:AC,"&lt;"&amp;'Supply planning data'!D619)-SUMIFS(M:M,D:D,"&lt;="&amp;D604,C:C,C604)-SUMIFS(AJ:AJ,D:D,"&lt;="&amp;D604,C:C,C604)+SUMIFS(N:N,D:D,"&lt;="&amp;D604,C:C,C604)+SUMIFS(P:P,D:D,"&lt;="&amp;D604,C:C,C604)&lt;0,0,SUMIFS('Shipments data'!L:L,'Shipments data'!F:F,'Supply planning data'!C604,'Shipments data'!A:A,'Supply planning data'!A604,'Shipments data'!O:O,"received",'Shipments data'!Q:Q,"&lt;"&amp;'Supply planning data'!D619,'Shipments data'!AC:AC,"&lt;"&amp;'Supply planning data'!D619)-SUMIFS(M:M,D:D,"&lt;="&amp;D604,C:C,C604)-SUMIFS(AJ:AJ,D:D,"&lt;="&amp;D604,C:C,C604)+SUMIFS(N:N,D:D,"&lt;="&amp;D604,C:C,C604)+SUMIFS(P:P,D:D,"&lt;="&amp;D604,C:C,C604))</f>
        <v>0</v>
      </c>
      <c r="AM604" s="111">
        <f t="shared" si="192"/>
        <v>0</v>
      </c>
      <c r="AN604" s="111">
        <f t="shared" si="185"/>
        <v>0</v>
      </c>
      <c r="AO604" s="204" t="str">
        <f t="shared" si="177"/>
        <v/>
      </c>
    </row>
    <row r="605" spans="1:41" x14ac:dyDescent="0.25">
      <c r="A605" s="89" t="str">
        <f>Start!D$7</f>
        <v>Anyland</v>
      </c>
      <c r="B605" s="90" t="str">
        <f>VLOOKUP(A605,list!B:C,2,FALSE)</f>
        <v>ANY</v>
      </c>
      <c r="C605" s="90" t="str">
        <f>IF(Start!$C$17="","",Start!$C$17)</f>
        <v>AstraZeneca</v>
      </c>
      <c r="D605" s="296">
        <f t="shared" si="186"/>
        <v>45413</v>
      </c>
      <c r="E605" s="92" t="str">
        <f>IFERROR(VLOOKUP(C605,Start!C$15:D$31,2,FALSE),"No")</f>
        <v>Yes</v>
      </c>
      <c r="F605" s="92">
        <f t="shared" si="187"/>
        <v>0</v>
      </c>
      <c r="G605" s="91"/>
      <c r="H605" s="91"/>
      <c r="I605" s="91"/>
      <c r="J605" s="92">
        <f t="shared" si="179"/>
        <v>0</v>
      </c>
      <c r="K605" s="91"/>
      <c r="L605" s="174" t="str">
        <f t="shared" si="180"/>
        <v/>
      </c>
      <c r="M605" s="92">
        <f t="shared" si="181"/>
        <v>0</v>
      </c>
      <c r="N605" s="91"/>
      <c r="O605" s="121"/>
      <c r="P605" s="91"/>
      <c r="Q605" s="121"/>
      <c r="R605" s="92">
        <f>SUMIFS('Shipments data'!L:L,'Shipments data'!F:F,'Supply planning data'!C605,'Shipments data'!A:A,'Supply planning data'!A605,'Shipments data'!Y:Y,'Supply planning data'!D605,'Shipments data'!O:O,"received", 'Shipments data'!N:N, "Public")</f>
        <v>0</v>
      </c>
      <c r="S605" s="92">
        <f>SUMIFS('Shipments data'!L:L,'Shipments data'!F:F,'Supply planning data'!C605,'Shipments data'!A:A,'Supply planning data'!A605,'Shipments data'!Y:Y,'Supply planning data'!D605,'Shipments data'!O:O,"ordered", 'Shipments data'!N:N, "Public")</f>
        <v>0</v>
      </c>
      <c r="T605" s="92">
        <f>IF(SUMIFS('Shipments data'!L:L,'Shipments data'!F:F,'Supply planning data'!C605,'Shipments data'!A:A,'Supply planning data'!A605,'Shipments data'!O:O,"received",'Shipments data'!Q:Q,"&lt;"&amp;'Supply planning data'!D620,'Shipments data'!AC:AC,"&lt;"&amp;'Supply planning data'!D620)-SUMIFS(M:M,D:D,"&lt;="&amp;D605,C:C,C605)+SUMIFS(N:N,D:D,"&lt;="&amp;D605,C:C,C605)+SUMIFS(P:P,D:D,"&lt;="&amp;D605,C:C,C605)&lt;0,0,SUMIFS('Shipments data'!L:L,'Shipments data'!F:F,'Supply planning data'!C605,'Shipments data'!A:A,'Supply planning data'!A605,'Shipments data'!O:O,"received",'Shipments data'!Q:Q,"&lt;"&amp;'Supply planning data'!D620,'Shipments data'!AC:AC,"&lt;"&amp;'Supply planning data'!D620)-SUMIFS(M:M,D:D,"&lt;="&amp;D605,C:C,C605)+SUMIFS(N:N,D:D,"&lt;="&amp;D605,C:C,C605)+SUMIFS(P:P,D:D,"&lt;="&amp;D605,C:C,C605))</f>
        <v>0</v>
      </c>
      <c r="U605" s="94">
        <f t="shared" si="188"/>
        <v>0</v>
      </c>
      <c r="V605" s="92">
        <f t="shared" si="178"/>
        <v>0</v>
      </c>
      <c r="W605" s="205" t="str">
        <f t="shared" si="176"/>
        <v/>
      </c>
      <c r="X605" s="92">
        <f t="shared" si="189"/>
        <v>154701</v>
      </c>
      <c r="Y605" s="91"/>
      <c r="Z605" s="93"/>
      <c r="AA605" s="92">
        <f t="shared" si="182"/>
        <v>0</v>
      </c>
      <c r="AB605" s="232"/>
      <c r="AC605" s="92">
        <f>IF(SUMIFS('Shipments data'!L:L,'Shipments data'!F:F,'Supply planning data'!C605,'Shipments data'!A:A,'Supply planning data'!A605,'Shipments data'!O:O,"received",'Shipments data'!Q:Q,"&lt;"&amp;'Supply planning data'!D620,'Shipments data'!AC:AC,"&lt;"&amp;'Supply planning data'!D620)-SUMIFS(M:M,D:D,"&lt;="&amp;D605,C:C,C605)-SUMIFS(AA:AA,D:D,"&lt;="&amp;D605,C:C,C605)+SUMIFS(N:N,D:D,"&lt;="&amp;D605,C:C,C605)+SUMIFS(P:P,D:D,"&lt;="&amp;D605,C:C,C605)&lt;0,0,SUMIFS('Shipments data'!L:L,'Shipments data'!F:F,'Supply planning data'!C605,'Shipments data'!A:A,'Supply planning data'!A605,'Shipments data'!O:O,"received",'Shipments data'!Q:Q,"&lt;"&amp;'Supply planning data'!D620,'Shipments data'!AC:AC,"&lt;"&amp;'Supply planning data'!D620)-SUMIFS(M:M,D:D,"&lt;="&amp;D605,C:C,C605)-SUMIFS(AA:AA,D:D,"&lt;="&amp;D605,C:C,C605)+SUMIFS(N:N,D:D,"&lt;="&amp;D605,C:C,C605)+SUMIFS(P:P,D:D,"&lt;="&amp;D605,C:C,C605))</f>
        <v>0</v>
      </c>
      <c r="AD605" s="92">
        <f t="shared" si="190"/>
        <v>0</v>
      </c>
      <c r="AE605" s="92">
        <f t="shared" si="184"/>
        <v>154701</v>
      </c>
      <c r="AF605" s="205" t="str">
        <f t="shared" si="175"/>
        <v/>
      </c>
      <c r="AG605" s="92">
        <f t="shared" si="191"/>
        <v>0</v>
      </c>
      <c r="AH605" s="91"/>
      <c r="AI605" s="310"/>
      <c r="AJ605" s="92">
        <f t="shared" si="183"/>
        <v>0</v>
      </c>
      <c r="AK605" s="232"/>
      <c r="AL605" s="92">
        <f>IF(SUMIFS('Shipments data'!L:L,'Shipments data'!F:F,'Supply planning data'!C605,'Shipments data'!A:A,'Supply planning data'!A605,'Shipments data'!O:O,"received",'Shipments data'!Q:Q,"&lt;"&amp;'Supply planning data'!D620,'Shipments data'!AC:AC,"&lt;"&amp;'Supply planning data'!D620)-SUMIFS(M:M,D:D,"&lt;="&amp;D605,C:C,C605)-SUMIFS(AJ:AJ,D:D,"&lt;="&amp;D605,C:C,C605)+SUMIFS(N:N,D:D,"&lt;="&amp;D605,C:C,C605)+SUMIFS(P:P,D:D,"&lt;="&amp;D605,C:C,C605)&lt;0,0,SUMIFS('Shipments data'!L:L,'Shipments data'!F:F,'Supply planning data'!C605,'Shipments data'!A:A,'Supply planning data'!A605,'Shipments data'!O:O,"received",'Shipments data'!Q:Q,"&lt;"&amp;'Supply planning data'!D620,'Shipments data'!AC:AC,"&lt;"&amp;'Supply planning data'!D620)-SUMIFS(M:M,D:D,"&lt;="&amp;D605,C:C,C605)-SUMIFS(AJ:AJ,D:D,"&lt;="&amp;D605,C:C,C605)+SUMIFS(N:N,D:D,"&lt;="&amp;D605,C:C,C605)+SUMIFS(P:P,D:D,"&lt;="&amp;D605,C:C,C605))</f>
        <v>0</v>
      </c>
      <c r="AM605" s="92">
        <f t="shared" si="192"/>
        <v>0</v>
      </c>
      <c r="AN605" s="92">
        <f t="shared" si="185"/>
        <v>0</v>
      </c>
      <c r="AO605" s="205" t="str">
        <f t="shared" si="177"/>
        <v/>
      </c>
    </row>
    <row r="606" spans="1:41" x14ac:dyDescent="0.25">
      <c r="A606" s="95" t="str">
        <f>Start!D$7</f>
        <v>Anyland</v>
      </c>
      <c r="B606" s="96" t="str">
        <f>VLOOKUP(A606,list!B:C,2,FALSE)</f>
        <v>ANY</v>
      </c>
      <c r="C606" s="90" t="str">
        <f>IF(Start!$C$18="","",Start!$C$18)</f>
        <v>Jansen</v>
      </c>
      <c r="D606" s="296">
        <f t="shared" si="186"/>
        <v>45413</v>
      </c>
      <c r="E606" s="92" t="str">
        <f>IFERROR(VLOOKUP(C606,Start!C$15:D$31,2,FALSE),"No")</f>
        <v>Yes</v>
      </c>
      <c r="F606" s="92">
        <f t="shared" si="187"/>
        <v>1871200</v>
      </c>
      <c r="G606" s="91"/>
      <c r="H606" s="97"/>
      <c r="I606" s="97"/>
      <c r="J606" s="98">
        <f t="shared" si="179"/>
        <v>0</v>
      </c>
      <c r="K606" s="97"/>
      <c r="L606" s="175" t="str">
        <f t="shared" si="180"/>
        <v/>
      </c>
      <c r="M606" s="98">
        <f t="shared" si="181"/>
        <v>0</v>
      </c>
      <c r="N606" s="97"/>
      <c r="O606" s="122"/>
      <c r="P606" s="97"/>
      <c r="Q606" s="122"/>
      <c r="R606" s="98">
        <f>SUMIFS('Shipments data'!L:L,'Shipments data'!F:F,'Supply planning data'!C606,'Shipments data'!A:A,'Supply planning data'!A606,'Shipments data'!Y:Y,'Supply planning data'!D606,'Shipments data'!O:O,"received", 'Shipments data'!N:N, "Public")</f>
        <v>0</v>
      </c>
      <c r="S606" s="98">
        <f>SUMIFS('Shipments data'!L:L,'Shipments data'!F:F,'Supply planning data'!C606,'Shipments data'!A:A,'Supply planning data'!A606,'Shipments data'!Y:Y,'Supply planning data'!D606,'Shipments data'!O:O,"ordered", 'Shipments data'!N:N, "Public")</f>
        <v>0</v>
      </c>
      <c r="T606" s="98">
        <f>IF(SUMIFS('Shipments data'!L:L,'Shipments data'!F:F,'Supply planning data'!C606,'Shipments data'!A:A,'Supply planning data'!A606,'Shipments data'!O:O,"received",'Shipments data'!Q:Q,"&lt;"&amp;'Supply planning data'!D621,'Shipments data'!AC:AC,"&lt;"&amp;'Supply planning data'!D621)-SUMIFS(M:M,D:D,"&lt;="&amp;D606,C:C,C606)+SUMIFS(N:N,D:D,"&lt;="&amp;D606,C:C,C606)+SUMIFS(P:P,D:D,"&lt;="&amp;D606,C:C,C606)&lt;0,0,SUMIFS('Shipments data'!L:L,'Shipments data'!F:F,'Supply planning data'!C606,'Shipments data'!A:A,'Supply planning data'!A606,'Shipments data'!O:O,"received",'Shipments data'!Q:Q,"&lt;"&amp;'Supply planning data'!D621,'Shipments data'!AC:AC,"&lt;"&amp;'Supply planning data'!D621)-SUMIFS(M:M,D:D,"&lt;="&amp;D606,C:C,C606)+SUMIFS(N:N,D:D,"&lt;="&amp;D606,C:C,C606)+SUMIFS(P:P,D:D,"&lt;="&amp;D606,C:C,C606))</f>
        <v>387547</v>
      </c>
      <c r="U606" s="99">
        <f t="shared" si="188"/>
        <v>0</v>
      </c>
      <c r="V606" s="98">
        <f t="shared" si="178"/>
        <v>1871200</v>
      </c>
      <c r="W606" s="203" t="str">
        <f t="shared" si="176"/>
        <v/>
      </c>
      <c r="X606" s="98">
        <f t="shared" si="189"/>
        <v>1311200</v>
      </c>
      <c r="Y606" s="97"/>
      <c r="Z606" s="93"/>
      <c r="AA606" s="98">
        <f t="shared" si="182"/>
        <v>0</v>
      </c>
      <c r="AB606" s="233"/>
      <c r="AC606" s="98">
        <f>IF(SUMIFS('Shipments data'!L:L,'Shipments data'!F:F,'Supply planning data'!C606,'Shipments data'!A:A,'Supply planning data'!A606,'Shipments data'!O:O,"received",'Shipments data'!Q:Q,"&lt;"&amp;'Supply planning data'!D621,'Shipments data'!AC:AC,"&lt;"&amp;'Supply planning data'!D621)-SUMIFS(M:M,D:D,"&lt;="&amp;D606,C:C,C606)-SUMIFS(AA:AA,D:D,"&lt;="&amp;D606,C:C,C606)+SUMIFS(N:N,D:D,"&lt;="&amp;D606,C:C,C606)+SUMIFS(P:P,D:D,"&lt;="&amp;D606,C:C,C606)&lt;0,0,SUMIFS('Shipments data'!L:L,'Shipments data'!F:F,'Supply planning data'!C606,'Shipments data'!A:A,'Supply planning data'!A606,'Shipments data'!O:O,"received",'Shipments data'!Q:Q,"&lt;"&amp;'Supply planning data'!D621,'Shipments data'!AC:AC,"&lt;"&amp;'Supply planning data'!D621)-SUMIFS(M:M,D:D,"&lt;="&amp;D606,C:C,C606)-SUMIFS(AA:AA,D:D,"&lt;="&amp;D606,C:C,C606)+SUMIFS(N:N,D:D,"&lt;="&amp;D606,C:C,C606)+SUMIFS(P:P,D:D,"&lt;="&amp;D606,C:C,C606))</f>
        <v>0</v>
      </c>
      <c r="AD606" s="98">
        <f t="shared" si="190"/>
        <v>0</v>
      </c>
      <c r="AE606" s="98">
        <f t="shared" si="184"/>
        <v>1311200</v>
      </c>
      <c r="AF606" s="205" t="str">
        <f t="shared" si="175"/>
        <v/>
      </c>
      <c r="AG606" s="98">
        <f t="shared" si="191"/>
        <v>1871200</v>
      </c>
      <c r="AH606" s="97"/>
      <c r="AI606" s="311"/>
      <c r="AJ606" s="98">
        <f t="shared" si="183"/>
        <v>0</v>
      </c>
      <c r="AK606" s="233"/>
      <c r="AL606" s="98">
        <f>IF(SUMIFS('Shipments data'!L:L,'Shipments data'!F:F,'Supply planning data'!C606,'Shipments data'!A:A,'Supply planning data'!A606,'Shipments data'!O:O,"received",'Shipments data'!Q:Q,"&lt;"&amp;'Supply planning data'!D621,'Shipments data'!AC:AC,"&lt;"&amp;'Supply planning data'!D621)-SUMIFS(M:M,D:D,"&lt;="&amp;D606,C:C,C606)-SUMIFS(AJ:AJ,D:D,"&lt;="&amp;D606,C:C,C606)+SUMIFS(N:N,D:D,"&lt;="&amp;D606,C:C,C606)+SUMIFS(P:P,D:D,"&lt;="&amp;D606,C:C,C606)&lt;0,0,SUMIFS('Shipments data'!L:L,'Shipments data'!F:F,'Supply planning data'!C606,'Shipments data'!A:A,'Supply planning data'!A606,'Shipments data'!O:O,"received",'Shipments data'!Q:Q,"&lt;"&amp;'Supply planning data'!D621,'Shipments data'!AC:AC,"&lt;"&amp;'Supply planning data'!D621)-SUMIFS(M:M,D:D,"&lt;="&amp;D606,C:C,C606)-SUMIFS(AJ:AJ,D:D,"&lt;="&amp;D606,C:C,C606)+SUMIFS(N:N,D:D,"&lt;="&amp;D606,C:C,C606)+SUMIFS(P:P,D:D,"&lt;="&amp;D606,C:C,C606))</f>
        <v>387547</v>
      </c>
      <c r="AM606" s="98">
        <f t="shared" si="192"/>
        <v>0</v>
      </c>
      <c r="AN606" s="98">
        <f t="shared" si="185"/>
        <v>1871200</v>
      </c>
      <c r="AO606" s="203" t="str">
        <f t="shared" si="177"/>
        <v/>
      </c>
    </row>
    <row r="607" spans="1:41" x14ac:dyDescent="0.25">
      <c r="A607" s="95" t="str">
        <f>Start!D$7</f>
        <v>Anyland</v>
      </c>
      <c r="B607" s="96" t="str">
        <f>VLOOKUP(A607,list!B:C,2,FALSE)</f>
        <v>ANY</v>
      </c>
      <c r="C607" s="90" t="str">
        <f>IF(Start!$C$19="","",Start!$C$19)</f>
        <v>Moderna</v>
      </c>
      <c r="D607" s="296">
        <f t="shared" si="186"/>
        <v>45413</v>
      </c>
      <c r="E607" s="92" t="str">
        <f>IFERROR(VLOOKUP(C607,Start!C$15:D$31,2,FALSE),"No")</f>
        <v>No</v>
      </c>
      <c r="F607" s="92">
        <f t="shared" si="187"/>
        <v>0</v>
      </c>
      <c r="G607" s="91"/>
      <c r="H607" s="97"/>
      <c r="I607" s="97"/>
      <c r="J607" s="98">
        <f t="shared" si="179"/>
        <v>0</v>
      </c>
      <c r="K607" s="97"/>
      <c r="L607" s="175" t="str">
        <f t="shared" si="180"/>
        <v/>
      </c>
      <c r="M607" s="98">
        <f t="shared" si="181"/>
        <v>0</v>
      </c>
      <c r="N607" s="97"/>
      <c r="O607" s="122"/>
      <c r="P607" s="97"/>
      <c r="Q607" s="122"/>
      <c r="R607" s="98">
        <f>SUMIFS('Shipments data'!L:L,'Shipments data'!F:F,'Supply planning data'!C607,'Shipments data'!A:A,'Supply planning data'!A607,'Shipments data'!Y:Y,'Supply planning data'!D607,'Shipments data'!O:O,"received", 'Shipments data'!N:N, "Public")</f>
        <v>0</v>
      </c>
      <c r="S607" s="98">
        <f>SUMIFS('Shipments data'!L:L,'Shipments data'!F:F,'Supply planning data'!C607,'Shipments data'!A:A,'Supply planning data'!A607,'Shipments data'!Y:Y,'Supply planning data'!D607,'Shipments data'!O:O,"ordered", 'Shipments data'!N:N, "Public")</f>
        <v>0</v>
      </c>
      <c r="T607" s="98">
        <f>IF(SUMIFS('Shipments data'!L:L,'Shipments data'!F:F,'Supply planning data'!C607,'Shipments data'!A:A,'Supply planning data'!A607,'Shipments data'!O:O,"received",'Shipments data'!Q:Q,"&lt;"&amp;'Supply planning data'!D622,'Shipments data'!AC:AC,"&lt;"&amp;'Supply planning data'!D622)-SUMIFS(M:M,D:D,"&lt;="&amp;D607,C:C,C607)+SUMIFS(N:N,D:D,"&lt;="&amp;D607,C:C,C607)+SUMIFS(P:P,D:D,"&lt;="&amp;D607,C:C,C607)&lt;0,0,SUMIFS('Shipments data'!L:L,'Shipments data'!F:F,'Supply planning data'!C607,'Shipments data'!A:A,'Supply planning data'!A607,'Shipments data'!O:O,"received",'Shipments data'!Q:Q,"&lt;"&amp;'Supply planning data'!D622,'Shipments data'!AC:AC,"&lt;"&amp;'Supply planning data'!D622)-SUMIFS(M:M,D:D,"&lt;="&amp;D607,C:C,C607)+SUMIFS(N:N,D:D,"&lt;="&amp;D607,C:C,C607)+SUMIFS(P:P,D:D,"&lt;="&amp;D607,C:C,C607))</f>
        <v>0</v>
      </c>
      <c r="U607" s="99">
        <f t="shared" si="188"/>
        <v>0</v>
      </c>
      <c r="V607" s="98">
        <f t="shared" si="178"/>
        <v>0</v>
      </c>
      <c r="W607" s="203" t="str">
        <f t="shared" si="176"/>
        <v/>
      </c>
      <c r="X607" s="98">
        <f t="shared" si="189"/>
        <v>0</v>
      </c>
      <c r="Y607" s="97"/>
      <c r="Z607" s="93"/>
      <c r="AA607" s="98">
        <f t="shared" si="182"/>
        <v>0</v>
      </c>
      <c r="AB607" s="233"/>
      <c r="AC607" s="98">
        <f>IF(SUMIFS('Shipments data'!L:L,'Shipments data'!F:F,'Supply planning data'!C607,'Shipments data'!A:A,'Supply planning data'!A607,'Shipments data'!O:O,"received",'Shipments data'!Q:Q,"&lt;"&amp;'Supply planning data'!D622,'Shipments data'!AC:AC,"&lt;"&amp;'Supply planning data'!D622)-SUMIFS(M:M,D:D,"&lt;="&amp;D607,C:C,C607)-SUMIFS(AA:AA,D:D,"&lt;="&amp;D607,C:C,C607)+SUMIFS(N:N,D:D,"&lt;="&amp;D607,C:C,C607)+SUMIFS(P:P,D:D,"&lt;="&amp;D607,C:C,C607)&lt;0,0,SUMIFS('Shipments data'!L:L,'Shipments data'!F:F,'Supply planning data'!C607,'Shipments data'!A:A,'Supply planning data'!A607,'Shipments data'!O:O,"received",'Shipments data'!Q:Q,"&lt;"&amp;'Supply planning data'!D622,'Shipments data'!AC:AC,"&lt;"&amp;'Supply planning data'!D622)-SUMIFS(M:M,D:D,"&lt;="&amp;D607,C:C,C607)-SUMIFS(AA:AA,D:D,"&lt;="&amp;D607,C:C,C607)+SUMIFS(N:N,D:D,"&lt;="&amp;D607,C:C,C607)+SUMIFS(P:P,D:D,"&lt;="&amp;D607,C:C,C607))</f>
        <v>0</v>
      </c>
      <c r="AD607" s="98">
        <f t="shared" si="190"/>
        <v>0</v>
      </c>
      <c r="AE607" s="98">
        <f t="shared" si="184"/>
        <v>0</v>
      </c>
      <c r="AF607" s="205" t="str">
        <f t="shared" ref="AF607:AF670" si="193">IF(M607+AA607&lt;=0,"",IFERROR(AE607/(SUM(M607,M637,M622,AA607,AA637,AA622)/3),""))</f>
        <v/>
      </c>
      <c r="AG607" s="98">
        <f t="shared" si="191"/>
        <v>0</v>
      </c>
      <c r="AH607" s="97"/>
      <c r="AI607" s="311"/>
      <c r="AJ607" s="98">
        <f t="shared" si="183"/>
        <v>0</v>
      </c>
      <c r="AK607" s="233"/>
      <c r="AL607" s="98">
        <f>IF(SUMIFS('Shipments data'!L:L,'Shipments data'!F:F,'Supply planning data'!C607,'Shipments data'!A:A,'Supply planning data'!A607,'Shipments data'!O:O,"received",'Shipments data'!Q:Q,"&lt;"&amp;'Supply planning data'!D622,'Shipments data'!AC:AC,"&lt;"&amp;'Supply planning data'!D622)-SUMIFS(M:M,D:D,"&lt;="&amp;D607,C:C,C607)-SUMIFS(AJ:AJ,D:D,"&lt;="&amp;D607,C:C,C607)+SUMIFS(N:N,D:D,"&lt;="&amp;D607,C:C,C607)+SUMIFS(P:P,D:D,"&lt;="&amp;D607,C:C,C607)&lt;0,0,SUMIFS('Shipments data'!L:L,'Shipments data'!F:F,'Supply planning data'!C607,'Shipments data'!A:A,'Supply planning data'!A607,'Shipments data'!O:O,"received",'Shipments data'!Q:Q,"&lt;"&amp;'Supply planning data'!D622,'Shipments data'!AC:AC,"&lt;"&amp;'Supply planning data'!D622)-SUMIFS(M:M,D:D,"&lt;="&amp;D607,C:C,C607)-SUMIFS(AJ:AJ,D:D,"&lt;="&amp;D607,C:C,C607)+SUMIFS(N:N,D:D,"&lt;="&amp;D607,C:C,C607)+SUMIFS(P:P,D:D,"&lt;="&amp;D607,C:C,C607))</f>
        <v>0</v>
      </c>
      <c r="AM607" s="98">
        <f t="shared" si="192"/>
        <v>0</v>
      </c>
      <c r="AN607" s="98">
        <f t="shared" si="185"/>
        <v>0</v>
      </c>
      <c r="AO607" s="203" t="str">
        <f t="shared" si="177"/>
        <v/>
      </c>
    </row>
    <row r="608" spans="1:41" x14ac:dyDescent="0.25">
      <c r="A608" s="95" t="str">
        <f>Start!D$7</f>
        <v>Anyland</v>
      </c>
      <c r="B608" s="96" t="str">
        <f>VLOOKUP(A608,list!B:C,2,FALSE)</f>
        <v>ANY</v>
      </c>
      <c r="C608" s="90" t="str">
        <f>IF(Start!$C$20="","",Start!$C$20)</f>
        <v>Pfizer</v>
      </c>
      <c r="D608" s="296">
        <f t="shared" si="186"/>
        <v>45413</v>
      </c>
      <c r="E608" s="92" t="str">
        <f>IFERROR(VLOOKUP(C608,Start!C$15:D$31,2,FALSE),"No")</f>
        <v>Yes</v>
      </c>
      <c r="F608" s="92">
        <f t="shared" si="187"/>
        <v>3000000</v>
      </c>
      <c r="G608" s="91"/>
      <c r="H608" s="97"/>
      <c r="I608" s="97"/>
      <c r="J608" s="98">
        <f t="shared" si="179"/>
        <v>0</v>
      </c>
      <c r="K608" s="97"/>
      <c r="L608" s="175" t="str">
        <f t="shared" si="180"/>
        <v/>
      </c>
      <c r="M608" s="98">
        <f t="shared" si="181"/>
        <v>0</v>
      </c>
      <c r="N608" s="97"/>
      <c r="O608" s="122"/>
      <c r="P608" s="97"/>
      <c r="Q608" s="122"/>
      <c r="R608" s="98">
        <f>SUMIFS('Shipments data'!L:L,'Shipments data'!F:F,'Supply planning data'!C608,'Shipments data'!A:A,'Supply planning data'!A608,'Shipments data'!Y:Y,'Supply planning data'!D608,'Shipments data'!O:O,"received", 'Shipments data'!N:N, "Public")</f>
        <v>0</v>
      </c>
      <c r="S608" s="98">
        <f>SUMIFS('Shipments data'!L:L,'Shipments data'!F:F,'Supply planning data'!C608,'Shipments data'!A:A,'Supply planning data'!A608,'Shipments data'!Y:Y,'Supply planning data'!D608,'Shipments data'!O:O,"ordered", 'Shipments data'!N:N, "Public")</f>
        <v>0</v>
      </c>
      <c r="T608" s="98">
        <f>IF(SUMIFS('Shipments data'!L:L,'Shipments data'!F:F,'Supply planning data'!C608,'Shipments data'!A:A,'Supply planning data'!A608,'Shipments data'!O:O,"received",'Shipments data'!Q:Q,"&lt;"&amp;'Supply planning data'!D623,'Shipments data'!AC:AC,"&lt;"&amp;'Supply planning data'!D623)-SUMIFS(M:M,D:D,"&lt;="&amp;D608,C:C,C608)+SUMIFS(N:N,D:D,"&lt;="&amp;D608,C:C,C608)+SUMIFS(P:P,D:D,"&lt;="&amp;D608,C:C,C608)&lt;0,0,SUMIFS('Shipments data'!L:L,'Shipments data'!F:F,'Supply planning data'!C608,'Shipments data'!A:A,'Supply planning data'!A608,'Shipments data'!O:O,"received",'Shipments data'!Q:Q,"&lt;"&amp;'Supply planning data'!D623,'Shipments data'!AC:AC,"&lt;"&amp;'Supply planning data'!D623)-SUMIFS(M:M,D:D,"&lt;="&amp;D608,C:C,C608)+SUMIFS(N:N,D:D,"&lt;="&amp;D608,C:C,C608)+SUMIFS(P:P,D:D,"&lt;="&amp;D608,C:C,C608))</f>
        <v>110538</v>
      </c>
      <c r="U608" s="99">
        <f t="shared" si="188"/>
        <v>0</v>
      </c>
      <c r="V608" s="98">
        <f t="shared" si="178"/>
        <v>3000000</v>
      </c>
      <c r="W608" s="203" t="str">
        <f t="shared" si="176"/>
        <v/>
      </c>
      <c r="X608" s="98">
        <f t="shared" si="189"/>
        <v>2440000</v>
      </c>
      <c r="Y608" s="97"/>
      <c r="Z608" s="93"/>
      <c r="AA608" s="98">
        <f t="shared" si="182"/>
        <v>0</v>
      </c>
      <c r="AB608" s="233"/>
      <c r="AC608" s="98">
        <f>IF(SUMIFS('Shipments data'!L:L,'Shipments data'!F:F,'Supply planning data'!C608,'Shipments data'!A:A,'Supply planning data'!A608,'Shipments data'!O:O,"received",'Shipments data'!Q:Q,"&lt;"&amp;'Supply planning data'!D623,'Shipments data'!AC:AC,"&lt;"&amp;'Supply planning data'!D623)-SUMIFS(M:M,D:D,"&lt;="&amp;D608,C:C,C608)-SUMIFS(AA:AA,D:D,"&lt;="&amp;D608,C:C,C608)+SUMIFS(N:N,D:D,"&lt;="&amp;D608,C:C,C608)+SUMIFS(P:P,D:D,"&lt;="&amp;D608,C:C,C608)&lt;0,0,SUMIFS('Shipments data'!L:L,'Shipments data'!F:F,'Supply planning data'!C608,'Shipments data'!A:A,'Supply planning data'!A608,'Shipments data'!O:O,"received",'Shipments data'!Q:Q,"&lt;"&amp;'Supply planning data'!D623,'Shipments data'!AC:AC,"&lt;"&amp;'Supply planning data'!D623)-SUMIFS(M:M,D:D,"&lt;="&amp;D608,C:C,C608)-SUMIFS(AA:AA,D:D,"&lt;="&amp;D608,C:C,C608)+SUMIFS(N:N,D:D,"&lt;="&amp;D608,C:C,C608)+SUMIFS(P:P,D:D,"&lt;="&amp;D608,C:C,C608))</f>
        <v>0</v>
      </c>
      <c r="AD608" s="98">
        <f t="shared" si="190"/>
        <v>0</v>
      </c>
      <c r="AE608" s="98">
        <f t="shared" si="184"/>
        <v>2440000</v>
      </c>
      <c r="AF608" s="205" t="str">
        <f t="shared" si="193"/>
        <v/>
      </c>
      <c r="AG608" s="98">
        <f t="shared" si="191"/>
        <v>3000000</v>
      </c>
      <c r="AH608" s="97"/>
      <c r="AI608" s="311"/>
      <c r="AJ608" s="98">
        <f t="shared" si="183"/>
        <v>0</v>
      </c>
      <c r="AK608" s="233"/>
      <c r="AL608" s="98">
        <f>IF(SUMIFS('Shipments data'!L:L,'Shipments data'!F:F,'Supply planning data'!C608,'Shipments data'!A:A,'Supply planning data'!A608,'Shipments data'!O:O,"received",'Shipments data'!Q:Q,"&lt;"&amp;'Supply planning data'!D623,'Shipments data'!AC:AC,"&lt;"&amp;'Supply planning data'!D623)-SUMIFS(M:M,D:D,"&lt;="&amp;D608,C:C,C608)-SUMIFS(AJ:AJ,D:D,"&lt;="&amp;D608,C:C,C608)+SUMIFS(N:N,D:D,"&lt;="&amp;D608,C:C,C608)+SUMIFS(P:P,D:D,"&lt;="&amp;D608,C:C,C608)&lt;0,0,SUMIFS('Shipments data'!L:L,'Shipments data'!F:F,'Supply planning data'!C608,'Shipments data'!A:A,'Supply planning data'!A608,'Shipments data'!O:O,"received",'Shipments data'!Q:Q,"&lt;"&amp;'Supply planning data'!D623,'Shipments data'!AC:AC,"&lt;"&amp;'Supply planning data'!D623)-SUMIFS(M:M,D:D,"&lt;="&amp;D608,C:C,C608)-SUMIFS(AJ:AJ,D:D,"&lt;="&amp;D608,C:C,C608)+SUMIFS(N:N,D:D,"&lt;="&amp;D608,C:C,C608)+SUMIFS(P:P,D:D,"&lt;="&amp;D608,C:C,C608))</f>
        <v>110538</v>
      </c>
      <c r="AM608" s="98">
        <f t="shared" si="192"/>
        <v>0</v>
      </c>
      <c r="AN608" s="98">
        <f t="shared" si="185"/>
        <v>3000000</v>
      </c>
      <c r="AO608" s="203" t="str">
        <f t="shared" si="177"/>
        <v/>
      </c>
    </row>
    <row r="609" spans="1:41" x14ac:dyDescent="0.25">
      <c r="A609" s="95" t="str">
        <f>Start!D$7</f>
        <v>Anyland</v>
      </c>
      <c r="B609" s="96" t="str">
        <f>VLOOKUP(A609,list!B:C,2,FALSE)</f>
        <v>ANY</v>
      </c>
      <c r="C609" s="90" t="str">
        <f>IF(Start!$C$21="","",Start!$C$21)</f>
        <v>Sinovac</v>
      </c>
      <c r="D609" s="296">
        <f t="shared" si="186"/>
        <v>45413</v>
      </c>
      <c r="E609" s="92" t="str">
        <f>IFERROR(VLOOKUP(C609,Start!C$15:D$31,2,FALSE),"No")</f>
        <v>No</v>
      </c>
      <c r="F609" s="92">
        <f t="shared" si="187"/>
        <v>0</v>
      </c>
      <c r="G609" s="91"/>
      <c r="H609" s="97"/>
      <c r="I609" s="97"/>
      <c r="J609" s="98">
        <f t="shared" si="179"/>
        <v>0</v>
      </c>
      <c r="K609" s="97"/>
      <c r="L609" s="175" t="str">
        <f t="shared" si="180"/>
        <v/>
      </c>
      <c r="M609" s="98">
        <f t="shared" si="181"/>
        <v>0</v>
      </c>
      <c r="N609" s="97"/>
      <c r="O609" s="122"/>
      <c r="P609" s="97"/>
      <c r="Q609" s="122"/>
      <c r="R609" s="98">
        <f>SUMIFS('Shipments data'!L:L,'Shipments data'!F:F,'Supply planning data'!C609,'Shipments data'!A:A,'Supply planning data'!A609,'Shipments data'!Y:Y,'Supply planning data'!D609,'Shipments data'!O:O,"received", 'Shipments data'!N:N, "Public")</f>
        <v>0</v>
      </c>
      <c r="S609" s="98">
        <f>SUMIFS('Shipments data'!L:L,'Shipments data'!F:F,'Supply planning data'!C609,'Shipments data'!A:A,'Supply planning data'!A609,'Shipments data'!Y:Y,'Supply planning data'!D609,'Shipments data'!O:O,"ordered", 'Shipments data'!N:N, "Public")</f>
        <v>0</v>
      </c>
      <c r="T609" s="98">
        <f>IF(SUMIFS('Shipments data'!L:L,'Shipments data'!F:F,'Supply planning data'!C609,'Shipments data'!A:A,'Supply planning data'!A609,'Shipments data'!O:O,"received",'Shipments data'!Q:Q,"&lt;"&amp;'Supply planning data'!D624,'Shipments data'!AC:AC,"&lt;"&amp;'Supply planning data'!D624)-SUMIFS(M:M,D:D,"&lt;="&amp;D609,C:C,C609)+SUMIFS(N:N,D:D,"&lt;="&amp;D609,C:C,C609)+SUMIFS(P:P,D:D,"&lt;="&amp;D609,C:C,C609)&lt;0,0,SUMIFS('Shipments data'!L:L,'Shipments data'!F:F,'Supply planning data'!C609,'Shipments data'!A:A,'Supply planning data'!A609,'Shipments data'!O:O,"received",'Shipments data'!Q:Q,"&lt;"&amp;'Supply planning data'!D624,'Shipments data'!AC:AC,"&lt;"&amp;'Supply planning data'!D624)-SUMIFS(M:M,D:D,"&lt;="&amp;D609,C:C,C609)+SUMIFS(N:N,D:D,"&lt;="&amp;D609,C:C,C609)+SUMIFS(P:P,D:D,"&lt;="&amp;D609,C:C,C609))</f>
        <v>0</v>
      </c>
      <c r="U609" s="99">
        <f t="shared" si="188"/>
        <v>0</v>
      </c>
      <c r="V609" s="98">
        <f t="shared" si="178"/>
        <v>0</v>
      </c>
      <c r="W609" s="203" t="str">
        <f t="shared" si="176"/>
        <v/>
      </c>
      <c r="X609" s="98">
        <f t="shared" si="189"/>
        <v>0</v>
      </c>
      <c r="Y609" s="97"/>
      <c r="Z609" s="93"/>
      <c r="AA609" s="98">
        <f t="shared" si="182"/>
        <v>0</v>
      </c>
      <c r="AB609" s="233"/>
      <c r="AC609" s="98">
        <f>IF(SUMIFS('Shipments data'!L:L,'Shipments data'!F:F,'Supply planning data'!C609,'Shipments data'!A:A,'Supply planning data'!A609,'Shipments data'!O:O,"received",'Shipments data'!Q:Q,"&lt;"&amp;'Supply planning data'!D624,'Shipments data'!AC:AC,"&lt;"&amp;'Supply planning data'!D624)-SUMIFS(M:M,D:D,"&lt;="&amp;D609,C:C,C609)-SUMIFS(AA:AA,D:D,"&lt;="&amp;D609,C:C,C609)+SUMIFS(N:N,D:D,"&lt;="&amp;D609,C:C,C609)+SUMIFS(P:P,D:D,"&lt;="&amp;D609,C:C,C609)&lt;0,0,SUMIFS('Shipments data'!L:L,'Shipments data'!F:F,'Supply planning data'!C609,'Shipments data'!A:A,'Supply planning data'!A609,'Shipments data'!O:O,"received",'Shipments data'!Q:Q,"&lt;"&amp;'Supply planning data'!D624,'Shipments data'!AC:AC,"&lt;"&amp;'Supply planning data'!D624)-SUMIFS(M:M,D:D,"&lt;="&amp;D609,C:C,C609)-SUMIFS(AA:AA,D:D,"&lt;="&amp;D609,C:C,C609)+SUMIFS(N:N,D:D,"&lt;="&amp;D609,C:C,C609)+SUMIFS(P:P,D:D,"&lt;="&amp;D609,C:C,C609))</f>
        <v>0</v>
      </c>
      <c r="AD609" s="98">
        <f t="shared" si="190"/>
        <v>0</v>
      </c>
      <c r="AE609" s="98">
        <f t="shared" si="184"/>
        <v>0</v>
      </c>
      <c r="AF609" s="205" t="str">
        <f t="shared" si="193"/>
        <v/>
      </c>
      <c r="AG609" s="98">
        <f t="shared" si="191"/>
        <v>0</v>
      </c>
      <c r="AH609" s="97"/>
      <c r="AI609" s="311"/>
      <c r="AJ609" s="98">
        <f t="shared" si="183"/>
        <v>0</v>
      </c>
      <c r="AK609" s="233"/>
      <c r="AL609" s="98">
        <f>IF(SUMIFS('Shipments data'!L:L,'Shipments data'!F:F,'Supply planning data'!C609,'Shipments data'!A:A,'Supply planning data'!A609,'Shipments data'!O:O,"received",'Shipments data'!Q:Q,"&lt;"&amp;'Supply planning data'!D624,'Shipments data'!AC:AC,"&lt;"&amp;'Supply planning data'!D624)-SUMIFS(M:M,D:D,"&lt;="&amp;D609,C:C,C609)-SUMIFS(AJ:AJ,D:D,"&lt;="&amp;D609,C:C,C609)+SUMIFS(N:N,D:D,"&lt;="&amp;D609,C:C,C609)+SUMIFS(P:P,D:D,"&lt;="&amp;D609,C:C,C609)&lt;0,0,SUMIFS('Shipments data'!L:L,'Shipments data'!F:F,'Supply planning data'!C609,'Shipments data'!A:A,'Supply planning data'!A609,'Shipments data'!O:O,"received",'Shipments data'!Q:Q,"&lt;"&amp;'Supply planning data'!D624,'Shipments data'!AC:AC,"&lt;"&amp;'Supply planning data'!D624)-SUMIFS(M:M,D:D,"&lt;="&amp;D609,C:C,C609)-SUMIFS(AJ:AJ,D:D,"&lt;="&amp;D609,C:C,C609)+SUMIFS(N:N,D:D,"&lt;="&amp;D609,C:C,C609)+SUMIFS(P:P,D:D,"&lt;="&amp;D609,C:C,C609))</f>
        <v>0</v>
      </c>
      <c r="AM609" s="98">
        <f t="shared" si="192"/>
        <v>0</v>
      </c>
      <c r="AN609" s="98">
        <f t="shared" si="185"/>
        <v>0</v>
      </c>
      <c r="AO609" s="203" t="str">
        <f t="shared" si="177"/>
        <v/>
      </c>
    </row>
    <row r="610" spans="1:41" hidden="1" x14ac:dyDescent="0.25">
      <c r="A610" s="95" t="str">
        <f>Start!D$7</f>
        <v>Anyland</v>
      </c>
      <c r="B610" s="96" t="str">
        <f>VLOOKUP(A610,list!B:C,2,FALSE)</f>
        <v>ANY</v>
      </c>
      <c r="C610" s="90" t="str">
        <f>IF(Start!$C$22="","",Start!$C$22)</f>
        <v/>
      </c>
      <c r="D610" s="296">
        <f t="shared" si="186"/>
        <v>45413</v>
      </c>
      <c r="E610" s="92" t="str">
        <f>IFERROR(VLOOKUP(C610,Start!C$15:D$31,2,FALSE),"No")</f>
        <v>No</v>
      </c>
      <c r="F610" s="92">
        <f t="shared" si="187"/>
        <v>0</v>
      </c>
      <c r="G610" s="91"/>
      <c r="H610" s="97"/>
      <c r="I610" s="97"/>
      <c r="J610" s="98">
        <f t="shared" si="179"/>
        <v>0</v>
      </c>
      <c r="K610" s="97"/>
      <c r="L610" s="175" t="str">
        <f t="shared" si="180"/>
        <v/>
      </c>
      <c r="M610" s="98">
        <f t="shared" si="181"/>
        <v>0</v>
      </c>
      <c r="N610" s="97"/>
      <c r="O610" s="122"/>
      <c r="P610" s="97"/>
      <c r="Q610" s="122"/>
      <c r="R610" s="98">
        <f>SUMIFS('Shipments data'!L:L,'Shipments data'!F:F,'Supply planning data'!C610,'Shipments data'!A:A,'Supply planning data'!A610,'Shipments data'!Y:Y,'Supply planning data'!D610,'Shipments data'!O:O,"received", 'Shipments data'!N:N, "Public")</f>
        <v>0</v>
      </c>
      <c r="S610" s="98">
        <f>SUMIFS('Shipments data'!L:L,'Shipments data'!F:F,'Supply planning data'!C610,'Shipments data'!A:A,'Supply planning data'!A610,'Shipments data'!Y:Y,'Supply planning data'!D610,'Shipments data'!O:O,"ordered", 'Shipments data'!N:N, "Public")</f>
        <v>0</v>
      </c>
      <c r="T610" s="98">
        <f>IF(SUMIFS('Shipments data'!L:L,'Shipments data'!F:F,'Supply planning data'!C610,'Shipments data'!A:A,'Supply planning data'!A610,'Shipments data'!O:O,"received",'Shipments data'!Q:Q,"&lt;"&amp;'Supply planning data'!D625,'Shipments data'!AC:AC,"&lt;"&amp;'Supply planning data'!D625)-SUMIFS(M:M,D:D,"&lt;="&amp;D610,C:C,C610)+SUMIFS(N:N,D:D,"&lt;="&amp;D610,C:C,C610)+SUMIFS(P:P,D:D,"&lt;="&amp;D610,C:C,C610)&lt;0,0,SUMIFS('Shipments data'!L:L,'Shipments data'!F:F,'Supply planning data'!C610,'Shipments data'!A:A,'Supply planning data'!A610,'Shipments data'!O:O,"received",'Shipments data'!Q:Q,"&lt;"&amp;'Supply planning data'!D625,'Shipments data'!AC:AC,"&lt;"&amp;'Supply planning data'!D625)-SUMIFS(M:M,D:D,"&lt;="&amp;D610,C:C,C610)+SUMIFS(N:N,D:D,"&lt;="&amp;D610,C:C,C610)+SUMIFS(P:P,D:D,"&lt;="&amp;D610,C:C,C610))</f>
        <v>0</v>
      </c>
      <c r="U610" s="99">
        <f t="shared" si="188"/>
        <v>0</v>
      </c>
      <c r="V610" s="98">
        <f t="shared" si="178"/>
        <v>0</v>
      </c>
      <c r="W610" s="203" t="str">
        <f t="shared" si="176"/>
        <v/>
      </c>
      <c r="X610" s="98">
        <f t="shared" si="189"/>
        <v>0</v>
      </c>
      <c r="Y610" s="97"/>
      <c r="Z610" s="93"/>
      <c r="AA610" s="98">
        <f t="shared" si="182"/>
        <v>0</v>
      </c>
      <c r="AB610" s="233"/>
      <c r="AC610" s="98">
        <f>IF(SUMIFS('Shipments data'!L:L,'Shipments data'!F:F,'Supply planning data'!C610,'Shipments data'!A:A,'Supply planning data'!A610,'Shipments data'!O:O,"received",'Shipments data'!Q:Q,"&lt;"&amp;'Supply planning data'!D625,'Shipments data'!AC:AC,"&lt;"&amp;'Supply planning data'!D625)-SUMIFS(M:M,D:D,"&lt;="&amp;D610,C:C,C610)-SUMIFS(AA:AA,D:D,"&lt;="&amp;D610,C:C,C610)+SUMIFS(N:N,D:D,"&lt;="&amp;D610,C:C,C610)+SUMIFS(P:P,D:D,"&lt;="&amp;D610,C:C,C610)&lt;0,0,SUMIFS('Shipments data'!L:L,'Shipments data'!F:F,'Supply planning data'!C610,'Shipments data'!A:A,'Supply planning data'!A610,'Shipments data'!O:O,"received",'Shipments data'!Q:Q,"&lt;"&amp;'Supply planning data'!D625,'Shipments data'!AC:AC,"&lt;"&amp;'Supply planning data'!D625)-SUMIFS(M:M,D:D,"&lt;="&amp;D610,C:C,C610)-SUMIFS(AA:AA,D:D,"&lt;="&amp;D610,C:C,C610)+SUMIFS(N:N,D:D,"&lt;="&amp;D610,C:C,C610)+SUMIFS(P:P,D:D,"&lt;="&amp;D610,C:C,C610))</f>
        <v>0</v>
      </c>
      <c r="AD610" s="98">
        <f t="shared" si="190"/>
        <v>0</v>
      </c>
      <c r="AE610" s="98">
        <f t="shared" si="184"/>
        <v>0</v>
      </c>
      <c r="AF610" s="205" t="str">
        <f t="shared" si="193"/>
        <v/>
      </c>
      <c r="AG610" s="98">
        <f t="shared" si="191"/>
        <v>0</v>
      </c>
      <c r="AH610" s="97"/>
      <c r="AI610" s="311"/>
      <c r="AJ610" s="98">
        <f t="shared" si="183"/>
        <v>0</v>
      </c>
      <c r="AK610" s="233"/>
      <c r="AL610" s="98">
        <f>IF(SUMIFS('Shipments data'!L:L,'Shipments data'!F:F,'Supply planning data'!C610,'Shipments data'!A:A,'Supply planning data'!A610,'Shipments data'!O:O,"received",'Shipments data'!Q:Q,"&lt;"&amp;'Supply planning data'!D625,'Shipments data'!AC:AC,"&lt;"&amp;'Supply planning data'!D625)-SUMIFS(M:M,D:D,"&lt;="&amp;D610,C:C,C610)-SUMIFS(AJ:AJ,D:D,"&lt;="&amp;D610,C:C,C610)+SUMIFS(N:N,D:D,"&lt;="&amp;D610,C:C,C610)+SUMIFS(P:P,D:D,"&lt;="&amp;D610,C:C,C610)&lt;0,0,SUMIFS('Shipments data'!L:L,'Shipments data'!F:F,'Supply planning data'!C610,'Shipments data'!A:A,'Supply planning data'!A610,'Shipments data'!O:O,"received",'Shipments data'!Q:Q,"&lt;"&amp;'Supply planning data'!D625,'Shipments data'!AC:AC,"&lt;"&amp;'Supply planning data'!D625)-SUMIFS(M:M,D:D,"&lt;="&amp;D610,C:C,C610)-SUMIFS(AJ:AJ,D:D,"&lt;="&amp;D610,C:C,C610)+SUMIFS(N:N,D:D,"&lt;="&amp;D610,C:C,C610)+SUMIFS(P:P,D:D,"&lt;="&amp;D610,C:C,C610))</f>
        <v>0</v>
      </c>
      <c r="AM610" s="98">
        <f t="shared" si="192"/>
        <v>0</v>
      </c>
      <c r="AN610" s="98">
        <f t="shared" si="185"/>
        <v>0</v>
      </c>
      <c r="AO610" s="203" t="str">
        <f t="shared" si="177"/>
        <v/>
      </c>
    </row>
    <row r="611" spans="1:41" hidden="1" x14ac:dyDescent="0.25">
      <c r="A611" s="95" t="str">
        <f>Start!D$7</f>
        <v>Anyland</v>
      </c>
      <c r="B611" s="96" t="str">
        <f>VLOOKUP(A611,list!B:C,2,FALSE)</f>
        <v>ANY</v>
      </c>
      <c r="C611" s="90" t="str">
        <f>IF(Start!$C$23="","",Start!$C$23)</f>
        <v/>
      </c>
      <c r="D611" s="296">
        <f t="shared" si="186"/>
        <v>45413</v>
      </c>
      <c r="E611" s="92" t="str">
        <f>IFERROR(VLOOKUP(C611,Start!C$15:D$31,2,FALSE),"No")</f>
        <v>No</v>
      </c>
      <c r="F611" s="92">
        <f t="shared" si="187"/>
        <v>0</v>
      </c>
      <c r="G611" s="91"/>
      <c r="H611" s="97"/>
      <c r="I611" s="97"/>
      <c r="J611" s="98">
        <f t="shared" si="179"/>
        <v>0</v>
      </c>
      <c r="K611" s="97"/>
      <c r="L611" s="175" t="str">
        <f t="shared" si="180"/>
        <v/>
      </c>
      <c r="M611" s="98">
        <f t="shared" si="181"/>
        <v>0</v>
      </c>
      <c r="N611" s="97"/>
      <c r="O611" s="122"/>
      <c r="P611" s="97"/>
      <c r="Q611" s="122"/>
      <c r="R611" s="98">
        <f>SUMIFS('Shipments data'!L:L,'Shipments data'!F:F,'Supply planning data'!C611,'Shipments data'!A:A,'Supply planning data'!A611,'Shipments data'!Y:Y,'Supply planning data'!D611,'Shipments data'!O:O,"received", 'Shipments data'!N:N, "Public")</f>
        <v>0</v>
      </c>
      <c r="S611" s="98">
        <f>SUMIFS('Shipments data'!L:L,'Shipments data'!F:F,'Supply planning data'!C611,'Shipments data'!A:A,'Supply planning data'!A611,'Shipments data'!Y:Y,'Supply planning data'!D611,'Shipments data'!O:O,"ordered", 'Shipments data'!N:N, "Public")</f>
        <v>0</v>
      </c>
      <c r="T611" s="98">
        <f>IF(SUMIFS('Shipments data'!L:L,'Shipments data'!F:F,'Supply planning data'!C611,'Shipments data'!A:A,'Supply planning data'!A611,'Shipments data'!O:O,"received",'Shipments data'!Q:Q,"&lt;"&amp;'Supply planning data'!D626,'Shipments data'!AC:AC,"&lt;"&amp;'Supply planning data'!D626)-SUMIFS(M:M,D:D,"&lt;="&amp;D611,C:C,C611)+SUMIFS(N:N,D:D,"&lt;="&amp;D611,C:C,C611)+SUMIFS(P:P,D:D,"&lt;="&amp;D611,C:C,C611)&lt;0,0,SUMIFS('Shipments data'!L:L,'Shipments data'!F:F,'Supply planning data'!C611,'Shipments data'!A:A,'Supply planning data'!A611,'Shipments data'!O:O,"received",'Shipments data'!Q:Q,"&lt;"&amp;'Supply planning data'!D626,'Shipments data'!AC:AC,"&lt;"&amp;'Supply planning data'!D626)-SUMIFS(M:M,D:D,"&lt;="&amp;D611,C:C,C611)+SUMIFS(N:N,D:D,"&lt;="&amp;D611,C:C,C611)+SUMIFS(P:P,D:D,"&lt;="&amp;D611,C:C,C611))</f>
        <v>0</v>
      </c>
      <c r="U611" s="99">
        <f t="shared" si="188"/>
        <v>0</v>
      </c>
      <c r="V611" s="98">
        <f t="shared" si="178"/>
        <v>0</v>
      </c>
      <c r="W611" s="203" t="str">
        <f t="shared" si="176"/>
        <v/>
      </c>
      <c r="X611" s="98">
        <f t="shared" si="189"/>
        <v>0</v>
      </c>
      <c r="Y611" s="97"/>
      <c r="Z611" s="93"/>
      <c r="AA611" s="98">
        <f t="shared" si="182"/>
        <v>0</v>
      </c>
      <c r="AB611" s="233"/>
      <c r="AC611" s="98">
        <f>IF(SUMIFS('Shipments data'!L:L,'Shipments data'!F:F,'Supply planning data'!C611,'Shipments data'!A:A,'Supply planning data'!A611,'Shipments data'!O:O,"received",'Shipments data'!Q:Q,"&lt;"&amp;'Supply planning data'!D626,'Shipments data'!AC:AC,"&lt;"&amp;'Supply planning data'!D626)-SUMIFS(M:M,D:D,"&lt;="&amp;D611,C:C,C611)-SUMIFS(AA:AA,D:D,"&lt;="&amp;D611,C:C,C611)+SUMIFS(N:N,D:D,"&lt;="&amp;D611,C:C,C611)+SUMIFS(P:P,D:D,"&lt;="&amp;D611,C:C,C611)&lt;0,0,SUMIFS('Shipments data'!L:L,'Shipments data'!F:F,'Supply planning data'!C611,'Shipments data'!A:A,'Supply planning data'!A611,'Shipments data'!O:O,"received",'Shipments data'!Q:Q,"&lt;"&amp;'Supply planning data'!D626,'Shipments data'!AC:AC,"&lt;"&amp;'Supply planning data'!D626)-SUMIFS(M:M,D:D,"&lt;="&amp;D611,C:C,C611)-SUMIFS(AA:AA,D:D,"&lt;="&amp;D611,C:C,C611)+SUMIFS(N:N,D:D,"&lt;="&amp;D611,C:C,C611)+SUMIFS(P:P,D:D,"&lt;="&amp;D611,C:C,C611))</f>
        <v>0</v>
      </c>
      <c r="AD611" s="98">
        <f t="shared" si="190"/>
        <v>0</v>
      </c>
      <c r="AE611" s="98">
        <f t="shared" si="184"/>
        <v>0</v>
      </c>
      <c r="AF611" s="205" t="str">
        <f t="shared" si="193"/>
        <v/>
      </c>
      <c r="AG611" s="98">
        <f t="shared" si="191"/>
        <v>0</v>
      </c>
      <c r="AH611" s="97"/>
      <c r="AI611" s="311"/>
      <c r="AJ611" s="98">
        <f t="shared" si="183"/>
        <v>0</v>
      </c>
      <c r="AK611" s="233"/>
      <c r="AL611" s="98">
        <f>IF(SUMIFS('Shipments data'!L:L,'Shipments data'!F:F,'Supply planning data'!C611,'Shipments data'!A:A,'Supply planning data'!A611,'Shipments data'!O:O,"received",'Shipments data'!Q:Q,"&lt;"&amp;'Supply planning data'!D626,'Shipments data'!AC:AC,"&lt;"&amp;'Supply planning data'!D626)-SUMIFS(M:M,D:D,"&lt;="&amp;D611,C:C,C611)-SUMIFS(AJ:AJ,D:D,"&lt;="&amp;D611,C:C,C611)+SUMIFS(N:N,D:D,"&lt;="&amp;D611,C:C,C611)+SUMIFS(P:P,D:D,"&lt;="&amp;D611,C:C,C611)&lt;0,0,SUMIFS('Shipments data'!L:L,'Shipments data'!F:F,'Supply planning data'!C611,'Shipments data'!A:A,'Supply planning data'!A611,'Shipments data'!O:O,"received",'Shipments data'!Q:Q,"&lt;"&amp;'Supply planning data'!D626,'Shipments data'!AC:AC,"&lt;"&amp;'Supply planning data'!D626)-SUMIFS(M:M,D:D,"&lt;="&amp;D611,C:C,C611)-SUMIFS(AJ:AJ,D:D,"&lt;="&amp;D611,C:C,C611)+SUMIFS(N:N,D:D,"&lt;="&amp;D611,C:C,C611)+SUMIFS(P:P,D:D,"&lt;="&amp;D611,C:C,C611))</f>
        <v>0</v>
      </c>
      <c r="AM611" s="98">
        <f t="shared" si="192"/>
        <v>0</v>
      </c>
      <c r="AN611" s="98">
        <f t="shared" si="185"/>
        <v>0</v>
      </c>
      <c r="AO611" s="203" t="str">
        <f t="shared" si="177"/>
        <v/>
      </c>
    </row>
    <row r="612" spans="1:41" hidden="1" x14ac:dyDescent="0.25">
      <c r="A612" s="95" t="str">
        <f>Start!D$7</f>
        <v>Anyland</v>
      </c>
      <c r="B612" s="96" t="str">
        <f>VLOOKUP(A612,list!B:C,2,FALSE)</f>
        <v>ANY</v>
      </c>
      <c r="C612" s="90" t="str">
        <f>IF(Start!$C$24="","",Start!$C$24)</f>
        <v/>
      </c>
      <c r="D612" s="296">
        <f t="shared" si="186"/>
        <v>45413</v>
      </c>
      <c r="E612" s="92" t="str">
        <f>IFERROR(VLOOKUP(C612,Start!C$15:D$31,2,FALSE),"No")</f>
        <v>No</v>
      </c>
      <c r="F612" s="92">
        <f t="shared" si="187"/>
        <v>0</v>
      </c>
      <c r="G612" s="91"/>
      <c r="H612" s="97"/>
      <c r="I612" s="97"/>
      <c r="J612" s="98">
        <f t="shared" si="179"/>
        <v>0</v>
      </c>
      <c r="K612" s="97"/>
      <c r="L612" s="175" t="str">
        <f t="shared" si="180"/>
        <v/>
      </c>
      <c r="M612" s="98">
        <f t="shared" si="181"/>
        <v>0</v>
      </c>
      <c r="N612" s="97"/>
      <c r="O612" s="122"/>
      <c r="P612" s="97"/>
      <c r="Q612" s="122"/>
      <c r="R612" s="98">
        <f>SUMIFS('Shipments data'!L:L,'Shipments data'!F:F,'Supply planning data'!C612,'Shipments data'!A:A,'Supply planning data'!A612,'Shipments data'!Y:Y,'Supply planning data'!D612,'Shipments data'!O:O,"received", 'Shipments data'!N:N, "Public")</f>
        <v>0</v>
      </c>
      <c r="S612" s="98">
        <f>SUMIFS('Shipments data'!L:L,'Shipments data'!F:F,'Supply planning data'!C612,'Shipments data'!A:A,'Supply planning data'!A612,'Shipments data'!Y:Y,'Supply planning data'!D612,'Shipments data'!O:O,"ordered", 'Shipments data'!N:N, "Public")</f>
        <v>0</v>
      </c>
      <c r="T612" s="98">
        <f>IF(SUMIFS('Shipments data'!L:L,'Shipments data'!F:F,'Supply planning data'!C612,'Shipments data'!A:A,'Supply planning data'!A612,'Shipments data'!O:O,"received",'Shipments data'!Q:Q,"&lt;"&amp;'Supply planning data'!D627,'Shipments data'!AC:AC,"&lt;"&amp;'Supply planning data'!D627)-SUMIFS(M:M,D:D,"&lt;="&amp;D612,C:C,C612)+SUMIFS(N:N,D:D,"&lt;="&amp;D612,C:C,C612)+SUMIFS(P:P,D:D,"&lt;="&amp;D612,C:C,C612)&lt;0,0,SUMIFS('Shipments data'!L:L,'Shipments data'!F:F,'Supply planning data'!C612,'Shipments data'!A:A,'Supply planning data'!A612,'Shipments data'!O:O,"received",'Shipments data'!Q:Q,"&lt;"&amp;'Supply planning data'!D627,'Shipments data'!AC:AC,"&lt;"&amp;'Supply planning data'!D627)-SUMIFS(M:M,D:D,"&lt;="&amp;D612,C:C,C612)+SUMIFS(N:N,D:D,"&lt;="&amp;D612,C:C,C612)+SUMIFS(P:P,D:D,"&lt;="&amp;D612,C:C,C612))</f>
        <v>0</v>
      </c>
      <c r="U612" s="99">
        <f t="shared" si="188"/>
        <v>0</v>
      </c>
      <c r="V612" s="98">
        <f t="shared" si="178"/>
        <v>0</v>
      </c>
      <c r="W612" s="203" t="str">
        <f t="shared" ref="W612:W675" si="194">IF(M612&lt;=0,"",IFERROR(V612/(SUM(M612,M597,M582)/3),""))</f>
        <v/>
      </c>
      <c r="X612" s="98">
        <f t="shared" si="189"/>
        <v>0</v>
      </c>
      <c r="Y612" s="97"/>
      <c r="Z612" s="93"/>
      <c r="AA612" s="98">
        <f t="shared" si="182"/>
        <v>0</v>
      </c>
      <c r="AB612" s="233"/>
      <c r="AC612" s="98">
        <f>IF(SUMIFS('Shipments data'!L:L,'Shipments data'!F:F,'Supply planning data'!C612,'Shipments data'!A:A,'Supply planning data'!A612,'Shipments data'!O:O,"received",'Shipments data'!Q:Q,"&lt;"&amp;'Supply planning data'!D627,'Shipments data'!AC:AC,"&lt;"&amp;'Supply planning data'!D627)-SUMIFS(M:M,D:D,"&lt;="&amp;D612,C:C,C612)-SUMIFS(AA:AA,D:D,"&lt;="&amp;D612,C:C,C612)+SUMIFS(N:N,D:D,"&lt;="&amp;D612,C:C,C612)+SUMIFS(P:P,D:D,"&lt;="&amp;D612,C:C,C612)&lt;0,0,SUMIFS('Shipments data'!L:L,'Shipments data'!F:F,'Supply planning data'!C612,'Shipments data'!A:A,'Supply planning data'!A612,'Shipments data'!O:O,"received",'Shipments data'!Q:Q,"&lt;"&amp;'Supply planning data'!D627,'Shipments data'!AC:AC,"&lt;"&amp;'Supply planning data'!D627)-SUMIFS(M:M,D:D,"&lt;="&amp;D612,C:C,C612)-SUMIFS(AA:AA,D:D,"&lt;="&amp;D612,C:C,C612)+SUMIFS(N:N,D:D,"&lt;="&amp;D612,C:C,C612)+SUMIFS(P:P,D:D,"&lt;="&amp;D612,C:C,C612))</f>
        <v>0</v>
      </c>
      <c r="AD612" s="98">
        <f t="shared" si="190"/>
        <v>0</v>
      </c>
      <c r="AE612" s="98">
        <f t="shared" si="184"/>
        <v>0</v>
      </c>
      <c r="AF612" s="205" t="str">
        <f t="shared" si="193"/>
        <v/>
      </c>
      <c r="AG612" s="98">
        <f t="shared" si="191"/>
        <v>0</v>
      </c>
      <c r="AH612" s="97"/>
      <c r="AI612" s="311"/>
      <c r="AJ612" s="98">
        <f t="shared" si="183"/>
        <v>0</v>
      </c>
      <c r="AK612" s="233"/>
      <c r="AL612" s="98">
        <f>IF(SUMIFS('Shipments data'!L:L,'Shipments data'!F:F,'Supply planning data'!C612,'Shipments data'!A:A,'Supply planning data'!A612,'Shipments data'!O:O,"received",'Shipments data'!Q:Q,"&lt;"&amp;'Supply planning data'!D627,'Shipments data'!AC:AC,"&lt;"&amp;'Supply planning data'!D627)-SUMIFS(M:M,D:D,"&lt;="&amp;D612,C:C,C612)-SUMIFS(AJ:AJ,D:D,"&lt;="&amp;D612,C:C,C612)+SUMIFS(N:N,D:D,"&lt;="&amp;D612,C:C,C612)+SUMIFS(P:P,D:D,"&lt;="&amp;D612,C:C,C612)&lt;0,0,SUMIFS('Shipments data'!L:L,'Shipments data'!F:F,'Supply planning data'!C612,'Shipments data'!A:A,'Supply planning data'!A612,'Shipments data'!O:O,"received",'Shipments data'!Q:Q,"&lt;"&amp;'Supply planning data'!D627,'Shipments data'!AC:AC,"&lt;"&amp;'Supply planning data'!D627)-SUMIFS(M:M,D:D,"&lt;="&amp;D612,C:C,C612)-SUMIFS(AJ:AJ,D:D,"&lt;="&amp;D612,C:C,C612)+SUMIFS(N:N,D:D,"&lt;="&amp;D612,C:C,C612)+SUMIFS(P:P,D:D,"&lt;="&amp;D612,C:C,C612))</f>
        <v>0</v>
      </c>
      <c r="AM612" s="98">
        <f t="shared" si="192"/>
        <v>0</v>
      </c>
      <c r="AN612" s="98">
        <f t="shared" si="185"/>
        <v>0</v>
      </c>
      <c r="AO612" s="203" t="str">
        <f t="shared" ref="AO612:AO675" si="195">IF(M612+AJ612&lt;=0,"",IFERROR(AN612/(SUM(M612,M642,M627,AJ612,AJ642,AJ627)/3),""))</f>
        <v/>
      </c>
    </row>
    <row r="613" spans="1:41" hidden="1" x14ac:dyDescent="0.25">
      <c r="A613" s="95" t="str">
        <f>Start!D$7</f>
        <v>Anyland</v>
      </c>
      <c r="B613" s="96" t="str">
        <f>VLOOKUP(A613,list!B:C,2,FALSE)</f>
        <v>ANY</v>
      </c>
      <c r="C613" s="90" t="str">
        <f>IF(Start!$C$25="","",Start!$C$25)</f>
        <v/>
      </c>
      <c r="D613" s="296">
        <f t="shared" si="186"/>
        <v>45413</v>
      </c>
      <c r="E613" s="92" t="str">
        <f>IFERROR(VLOOKUP(C613,Start!C$15:D$31,2,FALSE),"No")</f>
        <v>No</v>
      </c>
      <c r="F613" s="92">
        <f t="shared" si="187"/>
        <v>0</v>
      </c>
      <c r="G613" s="91"/>
      <c r="H613" s="97"/>
      <c r="I613" s="97"/>
      <c r="J613" s="98">
        <f t="shared" si="179"/>
        <v>0</v>
      </c>
      <c r="K613" s="97"/>
      <c r="L613" s="175" t="str">
        <f t="shared" si="180"/>
        <v/>
      </c>
      <c r="M613" s="98">
        <f t="shared" si="181"/>
        <v>0</v>
      </c>
      <c r="N613" s="97"/>
      <c r="O613" s="122"/>
      <c r="P613" s="97"/>
      <c r="Q613" s="122"/>
      <c r="R613" s="98">
        <f>SUMIFS('Shipments data'!L:L,'Shipments data'!F:F,'Supply planning data'!C613,'Shipments data'!A:A,'Supply planning data'!A613,'Shipments data'!Y:Y,'Supply planning data'!D613,'Shipments data'!O:O,"received", 'Shipments data'!N:N, "Public")</f>
        <v>0</v>
      </c>
      <c r="S613" s="98">
        <f>SUMIFS('Shipments data'!L:L,'Shipments data'!F:F,'Supply planning data'!C613,'Shipments data'!A:A,'Supply planning data'!A613,'Shipments data'!Y:Y,'Supply planning data'!D613,'Shipments data'!O:O,"ordered", 'Shipments data'!N:N, "Public")</f>
        <v>0</v>
      </c>
      <c r="T613" s="98">
        <f>IF(SUMIFS('Shipments data'!L:L,'Shipments data'!F:F,'Supply planning data'!C613,'Shipments data'!A:A,'Supply planning data'!A613,'Shipments data'!O:O,"received",'Shipments data'!Q:Q,"&lt;"&amp;'Supply planning data'!D628,'Shipments data'!AC:AC,"&lt;"&amp;'Supply planning data'!D628)-SUMIFS(M:M,D:D,"&lt;="&amp;D613,C:C,C613)+SUMIFS(N:N,D:D,"&lt;="&amp;D613,C:C,C613)+SUMIFS(P:P,D:D,"&lt;="&amp;D613,C:C,C613)&lt;0,0,SUMIFS('Shipments data'!L:L,'Shipments data'!F:F,'Supply planning data'!C613,'Shipments data'!A:A,'Supply planning data'!A613,'Shipments data'!O:O,"received",'Shipments data'!Q:Q,"&lt;"&amp;'Supply planning data'!D628,'Shipments data'!AC:AC,"&lt;"&amp;'Supply planning data'!D628)-SUMIFS(M:M,D:D,"&lt;="&amp;D613,C:C,C613)+SUMIFS(N:N,D:D,"&lt;="&amp;D613,C:C,C613)+SUMIFS(P:P,D:D,"&lt;="&amp;D613,C:C,C613))</f>
        <v>0</v>
      </c>
      <c r="U613" s="99">
        <f t="shared" si="188"/>
        <v>0</v>
      </c>
      <c r="V613" s="98">
        <f t="shared" si="178"/>
        <v>0</v>
      </c>
      <c r="W613" s="203" t="str">
        <f t="shared" si="194"/>
        <v/>
      </c>
      <c r="X613" s="98">
        <f t="shared" si="189"/>
        <v>0</v>
      </c>
      <c r="Y613" s="97"/>
      <c r="Z613" s="93"/>
      <c r="AA613" s="98">
        <f t="shared" si="182"/>
        <v>0</v>
      </c>
      <c r="AB613" s="233"/>
      <c r="AC613" s="98">
        <f>IF(SUMIFS('Shipments data'!L:L,'Shipments data'!F:F,'Supply planning data'!C613,'Shipments data'!A:A,'Supply planning data'!A613,'Shipments data'!O:O,"received",'Shipments data'!Q:Q,"&lt;"&amp;'Supply planning data'!D628,'Shipments data'!AC:AC,"&lt;"&amp;'Supply planning data'!D628)-SUMIFS(M:M,D:D,"&lt;="&amp;D613,C:C,C613)-SUMIFS(AA:AA,D:D,"&lt;="&amp;D613,C:C,C613)+SUMIFS(N:N,D:D,"&lt;="&amp;D613,C:C,C613)+SUMIFS(P:P,D:D,"&lt;="&amp;D613,C:C,C613)&lt;0,0,SUMIFS('Shipments data'!L:L,'Shipments data'!F:F,'Supply planning data'!C613,'Shipments data'!A:A,'Supply planning data'!A613,'Shipments data'!O:O,"received",'Shipments data'!Q:Q,"&lt;"&amp;'Supply planning data'!D628,'Shipments data'!AC:AC,"&lt;"&amp;'Supply planning data'!D628)-SUMIFS(M:M,D:D,"&lt;="&amp;D613,C:C,C613)-SUMIFS(AA:AA,D:D,"&lt;="&amp;D613,C:C,C613)+SUMIFS(N:N,D:D,"&lt;="&amp;D613,C:C,C613)+SUMIFS(P:P,D:D,"&lt;="&amp;D613,C:C,C613))</f>
        <v>0</v>
      </c>
      <c r="AD613" s="98">
        <f t="shared" si="190"/>
        <v>0</v>
      </c>
      <c r="AE613" s="98">
        <f t="shared" si="184"/>
        <v>0</v>
      </c>
      <c r="AF613" s="205" t="str">
        <f t="shared" si="193"/>
        <v/>
      </c>
      <c r="AG613" s="98">
        <f t="shared" si="191"/>
        <v>0</v>
      </c>
      <c r="AH613" s="97"/>
      <c r="AI613" s="311"/>
      <c r="AJ613" s="98">
        <f t="shared" si="183"/>
        <v>0</v>
      </c>
      <c r="AK613" s="233"/>
      <c r="AL613" s="98">
        <f>IF(SUMIFS('Shipments data'!L:L,'Shipments data'!F:F,'Supply planning data'!C613,'Shipments data'!A:A,'Supply planning data'!A613,'Shipments data'!O:O,"received",'Shipments data'!Q:Q,"&lt;"&amp;'Supply planning data'!D628,'Shipments data'!AC:AC,"&lt;"&amp;'Supply planning data'!D628)-SUMIFS(M:M,D:D,"&lt;="&amp;D613,C:C,C613)-SUMIFS(AJ:AJ,D:D,"&lt;="&amp;D613,C:C,C613)+SUMIFS(N:N,D:D,"&lt;="&amp;D613,C:C,C613)+SUMIFS(P:P,D:D,"&lt;="&amp;D613,C:C,C613)&lt;0,0,SUMIFS('Shipments data'!L:L,'Shipments data'!F:F,'Supply planning data'!C613,'Shipments data'!A:A,'Supply planning data'!A613,'Shipments data'!O:O,"received",'Shipments data'!Q:Q,"&lt;"&amp;'Supply planning data'!D628,'Shipments data'!AC:AC,"&lt;"&amp;'Supply planning data'!D628)-SUMIFS(M:M,D:D,"&lt;="&amp;D613,C:C,C613)-SUMIFS(AJ:AJ,D:D,"&lt;="&amp;D613,C:C,C613)+SUMIFS(N:N,D:D,"&lt;="&amp;D613,C:C,C613)+SUMIFS(P:P,D:D,"&lt;="&amp;D613,C:C,C613))</f>
        <v>0</v>
      </c>
      <c r="AM613" s="98">
        <f t="shared" si="192"/>
        <v>0</v>
      </c>
      <c r="AN613" s="98">
        <f t="shared" si="185"/>
        <v>0</v>
      </c>
      <c r="AO613" s="203" t="str">
        <f t="shared" si="195"/>
        <v/>
      </c>
    </row>
    <row r="614" spans="1:41" hidden="1" x14ac:dyDescent="0.25">
      <c r="A614" s="95" t="str">
        <f>Start!D$7</f>
        <v>Anyland</v>
      </c>
      <c r="B614" s="96" t="str">
        <f>VLOOKUP(A614,list!B:C,2,FALSE)</f>
        <v>ANY</v>
      </c>
      <c r="C614" s="90" t="str">
        <f>IF(Start!$C$26="","",Start!$C$26)</f>
        <v/>
      </c>
      <c r="D614" s="296">
        <f t="shared" si="186"/>
        <v>45413</v>
      </c>
      <c r="E614" s="92" t="str">
        <f>IFERROR(VLOOKUP(C614,Start!C$15:D$31,2,FALSE),"No")</f>
        <v>No</v>
      </c>
      <c r="F614" s="92">
        <f t="shared" si="187"/>
        <v>0</v>
      </c>
      <c r="G614" s="91"/>
      <c r="H614" s="97"/>
      <c r="I614" s="97"/>
      <c r="J614" s="98">
        <f t="shared" si="179"/>
        <v>0</v>
      </c>
      <c r="K614" s="97"/>
      <c r="L614" s="175" t="str">
        <f t="shared" si="180"/>
        <v/>
      </c>
      <c r="M614" s="98">
        <f t="shared" si="181"/>
        <v>0</v>
      </c>
      <c r="N614" s="97"/>
      <c r="O614" s="122"/>
      <c r="P614" s="97"/>
      <c r="Q614" s="122"/>
      <c r="R614" s="98">
        <f>SUMIFS('Shipments data'!L:L,'Shipments data'!F:F,'Supply planning data'!C614,'Shipments data'!A:A,'Supply planning data'!A614,'Shipments data'!Y:Y,'Supply planning data'!D614,'Shipments data'!O:O,"received", 'Shipments data'!N:N, "Public")</f>
        <v>0</v>
      </c>
      <c r="S614" s="98">
        <f>SUMIFS('Shipments data'!L:L,'Shipments data'!F:F,'Supply planning data'!C614,'Shipments data'!A:A,'Supply planning data'!A614,'Shipments data'!Y:Y,'Supply planning data'!D614,'Shipments data'!O:O,"ordered", 'Shipments data'!N:N, "Public")</f>
        <v>0</v>
      </c>
      <c r="T614" s="98">
        <f>IF(SUMIFS('Shipments data'!L:L,'Shipments data'!F:F,'Supply planning data'!C614,'Shipments data'!A:A,'Supply planning data'!A614,'Shipments data'!O:O,"received",'Shipments data'!Q:Q,"&lt;"&amp;'Supply planning data'!D629,'Shipments data'!AC:AC,"&lt;"&amp;'Supply planning data'!D629)-SUMIFS(M:M,D:D,"&lt;="&amp;D614,C:C,C614)+SUMIFS(N:N,D:D,"&lt;="&amp;D614,C:C,C614)+SUMIFS(P:P,D:D,"&lt;="&amp;D614,C:C,C614)&lt;0,0,SUMIFS('Shipments data'!L:L,'Shipments data'!F:F,'Supply planning data'!C614,'Shipments data'!A:A,'Supply planning data'!A614,'Shipments data'!O:O,"received",'Shipments data'!Q:Q,"&lt;"&amp;'Supply planning data'!D629,'Shipments data'!AC:AC,"&lt;"&amp;'Supply planning data'!D629)-SUMIFS(M:M,D:D,"&lt;="&amp;D614,C:C,C614)+SUMIFS(N:N,D:D,"&lt;="&amp;D614,C:C,C614)+SUMIFS(P:P,D:D,"&lt;="&amp;D614,C:C,C614))</f>
        <v>0</v>
      </c>
      <c r="U614" s="99">
        <f t="shared" si="188"/>
        <v>0</v>
      </c>
      <c r="V614" s="98">
        <f t="shared" si="178"/>
        <v>0</v>
      </c>
      <c r="W614" s="203" t="str">
        <f t="shared" si="194"/>
        <v/>
      </c>
      <c r="X614" s="98">
        <f t="shared" si="189"/>
        <v>0</v>
      </c>
      <c r="Y614" s="97"/>
      <c r="Z614" s="93"/>
      <c r="AA614" s="98">
        <f t="shared" si="182"/>
        <v>0</v>
      </c>
      <c r="AB614" s="233"/>
      <c r="AC614" s="98">
        <f>IF(SUMIFS('Shipments data'!L:L,'Shipments data'!F:F,'Supply planning data'!C614,'Shipments data'!A:A,'Supply planning data'!A614,'Shipments data'!O:O,"received",'Shipments data'!Q:Q,"&lt;"&amp;'Supply planning data'!D629,'Shipments data'!AC:AC,"&lt;"&amp;'Supply planning data'!D629)-SUMIFS(M:M,D:D,"&lt;="&amp;D614,C:C,C614)-SUMIFS(AA:AA,D:D,"&lt;="&amp;D614,C:C,C614)+SUMIFS(N:N,D:D,"&lt;="&amp;D614,C:C,C614)+SUMIFS(P:P,D:D,"&lt;="&amp;D614,C:C,C614)&lt;0,0,SUMIFS('Shipments data'!L:L,'Shipments data'!F:F,'Supply planning data'!C614,'Shipments data'!A:A,'Supply planning data'!A614,'Shipments data'!O:O,"received",'Shipments data'!Q:Q,"&lt;"&amp;'Supply planning data'!D629,'Shipments data'!AC:AC,"&lt;"&amp;'Supply planning data'!D629)-SUMIFS(M:M,D:D,"&lt;="&amp;D614,C:C,C614)-SUMIFS(AA:AA,D:D,"&lt;="&amp;D614,C:C,C614)+SUMIFS(N:N,D:D,"&lt;="&amp;D614,C:C,C614)+SUMIFS(P:P,D:D,"&lt;="&amp;D614,C:C,C614))</f>
        <v>0</v>
      </c>
      <c r="AD614" s="98">
        <f t="shared" si="190"/>
        <v>0</v>
      </c>
      <c r="AE614" s="98">
        <f t="shared" si="184"/>
        <v>0</v>
      </c>
      <c r="AF614" s="205" t="str">
        <f t="shared" si="193"/>
        <v/>
      </c>
      <c r="AG614" s="98">
        <f t="shared" si="191"/>
        <v>0</v>
      </c>
      <c r="AH614" s="97"/>
      <c r="AI614" s="311"/>
      <c r="AJ614" s="98">
        <f t="shared" si="183"/>
        <v>0</v>
      </c>
      <c r="AK614" s="233"/>
      <c r="AL614" s="98">
        <f>IF(SUMIFS('Shipments data'!L:L,'Shipments data'!F:F,'Supply planning data'!C614,'Shipments data'!A:A,'Supply planning data'!A614,'Shipments data'!O:O,"received",'Shipments data'!Q:Q,"&lt;"&amp;'Supply planning data'!D629,'Shipments data'!AC:AC,"&lt;"&amp;'Supply planning data'!D629)-SUMIFS(M:M,D:D,"&lt;="&amp;D614,C:C,C614)-SUMIFS(AJ:AJ,D:D,"&lt;="&amp;D614,C:C,C614)+SUMIFS(N:N,D:D,"&lt;="&amp;D614,C:C,C614)+SUMIFS(P:P,D:D,"&lt;="&amp;D614,C:C,C614)&lt;0,0,SUMIFS('Shipments data'!L:L,'Shipments data'!F:F,'Supply planning data'!C614,'Shipments data'!A:A,'Supply planning data'!A614,'Shipments data'!O:O,"received",'Shipments data'!Q:Q,"&lt;"&amp;'Supply planning data'!D629,'Shipments data'!AC:AC,"&lt;"&amp;'Supply planning data'!D629)-SUMIFS(M:M,D:D,"&lt;="&amp;D614,C:C,C614)-SUMIFS(AJ:AJ,D:D,"&lt;="&amp;D614,C:C,C614)+SUMIFS(N:N,D:D,"&lt;="&amp;D614,C:C,C614)+SUMIFS(P:P,D:D,"&lt;="&amp;D614,C:C,C614))</f>
        <v>0</v>
      </c>
      <c r="AM614" s="98">
        <f t="shared" si="192"/>
        <v>0</v>
      </c>
      <c r="AN614" s="98">
        <f t="shared" si="185"/>
        <v>0</v>
      </c>
      <c r="AO614" s="203" t="str">
        <f t="shared" si="195"/>
        <v/>
      </c>
    </row>
    <row r="615" spans="1:41" hidden="1" x14ac:dyDescent="0.25">
      <c r="A615" s="95" t="str">
        <f>Start!D$7</f>
        <v>Anyland</v>
      </c>
      <c r="B615" s="96" t="str">
        <f>VLOOKUP(A615,list!B:C,2,FALSE)</f>
        <v>ANY</v>
      </c>
      <c r="C615" s="90" t="str">
        <f>IF(Start!$C$27="","",Start!$C$27)</f>
        <v/>
      </c>
      <c r="D615" s="296">
        <f t="shared" si="186"/>
        <v>45413</v>
      </c>
      <c r="E615" s="92" t="str">
        <f>IFERROR(VLOOKUP(C615,Start!C$15:D$31,2,FALSE),"No")</f>
        <v>No</v>
      </c>
      <c r="F615" s="92">
        <f t="shared" si="187"/>
        <v>0</v>
      </c>
      <c r="G615" s="91"/>
      <c r="H615" s="97"/>
      <c r="I615" s="97"/>
      <c r="J615" s="98">
        <f t="shared" si="179"/>
        <v>0</v>
      </c>
      <c r="K615" s="97"/>
      <c r="L615" s="175" t="str">
        <f t="shared" si="180"/>
        <v/>
      </c>
      <c r="M615" s="98">
        <f t="shared" si="181"/>
        <v>0</v>
      </c>
      <c r="N615" s="97"/>
      <c r="O615" s="122"/>
      <c r="P615" s="97"/>
      <c r="Q615" s="122"/>
      <c r="R615" s="98">
        <f>SUMIFS('Shipments data'!L:L,'Shipments data'!F:F,'Supply planning data'!C615,'Shipments data'!A:A,'Supply planning data'!A615,'Shipments data'!Y:Y,'Supply planning data'!D615,'Shipments data'!O:O,"received", 'Shipments data'!N:N, "Public")</f>
        <v>0</v>
      </c>
      <c r="S615" s="98">
        <f>SUMIFS('Shipments data'!L:L,'Shipments data'!F:F,'Supply planning data'!C615,'Shipments data'!A:A,'Supply planning data'!A615,'Shipments data'!Y:Y,'Supply planning data'!D615,'Shipments data'!O:O,"ordered", 'Shipments data'!N:N, "Public")</f>
        <v>0</v>
      </c>
      <c r="T615" s="98">
        <f>IF(SUMIFS('Shipments data'!L:L,'Shipments data'!F:F,'Supply planning data'!C615,'Shipments data'!A:A,'Supply planning data'!A615,'Shipments data'!O:O,"received",'Shipments data'!Q:Q,"&lt;"&amp;'Supply planning data'!D630,'Shipments data'!AC:AC,"&lt;"&amp;'Supply planning data'!D630)-SUMIFS(M:M,D:D,"&lt;="&amp;D615,C:C,C615)+SUMIFS(N:N,D:D,"&lt;="&amp;D615,C:C,C615)+SUMIFS(P:P,D:D,"&lt;="&amp;D615,C:C,C615)&lt;0,0,SUMIFS('Shipments data'!L:L,'Shipments data'!F:F,'Supply planning data'!C615,'Shipments data'!A:A,'Supply planning data'!A615,'Shipments data'!O:O,"received",'Shipments data'!Q:Q,"&lt;"&amp;'Supply planning data'!D630,'Shipments data'!AC:AC,"&lt;"&amp;'Supply planning data'!D630)-SUMIFS(M:M,D:D,"&lt;="&amp;D615,C:C,C615)+SUMIFS(N:N,D:D,"&lt;="&amp;D615,C:C,C615)+SUMIFS(P:P,D:D,"&lt;="&amp;D615,C:C,C615))</f>
        <v>0</v>
      </c>
      <c r="U615" s="99">
        <f t="shared" si="188"/>
        <v>0</v>
      </c>
      <c r="V615" s="98">
        <f t="shared" si="178"/>
        <v>0</v>
      </c>
      <c r="W615" s="203" t="str">
        <f t="shared" si="194"/>
        <v/>
      </c>
      <c r="X615" s="98">
        <f t="shared" si="189"/>
        <v>0</v>
      </c>
      <c r="Y615" s="97"/>
      <c r="Z615" s="93"/>
      <c r="AA615" s="98">
        <f t="shared" si="182"/>
        <v>0</v>
      </c>
      <c r="AB615" s="233"/>
      <c r="AC615" s="98">
        <f>IF(SUMIFS('Shipments data'!L:L,'Shipments data'!F:F,'Supply planning data'!C615,'Shipments data'!A:A,'Supply planning data'!A615,'Shipments data'!O:O,"received",'Shipments data'!Q:Q,"&lt;"&amp;'Supply planning data'!D630,'Shipments data'!AC:AC,"&lt;"&amp;'Supply planning data'!D630)-SUMIFS(M:M,D:D,"&lt;="&amp;D615,C:C,C615)-SUMIFS(AA:AA,D:D,"&lt;="&amp;D615,C:C,C615)+SUMIFS(N:N,D:D,"&lt;="&amp;D615,C:C,C615)+SUMIFS(P:P,D:D,"&lt;="&amp;D615,C:C,C615)&lt;0,0,SUMIFS('Shipments data'!L:L,'Shipments data'!F:F,'Supply planning data'!C615,'Shipments data'!A:A,'Supply planning data'!A615,'Shipments data'!O:O,"received",'Shipments data'!Q:Q,"&lt;"&amp;'Supply planning data'!D630,'Shipments data'!AC:AC,"&lt;"&amp;'Supply planning data'!D630)-SUMIFS(M:M,D:D,"&lt;="&amp;D615,C:C,C615)-SUMIFS(AA:AA,D:D,"&lt;="&amp;D615,C:C,C615)+SUMIFS(N:N,D:D,"&lt;="&amp;D615,C:C,C615)+SUMIFS(P:P,D:D,"&lt;="&amp;D615,C:C,C615))</f>
        <v>0</v>
      </c>
      <c r="AD615" s="98">
        <f t="shared" si="190"/>
        <v>0</v>
      </c>
      <c r="AE615" s="98">
        <f t="shared" si="184"/>
        <v>0</v>
      </c>
      <c r="AF615" s="205" t="str">
        <f t="shared" si="193"/>
        <v/>
      </c>
      <c r="AG615" s="98">
        <f t="shared" si="191"/>
        <v>0</v>
      </c>
      <c r="AH615" s="97"/>
      <c r="AI615" s="311"/>
      <c r="AJ615" s="98">
        <f t="shared" si="183"/>
        <v>0</v>
      </c>
      <c r="AK615" s="233"/>
      <c r="AL615" s="98">
        <f>IF(SUMIFS('Shipments data'!L:L,'Shipments data'!F:F,'Supply planning data'!C615,'Shipments data'!A:A,'Supply planning data'!A615,'Shipments data'!O:O,"received",'Shipments data'!Q:Q,"&lt;"&amp;'Supply planning data'!D630,'Shipments data'!AC:AC,"&lt;"&amp;'Supply planning data'!D630)-SUMIFS(M:M,D:D,"&lt;="&amp;D615,C:C,C615)-SUMIFS(AJ:AJ,D:D,"&lt;="&amp;D615,C:C,C615)+SUMIFS(N:N,D:D,"&lt;="&amp;D615,C:C,C615)+SUMIFS(P:P,D:D,"&lt;="&amp;D615,C:C,C615)&lt;0,0,SUMIFS('Shipments data'!L:L,'Shipments data'!F:F,'Supply planning data'!C615,'Shipments data'!A:A,'Supply planning data'!A615,'Shipments data'!O:O,"received",'Shipments data'!Q:Q,"&lt;"&amp;'Supply planning data'!D630,'Shipments data'!AC:AC,"&lt;"&amp;'Supply planning data'!D630)-SUMIFS(M:M,D:D,"&lt;="&amp;D615,C:C,C615)-SUMIFS(AJ:AJ,D:D,"&lt;="&amp;D615,C:C,C615)+SUMIFS(N:N,D:D,"&lt;="&amp;D615,C:C,C615)+SUMIFS(P:P,D:D,"&lt;="&amp;D615,C:C,C615))</f>
        <v>0</v>
      </c>
      <c r="AM615" s="98">
        <f t="shared" si="192"/>
        <v>0</v>
      </c>
      <c r="AN615" s="98">
        <f t="shared" si="185"/>
        <v>0</v>
      </c>
      <c r="AO615" s="203" t="str">
        <f t="shared" si="195"/>
        <v/>
      </c>
    </row>
    <row r="616" spans="1:41" hidden="1" x14ac:dyDescent="0.25">
      <c r="A616" s="95" t="str">
        <f>Start!D$7</f>
        <v>Anyland</v>
      </c>
      <c r="B616" s="96" t="str">
        <f>VLOOKUP(A616,list!B:C,2,FALSE)</f>
        <v>ANY</v>
      </c>
      <c r="C616" s="90" t="str">
        <f>IF(Start!$C$28="","",Start!$C$28)</f>
        <v/>
      </c>
      <c r="D616" s="296">
        <f t="shared" si="186"/>
        <v>45413</v>
      </c>
      <c r="E616" s="92" t="str">
        <f>IFERROR(VLOOKUP(C616,Start!C$15:D$31,2,FALSE),"No")</f>
        <v>No</v>
      </c>
      <c r="F616" s="92">
        <f t="shared" si="187"/>
        <v>0</v>
      </c>
      <c r="G616" s="91"/>
      <c r="H616" s="97"/>
      <c r="I616" s="97"/>
      <c r="J616" s="98">
        <f t="shared" si="179"/>
        <v>0</v>
      </c>
      <c r="K616" s="97"/>
      <c r="L616" s="175" t="str">
        <f t="shared" si="180"/>
        <v/>
      </c>
      <c r="M616" s="98">
        <f t="shared" si="181"/>
        <v>0</v>
      </c>
      <c r="N616" s="97"/>
      <c r="O616" s="122"/>
      <c r="P616" s="97"/>
      <c r="Q616" s="122"/>
      <c r="R616" s="98">
        <f>SUMIFS('Shipments data'!L:L,'Shipments data'!F:F,'Supply planning data'!C616,'Shipments data'!A:A,'Supply planning data'!A616,'Shipments data'!Y:Y,'Supply planning data'!D616,'Shipments data'!O:O,"received", 'Shipments data'!N:N, "Public")</f>
        <v>0</v>
      </c>
      <c r="S616" s="98">
        <f>SUMIFS('Shipments data'!L:L,'Shipments data'!F:F,'Supply planning data'!C616,'Shipments data'!A:A,'Supply planning data'!A616,'Shipments data'!Y:Y,'Supply planning data'!D616,'Shipments data'!O:O,"ordered", 'Shipments data'!N:N, "Public")</f>
        <v>0</v>
      </c>
      <c r="T616" s="98">
        <f>IF(SUMIFS('Shipments data'!L:L,'Shipments data'!F:F,'Supply planning data'!C616,'Shipments data'!A:A,'Supply planning data'!A616,'Shipments data'!O:O,"received",'Shipments data'!Q:Q,"&lt;"&amp;'Supply planning data'!D631,'Shipments data'!AC:AC,"&lt;"&amp;'Supply planning data'!D631)-SUMIFS(M:M,D:D,"&lt;="&amp;D616,C:C,C616)+SUMIFS(N:N,D:D,"&lt;="&amp;D616,C:C,C616)+SUMIFS(P:P,D:D,"&lt;="&amp;D616,C:C,C616)&lt;0,0,SUMIFS('Shipments data'!L:L,'Shipments data'!F:F,'Supply planning data'!C616,'Shipments data'!A:A,'Supply planning data'!A616,'Shipments data'!O:O,"received",'Shipments data'!Q:Q,"&lt;"&amp;'Supply planning data'!D631,'Shipments data'!AC:AC,"&lt;"&amp;'Supply planning data'!D631)-SUMIFS(M:M,D:D,"&lt;="&amp;D616,C:C,C616)+SUMIFS(N:N,D:D,"&lt;="&amp;D616,C:C,C616)+SUMIFS(P:P,D:D,"&lt;="&amp;D616,C:C,C616))</f>
        <v>0</v>
      </c>
      <c r="U616" s="99">
        <f t="shared" si="188"/>
        <v>0</v>
      </c>
      <c r="V616" s="98">
        <f t="shared" si="178"/>
        <v>0</v>
      </c>
      <c r="W616" s="203" t="str">
        <f t="shared" si="194"/>
        <v/>
      </c>
      <c r="X616" s="98">
        <f t="shared" si="189"/>
        <v>0</v>
      </c>
      <c r="Y616" s="97"/>
      <c r="Z616" s="93"/>
      <c r="AA616" s="98">
        <f t="shared" si="182"/>
        <v>0</v>
      </c>
      <c r="AB616" s="233"/>
      <c r="AC616" s="98">
        <f>IF(SUMIFS('Shipments data'!L:L,'Shipments data'!F:F,'Supply planning data'!C616,'Shipments data'!A:A,'Supply planning data'!A616,'Shipments data'!O:O,"received",'Shipments data'!Q:Q,"&lt;"&amp;'Supply planning data'!D631,'Shipments data'!AC:AC,"&lt;"&amp;'Supply planning data'!D631)-SUMIFS(M:M,D:D,"&lt;="&amp;D616,C:C,C616)-SUMIFS(AA:AA,D:D,"&lt;="&amp;D616,C:C,C616)+SUMIFS(N:N,D:D,"&lt;="&amp;D616,C:C,C616)+SUMIFS(P:P,D:D,"&lt;="&amp;D616,C:C,C616)&lt;0,0,SUMIFS('Shipments data'!L:L,'Shipments data'!F:F,'Supply planning data'!C616,'Shipments data'!A:A,'Supply planning data'!A616,'Shipments data'!O:O,"received",'Shipments data'!Q:Q,"&lt;"&amp;'Supply planning data'!D631,'Shipments data'!AC:AC,"&lt;"&amp;'Supply planning data'!D631)-SUMIFS(M:M,D:D,"&lt;="&amp;D616,C:C,C616)-SUMIFS(AA:AA,D:D,"&lt;="&amp;D616,C:C,C616)+SUMIFS(N:N,D:D,"&lt;="&amp;D616,C:C,C616)+SUMIFS(P:P,D:D,"&lt;="&amp;D616,C:C,C616))</f>
        <v>0</v>
      </c>
      <c r="AD616" s="98">
        <f t="shared" si="190"/>
        <v>0</v>
      </c>
      <c r="AE616" s="98">
        <f t="shared" si="184"/>
        <v>0</v>
      </c>
      <c r="AF616" s="205" t="str">
        <f t="shared" si="193"/>
        <v/>
      </c>
      <c r="AG616" s="98">
        <f t="shared" si="191"/>
        <v>0</v>
      </c>
      <c r="AH616" s="97"/>
      <c r="AI616" s="311"/>
      <c r="AJ616" s="98">
        <f t="shared" si="183"/>
        <v>0</v>
      </c>
      <c r="AK616" s="233"/>
      <c r="AL616" s="98">
        <f>IF(SUMIFS('Shipments data'!L:L,'Shipments data'!F:F,'Supply planning data'!C616,'Shipments data'!A:A,'Supply planning data'!A616,'Shipments data'!O:O,"received",'Shipments data'!Q:Q,"&lt;"&amp;'Supply planning data'!D631,'Shipments data'!AC:AC,"&lt;"&amp;'Supply planning data'!D631)-SUMIFS(M:M,D:D,"&lt;="&amp;D616,C:C,C616)-SUMIFS(AJ:AJ,D:D,"&lt;="&amp;D616,C:C,C616)+SUMIFS(N:N,D:D,"&lt;="&amp;D616,C:C,C616)+SUMIFS(P:P,D:D,"&lt;="&amp;D616,C:C,C616)&lt;0,0,SUMIFS('Shipments data'!L:L,'Shipments data'!F:F,'Supply planning data'!C616,'Shipments data'!A:A,'Supply planning data'!A616,'Shipments data'!O:O,"received",'Shipments data'!Q:Q,"&lt;"&amp;'Supply planning data'!D631,'Shipments data'!AC:AC,"&lt;"&amp;'Supply planning data'!D631)-SUMIFS(M:M,D:D,"&lt;="&amp;D616,C:C,C616)-SUMIFS(AJ:AJ,D:D,"&lt;="&amp;D616,C:C,C616)+SUMIFS(N:N,D:D,"&lt;="&amp;D616,C:C,C616)+SUMIFS(P:P,D:D,"&lt;="&amp;D616,C:C,C616))</f>
        <v>0</v>
      </c>
      <c r="AM616" s="98">
        <f t="shared" si="192"/>
        <v>0</v>
      </c>
      <c r="AN616" s="98">
        <f t="shared" si="185"/>
        <v>0</v>
      </c>
      <c r="AO616" s="203" t="str">
        <f t="shared" si="195"/>
        <v/>
      </c>
    </row>
    <row r="617" spans="1:41" hidden="1" x14ac:dyDescent="0.25">
      <c r="A617" s="95" t="str">
        <f>Start!D$7</f>
        <v>Anyland</v>
      </c>
      <c r="B617" s="96" t="str">
        <f>VLOOKUP(A617,list!B:C,2,FALSE)</f>
        <v>ANY</v>
      </c>
      <c r="C617" s="90" t="str">
        <f>IF(Start!$C$29="","",Start!$C$29)</f>
        <v/>
      </c>
      <c r="D617" s="296">
        <f t="shared" si="186"/>
        <v>45413</v>
      </c>
      <c r="E617" s="92" t="str">
        <f>IFERROR(VLOOKUP(C617,Start!C$15:D$31,2,FALSE),"No")</f>
        <v>No</v>
      </c>
      <c r="F617" s="92">
        <f t="shared" si="187"/>
        <v>0</v>
      </c>
      <c r="G617" s="91"/>
      <c r="H617" s="97"/>
      <c r="I617" s="97"/>
      <c r="J617" s="98">
        <f t="shared" si="179"/>
        <v>0</v>
      </c>
      <c r="K617" s="97"/>
      <c r="L617" s="175" t="str">
        <f t="shared" si="180"/>
        <v/>
      </c>
      <c r="M617" s="98">
        <f t="shared" si="181"/>
        <v>0</v>
      </c>
      <c r="N617" s="97"/>
      <c r="O617" s="122"/>
      <c r="P617" s="97"/>
      <c r="Q617" s="122"/>
      <c r="R617" s="98">
        <f>SUMIFS('Shipments data'!L:L,'Shipments data'!F:F,'Supply planning data'!C617,'Shipments data'!A:A,'Supply planning data'!A617,'Shipments data'!Y:Y,'Supply planning data'!D617,'Shipments data'!O:O,"received", 'Shipments data'!N:N, "Public")</f>
        <v>0</v>
      </c>
      <c r="S617" s="98">
        <f>SUMIFS('Shipments data'!L:L,'Shipments data'!F:F,'Supply planning data'!C617,'Shipments data'!A:A,'Supply planning data'!A617,'Shipments data'!Y:Y,'Supply planning data'!D617,'Shipments data'!O:O,"ordered", 'Shipments data'!N:N, "Public")</f>
        <v>0</v>
      </c>
      <c r="T617" s="98">
        <f>IF(SUMIFS('Shipments data'!L:L,'Shipments data'!F:F,'Supply planning data'!C617,'Shipments data'!A:A,'Supply planning data'!A617,'Shipments data'!O:O,"received",'Shipments data'!Q:Q,"&lt;"&amp;'Supply planning data'!D632,'Shipments data'!AC:AC,"&lt;"&amp;'Supply planning data'!D632)-SUMIFS(M:M,D:D,"&lt;="&amp;D617,C:C,C617)+SUMIFS(N:N,D:D,"&lt;="&amp;D617,C:C,C617)+SUMIFS(P:P,D:D,"&lt;="&amp;D617,C:C,C617)&lt;0,0,SUMIFS('Shipments data'!L:L,'Shipments data'!F:F,'Supply planning data'!C617,'Shipments data'!A:A,'Supply planning data'!A617,'Shipments data'!O:O,"received",'Shipments data'!Q:Q,"&lt;"&amp;'Supply planning data'!D632,'Shipments data'!AC:AC,"&lt;"&amp;'Supply planning data'!D632)-SUMIFS(M:M,D:D,"&lt;="&amp;D617,C:C,C617)+SUMIFS(N:N,D:D,"&lt;="&amp;D617,C:C,C617)+SUMIFS(P:P,D:D,"&lt;="&amp;D617,C:C,C617))</f>
        <v>0</v>
      </c>
      <c r="U617" s="99">
        <f t="shared" si="188"/>
        <v>0</v>
      </c>
      <c r="V617" s="98">
        <f t="shared" si="178"/>
        <v>0</v>
      </c>
      <c r="W617" s="203" t="str">
        <f t="shared" si="194"/>
        <v/>
      </c>
      <c r="X617" s="98">
        <f t="shared" si="189"/>
        <v>0</v>
      </c>
      <c r="Y617" s="97"/>
      <c r="Z617" s="93"/>
      <c r="AA617" s="98">
        <f t="shared" si="182"/>
        <v>0</v>
      </c>
      <c r="AB617" s="233"/>
      <c r="AC617" s="98">
        <f>IF(SUMIFS('Shipments data'!L:L,'Shipments data'!F:F,'Supply planning data'!C617,'Shipments data'!A:A,'Supply planning data'!A617,'Shipments data'!O:O,"received",'Shipments data'!Q:Q,"&lt;"&amp;'Supply planning data'!D632,'Shipments data'!AC:AC,"&lt;"&amp;'Supply planning data'!D632)-SUMIFS(M:M,D:D,"&lt;="&amp;D617,C:C,C617)-SUMIFS(AA:AA,D:D,"&lt;="&amp;D617,C:C,C617)+SUMIFS(N:N,D:D,"&lt;="&amp;D617,C:C,C617)+SUMIFS(P:P,D:D,"&lt;="&amp;D617,C:C,C617)&lt;0,0,SUMIFS('Shipments data'!L:L,'Shipments data'!F:F,'Supply planning data'!C617,'Shipments data'!A:A,'Supply planning data'!A617,'Shipments data'!O:O,"received",'Shipments data'!Q:Q,"&lt;"&amp;'Supply planning data'!D632,'Shipments data'!AC:AC,"&lt;"&amp;'Supply planning data'!D632)-SUMIFS(M:M,D:D,"&lt;="&amp;D617,C:C,C617)-SUMIFS(AA:AA,D:D,"&lt;="&amp;D617,C:C,C617)+SUMIFS(N:N,D:D,"&lt;="&amp;D617,C:C,C617)+SUMIFS(P:P,D:D,"&lt;="&amp;D617,C:C,C617))</f>
        <v>0</v>
      </c>
      <c r="AD617" s="98">
        <f t="shared" si="190"/>
        <v>0</v>
      </c>
      <c r="AE617" s="98">
        <f t="shared" si="184"/>
        <v>0</v>
      </c>
      <c r="AF617" s="205" t="str">
        <f t="shared" si="193"/>
        <v/>
      </c>
      <c r="AG617" s="98">
        <f t="shared" si="191"/>
        <v>0</v>
      </c>
      <c r="AH617" s="97"/>
      <c r="AI617" s="311"/>
      <c r="AJ617" s="98">
        <f t="shared" si="183"/>
        <v>0</v>
      </c>
      <c r="AK617" s="233"/>
      <c r="AL617" s="98">
        <f>IF(SUMIFS('Shipments data'!L:L,'Shipments data'!F:F,'Supply planning data'!C617,'Shipments data'!A:A,'Supply planning data'!A617,'Shipments data'!O:O,"received",'Shipments data'!Q:Q,"&lt;"&amp;'Supply planning data'!D632,'Shipments data'!AC:AC,"&lt;"&amp;'Supply planning data'!D632)-SUMIFS(M:M,D:D,"&lt;="&amp;D617,C:C,C617)-SUMIFS(AJ:AJ,D:D,"&lt;="&amp;D617,C:C,C617)+SUMIFS(N:N,D:D,"&lt;="&amp;D617,C:C,C617)+SUMIFS(P:P,D:D,"&lt;="&amp;D617,C:C,C617)&lt;0,0,SUMIFS('Shipments data'!L:L,'Shipments data'!F:F,'Supply planning data'!C617,'Shipments data'!A:A,'Supply planning data'!A617,'Shipments data'!O:O,"received",'Shipments data'!Q:Q,"&lt;"&amp;'Supply planning data'!D632,'Shipments data'!AC:AC,"&lt;"&amp;'Supply planning data'!D632)-SUMIFS(M:M,D:D,"&lt;="&amp;D617,C:C,C617)-SUMIFS(AJ:AJ,D:D,"&lt;="&amp;D617,C:C,C617)+SUMIFS(N:N,D:D,"&lt;="&amp;D617,C:C,C617)+SUMIFS(P:P,D:D,"&lt;="&amp;D617,C:C,C617))</f>
        <v>0</v>
      </c>
      <c r="AM617" s="98">
        <f t="shared" si="192"/>
        <v>0</v>
      </c>
      <c r="AN617" s="98">
        <f t="shared" si="185"/>
        <v>0</v>
      </c>
      <c r="AO617" s="203" t="str">
        <f t="shared" si="195"/>
        <v/>
      </c>
    </row>
    <row r="618" spans="1:41" hidden="1" x14ac:dyDescent="0.25">
      <c r="A618" s="95" t="str">
        <f>Start!D$7</f>
        <v>Anyland</v>
      </c>
      <c r="B618" s="96" t="str">
        <f>VLOOKUP(A618,list!B:C,2,FALSE)</f>
        <v>ANY</v>
      </c>
      <c r="C618" s="90" t="str">
        <f>IF(Start!$C$30="","",Start!$C$30)</f>
        <v/>
      </c>
      <c r="D618" s="296">
        <f t="shared" si="186"/>
        <v>45413</v>
      </c>
      <c r="E618" s="92" t="str">
        <f>IFERROR(VLOOKUP(C618,Start!C$15:D$31,2,FALSE),"No")</f>
        <v>No</v>
      </c>
      <c r="F618" s="92">
        <f t="shared" si="187"/>
        <v>0</v>
      </c>
      <c r="G618" s="91"/>
      <c r="H618" s="97"/>
      <c r="I618" s="97"/>
      <c r="J618" s="98">
        <f t="shared" si="179"/>
        <v>0</v>
      </c>
      <c r="K618" s="97"/>
      <c r="L618" s="175" t="str">
        <f t="shared" si="180"/>
        <v/>
      </c>
      <c r="M618" s="98">
        <f t="shared" si="181"/>
        <v>0</v>
      </c>
      <c r="N618" s="97"/>
      <c r="O618" s="122"/>
      <c r="P618" s="97"/>
      <c r="Q618" s="122"/>
      <c r="R618" s="98">
        <f>SUMIFS('Shipments data'!L:L,'Shipments data'!F:F,'Supply planning data'!C618,'Shipments data'!A:A,'Supply planning data'!A618,'Shipments data'!Y:Y,'Supply planning data'!D618,'Shipments data'!O:O,"received", 'Shipments data'!N:N, "Public")</f>
        <v>0</v>
      </c>
      <c r="S618" s="98">
        <f>SUMIFS('Shipments data'!L:L,'Shipments data'!F:F,'Supply planning data'!C618,'Shipments data'!A:A,'Supply planning data'!A618,'Shipments data'!Y:Y,'Supply planning data'!D618,'Shipments data'!O:O,"ordered", 'Shipments data'!N:N, "Public")</f>
        <v>0</v>
      </c>
      <c r="T618" s="98">
        <f>IF(SUMIFS('Shipments data'!L:L,'Shipments data'!F:F,'Supply planning data'!C618,'Shipments data'!A:A,'Supply planning data'!A618,'Shipments data'!O:O,"received",'Shipments data'!Q:Q,"&lt;"&amp;'Supply planning data'!D633,'Shipments data'!AC:AC,"&lt;"&amp;'Supply planning data'!D633)-SUMIFS(M:M,D:D,"&lt;="&amp;D618,C:C,C618)+SUMIFS(N:N,D:D,"&lt;="&amp;D618,C:C,C618)+SUMIFS(P:P,D:D,"&lt;="&amp;D618,C:C,C618)&lt;0,0,SUMIFS('Shipments data'!L:L,'Shipments data'!F:F,'Supply planning data'!C618,'Shipments data'!A:A,'Supply planning data'!A618,'Shipments data'!O:O,"received",'Shipments data'!Q:Q,"&lt;"&amp;'Supply planning data'!D633,'Shipments data'!AC:AC,"&lt;"&amp;'Supply planning data'!D633)-SUMIFS(M:M,D:D,"&lt;="&amp;D618,C:C,C618)+SUMIFS(N:N,D:D,"&lt;="&amp;D618,C:C,C618)+SUMIFS(P:P,D:D,"&lt;="&amp;D618,C:C,C618))</f>
        <v>0</v>
      </c>
      <c r="U618" s="99">
        <f t="shared" si="188"/>
        <v>0</v>
      </c>
      <c r="V618" s="98">
        <f t="shared" si="178"/>
        <v>0</v>
      </c>
      <c r="W618" s="203" t="str">
        <f t="shared" si="194"/>
        <v/>
      </c>
      <c r="X618" s="98">
        <f t="shared" si="189"/>
        <v>0</v>
      </c>
      <c r="Y618" s="97"/>
      <c r="Z618" s="93"/>
      <c r="AA618" s="98">
        <f t="shared" si="182"/>
        <v>0</v>
      </c>
      <c r="AB618" s="233"/>
      <c r="AC618" s="98">
        <f>IF(SUMIFS('Shipments data'!L:L,'Shipments data'!F:F,'Supply planning data'!C618,'Shipments data'!A:A,'Supply planning data'!A618,'Shipments data'!O:O,"received",'Shipments data'!Q:Q,"&lt;"&amp;'Supply planning data'!D633,'Shipments data'!AC:AC,"&lt;"&amp;'Supply planning data'!D633)-SUMIFS(M:M,D:D,"&lt;="&amp;D618,C:C,C618)-SUMIFS(AA:AA,D:D,"&lt;="&amp;D618,C:C,C618)+SUMIFS(N:N,D:D,"&lt;="&amp;D618,C:C,C618)+SUMIFS(P:P,D:D,"&lt;="&amp;D618,C:C,C618)&lt;0,0,SUMIFS('Shipments data'!L:L,'Shipments data'!F:F,'Supply planning data'!C618,'Shipments data'!A:A,'Supply planning data'!A618,'Shipments data'!O:O,"received",'Shipments data'!Q:Q,"&lt;"&amp;'Supply planning data'!D633,'Shipments data'!AC:AC,"&lt;"&amp;'Supply planning data'!D633)-SUMIFS(M:M,D:D,"&lt;="&amp;D618,C:C,C618)-SUMIFS(AA:AA,D:D,"&lt;="&amp;D618,C:C,C618)+SUMIFS(N:N,D:D,"&lt;="&amp;D618,C:C,C618)+SUMIFS(P:P,D:D,"&lt;="&amp;D618,C:C,C618))</f>
        <v>0</v>
      </c>
      <c r="AD618" s="98">
        <f t="shared" si="190"/>
        <v>0</v>
      </c>
      <c r="AE618" s="98">
        <f t="shared" si="184"/>
        <v>0</v>
      </c>
      <c r="AF618" s="205" t="str">
        <f t="shared" si="193"/>
        <v/>
      </c>
      <c r="AG618" s="98">
        <f t="shared" si="191"/>
        <v>0</v>
      </c>
      <c r="AH618" s="97"/>
      <c r="AI618" s="311"/>
      <c r="AJ618" s="98">
        <f t="shared" si="183"/>
        <v>0</v>
      </c>
      <c r="AK618" s="233"/>
      <c r="AL618" s="98">
        <f>IF(SUMIFS('Shipments data'!L:L,'Shipments data'!F:F,'Supply planning data'!C618,'Shipments data'!A:A,'Supply planning data'!A618,'Shipments data'!O:O,"received",'Shipments data'!Q:Q,"&lt;"&amp;'Supply planning data'!D633,'Shipments data'!AC:AC,"&lt;"&amp;'Supply planning data'!D633)-SUMIFS(M:M,D:D,"&lt;="&amp;D618,C:C,C618)-SUMIFS(AJ:AJ,D:D,"&lt;="&amp;D618,C:C,C618)+SUMIFS(N:N,D:D,"&lt;="&amp;D618,C:C,C618)+SUMIFS(P:P,D:D,"&lt;="&amp;D618,C:C,C618)&lt;0,0,SUMIFS('Shipments data'!L:L,'Shipments data'!F:F,'Supply planning data'!C618,'Shipments data'!A:A,'Supply planning data'!A618,'Shipments data'!O:O,"received",'Shipments data'!Q:Q,"&lt;"&amp;'Supply planning data'!D633,'Shipments data'!AC:AC,"&lt;"&amp;'Supply planning data'!D633)-SUMIFS(M:M,D:D,"&lt;="&amp;D618,C:C,C618)-SUMIFS(AJ:AJ,D:D,"&lt;="&amp;D618,C:C,C618)+SUMIFS(N:N,D:D,"&lt;="&amp;D618,C:C,C618)+SUMIFS(P:P,D:D,"&lt;="&amp;D618,C:C,C618))</f>
        <v>0</v>
      </c>
      <c r="AM618" s="98">
        <f t="shared" si="192"/>
        <v>0</v>
      </c>
      <c r="AN618" s="98">
        <f t="shared" si="185"/>
        <v>0</v>
      </c>
      <c r="AO618" s="203" t="str">
        <f t="shared" si="195"/>
        <v/>
      </c>
    </row>
    <row r="619" spans="1:41" hidden="1" x14ac:dyDescent="0.25">
      <c r="A619" s="95" t="str">
        <f>Start!D$7</f>
        <v>Anyland</v>
      </c>
      <c r="B619" s="100" t="str">
        <f>VLOOKUP(A619,list!B:C,2,FALSE)</f>
        <v>ANY</v>
      </c>
      <c r="C619" s="90" t="str">
        <f>IF(Start!$C$31="","",Start!$C$31)</f>
        <v/>
      </c>
      <c r="D619" s="296">
        <f t="shared" si="186"/>
        <v>45413</v>
      </c>
      <c r="E619" s="92" t="str">
        <f>IFERROR(VLOOKUP(C619,Start!C$15:D$31,2,FALSE),"No")</f>
        <v>No</v>
      </c>
      <c r="F619" s="92">
        <f t="shared" si="187"/>
        <v>0</v>
      </c>
      <c r="G619" s="91"/>
      <c r="H619" s="97"/>
      <c r="I619" s="97"/>
      <c r="J619" s="98">
        <f t="shared" si="179"/>
        <v>0</v>
      </c>
      <c r="K619" s="97"/>
      <c r="L619" s="175" t="str">
        <f t="shared" si="180"/>
        <v/>
      </c>
      <c r="M619" s="98">
        <f t="shared" si="181"/>
        <v>0</v>
      </c>
      <c r="N619" s="97"/>
      <c r="O619" s="122"/>
      <c r="P619" s="97"/>
      <c r="Q619" s="122"/>
      <c r="R619" s="98">
        <f>SUMIFS('Shipments data'!L:L,'Shipments data'!F:F,'Supply planning data'!C619,'Shipments data'!A:A,'Supply planning data'!A619,'Shipments data'!Y:Y,'Supply planning data'!D619,'Shipments data'!O:O,"received", 'Shipments data'!N:N, "Public")</f>
        <v>0</v>
      </c>
      <c r="S619" s="98">
        <f>SUMIFS('Shipments data'!L:L,'Shipments data'!F:F,'Supply planning data'!C619,'Shipments data'!A:A,'Supply planning data'!A619,'Shipments data'!Y:Y,'Supply planning data'!D619,'Shipments data'!O:O,"ordered", 'Shipments data'!N:N, "Public")</f>
        <v>0</v>
      </c>
      <c r="T619" s="98">
        <f>IF(SUMIFS('Shipments data'!L:L,'Shipments data'!F:F,'Supply planning data'!C619,'Shipments data'!A:A,'Supply planning data'!A619,'Shipments data'!O:O,"received",'Shipments data'!Q:Q,"&lt;"&amp;'Supply planning data'!D634,'Shipments data'!AC:AC,"&lt;"&amp;'Supply planning data'!D634)-SUMIFS(M:M,D:D,"&lt;="&amp;D619,C:C,C619)+SUMIFS(N:N,D:D,"&lt;="&amp;D619,C:C,C619)+SUMIFS(P:P,D:D,"&lt;="&amp;D619,C:C,C619)&lt;0,0,SUMIFS('Shipments data'!L:L,'Shipments data'!F:F,'Supply planning data'!C619,'Shipments data'!A:A,'Supply planning data'!A619,'Shipments data'!O:O,"received",'Shipments data'!Q:Q,"&lt;"&amp;'Supply planning data'!D634,'Shipments data'!AC:AC,"&lt;"&amp;'Supply planning data'!D634)-SUMIFS(M:M,D:D,"&lt;="&amp;D619,C:C,C619)+SUMIFS(N:N,D:D,"&lt;="&amp;D619,C:C,C619)+SUMIFS(P:P,D:D,"&lt;="&amp;D619,C:C,C619))</f>
        <v>0</v>
      </c>
      <c r="U619" s="99">
        <f t="shared" si="188"/>
        <v>0</v>
      </c>
      <c r="V619" s="98">
        <f t="shared" si="178"/>
        <v>0</v>
      </c>
      <c r="W619" s="203" t="str">
        <f t="shared" si="194"/>
        <v/>
      </c>
      <c r="X619" s="98">
        <f t="shared" si="189"/>
        <v>0</v>
      </c>
      <c r="Y619" s="97"/>
      <c r="Z619" s="93"/>
      <c r="AA619" s="98">
        <f t="shared" si="182"/>
        <v>0</v>
      </c>
      <c r="AB619" s="233"/>
      <c r="AC619" s="98">
        <f>IF(SUMIFS('Shipments data'!L:L,'Shipments data'!F:F,'Supply planning data'!C619,'Shipments data'!A:A,'Supply planning data'!A619,'Shipments data'!O:O,"received",'Shipments data'!Q:Q,"&lt;"&amp;'Supply planning data'!D634,'Shipments data'!AC:AC,"&lt;"&amp;'Supply planning data'!D634)-SUMIFS(M:M,D:D,"&lt;="&amp;D619,C:C,C619)-SUMIFS(AA:AA,D:D,"&lt;="&amp;D619,C:C,C619)+SUMIFS(N:N,D:D,"&lt;="&amp;D619,C:C,C619)+SUMIFS(P:P,D:D,"&lt;="&amp;D619,C:C,C619)&lt;0,0,SUMIFS('Shipments data'!L:L,'Shipments data'!F:F,'Supply planning data'!C619,'Shipments data'!A:A,'Supply planning data'!A619,'Shipments data'!O:O,"received",'Shipments data'!Q:Q,"&lt;"&amp;'Supply planning data'!D634,'Shipments data'!AC:AC,"&lt;"&amp;'Supply planning data'!D634)-SUMIFS(M:M,D:D,"&lt;="&amp;D619,C:C,C619)-SUMIFS(AA:AA,D:D,"&lt;="&amp;D619,C:C,C619)+SUMIFS(N:N,D:D,"&lt;="&amp;D619,C:C,C619)+SUMIFS(P:P,D:D,"&lt;="&amp;D619,C:C,C619))</f>
        <v>0</v>
      </c>
      <c r="AD619" s="98">
        <f t="shared" si="190"/>
        <v>0</v>
      </c>
      <c r="AE619" s="98">
        <f t="shared" si="184"/>
        <v>0</v>
      </c>
      <c r="AF619" s="205" t="str">
        <f t="shared" si="193"/>
        <v/>
      </c>
      <c r="AG619" s="98">
        <f t="shared" si="191"/>
        <v>0</v>
      </c>
      <c r="AH619" s="97"/>
      <c r="AI619" s="311"/>
      <c r="AJ619" s="98">
        <f t="shared" si="183"/>
        <v>0</v>
      </c>
      <c r="AK619" s="233"/>
      <c r="AL619" s="98">
        <f>IF(SUMIFS('Shipments data'!L:L,'Shipments data'!F:F,'Supply planning data'!C619,'Shipments data'!A:A,'Supply planning data'!A619,'Shipments data'!O:O,"received",'Shipments data'!Q:Q,"&lt;"&amp;'Supply planning data'!D634,'Shipments data'!AC:AC,"&lt;"&amp;'Supply planning data'!D634)-SUMIFS(M:M,D:D,"&lt;="&amp;D619,C:C,C619)-SUMIFS(AJ:AJ,D:D,"&lt;="&amp;D619,C:C,C619)+SUMIFS(N:N,D:D,"&lt;="&amp;D619,C:C,C619)+SUMIFS(P:P,D:D,"&lt;="&amp;D619,C:C,C619)&lt;0,0,SUMIFS('Shipments data'!L:L,'Shipments data'!F:F,'Supply planning data'!C619,'Shipments data'!A:A,'Supply planning data'!A619,'Shipments data'!O:O,"received",'Shipments data'!Q:Q,"&lt;"&amp;'Supply planning data'!D634,'Shipments data'!AC:AC,"&lt;"&amp;'Supply planning data'!D634)-SUMIFS(M:M,D:D,"&lt;="&amp;D619,C:C,C619)-SUMIFS(AJ:AJ,D:D,"&lt;="&amp;D619,C:C,C619)+SUMIFS(N:N,D:D,"&lt;="&amp;D619,C:C,C619)+SUMIFS(P:P,D:D,"&lt;="&amp;D619,C:C,C619))</f>
        <v>0</v>
      </c>
      <c r="AM619" s="98">
        <f t="shared" si="192"/>
        <v>0</v>
      </c>
      <c r="AN619" s="98">
        <f t="shared" si="185"/>
        <v>0</v>
      </c>
      <c r="AO619" s="203" t="str">
        <f t="shared" si="195"/>
        <v/>
      </c>
    </row>
    <row r="620" spans="1:41" x14ac:dyDescent="0.25">
      <c r="A620" s="103" t="str">
        <f>Start!D$7</f>
        <v>Anyland</v>
      </c>
      <c r="B620" s="104" t="str">
        <f>VLOOKUP(A620,list!B:C,2,FALSE)</f>
        <v>ANY</v>
      </c>
      <c r="C620" s="104" t="str">
        <f>IF(Start!$C$17="","",Start!$C$17)</f>
        <v>AstraZeneca</v>
      </c>
      <c r="D620" s="298">
        <f t="shared" si="186"/>
        <v>45444</v>
      </c>
      <c r="E620" s="105" t="str">
        <f>IFERROR(VLOOKUP(C620,Start!C$15:D$31,2,FALSE),"No")</f>
        <v>Yes</v>
      </c>
      <c r="F620" s="105">
        <f t="shared" si="187"/>
        <v>0</v>
      </c>
      <c r="G620" s="106"/>
      <c r="H620" s="106"/>
      <c r="I620" s="106"/>
      <c r="J620" s="105">
        <f t="shared" si="179"/>
        <v>0</v>
      </c>
      <c r="K620" s="106"/>
      <c r="L620" s="177" t="str">
        <f t="shared" si="180"/>
        <v/>
      </c>
      <c r="M620" s="105">
        <f t="shared" si="181"/>
        <v>0</v>
      </c>
      <c r="N620" s="106"/>
      <c r="O620" s="123"/>
      <c r="P620" s="106"/>
      <c r="Q620" s="123"/>
      <c r="R620" s="105">
        <f>SUMIFS('Shipments data'!L:L,'Shipments data'!F:F,'Supply planning data'!C620,'Shipments data'!A:A,'Supply planning data'!A620,'Shipments data'!Y:Y,'Supply planning data'!D620,'Shipments data'!O:O,"received", 'Shipments data'!N:N, "Public")</f>
        <v>0</v>
      </c>
      <c r="S620" s="105">
        <f>SUMIFS('Shipments data'!L:L,'Shipments data'!F:F,'Supply planning data'!C620,'Shipments data'!A:A,'Supply planning data'!A620,'Shipments data'!Y:Y,'Supply planning data'!D620,'Shipments data'!O:O,"ordered", 'Shipments data'!N:N, "Public")</f>
        <v>0</v>
      </c>
      <c r="T620" s="105">
        <f>IF(SUMIFS('Shipments data'!L:L,'Shipments data'!F:F,'Supply planning data'!C620,'Shipments data'!A:A,'Supply planning data'!A620,'Shipments data'!O:O,"received",'Shipments data'!Q:Q,"&lt;"&amp;'Supply planning data'!D635,'Shipments data'!AC:AC,"&lt;"&amp;'Supply planning data'!D635)-SUMIFS(M:M,D:D,"&lt;="&amp;D620,C:C,C620)+SUMIFS(N:N,D:D,"&lt;="&amp;D620,C:C,C620)+SUMIFS(P:P,D:D,"&lt;="&amp;D620,C:C,C620)&lt;0,0,SUMIFS('Shipments data'!L:L,'Shipments data'!F:F,'Supply planning data'!C620,'Shipments data'!A:A,'Supply planning data'!A620,'Shipments data'!O:O,"received",'Shipments data'!Q:Q,"&lt;"&amp;'Supply planning data'!D635,'Shipments data'!AC:AC,"&lt;"&amp;'Supply planning data'!D635)-SUMIFS(M:M,D:D,"&lt;="&amp;D620,C:C,C620)+SUMIFS(N:N,D:D,"&lt;="&amp;D620,C:C,C620)+SUMIFS(P:P,D:D,"&lt;="&amp;D620,C:C,C620))</f>
        <v>0</v>
      </c>
      <c r="U620" s="108">
        <f t="shared" si="188"/>
        <v>0</v>
      </c>
      <c r="V620" s="105">
        <f t="shared" si="178"/>
        <v>0</v>
      </c>
      <c r="W620" s="206" t="str">
        <f t="shared" si="194"/>
        <v/>
      </c>
      <c r="X620" s="105">
        <f t="shared" si="189"/>
        <v>154701</v>
      </c>
      <c r="Y620" s="106"/>
      <c r="Z620" s="107"/>
      <c r="AA620" s="105">
        <f t="shared" si="182"/>
        <v>0</v>
      </c>
      <c r="AB620" s="234"/>
      <c r="AC620" s="105">
        <f>IF(SUMIFS('Shipments data'!L:L,'Shipments data'!F:F,'Supply planning data'!C620,'Shipments data'!A:A,'Supply planning data'!A620,'Shipments data'!O:O,"received",'Shipments data'!Q:Q,"&lt;"&amp;'Supply planning data'!D635,'Shipments data'!AC:AC,"&lt;"&amp;'Supply planning data'!D635)-SUMIFS(M:M,D:D,"&lt;="&amp;D620,C:C,C620)-SUMIFS(AA:AA,D:D,"&lt;="&amp;D620,C:C,C620)+SUMIFS(N:N,D:D,"&lt;="&amp;D620,C:C,C620)+SUMIFS(P:P,D:D,"&lt;="&amp;D620,C:C,C620)&lt;0,0,SUMIFS('Shipments data'!L:L,'Shipments data'!F:F,'Supply planning data'!C620,'Shipments data'!A:A,'Supply planning data'!A620,'Shipments data'!O:O,"received",'Shipments data'!Q:Q,"&lt;"&amp;'Supply planning data'!D635,'Shipments data'!AC:AC,"&lt;"&amp;'Supply planning data'!D635)-SUMIFS(M:M,D:D,"&lt;="&amp;D620,C:C,C620)-SUMIFS(AA:AA,D:D,"&lt;="&amp;D620,C:C,C620)+SUMIFS(N:N,D:D,"&lt;="&amp;D620,C:C,C620)+SUMIFS(P:P,D:D,"&lt;="&amp;D620,C:C,C620))</f>
        <v>0</v>
      </c>
      <c r="AD620" s="105">
        <f t="shared" si="190"/>
        <v>0</v>
      </c>
      <c r="AE620" s="105">
        <f t="shared" si="184"/>
        <v>154701</v>
      </c>
      <c r="AF620" s="206" t="str">
        <f t="shared" si="193"/>
        <v/>
      </c>
      <c r="AG620" s="105">
        <f t="shared" si="191"/>
        <v>0</v>
      </c>
      <c r="AH620" s="106"/>
      <c r="AI620" s="312"/>
      <c r="AJ620" s="105">
        <f t="shared" si="183"/>
        <v>0</v>
      </c>
      <c r="AK620" s="234"/>
      <c r="AL620" s="105">
        <f>IF(SUMIFS('Shipments data'!L:L,'Shipments data'!F:F,'Supply planning data'!C620,'Shipments data'!A:A,'Supply planning data'!A620,'Shipments data'!O:O,"received",'Shipments data'!Q:Q,"&lt;"&amp;'Supply planning data'!D635,'Shipments data'!AC:AC,"&lt;"&amp;'Supply planning data'!D635)-SUMIFS(M:M,D:D,"&lt;="&amp;D620,C:C,C620)-SUMIFS(AJ:AJ,D:D,"&lt;="&amp;D620,C:C,C620)+SUMIFS(N:N,D:D,"&lt;="&amp;D620,C:C,C620)+SUMIFS(P:P,D:D,"&lt;="&amp;D620,C:C,C620)&lt;0,0,SUMIFS('Shipments data'!L:L,'Shipments data'!F:F,'Supply planning data'!C620,'Shipments data'!A:A,'Supply planning data'!A620,'Shipments data'!O:O,"received",'Shipments data'!Q:Q,"&lt;"&amp;'Supply planning data'!D635,'Shipments data'!AC:AC,"&lt;"&amp;'Supply planning data'!D635)-SUMIFS(M:M,D:D,"&lt;="&amp;D620,C:C,C620)-SUMIFS(AJ:AJ,D:D,"&lt;="&amp;D620,C:C,C620)+SUMIFS(N:N,D:D,"&lt;="&amp;D620,C:C,C620)+SUMIFS(P:P,D:D,"&lt;="&amp;D620,C:C,C620))</f>
        <v>0</v>
      </c>
      <c r="AM620" s="105">
        <f t="shared" si="192"/>
        <v>0</v>
      </c>
      <c r="AN620" s="105">
        <f t="shared" si="185"/>
        <v>0</v>
      </c>
      <c r="AO620" s="206" t="str">
        <f t="shared" si="195"/>
        <v/>
      </c>
    </row>
    <row r="621" spans="1:41" x14ac:dyDescent="0.25">
      <c r="A621" s="103" t="str">
        <f>Start!D$7</f>
        <v>Anyland</v>
      </c>
      <c r="B621" s="109" t="str">
        <f>VLOOKUP(A621,list!B:C,2,FALSE)</f>
        <v>ANY</v>
      </c>
      <c r="C621" s="109" t="str">
        <f>IF(Start!$C$18="","",Start!$C$18)</f>
        <v>Jansen</v>
      </c>
      <c r="D621" s="298">
        <f t="shared" si="186"/>
        <v>45444</v>
      </c>
      <c r="E621" s="105" t="str">
        <f>IFERROR(VLOOKUP(C621,Start!C$15:D$31,2,FALSE),"No")</f>
        <v>Yes</v>
      </c>
      <c r="F621" s="105">
        <f t="shared" si="187"/>
        <v>1871200</v>
      </c>
      <c r="G621" s="106"/>
      <c r="H621" s="106"/>
      <c r="I621" s="106"/>
      <c r="J621" s="105">
        <f t="shared" si="179"/>
        <v>0</v>
      </c>
      <c r="K621" s="106"/>
      <c r="L621" s="177" t="str">
        <f t="shared" si="180"/>
        <v/>
      </c>
      <c r="M621" s="105">
        <f t="shared" si="181"/>
        <v>0</v>
      </c>
      <c r="N621" s="110"/>
      <c r="O621" s="124"/>
      <c r="P621" s="110"/>
      <c r="Q621" s="124"/>
      <c r="R621" s="111">
        <f>SUMIFS('Shipments data'!L:L,'Shipments data'!F:F,'Supply planning data'!C621,'Shipments data'!A:A,'Supply planning data'!A621,'Shipments data'!Y:Y,'Supply planning data'!D621,'Shipments data'!O:O,"received", 'Shipments data'!N:N, "Public")</f>
        <v>0</v>
      </c>
      <c r="S621" s="111">
        <f>SUMIFS('Shipments data'!L:L,'Shipments data'!F:F,'Supply planning data'!C621,'Shipments data'!A:A,'Supply planning data'!A621,'Shipments data'!Y:Y,'Supply planning data'!D621,'Shipments data'!O:O,"ordered", 'Shipments data'!N:N, "Public")</f>
        <v>0</v>
      </c>
      <c r="T621" s="111">
        <f>IF(SUMIFS('Shipments data'!L:L,'Shipments data'!F:F,'Supply planning data'!C621,'Shipments data'!A:A,'Supply planning data'!A621,'Shipments data'!O:O,"received",'Shipments data'!Q:Q,"&lt;"&amp;'Supply planning data'!D636,'Shipments data'!AC:AC,"&lt;"&amp;'Supply planning data'!D636)-SUMIFS(M:M,D:D,"&lt;="&amp;D621,C:C,C621)+SUMIFS(N:N,D:D,"&lt;="&amp;D621,C:C,C621)+SUMIFS(P:P,D:D,"&lt;="&amp;D621,C:C,C621)&lt;0,0,SUMIFS('Shipments data'!L:L,'Shipments data'!F:F,'Supply planning data'!C621,'Shipments data'!A:A,'Supply planning data'!A621,'Shipments data'!O:O,"received",'Shipments data'!Q:Q,"&lt;"&amp;'Supply planning data'!D636,'Shipments data'!AC:AC,"&lt;"&amp;'Supply planning data'!D636)-SUMIFS(M:M,D:D,"&lt;="&amp;D621,C:C,C621)+SUMIFS(N:N,D:D,"&lt;="&amp;D621,C:C,C621)+SUMIFS(P:P,D:D,"&lt;="&amp;D621,C:C,C621))</f>
        <v>387547</v>
      </c>
      <c r="U621" s="112">
        <f t="shared" si="188"/>
        <v>0</v>
      </c>
      <c r="V621" s="111">
        <f t="shared" si="178"/>
        <v>1871200</v>
      </c>
      <c r="W621" s="204" t="str">
        <f t="shared" si="194"/>
        <v/>
      </c>
      <c r="X621" s="111">
        <f t="shared" si="189"/>
        <v>1311200</v>
      </c>
      <c r="Y621" s="110"/>
      <c r="Z621" s="107"/>
      <c r="AA621" s="111">
        <f t="shared" si="182"/>
        <v>0</v>
      </c>
      <c r="AB621" s="235"/>
      <c r="AC621" s="111">
        <f>IF(SUMIFS('Shipments data'!L:L,'Shipments data'!F:F,'Supply planning data'!C621,'Shipments data'!A:A,'Supply planning data'!A621,'Shipments data'!O:O,"received",'Shipments data'!Q:Q,"&lt;"&amp;'Supply planning data'!D636,'Shipments data'!AC:AC,"&lt;"&amp;'Supply planning data'!D636)-SUMIFS(M:M,D:D,"&lt;="&amp;D621,C:C,C621)-SUMIFS(AA:AA,D:D,"&lt;="&amp;D621,C:C,C621)+SUMIFS(N:N,D:D,"&lt;="&amp;D621,C:C,C621)+SUMIFS(P:P,D:D,"&lt;="&amp;D621,C:C,C621)&lt;0,0,SUMIFS('Shipments data'!L:L,'Shipments data'!F:F,'Supply planning data'!C621,'Shipments data'!A:A,'Supply planning data'!A621,'Shipments data'!O:O,"received",'Shipments data'!Q:Q,"&lt;"&amp;'Supply planning data'!D636,'Shipments data'!AC:AC,"&lt;"&amp;'Supply planning data'!D636)-SUMIFS(M:M,D:D,"&lt;="&amp;D621,C:C,C621)-SUMIFS(AA:AA,D:D,"&lt;="&amp;D621,C:C,C621)+SUMIFS(N:N,D:D,"&lt;="&amp;D621,C:C,C621)+SUMIFS(P:P,D:D,"&lt;="&amp;D621,C:C,C621))</f>
        <v>0</v>
      </c>
      <c r="AD621" s="111">
        <f t="shared" si="190"/>
        <v>0</v>
      </c>
      <c r="AE621" s="111">
        <f t="shared" si="184"/>
        <v>1311200</v>
      </c>
      <c r="AF621" s="204" t="str">
        <f t="shared" si="193"/>
        <v/>
      </c>
      <c r="AG621" s="111">
        <f t="shared" si="191"/>
        <v>1871200</v>
      </c>
      <c r="AH621" s="110"/>
      <c r="AI621" s="313"/>
      <c r="AJ621" s="111">
        <f t="shared" si="183"/>
        <v>0</v>
      </c>
      <c r="AK621" s="235"/>
      <c r="AL621" s="111">
        <f>IF(SUMIFS('Shipments data'!L:L,'Shipments data'!F:F,'Supply planning data'!C621,'Shipments data'!A:A,'Supply planning data'!A621,'Shipments data'!O:O,"received",'Shipments data'!Q:Q,"&lt;"&amp;'Supply planning data'!D636,'Shipments data'!AC:AC,"&lt;"&amp;'Supply planning data'!D636)-SUMIFS(M:M,D:D,"&lt;="&amp;D621,C:C,C621)-SUMIFS(AJ:AJ,D:D,"&lt;="&amp;D621,C:C,C621)+SUMIFS(N:N,D:D,"&lt;="&amp;D621,C:C,C621)+SUMIFS(P:P,D:D,"&lt;="&amp;D621,C:C,C621)&lt;0,0,SUMIFS('Shipments data'!L:L,'Shipments data'!F:F,'Supply planning data'!C621,'Shipments data'!A:A,'Supply planning data'!A621,'Shipments data'!O:O,"received",'Shipments data'!Q:Q,"&lt;"&amp;'Supply planning data'!D636,'Shipments data'!AC:AC,"&lt;"&amp;'Supply planning data'!D636)-SUMIFS(M:M,D:D,"&lt;="&amp;D621,C:C,C621)-SUMIFS(AJ:AJ,D:D,"&lt;="&amp;D621,C:C,C621)+SUMIFS(N:N,D:D,"&lt;="&amp;D621,C:C,C621)+SUMIFS(P:P,D:D,"&lt;="&amp;D621,C:C,C621))</f>
        <v>387547</v>
      </c>
      <c r="AM621" s="111">
        <f t="shared" si="192"/>
        <v>0</v>
      </c>
      <c r="AN621" s="111">
        <f t="shared" si="185"/>
        <v>1871200</v>
      </c>
      <c r="AO621" s="204" t="str">
        <f t="shared" si="195"/>
        <v/>
      </c>
    </row>
    <row r="622" spans="1:41" x14ac:dyDescent="0.25">
      <c r="A622" s="103" t="str">
        <f>Start!D$7</f>
        <v>Anyland</v>
      </c>
      <c r="B622" s="109" t="str">
        <f>VLOOKUP(A622,list!B:C,2,FALSE)</f>
        <v>ANY</v>
      </c>
      <c r="C622" s="104" t="str">
        <f>IF(Start!$C$19="","",Start!$C$19)</f>
        <v>Moderna</v>
      </c>
      <c r="D622" s="298">
        <f t="shared" si="186"/>
        <v>45444</v>
      </c>
      <c r="E622" s="105" t="str">
        <f>IFERROR(VLOOKUP(C622,Start!C$15:D$31,2,FALSE),"No")</f>
        <v>No</v>
      </c>
      <c r="F622" s="105">
        <f t="shared" si="187"/>
        <v>0</v>
      </c>
      <c r="G622" s="106"/>
      <c r="H622" s="106"/>
      <c r="I622" s="106"/>
      <c r="J622" s="105">
        <f t="shared" si="179"/>
        <v>0</v>
      </c>
      <c r="K622" s="106"/>
      <c r="L622" s="177" t="str">
        <f t="shared" si="180"/>
        <v/>
      </c>
      <c r="M622" s="105">
        <f t="shared" si="181"/>
        <v>0</v>
      </c>
      <c r="N622" s="110"/>
      <c r="O622" s="124"/>
      <c r="P622" s="110"/>
      <c r="Q622" s="124"/>
      <c r="R622" s="111">
        <f>SUMIFS('Shipments data'!L:L,'Shipments data'!F:F,'Supply planning data'!C622,'Shipments data'!A:A,'Supply planning data'!A622,'Shipments data'!Y:Y,'Supply planning data'!D622,'Shipments data'!O:O,"received", 'Shipments data'!N:N, "Public")</f>
        <v>0</v>
      </c>
      <c r="S622" s="111">
        <f>SUMIFS('Shipments data'!L:L,'Shipments data'!F:F,'Supply planning data'!C622,'Shipments data'!A:A,'Supply planning data'!A622,'Shipments data'!Y:Y,'Supply planning data'!D622,'Shipments data'!O:O,"ordered", 'Shipments data'!N:N, "Public")</f>
        <v>0</v>
      </c>
      <c r="T622" s="111">
        <f>IF(SUMIFS('Shipments data'!L:L,'Shipments data'!F:F,'Supply planning data'!C622,'Shipments data'!A:A,'Supply planning data'!A622,'Shipments data'!O:O,"received",'Shipments data'!Q:Q,"&lt;"&amp;'Supply planning data'!D637,'Shipments data'!AC:AC,"&lt;"&amp;'Supply planning data'!D637)-SUMIFS(M:M,D:D,"&lt;="&amp;D622,C:C,C622)+SUMIFS(N:N,D:D,"&lt;="&amp;D622,C:C,C622)+SUMIFS(P:P,D:D,"&lt;="&amp;D622,C:C,C622)&lt;0,0,SUMIFS('Shipments data'!L:L,'Shipments data'!F:F,'Supply planning data'!C622,'Shipments data'!A:A,'Supply planning data'!A622,'Shipments data'!O:O,"received",'Shipments data'!Q:Q,"&lt;"&amp;'Supply planning data'!D637,'Shipments data'!AC:AC,"&lt;"&amp;'Supply planning data'!D637)-SUMIFS(M:M,D:D,"&lt;="&amp;D622,C:C,C622)+SUMIFS(N:N,D:D,"&lt;="&amp;D622,C:C,C622)+SUMIFS(P:P,D:D,"&lt;="&amp;D622,C:C,C622))</f>
        <v>0</v>
      </c>
      <c r="U622" s="112">
        <f t="shared" si="188"/>
        <v>0</v>
      </c>
      <c r="V622" s="111">
        <f t="shared" si="178"/>
        <v>0</v>
      </c>
      <c r="W622" s="204" t="str">
        <f t="shared" si="194"/>
        <v/>
      </c>
      <c r="X622" s="111">
        <f t="shared" si="189"/>
        <v>0</v>
      </c>
      <c r="Y622" s="110"/>
      <c r="Z622" s="107"/>
      <c r="AA622" s="111">
        <f t="shared" si="182"/>
        <v>0</v>
      </c>
      <c r="AB622" s="235"/>
      <c r="AC622" s="111">
        <f>IF(SUMIFS('Shipments data'!L:L,'Shipments data'!F:F,'Supply planning data'!C622,'Shipments data'!A:A,'Supply planning data'!A622,'Shipments data'!O:O,"received",'Shipments data'!Q:Q,"&lt;"&amp;'Supply planning data'!D637,'Shipments data'!AC:AC,"&lt;"&amp;'Supply planning data'!D637)-SUMIFS(M:M,D:D,"&lt;="&amp;D622,C:C,C622)-SUMIFS(AA:AA,D:D,"&lt;="&amp;D622,C:C,C622)+SUMIFS(N:N,D:D,"&lt;="&amp;D622,C:C,C622)+SUMIFS(P:P,D:D,"&lt;="&amp;D622,C:C,C622)&lt;0,0,SUMIFS('Shipments data'!L:L,'Shipments data'!F:F,'Supply planning data'!C622,'Shipments data'!A:A,'Supply planning data'!A622,'Shipments data'!O:O,"received",'Shipments data'!Q:Q,"&lt;"&amp;'Supply planning data'!D637,'Shipments data'!AC:AC,"&lt;"&amp;'Supply planning data'!D637)-SUMIFS(M:M,D:D,"&lt;="&amp;D622,C:C,C622)-SUMIFS(AA:AA,D:D,"&lt;="&amp;D622,C:C,C622)+SUMIFS(N:N,D:D,"&lt;="&amp;D622,C:C,C622)+SUMIFS(P:P,D:D,"&lt;="&amp;D622,C:C,C622))</f>
        <v>0</v>
      </c>
      <c r="AD622" s="111">
        <f t="shared" si="190"/>
        <v>0</v>
      </c>
      <c r="AE622" s="111">
        <f t="shared" si="184"/>
        <v>0</v>
      </c>
      <c r="AF622" s="204" t="str">
        <f t="shared" si="193"/>
        <v/>
      </c>
      <c r="AG622" s="111">
        <f t="shared" si="191"/>
        <v>0</v>
      </c>
      <c r="AH622" s="110"/>
      <c r="AI622" s="313"/>
      <c r="AJ622" s="111">
        <f t="shared" si="183"/>
        <v>0</v>
      </c>
      <c r="AK622" s="235"/>
      <c r="AL622" s="111">
        <f>IF(SUMIFS('Shipments data'!L:L,'Shipments data'!F:F,'Supply planning data'!C622,'Shipments data'!A:A,'Supply planning data'!A622,'Shipments data'!O:O,"received",'Shipments data'!Q:Q,"&lt;"&amp;'Supply planning data'!D637,'Shipments data'!AC:AC,"&lt;"&amp;'Supply planning data'!D637)-SUMIFS(M:M,D:D,"&lt;="&amp;D622,C:C,C622)-SUMIFS(AJ:AJ,D:D,"&lt;="&amp;D622,C:C,C622)+SUMIFS(N:N,D:D,"&lt;="&amp;D622,C:C,C622)+SUMIFS(P:P,D:D,"&lt;="&amp;D622,C:C,C622)&lt;0,0,SUMIFS('Shipments data'!L:L,'Shipments data'!F:F,'Supply planning data'!C622,'Shipments data'!A:A,'Supply planning data'!A622,'Shipments data'!O:O,"received",'Shipments data'!Q:Q,"&lt;"&amp;'Supply planning data'!D637,'Shipments data'!AC:AC,"&lt;"&amp;'Supply planning data'!D637)-SUMIFS(M:M,D:D,"&lt;="&amp;D622,C:C,C622)-SUMIFS(AJ:AJ,D:D,"&lt;="&amp;D622,C:C,C622)+SUMIFS(N:N,D:D,"&lt;="&amp;D622,C:C,C622)+SUMIFS(P:P,D:D,"&lt;="&amp;D622,C:C,C622))</f>
        <v>0</v>
      </c>
      <c r="AM622" s="111">
        <f t="shared" si="192"/>
        <v>0</v>
      </c>
      <c r="AN622" s="111">
        <f t="shared" si="185"/>
        <v>0</v>
      </c>
      <c r="AO622" s="204" t="str">
        <f t="shared" si="195"/>
        <v/>
      </c>
    </row>
    <row r="623" spans="1:41" x14ac:dyDescent="0.25">
      <c r="A623" s="103" t="str">
        <f>Start!D$7</f>
        <v>Anyland</v>
      </c>
      <c r="B623" s="109" t="str">
        <f>VLOOKUP(A623,list!B:C,2,FALSE)</f>
        <v>ANY</v>
      </c>
      <c r="C623" s="109" t="str">
        <f>IF(Start!$C$20="","",Start!$C$20)</f>
        <v>Pfizer</v>
      </c>
      <c r="D623" s="298">
        <f t="shared" si="186"/>
        <v>45444</v>
      </c>
      <c r="E623" s="105" t="str">
        <f>IFERROR(VLOOKUP(C623,Start!C$15:D$31,2,FALSE),"No")</f>
        <v>Yes</v>
      </c>
      <c r="F623" s="105">
        <f t="shared" si="187"/>
        <v>3000000</v>
      </c>
      <c r="G623" s="106"/>
      <c r="H623" s="106"/>
      <c r="I623" s="106"/>
      <c r="J623" s="105">
        <f t="shared" si="179"/>
        <v>0</v>
      </c>
      <c r="K623" s="106"/>
      <c r="L623" s="177" t="str">
        <f t="shared" si="180"/>
        <v/>
      </c>
      <c r="M623" s="105">
        <f t="shared" si="181"/>
        <v>0</v>
      </c>
      <c r="N623" s="110"/>
      <c r="O623" s="124"/>
      <c r="P623" s="110"/>
      <c r="Q623" s="124"/>
      <c r="R623" s="111">
        <f>SUMIFS('Shipments data'!L:L,'Shipments data'!F:F,'Supply planning data'!C623,'Shipments data'!A:A,'Supply planning data'!A623,'Shipments data'!Y:Y,'Supply planning data'!D623,'Shipments data'!O:O,"received", 'Shipments data'!N:N, "Public")</f>
        <v>0</v>
      </c>
      <c r="S623" s="111">
        <f>SUMIFS('Shipments data'!L:L,'Shipments data'!F:F,'Supply planning data'!C623,'Shipments data'!A:A,'Supply planning data'!A623,'Shipments data'!Y:Y,'Supply planning data'!D623,'Shipments data'!O:O,"ordered", 'Shipments data'!N:N, "Public")</f>
        <v>0</v>
      </c>
      <c r="T623" s="111">
        <f>IF(SUMIFS('Shipments data'!L:L,'Shipments data'!F:F,'Supply planning data'!C623,'Shipments data'!A:A,'Supply planning data'!A623,'Shipments data'!O:O,"received",'Shipments data'!Q:Q,"&lt;"&amp;'Supply planning data'!D638,'Shipments data'!AC:AC,"&lt;"&amp;'Supply planning data'!D638)-SUMIFS(M:M,D:D,"&lt;="&amp;D623,C:C,C623)+SUMIFS(N:N,D:D,"&lt;="&amp;D623,C:C,C623)+SUMIFS(P:P,D:D,"&lt;="&amp;D623,C:C,C623)&lt;0,0,SUMIFS('Shipments data'!L:L,'Shipments data'!F:F,'Supply planning data'!C623,'Shipments data'!A:A,'Supply planning data'!A623,'Shipments data'!O:O,"received",'Shipments data'!Q:Q,"&lt;"&amp;'Supply planning data'!D638,'Shipments data'!AC:AC,"&lt;"&amp;'Supply planning data'!D638)-SUMIFS(M:M,D:D,"&lt;="&amp;D623,C:C,C623)+SUMIFS(N:N,D:D,"&lt;="&amp;D623,C:C,C623)+SUMIFS(P:P,D:D,"&lt;="&amp;D623,C:C,C623))</f>
        <v>110538</v>
      </c>
      <c r="U623" s="112">
        <f t="shared" si="188"/>
        <v>0</v>
      </c>
      <c r="V623" s="111">
        <f t="shared" si="178"/>
        <v>3000000</v>
      </c>
      <c r="W623" s="204" t="str">
        <f t="shared" si="194"/>
        <v/>
      </c>
      <c r="X623" s="111">
        <f t="shared" si="189"/>
        <v>2440000</v>
      </c>
      <c r="Y623" s="110"/>
      <c r="Z623" s="107"/>
      <c r="AA623" s="111">
        <f t="shared" si="182"/>
        <v>0</v>
      </c>
      <c r="AB623" s="235"/>
      <c r="AC623" s="111">
        <f>IF(SUMIFS('Shipments data'!L:L,'Shipments data'!F:F,'Supply planning data'!C623,'Shipments data'!A:A,'Supply planning data'!A623,'Shipments data'!O:O,"received",'Shipments data'!Q:Q,"&lt;"&amp;'Supply planning data'!D638,'Shipments data'!AC:AC,"&lt;"&amp;'Supply planning data'!D638)-SUMIFS(M:M,D:D,"&lt;="&amp;D623,C:C,C623)-SUMIFS(AA:AA,D:D,"&lt;="&amp;D623,C:C,C623)+SUMIFS(N:N,D:D,"&lt;="&amp;D623,C:C,C623)+SUMIFS(P:P,D:D,"&lt;="&amp;D623,C:C,C623)&lt;0,0,SUMIFS('Shipments data'!L:L,'Shipments data'!F:F,'Supply planning data'!C623,'Shipments data'!A:A,'Supply planning data'!A623,'Shipments data'!O:O,"received",'Shipments data'!Q:Q,"&lt;"&amp;'Supply planning data'!D638,'Shipments data'!AC:AC,"&lt;"&amp;'Supply planning data'!D638)-SUMIFS(M:M,D:D,"&lt;="&amp;D623,C:C,C623)-SUMIFS(AA:AA,D:D,"&lt;="&amp;D623,C:C,C623)+SUMIFS(N:N,D:D,"&lt;="&amp;D623,C:C,C623)+SUMIFS(P:P,D:D,"&lt;="&amp;D623,C:C,C623))</f>
        <v>0</v>
      </c>
      <c r="AD623" s="111">
        <f t="shared" si="190"/>
        <v>0</v>
      </c>
      <c r="AE623" s="111">
        <f t="shared" si="184"/>
        <v>2440000</v>
      </c>
      <c r="AF623" s="204" t="str">
        <f t="shared" si="193"/>
        <v/>
      </c>
      <c r="AG623" s="111">
        <f t="shared" si="191"/>
        <v>3000000</v>
      </c>
      <c r="AH623" s="110"/>
      <c r="AI623" s="313"/>
      <c r="AJ623" s="111">
        <f t="shared" si="183"/>
        <v>0</v>
      </c>
      <c r="AK623" s="235"/>
      <c r="AL623" s="111">
        <f>IF(SUMIFS('Shipments data'!L:L,'Shipments data'!F:F,'Supply planning data'!C623,'Shipments data'!A:A,'Supply planning data'!A623,'Shipments data'!O:O,"received",'Shipments data'!Q:Q,"&lt;"&amp;'Supply planning data'!D638,'Shipments data'!AC:AC,"&lt;"&amp;'Supply planning data'!D638)-SUMIFS(M:M,D:D,"&lt;="&amp;D623,C:C,C623)-SUMIFS(AJ:AJ,D:D,"&lt;="&amp;D623,C:C,C623)+SUMIFS(N:N,D:D,"&lt;="&amp;D623,C:C,C623)+SUMIFS(P:P,D:D,"&lt;="&amp;D623,C:C,C623)&lt;0,0,SUMIFS('Shipments data'!L:L,'Shipments data'!F:F,'Supply planning data'!C623,'Shipments data'!A:A,'Supply planning data'!A623,'Shipments data'!O:O,"received",'Shipments data'!Q:Q,"&lt;"&amp;'Supply planning data'!D638,'Shipments data'!AC:AC,"&lt;"&amp;'Supply planning data'!D638)-SUMIFS(M:M,D:D,"&lt;="&amp;D623,C:C,C623)-SUMIFS(AJ:AJ,D:D,"&lt;="&amp;D623,C:C,C623)+SUMIFS(N:N,D:D,"&lt;="&amp;D623,C:C,C623)+SUMIFS(P:P,D:D,"&lt;="&amp;D623,C:C,C623))</f>
        <v>110538</v>
      </c>
      <c r="AM623" s="111">
        <f t="shared" si="192"/>
        <v>0</v>
      </c>
      <c r="AN623" s="111">
        <f t="shared" si="185"/>
        <v>3000000</v>
      </c>
      <c r="AO623" s="204" t="str">
        <f t="shared" si="195"/>
        <v/>
      </c>
    </row>
    <row r="624" spans="1:41" x14ac:dyDescent="0.25">
      <c r="A624" s="103" t="str">
        <f>Start!D$7</f>
        <v>Anyland</v>
      </c>
      <c r="B624" s="109" t="str">
        <f>VLOOKUP(A624,list!B:C,2,FALSE)</f>
        <v>ANY</v>
      </c>
      <c r="C624" s="104" t="str">
        <f>IF(Start!$C$21="","",Start!$C$21)</f>
        <v>Sinovac</v>
      </c>
      <c r="D624" s="298">
        <f t="shared" si="186"/>
        <v>45444</v>
      </c>
      <c r="E624" s="105" t="str">
        <f>IFERROR(VLOOKUP(C624,Start!C$15:D$31,2,FALSE),"No")</f>
        <v>No</v>
      </c>
      <c r="F624" s="105">
        <f t="shared" si="187"/>
        <v>0</v>
      </c>
      <c r="G624" s="106"/>
      <c r="H624" s="106"/>
      <c r="I624" s="106"/>
      <c r="J624" s="105">
        <f t="shared" si="179"/>
        <v>0</v>
      </c>
      <c r="K624" s="106"/>
      <c r="L624" s="177" t="str">
        <f t="shared" si="180"/>
        <v/>
      </c>
      <c r="M624" s="105">
        <f t="shared" si="181"/>
        <v>0</v>
      </c>
      <c r="N624" s="110"/>
      <c r="O624" s="124"/>
      <c r="P624" s="110"/>
      <c r="Q624" s="124"/>
      <c r="R624" s="111">
        <f>SUMIFS('Shipments data'!L:L,'Shipments data'!F:F,'Supply planning data'!C624,'Shipments data'!A:A,'Supply planning data'!A624,'Shipments data'!Y:Y,'Supply planning data'!D624,'Shipments data'!O:O,"received", 'Shipments data'!N:N, "Public")</f>
        <v>0</v>
      </c>
      <c r="S624" s="111">
        <f>SUMIFS('Shipments data'!L:L,'Shipments data'!F:F,'Supply planning data'!C624,'Shipments data'!A:A,'Supply planning data'!A624,'Shipments data'!Y:Y,'Supply planning data'!D624,'Shipments data'!O:O,"ordered", 'Shipments data'!N:N, "Public")</f>
        <v>0</v>
      </c>
      <c r="T624" s="111">
        <f>IF(SUMIFS('Shipments data'!L:L,'Shipments data'!F:F,'Supply planning data'!C624,'Shipments data'!A:A,'Supply planning data'!A624,'Shipments data'!O:O,"received",'Shipments data'!Q:Q,"&lt;"&amp;'Supply planning data'!D639,'Shipments data'!AC:AC,"&lt;"&amp;'Supply planning data'!D639)-SUMIFS(M:M,D:D,"&lt;="&amp;D624,C:C,C624)+SUMIFS(N:N,D:D,"&lt;="&amp;D624,C:C,C624)+SUMIFS(P:P,D:D,"&lt;="&amp;D624,C:C,C624)&lt;0,0,SUMIFS('Shipments data'!L:L,'Shipments data'!F:F,'Supply planning data'!C624,'Shipments data'!A:A,'Supply planning data'!A624,'Shipments data'!O:O,"received",'Shipments data'!Q:Q,"&lt;"&amp;'Supply planning data'!D639,'Shipments data'!AC:AC,"&lt;"&amp;'Supply planning data'!D639)-SUMIFS(M:M,D:D,"&lt;="&amp;D624,C:C,C624)+SUMIFS(N:N,D:D,"&lt;="&amp;D624,C:C,C624)+SUMIFS(P:P,D:D,"&lt;="&amp;D624,C:C,C624))</f>
        <v>0</v>
      </c>
      <c r="U624" s="112">
        <f t="shared" si="188"/>
        <v>0</v>
      </c>
      <c r="V624" s="111">
        <f t="shared" si="178"/>
        <v>0</v>
      </c>
      <c r="W624" s="204" t="str">
        <f t="shared" si="194"/>
        <v/>
      </c>
      <c r="X624" s="111">
        <f t="shared" si="189"/>
        <v>0</v>
      </c>
      <c r="Y624" s="110"/>
      <c r="Z624" s="107"/>
      <c r="AA624" s="111">
        <f t="shared" si="182"/>
        <v>0</v>
      </c>
      <c r="AB624" s="235"/>
      <c r="AC624" s="111">
        <f>IF(SUMIFS('Shipments data'!L:L,'Shipments data'!F:F,'Supply planning data'!C624,'Shipments data'!A:A,'Supply planning data'!A624,'Shipments data'!O:O,"received",'Shipments data'!Q:Q,"&lt;"&amp;'Supply planning data'!D639,'Shipments data'!AC:AC,"&lt;"&amp;'Supply planning data'!D639)-SUMIFS(M:M,D:D,"&lt;="&amp;D624,C:C,C624)-SUMIFS(AA:AA,D:D,"&lt;="&amp;D624,C:C,C624)+SUMIFS(N:N,D:D,"&lt;="&amp;D624,C:C,C624)+SUMIFS(P:P,D:D,"&lt;="&amp;D624,C:C,C624)&lt;0,0,SUMIFS('Shipments data'!L:L,'Shipments data'!F:F,'Supply planning data'!C624,'Shipments data'!A:A,'Supply planning data'!A624,'Shipments data'!O:O,"received",'Shipments data'!Q:Q,"&lt;"&amp;'Supply planning data'!D639,'Shipments data'!AC:AC,"&lt;"&amp;'Supply planning data'!D639)-SUMIFS(M:M,D:D,"&lt;="&amp;D624,C:C,C624)-SUMIFS(AA:AA,D:D,"&lt;="&amp;D624,C:C,C624)+SUMIFS(N:N,D:D,"&lt;="&amp;D624,C:C,C624)+SUMIFS(P:P,D:D,"&lt;="&amp;D624,C:C,C624))</f>
        <v>0</v>
      </c>
      <c r="AD624" s="111">
        <f t="shared" si="190"/>
        <v>0</v>
      </c>
      <c r="AE624" s="111">
        <f t="shared" si="184"/>
        <v>0</v>
      </c>
      <c r="AF624" s="204" t="str">
        <f t="shared" si="193"/>
        <v/>
      </c>
      <c r="AG624" s="111">
        <f t="shared" si="191"/>
        <v>0</v>
      </c>
      <c r="AH624" s="110"/>
      <c r="AI624" s="313"/>
      <c r="AJ624" s="111">
        <f t="shared" si="183"/>
        <v>0</v>
      </c>
      <c r="AK624" s="235"/>
      <c r="AL624" s="111">
        <f>IF(SUMIFS('Shipments data'!L:L,'Shipments data'!F:F,'Supply planning data'!C624,'Shipments data'!A:A,'Supply planning data'!A624,'Shipments data'!O:O,"received",'Shipments data'!Q:Q,"&lt;"&amp;'Supply planning data'!D639,'Shipments data'!AC:AC,"&lt;"&amp;'Supply planning data'!D639)-SUMIFS(M:M,D:D,"&lt;="&amp;D624,C:C,C624)-SUMIFS(AJ:AJ,D:D,"&lt;="&amp;D624,C:C,C624)+SUMIFS(N:N,D:D,"&lt;="&amp;D624,C:C,C624)+SUMIFS(P:P,D:D,"&lt;="&amp;D624,C:C,C624)&lt;0,0,SUMIFS('Shipments data'!L:L,'Shipments data'!F:F,'Supply planning data'!C624,'Shipments data'!A:A,'Supply planning data'!A624,'Shipments data'!O:O,"received",'Shipments data'!Q:Q,"&lt;"&amp;'Supply planning data'!D639,'Shipments data'!AC:AC,"&lt;"&amp;'Supply planning data'!D639)-SUMIFS(M:M,D:D,"&lt;="&amp;D624,C:C,C624)-SUMIFS(AJ:AJ,D:D,"&lt;="&amp;D624,C:C,C624)+SUMIFS(N:N,D:D,"&lt;="&amp;D624,C:C,C624)+SUMIFS(P:P,D:D,"&lt;="&amp;D624,C:C,C624))</f>
        <v>0</v>
      </c>
      <c r="AM624" s="111">
        <f t="shared" si="192"/>
        <v>0</v>
      </c>
      <c r="AN624" s="111">
        <f t="shared" si="185"/>
        <v>0</v>
      </c>
      <c r="AO624" s="204" t="str">
        <f t="shared" si="195"/>
        <v/>
      </c>
    </row>
    <row r="625" spans="1:41" hidden="1" x14ac:dyDescent="0.25">
      <c r="A625" s="103" t="str">
        <f>Start!D$7</f>
        <v>Anyland</v>
      </c>
      <c r="B625" s="109" t="str">
        <f>VLOOKUP(A625,list!B:C,2,FALSE)</f>
        <v>ANY</v>
      </c>
      <c r="C625" s="109" t="str">
        <f>IF(Start!$C$22="","",Start!$C$22)</f>
        <v/>
      </c>
      <c r="D625" s="298">
        <f t="shared" si="186"/>
        <v>45444</v>
      </c>
      <c r="E625" s="105" t="str">
        <f>IFERROR(VLOOKUP(C625,Start!C$15:D$31,2,FALSE),"No")</f>
        <v>No</v>
      </c>
      <c r="F625" s="105">
        <f t="shared" si="187"/>
        <v>0</v>
      </c>
      <c r="G625" s="106"/>
      <c r="H625" s="106"/>
      <c r="I625" s="106"/>
      <c r="J625" s="105">
        <f t="shared" si="179"/>
        <v>0</v>
      </c>
      <c r="K625" s="106"/>
      <c r="L625" s="177" t="str">
        <f t="shared" si="180"/>
        <v/>
      </c>
      <c r="M625" s="105">
        <f t="shared" si="181"/>
        <v>0</v>
      </c>
      <c r="N625" s="110"/>
      <c r="O625" s="124"/>
      <c r="P625" s="110"/>
      <c r="Q625" s="124"/>
      <c r="R625" s="111">
        <f>SUMIFS('Shipments data'!L:L,'Shipments data'!F:F,'Supply planning data'!C625,'Shipments data'!A:A,'Supply planning data'!A625,'Shipments data'!Y:Y,'Supply planning data'!D625,'Shipments data'!O:O,"received", 'Shipments data'!N:N, "Public")</f>
        <v>0</v>
      </c>
      <c r="S625" s="111">
        <f>SUMIFS('Shipments data'!L:L,'Shipments data'!F:F,'Supply planning data'!C625,'Shipments data'!A:A,'Supply planning data'!A625,'Shipments data'!Y:Y,'Supply planning data'!D625,'Shipments data'!O:O,"ordered", 'Shipments data'!N:N, "Public")</f>
        <v>0</v>
      </c>
      <c r="T625" s="111">
        <f>IF(SUMIFS('Shipments data'!L:L,'Shipments data'!F:F,'Supply planning data'!C625,'Shipments data'!A:A,'Supply planning data'!A625,'Shipments data'!O:O,"received",'Shipments data'!Q:Q,"&lt;"&amp;'Supply planning data'!D640,'Shipments data'!AC:AC,"&lt;"&amp;'Supply planning data'!D640)-SUMIFS(M:M,D:D,"&lt;="&amp;D625,C:C,C625)+SUMIFS(N:N,D:D,"&lt;="&amp;D625,C:C,C625)+SUMIFS(P:P,D:D,"&lt;="&amp;D625,C:C,C625)&lt;0,0,SUMIFS('Shipments data'!L:L,'Shipments data'!F:F,'Supply planning data'!C625,'Shipments data'!A:A,'Supply planning data'!A625,'Shipments data'!O:O,"received",'Shipments data'!Q:Q,"&lt;"&amp;'Supply planning data'!D640,'Shipments data'!AC:AC,"&lt;"&amp;'Supply planning data'!D640)-SUMIFS(M:M,D:D,"&lt;="&amp;D625,C:C,C625)+SUMIFS(N:N,D:D,"&lt;="&amp;D625,C:C,C625)+SUMIFS(P:P,D:D,"&lt;="&amp;D625,C:C,C625))</f>
        <v>0</v>
      </c>
      <c r="U625" s="112">
        <f t="shared" si="188"/>
        <v>0</v>
      </c>
      <c r="V625" s="111">
        <f t="shared" si="178"/>
        <v>0</v>
      </c>
      <c r="W625" s="204" t="str">
        <f t="shared" si="194"/>
        <v/>
      </c>
      <c r="X625" s="111">
        <f t="shared" si="189"/>
        <v>0</v>
      </c>
      <c r="Y625" s="110"/>
      <c r="Z625" s="107"/>
      <c r="AA625" s="111">
        <f t="shared" si="182"/>
        <v>0</v>
      </c>
      <c r="AB625" s="235"/>
      <c r="AC625" s="111">
        <f>IF(SUMIFS('Shipments data'!L:L,'Shipments data'!F:F,'Supply planning data'!C625,'Shipments data'!A:A,'Supply planning data'!A625,'Shipments data'!O:O,"received",'Shipments data'!Q:Q,"&lt;"&amp;'Supply planning data'!D640,'Shipments data'!AC:AC,"&lt;"&amp;'Supply planning data'!D640)-SUMIFS(M:M,D:D,"&lt;="&amp;D625,C:C,C625)-SUMIFS(AA:AA,D:D,"&lt;="&amp;D625,C:C,C625)+SUMIFS(N:N,D:D,"&lt;="&amp;D625,C:C,C625)+SUMIFS(P:P,D:D,"&lt;="&amp;D625,C:C,C625)&lt;0,0,SUMIFS('Shipments data'!L:L,'Shipments data'!F:F,'Supply planning data'!C625,'Shipments data'!A:A,'Supply planning data'!A625,'Shipments data'!O:O,"received",'Shipments data'!Q:Q,"&lt;"&amp;'Supply planning data'!D640,'Shipments data'!AC:AC,"&lt;"&amp;'Supply planning data'!D640)-SUMIFS(M:M,D:D,"&lt;="&amp;D625,C:C,C625)-SUMIFS(AA:AA,D:D,"&lt;="&amp;D625,C:C,C625)+SUMIFS(N:N,D:D,"&lt;="&amp;D625,C:C,C625)+SUMIFS(P:P,D:D,"&lt;="&amp;D625,C:C,C625))</f>
        <v>0</v>
      </c>
      <c r="AD625" s="111">
        <f t="shared" si="190"/>
        <v>0</v>
      </c>
      <c r="AE625" s="111">
        <f t="shared" si="184"/>
        <v>0</v>
      </c>
      <c r="AF625" s="204" t="str">
        <f t="shared" si="193"/>
        <v/>
      </c>
      <c r="AG625" s="111">
        <f t="shared" si="191"/>
        <v>0</v>
      </c>
      <c r="AH625" s="110"/>
      <c r="AI625" s="313"/>
      <c r="AJ625" s="111">
        <f t="shared" si="183"/>
        <v>0</v>
      </c>
      <c r="AK625" s="235"/>
      <c r="AL625" s="111">
        <f>IF(SUMIFS('Shipments data'!L:L,'Shipments data'!F:F,'Supply planning data'!C625,'Shipments data'!A:A,'Supply planning data'!A625,'Shipments data'!O:O,"received",'Shipments data'!Q:Q,"&lt;"&amp;'Supply planning data'!D640,'Shipments data'!AC:AC,"&lt;"&amp;'Supply planning data'!D640)-SUMIFS(M:M,D:D,"&lt;="&amp;D625,C:C,C625)-SUMIFS(AJ:AJ,D:D,"&lt;="&amp;D625,C:C,C625)+SUMIFS(N:N,D:D,"&lt;="&amp;D625,C:C,C625)+SUMIFS(P:P,D:D,"&lt;="&amp;D625,C:C,C625)&lt;0,0,SUMIFS('Shipments data'!L:L,'Shipments data'!F:F,'Supply planning data'!C625,'Shipments data'!A:A,'Supply planning data'!A625,'Shipments data'!O:O,"received",'Shipments data'!Q:Q,"&lt;"&amp;'Supply planning data'!D640,'Shipments data'!AC:AC,"&lt;"&amp;'Supply planning data'!D640)-SUMIFS(M:M,D:D,"&lt;="&amp;D625,C:C,C625)-SUMIFS(AJ:AJ,D:D,"&lt;="&amp;D625,C:C,C625)+SUMIFS(N:N,D:D,"&lt;="&amp;D625,C:C,C625)+SUMIFS(P:P,D:D,"&lt;="&amp;D625,C:C,C625))</f>
        <v>0</v>
      </c>
      <c r="AM625" s="111">
        <f t="shared" si="192"/>
        <v>0</v>
      </c>
      <c r="AN625" s="111">
        <f t="shared" si="185"/>
        <v>0</v>
      </c>
      <c r="AO625" s="204" t="str">
        <f t="shared" si="195"/>
        <v/>
      </c>
    </row>
    <row r="626" spans="1:41" hidden="1" x14ac:dyDescent="0.25">
      <c r="A626" s="103" t="str">
        <f>Start!D$7</f>
        <v>Anyland</v>
      </c>
      <c r="B626" s="109" t="str">
        <f>VLOOKUP(A626,list!B:C,2,FALSE)</f>
        <v>ANY</v>
      </c>
      <c r="C626" s="104" t="str">
        <f>IF(Start!$C$23="","",Start!$C$23)</f>
        <v/>
      </c>
      <c r="D626" s="298">
        <f t="shared" si="186"/>
        <v>45444</v>
      </c>
      <c r="E626" s="105" t="str">
        <f>IFERROR(VLOOKUP(C626,Start!C$15:D$31,2,FALSE),"No")</f>
        <v>No</v>
      </c>
      <c r="F626" s="105">
        <f t="shared" si="187"/>
        <v>0</v>
      </c>
      <c r="G626" s="106"/>
      <c r="H626" s="106"/>
      <c r="I626" s="106"/>
      <c r="J626" s="105">
        <f t="shared" si="179"/>
        <v>0</v>
      </c>
      <c r="K626" s="106"/>
      <c r="L626" s="177" t="str">
        <f t="shared" si="180"/>
        <v/>
      </c>
      <c r="M626" s="105">
        <f t="shared" si="181"/>
        <v>0</v>
      </c>
      <c r="N626" s="110"/>
      <c r="O626" s="124"/>
      <c r="P626" s="110"/>
      <c r="Q626" s="124"/>
      <c r="R626" s="111">
        <f>SUMIFS('Shipments data'!L:L,'Shipments data'!F:F,'Supply planning data'!C626,'Shipments data'!A:A,'Supply planning data'!A626,'Shipments data'!Y:Y,'Supply planning data'!D626,'Shipments data'!O:O,"received", 'Shipments data'!N:N, "Public")</f>
        <v>0</v>
      </c>
      <c r="S626" s="111">
        <f>SUMIFS('Shipments data'!L:L,'Shipments data'!F:F,'Supply planning data'!C626,'Shipments data'!A:A,'Supply planning data'!A626,'Shipments data'!Y:Y,'Supply planning data'!D626,'Shipments data'!O:O,"ordered", 'Shipments data'!N:N, "Public")</f>
        <v>0</v>
      </c>
      <c r="T626" s="111">
        <f>IF(SUMIFS('Shipments data'!L:L,'Shipments data'!F:F,'Supply planning data'!C626,'Shipments data'!A:A,'Supply planning data'!A626,'Shipments data'!O:O,"received",'Shipments data'!Q:Q,"&lt;"&amp;'Supply planning data'!D641,'Shipments data'!AC:AC,"&lt;"&amp;'Supply planning data'!D641)-SUMIFS(M:M,D:D,"&lt;="&amp;D626,C:C,C626)+SUMIFS(N:N,D:D,"&lt;="&amp;D626,C:C,C626)+SUMIFS(P:P,D:D,"&lt;="&amp;D626,C:C,C626)&lt;0,0,SUMIFS('Shipments data'!L:L,'Shipments data'!F:F,'Supply planning data'!C626,'Shipments data'!A:A,'Supply planning data'!A626,'Shipments data'!O:O,"received",'Shipments data'!Q:Q,"&lt;"&amp;'Supply planning data'!D641,'Shipments data'!AC:AC,"&lt;"&amp;'Supply planning data'!D641)-SUMIFS(M:M,D:D,"&lt;="&amp;D626,C:C,C626)+SUMIFS(N:N,D:D,"&lt;="&amp;D626,C:C,C626)+SUMIFS(P:P,D:D,"&lt;="&amp;D626,C:C,C626))</f>
        <v>0</v>
      </c>
      <c r="U626" s="112">
        <f t="shared" si="188"/>
        <v>0</v>
      </c>
      <c r="V626" s="111">
        <f t="shared" si="178"/>
        <v>0</v>
      </c>
      <c r="W626" s="204" t="str">
        <f t="shared" si="194"/>
        <v/>
      </c>
      <c r="X626" s="111">
        <f t="shared" si="189"/>
        <v>0</v>
      </c>
      <c r="Y626" s="110"/>
      <c r="Z626" s="107"/>
      <c r="AA626" s="111">
        <f t="shared" si="182"/>
        <v>0</v>
      </c>
      <c r="AB626" s="235"/>
      <c r="AC626" s="111">
        <f>IF(SUMIFS('Shipments data'!L:L,'Shipments data'!F:F,'Supply planning data'!C626,'Shipments data'!A:A,'Supply planning data'!A626,'Shipments data'!O:O,"received",'Shipments data'!Q:Q,"&lt;"&amp;'Supply planning data'!D641,'Shipments data'!AC:AC,"&lt;"&amp;'Supply planning data'!D641)-SUMIFS(M:M,D:D,"&lt;="&amp;D626,C:C,C626)-SUMIFS(AA:AA,D:D,"&lt;="&amp;D626,C:C,C626)+SUMIFS(N:N,D:D,"&lt;="&amp;D626,C:C,C626)+SUMIFS(P:P,D:D,"&lt;="&amp;D626,C:C,C626)&lt;0,0,SUMIFS('Shipments data'!L:L,'Shipments data'!F:F,'Supply planning data'!C626,'Shipments data'!A:A,'Supply planning data'!A626,'Shipments data'!O:O,"received",'Shipments data'!Q:Q,"&lt;"&amp;'Supply planning data'!D641,'Shipments data'!AC:AC,"&lt;"&amp;'Supply planning data'!D641)-SUMIFS(M:M,D:D,"&lt;="&amp;D626,C:C,C626)-SUMIFS(AA:AA,D:D,"&lt;="&amp;D626,C:C,C626)+SUMIFS(N:N,D:D,"&lt;="&amp;D626,C:C,C626)+SUMIFS(P:P,D:D,"&lt;="&amp;D626,C:C,C626))</f>
        <v>0</v>
      </c>
      <c r="AD626" s="111">
        <f t="shared" si="190"/>
        <v>0</v>
      </c>
      <c r="AE626" s="111">
        <f t="shared" si="184"/>
        <v>0</v>
      </c>
      <c r="AF626" s="204" t="str">
        <f t="shared" si="193"/>
        <v/>
      </c>
      <c r="AG626" s="111">
        <f t="shared" si="191"/>
        <v>0</v>
      </c>
      <c r="AH626" s="110"/>
      <c r="AI626" s="313"/>
      <c r="AJ626" s="111">
        <f t="shared" si="183"/>
        <v>0</v>
      </c>
      <c r="AK626" s="235"/>
      <c r="AL626" s="111">
        <f>IF(SUMIFS('Shipments data'!L:L,'Shipments data'!F:F,'Supply planning data'!C626,'Shipments data'!A:A,'Supply planning data'!A626,'Shipments data'!O:O,"received",'Shipments data'!Q:Q,"&lt;"&amp;'Supply planning data'!D641,'Shipments data'!AC:AC,"&lt;"&amp;'Supply planning data'!D641)-SUMIFS(M:M,D:D,"&lt;="&amp;D626,C:C,C626)-SUMIFS(AJ:AJ,D:D,"&lt;="&amp;D626,C:C,C626)+SUMIFS(N:N,D:D,"&lt;="&amp;D626,C:C,C626)+SUMIFS(P:P,D:D,"&lt;="&amp;D626,C:C,C626)&lt;0,0,SUMIFS('Shipments data'!L:L,'Shipments data'!F:F,'Supply planning data'!C626,'Shipments data'!A:A,'Supply planning data'!A626,'Shipments data'!O:O,"received",'Shipments data'!Q:Q,"&lt;"&amp;'Supply planning data'!D641,'Shipments data'!AC:AC,"&lt;"&amp;'Supply planning data'!D641)-SUMIFS(M:M,D:D,"&lt;="&amp;D626,C:C,C626)-SUMIFS(AJ:AJ,D:D,"&lt;="&amp;D626,C:C,C626)+SUMIFS(N:N,D:D,"&lt;="&amp;D626,C:C,C626)+SUMIFS(P:P,D:D,"&lt;="&amp;D626,C:C,C626))</f>
        <v>0</v>
      </c>
      <c r="AM626" s="111">
        <f t="shared" si="192"/>
        <v>0</v>
      </c>
      <c r="AN626" s="111">
        <f t="shared" si="185"/>
        <v>0</v>
      </c>
      <c r="AO626" s="204" t="str">
        <f t="shared" si="195"/>
        <v/>
      </c>
    </row>
    <row r="627" spans="1:41" hidden="1" x14ac:dyDescent="0.25">
      <c r="A627" s="103" t="str">
        <f>Start!D$7</f>
        <v>Anyland</v>
      </c>
      <c r="B627" s="109" t="str">
        <f>VLOOKUP(A627,list!B:C,2,FALSE)</f>
        <v>ANY</v>
      </c>
      <c r="C627" s="109" t="str">
        <f>IF(Start!$C$24="","",Start!$C$24)</f>
        <v/>
      </c>
      <c r="D627" s="298">
        <f t="shared" si="186"/>
        <v>45444</v>
      </c>
      <c r="E627" s="105" t="str">
        <f>IFERROR(VLOOKUP(C627,Start!C$15:D$31,2,FALSE),"No")</f>
        <v>No</v>
      </c>
      <c r="F627" s="105">
        <f t="shared" si="187"/>
        <v>0</v>
      </c>
      <c r="G627" s="106"/>
      <c r="H627" s="106"/>
      <c r="I627" s="106"/>
      <c r="J627" s="105">
        <f t="shared" si="179"/>
        <v>0</v>
      </c>
      <c r="K627" s="106"/>
      <c r="L627" s="177" t="str">
        <f t="shared" si="180"/>
        <v/>
      </c>
      <c r="M627" s="105">
        <f t="shared" si="181"/>
        <v>0</v>
      </c>
      <c r="N627" s="110"/>
      <c r="O627" s="124"/>
      <c r="P627" s="110"/>
      <c r="Q627" s="124"/>
      <c r="R627" s="111">
        <f>SUMIFS('Shipments data'!L:L,'Shipments data'!F:F,'Supply planning data'!C627,'Shipments data'!A:A,'Supply planning data'!A627,'Shipments data'!Y:Y,'Supply planning data'!D627,'Shipments data'!O:O,"received", 'Shipments data'!N:N, "Public")</f>
        <v>0</v>
      </c>
      <c r="S627" s="111">
        <f>SUMIFS('Shipments data'!L:L,'Shipments data'!F:F,'Supply planning data'!C627,'Shipments data'!A:A,'Supply planning data'!A627,'Shipments data'!Y:Y,'Supply planning data'!D627,'Shipments data'!O:O,"ordered", 'Shipments data'!N:N, "Public")</f>
        <v>0</v>
      </c>
      <c r="T627" s="111">
        <f>IF(SUMIFS('Shipments data'!L:L,'Shipments data'!F:F,'Supply planning data'!C627,'Shipments data'!A:A,'Supply planning data'!A627,'Shipments data'!O:O,"received",'Shipments data'!Q:Q,"&lt;"&amp;'Supply planning data'!D642,'Shipments data'!AC:AC,"&lt;"&amp;'Supply planning data'!D642)-SUMIFS(M:M,D:D,"&lt;="&amp;D627,C:C,C627)+SUMIFS(N:N,D:D,"&lt;="&amp;D627,C:C,C627)+SUMIFS(P:P,D:D,"&lt;="&amp;D627,C:C,C627)&lt;0,0,SUMIFS('Shipments data'!L:L,'Shipments data'!F:F,'Supply planning data'!C627,'Shipments data'!A:A,'Supply planning data'!A627,'Shipments data'!O:O,"received",'Shipments data'!Q:Q,"&lt;"&amp;'Supply planning data'!D642,'Shipments data'!AC:AC,"&lt;"&amp;'Supply planning data'!D642)-SUMIFS(M:M,D:D,"&lt;="&amp;D627,C:C,C627)+SUMIFS(N:N,D:D,"&lt;="&amp;D627,C:C,C627)+SUMIFS(P:P,D:D,"&lt;="&amp;D627,C:C,C627))</f>
        <v>0</v>
      </c>
      <c r="U627" s="112">
        <f t="shared" si="188"/>
        <v>0</v>
      </c>
      <c r="V627" s="111">
        <f t="shared" ref="V627:V690" si="196">IF(F627-M627+N627+P627+R627+S627-U627&lt;0,0,F627-M627+N627+P627+R627+S627-U627)</f>
        <v>0</v>
      </c>
      <c r="W627" s="204" t="str">
        <f t="shared" si="194"/>
        <v/>
      </c>
      <c r="X627" s="111">
        <f t="shared" si="189"/>
        <v>0</v>
      </c>
      <c r="Y627" s="110"/>
      <c r="Z627" s="107"/>
      <c r="AA627" s="111">
        <f t="shared" si="182"/>
        <v>0</v>
      </c>
      <c r="AB627" s="235"/>
      <c r="AC627" s="111">
        <f>IF(SUMIFS('Shipments data'!L:L,'Shipments data'!F:F,'Supply planning data'!C627,'Shipments data'!A:A,'Supply planning data'!A627,'Shipments data'!O:O,"received",'Shipments data'!Q:Q,"&lt;"&amp;'Supply planning data'!D642,'Shipments data'!AC:AC,"&lt;"&amp;'Supply planning data'!D642)-SUMIFS(M:M,D:D,"&lt;="&amp;D627,C:C,C627)-SUMIFS(AA:AA,D:D,"&lt;="&amp;D627,C:C,C627)+SUMIFS(N:N,D:D,"&lt;="&amp;D627,C:C,C627)+SUMIFS(P:P,D:D,"&lt;="&amp;D627,C:C,C627)&lt;0,0,SUMIFS('Shipments data'!L:L,'Shipments data'!F:F,'Supply planning data'!C627,'Shipments data'!A:A,'Supply planning data'!A627,'Shipments data'!O:O,"received",'Shipments data'!Q:Q,"&lt;"&amp;'Supply planning data'!D642,'Shipments data'!AC:AC,"&lt;"&amp;'Supply planning data'!D642)-SUMIFS(M:M,D:D,"&lt;="&amp;D627,C:C,C627)-SUMIFS(AA:AA,D:D,"&lt;="&amp;D627,C:C,C627)+SUMIFS(N:N,D:D,"&lt;="&amp;D627,C:C,C627)+SUMIFS(P:P,D:D,"&lt;="&amp;D627,C:C,C627))</f>
        <v>0</v>
      </c>
      <c r="AD627" s="111">
        <f t="shared" si="190"/>
        <v>0</v>
      </c>
      <c r="AE627" s="111">
        <f t="shared" si="184"/>
        <v>0</v>
      </c>
      <c r="AF627" s="204" t="str">
        <f t="shared" si="193"/>
        <v/>
      </c>
      <c r="AG627" s="111">
        <f t="shared" si="191"/>
        <v>0</v>
      </c>
      <c r="AH627" s="110"/>
      <c r="AI627" s="313"/>
      <c r="AJ627" s="111">
        <f t="shared" si="183"/>
        <v>0</v>
      </c>
      <c r="AK627" s="235"/>
      <c r="AL627" s="111">
        <f>IF(SUMIFS('Shipments data'!L:L,'Shipments data'!F:F,'Supply planning data'!C627,'Shipments data'!A:A,'Supply planning data'!A627,'Shipments data'!O:O,"received",'Shipments data'!Q:Q,"&lt;"&amp;'Supply planning data'!D642,'Shipments data'!AC:AC,"&lt;"&amp;'Supply planning data'!D642)-SUMIFS(M:M,D:D,"&lt;="&amp;D627,C:C,C627)-SUMIFS(AJ:AJ,D:D,"&lt;="&amp;D627,C:C,C627)+SUMIFS(N:N,D:D,"&lt;="&amp;D627,C:C,C627)+SUMIFS(P:P,D:D,"&lt;="&amp;D627,C:C,C627)&lt;0,0,SUMIFS('Shipments data'!L:L,'Shipments data'!F:F,'Supply planning data'!C627,'Shipments data'!A:A,'Supply planning data'!A627,'Shipments data'!O:O,"received",'Shipments data'!Q:Q,"&lt;"&amp;'Supply planning data'!D642,'Shipments data'!AC:AC,"&lt;"&amp;'Supply planning data'!D642)-SUMIFS(M:M,D:D,"&lt;="&amp;D627,C:C,C627)-SUMIFS(AJ:AJ,D:D,"&lt;="&amp;D627,C:C,C627)+SUMIFS(N:N,D:D,"&lt;="&amp;D627,C:C,C627)+SUMIFS(P:P,D:D,"&lt;="&amp;D627,C:C,C627))</f>
        <v>0</v>
      </c>
      <c r="AM627" s="111">
        <f t="shared" si="192"/>
        <v>0</v>
      </c>
      <c r="AN627" s="111">
        <f t="shared" si="185"/>
        <v>0</v>
      </c>
      <c r="AO627" s="204" t="str">
        <f t="shared" si="195"/>
        <v/>
      </c>
    </row>
    <row r="628" spans="1:41" hidden="1" x14ac:dyDescent="0.25">
      <c r="A628" s="103" t="str">
        <f>Start!D$7</f>
        <v>Anyland</v>
      </c>
      <c r="B628" s="109" t="str">
        <f>VLOOKUP(A628,list!B:C,2,FALSE)</f>
        <v>ANY</v>
      </c>
      <c r="C628" s="104" t="str">
        <f>IF(Start!$C$25="","",Start!$C$25)</f>
        <v/>
      </c>
      <c r="D628" s="298">
        <f t="shared" si="186"/>
        <v>45444</v>
      </c>
      <c r="E628" s="105" t="str">
        <f>IFERROR(VLOOKUP(C628,Start!C$15:D$31,2,FALSE),"No")</f>
        <v>No</v>
      </c>
      <c r="F628" s="105">
        <f t="shared" si="187"/>
        <v>0</v>
      </c>
      <c r="G628" s="106"/>
      <c r="H628" s="106"/>
      <c r="I628" s="106"/>
      <c r="J628" s="105">
        <f t="shared" si="179"/>
        <v>0</v>
      </c>
      <c r="K628" s="106"/>
      <c r="L628" s="177" t="str">
        <f t="shared" si="180"/>
        <v/>
      </c>
      <c r="M628" s="105">
        <f t="shared" si="181"/>
        <v>0</v>
      </c>
      <c r="N628" s="110"/>
      <c r="O628" s="124"/>
      <c r="P628" s="110"/>
      <c r="Q628" s="124"/>
      <c r="R628" s="111">
        <f>SUMIFS('Shipments data'!L:L,'Shipments data'!F:F,'Supply planning data'!C628,'Shipments data'!A:A,'Supply planning data'!A628,'Shipments data'!Y:Y,'Supply planning data'!D628,'Shipments data'!O:O,"received", 'Shipments data'!N:N, "Public")</f>
        <v>0</v>
      </c>
      <c r="S628" s="111">
        <f>SUMIFS('Shipments data'!L:L,'Shipments data'!F:F,'Supply planning data'!C628,'Shipments data'!A:A,'Supply planning data'!A628,'Shipments data'!Y:Y,'Supply planning data'!D628,'Shipments data'!O:O,"ordered", 'Shipments data'!N:N, "Public")</f>
        <v>0</v>
      </c>
      <c r="T628" s="111">
        <f>IF(SUMIFS('Shipments data'!L:L,'Shipments data'!F:F,'Supply planning data'!C628,'Shipments data'!A:A,'Supply planning data'!A628,'Shipments data'!O:O,"received",'Shipments data'!Q:Q,"&lt;"&amp;'Supply planning data'!D643,'Shipments data'!AC:AC,"&lt;"&amp;'Supply planning data'!D643)-SUMIFS(M:M,D:D,"&lt;="&amp;D628,C:C,C628)+SUMIFS(N:N,D:D,"&lt;="&amp;D628,C:C,C628)+SUMIFS(P:P,D:D,"&lt;="&amp;D628,C:C,C628)&lt;0,0,SUMIFS('Shipments data'!L:L,'Shipments data'!F:F,'Supply planning data'!C628,'Shipments data'!A:A,'Supply planning data'!A628,'Shipments data'!O:O,"received",'Shipments data'!Q:Q,"&lt;"&amp;'Supply planning data'!D643,'Shipments data'!AC:AC,"&lt;"&amp;'Supply planning data'!D643)-SUMIFS(M:M,D:D,"&lt;="&amp;D628,C:C,C628)+SUMIFS(N:N,D:D,"&lt;="&amp;D628,C:C,C628)+SUMIFS(P:P,D:D,"&lt;="&amp;D628,C:C,C628))</f>
        <v>0</v>
      </c>
      <c r="U628" s="112">
        <f t="shared" si="188"/>
        <v>0</v>
      </c>
      <c r="V628" s="111">
        <f t="shared" si="196"/>
        <v>0</v>
      </c>
      <c r="W628" s="204" t="str">
        <f t="shared" si="194"/>
        <v/>
      </c>
      <c r="X628" s="111">
        <f t="shared" si="189"/>
        <v>0</v>
      </c>
      <c r="Y628" s="110"/>
      <c r="Z628" s="107"/>
      <c r="AA628" s="111">
        <f t="shared" si="182"/>
        <v>0</v>
      </c>
      <c r="AB628" s="235"/>
      <c r="AC628" s="111">
        <f>IF(SUMIFS('Shipments data'!L:L,'Shipments data'!F:F,'Supply planning data'!C628,'Shipments data'!A:A,'Supply planning data'!A628,'Shipments data'!O:O,"received",'Shipments data'!Q:Q,"&lt;"&amp;'Supply planning data'!D643,'Shipments data'!AC:AC,"&lt;"&amp;'Supply planning data'!D643)-SUMIFS(M:M,D:D,"&lt;="&amp;D628,C:C,C628)-SUMIFS(AA:AA,D:D,"&lt;="&amp;D628,C:C,C628)+SUMIFS(N:N,D:D,"&lt;="&amp;D628,C:C,C628)+SUMIFS(P:P,D:D,"&lt;="&amp;D628,C:C,C628)&lt;0,0,SUMIFS('Shipments data'!L:L,'Shipments data'!F:F,'Supply planning data'!C628,'Shipments data'!A:A,'Supply planning data'!A628,'Shipments data'!O:O,"received",'Shipments data'!Q:Q,"&lt;"&amp;'Supply planning data'!D643,'Shipments data'!AC:AC,"&lt;"&amp;'Supply planning data'!D643)-SUMIFS(M:M,D:D,"&lt;="&amp;D628,C:C,C628)-SUMIFS(AA:AA,D:D,"&lt;="&amp;D628,C:C,C628)+SUMIFS(N:N,D:D,"&lt;="&amp;D628,C:C,C628)+SUMIFS(P:P,D:D,"&lt;="&amp;D628,C:C,C628))</f>
        <v>0</v>
      </c>
      <c r="AD628" s="111">
        <f t="shared" si="190"/>
        <v>0</v>
      </c>
      <c r="AE628" s="111">
        <f t="shared" si="184"/>
        <v>0</v>
      </c>
      <c r="AF628" s="204" t="str">
        <f t="shared" si="193"/>
        <v/>
      </c>
      <c r="AG628" s="111">
        <f t="shared" si="191"/>
        <v>0</v>
      </c>
      <c r="AH628" s="110"/>
      <c r="AI628" s="313"/>
      <c r="AJ628" s="111">
        <f t="shared" si="183"/>
        <v>0</v>
      </c>
      <c r="AK628" s="235"/>
      <c r="AL628" s="111">
        <f>IF(SUMIFS('Shipments data'!L:L,'Shipments data'!F:F,'Supply planning data'!C628,'Shipments data'!A:A,'Supply planning data'!A628,'Shipments data'!O:O,"received",'Shipments data'!Q:Q,"&lt;"&amp;'Supply planning data'!D643,'Shipments data'!AC:AC,"&lt;"&amp;'Supply planning data'!D643)-SUMIFS(M:M,D:D,"&lt;="&amp;D628,C:C,C628)-SUMIFS(AJ:AJ,D:D,"&lt;="&amp;D628,C:C,C628)+SUMIFS(N:N,D:D,"&lt;="&amp;D628,C:C,C628)+SUMIFS(P:P,D:D,"&lt;="&amp;D628,C:C,C628)&lt;0,0,SUMIFS('Shipments data'!L:L,'Shipments data'!F:F,'Supply planning data'!C628,'Shipments data'!A:A,'Supply planning data'!A628,'Shipments data'!O:O,"received",'Shipments data'!Q:Q,"&lt;"&amp;'Supply planning data'!D643,'Shipments data'!AC:AC,"&lt;"&amp;'Supply planning data'!D643)-SUMIFS(M:M,D:D,"&lt;="&amp;D628,C:C,C628)-SUMIFS(AJ:AJ,D:D,"&lt;="&amp;D628,C:C,C628)+SUMIFS(N:N,D:D,"&lt;="&amp;D628,C:C,C628)+SUMIFS(P:P,D:D,"&lt;="&amp;D628,C:C,C628))</f>
        <v>0</v>
      </c>
      <c r="AM628" s="111">
        <f t="shared" si="192"/>
        <v>0</v>
      </c>
      <c r="AN628" s="111">
        <f t="shared" si="185"/>
        <v>0</v>
      </c>
      <c r="AO628" s="204" t="str">
        <f t="shared" si="195"/>
        <v/>
      </c>
    </row>
    <row r="629" spans="1:41" hidden="1" x14ac:dyDescent="0.25">
      <c r="A629" s="103" t="str">
        <f>Start!D$7</f>
        <v>Anyland</v>
      </c>
      <c r="B629" s="109" t="str">
        <f>VLOOKUP(A629,list!B:C,2,FALSE)</f>
        <v>ANY</v>
      </c>
      <c r="C629" s="109" t="str">
        <f>IF(Start!$C$26="","",Start!$C$26)</f>
        <v/>
      </c>
      <c r="D629" s="298">
        <f t="shared" si="186"/>
        <v>45444</v>
      </c>
      <c r="E629" s="105" t="str">
        <f>IFERROR(VLOOKUP(C629,Start!C$15:D$31,2,FALSE),"No")</f>
        <v>No</v>
      </c>
      <c r="F629" s="105">
        <f t="shared" si="187"/>
        <v>0</v>
      </c>
      <c r="G629" s="106"/>
      <c r="H629" s="106"/>
      <c r="I629" s="106"/>
      <c r="J629" s="105">
        <f t="shared" si="179"/>
        <v>0</v>
      </c>
      <c r="K629" s="106"/>
      <c r="L629" s="177" t="str">
        <f t="shared" si="180"/>
        <v/>
      </c>
      <c r="M629" s="105">
        <f t="shared" si="181"/>
        <v>0</v>
      </c>
      <c r="N629" s="110"/>
      <c r="O629" s="124"/>
      <c r="P629" s="110"/>
      <c r="Q629" s="124"/>
      <c r="R629" s="111">
        <f>SUMIFS('Shipments data'!L:L,'Shipments data'!F:F,'Supply planning data'!C629,'Shipments data'!A:A,'Supply planning data'!A629,'Shipments data'!Y:Y,'Supply planning data'!D629,'Shipments data'!O:O,"received", 'Shipments data'!N:N, "Public")</f>
        <v>0</v>
      </c>
      <c r="S629" s="111">
        <f>SUMIFS('Shipments data'!L:L,'Shipments data'!F:F,'Supply planning data'!C629,'Shipments data'!A:A,'Supply planning data'!A629,'Shipments data'!Y:Y,'Supply planning data'!D629,'Shipments data'!O:O,"ordered", 'Shipments data'!N:N, "Public")</f>
        <v>0</v>
      </c>
      <c r="T629" s="111">
        <f>IF(SUMIFS('Shipments data'!L:L,'Shipments data'!F:F,'Supply planning data'!C629,'Shipments data'!A:A,'Supply planning data'!A629,'Shipments data'!O:O,"received",'Shipments data'!Q:Q,"&lt;"&amp;'Supply planning data'!D644,'Shipments data'!AC:AC,"&lt;"&amp;'Supply planning data'!D644)-SUMIFS(M:M,D:D,"&lt;="&amp;D629,C:C,C629)+SUMIFS(N:N,D:D,"&lt;="&amp;D629,C:C,C629)+SUMIFS(P:P,D:D,"&lt;="&amp;D629,C:C,C629)&lt;0,0,SUMIFS('Shipments data'!L:L,'Shipments data'!F:F,'Supply planning data'!C629,'Shipments data'!A:A,'Supply planning data'!A629,'Shipments data'!O:O,"received",'Shipments data'!Q:Q,"&lt;"&amp;'Supply planning data'!D644,'Shipments data'!AC:AC,"&lt;"&amp;'Supply planning data'!D644)-SUMIFS(M:M,D:D,"&lt;="&amp;D629,C:C,C629)+SUMIFS(N:N,D:D,"&lt;="&amp;D629,C:C,C629)+SUMIFS(P:P,D:D,"&lt;="&amp;D629,C:C,C629))</f>
        <v>0</v>
      </c>
      <c r="U629" s="112">
        <f t="shared" si="188"/>
        <v>0</v>
      </c>
      <c r="V629" s="111">
        <f t="shared" si="196"/>
        <v>0</v>
      </c>
      <c r="W629" s="204" t="str">
        <f t="shared" si="194"/>
        <v/>
      </c>
      <c r="X629" s="111">
        <f t="shared" si="189"/>
        <v>0</v>
      </c>
      <c r="Y629" s="110"/>
      <c r="Z629" s="107"/>
      <c r="AA629" s="111">
        <f t="shared" si="182"/>
        <v>0</v>
      </c>
      <c r="AB629" s="235"/>
      <c r="AC629" s="111">
        <f>IF(SUMIFS('Shipments data'!L:L,'Shipments data'!F:F,'Supply planning data'!C629,'Shipments data'!A:A,'Supply planning data'!A629,'Shipments data'!O:O,"received",'Shipments data'!Q:Q,"&lt;"&amp;'Supply planning data'!D644,'Shipments data'!AC:AC,"&lt;"&amp;'Supply planning data'!D644)-SUMIFS(M:M,D:D,"&lt;="&amp;D629,C:C,C629)-SUMIFS(AA:AA,D:D,"&lt;="&amp;D629,C:C,C629)+SUMIFS(N:N,D:D,"&lt;="&amp;D629,C:C,C629)+SUMIFS(P:P,D:D,"&lt;="&amp;D629,C:C,C629)&lt;0,0,SUMIFS('Shipments data'!L:L,'Shipments data'!F:F,'Supply planning data'!C629,'Shipments data'!A:A,'Supply planning data'!A629,'Shipments data'!O:O,"received",'Shipments data'!Q:Q,"&lt;"&amp;'Supply planning data'!D644,'Shipments data'!AC:AC,"&lt;"&amp;'Supply planning data'!D644)-SUMIFS(M:M,D:D,"&lt;="&amp;D629,C:C,C629)-SUMIFS(AA:AA,D:D,"&lt;="&amp;D629,C:C,C629)+SUMIFS(N:N,D:D,"&lt;="&amp;D629,C:C,C629)+SUMIFS(P:P,D:D,"&lt;="&amp;D629,C:C,C629))</f>
        <v>0</v>
      </c>
      <c r="AD629" s="111">
        <f t="shared" si="190"/>
        <v>0</v>
      </c>
      <c r="AE629" s="111">
        <f t="shared" si="184"/>
        <v>0</v>
      </c>
      <c r="AF629" s="204" t="str">
        <f t="shared" si="193"/>
        <v/>
      </c>
      <c r="AG629" s="111">
        <f t="shared" si="191"/>
        <v>0</v>
      </c>
      <c r="AH629" s="110"/>
      <c r="AI629" s="313"/>
      <c r="AJ629" s="111">
        <f t="shared" si="183"/>
        <v>0</v>
      </c>
      <c r="AK629" s="235"/>
      <c r="AL629" s="111">
        <f>IF(SUMIFS('Shipments data'!L:L,'Shipments data'!F:F,'Supply planning data'!C629,'Shipments data'!A:A,'Supply planning data'!A629,'Shipments data'!O:O,"received",'Shipments data'!Q:Q,"&lt;"&amp;'Supply planning data'!D644,'Shipments data'!AC:AC,"&lt;"&amp;'Supply planning data'!D644)-SUMIFS(M:M,D:D,"&lt;="&amp;D629,C:C,C629)-SUMIFS(AJ:AJ,D:D,"&lt;="&amp;D629,C:C,C629)+SUMIFS(N:N,D:D,"&lt;="&amp;D629,C:C,C629)+SUMIFS(P:P,D:D,"&lt;="&amp;D629,C:C,C629)&lt;0,0,SUMIFS('Shipments data'!L:L,'Shipments data'!F:F,'Supply planning data'!C629,'Shipments data'!A:A,'Supply planning data'!A629,'Shipments data'!O:O,"received",'Shipments data'!Q:Q,"&lt;"&amp;'Supply planning data'!D644,'Shipments data'!AC:AC,"&lt;"&amp;'Supply planning data'!D644)-SUMIFS(M:M,D:D,"&lt;="&amp;D629,C:C,C629)-SUMIFS(AJ:AJ,D:D,"&lt;="&amp;D629,C:C,C629)+SUMIFS(N:N,D:D,"&lt;="&amp;D629,C:C,C629)+SUMIFS(P:P,D:D,"&lt;="&amp;D629,C:C,C629))</f>
        <v>0</v>
      </c>
      <c r="AM629" s="111">
        <f t="shared" si="192"/>
        <v>0</v>
      </c>
      <c r="AN629" s="111">
        <f t="shared" si="185"/>
        <v>0</v>
      </c>
      <c r="AO629" s="204" t="str">
        <f t="shared" si="195"/>
        <v/>
      </c>
    </row>
    <row r="630" spans="1:41" hidden="1" x14ac:dyDescent="0.25">
      <c r="A630" s="103" t="str">
        <f>Start!D$7</f>
        <v>Anyland</v>
      </c>
      <c r="B630" s="109" t="str">
        <f>VLOOKUP(A630,list!B:C,2,FALSE)</f>
        <v>ANY</v>
      </c>
      <c r="C630" s="104" t="str">
        <f>IF(Start!$C$27="","",Start!$C$27)</f>
        <v/>
      </c>
      <c r="D630" s="298">
        <f t="shared" si="186"/>
        <v>45444</v>
      </c>
      <c r="E630" s="105" t="str">
        <f>IFERROR(VLOOKUP(C630,Start!C$15:D$31,2,FALSE),"No")</f>
        <v>No</v>
      </c>
      <c r="F630" s="105">
        <f t="shared" si="187"/>
        <v>0</v>
      </c>
      <c r="G630" s="106"/>
      <c r="H630" s="106"/>
      <c r="I630" s="106"/>
      <c r="J630" s="105">
        <f t="shared" si="179"/>
        <v>0</v>
      </c>
      <c r="K630" s="106"/>
      <c r="L630" s="177" t="str">
        <f t="shared" si="180"/>
        <v/>
      </c>
      <c r="M630" s="105">
        <f t="shared" si="181"/>
        <v>0</v>
      </c>
      <c r="N630" s="110"/>
      <c r="O630" s="124"/>
      <c r="P630" s="110"/>
      <c r="Q630" s="124"/>
      <c r="R630" s="111">
        <f>SUMIFS('Shipments data'!L:L,'Shipments data'!F:F,'Supply planning data'!C630,'Shipments data'!A:A,'Supply planning data'!A630,'Shipments data'!Y:Y,'Supply planning data'!D630,'Shipments data'!O:O,"received", 'Shipments data'!N:N, "Public")</f>
        <v>0</v>
      </c>
      <c r="S630" s="111">
        <f>SUMIFS('Shipments data'!L:L,'Shipments data'!F:F,'Supply planning data'!C630,'Shipments data'!A:A,'Supply planning data'!A630,'Shipments data'!Y:Y,'Supply planning data'!D630,'Shipments data'!O:O,"ordered", 'Shipments data'!N:N, "Public")</f>
        <v>0</v>
      </c>
      <c r="T630" s="111">
        <f>IF(SUMIFS('Shipments data'!L:L,'Shipments data'!F:F,'Supply planning data'!C630,'Shipments data'!A:A,'Supply planning data'!A630,'Shipments data'!O:O,"received",'Shipments data'!Q:Q,"&lt;"&amp;'Supply planning data'!D645,'Shipments data'!AC:AC,"&lt;"&amp;'Supply planning data'!D645)-SUMIFS(M:M,D:D,"&lt;="&amp;D630,C:C,C630)+SUMIFS(N:N,D:D,"&lt;="&amp;D630,C:C,C630)+SUMIFS(P:P,D:D,"&lt;="&amp;D630,C:C,C630)&lt;0,0,SUMIFS('Shipments data'!L:L,'Shipments data'!F:F,'Supply planning data'!C630,'Shipments data'!A:A,'Supply planning data'!A630,'Shipments data'!O:O,"received",'Shipments data'!Q:Q,"&lt;"&amp;'Supply planning data'!D645,'Shipments data'!AC:AC,"&lt;"&amp;'Supply planning data'!D645)-SUMIFS(M:M,D:D,"&lt;="&amp;D630,C:C,C630)+SUMIFS(N:N,D:D,"&lt;="&amp;D630,C:C,C630)+SUMIFS(P:P,D:D,"&lt;="&amp;D630,C:C,C630))</f>
        <v>0</v>
      </c>
      <c r="U630" s="112">
        <f t="shared" si="188"/>
        <v>0</v>
      </c>
      <c r="V630" s="111">
        <f t="shared" si="196"/>
        <v>0</v>
      </c>
      <c r="W630" s="204" t="str">
        <f t="shared" si="194"/>
        <v/>
      </c>
      <c r="X630" s="111">
        <f t="shared" si="189"/>
        <v>0</v>
      </c>
      <c r="Y630" s="110"/>
      <c r="Z630" s="107"/>
      <c r="AA630" s="111">
        <f t="shared" si="182"/>
        <v>0</v>
      </c>
      <c r="AB630" s="235"/>
      <c r="AC630" s="111">
        <f>IF(SUMIFS('Shipments data'!L:L,'Shipments data'!F:F,'Supply planning data'!C630,'Shipments data'!A:A,'Supply planning data'!A630,'Shipments data'!O:O,"received",'Shipments data'!Q:Q,"&lt;"&amp;'Supply planning data'!D645,'Shipments data'!AC:AC,"&lt;"&amp;'Supply planning data'!D645)-SUMIFS(M:M,D:D,"&lt;="&amp;D630,C:C,C630)-SUMIFS(AA:AA,D:D,"&lt;="&amp;D630,C:C,C630)+SUMIFS(N:N,D:D,"&lt;="&amp;D630,C:C,C630)+SUMIFS(P:P,D:D,"&lt;="&amp;D630,C:C,C630)&lt;0,0,SUMIFS('Shipments data'!L:L,'Shipments data'!F:F,'Supply planning data'!C630,'Shipments data'!A:A,'Supply planning data'!A630,'Shipments data'!O:O,"received",'Shipments data'!Q:Q,"&lt;"&amp;'Supply planning data'!D645,'Shipments data'!AC:AC,"&lt;"&amp;'Supply planning data'!D645)-SUMIFS(M:M,D:D,"&lt;="&amp;D630,C:C,C630)-SUMIFS(AA:AA,D:D,"&lt;="&amp;D630,C:C,C630)+SUMIFS(N:N,D:D,"&lt;="&amp;D630,C:C,C630)+SUMIFS(P:P,D:D,"&lt;="&amp;D630,C:C,C630))</f>
        <v>0</v>
      </c>
      <c r="AD630" s="111">
        <f t="shared" si="190"/>
        <v>0</v>
      </c>
      <c r="AE630" s="111">
        <f t="shared" si="184"/>
        <v>0</v>
      </c>
      <c r="AF630" s="204" t="str">
        <f t="shared" si="193"/>
        <v/>
      </c>
      <c r="AG630" s="111">
        <f t="shared" si="191"/>
        <v>0</v>
      </c>
      <c r="AH630" s="110"/>
      <c r="AI630" s="313"/>
      <c r="AJ630" s="111">
        <f t="shared" si="183"/>
        <v>0</v>
      </c>
      <c r="AK630" s="235"/>
      <c r="AL630" s="111">
        <f>IF(SUMIFS('Shipments data'!L:L,'Shipments data'!F:F,'Supply planning data'!C630,'Shipments data'!A:A,'Supply planning data'!A630,'Shipments data'!O:O,"received",'Shipments data'!Q:Q,"&lt;"&amp;'Supply planning data'!D645,'Shipments data'!AC:AC,"&lt;"&amp;'Supply planning data'!D645)-SUMIFS(M:M,D:D,"&lt;="&amp;D630,C:C,C630)-SUMIFS(AJ:AJ,D:D,"&lt;="&amp;D630,C:C,C630)+SUMIFS(N:N,D:D,"&lt;="&amp;D630,C:C,C630)+SUMIFS(P:P,D:D,"&lt;="&amp;D630,C:C,C630)&lt;0,0,SUMIFS('Shipments data'!L:L,'Shipments data'!F:F,'Supply planning data'!C630,'Shipments data'!A:A,'Supply planning data'!A630,'Shipments data'!O:O,"received",'Shipments data'!Q:Q,"&lt;"&amp;'Supply planning data'!D645,'Shipments data'!AC:AC,"&lt;"&amp;'Supply planning data'!D645)-SUMIFS(M:M,D:D,"&lt;="&amp;D630,C:C,C630)-SUMIFS(AJ:AJ,D:D,"&lt;="&amp;D630,C:C,C630)+SUMIFS(N:N,D:D,"&lt;="&amp;D630,C:C,C630)+SUMIFS(P:P,D:D,"&lt;="&amp;D630,C:C,C630))</f>
        <v>0</v>
      </c>
      <c r="AM630" s="111">
        <f t="shared" si="192"/>
        <v>0</v>
      </c>
      <c r="AN630" s="111">
        <f t="shared" si="185"/>
        <v>0</v>
      </c>
      <c r="AO630" s="204" t="str">
        <f t="shared" si="195"/>
        <v/>
      </c>
    </row>
    <row r="631" spans="1:41" hidden="1" x14ac:dyDescent="0.25">
      <c r="A631" s="103" t="str">
        <f>Start!D$7</f>
        <v>Anyland</v>
      </c>
      <c r="B631" s="109" t="str">
        <f>VLOOKUP(A631,list!B:C,2,FALSE)</f>
        <v>ANY</v>
      </c>
      <c r="C631" s="109" t="str">
        <f>IF(Start!$C$28="","",Start!$C$28)</f>
        <v/>
      </c>
      <c r="D631" s="298">
        <f t="shared" si="186"/>
        <v>45444</v>
      </c>
      <c r="E631" s="105" t="str">
        <f>IFERROR(VLOOKUP(C631,Start!C$15:D$31,2,FALSE),"No")</f>
        <v>No</v>
      </c>
      <c r="F631" s="105">
        <f t="shared" si="187"/>
        <v>0</v>
      </c>
      <c r="G631" s="106"/>
      <c r="H631" s="106"/>
      <c r="I631" s="106"/>
      <c r="J631" s="105">
        <f t="shared" si="179"/>
        <v>0</v>
      </c>
      <c r="K631" s="106"/>
      <c r="L631" s="177" t="str">
        <f t="shared" si="180"/>
        <v/>
      </c>
      <c r="M631" s="105">
        <f t="shared" si="181"/>
        <v>0</v>
      </c>
      <c r="N631" s="110"/>
      <c r="O631" s="124"/>
      <c r="P631" s="110"/>
      <c r="Q631" s="124"/>
      <c r="R631" s="111">
        <f>SUMIFS('Shipments data'!L:L,'Shipments data'!F:F,'Supply planning data'!C631,'Shipments data'!A:A,'Supply planning data'!A631,'Shipments data'!Y:Y,'Supply planning data'!D631,'Shipments data'!O:O,"received", 'Shipments data'!N:N, "Public")</f>
        <v>0</v>
      </c>
      <c r="S631" s="111">
        <f>SUMIFS('Shipments data'!L:L,'Shipments data'!F:F,'Supply planning data'!C631,'Shipments data'!A:A,'Supply planning data'!A631,'Shipments data'!Y:Y,'Supply planning data'!D631,'Shipments data'!O:O,"ordered", 'Shipments data'!N:N, "Public")</f>
        <v>0</v>
      </c>
      <c r="T631" s="111">
        <f>IF(SUMIFS('Shipments data'!L:L,'Shipments data'!F:F,'Supply planning data'!C631,'Shipments data'!A:A,'Supply planning data'!A631,'Shipments data'!O:O,"received",'Shipments data'!Q:Q,"&lt;"&amp;'Supply planning data'!D646,'Shipments data'!AC:AC,"&lt;"&amp;'Supply planning data'!D646)-SUMIFS(M:M,D:D,"&lt;="&amp;D631,C:C,C631)+SUMIFS(N:N,D:D,"&lt;="&amp;D631,C:C,C631)+SUMIFS(P:P,D:D,"&lt;="&amp;D631,C:C,C631)&lt;0,0,SUMIFS('Shipments data'!L:L,'Shipments data'!F:F,'Supply planning data'!C631,'Shipments data'!A:A,'Supply planning data'!A631,'Shipments data'!O:O,"received",'Shipments data'!Q:Q,"&lt;"&amp;'Supply planning data'!D646,'Shipments data'!AC:AC,"&lt;"&amp;'Supply planning data'!D646)-SUMIFS(M:M,D:D,"&lt;="&amp;D631,C:C,C631)+SUMIFS(N:N,D:D,"&lt;="&amp;D631,C:C,C631)+SUMIFS(P:P,D:D,"&lt;="&amp;D631,C:C,C631))</f>
        <v>0</v>
      </c>
      <c r="U631" s="112">
        <f t="shared" si="188"/>
        <v>0</v>
      </c>
      <c r="V631" s="111">
        <f t="shared" si="196"/>
        <v>0</v>
      </c>
      <c r="W631" s="204" t="str">
        <f t="shared" si="194"/>
        <v/>
      </c>
      <c r="X631" s="111">
        <f t="shared" si="189"/>
        <v>0</v>
      </c>
      <c r="Y631" s="110"/>
      <c r="Z631" s="107"/>
      <c r="AA631" s="111">
        <f t="shared" si="182"/>
        <v>0</v>
      </c>
      <c r="AB631" s="235"/>
      <c r="AC631" s="111">
        <f>IF(SUMIFS('Shipments data'!L:L,'Shipments data'!F:F,'Supply planning data'!C631,'Shipments data'!A:A,'Supply planning data'!A631,'Shipments data'!O:O,"received",'Shipments data'!Q:Q,"&lt;"&amp;'Supply planning data'!D646,'Shipments data'!AC:AC,"&lt;"&amp;'Supply planning data'!D646)-SUMIFS(M:M,D:D,"&lt;="&amp;D631,C:C,C631)-SUMIFS(AA:AA,D:D,"&lt;="&amp;D631,C:C,C631)+SUMIFS(N:N,D:D,"&lt;="&amp;D631,C:C,C631)+SUMIFS(P:P,D:D,"&lt;="&amp;D631,C:C,C631)&lt;0,0,SUMIFS('Shipments data'!L:L,'Shipments data'!F:F,'Supply planning data'!C631,'Shipments data'!A:A,'Supply planning data'!A631,'Shipments data'!O:O,"received",'Shipments data'!Q:Q,"&lt;"&amp;'Supply planning data'!D646,'Shipments data'!AC:AC,"&lt;"&amp;'Supply planning data'!D646)-SUMIFS(M:M,D:D,"&lt;="&amp;D631,C:C,C631)-SUMIFS(AA:AA,D:D,"&lt;="&amp;D631,C:C,C631)+SUMIFS(N:N,D:D,"&lt;="&amp;D631,C:C,C631)+SUMIFS(P:P,D:D,"&lt;="&amp;D631,C:C,C631))</f>
        <v>0</v>
      </c>
      <c r="AD631" s="111">
        <f t="shared" si="190"/>
        <v>0</v>
      </c>
      <c r="AE631" s="111">
        <f t="shared" si="184"/>
        <v>0</v>
      </c>
      <c r="AF631" s="204" t="str">
        <f t="shared" si="193"/>
        <v/>
      </c>
      <c r="AG631" s="111">
        <f t="shared" si="191"/>
        <v>0</v>
      </c>
      <c r="AH631" s="110"/>
      <c r="AI631" s="313"/>
      <c r="AJ631" s="111">
        <f t="shared" si="183"/>
        <v>0</v>
      </c>
      <c r="AK631" s="235"/>
      <c r="AL631" s="111">
        <f>IF(SUMIFS('Shipments data'!L:L,'Shipments data'!F:F,'Supply planning data'!C631,'Shipments data'!A:A,'Supply planning data'!A631,'Shipments data'!O:O,"received",'Shipments data'!Q:Q,"&lt;"&amp;'Supply planning data'!D646,'Shipments data'!AC:AC,"&lt;"&amp;'Supply planning data'!D646)-SUMIFS(M:M,D:D,"&lt;="&amp;D631,C:C,C631)-SUMIFS(AJ:AJ,D:D,"&lt;="&amp;D631,C:C,C631)+SUMIFS(N:N,D:D,"&lt;="&amp;D631,C:C,C631)+SUMIFS(P:P,D:D,"&lt;="&amp;D631,C:C,C631)&lt;0,0,SUMIFS('Shipments data'!L:L,'Shipments data'!F:F,'Supply planning data'!C631,'Shipments data'!A:A,'Supply planning data'!A631,'Shipments data'!O:O,"received",'Shipments data'!Q:Q,"&lt;"&amp;'Supply planning data'!D646,'Shipments data'!AC:AC,"&lt;"&amp;'Supply planning data'!D646)-SUMIFS(M:M,D:D,"&lt;="&amp;D631,C:C,C631)-SUMIFS(AJ:AJ,D:D,"&lt;="&amp;D631,C:C,C631)+SUMIFS(N:N,D:D,"&lt;="&amp;D631,C:C,C631)+SUMIFS(P:P,D:D,"&lt;="&amp;D631,C:C,C631))</f>
        <v>0</v>
      </c>
      <c r="AM631" s="111">
        <f t="shared" si="192"/>
        <v>0</v>
      </c>
      <c r="AN631" s="111">
        <f t="shared" si="185"/>
        <v>0</v>
      </c>
      <c r="AO631" s="204" t="str">
        <f t="shared" si="195"/>
        <v/>
      </c>
    </row>
    <row r="632" spans="1:41" hidden="1" x14ac:dyDescent="0.25">
      <c r="A632" s="103" t="str">
        <f>Start!D$7</f>
        <v>Anyland</v>
      </c>
      <c r="B632" s="109" t="str">
        <f>VLOOKUP(A632,list!B:C,2,FALSE)</f>
        <v>ANY</v>
      </c>
      <c r="C632" s="104" t="str">
        <f>IF(Start!$C$29="","",Start!$C$29)</f>
        <v/>
      </c>
      <c r="D632" s="298">
        <f t="shared" si="186"/>
        <v>45444</v>
      </c>
      <c r="E632" s="105" t="str">
        <f>IFERROR(VLOOKUP(C632,Start!C$15:D$31,2,FALSE),"No")</f>
        <v>No</v>
      </c>
      <c r="F632" s="105">
        <f t="shared" si="187"/>
        <v>0</v>
      </c>
      <c r="G632" s="106"/>
      <c r="H632" s="106"/>
      <c r="I632" s="106"/>
      <c r="J632" s="105">
        <f t="shared" si="179"/>
        <v>0</v>
      </c>
      <c r="K632" s="106"/>
      <c r="L632" s="177" t="str">
        <f t="shared" si="180"/>
        <v/>
      </c>
      <c r="M632" s="105">
        <f t="shared" si="181"/>
        <v>0</v>
      </c>
      <c r="N632" s="110"/>
      <c r="O632" s="124"/>
      <c r="P632" s="110"/>
      <c r="Q632" s="124"/>
      <c r="R632" s="111">
        <f>SUMIFS('Shipments data'!L:L,'Shipments data'!F:F,'Supply planning data'!C632,'Shipments data'!A:A,'Supply planning data'!A632,'Shipments data'!Y:Y,'Supply planning data'!D632,'Shipments data'!O:O,"received", 'Shipments data'!N:N, "Public")</f>
        <v>0</v>
      </c>
      <c r="S632" s="111">
        <f>SUMIFS('Shipments data'!L:L,'Shipments data'!F:F,'Supply planning data'!C632,'Shipments data'!A:A,'Supply planning data'!A632,'Shipments data'!Y:Y,'Supply planning data'!D632,'Shipments data'!O:O,"ordered", 'Shipments data'!N:N, "Public")</f>
        <v>0</v>
      </c>
      <c r="T632" s="111">
        <f>IF(SUMIFS('Shipments data'!L:L,'Shipments data'!F:F,'Supply planning data'!C632,'Shipments data'!A:A,'Supply planning data'!A632,'Shipments data'!O:O,"received",'Shipments data'!Q:Q,"&lt;"&amp;'Supply planning data'!D647,'Shipments data'!AC:AC,"&lt;"&amp;'Supply planning data'!D647)-SUMIFS(M:M,D:D,"&lt;="&amp;D632,C:C,C632)+SUMIFS(N:N,D:D,"&lt;="&amp;D632,C:C,C632)+SUMIFS(P:P,D:D,"&lt;="&amp;D632,C:C,C632)&lt;0,0,SUMIFS('Shipments data'!L:L,'Shipments data'!F:F,'Supply planning data'!C632,'Shipments data'!A:A,'Supply planning data'!A632,'Shipments data'!O:O,"received",'Shipments data'!Q:Q,"&lt;"&amp;'Supply planning data'!D647,'Shipments data'!AC:AC,"&lt;"&amp;'Supply planning data'!D647)-SUMIFS(M:M,D:D,"&lt;="&amp;D632,C:C,C632)+SUMIFS(N:N,D:D,"&lt;="&amp;D632,C:C,C632)+SUMIFS(P:P,D:D,"&lt;="&amp;D632,C:C,C632))</f>
        <v>0</v>
      </c>
      <c r="U632" s="112">
        <f t="shared" si="188"/>
        <v>0</v>
      </c>
      <c r="V632" s="111">
        <f t="shared" si="196"/>
        <v>0</v>
      </c>
      <c r="W632" s="204" t="str">
        <f t="shared" si="194"/>
        <v/>
      </c>
      <c r="X632" s="111">
        <f t="shared" si="189"/>
        <v>0</v>
      </c>
      <c r="Y632" s="110"/>
      <c r="Z632" s="107"/>
      <c r="AA632" s="111">
        <f t="shared" si="182"/>
        <v>0</v>
      </c>
      <c r="AB632" s="235"/>
      <c r="AC632" s="111">
        <f>IF(SUMIFS('Shipments data'!L:L,'Shipments data'!F:F,'Supply planning data'!C632,'Shipments data'!A:A,'Supply planning data'!A632,'Shipments data'!O:O,"received",'Shipments data'!Q:Q,"&lt;"&amp;'Supply planning data'!D647,'Shipments data'!AC:AC,"&lt;"&amp;'Supply planning data'!D647)-SUMIFS(M:M,D:D,"&lt;="&amp;D632,C:C,C632)-SUMIFS(AA:AA,D:D,"&lt;="&amp;D632,C:C,C632)+SUMIFS(N:N,D:D,"&lt;="&amp;D632,C:C,C632)+SUMIFS(P:P,D:D,"&lt;="&amp;D632,C:C,C632)&lt;0,0,SUMIFS('Shipments data'!L:L,'Shipments data'!F:F,'Supply planning data'!C632,'Shipments data'!A:A,'Supply planning data'!A632,'Shipments data'!O:O,"received",'Shipments data'!Q:Q,"&lt;"&amp;'Supply planning data'!D647,'Shipments data'!AC:AC,"&lt;"&amp;'Supply planning data'!D647)-SUMIFS(M:M,D:D,"&lt;="&amp;D632,C:C,C632)-SUMIFS(AA:AA,D:D,"&lt;="&amp;D632,C:C,C632)+SUMIFS(N:N,D:D,"&lt;="&amp;D632,C:C,C632)+SUMIFS(P:P,D:D,"&lt;="&amp;D632,C:C,C632))</f>
        <v>0</v>
      </c>
      <c r="AD632" s="111">
        <f t="shared" si="190"/>
        <v>0</v>
      </c>
      <c r="AE632" s="111">
        <f t="shared" si="184"/>
        <v>0</v>
      </c>
      <c r="AF632" s="204" t="str">
        <f t="shared" si="193"/>
        <v/>
      </c>
      <c r="AG632" s="111">
        <f t="shared" si="191"/>
        <v>0</v>
      </c>
      <c r="AH632" s="110"/>
      <c r="AI632" s="313"/>
      <c r="AJ632" s="111">
        <f t="shared" si="183"/>
        <v>0</v>
      </c>
      <c r="AK632" s="235"/>
      <c r="AL632" s="111">
        <f>IF(SUMIFS('Shipments data'!L:L,'Shipments data'!F:F,'Supply planning data'!C632,'Shipments data'!A:A,'Supply planning data'!A632,'Shipments data'!O:O,"received",'Shipments data'!Q:Q,"&lt;"&amp;'Supply planning data'!D647,'Shipments data'!AC:AC,"&lt;"&amp;'Supply planning data'!D647)-SUMIFS(M:M,D:D,"&lt;="&amp;D632,C:C,C632)-SUMIFS(AJ:AJ,D:D,"&lt;="&amp;D632,C:C,C632)+SUMIFS(N:N,D:D,"&lt;="&amp;D632,C:C,C632)+SUMIFS(P:P,D:D,"&lt;="&amp;D632,C:C,C632)&lt;0,0,SUMIFS('Shipments data'!L:L,'Shipments data'!F:F,'Supply planning data'!C632,'Shipments data'!A:A,'Supply planning data'!A632,'Shipments data'!O:O,"received",'Shipments data'!Q:Q,"&lt;"&amp;'Supply planning data'!D647,'Shipments data'!AC:AC,"&lt;"&amp;'Supply planning data'!D647)-SUMIFS(M:M,D:D,"&lt;="&amp;D632,C:C,C632)-SUMIFS(AJ:AJ,D:D,"&lt;="&amp;D632,C:C,C632)+SUMIFS(N:N,D:D,"&lt;="&amp;D632,C:C,C632)+SUMIFS(P:P,D:D,"&lt;="&amp;D632,C:C,C632))</f>
        <v>0</v>
      </c>
      <c r="AM632" s="111">
        <f t="shared" si="192"/>
        <v>0</v>
      </c>
      <c r="AN632" s="111">
        <f t="shared" si="185"/>
        <v>0</v>
      </c>
      <c r="AO632" s="204" t="str">
        <f t="shared" si="195"/>
        <v/>
      </c>
    </row>
    <row r="633" spans="1:41" hidden="1" x14ac:dyDescent="0.25">
      <c r="A633" s="103" t="str">
        <f>Start!D$7</f>
        <v>Anyland</v>
      </c>
      <c r="B633" s="109" t="str">
        <f>VLOOKUP(A633,list!B:C,2,FALSE)</f>
        <v>ANY</v>
      </c>
      <c r="C633" s="109" t="str">
        <f>IF(Start!$C$30="","",Start!$C$30)</f>
        <v/>
      </c>
      <c r="D633" s="298">
        <f t="shared" si="186"/>
        <v>45444</v>
      </c>
      <c r="E633" s="105" t="str">
        <f>IFERROR(VLOOKUP(C633,Start!C$15:D$31,2,FALSE),"No")</f>
        <v>No</v>
      </c>
      <c r="F633" s="105">
        <f t="shared" si="187"/>
        <v>0</v>
      </c>
      <c r="G633" s="106"/>
      <c r="H633" s="106"/>
      <c r="I633" s="106"/>
      <c r="J633" s="105">
        <f t="shared" si="179"/>
        <v>0</v>
      </c>
      <c r="K633" s="106"/>
      <c r="L633" s="177" t="str">
        <f t="shared" si="180"/>
        <v/>
      </c>
      <c r="M633" s="105">
        <f t="shared" si="181"/>
        <v>0</v>
      </c>
      <c r="N633" s="110"/>
      <c r="O633" s="124"/>
      <c r="P633" s="110"/>
      <c r="Q633" s="124"/>
      <c r="R633" s="111">
        <f>SUMIFS('Shipments data'!L:L,'Shipments data'!F:F,'Supply planning data'!C633,'Shipments data'!A:A,'Supply planning data'!A633,'Shipments data'!Y:Y,'Supply planning data'!D633,'Shipments data'!O:O,"received", 'Shipments data'!N:N, "Public")</f>
        <v>0</v>
      </c>
      <c r="S633" s="111">
        <f>SUMIFS('Shipments data'!L:L,'Shipments data'!F:F,'Supply planning data'!C633,'Shipments data'!A:A,'Supply planning data'!A633,'Shipments data'!Y:Y,'Supply planning data'!D633,'Shipments data'!O:O,"ordered", 'Shipments data'!N:N, "Public")</f>
        <v>0</v>
      </c>
      <c r="T633" s="111">
        <f>IF(SUMIFS('Shipments data'!L:L,'Shipments data'!F:F,'Supply planning data'!C633,'Shipments data'!A:A,'Supply planning data'!A633,'Shipments data'!O:O,"received",'Shipments data'!Q:Q,"&lt;"&amp;'Supply planning data'!D648,'Shipments data'!AC:AC,"&lt;"&amp;'Supply planning data'!D648)-SUMIFS(M:M,D:D,"&lt;="&amp;D633,C:C,C633)+SUMIFS(N:N,D:D,"&lt;="&amp;D633,C:C,C633)+SUMIFS(P:P,D:D,"&lt;="&amp;D633,C:C,C633)&lt;0,0,SUMIFS('Shipments data'!L:L,'Shipments data'!F:F,'Supply planning data'!C633,'Shipments data'!A:A,'Supply planning data'!A633,'Shipments data'!O:O,"received",'Shipments data'!Q:Q,"&lt;"&amp;'Supply planning data'!D648,'Shipments data'!AC:AC,"&lt;"&amp;'Supply planning data'!D648)-SUMIFS(M:M,D:D,"&lt;="&amp;D633,C:C,C633)+SUMIFS(N:N,D:D,"&lt;="&amp;D633,C:C,C633)+SUMIFS(P:P,D:D,"&lt;="&amp;D633,C:C,C633))</f>
        <v>0</v>
      </c>
      <c r="U633" s="112">
        <f t="shared" si="188"/>
        <v>0</v>
      </c>
      <c r="V633" s="111">
        <f t="shared" si="196"/>
        <v>0</v>
      </c>
      <c r="W633" s="204" t="str">
        <f t="shared" si="194"/>
        <v/>
      </c>
      <c r="X633" s="111">
        <f t="shared" si="189"/>
        <v>0</v>
      </c>
      <c r="Y633" s="110"/>
      <c r="Z633" s="107"/>
      <c r="AA633" s="111">
        <f t="shared" si="182"/>
        <v>0</v>
      </c>
      <c r="AB633" s="235"/>
      <c r="AC633" s="111">
        <f>IF(SUMIFS('Shipments data'!L:L,'Shipments data'!F:F,'Supply planning data'!C633,'Shipments data'!A:A,'Supply planning data'!A633,'Shipments data'!O:O,"received",'Shipments data'!Q:Q,"&lt;"&amp;'Supply planning data'!D648,'Shipments data'!AC:AC,"&lt;"&amp;'Supply planning data'!D648)-SUMIFS(M:M,D:D,"&lt;="&amp;D633,C:C,C633)-SUMIFS(AA:AA,D:D,"&lt;="&amp;D633,C:C,C633)+SUMIFS(N:N,D:D,"&lt;="&amp;D633,C:C,C633)+SUMIFS(P:P,D:D,"&lt;="&amp;D633,C:C,C633)&lt;0,0,SUMIFS('Shipments data'!L:L,'Shipments data'!F:F,'Supply planning data'!C633,'Shipments data'!A:A,'Supply planning data'!A633,'Shipments data'!O:O,"received",'Shipments data'!Q:Q,"&lt;"&amp;'Supply planning data'!D648,'Shipments data'!AC:AC,"&lt;"&amp;'Supply planning data'!D648)-SUMIFS(M:M,D:D,"&lt;="&amp;D633,C:C,C633)-SUMIFS(AA:AA,D:D,"&lt;="&amp;D633,C:C,C633)+SUMIFS(N:N,D:D,"&lt;="&amp;D633,C:C,C633)+SUMIFS(P:P,D:D,"&lt;="&amp;D633,C:C,C633))</f>
        <v>0</v>
      </c>
      <c r="AD633" s="111">
        <f t="shared" si="190"/>
        <v>0</v>
      </c>
      <c r="AE633" s="111">
        <f t="shared" si="184"/>
        <v>0</v>
      </c>
      <c r="AF633" s="204" t="str">
        <f t="shared" si="193"/>
        <v/>
      </c>
      <c r="AG633" s="111">
        <f t="shared" si="191"/>
        <v>0</v>
      </c>
      <c r="AH633" s="110"/>
      <c r="AI633" s="313"/>
      <c r="AJ633" s="111">
        <f t="shared" si="183"/>
        <v>0</v>
      </c>
      <c r="AK633" s="235"/>
      <c r="AL633" s="111">
        <f>IF(SUMIFS('Shipments data'!L:L,'Shipments data'!F:F,'Supply planning data'!C633,'Shipments data'!A:A,'Supply planning data'!A633,'Shipments data'!O:O,"received",'Shipments data'!Q:Q,"&lt;"&amp;'Supply planning data'!D648,'Shipments data'!AC:AC,"&lt;"&amp;'Supply planning data'!D648)-SUMIFS(M:M,D:D,"&lt;="&amp;D633,C:C,C633)-SUMIFS(AJ:AJ,D:D,"&lt;="&amp;D633,C:C,C633)+SUMIFS(N:N,D:D,"&lt;="&amp;D633,C:C,C633)+SUMIFS(P:P,D:D,"&lt;="&amp;D633,C:C,C633)&lt;0,0,SUMIFS('Shipments data'!L:L,'Shipments data'!F:F,'Supply planning data'!C633,'Shipments data'!A:A,'Supply planning data'!A633,'Shipments data'!O:O,"received",'Shipments data'!Q:Q,"&lt;"&amp;'Supply planning data'!D648,'Shipments data'!AC:AC,"&lt;"&amp;'Supply planning data'!D648)-SUMIFS(M:M,D:D,"&lt;="&amp;D633,C:C,C633)-SUMIFS(AJ:AJ,D:D,"&lt;="&amp;D633,C:C,C633)+SUMIFS(N:N,D:D,"&lt;="&amp;D633,C:C,C633)+SUMIFS(P:P,D:D,"&lt;="&amp;D633,C:C,C633))</f>
        <v>0</v>
      </c>
      <c r="AM633" s="111">
        <f t="shared" si="192"/>
        <v>0</v>
      </c>
      <c r="AN633" s="111">
        <f t="shared" si="185"/>
        <v>0</v>
      </c>
      <c r="AO633" s="204" t="str">
        <f t="shared" si="195"/>
        <v/>
      </c>
    </row>
    <row r="634" spans="1:41" hidden="1" x14ac:dyDescent="0.25">
      <c r="A634" s="113" t="str">
        <f>Start!D$7</f>
        <v>Anyland</v>
      </c>
      <c r="B634" s="114" t="str">
        <f>VLOOKUP(A634,list!B:C,2,FALSE)</f>
        <v>ANY</v>
      </c>
      <c r="C634" s="104" t="str">
        <f>IF(Start!$C$31="","",Start!$C$31)</f>
        <v/>
      </c>
      <c r="D634" s="298">
        <f t="shared" si="186"/>
        <v>45444</v>
      </c>
      <c r="E634" s="105" t="str">
        <f>IFERROR(VLOOKUP(C634,Start!C$15:D$31,2,FALSE),"No")</f>
        <v>No</v>
      </c>
      <c r="F634" s="105">
        <f t="shared" si="187"/>
        <v>0</v>
      </c>
      <c r="G634" s="106"/>
      <c r="H634" s="106"/>
      <c r="I634" s="106"/>
      <c r="J634" s="105">
        <f t="shared" si="179"/>
        <v>0</v>
      </c>
      <c r="K634" s="106"/>
      <c r="L634" s="177" t="str">
        <f t="shared" si="180"/>
        <v/>
      </c>
      <c r="M634" s="105">
        <f t="shared" si="181"/>
        <v>0</v>
      </c>
      <c r="N634" s="110"/>
      <c r="O634" s="124"/>
      <c r="P634" s="110"/>
      <c r="Q634" s="124"/>
      <c r="R634" s="111">
        <f>SUMIFS('Shipments data'!L:L,'Shipments data'!F:F,'Supply planning data'!C634,'Shipments data'!A:A,'Supply planning data'!A634,'Shipments data'!Y:Y,'Supply planning data'!D634,'Shipments data'!O:O,"received", 'Shipments data'!N:N, "Public")</f>
        <v>0</v>
      </c>
      <c r="S634" s="111">
        <f>SUMIFS('Shipments data'!L:L,'Shipments data'!F:F,'Supply planning data'!C634,'Shipments data'!A:A,'Supply planning data'!A634,'Shipments data'!Y:Y,'Supply planning data'!D634,'Shipments data'!O:O,"ordered", 'Shipments data'!N:N, "Public")</f>
        <v>0</v>
      </c>
      <c r="T634" s="111">
        <f>IF(SUMIFS('Shipments data'!L:L,'Shipments data'!F:F,'Supply planning data'!C634,'Shipments data'!A:A,'Supply planning data'!A634,'Shipments data'!O:O,"received",'Shipments data'!Q:Q,"&lt;"&amp;'Supply planning data'!D649,'Shipments data'!AC:AC,"&lt;"&amp;'Supply planning data'!D649)-SUMIFS(M:M,D:D,"&lt;="&amp;D634,C:C,C634)+SUMIFS(N:N,D:D,"&lt;="&amp;D634,C:C,C634)+SUMIFS(P:P,D:D,"&lt;="&amp;D634,C:C,C634)&lt;0,0,SUMIFS('Shipments data'!L:L,'Shipments data'!F:F,'Supply planning data'!C634,'Shipments data'!A:A,'Supply planning data'!A634,'Shipments data'!O:O,"received",'Shipments data'!Q:Q,"&lt;"&amp;'Supply planning data'!D649,'Shipments data'!AC:AC,"&lt;"&amp;'Supply planning data'!D649)-SUMIFS(M:M,D:D,"&lt;="&amp;D634,C:C,C634)+SUMIFS(N:N,D:D,"&lt;="&amp;D634,C:C,C634)+SUMIFS(P:P,D:D,"&lt;="&amp;D634,C:C,C634))</f>
        <v>0</v>
      </c>
      <c r="U634" s="112">
        <f t="shared" si="188"/>
        <v>0</v>
      </c>
      <c r="V634" s="111">
        <f t="shared" si="196"/>
        <v>0</v>
      </c>
      <c r="W634" s="204" t="str">
        <f t="shared" si="194"/>
        <v/>
      </c>
      <c r="X634" s="111">
        <f t="shared" si="189"/>
        <v>0</v>
      </c>
      <c r="Y634" s="110"/>
      <c r="Z634" s="107"/>
      <c r="AA634" s="111">
        <f t="shared" si="182"/>
        <v>0</v>
      </c>
      <c r="AB634" s="235"/>
      <c r="AC634" s="111">
        <f>IF(SUMIFS('Shipments data'!L:L,'Shipments data'!F:F,'Supply planning data'!C634,'Shipments data'!A:A,'Supply planning data'!A634,'Shipments data'!O:O,"received",'Shipments data'!Q:Q,"&lt;"&amp;'Supply planning data'!D649,'Shipments data'!AC:AC,"&lt;"&amp;'Supply planning data'!D649)-SUMIFS(M:M,D:D,"&lt;="&amp;D634,C:C,C634)-SUMIFS(AA:AA,D:D,"&lt;="&amp;D634,C:C,C634)+SUMIFS(N:N,D:D,"&lt;="&amp;D634,C:C,C634)+SUMIFS(P:P,D:D,"&lt;="&amp;D634,C:C,C634)&lt;0,0,SUMIFS('Shipments data'!L:L,'Shipments data'!F:F,'Supply planning data'!C634,'Shipments data'!A:A,'Supply planning data'!A634,'Shipments data'!O:O,"received",'Shipments data'!Q:Q,"&lt;"&amp;'Supply planning data'!D649,'Shipments data'!AC:AC,"&lt;"&amp;'Supply planning data'!D649)-SUMIFS(M:M,D:D,"&lt;="&amp;D634,C:C,C634)-SUMIFS(AA:AA,D:D,"&lt;="&amp;D634,C:C,C634)+SUMIFS(N:N,D:D,"&lt;="&amp;D634,C:C,C634)+SUMIFS(P:P,D:D,"&lt;="&amp;D634,C:C,C634))</f>
        <v>0</v>
      </c>
      <c r="AD634" s="111">
        <f t="shared" si="190"/>
        <v>0</v>
      </c>
      <c r="AE634" s="111">
        <f t="shared" si="184"/>
        <v>0</v>
      </c>
      <c r="AF634" s="204" t="str">
        <f t="shared" si="193"/>
        <v/>
      </c>
      <c r="AG634" s="111">
        <f t="shared" si="191"/>
        <v>0</v>
      </c>
      <c r="AH634" s="110"/>
      <c r="AI634" s="313"/>
      <c r="AJ634" s="111">
        <f t="shared" si="183"/>
        <v>0</v>
      </c>
      <c r="AK634" s="235"/>
      <c r="AL634" s="111">
        <f>IF(SUMIFS('Shipments data'!L:L,'Shipments data'!F:F,'Supply planning data'!C634,'Shipments data'!A:A,'Supply planning data'!A634,'Shipments data'!O:O,"received",'Shipments data'!Q:Q,"&lt;"&amp;'Supply planning data'!D649,'Shipments data'!AC:AC,"&lt;"&amp;'Supply planning data'!D649)-SUMIFS(M:M,D:D,"&lt;="&amp;D634,C:C,C634)-SUMIFS(AJ:AJ,D:D,"&lt;="&amp;D634,C:C,C634)+SUMIFS(N:N,D:D,"&lt;="&amp;D634,C:C,C634)+SUMIFS(P:P,D:D,"&lt;="&amp;D634,C:C,C634)&lt;0,0,SUMIFS('Shipments data'!L:L,'Shipments data'!F:F,'Supply planning data'!C634,'Shipments data'!A:A,'Supply planning data'!A634,'Shipments data'!O:O,"received",'Shipments data'!Q:Q,"&lt;"&amp;'Supply planning data'!D649,'Shipments data'!AC:AC,"&lt;"&amp;'Supply planning data'!D649)-SUMIFS(M:M,D:D,"&lt;="&amp;D634,C:C,C634)-SUMIFS(AJ:AJ,D:D,"&lt;="&amp;D634,C:C,C634)+SUMIFS(N:N,D:D,"&lt;="&amp;D634,C:C,C634)+SUMIFS(P:P,D:D,"&lt;="&amp;D634,C:C,C634))</f>
        <v>0</v>
      </c>
      <c r="AM634" s="111">
        <f t="shared" si="192"/>
        <v>0</v>
      </c>
      <c r="AN634" s="111">
        <f t="shared" si="185"/>
        <v>0</v>
      </c>
      <c r="AO634" s="204" t="str">
        <f t="shared" si="195"/>
        <v/>
      </c>
    </row>
    <row r="635" spans="1:41" x14ac:dyDescent="0.25">
      <c r="A635" s="89" t="str">
        <f>Start!D$7</f>
        <v>Anyland</v>
      </c>
      <c r="B635" s="90" t="str">
        <f>VLOOKUP(A635,list!B:C,2,FALSE)</f>
        <v>ANY</v>
      </c>
      <c r="C635" s="90" t="str">
        <f>IF(Start!$C$17="","",Start!$C$17)</f>
        <v>AstraZeneca</v>
      </c>
      <c r="D635" s="296">
        <f t="shared" si="186"/>
        <v>45474</v>
      </c>
      <c r="E635" s="92" t="str">
        <f>IFERROR(VLOOKUP(C635,Start!C$15:D$31,2,FALSE),"No")</f>
        <v>Yes</v>
      </c>
      <c r="F635" s="92">
        <f t="shared" si="187"/>
        <v>0</v>
      </c>
      <c r="G635" s="91"/>
      <c r="H635" s="91"/>
      <c r="I635" s="91"/>
      <c r="J635" s="92">
        <f t="shared" si="179"/>
        <v>0</v>
      </c>
      <c r="K635" s="91"/>
      <c r="L635" s="174" t="str">
        <f t="shared" si="180"/>
        <v/>
      </c>
      <c r="M635" s="92">
        <f t="shared" si="181"/>
        <v>0</v>
      </c>
      <c r="N635" s="91"/>
      <c r="O635" s="121"/>
      <c r="P635" s="91"/>
      <c r="Q635" s="121"/>
      <c r="R635" s="92">
        <f>SUMIFS('Shipments data'!L:L,'Shipments data'!F:F,'Supply planning data'!C635,'Shipments data'!A:A,'Supply planning data'!A635,'Shipments data'!Y:Y,'Supply planning data'!D635,'Shipments data'!O:O,"received", 'Shipments data'!N:N, "Public")</f>
        <v>0</v>
      </c>
      <c r="S635" s="92">
        <f>SUMIFS('Shipments data'!L:L,'Shipments data'!F:F,'Supply planning data'!C635,'Shipments data'!A:A,'Supply planning data'!A635,'Shipments data'!Y:Y,'Supply planning data'!D635,'Shipments data'!O:O,"ordered", 'Shipments data'!N:N, "Public")</f>
        <v>0</v>
      </c>
      <c r="T635" s="92">
        <f>IF(SUMIFS('Shipments data'!L:L,'Shipments data'!F:F,'Supply planning data'!C635,'Shipments data'!A:A,'Supply planning data'!A635,'Shipments data'!O:O,"received",'Shipments data'!Q:Q,"&lt;"&amp;'Supply planning data'!D650,'Shipments data'!AC:AC,"&lt;"&amp;'Supply planning data'!D650)-SUMIFS(M:M,D:D,"&lt;="&amp;D635,C:C,C635)+SUMIFS(N:N,D:D,"&lt;="&amp;D635,C:C,C635)+SUMIFS(P:P,D:D,"&lt;="&amp;D635,C:C,C635)&lt;0,0,SUMIFS('Shipments data'!L:L,'Shipments data'!F:F,'Supply planning data'!C635,'Shipments data'!A:A,'Supply planning data'!A635,'Shipments data'!O:O,"received",'Shipments data'!Q:Q,"&lt;"&amp;'Supply planning data'!D650,'Shipments data'!AC:AC,"&lt;"&amp;'Supply planning data'!D650)-SUMIFS(M:M,D:D,"&lt;="&amp;D635,C:C,C635)+SUMIFS(N:N,D:D,"&lt;="&amp;D635,C:C,C635)+SUMIFS(P:P,D:D,"&lt;="&amp;D635,C:C,C635))</f>
        <v>0</v>
      </c>
      <c r="U635" s="94">
        <f t="shared" si="188"/>
        <v>0</v>
      </c>
      <c r="V635" s="92">
        <f t="shared" si="196"/>
        <v>0</v>
      </c>
      <c r="W635" s="205" t="str">
        <f t="shared" si="194"/>
        <v/>
      </c>
      <c r="X635" s="92">
        <f t="shared" si="189"/>
        <v>154701</v>
      </c>
      <c r="Y635" s="91"/>
      <c r="Z635" s="93"/>
      <c r="AA635" s="92">
        <f t="shared" si="182"/>
        <v>0</v>
      </c>
      <c r="AB635" s="232"/>
      <c r="AC635" s="92">
        <f>IF(SUMIFS('Shipments data'!L:L,'Shipments data'!F:F,'Supply planning data'!C635,'Shipments data'!A:A,'Supply planning data'!A635,'Shipments data'!O:O,"received",'Shipments data'!Q:Q,"&lt;"&amp;'Supply planning data'!D650,'Shipments data'!AC:AC,"&lt;"&amp;'Supply planning data'!D650)-SUMIFS(M:M,D:D,"&lt;="&amp;D635,C:C,C635)-SUMIFS(AA:AA,D:D,"&lt;="&amp;D635,C:C,C635)+SUMIFS(N:N,D:D,"&lt;="&amp;D635,C:C,C635)+SUMIFS(P:P,D:D,"&lt;="&amp;D635,C:C,C635)&lt;0,0,SUMIFS('Shipments data'!L:L,'Shipments data'!F:F,'Supply planning data'!C635,'Shipments data'!A:A,'Supply planning data'!A635,'Shipments data'!O:O,"received",'Shipments data'!Q:Q,"&lt;"&amp;'Supply planning data'!D650,'Shipments data'!AC:AC,"&lt;"&amp;'Supply planning data'!D650)-SUMIFS(M:M,D:D,"&lt;="&amp;D635,C:C,C635)-SUMIFS(AA:AA,D:D,"&lt;="&amp;D635,C:C,C635)+SUMIFS(N:N,D:D,"&lt;="&amp;D635,C:C,C635)+SUMIFS(P:P,D:D,"&lt;="&amp;D635,C:C,C635))</f>
        <v>0</v>
      </c>
      <c r="AD635" s="92">
        <f t="shared" si="190"/>
        <v>0</v>
      </c>
      <c r="AE635" s="92">
        <f t="shared" si="184"/>
        <v>154701</v>
      </c>
      <c r="AF635" s="205" t="str">
        <f t="shared" si="193"/>
        <v/>
      </c>
      <c r="AG635" s="92">
        <f t="shared" si="191"/>
        <v>0</v>
      </c>
      <c r="AH635" s="91"/>
      <c r="AI635" s="310"/>
      <c r="AJ635" s="92">
        <f t="shared" si="183"/>
        <v>0</v>
      </c>
      <c r="AK635" s="232"/>
      <c r="AL635" s="92">
        <f>IF(SUMIFS('Shipments data'!L:L,'Shipments data'!F:F,'Supply planning data'!C635,'Shipments data'!A:A,'Supply planning data'!A635,'Shipments data'!O:O,"received",'Shipments data'!Q:Q,"&lt;"&amp;'Supply planning data'!D650,'Shipments data'!AC:AC,"&lt;"&amp;'Supply planning data'!D650)-SUMIFS(M:M,D:D,"&lt;="&amp;D635,C:C,C635)-SUMIFS(AJ:AJ,D:D,"&lt;="&amp;D635,C:C,C635)+SUMIFS(N:N,D:D,"&lt;="&amp;D635,C:C,C635)+SUMIFS(P:P,D:D,"&lt;="&amp;D635,C:C,C635)&lt;0,0,SUMIFS('Shipments data'!L:L,'Shipments data'!F:F,'Supply planning data'!C635,'Shipments data'!A:A,'Supply planning data'!A635,'Shipments data'!O:O,"received",'Shipments data'!Q:Q,"&lt;"&amp;'Supply planning data'!D650,'Shipments data'!AC:AC,"&lt;"&amp;'Supply planning data'!D650)-SUMIFS(M:M,D:D,"&lt;="&amp;D635,C:C,C635)-SUMIFS(AJ:AJ,D:D,"&lt;="&amp;D635,C:C,C635)+SUMIFS(N:N,D:D,"&lt;="&amp;D635,C:C,C635)+SUMIFS(P:P,D:D,"&lt;="&amp;D635,C:C,C635))</f>
        <v>0</v>
      </c>
      <c r="AM635" s="92">
        <f t="shared" si="192"/>
        <v>0</v>
      </c>
      <c r="AN635" s="92">
        <f t="shared" si="185"/>
        <v>0</v>
      </c>
      <c r="AO635" s="205" t="str">
        <f t="shared" si="195"/>
        <v/>
      </c>
    </row>
    <row r="636" spans="1:41" x14ac:dyDescent="0.25">
      <c r="A636" s="95" t="str">
        <f>Start!D$7</f>
        <v>Anyland</v>
      </c>
      <c r="B636" s="96" t="str">
        <f>VLOOKUP(A636,list!B:C,2,FALSE)</f>
        <v>ANY</v>
      </c>
      <c r="C636" s="90" t="str">
        <f>IF(Start!$C$18="","",Start!$C$18)</f>
        <v>Jansen</v>
      </c>
      <c r="D636" s="296">
        <f t="shared" si="186"/>
        <v>45474</v>
      </c>
      <c r="E636" s="92" t="str">
        <f>IFERROR(VLOOKUP(C636,Start!C$15:D$31,2,FALSE),"No")</f>
        <v>Yes</v>
      </c>
      <c r="F636" s="92">
        <f t="shared" si="187"/>
        <v>1871200</v>
      </c>
      <c r="G636" s="91"/>
      <c r="H636" s="97"/>
      <c r="I636" s="97"/>
      <c r="J636" s="98">
        <f t="shared" si="179"/>
        <v>0</v>
      </c>
      <c r="K636" s="97"/>
      <c r="L636" s="175" t="str">
        <f t="shared" si="180"/>
        <v/>
      </c>
      <c r="M636" s="98">
        <f t="shared" si="181"/>
        <v>0</v>
      </c>
      <c r="N636" s="97"/>
      <c r="O636" s="122"/>
      <c r="P636" s="97"/>
      <c r="Q636" s="122"/>
      <c r="R636" s="98">
        <f>SUMIFS('Shipments data'!L:L,'Shipments data'!F:F,'Supply planning data'!C636,'Shipments data'!A:A,'Supply planning data'!A636,'Shipments data'!Y:Y,'Supply planning data'!D636,'Shipments data'!O:O,"received", 'Shipments data'!N:N, "Public")</f>
        <v>0</v>
      </c>
      <c r="S636" s="98">
        <f>SUMIFS('Shipments data'!L:L,'Shipments data'!F:F,'Supply planning data'!C636,'Shipments data'!A:A,'Supply planning data'!A636,'Shipments data'!Y:Y,'Supply planning data'!D636,'Shipments data'!O:O,"ordered", 'Shipments data'!N:N, "Public")</f>
        <v>0</v>
      </c>
      <c r="T636" s="98">
        <f>IF(SUMIFS('Shipments data'!L:L,'Shipments data'!F:F,'Supply planning data'!C636,'Shipments data'!A:A,'Supply planning data'!A636,'Shipments data'!O:O,"received",'Shipments data'!Q:Q,"&lt;"&amp;'Supply planning data'!D651,'Shipments data'!AC:AC,"&lt;"&amp;'Supply planning data'!D651)-SUMIFS(M:M,D:D,"&lt;="&amp;D636,C:C,C636)+SUMIFS(N:N,D:D,"&lt;="&amp;D636,C:C,C636)+SUMIFS(P:P,D:D,"&lt;="&amp;D636,C:C,C636)&lt;0,0,SUMIFS('Shipments data'!L:L,'Shipments data'!F:F,'Supply planning data'!C636,'Shipments data'!A:A,'Supply planning data'!A636,'Shipments data'!O:O,"received",'Shipments data'!Q:Q,"&lt;"&amp;'Supply planning data'!D651,'Shipments data'!AC:AC,"&lt;"&amp;'Supply planning data'!D651)-SUMIFS(M:M,D:D,"&lt;="&amp;D636,C:C,C636)+SUMIFS(N:N,D:D,"&lt;="&amp;D636,C:C,C636)+SUMIFS(P:P,D:D,"&lt;="&amp;D636,C:C,C636))</f>
        <v>387547</v>
      </c>
      <c r="U636" s="99">
        <f t="shared" si="188"/>
        <v>0</v>
      </c>
      <c r="V636" s="98">
        <f t="shared" si="196"/>
        <v>1871200</v>
      </c>
      <c r="W636" s="203" t="str">
        <f t="shared" si="194"/>
        <v/>
      </c>
      <c r="X636" s="98">
        <f t="shared" si="189"/>
        <v>1311200</v>
      </c>
      <c r="Y636" s="97"/>
      <c r="Z636" s="93"/>
      <c r="AA636" s="98">
        <f t="shared" si="182"/>
        <v>0</v>
      </c>
      <c r="AB636" s="233"/>
      <c r="AC636" s="98">
        <f>IF(SUMIFS('Shipments data'!L:L,'Shipments data'!F:F,'Supply planning data'!C636,'Shipments data'!A:A,'Supply planning data'!A636,'Shipments data'!O:O,"received",'Shipments data'!Q:Q,"&lt;"&amp;'Supply planning data'!D651,'Shipments data'!AC:AC,"&lt;"&amp;'Supply planning data'!D651)-SUMIFS(M:M,D:D,"&lt;="&amp;D636,C:C,C636)-SUMIFS(AA:AA,D:D,"&lt;="&amp;D636,C:C,C636)+SUMIFS(N:N,D:D,"&lt;="&amp;D636,C:C,C636)+SUMIFS(P:P,D:D,"&lt;="&amp;D636,C:C,C636)&lt;0,0,SUMIFS('Shipments data'!L:L,'Shipments data'!F:F,'Supply planning data'!C636,'Shipments data'!A:A,'Supply planning data'!A636,'Shipments data'!O:O,"received",'Shipments data'!Q:Q,"&lt;"&amp;'Supply planning data'!D651,'Shipments data'!AC:AC,"&lt;"&amp;'Supply planning data'!D651)-SUMIFS(M:M,D:D,"&lt;="&amp;D636,C:C,C636)-SUMIFS(AA:AA,D:D,"&lt;="&amp;D636,C:C,C636)+SUMIFS(N:N,D:D,"&lt;="&amp;D636,C:C,C636)+SUMIFS(P:P,D:D,"&lt;="&amp;D636,C:C,C636))</f>
        <v>0</v>
      </c>
      <c r="AD636" s="98">
        <f t="shared" si="190"/>
        <v>0</v>
      </c>
      <c r="AE636" s="98">
        <f t="shared" si="184"/>
        <v>1311200</v>
      </c>
      <c r="AF636" s="205" t="str">
        <f t="shared" si="193"/>
        <v/>
      </c>
      <c r="AG636" s="98">
        <f t="shared" si="191"/>
        <v>1871200</v>
      </c>
      <c r="AH636" s="97"/>
      <c r="AI636" s="311"/>
      <c r="AJ636" s="98">
        <f t="shared" si="183"/>
        <v>0</v>
      </c>
      <c r="AK636" s="233"/>
      <c r="AL636" s="98">
        <f>IF(SUMIFS('Shipments data'!L:L,'Shipments data'!F:F,'Supply planning data'!C636,'Shipments data'!A:A,'Supply planning data'!A636,'Shipments data'!O:O,"received",'Shipments data'!Q:Q,"&lt;"&amp;'Supply planning data'!D651,'Shipments data'!AC:AC,"&lt;"&amp;'Supply planning data'!D651)-SUMIFS(M:M,D:D,"&lt;="&amp;D636,C:C,C636)-SUMIFS(AJ:AJ,D:D,"&lt;="&amp;D636,C:C,C636)+SUMIFS(N:N,D:D,"&lt;="&amp;D636,C:C,C636)+SUMIFS(P:P,D:D,"&lt;="&amp;D636,C:C,C636)&lt;0,0,SUMIFS('Shipments data'!L:L,'Shipments data'!F:F,'Supply planning data'!C636,'Shipments data'!A:A,'Supply planning data'!A636,'Shipments data'!O:O,"received",'Shipments data'!Q:Q,"&lt;"&amp;'Supply planning data'!D651,'Shipments data'!AC:AC,"&lt;"&amp;'Supply planning data'!D651)-SUMIFS(M:M,D:D,"&lt;="&amp;D636,C:C,C636)-SUMIFS(AJ:AJ,D:D,"&lt;="&amp;D636,C:C,C636)+SUMIFS(N:N,D:D,"&lt;="&amp;D636,C:C,C636)+SUMIFS(P:P,D:D,"&lt;="&amp;D636,C:C,C636))</f>
        <v>387547</v>
      </c>
      <c r="AM636" s="98">
        <f t="shared" si="192"/>
        <v>0</v>
      </c>
      <c r="AN636" s="98">
        <f t="shared" si="185"/>
        <v>1871200</v>
      </c>
      <c r="AO636" s="203" t="str">
        <f t="shared" si="195"/>
        <v/>
      </c>
    </row>
    <row r="637" spans="1:41" x14ac:dyDescent="0.25">
      <c r="A637" s="95" t="str">
        <f>Start!D$7</f>
        <v>Anyland</v>
      </c>
      <c r="B637" s="96" t="str">
        <f>VLOOKUP(A637,list!B:C,2,FALSE)</f>
        <v>ANY</v>
      </c>
      <c r="C637" s="90" t="str">
        <f>IF(Start!$C$19="","",Start!$C$19)</f>
        <v>Moderna</v>
      </c>
      <c r="D637" s="296">
        <f t="shared" si="186"/>
        <v>45474</v>
      </c>
      <c r="E637" s="92" t="str">
        <f>IFERROR(VLOOKUP(C637,Start!C$15:D$31,2,FALSE),"No")</f>
        <v>No</v>
      </c>
      <c r="F637" s="92">
        <f t="shared" si="187"/>
        <v>0</v>
      </c>
      <c r="G637" s="91"/>
      <c r="H637" s="97"/>
      <c r="I637" s="97"/>
      <c r="J637" s="98">
        <f t="shared" si="179"/>
        <v>0</v>
      </c>
      <c r="K637" s="97"/>
      <c r="L637" s="175" t="str">
        <f t="shared" si="180"/>
        <v/>
      </c>
      <c r="M637" s="98">
        <f t="shared" si="181"/>
        <v>0</v>
      </c>
      <c r="N637" s="97"/>
      <c r="O637" s="122"/>
      <c r="P637" s="97"/>
      <c r="Q637" s="122"/>
      <c r="R637" s="98">
        <f>SUMIFS('Shipments data'!L:L,'Shipments data'!F:F,'Supply planning data'!C637,'Shipments data'!A:A,'Supply planning data'!A637,'Shipments data'!Y:Y,'Supply planning data'!D637,'Shipments data'!O:O,"received", 'Shipments data'!N:N, "Public")</f>
        <v>0</v>
      </c>
      <c r="S637" s="98">
        <f>SUMIFS('Shipments data'!L:L,'Shipments data'!F:F,'Supply planning data'!C637,'Shipments data'!A:A,'Supply planning data'!A637,'Shipments data'!Y:Y,'Supply planning data'!D637,'Shipments data'!O:O,"ordered", 'Shipments data'!N:N, "Public")</f>
        <v>0</v>
      </c>
      <c r="T637" s="98">
        <f>IF(SUMIFS('Shipments data'!L:L,'Shipments data'!F:F,'Supply planning data'!C637,'Shipments data'!A:A,'Supply planning data'!A637,'Shipments data'!O:O,"received",'Shipments data'!Q:Q,"&lt;"&amp;'Supply planning data'!D652,'Shipments data'!AC:AC,"&lt;"&amp;'Supply planning data'!D652)-SUMIFS(M:M,D:D,"&lt;="&amp;D637,C:C,C637)+SUMIFS(N:N,D:D,"&lt;="&amp;D637,C:C,C637)+SUMIFS(P:P,D:D,"&lt;="&amp;D637,C:C,C637)&lt;0,0,SUMIFS('Shipments data'!L:L,'Shipments data'!F:F,'Supply planning data'!C637,'Shipments data'!A:A,'Supply planning data'!A637,'Shipments data'!O:O,"received",'Shipments data'!Q:Q,"&lt;"&amp;'Supply planning data'!D652,'Shipments data'!AC:AC,"&lt;"&amp;'Supply planning data'!D652)-SUMIFS(M:M,D:D,"&lt;="&amp;D637,C:C,C637)+SUMIFS(N:N,D:D,"&lt;="&amp;D637,C:C,C637)+SUMIFS(P:P,D:D,"&lt;="&amp;D637,C:C,C637))</f>
        <v>0</v>
      </c>
      <c r="U637" s="99">
        <f t="shared" si="188"/>
        <v>0</v>
      </c>
      <c r="V637" s="98">
        <f t="shared" si="196"/>
        <v>0</v>
      </c>
      <c r="W637" s="203" t="str">
        <f t="shared" si="194"/>
        <v/>
      </c>
      <c r="X637" s="98">
        <f t="shared" si="189"/>
        <v>0</v>
      </c>
      <c r="Y637" s="97"/>
      <c r="Z637" s="93"/>
      <c r="AA637" s="98">
        <f t="shared" si="182"/>
        <v>0</v>
      </c>
      <c r="AB637" s="233"/>
      <c r="AC637" s="98">
        <f>IF(SUMIFS('Shipments data'!L:L,'Shipments data'!F:F,'Supply planning data'!C637,'Shipments data'!A:A,'Supply planning data'!A637,'Shipments data'!O:O,"received",'Shipments data'!Q:Q,"&lt;"&amp;'Supply planning data'!D652,'Shipments data'!AC:AC,"&lt;"&amp;'Supply planning data'!D652)-SUMIFS(M:M,D:D,"&lt;="&amp;D637,C:C,C637)-SUMIFS(AA:AA,D:D,"&lt;="&amp;D637,C:C,C637)+SUMIFS(N:N,D:D,"&lt;="&amp;D637,C:C,C637)+SUMIFS(P:P,D:D,"&lt;="&amp;D637,C:C,C637)&lt;0,0,SUMIFS('Shipments data'!L:L,'Shipments data'!F:F,'Supply planning data'!C637,'Shipments data'!A:A,'Supply planning data'!A637,'Shipments data'!O:O,"received",'Shipments data'!Q:Q,"&lt;"&amp;'Supply planning data'!D652,'Shipments data'!AC:AC,"&lt;"&amp;'Supply planning data'!D652)-SUMIFS(M:M,D:D,"&lt;="&amp;D637,C:C,C637)-SUMIFS(AA:AA,D:D,"&lt;="&amp;D637,C:C,C637)+SUMIFS(N:N,D:D,"&lt;="&amp;D637,C:C,C637)+SUMIFS(P:P,D:D,"&lt;="&amp;D637,C:C,C637))</f>
        <v>0</v>
      </c>
      <c r="AD637" s="98">
        <f t="shared" si="190"/>
        <v>0</v>
      </c>
      <c r="AE637" s="98">
        <f t="shared" si="184"/>
        <v>0</v>
      </c>
      <c r="AF637" s="205" t="str">
        <f t="shared" si="193"/>
        <v/>
      </c>
      <c r="AG637" s="98">
        <f t="shared" si="191"/>
        <v>0</v>
      </c>
      <c r="AH637" s="97"/>
      <c r="AI637" s="311"/>
      <c r="AJ637" s="98">
        <f t="shared" si="183"/>
        <v>0</v>
      </c>
      <c r="AK637" s="233"/>
      <c r="AL637" s="98">
        <f>IF(SUMIFS('Shipments data'!L:L,'Shipments data'!F:F,'Supply planning data'!C637,'Shipments data'!A:A,'Supply planning data'!A637,'Shipments data'!O:O,"received",'Shipments data'!Q:Q,"&lt;"&amp;'Supply planning data'!D652,'Shipments data'!AC:AC,"&lt;"&amp;'Supply planning data'!D652)-SUMIFS(M:M,D:D,"&lt;="&amp;D637,C:C,C637)-SUMIFS(AJ:AJ,D:D,"&lt;="&amp;D637,C:C,C637)+SUMIFS(N:N,D:D,"&lt;="&amp;D637,C:C,C637)+SUMIFS(P:P,D:D,"&lt;="&amp;D637,C:C,C637)&lt;0,0,SUMIFS('Shipments data'!L:L,'Shipments data'!F:F,'Supply planning data'!C637,'Shipments data'!A:A,'Supply planning data'!A637,'Shipments data'!O:O,"received",'Shipments data'!Q:Q,"&lt;"&amp;'Supply planning data'!D652,'Shipments data'!AC:AC,"&lt;"&amp;'Supply planning data'!D652)-SUMIFS(M:M,D:D,"&lt;="&amp;D637,C:C,C637)-SUMIFS(AJ:AJ,D:D,"&lt;="&amp;D637,C:C,C637)+SUMIFS(N:N,D:D,"&lt;="&amp;D637,C:C,C637)+SUMIFS(P:P,D:D,"&lt;="&amp;D637,C:C,C637))</f>
        <v>0</v>
      </c>
      <c r="AM637" s="98">
        <f t="shared" si="192"/>
        <v>0</v>
      </c>
      <c r="AN637" s="98">
        <f t="shared" si="185"/>
        <v>0</v>
      </c>
      <c r="AO637" s="203" t="str">
        <f t="shared" si="195"/>
        <v/>
      </c>
    </row>
    <row r="638" spans="1:41" x14ac:dyDescent="0.25">
      <c r="A638" s="95" t="str">
        <f>Start!D$7</f>
        <v>Anyland</v>
      </c>
      <c r="B638" s="96" t="str">
        <f>VLOOKUP(A638,list!B:C,2,FALSE)</f>
        <v>ANY</v>
      </c>
      <c r="C638" s="90" t="str">
        <f>IF(Start!$C$20="","",Start!$C$20)</f>
        <v>Pfizer</v>
      </c>
      <c r="D638" s="296">
        <f t="shared" si="186"/>
        <v>45474</v>
      </c>
      <c r="E638" s="92" t="str">
        <f>IFERROR(VLOOKUP(C638,Start!C$15:D$31,2,FALSE),"No")</f>
        <v>Yes</v>
      </c>
      <c r="F638" s="92">
        <f t="shared" si="187"/>
        <v>3000000</v>
      </c>
      <c r="G638" s="91"/>
      <c r="H638" s="97"/>
      <c r="I638" s="97"/>
      <c r="J638" s="98">
        <f t="shared" si="179"/>
        <v>0</v>
      </c>
      <c r="K638" s="97"/>
      <c r="L638" s="175" t="str">
        <f t="shared" si="180"/>
        <v/>
      </c>
      <c r="M638" s="98">
        <f t="shared" si="181"/>
        <v>0</v>
      </c>
      <c r="N638" s="97"/>
      <c r="O638" s="122"/>
      <c r="P638" s="97"/>
      <c r="Q638" s="122"/>
      <c r="R638" s="98">
        <f>SUMIFS('Shipments data'!L:L,'Shipments data'!F:F,'Supply planning data'!C638,'Shipments data'!A:A,'Supply planning data'!A638,'Shipments data'!Y:Y,'Supply planning data'!D638,'Shipments data'!O:O,"received", 'Shipments data'!N:N, "Public")</f>
        <v>0</v>
      </c>
      <c r="S638" s="98">
        <f>SUMIFS('Shipments data'!L:L,'Shipments data'!F:F,'Supply planning data'!C638,'Shipments data'!A:A,'Supply planning data'!A638,'Shipments data'!Y:Y,'Supply planning data'!D638,'Shipments data'!O:O,"ordered", 'Shipments data'!N:N, "Public")</f>
        <v>0</v>
      </c>
      <c r="T638" s="98">
        <f>IF(SUMIFS('Shipments data'!L:L,'Shipments data'!F:F,'Supply planning data'!C638,'Shipments data'!A:A,'Supply planning data'!A638,'Shipments data'!O:O,"received",'Shipments data'!Q:Q,"&lt;"&amp;'Supply planning data'!D653,'Shipments data'!AC:AC,"&lt;"&amp;'Supply planning data'!D653)-SUMIFS(M:M,D:D,"&lt;="&amp;D638,C:C,C638)+SUMIFS(N:N,D:D,"&lt;="&amp;D638,C:C,C638)+SUMIFS(P:P,D:D,"&lt;="&amp;D638,C:C,C638)&lt;0,0,SUMIFS('Shipments data'!L:L,'Shipments data'!F:F,'Supply planning data'!C638,'Shipments data'!A:A,'Supply planning data'!A638,'Shipments data'!O:O,"received",'Shipments data'!Q:Q,"&lt;"&amp;'Supply planning data'!D653,'Shipments data'!AC:AC,"&lt;"&amp;'Supply planning data'!D653)-SUMIFS(M:M,D:D,"&lt;="&amp;D638,C:C,C638)+SUMIFS(N:N,D:D,"&lt;="&amp;D638,C:C,C638)+SUMIFS(P:P,D:D,"&lt;="&amp;D638,C:C,C638))</f>
        <v>110538</v>
      </c>
      <c r="U638" s="99">
        <f t="shared" si="188"/>
        <v>0</v>
      </c>
      <c r="V638" s="98">
        <f t="shared" si="196"/>
        <v>3000000</v>
      </c>
      <c r="W638" s="203" t="str">
        <f t="shared" si="194"/>
        <v/>
      </c>
      <c r="X638" s="98">
        <f t="shared" si="189"/>
        <v>2440000</v>
      </c>
      <c r="Y638" s="97"/>
      <c r="Z638" s="93"/>
      <c r="AA638" s="98">
        <f t="shared" si="182"/>
        <v>0</v>
      </c>
      <c r="AB638" s="233"/>
      <c r="AC638" s="98">
        <f>IF(SUMIFS('Shipments data'!L:L,'Shipments data'!F:F,'Supply planning data'!C638,'Shipments data'!A:A,'Supply planning data'!A638,'Shipments data'!O:O,"received",'Shipments data'!Q:Q,"&lt;"&amp;'Supply planning data'!D653,'Shipments data'!AC:AC,"&lt;"&amp;'Supply planning data'!D653)-SUMIFS(M:M,D:D,"&lt;="&amp;D638,C:C,C638)-SUMIFS(AA:AA,D:D,"&lt;="&amp;D638,C:C,C638)+SUMIFS(N:N,D:D,"&lt;="&amp;D638,C:C,C638)+SUMIFS(P:P,D:D,"&lt;="&amp;D638,C:C,C638)&lt;0,0,SUMIFS('Shipments data'!L:L,'Shipments data'!F:F,'Supply planning data'!C638,'Shipments data'!A:A,'Supply planning data'!A638,'Shipments data'!O:O,"received",'Shipments data'!Q:Q,"&lt;"&amp;'Supply planning data'!D653,'Shipments data'!AC:AC,"&lt;"&amp;'Supply planning data'!D653)-SUMIFS(M:M,D:D,"&lt;="&amp;D638,C:C,C638)-SUMIFS(AA:AA,D:D,"&lt;="&amp;D638,C:C,C638)+SUMIFS(N:N,D:D,"&lt;="&amp;D638,C:C,C638)+SUMIFS(P:P,D:D,"&lt;="&amp;D638,C:C,C638))</f>
        <v>0</v>
      </c>
      <c r="AD638" s="98">
        <f t="shared" si="190"/>
        <v>0</v>
      </c>
      <c r="AE638" s="98">
        <f t="shared" si="184"/>
        <v>2440000</v>
      </c>
      <c r="AF638" s="205" t="str">
        <f t="shared" si="193"/>
        <v/>
      </c>
      <c r="AG638" s="98">
        <f t="shared" si="191"/>
        <v>3000000</v>
      </c>
      <c r="AH638" s="97"/>
      <c r="AI638" s="311"/>
      <c r="AJ638" s="98">
        <f t="shared" si="183"/>
        <v>0</v>
      </c>
      <c r="AK638" s="233"/>
      <c r="AL638" s="98">
        <f>IF(SUMIFS('Shipments data'!L:L,'Shipments data'!F:F,'Supply planning data'!C638,'Shipments data'!A:A,'Supply planning data'!A638,'Shipments data'!O:O,"received",'Shipments data'!Q:Q,"&lt;"&amp;'Supply planning data'!D653,'Shipments data'!AC:AC,"&lt;"&amp;'Supply planning data'!D653)-SUMIFS(M:M,D:D,"&lt;="&amp;D638,C:C,C638)-SUMIFS(AJ:AJ,D:D,"&lt;="&amp;D638,C:C,C638)+SUMIFS(N:N,D:D,"&lt;="&amp;D638,C:C,C638)+SUMIFS(P:P,D:D,"&lt;="&amp;D638,C:C,C638)&lt;0,0,SUMIFS('Shipments data'!L:L,'Shipments data'!F:F,'Supply planning data'!C638,'Shipments data'!A:A,'Supply planning data'!A638,'Shipments data'!O:O,"received",'Shipments data'!Q:Q,"&lt;"&amp;'Supply planning data'!D653,'Shipments data'!AC:AC,"&lt;"&amp;'Supply planning data'!D653)-SUMIFS(M:M,D:D,"&lt;="&amp;D638,C:C,C638)-SUMIFS(AJ:AJ,D:D,"&lt;="&amp;D638,C:C,C638)+SUMIFS(N:N,D:D,"&lt;="&amp;D638,C:C,C638)+SUMIFS(P:P,D:D,"&lt;="&amp;D638,C:C,C638))</f>
        <v>110538</v>
      </c>
      <c r="AM638" s="98">
        <f t="shared" si="192"/>
        <v>0</v>
      </c>
      <c r="AN638" s="98">
        <f t="shared" si="185"/>
        <v>3000000</v>
      </c>
      <c r="AO638" s="203" t="str">
        <f t="shared" si="195"/>
        <v/>
      </c>
    </row>
    <row r="639" spans="1:41" x14ac:dyDescent="0.25">
      <c r="A639" s="95" t="str">
        <f>Start!D$7</f>
        <v>Anyland</v>
      </c>
      <c r="B639" s="96" t="str">
        <f>VLOOKUP(A639,list!B:C,2,FALSE)</f>
        <v>ANY</v>
      </c>
      <c r="C639" s="90" t="str">
        <f>IF(Start!$C$21="","",Start!$C$21)</f>
        <v>Sinovac</v>
      </c>
      <c r="D639" s="296">
        <f t="shared" si="186"/>
        <v>45474</v>
      </c>
      <c r="E639" s="92" t="str">
        <f>IFERROR(VLOOKUP(C639,Start!C$15:D$31,2,FALSE),"No")</f>
        <v>No</v>
      </c>
      <c r="F639" s="92">
        <f t="shared" si="187"/>
        <v>0</v>
      </c>
      <c r="G639" s="91"/>
      <c r="H639" s="97"/>
      <c r="I639" s="97"/>
      <c r="J639" s="98">
        <f t="shared" si="179"/>
        <v>0</v>
      </c>
      <c r="K639" s="97"/>
      <c r="L639" s="175" t="str">
        <f t="shared" si="180"/>
        <v/>
      </c>
      <c r="M639" s="98">
        <f t="shared" si="181"/>
        <v>0</v>
      </c>
      <c r="N639" s="97"/>
      <c r="O639" s="122"/>
      <c r="P639" s="97"/>
      <c r="Q639" s="122"/>
      <c r="R639" s="98">
        <f>SUMIFS('Shipments data'!L:L,'Shipments data'!F:F,'Supply planning data'!C639,'Shipments data'!A:A,'Supply planning data'!A639,'Shipments data'!Y:Y,'Supply planning data'!D639,'Shipments data'!O:O,"received", 'Shipments data'!N:N, "Public")</f>
        <v>0</v>
      </c>
      <c r="S639" s="98">
        <f>SUMIFS('Shipments data'!L:L,'Shipments data'!F:F,'Supply planning data'!C639,'Shipments data'!A:A,'Supply planning data'!A639,'Shipments data'!Y:Y,'Supply planning data'!D639,'Shipments data'!O:O,"ordered", 'Shipments data'!N:N, "Public")</f>
        <v>0</v>
      </c>
      <c r="T639" s="98">
        <f>IF(SUMIFS('Shipments data'!L:L,'Shipments data'!F:F,'Supply planning data'!C639,'Shipments data'!A:A,'Supply planning data'!A639,'Shipments data'!O:O,"received",'Shipments data'!Q:Q,"&lt;"&amp;'Supply planning data'!D654,'Shipments data'!AC:AC,"&lt;"&amp;'Supply planning data'!D654)-SUMIFS(M:M,D:D,"&lt;="&amp;D639,C:C,C639)+SUMIFS(N:N,D:D,"&lt;="&amp;D639,C:C,C639)+SUMIFS(P:P,D:D,"&lt;="&amp;D639,C:C,C639)&lt;0,0,SUMIFS('Shipments data'!L:L,'Shipments data'!F:F,'Supply planning data'!C639,'Shipments data'!A:A,'Supply planning data'!A639,'Shipments data'!O:O,"received",'Shipments data'!Q:Q,"&lt;"&amp;'Supply planning data'!D654,'Shipments data'!AC:AC,"&lt;"&amp;'Supply planning data'!D654)-SUMIFS(M:M,D:D,"&lt;="&amp;D639,C:C,C639)+SUMIFS(N:N,D:D,"&lt;="&amp;D639,C:C,C639)+SUMIFS(P:P,D:D,"&lt;="&amp;D639,C:C,C639))</f>
        <v>0</v>
      </c>
      <c r="U639" s="99">
        <f t="shared" si="188"/>
        <v>0</v>
      </c>
      <c r="V639" s="98">
        <f t="shared" si="196"/>
        <v>0</v>
      </c>
      <c r="W639" s="203" t="str">
        <f t="shared" si="194"/>
        <v/>
      </c>
      <c r="X639" s="98">
        <f t="shared" si="189"/>
        <v>0</v>
      </c>
      <c r="Y639" s="97"/>
      <c r="Z639" s="93"/>
      <c r="AA639" s="98">
        <f t="shared" si="182"/>
        <v>0</v>
      </c>
      <c r="AB639" s="233"/>
      <c r="AC639" s="98">
        <f>IF(SUMIFS('Shipments data'!L:L,'Shipments data'!F:F,'Supply planning data'!C639,'Shipments data'!A:A,'Supply planning data'!A639,'Shipments data'!O:O,"received",'Shipments data'!Q:Q,"&lt;"&amp;'Supply planning data'!D654,'Shipments data'!AC:AC,"&lt;"&amp;'Supply planning data'!D654)-SUMIFS(M:M,D:D,"&lt;="&amp;D639,C:C,C639)-SUMIFS(AA:AA,D:D,"&lt;="&amp;D639,C:C,C639)+SUMIFS(N:N,D:D,"&lt;="&amp;D639,C:C,C639)+SUMIFS(P:P,D:D,"&lt;="&amp;D639,C:C,C639)&lt;0,0,SUMIFS('Shipments data'!L:L,'Shipments data'!F:F,'Supply planning data'!C639,'Shipments data'!A:A,'Supply planning data'!A639,'Shipments data'!O:O,"received",'Shipments data'!Q:Q,"&lt;"&amp;'Supply planning data'!D654,'Shipments data'!AC:AC,"&lt;"&amp;'Supply planning data'!D654)-SUMIFS(M:M,D:D,"&lt;="&amp;D639,C:C,C639)-SUMIFS(AA:AA,D:D,"&lt;="&amp;D639,C:C,C639)+SUMIFS(N:N,D:D,"&lt;="&amp;D639,C:C,C639)+SUMIFS(P:P,D:D,"&lt;="&amp;D639,C:C,C639))</f>
        <v>0</v>
      </c>
      <c r="AD639" s="98">
        <f t="shared" si="190"/>
        <v>0</v>
      </c>
      <c r="AE639" s="98">
        <f t="shared" si="184"/>
        <v>0</v>
      </c>
      <c r="AF639" s="205" t="str">
        <f t="shared" si="193"/>
        <v/>
      </c>
      <c r="AG639" s="98">
        <f t="shared" si="191"/>
        <v>0</v>
      </c>
      <c r="AH639" s="97"/>
      <c r="AI639" s="311"/>
      <c r="AJ639" s="98">
        <f t="shared" si="183"/>
        <v>0</v>
      </c>
      <c r="AK639" s="233"/>
      <c r="AL639" s="98">
        <f>IF(SUMIFS('Shipments data'!L:L,'Shipments data'!F:F,'Supply planning data'!C639,'Shipments data'!A:A,'Supply planning data'!A639,'Shipments data'!O:O,"received",'Shipments data'!Q:Q,"&lt;"&amp;'Supply planning data'!D654,'Shipments data'!AC:AC,"&lt;"&amp;'Supply planning data'!D654)-SUMIFS(M:M,D:D,"&lt;="&amp;D639,C:C,C639)-SUMIFS(AJ:AJ,D:D,"&lt;="&amp;D639,C:C,C639)+SUMIFS(N:N,D:D,"&lt;="&amp;D639,C:C,C639)+SUMIFS(P:P,D:D,"&lt;="&amp;D639,C:C,C639)&lt;0,0,SUMIFS('Shipments data'!L:L,'Shipments data'!F:F,'Supply planning data'!C639,'Shipments data'!A:A,'Supply planning data'!A639,'Shipments data'!O:O,"received",'Shipments data'!Q:Q,"&lt;"&amp;'Supply planning data'!D654,'Shipments data'!AC:AC,"&lt;"&amp;'Supply planning data'!D654)-SUMIFS(M:M,D:D,"&lt;="&amp;D639,C:C,C639)-SUMIFS(AJ:AJ,D:D,"&lt;="&amp;D639,C:C,C639)+SUMIFS(N:N,D:D,"&lt;="&amp;D639,C:C,C639)+SUMIFS(P:P,D:D,"&lt;="&amp;D639,C:C,C639))</f>
        <v>0</v>
      </c>
      <c r="AM639" s="98">
        <f t="shared" si="192"/>
        <v>0</v>
      </c>
      <c r="AN639" s="98">
        <f t="shared" si="185"/>
        <v>0</v>
      </c>
      <c r="AO639" s="203" t="str">
        <f t="shared" si="195"/>
        <v/>
      </c>
    </row>
    <row r="640" spans="1:41" hidden="1" x14ac:dyDescent="0.25">
      <c r="A640" s="95" t="str">
        <f>Start!D$7</f>
        <v>Anyland</v>
      </c>
      <c r="B640" s="96" t="str">
        <f>VLOOKUP(A640,list!B:C,2,FALSE)</f>
        <v>ANY</v>
      </c>
      <c r="C640" s="90" t="str">
        <f>IF(Start!$C$22="","",Start!$C$22)</f>
        <v/>
      </c>
      <c r="D640" s="296">
        <f t="shared" si="186"/>
        <v>45474</v>
      </c>
      <c r="E640" s="92" t="str">
        <f>IFERROR(VLOOKUP(C640,Start!C$15:D$31,2,FALSE),"No")</f>
        <v>No</v>
      </c>
      <c r="F640" s="92">
        <f t="shared" si="187"/>
        <v>0</v>
      </c>
      <c r="G640" s="91"/>
      <c r="H640" s="97"/>
      <c r="I640" s="97"/>
      <c r="J640" s="98">
        <f t="shared" si="179"/>
        <v>0</v>
      </c>
      <c r="K640" s="97"/>
      <c r="L640" s="175" t="str">
        <f t="shared" si="180"/>
        <v/>
      </c>
      <c r="M640" s="98">
        <f t="shared" si="181"/>
        <v>0</v>
      </c>
      <c r="N640" s="97"/>
      <c r="O640" s="122"/>
      <c r="P640" s="97"/>
      <c r="Q640" s="122"/>
      <c r="R640" s="98">
        <f>SUMIFS('Shipments data'!L:L,'Shipments data'!F:F,'Supply planning data'!C640,'Shipments data'!A:A,'Supply planning data'!A640,'Shipments data'!Y:Y,'Supply planning data'!D640,'Shipments data'!O:O,"received", 'Shipments data'!N:N, "Public")</f>
        <v>0</v>
      </c>
      <c r="S640" s="98">
        <f>SUMIFS('Shipments data'!L:L,'Shipments data'!F:F,'Supply planning data'!C640,'Shipments data'!A:A,'Supply planning data'!A640,'Shipments data'!Y:Y,'Supply planning data'!D640,'Shipments data'!O:O,"ordered", 'Shipments data'!N:N, "Public")</f>
        <v>0</v>
      </c>
      <c r="T640" s="98">
        <f>IF(SUMIFS('Shipments data'!L:L,'Shipments data'!F:F,'Supply planning data'!C640,'Shipments data'!A:A,'Supply planning data'!A640,'Shipments data'!O:O,"received",'Shipments data'!Q:Q,"&lt;"&amp;'Supply planning data'!D655,'Shipments data'!AC:AC,"&lt;"&amp;'Supply planning data'!D655)-SUMIFS(M:M,D:D,"&lt;="&amp;D640,C:C,C640)+SUMIFS(N:N,D:D,"&lt;="&amp;D640,C:C,C640)+SUMIFS(P:P,D:D,"&lt;="&amp;D640,C:C,C640)&lt;0,0,SUMIFS('Shipments data'!L:L,'Shipments data'!F:F,'Supply planning data'!C640,'Shipments data'!A:A,'Supply planning data'!A640,'Shipments data'!O:O,"received",'Shipments data'!Q:Q,"&lt;"&amp;'Supply planning data'!D655,'Shipments data'!AC:AC,"&lt;"&amp;'Supply planning data'!D655)-SUMIFS(M:M,D:D,"&lt;="&amp;D640,C:C,C640)+SUMIFS(N:N,D:D,"&lt;="&amp;D640,C:C,C640)+SUMIFS(P:P,D:D,"&lt;="&amp;D640,C:C,C640))</f>
        <v>0</v>
      </c>
      <c r="U640" s="99">
        <f t="shared" si="188"/>
        <v>0</v>
      </c>
      <c r="V640" s="98">
        <f t="shared" si="196"/>
        <v>0</v>
      </c>
      <c r="W640" s="203" t="str">
        <f t="shared" si="194"/>
        <v/>
      </c>
      <c r="X640" s="98">
        <f t="shared" si="189"/>
        <v>0</v>
      </c>
      <c r="Y640" s="97"/>
      <c r="Z640" s="93"/>
      <c r="AA640" s="98">
        <f t="shared" si="182"/>
        <v>0</v>
      </c>
      <c r="AB640" s="233"/>
      <c r="AC640" s="98">
        <f>IF(SUMIFS('Shipments data'!L:L,'Shipments data'!F:F,'Supply planning data'!C640,'Shipments data'!A:A,'Supply planning data'!A640,'Shipments data'!O:O,"received",'Shipments data'!Q:Q,"&lt;"&amp;'Supply planning data'!D655,'Shipments data'!AC:AC,"&lt;"&amp;'Supply planning data'!D655)-SUMIFS(M:M,D:D,"&lt;="&amp;D640,C:C,C640)-SUMIFS(AA:AA,D:D,"&lt;="&amp;D640,C:C,C640)+SUMIFS(N:N,D:D,"&lt;="&amp;D640,C:C,C640)+SUMIFS(P:P,D:D,"&lt;="&amp;D640,C:C,C640)&lt;0,0,SUMIFS('Shipments data'!L:L,'Shipments data'!F:F,'Supply planning data'!C640,'Shipments data'!A:A,'Supply planning data'!A640,'Shipments data'!O:O,"received",'Shipments data'!Q:Q,"&lt;"&amp;'Supply planning data'!D655,'Shipments data'!AC:AC,"&lt;"&amp;'Supply planning data'!D655)-SUMIFS(M:M,D:D,"&lt;="&amp;D640,C:C,C640)-SUMIFS(AA:AA,D:D,"&lt;="&amp;D640,C:C,C640)+SUMIFS(N:N,D:D,"&lt;="&amp;D640,C:C,C640)+SUMIFS(P:P,D:D,"&lt;="&amp;D640,C:C,C640))</f>
        <v>0</v>
      </c>
      <c r="AD640" s="98">
        <f t="shared" si="190"/>
        <v>0</v>
      </c>
      <c r="AE640" s="98">
        <f t="shared" si="184"/>
        <v>0</v>
      </c>
      <c r="AF640" s="205" t="str">
        <f t="shared" si="193"/>
        <v/>
      </c>
      <c r="AG640" s="98">
        <f t="shared" si="191"/>
        <v>0</v>
      </c>
      <c r="AH640" s="97"/>
      <c r="AI640" s="311"/>
      <c r="AJ640" s="98">
        <f t="shared" si="183"/>
        <v>0</v>
      </c>
      <c r="AK640" s="233"/>
      <c r="AL640" s="98">
        <f>IF(SUMIFS('Shipments data'!L:L,'Shipments data'!F:F,'Supply planning data'!C640,'Shipments data'!A:A,'Supply planning data'!A640,'Shipments data'!O:O,"received",'Shipments data'!Q:Q,"&lt;"&amp;'Supply planning data'!D655,'Shipments data'!AC:AC,"&lt;"&amp;'Supply planning data'!D655)-SUMIFS(M:M,D:D,"&lt;="&amp;D640,C:C,C640)-SUMIFS(AJ:AJ,D:D,"&lt;="&amp;D640,C:C,C640)+SUMIFS(N:N,D:D,"&lt;="&amp;D640,C:C,C640)+SUMIFS(P:P,D:D,"&lt;="&amp;D640,C:C,C640)&lt;0,0,SUMIFS('Shipments data'!L:L,'Shipments data'!F:F,'Supply planning data'!C640,'Shipments data'!A:A,'Supply planning data'!A640,'Shipments data'!O:O,"received",'Shipments data'!Q:Q,"&lt;"&amp;'Supply planning data'!D655,'Shipments data'!AC:AC,"&lt;"&amp;'Supply planning data'!D655)-SUMIFS(M:M,D:D,"&lt;="&amp;D640,C:C,C640)-SUMIFS(AJ:AJ,D:D,"&lt;="&amp;D640,C:C,C640)+SUMIFS(N:N,D:D,"&lt;="&amp;D640,C:C,C640)+SUMIFS(P:P,D:D,"&lt;="&amp;D640,C:C,C640))</f>
        <v>0</v>
      </c>
      <c r="AM640" s="98">
        <f t="shared" si="192"/>
        <v>0</v>
      </c>
      <c r="AN640" s="98">
        <f t="shared" si="185"/>
        <v>0</v>
      </c>
      <c r="AO640" s="203" t="str">
        <f t="shared" si="195"/>
        <v/>
      </c>
    </row>
    <row r="641" spans="1:41" hidden="1" x14ac:dyDescent="0.25">
      <c r="A641" s="95" t="str">
        <f>Start!D$7</f>
        <v>Anyland</v>
      </c>
      <c r="B641" s="96" t="str">
        <f>VLOOKUP(A641,list!B:C,2,FALSE)</f>
        <v>ANY</v>
      </c>
      <c r="C641" s="90" t="str">
        <f>IF(Start!$C$23="","",Start!$C$23)</f>
        <v/>
      </c>
      <c r="D641" s="296">
        <f t="shared" si="186"/>
        <v>45474</v>
      </c>
      <c r="E641" s="92" t="str">
        <f>IFERROR(VLOOKUP(C641,Start!C$15:D$31,2,FALSE),"No")</f>
        <v>No</v>
      </c>
      <c r="F641" s="92">
        <f t="shared" si="187"/>
        <v>0</v>
      </c>
      <c r="G641" s="91"/>
      <c r="H641" s="97"/>
      <c r="I641" s="97"/>
      <c r="J641" s="98">
        <f t="shared" si="179"/>
        <v>0</v>
      </c>
      <c r="K641" s="97"/>
      <c r="L641" s="175" t="str">
        <f t="shared" si="180"/>
        <v/>
      </c>
      <c r="M641" s="98">
        <f t="shared" si="181"/>
        <v>0</v>
      </c>
      <c r="N641" s="97"/>
      <c r="O641" s="122"/>
      <c r="P641" s="97"/>
      <c r="Q641" s="122"/>
      <c r="R641" s="98">
        <f>SUMIFS('Shipments data'!L:L,'Shipments data'!F:F,'Supply planning data'!C641,'Shipments data'!A:A,'Supply planning data'!A641,'Shipments data'!Y:Y,'Supply planning data'!D641,'Shipments data'!O:O,"received", 'Shipments data'!N:N, "Public")</f>
        <v>0</v>
      </c>
      <c r="S641" s="98">
        <f>SUMIFS('Shipments data'!L:L,'Shipments data'!F:F,'Supply planning data'!C641,'Shipments data'!A:A,'Supply planning data'!A641,'Shipments data'!Y:Y,'Supply planning data'!D641,'Shipments data'!O:O,"ordered", 'Shipments data'!N:N, "Public")</f>
        <v>0</v>
      </c>
      <c r="T641" s="98">
        <f>IF(SUMIFS('Shipments data'!L:L,'Shipments data'!F:F,'Supply planning data'!C641,'Shipments data'!A:A,'Supply planning data'!A641,'Shipments data'!O:O,"received",'Shipments data'!Q:Q,"&lt;"&amp;'Supply planning data'!D656,'Shipments data'!AC:AC,"&lt;"&amp;'Supply planning data'!D656)-SUMIFS(M:M,D:D,"&lt;="&amp;D641,C:C,C641)+SUMIFS(N:N,D:D,"&lt;="&amp;D641,C:C,C641)+SUMIFS(P:P,D:D,"&lt;="&amp;D641,C:C,C641)&lt;0,0,SUMIFS('Shipments data'!L:L,'Shipments data'!F:F,'Supply planning data'!C641,'Shipments data'!A:A,'Supply planning data'!A641,'Shipments data'!O:O,"received",'Shipments data'!Q:Q,"&lt;"&amp;'Supply planning data'!D656,'Shipments data'!AC:AC,"&lt;"&amp;'Supply planning data'!D656)-SUMIFS(M:M,D:D,"&lt;="&amp;D641,C:C,C641)+SUMIFS(N:N,D:D,"&lt;="&amp;D641,C:C,C641)+SUMIFS(P:P,D:D,"&lt;="&amp;D641,C:C,C641))</f>
        <v>0</v>
      </c>
      <c r="U641" s="99">
        <f t="shared" si="188"/>
        <v>0</v>
      </c>
      <c r="V641" s="98">
        <f t="shared" si="196"/>
        <v>0</v>
      </c>
      <c r="W641" s="203" t="str">
        <f t="shared" si="194"/>
        <v/>
      </c>
      <c r="X641" s="98">
        <f t="shared" si="189"/>
        <v>0</v>
      </c>
      <c r="Y641" s="97"/>
      <c r="Z641" s="93"/>
      <c r="AA641" s="98">
        <f t="shared" si="182"/>
        <v>0</v>
      </c>
      <c r="AB641" s="233"/>
      <c r="AC641" s="98">
        <f>IF(SUMIFS('Shipments data'!L:L,'Shipments data'!F:F,'Supply planning data'!C641,'Shipments data'!A:A,'Supply planning data'!A641,'Shipments data'!O:O,"received",'Shipments data'!Q:Q,"&lt;"&amp;'Supply planning data'!D656,'Shipments data'!AC:AC,"&lt;"&amp;'Supply planning data'!D656)-SUMIFS(M:M,D:D,"&lt;="&amp;D641,C:C,C641)-SUMIFS(AA:AA,D:D,"&lt;="&amp;D641,C:C,C641)+SUMIFS(N:N,D:D,"&lt;="&amp;D641,C:C,C641)+SUMIFS(P:P,D:D,"&lt;="&amp;D641,C:C,C641)&lt;0,0,SUMIFS('Shipments data'!L:L,'Shipments data'!F:F,'Supply planning data'!C641,'Shipments data'!A:A,'Supply planning data'!A641,'Shipments data'!O:O,"received",'Shipments data'!Q:Q,"&lt;"&amp;'Supply planning data'!D656,'Shipments data'!AC:AC,"&lt;"&amp;'Supply planning data'!D656)-SUMIFS(M:M,D:D,"&lt;="&amp;D641,C:C,C641)-SUMIFS(AA:AA,D:D,"&lt;="&amp;D641,C:C,C641)+SUMIFS(N:N,D:D,"&lt;="&amp;D641,C:C,C641)+SUMIFS(P:P,D:D,"&lt;="&amp;D641,C:C,C641))</f>
        <v>0</v>
      </c>
      <c r="AD641" s="98">
        <f t="shared" si="190"/>
        <v>0</v>
      </c>
      <c r="AE641" s="98">
        <f t="shared" si="184"/>
        <v>0</v>
      </c>
      <c r="AF641" s="205" t="str">
        <f t="shared" si="193"/>
        <v/>
      </c>
      <c r="AG641" s="98">
        <f t="shared" si="191"/>
        <v>0</v>
      </c>
      <c r="AH641" s="97"/>
      <c r="AI641" s="311"/>
      <c r="AJ641" s="98">
        <f t="shared" si="183"/>
        <v>0</v>
      </c>
      <c r="AK641" s="233"/>
      <c r="AL641" s="98">
        <f>IF(SUMIFS('Shipments data'!L:L,'Shipments data'!F:F,'Supply planning data'!C641,'Shipments data'!A:A,'Supply planning data'!A641,'Shipments data'!O:O,"received",'Shipments data'!Q:Q,"&lt;"&amp;'Supply planning data'!D656,'Shipments data'!AC:AC,"&lt;"&amp;'Supply planning data'!D656)-SUMIFS(M:M,D:D,"&lt;="&amp;D641,C:C,C641)-SUMIFS(AJ:AJ,D:D,"&lt;="&amp;D641,C:C,C641)+SUMIFS(N:N,D:D,"&lt;="&amp;D641,C:C,C641)+SUMIFS(P:P,D:D,"&lt;="&amp;D641,C:C,C641)&lt;0,0,SUMIFS('Shipments data'!L:L,'Shipments data'!F:F,'Supply planning data'!C641,'Shipments data'!A:A,'Supply planning data'!A641,'Shipments data'!O:O,"received",'Shipments data'!Q:Q,"&lt;"&amp;'Supply planning data'!D656,'Shipments data'!AC:AC,"&lt;"&amp;'Supply planning data'!D656)-SUMIFS(M:M,D:D,"&lt;="&amp;D641,C:C,C641)-SUMIFS(AJ:AJ,D:D,"&lt;="&amp;D641,C:C,C641)+SUMIFS(N:N,D:D,"&lt;="&amp;D641,C:C,C641)+SUMIFS(P:P,D:D,"&lt;="&amp;D641,C:C,C641))</f>
        <v>0</v>
      </c>
      <c r="AM641" s="98">
        <f t="shared" si="192"/>
        <v>0</v>
      </c>
      <c r="AN641" s="98">
        <f t="shared" si="185"/>
        <v>0</v>
      </c>
      <c r="AO641" s="203" t="str">
        <f t="shared" si="195"/>
        <v/>
      </c>
    </row>
    <row r="642" spans="1:41" hidden="1" x14ac:dyDescent="0.25">
      <c r="A642" s="95" t="str">
        <f>Start!D$7</f>
        <v>Anyland</v>
      </c>
      <c r="B642" s="96" t="str">
        <f>VLOOKUP(A642,list!B:C,2,FALSE)</f>
        <v>ANY</v>
      </c>
      <c r="C642" s="90" t="str">
        <f>IF(Start!$C$24="","",Start!$C$24)</f>
        <v/>
      </c>
      <c r="D642" s="296">
        <f t="shared" si="186"/>
        <v>45474</v>
      </c>
      <c r="E642" s="92" t="str">
        <f>IFERROR(VLOOKUP(C642,Start!C$15:D$31,2,FALSE),"No")</f>
        <v>No</v>
      </c>
      <c r="F642" s="92">
        <f t="shared" si="187"/>
        <v>0</v>
      </c>
      <c r="G642" s="91"/>
      <c r="H642" s="97"/>
      <c r="I642" s="97"/>
      <c r="J642" s="98">
        <f t="shared" si="179"/>
        <v>0</v>
      </c>
      <c r="K642" s="97"/>
      <c r="L642" s="175" t="str">
        <f t="shared" si="180"/>
        <v/>
      </c>
      <c r="M642" s="98">
        <f t="shared" si="181"/>
        <v>0</v>
      </c>
      <c r="N642" s="97"/>
      <c r="O642" s="122"/>
      <c r="P642" s="97"/>
      <c r="Q642" s="122"/>
      <c r="R642" s="98">
        <f>SUMIFS('Shipments data'!L:L,'Shipments data'!F:F,'Supply planning data'!C642,'Shipments data'!A:A,'Supply planning data'!A642,'Shipments data'!Y:Y,'Supply planning data'!D642,'Shipments data'!O:O,"received", 'Shipments data'!N:N, "Public")</f>
        <v>0</v>
      </c>
      <c r="S642" s="98">
        <f>SUMIFS('Shipments data'!L:L,'Shipments data'!F:F,'Supply planning data'!C642,'Shipments data'!A:A,'Supply planning data'!A642,'Shipments data'!Y:Y,'Supply planning data'!D642,'Shipments data'!O:O,"ordered", 'Shipments data'!N:N, "Public")</f>
        <v>0</v>
      </c>
      <c r="T642" s="98">
        <f>IF(SUMIFS('Shipments data'!L:L,'Shipments data'!F:F,'Supply planning data'!C642,'Shipments data'!A:A,'Supply planning data'!A642,'Shipments data'!O:O,"received",'Shipments data'!Q:Q,"&lt;"&amp;'Supply planning data'!D657,'Shipments data'!AC:AC,"&lt;"&amp;'Supply planning data'!D657)-SUMIFS(M:M,D:D,"&lt;="&amp;D642,C:C,C642)+SUMIFS(N:N,D:D,"&lt;="&amp;D642,C:C,C642)+SUMIFS(P:P,D:D,"&lt;="&amp;D642,C:C,C642)&lt;0,0,SUMIFS('Shipments data'!L:L,'Shipments data'!F:F,'Supply planning data'!C642,'Shipments data'!A:A,'Supply planning data'!A642,'Shipments data'!O:O,"received",'Shipments data'!Q:Q,"&lt;"&amp;'Supply planning data'!D657,'Shipments data'!AC:AC,"&lt;"&amp;'Supply planning data'!D657)-SUMIFS(M:M,D:D,"&lt;="&amp;D642,C:C,C642)+SUMIFS(N:N,D:D,"&lt;="&amp;D642,C:C,C642)+SUMIFS(P:P,D:D,"&lt;="&amp;D642,C:C,C642))</f>
        <v>0</v>
      </c>
      <c r="U642" s="99">
        <f t="shared" si="188"/>
        <v>0</v>
      </c>
      <c r="V642" s="98">
        <f t="shared" si="196"/>
        <v>0</v>
      </c>
      <c r="W642" s="203" t="str">
        <f t="shared" si="194"/>
        <v/>
      </c>
      <c r="X642" s="98">
        <f t="shared" si="189"/>
        <v>0</v>
      </c>
      <c r="Y642" s="97"/>
      <c r="Z642" s="93"/>
      <c r="AA642" s="98">
        <f t="shared" si="182"/>
        <v>0</v>
      </c>
      <c r="AB642" s="233"/>
      <c r="AC642" s="98">
        <f>IF(SUMIFS('Shipments data'!L:L,'Shipments data'!F:F,'Supply planning data'!C642,'Shipments data'!A:A,'Supply planning data'!A642,'Shipments data'!O:O,"received",'Shipments data'!Q:Q,"&lt;"&amp;'Supply planning data'!D657,'Shipments data'!AC:AC,"&lt;"&amp;'Supply planning data'!D657)-SUMIFS(M:M,D:D,"&lt;="&amp;D642,C:C,C642)-SUMIFS(AA:AA,D:D,"&lt;="&amp;D642,C:C,C642)+SUMIFS(N:N,D:D,"&lt;="&amp;D642,C:C,C642)+SUMIFS(P:P,D:D,"&lt;="&amp;D642,C:C,C642)&lt;0,0,SUMIFS('Shipments data'!L:L,'Shipments data'!F:F,'Supply planning data'!C642,'Shipments data'!A:A,'Supply planning data'!A642,'Shipments data'!O:O,"received",'Shipments data'!Q:Q,"&lt;"&amp;'Supply planning data'!D657,'Shipments data'!AC:AC,"&lt;"&amp;'Supply planning data'!D657)-SUMIFS(M:M,D:D,"&lt;="&amp;D642,C:C,C642)-SUMIFS(AA:AA,D:D,"&lt;="&amp;D642,C:C,C642)+SUMIFS(N:N,D:D,"&lt;="&amp;D642,C:C,C642)+SUMIFS(P:P,D:D,"&lt;="&amp;D642,C:C,C642))</f>
        <v>0</v>
      </c>
      <c r="AD642" s="98">
        <f t="shared" si="190"/>
        <v>0</v>
      </c>
      <c r="AE642" s="98">
        <f t="shared" si="184"/>
        <v>0</v>
      </c>
      <c r="AF642" s="205" t="str">
        <f t="shared" si="193"/>
        <v/>
      </c>
      <c r="AG642" s="98">
        <f t="shared" si="191"/>
        <v>0</v>
      </c>
      <c r="AH642" s="97"/>
      <c r="AI642" s="311"/>
      <c r="AJ642" s="98">
        <f t="shared" si="183"/>
        <v>0</v>
      </c>
      <c r="AK642" s="233"/>
      <c r="AL642" s="98">
        <f>IF(SUMIFS('Shipments data'!L:L,'Shipments data'!F:F,'Supply planning data'!C642,'Shipments data'!A:A,'Supply planning data'!A642,'Shipments data'!O:O,"received",'Shipments data'!Q:Q,"&lt;"&amp;'Supply planning data'!D657,'Shipments data'!AC:AC,"&lt;"&amp;'Supply planning data'!D657)-SUMIFS(M:M,D:D,"&lt;="&amp;D642,C:C,C642)-SUMIFS(AJ:AJ,D:D,"&lt;="&amp;D642,C:C,C642)+SUMIFS(N:N,D:D,"&lt;="&amp;D642,C:C,C642)+SUMIFS(P:P,D:D,"&lt;="&amp;D642,C:C,C642)&lt;0,0,SUMIFS('Shipments data'!L:L,'Shipments data'!F:F,'Supply planning data'!C642,'Shipments data'!A:A,'Supply planning data'!A642,'Shipments data'!O:O,"received",'Shipments data'!Q:Q,"&lt;"&amp;'Supply planning data'!D657,'Shipments data'!AC:AC,"&lt;"&amp;'Supply planning data'!D657)-SUMIFS(M:M,D:D,"&lt;="&amp;D642,C:C,C642)-SUMIFS(AJ:AJ,D:D,"&lt;="&amp;D642,C:C,C642)+SUMIFS(N:N,D:D,"&lt;="&amp;D642,C:C,C642)+SUMIFS(P:P,D:D,"&lt;="&amp;D642,C:C,C642))</f>
        <v>0</v>
      </c>
      <c r="AM642" s="98">
        <f t="shared" si="192"/>
        <v>0</v>
      </c>
      <c r="AN642" s="98">
        <f t="shared" si="185"/>
        <v>0</v>
      </c>
      <c r="AO642" s="203" t="str">
        <f t="shared" si="195"/>
        <v/>
      </c>
    </row>
    <row r="643" spans="1:41" hidden="1" x14ac:dyDescent="0.25">
      <c r="A643" s="95" t="str">
        <f>Start!D$7</f>
        <v>Anyland</v>
      </c>
      <c r="B643" s="96" t="str">
        <f>VLOOKUP(A643,list!B:C,2,FALSE)</f>
        <v>ANY</v>
      </c>
      <c r="C643" s="90" t="str">
        <f>IF(Start!$C$25="","",Start!$C$25)</f>
        <v/>
      </c>
      <c r="D643" s="296">
        <f t="shared" si="186"/>
        <v>45474</v>
      </c>
      <c r="E643" s="92" t="str">
        <f>IFERROR(VLOOKUP(C643,Start!C$15:D$31,2,FALSE),"No")</f>
        <v>No</v>
      </c>
      <c r="F643" s="92">
        <f t="shared" si="187"/>
        <v>0</v>
      </c>
      <c r="G643" s="91"/>
      <c r="H643" s="97"/>
      <c r="I643" s="97"/>
      <c r="J643" s="98">
        <f t="shared" si="179"/>
        <v>0</v>
      </c>
      <c r="K643" s="97"/>
      <c r="L643" s="175" t="str">
        <f t="shared" si="180"/>
        <v/>
      </c>
      <c r="M643" s="98">
        <f t="shared" si="181"/>
        <v>0</v>
      </c>
      <c r="N643" s="97"/>
      <c r="O643" s="122"/>
      <c r="P643" s="97"/>
      <c r="Q643" s="122"/>
      <c r="R643" s="98">
        <f>SUMIFS('Shipments data'!L:L,'Shipments data'!F:F,'Supply planning data'!C643,'Shipments data'!A:A,'Supply planning data'!A643,'Shipments data'!Y:Y,'Supply planning data'!D643,'Shipments data'!O:O,"received", 'Shipments data'!N:N, "Public")</f>
        <v>0</v>
      </c>
      <c r="S643" s="98">
        <f>SUMIFS('Shipments data'!L:L,'Shipments data'!F:F,'Supply planning data'!C643,'Shipments data'!A:A,'Supply planning data'!A643,'Shipments data'!Y:Y,'Supply planning data'!D643,'Shipments data'!O:O,"ordered", 'Shipments data'!N:N, "Public")</f>
        <v>0</v>
      </c>
      <c r="T643" s="98">
        <f>IF(SUMIFS('Shipments data'!L:L,'Shipments data'!F:F,'Supply planning data'!C643,'Shipments data'!A:A,'Supply planning data'!A643,'Shipments data'!O:O,"received",'Shipments data'!Q:Q,"&lt;"&amp;'Supply planning data'!D658,'Shipments data'!AC:AC,"&lt;"&amp;'Supply planning data'!D658)-SUMIFS(M:M,D:D,"&lt;="&amp;D643,C:C,C643)+SUMIFS(N:N,D:D,"&lt;="&amp;D643,C:C,C643)+SUMIFS(P:P,D:D,"&lt;="&amp;D643,C:C,C643)&lt;0,0,SUMIFS('Shipments data'!L:L,'Shipments data'!F:F,'Supply planning data'!C643,'Shipments data'!A:A,'Supply planning data'!A643,'Shipments data'!O:O,"received",'Shipments data'!Q:Q,"&lt;"&amp;'Supply planning data'!D658,'Shipments data'!AC:AC,"&lt;"&amp;'Supply planning data'!D658)-SUMIFS(M:M,D:D,"&lt;="&amp;D643,C:C,C643)+SUMIFS(N:N,D:D,"&lt;="&amp;D643,C:C,C643)+SUMIFS(P:P,D:D,"&lt;="&amp;D643,C:C,C643))</f>
        <v>0</v>
      </c>
      <c r="U643" s="99">
        <f t="shared" si="188"/>
        <v>0</v>
      </c>
      <c r="V643" s="98">
        <f t="shared" si="196"/>
        <v>0</v>
      </c>
      <c r="W643" s="203" t="str">
        <f t="shared" si="194"/>
        <v/>
      </c>
      <c r="X643" s="98">
        <f t="shared" si="189"/>
        <v>0</v>
      </c>
      <c r="Y643" s="97"/>
      <c r="Z643" s="93"/>
      <c r="AA643" s="98">
        <f t="shared" si="182"/>
        <v>0</v>
      </c>
      <c r="AB643" s="233"/>
      <c r="AC643" s="98">
        <f>IF(SUMIFS('Shipments data'!L:L,'Shipments data'!F:F,'Supply planning data'!C643,'Shipments data'!A:A,'Supply planning data'!A643,'Shipments data'!O:O,"received",'Shipments data'!Q:Q,"&lt;"&amp;'Supply planning data'!D658,'Shipments data'!AC:AC,"&lt;"&amp;'Supply planning data'!D658)-SUMIFS(M:M,D:D,"&lt;="&amp;D643,C:C,C643)-SUMIFS(AA:AA,D:D,"&lt;="&amp;D643,C:C,C643)+SUMIFS(N:N,D:D,"&lt;="&amp;D643,C:C,C643)+SUMIFS(P:P,D:D,"&lt;="&amp;D643,C:C,C643)&lt;0,0,SUMIFS('Shipments data'!L:L,'Shipments data'!F:F,'Supply planning data'!C643,'Shipments data'!A:A,'Supply planning data'!A643,'Shipments data'!O:O,"received",'Shipments data'!Q:Q,"&lt;"&amp;'Supply planning data'!D658,'Shipments data'!AC:AC,"&lt;"&amp;'Supply planning data'!D658)-SUMIFS(M:M,D:D,"&lt;="&amp;D643,C:C,C643)-SUMIFS(AA:AA,D:D,"&lt;="&amp;D643,C:C,C643)+SUMIFS(N:N,D:D,"&lt;="&amp;D643,C:C,C643)+SUMIFS(P:P,D:D,"&lt;="&amp;D643,C:C,C643))</f>
        <v>0</v>
      </c>
      <c r="AD643" s="98">
        <f t="shared" si="190"/>
        <v>0</v>
      </c>
      <c r="AE643" s="98">
        <f t="shared" si="184"/>
        <v>0</v>
      </c>
      <c r="AF643" s="205" t="str">
        <f t="shared" si="193"/>
        <v/>
      </c>
      <c r="AG643" s="98">
        <f t="shared" si="191"/>
        <v>0</v>
      </c>
      <c r="AH643" s="97"/>
      <c r="AI643" s="311"/>
      <c r="AJ643" s="98">
        <f t="shared" si="183"/>
        <v>0</v>
      </c>
      <c r="AK643" s="233"/>
      <c r="AL643" s="98">
        <f>IF(SUMIFS('Shipments data'!L:L,'Shipments data'!F:F,'Supply planning data'!C643,'Shipments data'!A:A,'Supply planning data'!A643,'Shipments data'!O:O,"received",'Shipments data'!Q:Q,"&lt;"&amp;'Supply planning data'!D658,'Shipments data'!AC:AC,"&lt;"&amp;'Supply planning data'!D658)-SUMIFS(M:M,D:D,"&lt;="&amp;D643,C:C,C643)-SUMIFS(AJ:AJ,D:D,"&lt;="&amp;D643,C:C,C643)+SUMIFS(N:N,D:D,"&lt;="&amp;D643,C:C,C643)+SUMIFS(P:P,D:D,"&lt;="&amp;D643,C:C,C643)&lt;0,0,SUMIFS('Shipments data'!L:L,'Shipments data'!F:F,'Supply planning data'!C643,'Shipments data'!A:A,'Supply planning data'!A643,'Shipments data'!O:O,"received",'Shipments data'!Q:Q,"&lt;"&amp;'Supply planning data'!D658,'Shipments data'!AC:AC,"&lt;"&amp;'Supply planning data'!D658)-SUMIFS(M:M,D:D,"&lt;="&amp;D643,C:C,C643)-SUMIFS(AJ:AJ,D:D,"&lt;="&amp;D643,C:C,C643)+SUMIFS(N:N,D:D,"&lt;="&amp;D643,C:C,C643)+SUMIFS(P:P,D:D,"&lt;="&amp;D643,C:C,C643))</f>
        <v>0</v>
      </c>
      <c r="AM643" s="98">
        <f t="shared" si="192"/>
        <v>0</v>
      </c>
      <c r="AN643" s="98">
        <f t="shared" si="185"/>
        <v>0</v>
      </c>
      <c r="AO643" s="203" t="str">
        <f t="shared" si="195"/>
        <v/>
      </c>
    </row>
    <row r="644" spans="1:41" hidden="1" x14ac:dyDescent="0.25">
      <c r="A644" s="95" t="str">
        <f>Start!D$7</f>
        <v>Anyland</v>
      </c>
      <c r="B644" s="96" t="str">
        <f>VLOOKUP(A644,list!B:C,2,FALSE)</f>
        <v>ANY</v>
      </c>
      <c r="C644" s="90" t="str">
        <f>IF(Start!$C$26="","",Start!$C$26)</f>
        <v/>
      </c>
      <c r="D644" s="296">
        <f t="shared" si="186"/>
        <v>45474</v>
      </c>
      <c r="E644" s="92" t="str">
        <f>IFERROR(VLOOKUP(C644,Start!C$15:D$31,2,FALSE),"No")</f>
        <v>No</v>
      </c>
      <c r="F644" s="92">
        <f t="shared" si="187"/>
        <v>0</v>
      </c>
      <c r="G644" s="91"/>
      <c r="H644" s="97"/>
      <c r="I644" s="97"/>
      <c r="J644" s="98">
        <f t="shared" si="179"/>
        <v>0</v>
      </c>
      <c r="K644" s="97"/>
      <c r="L644" s="175" t="str">
        <f t="shared" si="180"/>
        <v/>
      </c>
      <c r="M644" s="98">
        <f t="shared" si="181"/>
        <v>0</v>
      </c>
      <c r="N644" s="97"/>
      <c r="O644" s="122"/>
      <c r="P644" s="97"/>
      <c r="Q644" s="122"/>
      <c r="R644" s="98">
        <f>SUMIFS('Shipments data'!L:L,'Shipments data'!F:F,'Supply planning data'!C644,'Shipments data'!A:A,'Supply planning data'!A644,'Shipments data'!Y:Y,'Supply planning data'!D644,'Shipments data'!O:O,"received", 'Shipments data'!N:N, "Public")</f>
        <v>0</v>
      </c>
      <c r="S644" s="98">
        <f>SUMIFS('Shipments data'!L:L,'Shipments data'!F:F,'Supply planning data'!C644,'Shipments data'!A:A,'Supply planning data'!A644,'Shipments data'!Y:Y,'Supply planning data'!D644,'Shipments data'!O:O,"ordered", 'Shipments data'!N:N, "Public")</f>
        <v>0</v>
      </c>
      <c r="T644" s="98">
        <f>IF(SUMIFS('Shipments data'!L:L,'Shipments data'!F:F,'Supply planning data'!C644,'Shipments data'!A:A,'Supply planning data'!A644,'Shipments data'!O:O,"received",'Shipments data'!Q:Q,"&lt;"&amp;'Supply planning data'!D659,'Shipments data'!AC:AC,"&lt;"&amp;'Supply planning data'!D659)-SUMIFS(M:M,D:D,"&lt;="&amp;D644,C:C,C644)+SUMIFS(N:N,D:D,"&lt;="&amp;D644,C:C,C644)+SUMIFS(P:P,D:D,"&lt;="&amp;D644,C:C,C644)&lt;0,0,SUMIFS('Shipments data'!L:L,'Shipments data'!F:F,'Supply planning data'!C644,'Shipments data'!A:A,'Supply planning data'!A644,'Shipments data'!O:O,"received",'Shipments data'!Q:Q,"&lt;"&amp;'Supply planning data'!D659,'Shipments data'!AC:AC,"&lt;"&amp;'Supply planning data'!D659)-SUMIFS(M:M,D:D,"&lt;="&amp;D644,C:C,C644)+SUMIFS(N:N,D:D,"&lt;="&amp;D644,C:C,C644)+SUMIFS(P:P,D:D,"&lt;="&amp;D644,C:C,C644))</f>
        <v>0</v>
      </c>
      <c r="U644" s="99">
        <f t="shared" si="188"/>
        <v>0</v>
      </c>
      <c r="V644" s="98">
        <f t="shared" si="196"/>
        <v>0</v>
      </c>
      <c r="W644" s="203" t="str">
        <f t="shared" si="194"/>
        <v/>
      </c>
      <c r="X644" s="98">
        <f t="shared" si="189"/>
        <v>0</v>
      </c>
      <c r="Y644" s="97"/>
      <c r="Z644" s="93"/>
      <c r="AA644" s="98">
        <f t="shared" si="182"/>
        <v>0</v>
      </c>
      <c r="AB644" s="233"/>
      <c r="AC644" s="98">
        <f>IF(SUMIFS('Shipments data'!L:L,'Shipments data'!F:F,'Supply planning data'!C644,'Shipments data'!A:A,'Supply planning data'!A644,'Shipments data'!O:O,"received",'Shipments data'!Q:Q,"&lt;"&amp;'Supply planning data'!D659,'Shipments data'!AC:AC,"&lt;"&amp;'Supply planning data'!D659)-SUMIFS(M:M,D:D,"&lt;="&amp;D644,C:C,C644)-SUMIFS(AA:AA,D:D,"&lt;="&amp;D644,C:C,C644)+SUMIFS(N:N,D:D,"&lt;="&amp;D644,C:C,C644)+SUMIFS(P:P,D:D,"&lt;="&amp;D644,C:C,C644)&lt;0,0,SUMIFS('Shipments data'!L:L,'Shipments data'!F:F,'Supply planning data'!C644,'Shipments data'!A:A,'Supply planning data'!A644,'Shipments data'!O:O,"received",'Shipments data'!Q:Q,"&lt;"&amp;'Supply planning data'!D659,'Shipments data'!AC:AC,"&lt;"&amp;'Supply planning data'!D659)-SUMIFS(M:M,D:D,"&lt;="&amp;D644,C:C,C644)-SUMIFS(AA:AA,D:D,"&lt;="&amp;D644,C:C,C644)+SUMIFS(N:N,D:D,"&lt;="&amp;D644,C:C,C644)+SUMIFS(P:P,D:D,"&lt;="&amp;D644,C:C,C644))</f>
        <v>0</v>
      </c>
      <c r="AD644" s="98">
        <f t="shared" si="190"/>
        <v>0</v>
      </c>
      <c r="AE644" s="98">
        <f t="shared" si="184"/>
        <v>0</v>
      </c>
      <c r="AF644" s="205" t="str">
        <f t="shared" si="193"/>
        <v/>
      </c>
      <c r="AG644" s="98">
        <f t="shared" si="191"/>
        <v>0</v>
      </c>
      <c r="AH644" s="97"/>
      <c r="AI644" s="311"/>
      <c r="AJ644" s="98">
        <f t="shared" si="183"/>
        <v>0</v>
      </c>
      <c r="AK644" s="233"/>
      <c r="AL644" s="98">
        <f>IF(SUMIFS('Shipments data'!L:L,'Shipments data'!F:F,'Supply planning data'!C644,'Shipments data'!A:A,'Supply planning data'!A644,'Shipments data'!O:O,"received",'Shipments data'!Q:Q,"&lt;"&amp;'Supply planning data'!D659,'Shipments data'!AC:AC,"&lt;"&amp;'Supply planning data'!D659)-SUMIFS(M:M,D:D,"&lt;="&amp;D644,C:C,C644)-SUMIFS(AJ:AJ,D:D,"&lt;="&amp;D644,C:C,C644)+SUMIFS(N:N,D:D,"&lt;="&amp;D644,C:C,C644)+SUMIFS(P:P,D:D,"&lt;="&amp;D644,C:C,C644)&lt;0,0,SUMIFS('Shipments data'!L:L,'Shipments data'!F:F,'Supply planning data'!C644,'Shipments data'!A:A,'Supply planning data'!A644,'Shipments data'!O:O,"received",'Shipments data'!Q:Q,"&lt;"&amp;'Supply planning data'!D659,'Shipments data'!AC:AC,"&lt;"&amp;'Supply planning data'!D659)-SUMIFS(M:M,D:D,"&lt;="&amp;D644,C:C,C644)-SUMIFS(AJ:AJ,D:D,"&lt;="&amp;D644,C:C,C644)+SUMIFS(N:N,D:D,"&lt;="&amp;D644,C:C,C644)+SUMIFS(P:P,D:D,"&lt;="&amp;D644,C:C,C644))</f>
        <v>0</v>
      </c>
      <c r="AM644" s="98">
        <f t="shared" si="192"/>
        <v>0</v>
      </c>
      <c r="AN644" s="98">
        <f t="shared" si="185"/>
        <v>0</v>
      </c>
      <c r="AO644" s="203" t="str">
        <f t="shared" si="195"/>
        <v/>
      </c>
    </row>
    <row r="645" spans="1:41" hidden="1" x14ac:dyDescent="0.25">
      <c r="A645" s="95" t="str">
        <f>Start!D$7</f>
        <v>Anyland</v>
      </c>
      <c r="B645" s="96" t="str">
        <f>VLOOKUP(A645,list!B:C,2,FALSE)</f>
        <v>ANY</v>
      </c>
      <c r="C645" s="90" t="str">
        <f>IF(Start!$C$27="","",Start!$C$27)</f>
        <v/>
      </c>
      <c r="D645" s="296">
        <f t="shared" si="186"/>
        <v>45474</v>
      </c>
      <c r="E645" s="92" t="str">
        <f>IFERROR(VLOOKUP(C645,Start!C$15:D$31,2,FALSE),"No")</f>
        <v>No</v>
      </c>
      <c r="F645" s="92">
        <f t="shared" si="187"/>
        <v>0</v>
      </c>
      <c r="G645" s="91"/>
      <c r="H645" s="97"/>
      <c r="I645" s="97"/>
      <c r="J645" s="98">
        <f t="shared" ref="J645:J708" si="197">SUM(G645:I645)</f>
        <v>0</v>
      </c>
      <c r="K645" s="97"/>
      <c r="L645" s="175" t="str">
        <f t="shared" ref="L645:L708" si="198">IFERROR(K645/J645, "")</f>
        <v/>
      </c>
      <c r="M645" s="98">
        <f t="shared" ref="M645:M708" si="199">SUM(J645,K645)</f>
        <v>0</v>
      </c>
      <c r="N645" s="97"/>
      <c r="O645" s="122"/>
      <c r="P645" s="97"/>
      <c r="Q645" s="122"/>
      <c r="R645" s="98">
        <f>SUMIFS('Shipments data'!L:L,'Shipments data'!F:F,'Supply planning data'!C645,'Shipments data'!A:A,'Supply planning data'!A645,'Shipments data'!Y:Y,'Supply planning data'!D645,'Shipments data'!O:O,"received", 'Shipments data'!N:N, "Public")</f>
        <v>0</v>
      </c>
      <c r="S645" s="98">
        <f>SUMIFS('Shipments data'!L:L,'Shipments data'!F:F,'Supply planning data'!C645,'Shipments data'!A:A,'Supply planning data'!A645,'Shipments data'!Y:Y,'Supply planning data'!D645,'Shipments data'!O:O,"ordered", 'Shipments data'!N:N, "Public")</f>
        <v>0</v>
      </c>
      <c r="T645" s="98">
        <f>IF(SUMIFS('Shipments data'!L:L,'Shipments data'!F:F,'Supply planning data'!C645,'Shipments data'!A:A,'Supply planning data'!A645,'Shipments data'!O:O,"received",'Shipments data'!Q:Q,"&lt;"&amp;'Supply planning data'!D660,'Shipments data'!AC:AC,"&lt;"&amp;'Supply planning data'!D660)-SUMIFS(M:M,D:D,"&lt;="&amp;D645,C:C,C645)+SUMIFS(N:N,D:D,"&lt;="&amp;D645,C:C,C645)+SUMIFS(P:P,D:D,"&lt;="&amp;D645,C:C,C645)&lt;0,0,SUMIFS('Shipments data'!L:L,'Shipments data'!F:F,'Supply planning data'!C645,'Shipments data'!A:A,'Supply planning data'!A645,'Shipments data'!O:O,"received",'Shipments data'!Q:Q,"&lt;"&amp;'Supply planning data'!D660,'Shipments data'!AC:AC,"&lt;"&amp;'Supply planning data'!D660)-SUMIFS(M:M,D:D,"&lt;="&amp;D645,C:C,C645)+SUMIFS(N:N,D:D,"&lt;="&amp;D645,C:C,C645)+SUMIFS(P:P,D:D,"&lt;="&amp;D645,C:C,C645))</f>
        <v>0</v>
      </c>
      <c r="U645" s="99">
        <f t="shared" si="188"/>
        <v>0</v>
      </c>
      <c r="V645" s="98">
        <f t="shared" si="196"/>
        <v>0</v>
      </c>
      <c r="W645" s="203" t="str">
        <f t="shared" si="194"/>
        <v/>
      </c>
      <c r="X645" s="98">
        <f t="shared" si="189"/>
        <v>0</v>
      </c>
      <c r="Y645" s="97"/>
      <c r="Z645" s="93"/>
      <c r="AA645" s="98">
        <f t="shared" ref="AA645:AA708" si="200">IFERROR(Z645*Y645,0)+Y645</f>
        <v>0</v>
      </c>
      <c r="AB645" s="233"/>
      <c r="AC645" s="98">
        <f>IF(SUMIFS('Shipments data'!L:L,'Shipments data'!F:F,'Supply planning data'!C645,'Shipments data'!A:A,'Supply planning data'!A645,'Shipments data'!O:O,"received",'Shipments data'!Q:Q,"&lt;"&amp;'Supply planning data'!D660,'Shipments data'!AC:AC,"&lt;"&amp;'Supply planning data'!D660)-SUMIFS(M:M,D:D,"&lt;="&amp;D645,C:C,C645)-SUMIFS(AA:AA,D:D,"&lt;="&amp;D645,C:C,C645)+SUMIFS(N:N,D:D,"&lt;="&amp;D645,C:C,C645)+SUMIFS(P:P,D:D,"&lt;="&amp;D645,C:C,C645)&lt;0,0,SUMIFS('Shipments data'!L:L,'Shipments data'!F:F,'Supply planning data'!C645,'Shipments data'!A:A,'Supply planning data'!A645,'Shipments data'!O:O,"received",'Shipments data'!Q:Q,"&lt;"&amp;'Supply planning data'!D660,'Shipments data'!AC:AC,"&lt;"&amp;'Supply planning data'!D660)-SUMIFS(M:M,D:D,"&lt;="&amp;D645,C:C,C645)-SUMIFS(AA:AA,D:D,"&lt;="&amp;D645,C:C,C645)+SUMIFS(N:N,D:D,"&lt;="&amp;D645,C:C,C645)+SUMIFS(P:P,D:D,"&lt;="&amp;D645,C:C,C645))</f>
        <v>0</v>
      </c>
      <c r="AD645" s="98">
        <f t="shared" si="190"/>
        <v>0</v>
      </c>
      <c r="AE645" s="98">
        <f t="shared" si="184"/>
        <v>0</v>
      </c>
      <c r="AF645" s="205" t="str">
        <f t="shared" si="193"/>
        <v/>
      </c>
      <c r="AG645" s="98">
        <f t="shared" si="191"/>
        <v>0</v>
      </c>
      <c r="AH645" s="97"/>
      <c r="AI645" s="311"/>
      <c r="AJ645" s="98">
        <f t="shared" ref="AJ645:AJ708" si="201">IFERROR(AI645*AH645,0)+AH645</f>
        <v>0</v>
      </c>
      <c r="AK645" s="233"/>
      <c r="AL645" s="98">
        <f>IF(SUMIFS('Shipments data'!L:L,'Shipments data'!F:F,'Supply planning data'!C645,'Shipments data'!A:A,'Supply planning data'!A645,'Shipments data'!O:O,"received",'Shipments data'!Q:Q,"&lt;"&amp;'Supply planning data'!D660,'Shipments data'!AC:AC,"&lt;"&amp;'Supply planning data'!D660)-SUMIFS(M:M,D:D,"&lt;="&amp;D645,C:C,C645)-SUMIFS(AJ:AJ,D:D,"&lt;="&amp;D645,C:C,C645)+SUMIFS(N:N,D:D,"&lt;="&amp;D645,C:C,C645)+SUMIFS(P:P,D:D,"&lt;="&amp;D645,C:C,C645)&lt;0,0,SUMIFS('Shipments data'!L:L,'Shipments data'!F:F,'Supply planning data'!C645,'Shipments data'!A:A,'Supply planning data'!A645,'Shipments data'!O:O,"received",'Shipments data'!Q:Q,"&lt;"&amp;'Supply planning data'!D660,'Shipments data'!AC:AC,"&lt;"&amp;'Supply planning data'!D660)-SUMIFS(M:M,D:D,"&lt;="&amp;D645,C:C,C645)-SUMIFS(AJ:AJ,D:D,"&lt;="&amp;D645,C:C,C645)+SUMIFS(N:N,D:D,"&lt;="&amp;D645,C:C,C645)+SUMIFS(P:P,D:D,"&lt;="&amp;D645,C:C,C645))</f>
        <v>0</v>
      </c>
      <c r="AM645" s="98">
        <f t="shared" si="192"/>
        <v>0</v>
      </c>
      <c r="AN645" s="98">
        <f t="shared" si="185"/>
        <v>0</v>
      </c>
      <c r="AO645" s="203" t="str">
        <f t="shared" si="195"/>
        <v/>
      </c>
    </row>
    <row r="646" spans="1:41" hidden="1" x14ac:dyDescent="0.25">
      <c r="A646" s="95" t="str">
        <f>Start!D$7</f>
        <v>Anyland</v>
      </c>
      <c r="B646" s="96" t="str">
        <f>VLOOKUP(A646,list!B:C,2,FALSE)</f>
        <v>ANY</v>
      </c>
      <c r="C646" s="90" t="str">
        <f>IF(Start!$C$28="","",Start!$C$28)</f>
        <v/>
      </c>
      <c r="D646" s="296">
        <f t="shared" si="186"/>
        <v>45474</v>
      </c>
      <c r="E646" s="92" t="str">
        <f>IFERROR(VLOOKUP(C646,Start!C$15:D$31,2,FALSE),"No")</f>
        <v>No</v>
      </c>
      <c r="F646" s="92">
        <f t="shared" si="187"/>
        <v>0</v>
      </c>
      <c r="G646" s="91"/>
      <c r="H646" s="97"/>
      <c r="I646" s="97"/>
      <c r="J646" s="98">
        <f t="shared" si="197"/>
        <v>0</v>
      </c>
      <c r="K646" s="97"/>
      <c r="L646" s="175" t="str">
        <f t="shared" si="198"/>
        <v/>
      </c>
      <c r="M646" s="98">
        <f t="shared" si="199"/>
        <v>0</v>
      </c>
      <c r="N646" s="97"/>
      <c r="O646" s="122"/>
      <c r="P646" s="97"/>
      <c r="Q646" s="122"/>
      <c r="R646" s="98">
        <f>SUMIFS('Shipments data'!L:L,'Shipments data'!F:F,'Supply planning data'!C646,'Shipments data'!A:A,'Supply planning data'!A646,'Shipments data'!Y:Y,'Supply planning data'!D646,'Shipments data'!O:O,"received", 'Shipments data'!N:N, "Public")</f>
        <v>0</v>
      </c>
      <c r="S646" s="98">
        <f>SUMIFS('Shipments data'!L:L,'Shipments data'!F:F,'Supply planning data'!C646,'Shipments data'!A:A,'Supply planning data'!A646,'Shipments data'!Y:Y,'Supply planning data'!D646,'Shipments data'!O:O,"ordered", 'Shipments data'!N:N, "Public")</f>
        <v>0</v>
      </c>
      <c r="T646" s="98">
        <f>IF(SUMIFS('Shipments data'!L:L,'Shipments data'!F:F,'Supply planning data'!C646,'Shipments data'!A:A,'Supply planning data'!A646,'Shipments data'!O:O,"received",'Shipments data'!Q:Q,"&lt;"&amp;'Supply planning data'!D661,'Shipments data'!AC:AC,"&lt;"&amp;'Supply planning data'!D661)-SUMIFS(M:M,D:D,"&lt;="&amp;D646,C:C,C646)+SUMIFS(N:N,D:D,"&lt;="&amp;D646,C:C,C646)+SUMIFS(P:P,D:D,"&lt;="&amp;D646,C:C,C646)&lt;0,0,SUMIFS('Shipments data'!L:L,'Shipments data'!F:F,'Supply planning data'!C646,'Shipments data'!A:A,'Supply planning data'!A646,'Shipments data'!O:O,"received",'Shipments data'!Q:Q,"&lt;"&amp;'Supply planning data'!D661,'Shipments data'!AC:AC,"&lt;"&amp;'Supply planning data'!D661)-SUMIFS(M:M,D:D,"&lt;="&amp;D646,C:C,C646)+SUMIFS(N:N,D:D,"&lt;="&amp;D646,C:C,C646)+SUMIFS(P:P,D:D,"&lt;="&amp;D646,C:C,C646))</f>
        <v>0</v>
      </c>
      <c r="U646" s="99">
        <f t="shared" si="188"/>
        <v>0</v>
      </c>
      <c r="V646" s="98">
        <f t="shared" si="196"/>
        <v>0</v>
      </c>
      <c r="W646" s="203" t="str">
        <f t="shared" si="194"/>
        <v/>
      </c>
      <c r="X646" s="98">
        <f t="shared" si="189"/>
        <v>0</v>
      </c>
      <c r="Y646" s="97"/>
      <c r="Z646" s="93"/>
      <c r="AA646" s="98">
        <f t="shared" si="200"/>
        <v>0</v>
      </c>
      <c r="AB646" s="233"/>
      <c r="AC646" s="98">
        <f>IF(SUMIFS('Shipments data'!L:L,'Shipments data'!F:F,'Supply planning data'!C646,'Shipments data'!A:A,'Supply planning data'!A646,'Shipments data'!O:O,"received",'Shipments data'!Q:Q,"&lt;"&amp;'Supply planning data'!D661,'Shipments data'!AC:AC,"&lt;"&amp;'Supply planning data'!D661)-SUMIFS(M:M,D:D,"&lt;="&amp;D646,C:C,C646)-SUMIFS(AA:AA,D:D,"&lt;="&amp;D646,C:C,C646)+SUMIFS(N:N,D:D,"&lt;="&amp;D646,C:C,C646)+SUMIFS(P:P,D:D,"&lt;="&amp;D646,C:C,C646)&lt;0,0,SUMIFS('Shipments data'!L:L,'Shipments data'!F:F,'Supply planning data'!C646,'Shipments data'!A:A,'Supply planning data'!A646,'Shipments data'!O:O,"received",'Shipments data'!Q:Q,"&lt;"&amp;'Supply planning data'!D661,'Shipments data'!AC:AC,"&lt;"&amp;'Supply planning data'!D661)-SUMIFS(M:M,D:D,"&lt;="&amp;D646,C:C,C646)-SUMIFS(AA:AA,D:D,"&lt;="&amp;D646,C:C,C646)+SUMIFS(N:N,D:D,"&lt;="&amp;D646,C:C,C646)+SUMIFS(P:P,D:D,"&lt;="&amp;D646,C:C,C646))</f>
        <v>0</v>
      </c>
      <c r="AD646" s="98">
        <f t="shared" si="190"/>
        <v>0</v>
      </c>
      <c r="AE646" s="98">
        <f t="shared" ref="AE646:AE709" si="202">IF(X646+R646+S646+AB646+N646+P646-M646-AA646-U646&lt;0,0,X646+R646+S646+AB646+N646+P646-M646-AA646-U646)</f>
        <v>0</v>
      </c>
      <c r="AF646" s="205" t="str">
        <f t="shared" si="193"/>
        <v/>
      </c>
      <c r="AG646" s="98">
        <f t="shared" si="191"/>
        <v>0</v>
      </c>
      <c r="AH646" s="97"/>
      <c r="AI646" s="311"/>
      <c r="AJ646" s="98">
        <f t="shared" si="201"/>
        <v>0</v>
      </c>
      <c r="AK646" s="233"/>
      <c r="AL646" s="98">
        <f>IF(SUMIFS('Shipments data'!L:L,'Shipments data'!F:F,'Supply planning data'!C646,'Shipments data'!A:A,'Supply planning data'!A646,'Shipments data'!O:O,"received",'Shipments data'!Q:Q,"&lt;"&amp;'Supply planning data'!D661,'Shipments data'!AC:AC,"&lt;"&amp;'Supply planning data'!D661)-SUMIFS(M:M,D:D,"&lt;="&amp;D646,C:C,C646)-SUMIFS(AJ:AJ,D:D,"&lt;="&amp;D646,C:C,C646)+SUMIFS(N:N,D:D,"&lt;="&amp;D646,C:C,C646)+SUMIFS(P:P,D:D,"&lt;="&amp;D646,C:C,C646)&lt;0,0,SUMIFS('Shipments data'!L:L,'Shipments data'!F:F,'Supply planning data'!C646,'Shipments data'!A:A,'Supply planning data'!A646,'Shipments data'!O:O,"received",'Shipments data'!Q:Q,"&lt;"&amp;'Supply planning data'!D661,'Shipments data'!AC:AC,"&lt;"&amp;'Supply planning data'!D661)-SUMIFS(M:M,D:D,"&lt;="&amp;D646,C:C,C646)-SUMIFS(AJ:AJ,D:D,"&lt;="&amp;D646,C:C,C646)+SUMIFS(N:N,D:D,"&lt;="&amp;D646,C:C,C646)+SUMIFS(P:P,D:D,"&lt;="&amp;D646,C:C,C646))</f>
        <v>0</v>
      </c>
      <c r="AM646" s="98">
        <f t="shared" si="192"/>
        <v>0</v>
      </c>
      <c r="AN646" s="98">
        <f t="shared" ref="AN646:AN709" si="203">IF(AG646+$R646+$S646+AK646+$N646+$P646-$M646-AJ646-$AM646&lt;0,0,AG646+$R646+$S646+AK646+$N646+$P646-$M646-AJ646-$AM646)</f>
        <v>0</v>
      </c>
      <c r="AO646" s="203" t="str">
        <f t="shared" si="195"/>
        <v/>
      </c>
    </row>
    <row r="647" spans="1:41" hidden="1" x14ac:dyDescent="0.25">
      <c r="A647" s="95" t="str">
        <f>Start!D$7</f>
        <v>Anyland</v>
      </c>
      <c r="B647" s="96" t="str">
        <f>VLOOKUP(A647,list!B:C,2,FALSE)</f>
        <v>ANY</v>
      </c>
      <c r="C647" s="90" t="str">
        <f>IF(Start!$C$29="","",Start!$C$29)</f>
        <v/>
      </c>
      <c r="D647" s="296">
        <f t="shared" si="186"/>
        <v>45474</v>
      </c>
      <c r="E647" s="92" t="str">
        <f>IFERROR(VLOOKUP(C647,Start!C$15:D$31,2,FALSE),"No")</f>
        <v>No</v>
      </c>
      <c r="F647" s="92">
        <f t="shared" si="187"/>
        <v>0</v>
      </c>
      <c r="G647" s="91"/>
      <c r="H647" s="97"/>
      <c r="I647" s="97"/>
      <c r="J647" s="98">
        <f t="shared" si="197"/>
        <v>0</v>
      </c>
      <c r="K647" s="97"/>
      <c r="L647" s="175" t="str">
        <f t="shared" si="198"/>
        <v/>
      </c>
      <c r="M647" s="98">
        <f t="shared" si="199"/>
        <v>0</v>
      </c>
      <c r="N647" s="97"/>
      <c r="O647" s="122"/>
      <c r="P647" s="97"/>
      <c r="Q647" s="122"/>
      <c r="R647" s="98">
        <f>SUMIFS('Shipments data'!L:L,'Shipments data'!F:F,'Supply planning data'!C647,'Shipments data'!A:A,'Supply planning data'!A647,'Shipments data'!Y:Y,'Supply planning data'!D647,'Shipments data'!O:O,"received", 'Shipments data'!N:N, "Public")</f>
        <v>0</v>
      </c>
      <c r="S647" s="98">
        <f>SUMIFS('Shipments data'!L:L,'Shipments data'!F:F,'Supply planning data'!C647,'Shipments data'!A:A,'Supply planning data'!A647,'Shipments data'!Y:Y,'Supply planning data'!D647,'Shipments data'!O:O,"ordered", 'Shipments data'!N:N, "Public")</f>
        <v>0</v>
      </c>
      <c r="T647" s="98">
        <f>IF(SUMIFS('Shipments data'!L:L,'Shipments data'!F:F,'Supply planning data'!C647,'Shipments data'!A:A,'Supply planning data'!A647,'Shipments data'!O:O,"received",'Shipments data'!Q:Q,"&lt;"&amp;'Supply planning data'!D662,'Shipments data'!AC:AC,"&lt;"&amp;'Supply planning data'!D662)-SUMIFS(M:M,D:D,"&lt;="&amp;D647,C:C,C647)+SUMIFS(N:N,D:D,"&lt;="&amp;D647,C:C,C647)+SUMIFS(P:P,D:D,"&lt;="&amp;D647,C:C,C647)&lt;0,0,SUMIFS('Shipments data'!L:L,'Shipments data'!F:F,'Supply planning data'!C647,'Shipments data'!A:A,'Supply planning data'!A647,'Shipments data'!O:O,"received",'Shipments data'!Q:Q,"&lt;"&amp;'Supply planning data'!D662,'Shipments data'!AC:AC,"&lt;"&amp;'Supply planning data'!D662)-SUMIFS(M:M,D:D,"&lt;="&amp;D647,C:C,C647)+SUMIFS(N:N,D:D,"&lt;="&amp;D647,C:C,C647)+SUMIFS(P:P,D:D,"&lt;="&amp;D647,C:C,C647))</f>
        <v>0</v>
      </c>
      <c r="U647" s="99">
        <f t="shared" si="188"/>
        <v>0</v>
      </c>
      <c r="V647" s="98">
        <f t="shared" si="196"/>
        <v>0</v>
      </c>
      <c r="W647" s="203" t="str">
        <f t="shared" si="194"/>
        <v/>
      </c>
      <c r="X647" s="98">
        <f t="shared" si="189"/>
        <v>0</v>
      </c>
      <c r="Y647" s="97"/>
      <c r="Z647" s="93"/>
      <c r="AA647" s="98">
        <f t="shared" si="200"/>
        <v>0</v>
      </c>
      <c r="AB647" s="233"/>
      <c r="AC647" s="98">
        <f>IF(SUMIFS('Shipments data'!L:L,'Shipments data'!F:F,'Supply planning data'!C647,'Shipments data'!A:A,'Supply planning data'!A647,'Shipments data'!O:O,"received",'Shipments data'!Q:Q,"&lt;"&amp;'Supply planning data'!D662,'Shipments data'!AC:AC,"&lt;"&amp;'Supply planning data'!D662)-SUMIFS(M:M,D:D,"&lt;="&amp;D647,C:C,C647)-SUMIFS(AA:AA,D:D,"&lt;="&amp;D647,C:C,C647)+SUMIFS(N:N,D:D,"&lt;="&amp;D647,C:C,C647)+SUMIFS(P:P,D:D,"&lt;="&amp;D647,C:C,C647)&lt;0,0,SUMIFS('Shipments data'!L:L,'Shipments data'!F:F,'Supply planning data'!C647,'Shipments data'!A:A,'Supply planning data'!A647,'Shipments data'!O:O,"received",'Shipments data'!Q:Q,"&lt;"&amp;'Supply planning data'!D662,'Shipments data'!AC:AC,"&lt;"&amp;'Supply planning data'!D662)-SUMIFS(M:M,D:D,"&lt;="&amp;D647,C:C,C647)-SUMIFS(AA:AA,D:D,"&lt;="&amp;D647,C:C,C647)+SUMIFS(N:N,D:D,"&lt;="&amp;D647,C:C,C647)+SUMIFS(P:P,D:D,"&lt;="&amp;D647,C:C,C647))</f>
        <v>0</v>
      </c>
      <c r="AD647" s="98">
        <f t="shared" si="190"/>
        <v>0</v>
      </c>
      <c r="AE647" s="98">
        <f t="shared" si="202"/>
        <v>0</v>
      </c>
      <c r="AF647" s="205" t="str">
        <f t="shared" si="193"/>
        <v/>
      </c>
      <c r="AG647" s="98">
        <f t="shared" si="191"/>
        <v>0</v>
      </c>
      <c r="AH647" s="97"/>
      <c r="AI647" s="311"/>
      <c r="AJ647" s="98">
        <f t="shared" si="201"/>
        <v>0</v>
      </c>
      <c r="AK647" s="233"/>
      <c r="AL647" s="98">
        <f>IF(SUMIFS('Shipments data'!L:L,'Shipments data'!F:F,'Supply planning data'!C647,'Shipments data'!A:A,'Supply planning data'!A647,'Shipments data'!O:O,"received",'Shipments data'!Q:Q,"&lt;"&amp;'Supply planning data'!D662,'Shipments data'!AC:AC,"&lt;"&amp;'Supply planning data'!D662)-SUMIFS(M:M,D:D,"&lt;="&amp;D647,C:C,C647)-SUMIFS(AJ:AJ,D:D,"&lt;="&amp;D647,C:C,C647)+SUMIFS(N:N,D:D,"&lt;="&amp;D647,C:C,C647)+SUMIFS(P:P,D:D,"&lt;="&amp;D647,C:C,C647)&lt;0,0,SUMIFS('Shipments data'!L:L,'Shipments data'!F:F,'Supply planning data'!C647,'Shipments data'!A:A,'Supply planning data'!A647,'Shipments data'!O:O,"received",'Shipments data'!Q:Q,"&lt;"&amp;'Supply planning data'!D662,'Shipments data'!AC:AC,"&lt;"&amp;'Supply planning data'!D662)-SUMIFS(M:M,D:D,"&lt;="&amp;D647,C:C,C647)-SUMIFS(AJ:AJ,D:D,"&lt;="&amp;D647,C:C,C647)+SUMIFS(N:N,D:D,"&lt;="&amp;D647,C:C,C647)+SUMIFS(P:P,D:D,"&lt;="&amp;D647,C:C,C647))</f>
        <v>0</v>
      </c>
      <c r="AM647" s="98">
        <f t="shared" si="192"/>
        <v>0</v>
      </c>
      <c r="AN647" s="98">
        <f t="shared" si="203"/>
        <v>0</v>
      </c>
      <c r="AO647" s="203" t="str">
        <f t="shared" si="195"/>
        <v/>
      </c>
    </row>
    <row r="648" spans="1:41" hidden="1" x14ac:dyDescent="0.25">
      <c r="A648" s="95" t="str">
        <f>Start!D$7</f>
        <v>Anyland</v>
      </c>
      <c r="B648" s="96" t="str">
        <f>VLOOKUP(A648,list!B:C,2,FALSE)</f>
        <v>ANY</v>
      </c>
      <c r="C648" s="90" t="str">
        <f>IF(Start!$C$30="","",Start!$C$30)</f>
        <v/>
      </c>
      <c r="D648" s="296">
        <f t="shared" si="186"/>
        <v>45474</v>
      </c>
      <c r="E648" s="92" t="str">
        <f>IFERROR(VLOOKUP(C648,Start!C$15:D$31,2,FALSE),"No")</f>
        <v>No</v>
      </c>
      <c r="F648" s="92">
        <f t="shared" si="187"/>
        <v>0</v>
      </c>
      <c r="G648" s="91"/>
      <c r="H648" s="97"/>
      <c r="I648" s="97"/>
      <c r="J648" s="98">
        <f t="shared" si="197"/>
        <v>0</v>
      </c>
      <c r="K648" s="97"/>
      <c r="L648" s="175" t="str">
        <f t="shared" si="198"/>
        <v/>
      </c>
      <c r="M648" s="98">
        <f t="shared" si="199"/>
        <v>0</v>
      </c>
      <c r="N648" s="97"/>
      <c r="O648" s="122"/>
      <c r="P648" s="97"/>
      <c r="Q648" s="122"/>
      <c r="R648" s="98">
        <f>SUMIFS('Shipments data'!L:L,'Shipments data'!F:F,'Supply planning data'!C648,'Shipments data'!A:A,'Supply planning data'!A648,'Shipments data'!Y:Y,'Supply planning data'!D648,'Shipments data'!O:O,"received", 'Shipments data'!N:N, "Public")</f>
        <v>0</v>
      </c>
      <c r="S648" s="98">
        <f>SUMIFS('Shipments data'!L:L,'Shipments data'!F:F,'Supply planning data'!C648,'Shipments data'!A:A,'Supply planning data'!A648,'Shipments data'!Y:Y,'Supply planning data'!D648,'Shipments data'!O:O,"ordered", 'Shipments data'!N:N, "Public")</f>
        <v>0</v>
      </c>
      <c r="T648" s="98">
        <f>IF(SUMIFS('Shipments data'!L:L,'Shipments data'!F:F,'Supply planning data'!C648,'Shipments data'!A:A,'Supply planning data'!A648,'Shipments data'!O:O,"received",'Shipments data'!Q:Q,"&lt;"&amp;'Supply planning data'!D663,'Shipments data'!AC:AC,"&lt;"&amp;'Supply planning data'!D663)-SUMIFS(M:M,D:D,"&lt;="&amp;D648,C:C,C648)+SUMIFS(N:N,D:D,"&lt;="&amp;D648,C:C,C648)+SUMIFS(P:P,D:D,"&lt;="&amp;D648,C:C,C648)&lt;0,0,SUMIFS('Shipments data'!L:L,'Shipments data'!F:F,'Supply planning data'!C648,'Shipments data'!A:A,'Supply planning data'!A648,'Shipments data'!O:O,"received",'Shipments data'!Q:Q,"&lt;"&amp;'Supply planning data'!D663,'Shipments data'!AC:AC,"&lt;"&amp;'Supply planning data'!D663)-SUMIFS(M:M,D:D,"&lt;="&amp;D648,C:C,C648)+SUMIFS(N:N,D:D,"&lt;="&amp;D648,C:C,C648)+SUMIFS(P:P,D:D,"&lt;="&amp;D648,C:C,C648))</f>
        <v>0</v>
      </c>
      <c r="U648" s="99">
        <f t="shared" si="188"/>
        <v>0</v>
      </c>
      <c r="V648" s="98">
        <f t="shared" si="196"/>
        <v>0</v>
      </c>
      <c r="W648" s="203" t="str">
        <f t="shared" si="194"/>
        <v/>
      </c>
      <c r="X648" s="98">
        <f t="shared" si="189"/>
        <v>0</v>
      </c>
      <c r="Y648" s="97"/>
      <c r="Z648" s="93"/>
      <c r="AA648" s="98">
        <f t="shared" si="200"/>
        <v>0</v>
      </c>
      <c r="AB648" s="233"/>
      <c r="AC648" s="98">
        <f>IF(SUMIFS('Shipments data'!L:L,'Shipments data'!F:F,'Supply planning data'!C648,'Shipments data'!A:A,'Supply planning data'!A648,'Shipments data'!O:O,"received",'Shipments data'!Q:Q,"&lt;"&amp;'Supply planning data'!D663,'Shipments data'!AC:AC,"&lt;"&amp;'Supply planning data'!D663)-SUMIFS(M:M,D:D,"&lt;="&amp;D648,C:C,C648)-SUMIFS(AA:AA,D:D,"&lt;="&amp;D648,C:C,C648)+SUMIFS(N:N,D:D,"&lt;="&amp;D648,C:C,C648)+SUMIFS(P:P,D:D,"&lt;="&amp;D648,C:C,C648)&lt;0,0,SUMIFS('Shipments data'!L:L,'Shipments data'!F:F,'Supply planning data'!C648,'Shipments data'!A:A,'Supply planning data'!A648,'Shipments data'!O:O,"received",'Shipments data'!Q:Q,"&lt;"&amp;'Supply planning data'!D663,'Shipments data'!AC:AC,"&lt;"&amp;'Supply planning data'!D663)-SUMIFS(M:M,D:D,"&lt;="&amp;D648,C:C,C648)-SUMIFS(AA:AA,D:D,"&lt;="&amp;D648,C:C,C648)+SUMIFS(N:N,D:D,"&lt;="&amp;D648,C:C,C648)+SUMIFS(P:P,D:D,"&lt;="&amp;D648,C:C,C648))</f>
        <v>0</v>
      </c>
      <c r="AD648" s="98">
        <f t="shared" si="190"/>
        <v>0</v>
      </c>
      <c r="AE648" s="98">
        <f t="shared" si="202"/>
        <v>0</v>
      </c>
      <c r="AF648" s="205" t="str">
        <f t="shared" si="193"/>
        <v/>
      </c>
      <c r="AG648" s="98">
        <f t="shared" si="191"/>
        <v>0</v>
      </c>
      <c r="AH648" s="97"/>
      <c r="AI648" s="311"/>
      <c r="AJ648" s="98">
        <f t="shared" si="201"/>
        <v>0</v>
      </c>
      <c r="AK648" s="233"/>
      <c r="AL648" s="98">
        <f>IF(SUMIFS('Shipments data'!L:L,'Shipments data'!F:F,'Supply planning data'!C648,'Shipments data'!A:A,'Supply planning data'!A648,'Shipments data'!O:O,"received",'Shipments data'!Q:Q,"&lt;"&amp;'Supply planning data'!D663,'Shipments data'!AC:AC,"&lt;"&amp;'Supply planning data'!D663)-SUMIFS(M:M,D:D,"&lt;="&amp;D648,C:C,C648)-SUMIFS(AJ:AJ,D:D,"&lt;="&amp;D648,C:C,C648)+SUMIFS(N:N,D:D,"&lt;="&amp;D648,C:C,C648)+SUMIFS(P:P,D:D,"&lt;="&amp;D648,C:C,C648)&lt;0,0,SUMIFS('Shipments data'!L:L,'Shipments data'!F:F,'Supply planning data'!C648,'Shipments data'!A:A,'Supply planning data'!A648,'Shipments data'!O:O,"received",'Shipments data'!Q:Q,"&lt;"&amp;'Supply planning data'!D663,'Shipments data'!AC:AC,"&lt;"&amp;'Supply planning data'!D663)-SUMIFS(M:M,D:D,"&lt;="&amp;D648,C:C,C648)-SUMIFS(AJ:AJ,D:D,"&lt;="&amp;D648,C:C,C648)+SUMIFS(N:N,D:D,"&lt;="&amp;D648,C:C,C648)+SUMIFS(P:P,D:D,"&lt;="&amp;D648,C:C,C648))</f>
        <v>0</v>
      </c>
      <c r="AM648" s="98">
        <f t="shared" si="192"/>
        <v>0</v>
      </c>
      <c r="AN648" s="98">
        <f t="shared" si="203"/>
        <v>0</v>
      </c>
      <c r="AO648" s="203" t="str">
        <f t="shared" si="195"/>
        <v/>
      </c>
    </row>
    <row r="649" spans="1:41" hidden="1" x14ac:dyDescent="0.25">
      <c r="A649" s="95" t="str">
        <f>Start!D$7</f>
        <v>Anyland</v>
      </c>
      <c r="B649" s="100" t="str">
        <f>VLOOKUP(A649,list!B:C,2,FALSE)</f>
        <v>ANY</v>
      </c>
      <c r="C649" s="90" t="str">
        <f>IF(Start!$C$31="","",Start!$C$31)</f>
        <v/>
      </c>
      <c r="D649" s="296">
        <f t="shared" si="186"/>
        <v>45474</v>
      </c>
      <c r="E649" s="92" t="str">
        <f>IFERROR(VLOOKUP(C649,Start!C$15:D$31,2,FALSE),"No")</f>
        <v>No</v>
      </c>
      <c r="F649" s="92">
        <f t="shared" si="187"/>
        <v>0</v>
      </c>
      <c r="G649" s="91"/>
      <c r="H649" s="97"/>
      <c r="I649" s="97"/>
      <c r="J649" s="98">
        <f t="shared" si="197"/>
        <v>0</v>
      </c>
      <c r="K649" s="97"/>
      <c r="L649" s="175" t="str">
        <f t="shared" si="198"/>
        <v/>
      </c>
      <c r="M649" s="98">
        <f t="shared" si="199"/>
        <v>0</v>
      </c>
      <c r="N649" s="97"/>
      <c r="O649" s="122"/>
      <c r="P649" s="97"/>
      <c r="Q649" s="122"/>
      <c r="R649" s="98">
        <f>SUMIFS('Shipments data'!L:L,'Shipments data'!F:F,'Supply planning data'!C649,'Shipments data'!A:A,'Supply planning data'!A649,'Shipments data'!Y:Y,'Supply planning data'!D649,'Shipments data'!O:O,"received", 'Shipments data'!N:N, "Public")</f>
        <v>0</v>
      </c>
      <c r="S649" s="98">
        <f>SUMIFS('Shipments data'!L:L,'Shipments data'!F:F,'Supply planning data'!C649,'Shipments data'!A:A,'Supply planning data'!A649,'Shipments data'!Y:Y,'Supply planning data'!D649,'Shipments data'!O:O,"ordered", 'Shipments data'!N:N, "Public")</f>
        <v>0</v>
      </c>
      <c r="T649" s="98">
        <f>IF(SUMIFS('Shipments data'!L:L,'Shipments data'!F:F,'Supply planning data'!C649,'Shipments data'!A:A,'Supply planning data'!A649,'Shipments data'!O:O,"received",'Shipments data'!Q:Q,"&lt;"&amp;'Supply planning data'!D664,'Shipments data'!AC:AC,"&lt;"&amp;'Supply planning data'!D664)-SUMIFS(M:M,D:D,"&lt;="&amp;D649,C:C,C649)+SUMIFS(N:N,D:D,"&lt;="&amp;D649,C:C,C649)+SUMIFS(P:P,D:D,"&lt;="&amp;D649,C:C,C649)&lt;0,0,SUMIFS('Shipments data'!L:L,'Shipments data'!F:F,'Supply planning data'!C649,'Shipments data'!A:A,'Supply planning data'!A649,'Shipments data'!O:O,"received",'Shipments data'!Q:Q,"&lt;"&amp;'Supply planning data'!D664,'Shipments data'!AC:AC,"&lt;"&amp;'Supply planning data'!D664)-SUMIFS(M:M,D:D,"&lt;="&amp;D649,C:C,C649)+SUMIFS(N:N,D:D,"&lt;="&amp;D649,C:C,C649)+SUMIFS(P:P,D:D,"&lt;="&amp;D649,C:C,C649))</f>
        <v>0</v>
      </c>
      <c r="U649" s="99">
        <f t="shared" si="188"/>
        <v>0</v>
      </c>
      <c r="V649" s="98">
        <f t="shared" si="196"/>
        <v>0</v>
      </c>
      <c r="W649" s="203" t="str">
        <f t="shared" si="194"/>
        <v/>
      </c>
      <c r="X649" s="98">
        <f t="shared" si="189"/>
        <v>0</v>
      </c>
      <c r="Y649" s="97"/>
      <c r="Z649" s="93"/>
      <c r="AA649" s="98">
        <f t="shared" si="200"/>
        <v>0</v>
      </c>
      <c r="AB649" s="233"/>
      <c r="AC649" s="98">
        <f>IF(SUMIFS('Shipments data'!L:L,'Shipments data'!F:F,'Supply planning data'!C649,'Shipments data'!A:A,'Supply planning data'!A649,'Shipments data'!O:O,"received",'Shipments data'!Q:Q,"&lt;"&amp;'Supply planning data'!D664,'Shipments data'!AC:AC,"&lt;"&amp;'Supply planning data'!D664)-SUMIFS(M:M,D:D,"&lt;="&amp;D649,C:C,C649)-SUMIFS(AA:AA,D:D,"&lt;="&amp;D649,C:C,C649)+SUMIFS(N:N,D:D,"&lt;="&amp;D649,C:C,C649)+SUMIFS(P:P,D:D,"&lt;="&amp;D649,C:C,C649)&lt;0,0,SUMIFS('Shipments data'!L:L,'Shipments data'!F:F,'Supply planning data'!C649,'Shipments data'!A:A,'Supply planning data'!A649,'Shipments data'!O:O,"received",'Shipments data'!Q:Q,"&lt;"&amp;'Supply planning data'!D664,'Shipments data'!AC:AC,"&lt;"&amp;'Supply planning data'!D664)-SUMIFS(M:M,D:D,"&lt;="&amp;D649,C:C,C649)-SUMIFS(AA:AA,D:D,"&lt;="&amp;D649,C:C,C649)+SUMIFS(N:N,D:D,"&lt;="&amp;D649,C:C,C649)+SUMIFS(P:P,D:D,"&lt;="&amp;D649,C:C,C649))</f>
        <v>0</v>
      </c>
      <c r="AD649" s="98">
        <f t="shared" si="190"/>
        <v>0</v>
      </c>
      <c r="AE649" s="98">
        <f t="shared" si="202"/>
        <v>0</v>
      </c>
      <c r="AF649" s="205" t="str">
        <f t="shared" si="193"/>
        <v/>
      </c>
      <c r="AG649" s="98">
        <f t="shared" si="191"/>
        <v>0</v>
      </c>
      <c r="AH649" s="97"/>
      <c r="AI649" s="311"/>
      <c r="AJ649" s="98">
        <f t="shared" si="201"/>
        <v>0</v>
      </c>
      <c r="AK649" s="233"/>
      <c r="AL649" s="98">
        <f>IF(SUMIFS('Shipments data'!L:L,'Shipments data'!F:F,'Supply planning data'!C649,'Shipments data'!A:A,'Supply planning data'!A649,'Shipments data'!O:O,"received",'Shipments data'!Q:Q,"&lt;"&amp;'Supply planning data'!D664,'Shipments data'!AC:AC,"&lt;"&amp;'Supply planning data'!D664)-SUMIFS(M:M,D:D,"&lt;="&amp;D649,C:C,C649)-SUMIFS(AJ:AJ,D:D,"&lt;="&amp;D649,C:C,C649)+SUMIFS(N:N,D:D,"&lt;="&amp;D649,C:C,C649)+SUMIFS(P:P,D:D,"&lt;="&amp;D649,C:C,C649)&lt;0,0,SUMIFS('Shipments data'!L:L,'Shipments data'!F:F,'Supply planning data'!C649,'Shipments data'!A:A,'Supply planning data'!A649,'Shipments data'!O:O,"received",'Shipments data'!Q:Q,"&lt;"&amp;'Supply planning data'!D664,'Shipments data'!AC:AC,"&lt;"&amp;'Supply planning data'!D664)-SUMIFS(M:M,D:D,"&lt;="&amp;D649,C:C,C649)-SUMIFS(AJ:AJ,D:D,"&lt;="&amp;D649,C:C,C649)+SUMIFS(N:N,D:D,"&lt;="&amp;D649,C:C,C649)+SUMIFS(P:P,D:D,"&lt;="&amp;D649,C:C,C649))</f>
        <v>0</v>
      </c>
      <c r="AM649" s="98">
        <f t="shared" si="192"/>
        <v>0</v>
      </c>
      <c r="AN649" s="98">
        <f t="shared" si="203"/>
        <v>0</v>
      </c>
      <c r="AO649" s="203" t="str">
        <f t="shared" si="195"/>
        <v/>
      </c>
    </row>
    <row r="650" spans="1:41" x14ac:dyDescent="0.25">
      <c r="A650" s="103" t="str">
        <f>Start!D$7</f>
        <v>Anyland</v>
      </c>
      <c r="B650" s="104" t="str">
        <f>VLOOKUP(A650,list!B:C,2,FALSE)</f>
        <v>ANY</v>
      </c>
      <c r="C650" s="104" t="str">
        <f>IF(Start!$C$17="","",Start!$C$17)</f>
        <v>AstraZeneca</v>
      </c>
      <c r="D650" s="298">
        <f t="shared" si="186"/>
        <v>45505</v>
      </c>
      <c r="E650" s="105" t="str">
        <f>IFERROR(VLOOKUP(C650,Start!C$15:D$31,2,FALSE),"No")</f>
        <v>Yes</v>
      </c>
      <c r="F650" s="105">
        <f t="shared" si="187"/>
        <v>0</v>
      </c>
      <c r="G650" s="106"/>
      <c r="H650" s="106"/>
      <c r="I650" s="106"/>
      <c r="J650" s="105">
        <f t="shared" si="197"/>
        <v>0</v>
      </c>
      <c r="K650" s="106"/>
      <c r="L650" s="177" t="str">
        <f t="shared" si="198"/>
        <v/>
      </c>
      <c r="M650" s="105">
        <f t="shared" si="199"/>
        <v>0</v>
      </c>
      <c r="N650" s="106"/>
      <c r="O650" s="123"/>
      <c r="P650" s="106"/>
      <c r="Q650" s="123"/>
      <c r="R650" s="105">
        <f>SUMIFS('Shipments data'!L:L,'Shipments data'!F:F,'Supply planning data'!C650,'Shipments data'!A:A,'Supply planning data'!A650,'Shipments data'!Y:Y,'Supply planning data'!D650,'Shipments data'!O:O,"received", 'Shipments data'!N:N, "Public")</f>
        <v>0</v>
      </c>
      <c r="S650" s="105">
        <f>SUMIFS('Shipments data'!L:L,'Shipments data'!F:F,'Supply planning data'!C650,'Shipments data'!A:A,'Supply planning data'!A650,'Shipments data'!Y:Y,'Supply planning data'!D650,'Shipments data'!O:O,"ordered", 'Shipments data'!N:N, "Public")</f>
        <v>0</v>
      </c>
      <c r="T650" s="105">
        <f>IF(SUMIFS('Shipments data'!L:L,'Shipments data'!F:F,'Supply planning data'!C650,'Shipments data'!A:A,'Supply planning data'!A650,'Shipments data'!O:O,"received",'Shipments data'!Q:Q,"&lt;"&amp;'Supply planning data'!D665,'Shipments data'!AC:AC,"&lt;"&amp;'Supply planning data'!D665)-SUMIFS(M:M,D:D,"&lt;="&amp;D650,C:C,C650)+SUMIFS(N:N,D:D,"&lt;="&amp;D650,C:C,C650)+SUMIFS(P:P,D:D,"&lt;="&amp;D650,C:C,C650)&lt;0,0,SUMIFS('Shipments data'!L:L,'Shipments data'!F:F,'Supply planning data'!C650,'Shipments data'!A:A,'Supply planning data'!A650,'Shipments data'!O:O,"received",'Shipments data'!Q:Q,"&lt;"&amp;'Supply planning data'!D665,'Shipments data'!AC:AC,"&lt;"&amp;'Supply planning data'!D665)-SUMIFS(M:M,D:D,"&lt;="&amp;D650,C:C,C650)+SUMIFS(N:N,D:D,"&lt;="&amp;D650,C:C,C650)+SUMIFS(P:P,D:D,"&lt;="&amp;D650,C:C,C650))</f>
        <v>0</v>
      </c>
      <c r="U650" s="108">
        <f t="shared" si="188"/>
        <v>0</v>
      </c>
      <c r="V650" s="105">
        <f t="shared" si="196"/>
        <v>0</v>
      </c>
      <c r="W650" s="206" t="str">
        <f t="shared" si="194"/>
        <v/>
      </c>
      <c r="X650" s="105">
        <f t="shared" si="189"/>
        <v>154701</v>
      </c>
      <c r="Y650" s="106"/>
      <c r="Z650" s="107"/>
      <c r="AA650" s="105">
        <f t="shared" si="200"/>
        <v>0</v>
      </c>
      <c r="AB650" s="234"/>
      <c r="AC650" s="105">
        <f>IF(SUMIFS('Shipments data'!L:L,'Shipments data'!F:F,'Supply planning data'!C650,'Shipments data'!A:A,'Supply planning data'!A650,'Shipments data'!O:O,"received",'Shipments data'!Q:Q,"&lt;"&amp;'Supply planning data'!D665,'Shipments data'!AC:AC,"&lt;"&amp;'Supply planning data'!D665)-SUMIFS(M:M,D:D,"&lt;="&amp;D650,C:C,C650)-SUMIFS(AA:AA,D:D,"&lt;="&amp;D650,C:C,C650)+SUMIFS(N:N,D:D,"&lt;="&amp;D650,C:C,C650)+SUMIFS(P:P,D:D,"&lt;="&amp;D650,C:C,C650)&lt;0,0,SUMIFS('Shipments data'!L:L,'Shipments data'!F:F,'Supply planning data'!C650,'Shipments data'!A:A,'Supply planning data'!A650,'Shipments data'!O:O,"received",'Shipments data'!Q:Q,"&lt;"&amp;'Supply planning data'!D665,'Shipments data'!AC:AC,"&lt;"&amp;'Supply planning data'!D665)-SUMIFS(M:M,D:D,"&lt;="&amp;D650,C:C,C650)-SUMIFS(AA:AA,D:D,"&lt;="&amp;D650,C:C,C650)+SUMIFS(N:N,D:D,"&lt;="&amp;D650,C:C,C650)+SUMIFS(P:P,D:D,"&lt;="&amp;D650,C:C,C650))</f>
        <v>0</v>
      </c>
      <c r="AD650" s="105">
        <f t="shared" si="190"/>
        <v>0</v>
      </c>
      <c r="AE650" s="105">
        <f t="shared" si="202"/>
        <v>154701</v>
      </c>
      <c r="AF650" s="206" t="str">
        <f t="shared" si="193"/>
        <v/>
      </c>
      <c r="AG650" s="105">
        <f t="shared" si="191"/>
        <v>0</v>
      </c>
      <c r="AH650" s="106"/>
      <c r="AI650" s="312"/>
      <c r="AJ650" s="105">
        <f t="shared" si="201"/>
        <v>0</v>
      </c>
      <c r="AK650" s="234"/>
      <c r="AL650" s="105">
        <f>IF(SUMIFS('Shipments data'!L:L,'Shipments data'!F:F,'Supply planning data'!C650,'Shipments data'!A:A,'Supply planning data'!A650,'Shipments data'!O:O,"received",'Shipments data'!Q:Q,"&lt;"&amp;'Supply planning data'!D665,'Shipments data'!AC:AC,"&lt;"&amp;'Supply planning data'!D665)-SUMIFS(M:M,D:D,"&lt;="&amp;D650,C:C,C650)-SUMIFS(AJ:AJ,D:D,"&lt;="&amp;D650,C:C,C650)+SUMIFS(N:N,D:D,"&lt;="&amp;D650,C:C,C650)+SUMIFS(P:P,D:D,"&lt;="&amp;D650,C:C,C650)&lt;0,0,SUMIFS('Shipments data'!L:L,'Shipments data'!F:F,'Supply planning data'!C650,'Shipments data'!A:A,'Supply planning data'!A650,'Shipments data'!O:O,"received",'Shipments data'!Q:Q,"&lt;"&amp;'Supply planning data'!D665,'Shipments data'!AC:AC,"&lt;"&amp;'Supply planning data'!D665)-SUMIFS(M:M,D:D,"&lt;="&amp;D650,C:C,C650)-SUMIFS(AJ:AJ,D:D,"&lt;="&amp;D650,C:C,C650)+SUMIFS(N:N,D:D,"&lt;="&amp;D650,C:C,C650)+SUMIFS(P:P,D:D,"&lt;="&amp;D650,C:C,C650))</f>
        <v>0</v>
      </c>
      <c r="AM650" s="105">
        <f t="shared" si="192"/>
        <v>0</v>
      </c>
      <c r="AN650" s="105">
        <f t="shared" si="203"/>
        <v>0</v>
      </c>
      <c r="AO650" s="206" t="str">
        <f t="shared" si="195"/>
        <v/>
      </c>
    </row>
    <row r="651" spans="1:41" x14ac:dyDescent="0.25">
      <c r="A651" s="103" t="str">
        <f>Start!D$7</f>
        <v>Anyland</v>
      </c>
      <c r="B651" s="109" t="str">
        <f>VLOOKUP(A651,list!B:C,2,FALSE)</f>
        <v>ANY</v>
      </c>
      <c r="C651" s="109" t="str">
        <f>IF(Start!$C$18="","",Start!$C$18)</f>
        <v>Jansen</v>
      </c>
      <c r="D651" s="298">
        <f t="shared" si="186"/>
        <v>45505</v>
      </c>
      <c r="E651" s="105" t="str">
        <f>IFERROR(VLOOKUP(C651,Start!C$15:D$31,2,FALSE),"No")</f>
        <v>Yes</v>
      </c>
      <c r="F651" s="105">
        <f t="shared" si="187"/>
        <v>1871200</v>
      </c>
      <c r="G651" s="106"/>
      <c r="H651" s="106"/>
      <c r="I651" s="106"/>
      <c r="J651" s="105">
        <f t="shared" si="197"/>
        <v>0</v>
      </c>
      <c r="K651" s="106"/>
      <c r="L651" s="177" t="str">
        <f t="shared" si="198"/>
        <v/>
      </c>
      <c r="M651" s="105">
        <f t="shared" si="199"/>
        <v>0</v>
      </c>
      <c r="N651" s="110"/>
      <c r="O651" s="124"/>
      <c r="P651" s="110"/>
      <c r="Q651" s="124"/>
      <c r="R651" s="111">
        <f>SUMIFS('Shipments data'!L:L,'Shipments data'!F:F,'Supply planning data'!C651,'Shipments data'!A:A,'Supply planning data'!A651,'Shipments data'!Y:Y,'Supply planning data'!D651,'Shipments data'!O:O,"received", 'Shipments data'!N:N, "Public")</f>
        <v>0</v>
      </c>
      <c r="S651" s="111">
        <f>SUMIFS('Shipments data'!L:L,'Shipments data'!F:F,'Supply planning data'!C651,'Shipments data'!A:A,'Supply planning data'!A651,'Shipments data'!Y:Y,'Supply planning data'!D651,'Shipments data'!O:O,"ordered", 'Shipments data'!N:N, "Public")</f>
        <v>0</v>
      </c>
      <c r="T651" s="111">
        <f>IF(SUMIFS('Shipments data'!L:L,'Shipments data'!F:F,'Supply planning data'!C651,'Shipments data'!A:A,'Supply planning data'!A651,'Shipments data'!O:O,"received",'Shipments data'!Q:Q,"&lt;"&amp;'Supply planning data'!D666,'Shipments data'!AC:AC,"&lt;"&amp;'Supply planning data'!D666)-SUMIFS(M:M,D:D,"&lt;="&amp;D651,C:C,C651)+SUMIFS(N:N,D:D,"&lt;="&amp;D651,C:C,C651)+SUMIFS(P:P,D:D,"&lt;="&amp;D651,C:C,C651)&lt;0,0,SUMIFS('Shipments data'!L:L,'Shipments data'!F:F,'Supply planning data'!C651,'Shipments data'!A:A,'Supply planning data'!A651,'Shipments data'!O:O,"received",'Shipments data'!Q:Q,"&lt;"&amp;'Supply planning data'!D666,'Shipments data'!AC:AC,"&lt;"&amp;'Supply planning data'!D666)-SUMIFS(M:M,D:D,"&lt;="&amp;D651,C:C,C651)+SUMIFS(N:N,D:D,"&lt;="&amp;D651,C:C,C651)+SUMIFS(P:P,D:D,"&lt;="&amp;D651,C:C,C651))</f>
        <v>387547</v>
      </c>
      <c r="U651" s="112">
        <f t="shared" si="188"/>
        <v>0</v>
      </c>
      <c r="V651" s="111">
        <f t="shared" si="196"/>
        <v>1871200</v>
      </c>
      <c r="W651" s="204" t="str">
        <f t="shared" si="194"/>
        <v/>
      </c>
      <c r="X651" s="111">
        <f t="shared" si="189"/>
        <v>1311200</v>
      </c>
      <c r="Y651" s="110"/>
      <c r="Z651" s="107"/>
      <c r="AA651" s="111">
        <f t="shared" si="200"/>
        <v>0</v>
      </c>
      <c r="AB651" s="235"/>
      <c r="AC651" s="111">
        <f>IF(SUMIFS('Shipments data'!L:L,'Shipments data'!F:F,'Supply planning data'!C651,'Shipments data'!A:A,'Supply planning data'!A651,'Shipments data'!O:O,"received",'Shipments data'!Q:Q,"&lt;"&amp;'Supply planning data'!D666,'Shipments data'!AC:AC,"&lt;"&amp;'Supply planning data'!D666)-SUMIFS(M:M,D:D,"&lt;="&amp;D651,C:C,C651)-SUMIFS(AA:AA,D:D,"&lt;="&amp;D651,C:C,C651)+SUMIFS(N:N,D:D,"&lt;="&amp;D651,C:C,C651)+SUMIFS(P:P,D:D,"&lt;="&amp;D651,C:C,C651)&lt;0,0,SUMIFS('Shipments data'!L:L,'Shipments data'!F:F,'Supply planning data'!C651,'Shipments data'!A:A,'Supply planning data'!A651,'Shipments data'!O:O,"received",'Shipments data'!Q:Q,"&lt;"&amp;'Supply planning data'!D666,'Shipments data'!AC:AC,"&lt;"&amp;'Supply planning data'!D666)-SUMIFS(M:M,D:D,"&lt;="&amp;D651,C:C,C651)-SUMIFS(AA:AA,D:D,"&lt;="&amp;D651,C:C,C651)+SUMIFS(N:N,D:D,"&lt;="&amp;D651,C:C,C651)+SUMIFS(P:P,D:D,"&lt;="&amp;D651,C:C,C651))</f>
        <v>0</v>
      </c>
      <c r="AD651" s="111">
        <f t="shared" si="190"/>
        <v>0</v>
      </c>
      <c r="AE651" s="111">
        <f t="shared" si="202"/>
        <v>1311200</v>
      </c>
      <c r="AF651" s="204" t="str">
        <f t="shared" si="193"/>
        <v/>
      </c>
      <c r="AG651" s="111">
        <f t="shared" si="191"/>
        <v>1871200</v>
      </c>
      <c r="AH651" s="110"/>
      <c r="AI651" s="313"/>
      <c r="AJ651" s="111">
        <f t="shared" si="201"/>
        <v>0</v>
      </c>
      <c r="AK651" s="235"/>
      <c r="AL651" s="111">
        <f>IF(SUMIFS('Shipments data'!L:L,'Shipments data'!F:F,'Supply planning data'!C651,'Shipments data'!A:A,'Supply planning data'!A651,'Shipments data'!O:O,"received",'Shipments data'!Q:Q,"&lt;"&amp;'Supply planning data'!D666,'Shipments data'!AC:AC,"&lt;"&amp;'Supply planning data'!D666)-SUMIFS(M:M,D:D,"&lt;="&amp;D651,C:C,C651)-SUMIFS(AJ:AJ,D:D,"&lt;="&amp;D651,C:C,C651)+SUMIFS(N:N,D:D,"&lt;="&amp;D651,C:C,C651)+SUMIFS(P:P,D:D,"&lt;="&amp;D651,C:C,C651)&lt;0,0,SUMIFS('Shipments data'!L:L,'Shipments data'!F:F,'Supply planning data'!C651,'Shipments data'!A:A,'Supply planning data'!A651,'Shipments data'!O:O,"received",'Shipments data'!Q:Q,"&lt;"&amp;'Supply planning data'!D666,'Shipments data'!AC:AC,"&lt;"&amp;'Supply planning data'!D666)-SUMIFS(M:M,D:D,"&lt;="&amp;D651,C:C,C651)-SUMIFS(AJ:AJ,D:D,"&lt;="&amp;D651,C:C,C651)+SUMIFS(N:N,D:D,"&lt;="&amp;D651,C:C,C651)+SUMIFS(P:P,D:D,"&lt;="&amp;D651,C:C,C651))</f>
        <v>387547</v>
      </c>
      <c r="AM651" s="111">
        <f t="shared" si="192"/>
        <v>0</v>
      </c>
      <c r="AN651" s="111">
        <f t="shared" si="203"/>
        <v>1871200</v>
      </c>
      <c r="AO651" s="204" t="str">
        <f t="shared" si="195"/>
        <v/>
      </c>
    </row>
    <row r="652" spans="1:41" x14ac:dyDescent="0.25">
      <c r="A652" s="103" t="str">
        <f>Start!D$7</f>
        <v>Anyland</v>
      </c>
      <c r="B652" s="109" t="str">
        <f>VLOOKUP(A652,list!B:C,2,FALSE)</f>
        <v>ANY</v>
      </c>
      <c r="C652" s="104" t="str">
        <f>IF(Start!$C$19="","",Start!$C$19)</f>
        <v>Moderna</v>
      </c>
      <c r="D652" s="298">
        <f t="shared" si="186"/>
        <v>45505</v>
      </c>
      <c r="E652" s="105" t="str">
        <f>IFERROR(VLOOKUP(C652,Start!C$15:D$31,2,FALSE),"No")</f>
        <v>No</v>
      </c>
      <c r="F652" s="105">
        <f t="shared" si="187"/>
        <v>0</v>
      </c>
      <c r="G652" s="106"/>
      <c r="H652" s="106"/>
      <c r="I652" s="106"/>
      <c r="J652" s="105">
        <f t="shared" si="197"/>
        <v>0</v>
      </c>
      <c r="K652" s="106"/>
      <c r="L652" s="177" t="str">
        <f t="shared" si="198"/>
        <v/>
      </c>
      <c r="M652" s="105">
        <f t="shared" si="199"/>
        <v>0</v>
      </c>
      <c r="N652" s="110"/>
      <c r="O652" s="124"/>
      <c r="P652" s="110"/>
      <c r="Q652" s="124"/>
      <c r="R652" s="111">
        <f>SUMIFS('Shipments data'!L:L,'Shipments data'!F:F,'Supply planning data'!C652,'Shipments data'!A:A,'Supply planning data'!A652,'Shipments data'!Y:Y,'Supply planning data'!D652,'Shipments data'!O:O,"received", 'Shipments data'!N:N, "Public")</f>
        <v>0</v>
      </c>
      <c r="S652" s="111">
        <f>SUMIFS('Shipments data'!L:L,'Shipments data'!F:F,'Supply planning data'!C652,'Shipments data'!A:A,'Supply planning data'!A652,'Shipments data'!Y:Y,'Supply planning data'!D652,'Shipments data'!O:O,"ordered", 'Shipments data'!N:N, "Public")</f>
        <v>0</v>
      </c>
      <c r="T652" s="111">
        <f>IF(SUMIFS('Shipments data'!L:L,'Shipments data'!F:F,'Supply planning data'!C652,'Shipments data'!A:A,'Supply planning data'!A652,'Shipments data'!O:O,"received",'Shipments data'!Q:Q,"&lt;"&amp;'Supply planning data'!D667,'Shipments data'!AC:AC,"&lt;"&amp;'Supply planning data'!D667)-SUMIFS(M:M,D:D,"&lt;="&amp;D652,C:C,C652)+SUMIFS(N:N,D:D,"&lt;="&amp;D652,C:C,C652)+SUMIFS(P:P,D:D,"&lt;="&amp;D652,C:C,C652)&lt;0,0,SUMIFS('Shipments data'!L:L,'Shipments data'!F:F,'Supply planning data'!C652,'Shipments data'!A:A,'Supply planning data'!A652,'Shipments data'!O:O,"received",'Shipments data'!Q:Q,"&lt;"&amp;'Supply planning data'!D667,'Shipments data'!AC:AC,"&lt;"&amp;'Supply planning data'!D667)-SUMIFS(M:M,D:D,"&lt;="&amp;D652,C:C,C652)+SUMIFS(N:N,D:D,"&lt;="&amp;D652,C:C,C652)+SUMIFS(P:P,D:D,"&lt;="&amp;D652,C:C,C652))</f>
        <v>0</v>
      </c>
      <c r="U652" s="112">
        <f t="shared" si="188"/>
        <v>0</v>
      </c>
      <c r="V652" s="111">
        <f t="shared" si="196"/>
        <v>0</v>
      </c>
      <c r="W652" s="204" t="str">
        <f t="shared" si="194"/>
        <v/>
      </c>
      <c r="X652" s="111">
        <f t="shared" si="189"/>
        <v>0</v>
      </c>
      <c r="Y652" s="110"/>
      <c r="Z652" s="107"/>
      <c r="AA652" s="111">
        <f t="shared" si="200"/>
        <v>0</v>
      </c>
      <c r="AB652" s="235"/>
      <c r="AC652" s="111">
        <f>IF(SUMIFS('Shipments data'!L:L,'Shipments data'!F:F,'Supply planning data'!C652,'Shipments data'!A:A,'Supply planning data'!A652,'Shipments data'!O:O,"received",'Shipments data'!Q:Q,"&lt;"&amp;'Supply planning data'!D667,'Shipments data'!AC:AC,"&lt;"&amp;'Supply planning data'!D667)-SUMIFS(M:M,D:D,"&lt;="&amp;D652,C:C,C652)-SUMIFS(AA:AA,D:D,"&lt;="&amp;D652,C:C,C652)+SUMIFS(N:N,D:D,"&lt;="&amp;D652,C:C,C652)+SUMIFS(P:P,D:D,"&lt;="&amp;D652,C:C,C652)&lt;0,0,SUMIFS('Shipments data'!L:L,'Shipments data'!F:F,'Supply planning data'!C652,'Shipments data'!A:A,'Supply planning data'!A652,'Shipments data'!O:O,"received",'Shipments data'!Q:Q,"&lt;"&amp;'Supply planning data'!D667,'Shipments data'!AC:AC,"&lt;"&amp;'Supply planning data'!D667)-SUMIFS(M:M,D:D,"&lt;="&amp;D652,C:C,C652)-SUMIFS(AA:AA,D:D,"&lt;="&amp;D652,C:C,C652)+SUMIFS(N:N,D:D,"&lt;="&amp;D652,C:C,C652)+SUMIFS(P:P,D:D,"&lt;="&amp;D652,C:C,C652))</f>
        <v>0</v>
      </c>
      <c r="AD652" s="111">
        <f t="shared" si="190"/>
        <v>0</v>
      </c>
      <c r="AE652" s="111">
        <f t="shared" si="202"/>
        <v>0</v>
      </c>
      <c r="AF652" s="204" t="str">
        <f t="shared" si="193"/>
        <v/>
      </c>
      <c r="AG652" s="111">
        <f t="shared" si="191"/>
        <v>0</v>
      </c>
      <c r="AH652" s="110"/>
      <c r="AI652" s="313"/>
      <c r="AJ652" s="111">
        <f t="shared" si="201"/>
        <v>0</v>
      </c>
      <c r="AK652" s="235"/>
      <c r="AL652" s="111">
        <f>IF(SUMIFS('Shipments data'!L:L,'Shipments data'!F:F,'Supply planning data'!C652,'Shipments data'!A:A,'Supply planning data'!A652,'Shipments data'!O:O,"received",'Shipments data'!Q:Q,"&lt;"&amp;'Supply planning data'!D667,'Shipments data'!AC:AC,"&lt;"&amp;'Supply planning data'!D667)-SUMIFS(M:M,D:D,"&lt;="&amp;D652,C:C,C652)-SUMIFS(AJ:AJ,D:D,"&lt;="&amp;D652,C:C,C652)+SUMIFS(N:N,D:D,"&lt;="&amp;D652,C:C,C652)+SUMIFS(P:P,D:D,"&lt;="&amp;D652,C:C,C652)&lt;0,0,SUMIFS('Shipments data'!L:L,'Shipments data'!F:F,'Supply planning data'!C652,'Shipments data'!A:A,'Supply planning data'!A652,'Shipments data'!O:O,"received",'Shipments data'!Q:Q,"&lt;"&amp;'Supply planning data'!D667,'Shipments data'!AC:AC,"&lt;"&amp;'Supply planning data'!D667)-SUMIFS(M:M,D:D,"&lt;="&amp;D652,C:C,C652)-SUMIFS(AJ:AJ,D:D,"&lt;="&amp;D652,C:C,C652)+SUMIFS(N:N,D:D,"&lt;="&amp;D652,C:C,C652)+SUMIFS(P:P,D:D,"&lt;="&amp;D652,C:C,C652))</f>
        <v>0</v>
      </c>
      <c r="AM652" s="111">
        <f t="shared" si="192"/>
        <v>0</v>
      </c>
      <c r="AN652" s="111">
        <f t="shared" si="203"/>
        <v>0</v>
      </c>
      <c r="AO652" s="204" t="str">
        <f t="shared" si="195"/>
        <v/>
      </c>
    </row>
    <row r="653" spans="1:41" x14ac:dyDescent="0.25">
      <c r="A653" s="103" t="str">
        <f>Start!D$7</f>
        <v>Anyland</v>
      </c>
      <c r="B653" s="109" t="str">
        <f>VLOOKUP(A653,list!B:C,2,FALSE)</f>
        <v>ANY</v>
      </c>
      <c r="C653" s="109" t="str">
        <f>IF(Start!$C$20="","",Start!$C$20)</f>
        <v>Pfizer</v>
      </c>
      <c r="D653" s="298">
        <f t="shared" si="186"/>
        <v>45505</v>
      </c>
      <c r="E653" s="105" t="str">
        <f>IFERROR(VLOOKUP(C653,Start!C$15:D$31,2,FALSE),"No")</f>
        <v>Yes</v>
      </c>
      <c r="F653" s="105">
        <f t="shared" si="187"/>
        <v>3000000</v>
      </c>
      <c r="G653" s="106"/>
      <c r="H653" s="106"/>
      <c r="I653" s="106"/>
      <c r="J653" s="105">
        <f t="shared" si="197"/>
        <v>0</v>
      </c>
      <c r="K653" s="106"/>
      <c r="L653" s="177" t="str">
        <f t="shared" si="198"/>
        <v/>
      </c>
      <c r="M653" s="105">
        <f t="shared" si="199"/>
        <v>0</v>
      </c>
      <c r="N653" s="110"/>
      <c r="O653" s="124"/>
      <c r="P653" s="110"/>
      <c r="Q653" s="124"/>
      <c r="R653" s="111">
        <f>SUMIFS('Shipments data'!L:L,'Shipments data'!F:F,'Supply planning data'!C653,'Shipments data'!A:A,'Supply planning data'!A653,'Shipments data'!Y:Y,'Supply planning data'!D653,'Shipments data'!O:O,"received", 'Shipments data'!N:N, "Public")</f>
        <v>0</v>
      </c>
      <c r="S653" s="111">
        <f>SUMIFS('Shipments data'!L:L,'Shipments data'!F:F,'Supply planning data'!C653,'Shipments data'!A:A,'Supply planning data'!A653,'Shipments data'!Y:Y,'Supply planning data'!D653,'Shipments data'!O:O,"ordered", 'Shipments data'!N:N, "Public")</f>
        <v>0</v>
      </c>
      <c r="T653" s="111">
        <f>IF(SUMIFS('Shipments data'!L:L,'Shipments data'!F:F,'Supply planning data'!C653,'Shipments data'!A:A,'Supply planning data'!A653,'Shipments data'!O:O,"received",'Shipments data'!Q:Q,"&lt;"&amp;'Supply planning data'!D668,'Shipments data'!AC:AC,"&lt;"&amp;'Supply planning data'!D668)-SUMIFS(M:M,D:D,"&lt;="&amp;D653,C:C,C653)+SUMIFS(N:N,D:D,"&lt;="&amp;D653,C:C,C653)+SUMIFS(P:P,D:D,"&lt;="&amp;D653,C:C,C653)&lt;0,0,SUMIFS('Shipments data'!L:L,'Shipments data'!F:F,'Supply planning data'!C653,'Shipments data'!A:A,'Supply planning data'!A653,'Shipments data'!O:O,"received",'Shipments data'!Q:Q,"&lt;"&amp;'Supply planning data'!D668,'Shipments data'!AC:AC,"&lt;"&amp;'Supply planning data'!D668)-SUMIFS(M:M,D:D,"&lt;="&amp;D653,C:C,C653)+SUMIFS(N:N,D:D,"&lt;="&amp;D653,C:C,C653)+SUMIFS(P:P,D:D,"&lt;="&amp;D653,C:C,C653))</f>
        <v>110538</v>
      </c>
      <c r="U653" s="112">
        <f t="shared" si="188"/>
        <v>0</v>
      </c>
      <c r="V653" s="111">
        <f t="shared" si="196"/>
        <v>3000000</v>
      </c>
      <c r="W653" s="204" t="str">
        <f t="shared" si="194"/>
        <v/>
      </c>
      <c r="X653" s="111">
        <f t="shared" si="189"/>
        <v>2440000</v>
      </c>
      <c r="Y653" s="110"/>
      <c r="Z653" s="107"/>
      <c r="AA653" s="111">
        <f t="shared" si="200"/>
        <v>0</v>
      </c>
      <c r="AB653" s="235"/>
      <c r="AC653" s="111">
        <f>IF(SUMIFS('Shipments data'!L:L,'Shipments data'!F:F,'Supply planning data'!C653,'Shipments data'!A:A,'Supply planning data'!A653,'Shipments data'!O:O,"received",'Shipments data'!Q:Q,"&lt;"&amp;'Supply planning data'!D668,'Shipments data'!AC:AC,"&lt;"&amp;'Supply planning data'!D668)-SUMIFS(M:M,D:D,"&lt;="&amp;D653,C:C,C653)-SUMIFS(AA:AA,D:D,"&lt;="&amp;D653,C:C,C653)+SUMIFS(N:N,D:D,"&lt;="&amp;D653,C:C,C653)+SUMIFS(P:P,D:D,"&lt;="&amp;D653,C:C,C653)&lt;0,0,SUMIFS('Shipments data'!L:L,'Shipments data'!F:F,'Supply planning data'!C653,'Shipments data'!A:A,'Supply planning data'!A653,'Shipments data'!O:O,"received",'Shipments data'!Q:Q,"&lt;"&amp;'Supply planning data'!D668,'Shipments data'!AC:AC,"&lt;"&amp;'Supply planning data'!D668)-SUMIFS(M:M,D:D,"&lt;="&amp;D653,C:C,C653)-SUMIFS(AA:AA,D:D,"&lt;="&amp;D653,C:C,C653)+SUMIFS(N:N,D:D,"&lt;="&amp;D653,C:C,C653)+SUMIFS(P:P,D:D,"&lt;="&amp;D653,C:C,C653))</f>
        <v>0</v>
      </c>
      <c r="AD653" s="111">
        <f t="shared" si="190"/>
        <v>0</v>
      </c>
      <c r="AE653" s="111">
        <f t="shared" si="202"/>
        <v>2440000</v>
      </c>
      <c r="AF653" s="204" t="str">
        <f t="shared" si="193"/>
        <v/>
      </c>
      <c r="AG653" s="111">
        <f t="shared" si="191"/>
        <v>3000000</v>
      </c>
      <c r="AH653" s="110"/>
      <c r="AI653" s="313"/>
      <c r="AJ653" s="111">
        <f t="shared" si="201"/>
        <v>0</v>
      </c>
      <c r="AK653" s="235"/>
      <c r="AL653" s="111">
        <f>IF(SUMIFS('Shipments data'!L:L,'Shipments data'!F:F,'Supply planning data'!C653,'Shipments data'!A:A,'Supply planning data'!A653,'Shipments data'!O:O,"received",'Shipments data'!Q:Q,"&lt;"&amp;'Supply planning data'!D668,'Shipments data'!AC:AC,"&lt;"&amp;'Supply planning data'!D668)-SUMIFS(M:M,D:D,"&lt;="&amp;D653,C:C,C653)-SUMIFS(AJ:AJ,D:D,"&lt;="&amp;D653,C:C,C653)+SUMIFS(N:N,D:D,"&lt;="&amp;D653,C:C,C653)+SUMIFS(P:P,D:D,"&lt;="&amp;D653,C:C,C653)&lt;0,0,SUMIFS('Shipments data'!L:L,'Shipments data'!F:F,'Supply planning data'!C653,'Shipments data'!A:A,'Supply planning data'!A653,'Shipments data'!O:O,"received",'Shipments data'!Q:Q,"&lt;"&amp;'Supply planning data'!D668,'Shipments data'!AC:AC,"&lt;"&amp;'Supply planning data'!D668)-SUMIFS(M:M,D:D,"&lt;="&amp;D653,C:C,C653)-SUMIFS(AJ:AJ,D:D,"&lt;="&amp;D653,C:C,C653)+SUMIFS(N:N,D:D,"&lt;="&amp;D653,C:C,C653)+SUMIFS(P:P,D:D,"&lt;="&amp;D653,C:C,C653))</f>
        <v>110538</v>
      </c>
      <c r="AM653" s="111">
        <f t="shared" si="192"/>
        <v>0</v>
      </c>
      <c r="AN653" s="111">
        <f t="shared" si="203"/>
        <v>3000000</v>
      </c>
      <c r="AO653" s="204" t="str">
        <f t="shared" si="195"/>
        <v/>
      </c>
    </row>
    <row r="654" spans="1:41" x14ac:dyDescent="0.25">
      <c r="A654" s="103" t="str">
        <f>Start!D$7</f>
        <v>Anyland</v>
      </c>
      <c r="B654" s="109" t="str">
        <f>VLOOKUP(A654,list!B:C,2,FALSE)</f>
        <v>ANY</v>
      </c>
      <c r="C654" s="104" t="str">
        <f>IF(Start!$C$21="","",Start!$C$21)</f>
        <v>Sinovac</v>
      </c>
      <c r="D654" s="298">
        <f t="shared" si="186"/>
        <v>45505</v>
      </c>
      <c r="E654" s="105" t="str">
        <f>IFERROR(VLOOKUP(C654,Start!C$15:D$31,2,FALSE),"No")</f>
        <v>No</v>
      </c>
      <c r="F654" s="105">
        <f t="shared" si="187"/>
        <v>0</v>
      </c>
      <c r="G654" s="106"/>
      <c r="H654" s="106"/>
      <c r="I654" s="106"/>
      <c r="J654" s="105">
        <f t="shared" si="197"/>
        <v>0</v>
      </c>
      <c r="K654" s="106"/>
      <c r="L654" s="177" t="str">
        <f t="shared" si="198"/>
        <v/>
      </c>
      <c r="M654" s="105">
        <f t="shared" si="199"/>
        <v>0</v>
      </c>
      <c r="N654" s="110"/>
      <c r="O654" s="124"/>
      <c r="P654" s="110"/>
      <c r="Q654" s="124"/>
      <c r="R654" s="111">
        <f>SUMIFS('Shipments data'!L:L,'Shipments data'!F:F,'Supply planning data'!C654,'Shipments data'!A:A,'Supply planning data'!A654,'Shipments data'!Y:Y,'Supply planning data'!D654,'Shipments data'!O:O,"received", 'Shipments data'!N:N, "Public")</f>
        <v>0</v>
      </c>
      <c r="S654" s="111">
        <f>SUMIFS('Shipments data'!L:L,'Shipments data'!F:F,'Supply planning data'!C654,'Shipments data'!A:A,'Supply planning data'!A654,'Shipments data'!Y:Y,'Supply planning data'!D654,'Shipments data'!O:O,"ordered", 'Shipments data'!N:N, "Public")</f>
        <v>0</v>
      </c>
      <c r="T654" s="111">
        <f>IF(SUMIFS('Shipments data'!L:L,'Shipments data'!F:F,'Supply planning data'!C654,'Shipments data'!A:A,'Supply planning data'!A654,'Shipments data'!O:O,"received",'Shipments data'!Q:Q,"&lt;"&amp;'Supply planning data'!D669,'Shipments data'!AC:AC,"&lt;"&amp;'Supply planning data'!D669)-SUMIFS(M:M,D:D,"&lt;="&amp;D654,C:C,C654)+SUMIFS(N:N,D:D,"&lt;="&amp;D654,C:C,C654)+SUMIFS(P:P,D:D,"&lt;="&amp;D654,C:C,C654)&lt;0,0,SUMIFS('Shipments data'!L:L,'Shipments data'!F:F,'Supply planning data'!C654,'Shipments data'!A:A,'Supply planning data'!A654,'Shipments data'!O:O,"received",'Shipments data'!Q:Q,"&lt;"&amp;'Supply planning data'!D669,'Shipments data'!AC:AC,"&lt;"&amp;'Supply planning data'!D669)-SUMIFS(M:M,D:D,"&lt;="&amp;D654,C:C,C654)+SUMIFS(N:N,D:D,"&lt;="&amp;D654,C:C,C654)+SUMIFS(P:P,D:D,"&lt;="&amp;D654,C:C,C654))</f>
        <v>0</v>
      </c>
      <c r="U654" s="112">
        <f t="shared" si="188"/>
        <v>0</v>
      </c>
      <c r="V654" s="111">
        <f t="shared" si="196"/>
        <v>0</v>
      </c>
      <c r="W654" s="204" t="str">
        <f t="shared" si="194"/>
        <v/>
      </c>
      <c r="X654" s="111">
        <f t="shared" si="189"/>
        <v>0</v>
      </c>
      <c r="Y654" s="110"/>
      <c r="Z654" s="107"/>
      <c r="AA654" s="111">
        <f t="shared" si="200"/>
        <v>0</v>
      </c>
      <c r="AB654" s="235"/>
      <c r="AC654" s="111">
        <f>IF(SUMIFS('Shipments data'!L:L,'Shipments data'!F:F,'Supply planning data'!C654,'Shipments data'!A:A,'Supply planning data'!A654,'Shipments data'!O:O,"received",'Shipments data'!Q:Q,"&lt;"&amp;'Supply planning data'!D669,'Shipments data'!AC:AC,"&lt;"&amp;'Supply planning data'!D669)-SUMIFS(M:M,D:D,"&lt;="&amp;D654,C:C,C654)-SUMIFS(AA:AA,D:D,"&lt;="&amp;D654,C:C,C654)+SUMIFS(N:N,D:D,"&lt;="&amp;D654,C:C,C654)+SUMIFS(P:P,D:D,"&lt;="&amp;D654,C:C,C654)&lt;0,0,SUMIFS('Shipments data'!L:L,'Shipments data'!F:F,'Supply planning data'!C654,'Shipments data'!A:A,'Supply planning data'!A654,'Shipments data'!O:O,"received",'Shipments data'!Q:Q,"&lt;"&amp;'Supply planning data'!D669,'Shipments data'!AC:AC,"&lt;"&amp;'Supply planning data'!D669)-SUMIFS(M:M,D:D,"&lt;="&amp;D654,C:C,C654)-SUMIFS(AA:AA,D:D,"&lt;="&amp;D654,C:C,C654)+SUMIFS(N:N,D:D,"&lt;="&amp;D654,C:C,C654)+SUMIFS(P:P,D:D,"&lt;="&amp;D654,C:C,C654))</f>
        <v>0</v>
      </c>
      <c r="AD654" s="111">
        <f t="shared" si="190"/>
        <v>0</v>
      </c>
      <c r="AE654" s="111">
        <f t="shared" si="202"/>
        <v>0</v>
      </c>
      <c r="AF654" s="204" t="str">
        <f t="shared" si="193"/>
        <v/>
      </c>
      <c r="AG654" s="111">
        <f t="shared" si="191"/>
        <v>0</v>
      </c>
      <c r="AH654" s="110"/>
      <c r="AI654" s="313"/>
      <c r="AJ654" s="111">
        <f t="shared" si="201"/>
        <v>0</v>
      </c>
      <c r="AK654" s="235"/>
      <c r="AL654" s="111">
        <f>IF(SUMIFS('Shipments data'!L:L,'Shipments data'!F:F,'Supply planning data'!C654,'Shipments data'!A:A,'Supply planning data'!A654,'Shipments data'!O:O,"received",'Shipments data'!Q:Q,"&lt;"&amp;'Supply planning data'!D669,'Shipments data'!AC:AC,"&lt;"&amp;'Supply planning data'!D669)-SUMIFS(M:M,D:D,"&lt;="&amp;D654,C:C,C654)-SUMIFS(AJ:AJ,D:D,"&lt;="&amp;D654,C:C,C654)+SUMIFS(N:N,D:D,"&lt;="&amp;D654,C:C,C654)+SUMIFS(P:P,D:D,"&lt;="&amp;D654,C:C,C654)&lt;0,0,SUMIFS('Shipments data'!L:L,'Shipments data'!F:F,'Supply planning data'!C654,'Shipments data'!A:A,'Supply planning data'!A654,'Shipments data'!O:O,"received",'Shipments data'!Q:Q,"&lt;"&amp;'Supply planning data'!D669,'Shipments data'!AC:AC,"&lt;"&amp;'Supply planning data'!D669)-SUMIFS(M:M,D:D,"&lt;="&amp;D654,C:C,C654)-SUMIFS(AJ:AJ,D:D,"&lt;="&amp;D654,C:C,C654)+SUMIFS(N:N,D:D,"&lt;="&amp;D654,C:C,C654)+SUMIFS(P:P,D:D,"&lt;="&amp;D654,C:C,C654))</f>
        <v>0</v>
      </c>
      <c r="AM654" s="111">
        <f t="shared" si="192"/>
        <v>0</v>
      </c>
      <c r="AN654" s="111">
        <f t="shared" si="203"/>
        <v>0</v>
      </c>
      <c r="AO654" s="204" t="str">
        <f t="shared" si="195"/>
        <v/>
      </c>
    </row>
    <row r="655" spans="1:41" hidden="1" x14ac:dyDescent="0.25">
      <c r="A655" s="103" t="str">
        <f>Start!D$7</f>
        <v>Anyland</v>
      </c>
      <c r="B655" s="109" t="str">
        <f>VLOOKUP(A655,list!B:C,2,FALSE)</f>
        <v>ANY</v>
      </c>
      <c r="C655" s="109" t="str">
        <f>IF(Start!$C$22="","",Start!$C$22)</f>
        <v/>
      </c>
      <c r="D655" s="298">
        <f t="shared" si="186"/>
        <v>45505</v>
      </c>
      <c r="E655" s="105" t="str">
        <f>IFERROR(VLOOKUP(C655,Start!C$15:D$31,2,FALSE),"No")</f>
        <v>No</v>
      </c>
      <c r="F655" s="105">
        <f t="shared" si="187"/>
        <v>0</v>
      </c>
      <c r="G655" s="106"/>
      <c r="H655" s="106"/>
      <c r="I655" s="106"/>
      <c r="J655" s="105">
        <f t="shared" si="197"/>
        <v>0</v>
      </c>
      <c r="K655" s="106"/>
      <c r="L655" s="177" t="str">
        <f t="shared" si="198"/>
        <v/>
      </c>
      <c r="M655" s="105">
        <f t="shared" si="199"/>
        <v>0</v>
      </c>
      <c r="N655" s="110"/>
      <c r="O655" s="124"/>
      <c r="P655" s="110"/>
      <c r="Q655" s="124"/>
      <c r="R655" s="111">
        <f>SUMIFS('Shipments data'!L:L,'Shipments data'!F:F,'Supply planning data'!C655,'Shipments data'!A:A,'Supply planning data'!A655,'Shipments data'!Y:Y,'Supply planning data'!D655,'Shipments data'!O:O,"received", 'Shipments data'!N:N, "Public")</f>
        <v>0</v>
      </c>
      <c r="S655" s="111">
        <f>SUMIFS('Shipments data'!L:L,'Shipments data'!F:F,'Supply planning data'!C655,'Shipments data'!A:A,'Supply planning data'!A655,'Shipments data'!Y:Y,'Supply planning data'!D655,'Shipments data'!O:O,"ordered", 'Shipments data'!N:N, "Public")</f>
        <v>0</v>
      </c>
      <c r="T655" s="111">
        <f>IF(SUMIFS('Shipments data'!L:L,'Shipments data'!F:F,'Supply planning data'!C655,'Shipments data'!A:A,'Supply planning data'!A655,'Shipments data'!O:O,"received",'Shipments data'!Q:Q,"&lt;"&amp;'Supply planning data'!D670,'Shipments data'!AC:AC,"&lt;"&amp;'Supply planning data'!D670)-SUMIFS(M:M,D:D,"&lt;="&amp;D655,C:C,C655)+SUMIFS(N:N,D:D,"&lt;="&amp;D655,C:C,C655)+SUMIFS(P:P,D:D,"&lt;="&amp;D655,C:C,C655)&lt;0,0,SUMIFS('Shipments data'!L:L,'Shipments data'!F:F,'Supply planning data'!C655,'Shipments data'!A:A,'Supply planning data'!A655,'Shipments data'!O:O,"received",'Shipments data'!Q:Q,"&lt;"&amp;'Supply planning data'!D670,'Shipments data'!AC:AC,"&lt;"&amp;'Supply planning data'!D670)-SUMIFS(M:M,D:D,"&lt;="&amp;D655,C:C,C655)+SUMIFS(N:N,D:D,"&lt;="&amp;D655,C:C,C655)+SUMIFS(P:P,D:D,"&lt;="&amp;D655,C:C,C655))</f>
        <v>0</v>
      </c>
      <c r="U655" s="112">
        <f t="shared" si="188"/>
        <v>0</v>
      </c>
      <c r="V655" s="111">
        <f t="shared" si="196"/>
        <v>0</v>
      </c>
      <c r="W655" s="204" t="str">
        <f t="shared" si="194"/>
        <v/>
      </c>
      <c r="X655" s="111">
        <f t="shared" si="189"/>
        <v>0</v>
      </c>
      <c r="Y655" s="110"/>
      <c r="Z655" s="107"/>
      <c r="AA655" s="111">
        <f t="shared" si="200"/>
        <v>0</v>
      </c>
      <c r="AB655" s="235"/>
      <c r="AC655" s="111">
        <f>IF(SUMIFS('Shipments data'!L:L,'Shipments data'!F:F,'Supply planning data'!C655,'Shipments data'!A:A,'Supply planning data'!A655,'Shipments data'!O:O,"received",'Shipments data'!Q:Q,"&lt;"&amp;'Supply planning data'!D670,'Shipments data'!AC:AC,"&lt;"&amp;'Supply planning data'!D670)-SUMIFS(M:M,D:D,"&lt;="&amp;D655,C:C,C655)-SUMIFS(AA:AA,D:D,"&lt;="&amp;D655,C:C,C655)+SUMIFS(N:N,D:D,"&lt;="&amp;D655,C:C,C655)+SUMIFS(P:P,D:D,"&lt;="&amp;D655,C:C,C655)&lt;0,0,SUMIFS('Shipments data'!L:L,'Shipments data'!F:F,'Supply planning data'!C655,'Shipments data'!A:A,'Supply planning data'!A655,'Shipments data'!O:O,"received",'Shipments data'!Q:Q,"&lt;"&amp;'Supply planning data'!D670,'Shipments data'!AC:AC,"&lt;"&amp;'Supply planning data'!D670)-SUMIFS(M:M,D:D,"&lt;="&amp;D655,C:C,C655)-SUMIFS(AA:AA,D:D,"&lt;="&amp;D655,C:C,C655)+SUMIFS(N:N,D:D,"&lt;="&amp;D655,C:C,C655)+SUMIFS(P:P,D:D,"&lt;="&amp;D655,C:C,C655))</f>
        <v>0</v>
      </c>
      <c r="AD655" s="111">
        <f t="shared" si="190"/>
        <v>0</v>
      </c>
      <c r="AE655" s="111">
        <f t="shared" si="202"/>
        <v>0</v>
      </c>
      <c r="AF655" s="204" t="str">
        <f t="shared" si="193"/>
        <v/>
      </c>
      <c r="AG655" s="111">
        <f t="shared" si="191"/>
        <v>0</v>
      </c>
      <c r="AH655" s="110"/>
      <c r="AI655" s="313"/>
      <c r="AJ655" s="111">
        <f t="shared" si="201"/>
        <v>0</v>
      </c>
      <c r="AK655" s="235"/>
      <c r="AL655" s="111">
        <f>IF(SUMIFS('Shipments data'!L:L,'Shipments data'!F:F,'Supply planning data'!C655,'Shipments data'!A:A,'Supply planning data'!A655,'Shipments data'!O:O,"received",'Shipments data'!Q:Q,"&lt;"&amp;'Supply planning data'!D670,'Shipments data'!AC:AC,"&lt;"&amp;'Supply planning data'!D670)-SUMIFS(M:M,D:D,"&lt;="&amp;D655,C:C,C655)-SUMIFS(AJ:AJ,D:D,"&lt;="&amp;D655,C:C,C655)+SUMIFS(N:N,D:D,"&lt;="&amp;D655,C:C,C655)+SUMIFS(P:P,D:D,"&lt;="&amp;D655,C:C,C655)&lt;0,0,SUMIFS('Shipments data'!L:L,'Shipments data'!F:F,'Supply planning data'!C655,'Shipments data'!A:A,'Supply planning data'!A655,'Shipments data'!O:O,"received",'Shipments data'!Q:Q,"&lt;"&amp;'Supply planning data'!D670,'Shipments data'!AC:AC,"&lt;"&amp;'Supply planning data'!D670)-SUMIFS(M:M,D:D,"&lt;="&amp;D655,C:C,C655)-SUMIFS(AJ:AJ,D:D,"&lt;="&amp;D655,C:C,C655)+SUMIFS(N:N,D:D,"&lt;="&amp;D655,C:C,C655)+SUMIFS(P:P,D:D,"&lt;="&amp;D655,C:C,C655))</f>
        <v>0</v>
      </c>
      <c r="AM655" s="111">
        <f t="shared" si="192"/>
        <v>0</v>
      </c>
      <c r="AN655" s="111">
        <f t="shared" si="203"/>
        <v>0</v>
      </c>
      <c r="AO655" s="204" t="str">
        <f t="shared" si="195"/>
        <v/>
      </c>
    </row>
    <row r="656" spans="1:41" hidden="1" x14ac:dyDescent="0.25">
      <c r="A656" s="103" t="str">
        <f>Start!D$7</f>
        <v>Anyland</v>
      </c>
      <c r="B656" s="109" t="str">
        <f>VLOOKUP(A656,list!B:C,2,FALSE)</f>
        <v>ANY</v>
      </c>
      <c r="C656" s="104" t="str">
        <f>IF(Start!$C$23="","",Start!$C$23)</f>
        <v/>
      </c>
      <c r="D656" s="298">
        <f t="shared" si="186"/>
        <v>45505</v>
      </c>
      <c r="E656" s="105" t="str">
        <f>IFERROR(VLOOKUP(C656,Start!C$15:D$31,2,FALSE),"No")</f>
        <v>No</v>
      </c>
      <c r="F656" s="105">
        <f t="shared" si="187"/>
        <v>0</v>
      </c>
      <c r="G656" s="106"/>
      <c r="H656" s="106"/>
      <c r="I656" s="106"/>
      <c r="J656" s="105">
        <f t="shared" si="197"/>
        <v>0</v>
      </c>
      <c r="K656" s="106"/>
      <c r="L656" s="177" t="str">
        <f t="shared" si="198"/>
        <v/>
      </c>
      <c r="M656" s="105">
        <f t="shared" si="199"/>
        <v>0</v>
      </c>
      <c r="N656" s="110"/>
      <c r="O656" s="124"/>
      <c r="P656" s="110"/>
      <c r="Q656" s="124"/>
      <c r="R656" s="111">
        <f>SUMIFS('Shipments data'!L:L,'Shipments data'!F:F,'Supply planning data'!C656,'Shipments data'!A:A,'Supply planning data'!A656,'Shipments data'!Y:Y,'Supply planning data'!D656,'Shipments data'!O:O,"received", 'Shipments data'!N:N, "Public")</f>
        <v>0</v>
      </c>
      <c r="S656" s="111">
        <f>SUMIFS('Shipments data'!L:L,'Shipments data'!F:F,'Supply planning data'!C656,'Shipments data'!A:A,'Supply planning data'!A656,'Shipments data'!Y:Y,'Supply planning data'!D656,'Shipments data'!O:O,"ordered", 'Shipments data'!N:N, "Public")</f>
        <v>0</v>
      </c>
      <c r="T656" s="111">
        <f>IF(SUMIFS('Shipments data'!L:L,'Shipments data'!F:F,'Supply planning data'!C656,'Shipments data'!A:A,'Supply planning data'!A656,'Shipments data'!O:O,"received",'Shipments data'!Q:Q,"&lt;"&amp;'Supply planning data'!D671,'Shipments data'!AC:AC,"&lt;"&amp;'Supply planning data'!D671)-SUMIFS(M:M,D:D,"&lt;="&amp;D656,C:C,C656)+SUMIFS(N:N,D:D,"&lt;="&amp;D656,C:C,C656)+SUMIFS(P:P,D:D,"&lt;="&amp;D656,C:C,C656)&lt;0,0,SUMIFS('Shipments data'!L:L,'Shipments data'!F:F,'Supply planning data'!C656,'Shipments data'!A:A,'Supply planning data'!A656,'Shipments data'!O:O,"received",'Shipments data'!Q:Q,"&lt;"&amp;'Supply planning data'!D671,'Shipments data'!AC:AC,"&lt;"&amp;'Supply planning data'!D671)-SUMIFS(M:M,D:D,"&lt;="&amp;D656,C:C,C656)+SUMIFS(N:N,D:D,"&lt;="&amp;D656,C:C,C656)+SUMIFS(P:P,D:D,"&lt;="&amp;D656,C:C,C656))</f>
        <v>0</v>
      </c>
      <c r="U656" s="112">
        <f t="shared" si="188"/>
        <v>0</v>
      </c>
      <c r="V656" s="111">
        <f t="shared" si="196"/>
        <v>0</v>
      </c>
      <c r="W656" s="204" t="str">
        <f t="shared" si="194"/>
        <v/>
      </c>
      <c r="X656" s="111">
        <f t="shared" si="189"/>
        <v>0</v>
      </c>
      <c r="Y656" s="110"/>
      <c r="Z656" s="107"/>
      <c r="AA656" s="111">
        <f t="shared" si="200"/>
        <v>0</v>
      </c>
      <c r="AB656" s="235"/>
      <c r="AC656" s="111">
        <f>IF(SUMIFS('Shipments data'!L:L,'Shipments data'!F:F,'Supply planning data'!C656,'Shipments data'!A:A,'Supply planning data'!A656,'Shipments data'!O:O,"received",'Shipments data'!Q:Q,"&lt;"&amp;'Supply planning data'!D671,'Shipments data'!AC:AC,"&lt;"&amp;'Supply planning data'!D671)-SUMIFS(M:M,D:D,"&lt;="&amp;D656,C:C,C656)-SUMIFS(AA:AA,D:D,"&lt;="&amp;D656,C:C,C656)+SUMIFS(N:N,D:D,"&lt;="&amp;D656,C:C,C656)+SUMIFS(P:P,D:D,"&lt;="&amp;D656,C:C,C656)&lt;0,0,SUMIFS('Shipments data'!L:L,'Shipments data'!F:F,'Supply planning data'!C656,'Shipments data'!A:A,'Supply planning data'!A656,'Shipments data'!O:O,"received",'Shipments data'!Q:Q,"&lt;"&amp;'Supply planning data'!D671,'Shipments data'!AC:AC,"&lt;"&amp;'Supply planning data'!D671)-SUMIFS(M:M,D:D,"&lt;="&amp;D656,C:C,C656)-SUMIFS(AA:AA,D:D,"&lt;="&amp;D656,C:C,C656)+SUMIFS(N:N,D:D,"&lt;="&amp;D656,C:C,C656)+SUMIFS(P:P,D:D,"&lt;="&amp;D656,C:C,C656))</f>
        <v>0</v>
      </c>
      <c r="AD656" s="111">
        <f t="shared" si="190"/>
        <v>0</v>
      </c>
      <c r="AE656" s="111">
        <f t="shared" si="202"/>
        <v>0</v>
      </c>
      <c r="AF656" s="204" t="str">
        <f t="shared" si="193"/>
        <v/>
      </c>
      <c r="AG656" s="111">
        <f t="shared" si="191"/>
        <v>0</v>
      </c>
      <c r="AH656" s="110"/>
      <c r="AI656" s="313"/>
      <c r="AJ656" s="111">
        <f t="shared" si="201"/>
        <v>0</v>
      </c>
      <c r="AK656" s="235"/>
      <c r="AL656" s="111">
        <f>IF(SUMIFS('Shipments data'!L:L,'Shipments data'!F:F,'Supply planning data'!C656,'Shipments data'!A:A,'Supply planning data'!A656,'Shipments data'!O:O,"received",'Shipments data'!Q:Q,"&lt;"&amp;'Supply planning data'!D671,'Shipments data'!AC:AC,"&lt;"&amp;'Supply planning data'!D671)-SUMIFS(M:M,D:D,"&lt;="&amp;D656,C:C,C656)-SUMIFS(AJ:AJ,D:D,"&lt;="&amp;D656,C:C,C656)+SUMIFS(N:N,D:D,"&lt;="&amp;D656,C:C,C656)+SUMIFS(P:P,D:D,"&lt;="&amp;D656,C:C,C656)&lt;0,0,SUMIFS('Shipments data'!L:L,'Shipments data'!F:F,'Supply planning data'!C656,'Shipments data'!A:A,'Supply planning data'!A656,'Shipments data'!O:O,"received",'Shipments data'!Q:Q,"&lt;"&amp;'Supply planning data'!D671,'Shipments data'!AC:AC,"&lt;"&amp;'Supply planning data'!D671)-SUMIFS(M:M,D:D,"&lt;="&amp;D656,C:C,C656)-SUMIFS(AJ:AJ,D:D,"&lt;="&amp;D656,C:C,C656)+SUMIFS(N:N,D:D,"&lt;="&amp;D656,C:C,C656)+SUMIFS(P:P,D:D,"&lt;="&amp;D656,C:C,C656))</f>
        <v>0</v>
      </c>
      <c r="AM656" s="111">
        <f t="shared" si="192"/>
        <v>0</v>
      </c>
      <c r="AN656" s="111">
        <f t="shared" si="203"/>
        <v>0</v>
      </c>
      <c r="AO656" s="204" t="str">
        <f t="shared" si="195"/>
        <v/>
      </c>
    </row>
    <row r="657" spans="1:41" hidden="1" x14ac:dyDescent="0.25">
      <c r="A657" s="103" t="str">
        <f>Start!D$7</f>
        <v>Anyland</v>
      </c>
      <c r="B657" s="109" t="str">
        <f>VLOOKUP(A657,list!B:C,2,FALSE)</f>
        <v>ANY</v>
      </c>
      <c r="C657" s="109" t="str">
        <f>IF(Start!$C$24="","",Start!$C$24)</f>
        <v/>
      </c>
      <c r="D657" s="298">
        <f t="shared" si="186"/>
        <v>45505</v>
      </c>
      <c r="E657" s="105" t="str">
        <f>IFERROR(VLOOKUP(C657,Start!C$15:D$31,2,FALSE),"No")</f>
        <v>No</v>
      </c>
      <c r="F657" s="105">
        <f t="shared" si="187"/>
        <v>0</v>
      </c>
      <c r="G657" s="106"/>
      <c r="H657" s="106"/>
      <c r="I657" s="106"/>
      <c r="J657" s="105">
        <f t="shared" si="197"/>
        <v>0</v>
      </c>
      <c r="K657" s="106"/>
      <c r="L657" s="177" t="str">
        <f t="shared" si="198"/>
        <v/>
      </c>
      <c r="M657" s="105">
        <f t="shared" si="199"/>
        <v>0</v>
      </c>
      <c r="N657" s="110"/>
      <c r="O657" s="124"/>
      <c r="P657" s="110"/>
      <c r="Q657" s="124"/>
      <c r="R657" s="111">
        <f>SUMIFS('Shipments data'!L:L,'Shipments data'!F:F,'Supply planning data'!C657,'Shipments data'!A:A,'Supply planning data'!A657,'Shipments data'!Y:Y,'Supply planning data'!D657,'Shipments data'!O:O,"received", 'Shipments data'!N:N, "Public")</f>
        <v>0</v>
      </c>
      <c r="S657" s="111">
        <f>SUMIFS('Shipments data'!L:L,'Shipments data'!F:F,'Supply planning data'!C657,'Shipments data'!A:A,'Supply planning data'!A657,'Shipments data'!Y:Y,'Supply planning data'!D657,'Shipments data'!O:O,"ordered", 'Shipments data'!N:N, "Public")</f>
        <v>0</v>
      </c>
      <c r="T657" s="111">
        <f>IF(SUMIFS('Shipments data'!L:L,'Shipments data'!F:F,'Supply planning data'!C657,'Shipments data'!A:A,'Supply planning data'!A657,'Shipments data'!O:O,"received",'Shipments data'!Q:Q,"&lt;"&amp;'Supply planning data'!D672,'Shipments data'!AC:AC,"&lt;"&amp;'Supply planning data'!D672)-SUMIFS(M:M,D:D,"&lt;="&amp;D657,C:C,C657)+SUMIFS(N:N,D:D,"&lt;="&amp;D657,C:C,C657)+SUMIFS(P:P,D:D,"&lt;="&amp;D657,C:C,C657)&lt;0,0,SUMIFS('Shipments data'!L:L,'Shipments data'!F:F,'Supply planning data'!C657,'Shipments data'!A:A,'Supply planning data'!A657,'Shipments data'!O:O,"received",'Shipments data'!Q:Q,"&lt;"&amp;'Supply planning data'!D672,'Shipments data'!AC:AC,"&lt;"&amp;'Supply planning data'!D672)-SUMIFS(M:M,D:D,"&lt;="&amp;D657,C:C,C657)+SUMIFS(N:N,D:D,"&lt;="&amp;D657,C:C,C657)+SUMIFS(P:P,D:D,"&lt;="&amp;D657,C:C,C657))</f>
        <v>0</v>
      </c>
      <c r="U657" s="112">
        <f t="shared" si="188"/>
        <v>0</v>
      </c>
      <c r="V657" s="111">
        <f t="shared" si="196"/>
        <v>0</v>
      </c>
      <c r="W657" s="204" t="str">
        <f t="shared" si="194"/>
        <v/>
      </c>
      <c r="X657" s="111">
        <f t="shared" si="189"/>
        <v>0</v>
      </c>
      <c r="Y657" s="110"/>
      <c r="Z657" s="107"/>
      <c r="AA657" s="111">
        <f t="shared" si="200"/>
        <v>0</v>
      </c>
      <c r="AB657" s="235"/>
      <c r="AC657" s="111">
        <f>IF(SUMIFS('Shipments data'!L:L,'Shipments data'!F:F,'Supply planning data'!C657,'Shipments data'!A:A,'Supply planning data'!A657,'Shipments data'!O:O,"received",'Shipments data'!Q:Q,"&lt;"&amp;'Supply planning data'!D672,'Shipments data'!AC:AC,"&lt;"&amp;'Supply planning data'!D672)-SUMIFS(M:M,D:D,"&lt;="&amp;D657,C:C,C657)-SUMIFS(AA:AA,D:D,"&lt;="&amp;D657,C:C,C657)+SUMIFS(N:N,D:D,"&lt;="&amp;D657,C:C,C657)+SUMIFS(P:P,D:D,"&lt;="&amp;D657,C:C,C657)&lt;0,0,SUMIFS('Shipments data'!L:L,'Shipments data'!F:F,'Supply planning data'!C657,'Shipments data'!A:A,'Supply planning data'!A657,'Shipments data'!O:O,"received",'Shipments data'!Q:Q,"&lt;"&amp;'Supply planning data'!D672,'Shipments data'!AC:AC,"&lt;"&amp;'Supply planning data'!D672)-SUMIFS(M:M,D:D,"&lt;="&amp;D657,C:C,C657)-SUMIFS(AA:AA,D:D,"&lt;="&amp;D657,C:C,C657)+SUMIFS(N:N,D:D,"&lt;="&amp;D657,C:C,C657)+SUMIFS(P:P,D:D,"&lt;="&amp;D657,C:C,C657))</f>
        <v>0</v>
      </c>
      <c r="AD657" s="111">
        <f t="shared" si="190"/>
        <v>0</v>
      </c>
      <c r="AE657" s="111">
        <f t="shared" si="202"/>
        <v>0</v>
      </c>
      <c r="AF657" s="204" t="str">
        <f t="shared" si="193"/>
        <v/>
      </c>
      <c r="AG657" s="111">
        <f t="shared" si="191"/>
        <v>0</v>
      </c>
      <c r="AH657" s="110"/>
      <c r="AI657" s="313"/>
      <c r="AJ657" s="111">
        <f t="shared" si="201"/>
        <v>0</v>
      </c>
      <c r="AK657" s="235"/>
      <c r="AL657" s="111">
        <f>IF(SUMIFS('Shipments data'!L:L,'Shipments data'!F:F,'Supply planning data'!C657,'Shipments data'!A:A,'Supply planning data'!A657,'Shipments data'!O:O,"received",'Shipments data'!Q:Q,"&lt;"&amp;'Supply planning data'!D672,'Shipments data'!AC:AC,"&lt;"&amp;'Supply planning data'!D672)-SUMIFS(M:M,D:D,"&lt;="&amp;D657,C:C,C657)-SUMIFS(AJ:AJ,D:D,"&lt;="&amp;D657,C:C,C657)+SUMIFS(N:N,D:D,"&lt;="&amp;D657,C:C,C657)+SUMIFS(P:P,D:D,"&lt;="&amp;D657,C:C,C657)&lt;0,0,SUMIFS('Shipments data'!L:L,'Shipments data'!F:F,'Supply planning data'!C657,'Shipments data'!A:A,'Supply planning data'!A657,'Shipments data'!O:O,"received",'Shipments data'!Q:Q,"&lt;"&amp;'Supply planning data'!D672,'Shipments data'!AC:AC,"&lt;"&amp;'Supply planning data'!D672)-SUMIFS(M:M,D:D,"&lt;="&amp;D657,C:C,C657)-SUMIFS(AJ:AJ,D:D,"&lt;="&amp;D657,C:C,C657)+SUMIFS(N:N,D:D,"&lt;="&amp;D657,C:C,C657)+SUMIFS(P:P,D:D,"&lt;="&amp;D657,C:C,C657))</f>
        <v>0</v>
      </c>
      <c r="AM657" s="111">
        <f t="shared" si="192"/>
        <v>0</v>
      </c>
      <c r="AN657" s="111">
        <f t="shared" si="203"/>
        <v>0</v>
      </c>
      <c r="AO657" s="204" t="str">
        <f t="shared" si="195"/>
        <v/>
      </c>
    </row>
    <row r="658" spans="1:41" hidden="1" x14ac:dyDescent="0.25">
      <c r="A658" s="103" t="str">
        <f>Start!D$7</f>
        <v>Anyland</v>
      </c>
      <c r="B658" s="109" t="str">
        <f>VLOOKUP(A658,list!B:C,2,FALSE)</f>
        <v>ANY</v>
      </c>
      <c r="C658" s="104" t="str">
        <f>IF(Start!$C$25="","",Start!$C$25)</f>
        <v/>
      </c>
      <c r="D658" s="298">
        <f t="shared" si="186"/>
        <v>45505</v>
      </c>
      <c r="E658" s="105" t="str">
        <f>IFERROR(VLOOKUP(C658,Start!C$15:D$31,2,FALSE),"No")</f>
        <v>No</v>
      </c>
      <c r="F658" s="105">
        <f t="shared" si="187"/>
        <v>0</v>
      </c>
      <c r="G658" s="106"/>
      <c r="H658" s="106"/>
      <c r="I658" s="106"/>
      <c r="J658" s="105">
        <f t="shared" si="197"/>
        <v>0</v>
      </c>
      <c r="K658" s="106"/>
      <c r="L658" s="177" t="str">
        <f t="shared" si="198"/>
        <v/>
      </c>
      <c r="M658" s="105">
        <f t="shared" si="199"/>
        <v>0</v>
      </c>
      <c r="N658" s="110"/>
      <c r="O658" s="124"/>
      <c r="P658" s="110"/>
      <c r="Q658" s="124"/>
      <c r="R658" s="111">
        <f>SUMIFS('Shipments data'!L:L,'Shipments data'!F:F,'Supply planning data'!C658,'Shipments data'!A:A,'Supply planning data'!A658,'Shipments data'!Y:Y,'Supply planning data'!D658,'Shipments data'!O:O,"received", 'Shipments data'!N:N, "Public")</f>
        <v>0</v>
      </c>
      <c r="S658" s="111">
        <f>SUMIFS('Shipments data'!L:L,'Shipments data'!F:F,'Supply planning data'!C658,'Shipments data'!A:A,'Supply planning data'!A658,'Shipments data'!Y:Y,'Supply planning data'!D658,'Shipments data'!O:O,"ordered", 'Shipments data'!N:N, "Public")</f>
        <v>0</v>
      </c>
      <c r="T658" s="111">
        <f>IF(SUMIFS('Shipments data'!L:L,'Shipments data'!F:F,'Supply planning data'!C658,'Shipments data'!A:A,'Supply planning data'!A658,'Shipments data'!O:O,"received",'Shipments data'!Q:Q,"&lt;"&amp;'Supply planning data'!D673,'Shipments data'!AC:AC,"&lt;"&amp;'Supply planning data'!D673)-SUMIFS(M:M,D:D,"&lt;="&amp;D658,C:C,C658)+SUMIFS(N:N,D:D,"&lt;="&amp;D658,C:C,C658)+SUMIFS(P:P,D:D,"&lt;="&amp;D658,C:C,C658)&lt;0,0,SUMIFS('Shipments data'!L:L,'Shipments data'!F:F,'Supply planning data'!C658,'Shipments data'!A:A,'Supply planning data'!A658,'Shipments data'!O:O,"received",'Shipments data'!Q:Q,"&lt;"&amp;'Supply planning data'!D673,'Shipments data'!AC:AC,"&lt;"&amp;'Supply planning data'!D673)-SUMIFS(M:M,D:D,"&lt;="&amp;D658,C:C,C658)+SUMIFS(N:N,D:D,"&lt;="&amp;D658,C:C,C658)+SUMIFS(P:P,D:D,"&lt;="&amp;D658,C:C,C658))</f>
        <v>0</v>
      </c>
      <c r="U658" s="112">
        <f t="shared" si="188"/>
        <v>0</v>
      </c>
      <c r="V658" s="111">
        <f t="shared" si="196"/>
        <v>0</v>
      </c>
      <c r="W658" s="204" t="str">
        <f t="shared" si="194"/>
        <v/>
      </c>
      <c r="X658" s="111">
        <f t="shared" si="189"/>
        <v>0</v>
      </c>
      <c r="Y658" s="110"/>
      <c r="Z658" s="107"/>
      <c r="AA658" s="111">
        <f t="shared" si="200"/>
        <v>0</v>
      </c>
      <c r="AB658" s="235"/>
      <c r="AC658" s="111">
        <f>IF(SUMIFS('Shipments data'!L:L,'Shipments data'!F:F,'Supply planning data'!C658,'Shipments data'!A:A,'Supply planning data'!A658,'Shipments data'!O:O,"received",'Shipments data'!Q:Q,"&lt;"&amp;'Supply planning data'!D673,'Shipments data'!AC:AC,"&lt;"&amp;'Supply planning data'!D673)-SUMIFS(M:M,D:D,"&lt;="&amp;D658,C:C,C658)-SUMIFS(AA:AA,D:D,"&lt;="&amp;D658,C:C,C658)+SUMIFS(N:N,D:D,"&lt;="&amp;D658,C:C,C658)+SUMIFS(P:P,D:D,"&lt;="&amp;D658,C:C,C658)&lt;0,0,SUMIFS('Shipments data'!L:L,'Shipments data'!F:F,'Supply planning data'!C658,'Shipments data'!A:A,'Supply planning data'!A658,'Shipments data'!O:O,"received",'Shipments data'!Q:Q,"&lt;"&amp;'Supply planning data'!D673,'Shipments data'!AC:AC,"&lt;"&amp;'Supply planning data'!D673)-SUMIFS(M:M,D:D,"&lt;="&amp;D658,C:C,C658)-SUMIFS(AA:AA,D:D,"&lt;="&amp;D658,C:C,C658)+SUMIFS(N:N,D:D,"&lt;="&amp;D658,C:C,C658)+SUMIFS(P:P,D:D,"&lt;="&amp;D658,C:C,C658))</f>
        <v>0</v>
      </c>
      <c r="AD658" s="111">
        <f t="shared" si="190"/>
        <v>0</v>
      </c>
      <c r="AE658" s="111">
        <f t="shared" si="202"/>
        <v>0</v>
      </c>
      <c r="AF658" s="204" t="str">
        <f t="shared" si="193"/>
        <v/>
      </c>
      <c r="AG658" s="111">
        <f t="shared" si="191"/>
        <v>0</v>
      </c>
      <c r="AH658" s="110"/>
      <c r="AI658" s="313"/>
      <c r="AJ658" s="111">
        <f t="shared" si="201"/>
        <v>0</v>
      </c>
      <c r="AK658" s="235"/>
      <c r="AL658" s="111">
        <f>IF(SUMIFS('Shipments data'!L:L,'Shipments data'!F:F,'Supply planning data'!C658,'Shipments data'!A:A,'Supply planning data'!A658,'Shipments data'!O:O,"received",'Shipments data'!Q:Q,"&lt;"&amp;'Supply planning data'!D673,'Shipments data'!AC:AC,"&lt;"&amp;'Supply planning data'!D673)-SUMIFS(M:M,D:D,"&lt;="&amp;D658,C:C,C658)-SUMIFS(AJ:AJ,D:D,"&lt;="&amp;D658,C:C,C658)+SUMIFS(N:N,D:D,"&lt;="&amp;D658,C:C,C658)+SUMIFS(P:P,D:D,"&lt;="&amp;D658,C:C,C658)&lt;0,0,SUMIFS('Shipments data'!L:L,'Shipments data'!F:F,'Supply planning data'!C658,'Shipments data'!A:A,'Supply planning data'!A658,'Shipments data'!O:O,"received",'Shipments data'!Q:Q,"&lt;"&amp;'Supply planning data'!D673,'Shipments data'!AC:AC,"&lt;"&amp;'Supply planning data'!D673)-SUMIFS(M:M,D:D,"&lt;="&amp;D658,C:C,C658)-SUMIFS(AJ:AJ,D:D,"&lt;="&amp;D658,C:C,C658)+SUMIFS(N:N,D:D,"&lt;="&amp;D658,C:C,C658)+SUMIFS(P:P,D:D,"&lt;="&amp;D658,C:C,C658))</f>
        <v>0</v>
      </c>
      <c r="AM658" s="111">
        <f t="shared" si="192"/>
        <v>0</v>
      </c>
      <c r="AN658" s="111">
        <f t="shared" si="203"/>
        <v>0</v>
      </c>
      <c r="AO658" s="204" t="str">
        <f t="shared" si="195"/>
        <v/>
      </c>
    </row>
    <row r="659" spans="1:41" hidden="1" x14ac:dyDescent="0.25">
      <c r="A659" s="103" t="str">
        <f>Start!D$7</f>
        <v>Anyland</v>
      </c>
      <c r="B659" s="109" t="str">
        <f>VLOOKUP(A659,list!B:C,2,FALSE)</f>
        <v>ANY</v>
      </c>
      <c r="C659" s="109" t="str">
        <f>IF(Start!$C$26="","",Start!$C$26)</f>
        <v/>
      </c>
      <c r="D659" s="298">
        <f t="shared" si="186"/>
        <v>45505</v>
      </c>
      <c r="E659" s="105" t="str">
        <f>IFERROR(VLOOKUP(C659,Start!C$15:D$31,2,FALSE),"No")</f>
        <v>No</v>
      </c>
      <c r="F659" s="105">
        <f t="shared" si="187"/>
        <v>0</v>
      </c>
      <c r="G659" s="106"/>
      <c r="H659" s="106"/>
      <c r="I659" s="106"/>
      <c r="J659" s="105">
        <f t="shared" si="197"/>
        <v>0</v>
      </c>
      <c r="K659" s="106"/>
      <c r="L659" s="177" t="str">
        <f t="shared" si="198"/>
        <v/>
      </c>
      <c r="M659" s="105">
        <f t="shared" si="199"/>
        <v>0</v>
      </c>
      <c r="N659" s="110"/>
      <c r="O659" s="124"/>
      <c r="P659" s="110"/>
      <c r="Q659" s="124"/>
      <c r="R659" s="111">
        <f>SUMIFS('Shipments data'!L:L,'Shipments data'!F:F,'Supply planning data'!C659,'Shipments data'!A:A,'Supply planning data'!A659,'Shipments data'!Y:Y,'Supply planning data'!D659,'Shipments data'!O:O,"received", 'Shipments data'!N:N, "Public")</f>
        <v>0</v>
      </c>
      <c r="S659" s="111">
        <f>SUMIFS('Shipments data'!L:L,'Shipments data'!F:F,'Supply planning data'!C659,'Shipments data'!A:A,'Supply planning data'!A659,'Shipments data'!Y:Y,'Supply planning data'!D659,'Shipments data'!O:O,"ordered", 'Shipments data'!N:N, "Public")</f>
        <v>0</v>
      </c>
      <c r="T659" s="111">
        <f>IF(SUMIFS('Shipments data'!L:L,'Shipments data'!F:F,'Supply planning data'!C659,'Shipments data'!A:A,'Supply planning data'!A659,'Shipments data'!O:O,"received",'Shipments data'!Q:Q,"&lt;"&amp;'Supply planning data'!D674,'Shipments data'!AC:AC,"&lt;"&amp;'Supply planning data'!D674)-SUMIFS(M:M,D:D,"&lt;="&amp;D659,C:C,C659)+SUMIFS(N:N,D:D,"&lt;="&amp;D659,C:C,C659)+SUMIFS(P:P,D:D,"&lt;="&amp;D659,C:C,C659)&lt;0,0,SUMIFS('Shipments data'!L:L,'Shipments data'!F:F,'Supply planning data'!C659,'Shipments data'!A:A,'Supply planning data'!A659,'Shipments data'!O:O,"received",'Shipments data'!Q:Q,"&lt;"&amp;'Supply planning data'!D674,'Shipments data'!AC:AC,"&lt;"&amp;'Supply planning data'!D674)-SUMIFS(M:M,D:D,"&lt;="&amp;D659,C:C,C659)+SUMIFS(N:N,D:D,"&lt;="&amp;D659,C:C,C659)+SUMIFS(P:P,D:D,"&lt;="&amp;D659,C:C,C659))</f>
        <v>0</v>
      </c>
      <c r="U659" s="112">
        <f t="shared" si="188"/>
        <v>0</v>
      </c>
      <c r="V659" s="111">
        <f t="shared" si="196"/>
        <v>0</v>
      </c>
      <c r="W659" s="204" t="str">
        <f t="shared" si="194"/>
        <v/>
      </c>
      <c r="X659" s="111">
        <f t="shared" si="189"/>
        <v>0</v>
      </c>
      <c r="Y659" s="110"/>
      <c r="Z659" s="107"/>
      <c r="AA659" s="111">
        <f t="shared" si="200"/>
        <v>0</v>
      </c>
      <c r="AB659" s="235"/>
      <c r="AC659" s="111">
        <f>IF(SUMIFS('Shipments data'!L:L,'Shipments data'!F:F,'Supply planning data'!C659,'Shipments data'!A:A,'Supply planning data'!A659,'Shipments data'!O:O,"received",'Shipments data'!Q:Q,"&lt;"&amp;'Supply planning data'!D674,'Shipments data'!AC:AC,"&lt;"&amp;'Supply planning data'!D674)-SUMIFS(M:M,D:D,"&lt;="&amp;D659,C:C,C659)-SUMIFS(AA:AA,D:D,"&lt;="&amp;D659,C:C,C659)+SUMIFS(N:N,D:D,"&lt;="&amp;D659,C:C,C659)+SUMIFS(P:P,D:D,"&lt;="&amp;D659,C:C,C659)&lt;0,0,SUMIFS('Shipments data'!L:L,'Shipments data'!F:F,'Supply planning data'!C659,'Shipments data'!A:A,'Supply planning data'!A659,'Shipments data'!O:O,"received",'Shipments data'!Q:Q,"&lt;"&amp;'Supply planning data'!D674,'Shipments data'!AC:AC,"&lt;"&amp;'Supply planning data'!D674)-SUMIFS(M:M,D:D,"&lt;="&amp;D659,C:C,C659)-SUMIFS(AA:AA,D:D,"&lt;="&amp;D659,C:C,C659)+SUMIFS(N:N,D:D,"&lt;="&amp;D659,C:C,C659)+SUMIFS(P:P,D:D,"&lt;="&amp;D659,C:C,C659))</f>
        <v>0</v>
      </c>
      <c r="AD659" s="111">
        <f t="shared" si="190"/>
        <v>0</v>
      </c>
      <c r="AE659" s="111">
        <f t="shared" si="202"/>
        <v>0</v>
      </c>
      <c r="AF659" s="204" t="str">
        <f t="shared" si="193"/>
        <v/>
      </c>
      <c r="AG659" s="111">
        <f t="shared" si="191"/>
        <v>0</v>
      </c>
      <c r="AH659" s="110"/>
      <c r="AI659" s="313"/>
      <c r="AJ659" s="111">
        <f t="shared" si="201"/>
        <v>0</v>
      </c>
      <c r="AK659" s="235"/>
      <c r="AL659" s="111">
        <f>IF(SUMIFS('Shipments data'!L:L,'Shipments data'!F:F,'Supply planning data'!C659,'Shipments data'!A:A,'Supply planning data'!A659,'Shipments data'!O:O,"received",'Shipments data'!Q:Q,"&lt;"&amp;'Supply planning data'!D674,'Shipments data'!AC:AC,"&lt;"&amp;'Supply planning data'!D674)-SUMIFS(M:M,D:D,"&lt;="&amp;D659,C:C,C659)-SUMIFS(AJ:AJ,D:D,"&lt;="&amp;D659,C:C,C659)+SUMIFS(N:N,D:D,"&lt;="&amp;D659,C:C,C659)+SUMIFS(P:P,D:D,"&lt;="&amp;D659,C:C,C659)&lt;0,0,SUMIFS('Shipments data'!L:L,'Shipments data'!F:F,'Supply planning data'!C659,'Shipments data'!A:A,'Supply planning data'!A659,'Shipments data'!O:O,"received",'Shipments data'!Q:Q,"&lt;"&amp;'Supply planning data'!D674,'Shipments data'!AC:AC,"&lt;"&amp;'Supply planning data'!D674)-SUMIFS(M:M,D:D,"&lt;="&amp;D659,C:C,C659)-SUMIFS(AJ:AJ,D:D,"&lt;="&amp;D659,C:C,C659)+SUMIFS(N:N,D:D,"&lt;="&amp;D659,C:C,C659)+SUMIFS(P:P,D:D,"&lt;="&amp;D659,C:C,C659))</f>
        <v>0</v>
      </c>
      <c r="AM659" s="111">
        <f t="shared" si="192"/>
        <v>0</v>
      </c>
      <c r="AN659" s="111">
        <f t="shared" si="203"/>
        <v>0</v>
      </c>
      <c r="AO659" s="204" t="str">
        <f t="shared" si="195"/>
        <v/>
      </c>
    </row>
    <row r="660" spans="1:41" hidden="1" x14ac:dyDescent="0.25">
      <c r="A660" s="103" t="str">
        <f>Start!D$7</f>
        <v>Anyland</v>
      </c>
      <c r="B660" s="109" t="str">
        <f>VLOOKUP(A660,list!B:C,2,FALSE)</f>
        <v>ANY</v>
      </c>
      <c r="C660" s="104" t="str">
        <f>IF(Start!$C$27="","",Start!$C$27)</f>
        <v/>
      </c>
      <c r="D660" s="298">
        <f t="shared" ref="D660:D723" si="204">DATE(YEAR(D645),MONTH(D645)+1,1)</f>
        <v>45505</v>
      </c>
      <c r="E660" s="105" t="str">
        <f>IFERROR(VLOOKUP(C660,Start!C$15:D$31,2,FALSE),"No")</f>
        <v>No</v>
      </c>
      <c r="F660" s="105">
        <f t="shared" ref="F660:F723" si="205">V645</f>
        <v>0</v>
      </c>
      <c r="G660" s="106"/>
      <c r="H660" s="106"/>
      <c r="I660" s="106"/>
      <c r="J660" s="105">
        <f t="shared" si="197"/>
        <v>0</v>
      </c>
      <c r="K660" s="106"/>
      <c r="L660" s="177" t="str">
        <f t="shared" si="198"/>
        <v/>
      </c>
      <c r="M660" s="105">
        <f t="shared" si="199"/>
        <v>0</v>
      </c>
      <c r="N660" s="110"/>
      <c r="O660" s="124"/>
      <c r="P660" s="110"/>
      <c r="Q660" s="124"/>
      <c r="R660" s="111">
        <f>SUMIFS('Shipments data'!L:L,'Shipments data'!F:F,'Supply planning data'!C660,'Shipments data'!A:A,'Supply planning data'!A660,'Shipments data'!Y:Y,'Supply planning data'!D660,'Shipments data'!O:O,"received", 'Shipments data'!N:N, "Public")</f>
        <v>0</v>
      </c>
      <c r="S660" s="111">
        <f>SUMIFS('Shipments data'!L:L,'Shipments data'!F:F,'Supply planning data'!C660,'Shipments data'!A:A,'Supply planning data'!A660,'Shipments data'!Y:Y,'Supply planning data'!D660,'Shipments data'!O:O,"ordered", 'Shipments data'!N:N, "Public")</f>
        <v>0</v>
      </c>
      <c r="T660" s="111">
        <f>IF(SUMIFS('Shipments data'!L:L,'Shipments data'!F:F,'Supply planning data'!C660,'Shipments data'!A:A,'Supply planning data'!A660,'Shipments data'!O:O,"received",'Shipments data'!Q:Q,"&lt;"&amp;'Supply planning data'!D675,'Shipments data'!AC:AC,"&lt;"&amp;'Supply planning data'!D675)-SUMIFS(M:M,D:D,"&lt;="&amp;D660,C:C,C660)+SUMIFS(N:N,D:D,"&lt;="&amp;D660,C:C,C660)+SUMIFS(P:P,D:D,"&lt;="&amp;D660,C:C,C660)&lt;0,0,SUMIFS('Shipments data'!L:L,'Shipments data'!F:F,'Supply planning data'!C660,'Shipments data'!A:A,'Supply planning data'!A660,'Shipments data'!O:O,"received",'Shipments data'!Q:Q,"&lt;"&amp;'Supply planning data'!D675,'Shipments data'!AC:AC,"&lt;"&amp;'Supply planning data'!D675)-SUMIFS(M:M,D:D,"&lt;="&amp;D660,C:C,C660)+SUMIFS(N:N,D:D,"&lt;="&amp;D660,C:C,C660)+SUMIFS(P:P,D:D,"&lt;="&amp;D660,C:C,C660))</f>
        <v>0</v>
      </c>
      <c r="U660" s="112">
        <f t="shared" ref="U660:U723" si="206">IF(T660-T645&lt;0,0,T660-T645)</f>
        <v>0</v>
      </c>
      <c r="V660" s="111">
        <f t="shared" si="196"/>
        <v>0</v>
      </c>
      <c r="W660" s="204" t="str">
        <f t="shared" si="194"/>
        <v/>
      </c>
      <c r="X660" s="111">
        <f t="shared" ref="X660:X723" si="207">AE645</f>
        <v>0</v>
      </c>
      <c r="Y660" s="110"/>
      <c r="Z660" s="107"/>
      <c r="AA660" s="111">
        <f t="shared" si="200"/>
        <v>0</v>
      </c>
      <c r="AB660" s="235"/>
      <c r="AC660" s="111">
        <f>IF(SUMIFS('Shipments data'!L:L,'Shipments data'!F:F,'Supply planning data'!C660,'Shipments data'!A:A,'Supply planning data'!A660,'Shipments data'!O:O,"received",'Shipments data'!Q:Q,"&lt;"&amp;'Supply planning data'!D675,'Shipments data'!AC:AC,"&lt;"&amp;'Supply planning data'!D675)-SUMIFS(M:M,D:D,"&lt;="&amp;D660,C:C,C660)-SUMIFS(AA:AA,D:D,"&lt;="&amp;D660,C:C,C660)+SUMIFS(N:N,D:D,"&lt;="&amp;D660,C:C,C660)+SUMIFS(P:P,D:D,"&lt;="&amp;D660,C:C,C660)&lt;0,0,SUMIFS('Shipments data'!L:L,'Shipments data'!F:F,'Supply planning data'!C660,'Shipments data'!A:A,'Supply planning data'!A660,'Shipments data'!O:O,"received",'Shipments data'!Q:Q,"&lt;"&amp;'Supply planning data'!D675,'Shipments data'!AC:AC,"&lt;"&amp;'Supply planning data'!D675)-SUMIFS(M:M,D:D,"&lt;="&amp;D660,C:C,C660)-SUMIFS(AA:AA,D:D,"&lt;="&amp;D660,C:C,C660)+SUMIFS(N:N,D:D,"&lt;="&amp;D660,C:C,C660)+SUMIFS(P:P,D:D,"&lt;="&amp;D660,C:C,C660))</f>
        <v>0</v>
      </c>
      <c r="AD660" s="111">
        <f t="shared" ref="AD660:AD723" si="208">IF(AC660-AC645&lt;0,0,AC660-AC645)</f>
        <v>0</v>
      </c>
      <c r="AE660" s="111">
        <f t="shared" si="202"/>
        <v>0</v>
      </c>
      <c r="AF660" s="204" t="str">
        <f t="shared" si="193"/>
        <v/>
      </c>
      <c r="AG660" s="111">
        <f t="shared" ref="AG660:AG723" si="209">AN645</f>
        <v>0</v>
      </c>
      <c r="AH660" s="110"/>
      <c r="AI660" s="313"/>
      <c r="AJ660" s="111">
        <f t="shared" si="201"/>
        <v>0</v>
      </c>
      <c r="AK660" s="235"/>
      <c r="AL660" s="111">
        <f>IF(SUMIFS('Shipments data'!L:L,'Shipments data'!F:F,'Supply planning data'!C660,'Shipments data'!A:A,'Supply planning data'!A660,'Shipments data'!O:O,"received",'Shipments data'!Q:Q,"&lt;"&amp;'Supply planning data'!D675,'Shipments data'!AC:AC,"&lt;"&amp;'Supply planning data'!D675)-SUMIFS(M:M,D:D,"&lt;="&amp;D660,C:C,C660)-SUMIFS(AJ:AJ,D:D,"&lt;="&amp;D660,C:C,C660)+SUMIFS(N:N,D:D,"&lt;="&amp;D660,C:C,C660)+SUMIFS(P:P,D:D,"&lt;="&amp;D660,C:C,C660)&lt;0,0,SUMIFS('Shipments data'!L:L,'Shipments data'!F:F,'Supply planning data'!C660,'Shipments data'!A:A,'Supply planning data'!A660,'Shipments data'!O:O,"received",'Shipments data'!Q:Q,"&lt;"&amp;'Supply planning data'!D675,'Shipments data'!AC:AC,"&lt;"&amp;'Supply planning data'!D675)-SUMIFS(M:M,D:D,"&lt;="&amp;D660,C:C,C660)-SUMIFS(AJ:AJ,D:D,"&lt;="&amp;D660,C:C,C660)+SUMIFS(N:N,D:D,"&lt;="&amp;D660,C:C,C660)+SUMIFS(P:P,D:D,"&lt;="&amp;D660,C:C,C660))</f>
        <v>0</v>
      </c>
      <c r="AM660" s="111">
        <f t="shared" ref="AM660:AM723" si="210">IF(AL660-AL645&lt;0,0,AL660-AL645)</f>
        <v>0</v>
      </c>
      <c r="AN660" s="111">
        <f t="shared" si="203"/>
        <v>0</v>
      </c>
      <c r="AO660" s="204" t="str">
        <f t="shared" si="195"/>
        <v/>
      </c>
    </row>
    <row r="661" spans="1:41" hidden="1" x14ac:dyDescent="0.25">
      <c r="A661" s="103" t="str">
        <f>Start!D$7</f>
        <v>Anyland</v>
      </c>
      <c r="B661" s="109" t="str">
        <f>VLOOKUP(A661,list!B:C,2,FALSE)</f>
        <v>ANY</v>
      </c>
      <c r="C661" s="109" t="str">
        <f>IF(Start!$C$28="","",Start!$C$28)</f>
        <v/>
      </c>
      <c r="D661" s="298">
        <f t="shared" si="204"/>
        <v>45505</v>
      </c>
      <c r="E661" s="105" t="str">
        <f>IFERROR(VLOOKUP(C661,Start!C$15:D$31,2,FALSE),"No")</f>
        <v>No</v>
      </c>
      <c r="F661" s="105">
        <f t="shared" si="205"/>
        <v>0</v>
      </c>
      <c r="G661" s="106"/>
      <c r="H661" s="106"/>
      <c r="I661" s="106"/>
      <c r="J661" s="105">
        <f t="shared" si="197"/>
        <v>0</v>
      </c>
      <c r="K661" s="106"/>
      <c r="L661" s="177" t="str">
        <f t="shared" si="198"/>
        <v/>
      </c>
      <c r="M661" s="105">
        <f t="shared" si="199"/>
        <v>0</v>
      </c>
      <c r="N661" s="110"/>
      <c r="O661" s="124"/>
      <c r="P661" s="110"/>
      <c r="Q661" s="124"/>
      <c r="R661" s="111">
        <f>SUMIFS('Shipments data'!L:L,'Shipments data'!F:F,'Supply planning data'!C661,'Shipments data'!A:A,'Supply planning data'!A661,'Shipments data'!Y:Y,'Supply planning data'!D661,'Shipments data'!O:O,"received", 'Shipments data'!N:N, "Public")</f>
        <v>0</v>
      </c>
      <c r="S661" s="111">
        <f>SUMIFS('Shipments data'!L:L,'Shipments data'!F:F,'Supply planning data'!C661,'Shipments data'!A:A,'Supply planning data'!A661,'Shipments data'!Y:Y,'Supply planning data'!D661,'Shipments data'!O:O,"ordered", 'Shipments data'!N:N, "Public")</f>
        <v>0</v>
      </c>
      <c r="T661" s="111">
        <f>IF(SUMIFS('Shipments data'!L:L,'Shipments data'!F:F,'Supply planning data'!C661,'Shipments data'!A:A,'Supply planning data'!A661,'Shipments data'!O:O,"received",'Shipments data'!Q:Q,"&lt;"&amp;'Supply planning data'!D676,'Shipments data'!AC:AC,"&lt;"&amp;'Supply planning data'!D676)-SUMIFS(M:M,D:D,"&lt;="&amp;D661,C:C,C661)+SUMIFS(N:N,D:D,"&lt;="&amp;D661,C:C,C661)+SUMIFS(P:P,D:D,"&lt;="&amp;D661,C:C,C661)&lt;0,0,SUMIFS('Shipments data'!L:L,'Shipments data'!F:F,'Supply planning data'!C661,'Shipments data'!A:A,'Supply planning data'!A661,'Shipments data'!O:O,"received",'Shipments data'!Q:Q,"&lt;"&amp;'Supply planning data'!D676,'Shipments data'!AC:AC,"&lt;"&amp;'Supply planning data'!D676)-SUMIFS(M:M,D:D,"&lt;="&amp;D661,C:C,C661)+SUMIFS(N:N,D:D,"&lt;="&amp;D661,C:C,C661)+SUMIFS(P:P,D:D,"&lt;="&amp;D661,C:C,C661))</f>
        <v>0</v>
      </c>
      <c r="U661" s="112">
        <f t="shared" si="206"/>
        <v>0</v>
      </c>
      <c r="V661" s="111">
        <f t="shared" si="196"/>
        <v>0</v>
      </c>
      <c r="W661" s="204" t="str">
        <f t="shared" si="194"/>
        <v/>
      </c>
      <c r="X661" s="111">
        <f t="shared" si="207"/>
        <v>0</v>
      </c>
      <c r="Y661" s="110"/>
      <c r="Z661" s="107"/>
      <c r="AA661" s="111">
        <f t="shared" si="200"/>
        <v>0</v>
      </c>
      <c r="AB661" s="235"/>
      <c r="AC661" s="111">
        <f>IF(SUMIFS('Shipments data'!L:L,'Shipments data'!F:F,'Supply planning data'!C661,'Shipments data'!A:A,'Supply planning data'!A661,'Shipments data'!O:O,"received",'Shipments data'!Q:Q,"&lt;"&amp;'Supply planning data'!D676,'Shipments data'!AC:AC,"&lt;"&amp;'Supply planning data'!D676)-SUMIFS(M:M,D:D,"&lt;="&amp;D661,C:C,C661)-SUMIFS(AA:AA,D:D,"&lt;="&amp;D661,C:C,C661)+SUMIFS(N:N,D:D,"&lt;="&amp;D661,C:C,C661)+SUMIFS(P:P,D:D,"&lt;="&amp;D661,C:C,C661)&lt;0,0,SUMIFS('Shipments data'!L:L,'Shipments data'!F:F,'Supply planning data'!C661,'Shipments data'!A:A,'Supply planning data'!A661,'Shipments data'!O:O,"received",'Shipments data'!Q:Q,"&lt;"&amp;'Supply planning data'!D676,'Shipments data'!AC:AC,"&lt;"&amp;'Supply planning data'!D676)-SUMIFS(M:M,D:D,"&lt;="&amp;D661,C:C,C661)-SUMIFS(AA:AA,D:D,"&lt;="&amp;D661,C:C,C661)+SUMIFS(N:N,D:D,"&lt;="&amp;D661,C:C,C661)+SUMIFS(P:P,D:D,"&lt;="&amp;D661,C:C,C661))</f>
        <v>0</v>
      </c>
      <c r="AD661" s="111">
        <f t="shared" si="208"/>
        <v>0</v>
      </c>
      <c r="AE661" s="111">
        <f t="shared" si="202"/>
        <v>0</v>
      </c>
      <c r="AF661" s="204" t="str">
        <f t="shared" si="193"/>
        <v/>
      </c>
      <c r="AG661" s="111">
        <f t="shared" si="209"/>
        <v>0</v>
      </c>
      <c r="AH661" s="110"/>
      <c r="AI661" s="313"/>
      <c r="AJ661" s="111">
        <f t="shared" si="201"/>
        <v>0</v>
      </c>
      <c r="AK661" s="235"/>
      <c r="AL661" s="111">
        <f>IF(SUMIFS('Shipments data'!L:L,'Shipments data'!F:F,'Supply planning data'!C661,'Shipments data'!A:A,'Supply planning data'!A661,'Shipments data'!O:O,"received",'Shipments data'!Q:Q,"&lt;"&amp;'Supply planning data'!D676,'Shipments data'!AC:AC,"&lt;"&amp;'Supply planning data'!D676)-SUMIFS(M:M,D:D,"&lt;="&amp;D661,C:C,C661)-SUMIFS(AJ:AJ,D:D,"&lt;="&amp;D661,C:C,C661)+SUMIFS(N:N,D:D,"&lt;="&amp;D661,C:C,C661)+SUMIFS(P:P,D:D,"&lt;="&amp;D661,C:C,C661)&lt;0,0,SUMIFS('Shipments data'!L:L,'Shipments data'!F:F,'Supply planning data'!C661,'Shipments data'!A:A,'Supply planning data'!A661,'Shipments data'!O:O,"received",'Shipments data'!Q:Q,"&lt;"&amp;'Supply planning data'!D676,'Shipments data'!AC:AC,"&lt;"&amp;'Supply planning data'!D676)-SUMIFS(M:M,D:D,"&lt;="&amp;D661,C:C,C661)-SUMIFS(AJ:AJ,D:D,"&lt;="&amp;D661,C:C,C661)+SUMIFS(N:N,D:D,"&lt;="&amp;D661,C:C,C661)+SUMIFS(P:P,D:D,"&lt;="&amp;D661,C:C,C661))</f>
        <v>0</v>
      </c>
      <c r="AM661" s="111">
        <f t="shared" si="210"/>
        <v>0</v>
      </c>
      <c r="AN661" s="111">
        <f t="shared" si="203"/>
        <v>0</v>
      </c>
      <c r="AO661" s="204" t="str">
        <f t="shared" si="195"/>
        <v/>
      </c>
    </row>
    <row r="662" spans="1:41" hidden="1" x14ac:dyDescent="0.25">
      <c r="A662" s="103" t="str">
        <f>Start!D$7</f>
        <v>Anyland</v>
      </c>
      <c r="B662" s="109" t="str">
        <f>VLOOKUP(A662,list!B:C,2,FALSE)</f>
        <v>ANY</v>
      </c>
      <c r="C662" s="104" t="str">
        <f>IF(Start!$C$29="","",Start!$C$29)</f>
        <v/>
      </c>
      <c r="D662" s="298">
        <f t="shared" si="204"/>
        <v>45505</v>
      </c>
      <c r="E662" s="105" t="str">
        <f>IFERROR(VLOOKUP(C662,Start!C$15:D$31,2,FALSE),"No")</f>
        <v>No</v>
      </c>
      <c r="F662" s="105">
        <f t="shared" si="205"/>
        <v>0</v>
      </c>
      <c r="G662" s="106"/>
      <c r="H662" s="106"/>
      <c r="I662" s="106"/>
      <c r="J662" s="105">
        <f t="shared" si="197"/>
        <v>0</v>
      </c>
      <c r="K662" s="106"/>
      <c r="L662" s="177" t="str">
        <f t="shared" si="198"/>
        <v/>
      </c>
      <c r="M662" s="105">
        <f t="shared" si="199"/>
        <v>0</v>
      </c>
      <c r="N662" s="110"/>
      <c r="O662" s="124"/>
      <c r="P662" s="110"/>
      <c r="Q662" s="124"/>
      <c r="R662" s="111">
        <f>SUMIFS('Shipments data'!L:L,'Shipments data'!F:F,'Supply planning data'!C662,'Shipments data'!A:A,'Supply planning data'!A662,'Shipments data'!Y:Y,'Supply planning data'!D662,'Shipments data'!O:O,"received", 'Shipments data'!N:N, "Public")</f>
        <v>0</v>
      </c>
      <c r="S662" s="111">
        <f>SUMIFS('Shipments data'!L:L,'Shipments data'!F:F,'Supply planning data'!C662,'Shipments data'!A:A,'Supply planning data'!A662,'Shipments data'!Y:Y,'Supply planning data'!D662,'Shipments data'!O:O,"ordered", 'Shipments data'!N:N, "Public")</f>
        <v>0</v>
      </c>
      <c r="T662" s="111">
        <f>IF(SUMIFS('Shipments data'!L:L,'Shipments data'!F:F,'Supply planning data'!C662,'Shipments data'!A:A,'Supply planning data'!A662,'Shipments data'!O:O,"received",'Shipments data'!Q:Q,"&lt;"&amp;'Supply planning data'!D677,'Shipments data'!AC:AC,"&lt;"&amp;'Supply planning data'!D677)-SUMIFS(M:M,D:D,"&lt;="&amp;D662,C:C,C662)+SUMIFS(N:N,D:D,"&lt;="&amp;D662,C:C,C662)+SUMIFS(P:P,D:D,"&lt;="&amp;D662,C:C,C662)&lt;0,0,SUMIFS('Shipments data'!L:L,'Shipments data'!F:F,'Supply planning data'!C662,'Shipments data'!A:A,'Supply planning data'!A662,'Shipments data'!O:O,"received",'Shipments data'!Q:Q,"&lt;"&amp;'Supply planning data'!D677,'Shipments data'!AC:AC,"&lt;"&amp;'Supply planning data'!D677)-SUMIFS(M:M,D:D,"&lt;="&amp;D662,C:C,C662)+SUMIFS(N:N,D:D,"&lt;="&amp;D662,C:C,C662)+SUMIFS(P:P,D:D,"&lt;="&amp;D662,C:C,C662))</f>
        <v>0</v>
      </c>
      <c r="U662" s="112">
        <f t="shared" si="206"/>
        <v>0</v>
      </c>
      <c r="V662" s="111">
        <f t="shared" si="196"/>
        <v>0</v>
      </c>
      <c r="W662" s="204" t="str">
        <f t="shared" si="194"/>
        <v/>
      </c>
      <c r="X662" s="111">
        <f t="shared" si="207"/>
        <v>0</v>
      </c>
      <c r="Y662" s="110"/>
      <c r="Z662" s="107"/>
      <c r="AA662" s="111">
        <f t="shared" si="200"/>
        <v>0</v>
      </c>
      <c r="AB662" s="235"/>
      <c r="AC662" s="111">
        <f>IF(SUMIFS('Shipments data'!L:L,'Shipments data'!F:F,'Supply planning data'!C662,'Shipments data'!A:A,'Supply planning data'!A662,'Shipments data'!O:O,"received",'Shipments data'!Q:Q,"&lt;"&amp;'Supply planning data'!D677,'Shipments data'!AC:AC,"&lt;"&amp;'Supply planning data'!D677)-SUMIFS(M:M,D:D,"&lt;="&amp;D662,C:C,C662)-SUMIFS(AA:AA,D:D,"&lt;="&amp;D662,C:C,C662)+SUMIFS(N:N,D:D,"&lt;="&amp;D662,C:C,C662)+SUMIFS(P:P,D:D,"&lt;="&amp;D662,C:C,C662)&lt;0,0,SUMIFS('Shipments data'!L:L,'Shipments data'!F:F,'Supply planning data'!C662,'Shipments data'!A:A,'Supply planning data'!A662,'Shipments data'!O:O,"received",'Shipments data'!Q:Q,"&lt;"&amp;'Supply planning data'!D677,'Shipments data'!AC:AC,"&lt;"&amp;'Supply planning data'!D677)-SUMIFS(M:M,D:D,"&lt;="&amp;D662,C:C,C662)-SUMIFS(AA:AA,D:D,"&lt;="&amp;D662,C:C,C662)+SUMIFS(N:N,D:D,"&lt;="&amp;D662,C:C,C662)+SUMIFS(P:P,D:D,"&lt;="&amp;D662,C:C,C662))</f>
        <v>0</v>
      </c>
      <c r="AD662" s="111">
        <f t="shared" si="208"/>
        <v>0</v>
      </c>
      <c r="AE662" s="111">
        <f t="shared" si="202"/>
        <v>0</v>
      </c>
      <c r="AF662" s="204" t="str">
        <f t="shared" si="193"/>
        <v/>
      </c>
      <c r="AG662" s="111">
        <f t="shared" si="209"/>
        <v>0</v>
      </c>
      <c r="AH662" s="110"/>
      <c r="AI662" s="313"/>
      <c r="AJ662" s="111">
        <f t="shared" si="201"/>
        <v>0</v>
      </c>
      <c r="AK662" s="235"/>
      <c r="AL662" s="111">
        <f>IF(SUMIFS('Shipments data'!L:L,'Shipments data'!F:F,'Supply planning data'!C662,'Shipments data'!A:A,'Supply planning data'!A662,'Shipments data'!O:O,"received",'Shipments data'!Q:Q,"&lt;"&amp;'Supply planning data'!D677,'Shipments data'!AC:AC,"&lt;"&amp;'Supply planning data'!D677)-SUMIFS(M:M,D:D,"&lt;="&amp;D662,C:C,C662)-SUMIFS(AJ:AJ,D:D,"&lt;="&amp;D662,C:C,C662)+SUMIFS(N:N,D:D,"&lt;="&amp;D662,C:C,C662)+SUMIFS(P:P,D:D,"&lt;="&amp;D662,C:C,C662)&lt;0,0,SUMIFS('Shipments data'!L:L,'Shipments data'!F:F,'Supply planning data'!C662,'Shipments data'!A:A,'Supply planning data'!A662,'Shipments data'!O:O,"received",'Shipments data'!Q:Q,"&lt;"&amp;'Supply planning data'!D677,'Shipments data'!AC:AC,"&lt;"&amp;'Supply planning data'!D677)-SUMIFS(M:M,D:D,"&lt;="&amp;D662,C:C,C662)-SUMIFS(AJ:AJ,D:D,"&lt;="&amp;D662,C:C,C662)+SUMIFS(N:N,D:D,"&lt;="&amp;D662,C:C,C662)+SUMIFS(P:P,D:D,"&lt;="&amp;D662,C:C,C662))</f>
        <v>0</v>
      </c>
      <c r="AM662" s="111">
        <f t="shared" si="210"/>
        <v>0</v>
      </c>
      <c r="AN662" s="111">
        <f t="shared" si="203"/>
        <v>0</v>
      </c>
      <c r="AO662" s="204" t="str">
        <f t="shared" si="195"/>
        <v/>
      </c>
    </row>
    <row r="663" spans="1:41" hidden="1" x14ac:dyDescent="0.25">
      <c r="A663" s="103" t="str">
        <f>Start!D$7</f>
        <v>Anyland</v>
      </c>
      <c r="B663" s="109" t="str">
        <f>VLOOKUP(A663,list!B:C,2,FALSE)</f>
        <v>ANY</v>
      </c>
      <c r="C663" s="109" t="str">
        <f>IF(Start!$C$30="","",Start!$C$30)</f>
        <v/>
      </c>
      <c r="D663" s="298">
        <f t="shared" si="204"/>
        <v>45505</v>
      </c>
      <c r="E663" s="105" t="str">
        <f>IFERROR(VLOOKUP(C663,Start!C$15:D$31,2,FALSE),"No")</f>
        <v>No</v>
      </c>
      <c r="F663" s="105">
        <f t="shared" si="205"/>
        <v>0</v>
      </c>
      <c r="G663" s="106"/>
      <c r="H663" s="106"/>
      <c r="I663" s="106"/>
      <c r="J663" s="105">
        <f t="shared" si="197"/>
        <v>0</v>
      </c>
      <c r="K663" s="106"/>
      <c r="L663" s="177" t="str">
        <f t="shared" si="198"/>
        <v/>
      </c>
      <c r="M663" s="105">
        <f t="shared" si="199"/>
        <v>0</v>
      </c>
      <c r="N663" s="110"/>
      <c r="O663" s="124"/>
      <c r="P663" s="110"/>
      <c r="Q663" s="124"/>
      <c r="R663" s="111">
        <f>SUMIFS('Shipments data'!L:L,'Shipments data'!F:F,'Supply planning data'!C663,'Shipments data'!A:A,'Supply planning data'!A663,'Shipments data'!Y:Y,'Supply planning data'!D663,'Shipments data'!O:O,"received", 'Shipments data'!N:N, "Public")</f>
        <v>0</v>
      </c>
      <c r="S663" s="111">
        <f>SUMIFS('Shipments data'!L:L,'Shipments data'!F:F,'Supply planning data'!C663,'Shipments data'!A:A,'Supply planning data'!A663,'Shipments data'!Y:Y,'Supply planning data'!D663,'Shipments data'!O:O,"ordered", 'Shipments data'!N:N, "Public")</f>
        <v>0</v>
      </c>
      <c r="T663" s="111">
        <f>IF(SUMIFS('Shipments data'!L:L,'Shipments data'!F:F,'Supply planning data'!C663,'Shipments data'!A:A,'Supply planning data'!A663,'Shipments data'!O:O,"received",'Shipments data'!Q:Q,"&lt;"&amp;'Supply planning data'!D678,'Shipments data'!AC:AC,"&lt;"&amp;'Supply planning data'!D678)-SUMIFS(M:M,D:D,"&lt;="&amp;D663,C:C,C663)+SUMIFS(N:N,D:D,"&lt;="&amp;D663,C:C,C663)+SUMIFS(P:P,D:D,"&lt;="&amp;D663,C:C,C663)&lt;0,0,SUMIFS('Shipments data'!L:L,'Shipments data'!F:F,'Supply planning data'!C663,'Shipments data'!A:A,'Supply planning data'!A663,'Shipments data'!O:O,"received",'Shipments data'!Q:Q,"&lt;"&amp;'Supply planning data'!D678,'Shipments data'!AC:AC,"&lt;"&amp;'Supply planning data'!D678)-SUMIFS(M:M,D:D,"&lt;="&amp;D663,C:C,C663)+SUMIFS(N:N,D:D,"&lt;="&amp;D663,C:C,C663)+SUMIFS(P:P,D:D,"&lt;="&amp;D663,C:C,C663))</f>
        <v>0</v>
      </c>
      <c r="U663" s="112">
        <f t="shared" si="206"/>
        <v>0</v>
      </c>
      <c r="V663" s="111">
        <f t="shared" si="196"/>
        <v>0</v>
      </c>
      <c r="W663" s="204" t="str">
        <f t="shared" si="194"/>
        <v/>
      </c>
      <c r="X663" s="111">
        <f t="shared" si="207"/>
        <v>0</v>
      </c>
      <c r="Y663" s="110"/>
      <c r="Z663" s="107"/>
      <c r="AA663" s="111">
        <f t="shared" si="200"/>
        <v>0</v>
      </c>
      <c r="AB663" s="235"/>
      <c r="AC663" s="111">
        <f>IF(SUMIFS('Shipments data'!L:L,'Shipments data'!F:F,'Supply planning data'!C663,'Shipments data'!A:A,'Supply planning data'!A663,'Shipments data'!O:O,"received",'Shipments data'!Q:Q,"&lt;"&amp;'Supply planning data'!D678,'Shipments data'!AC:AC,"&lt;"&amp;'Supply planning data'!D678)-SUMIFS(M:M,D:D,"&lt;="&amp;D663,C:C,C663)-SUMIFS(AA:AA,D:D,"&lt;="&amp;D663,C:C,C663)+SUMIFS(N:N,D:D,"&lt;="&amp;D663,C:C,C663)+SUMIFS(P:P,D:D,"&lt;="&amp;D663,C:C,C663)&lt;0,0,SUMIFS('Shipments data'!L:L,'Shipments data'!F:F,'Supply planning data'!C663,'Shipments data'!A:A,'Supply planning data'!A663,'Shipments data'!O:O,"received",'Shipments data'!Q:Q,"&lt;"&amp;'Supply planning data'!D678,'Shipments data'!AC:AC,"&lt;"&amp;'Supply planning data'!D678)-SUMIFS(M:M,D:D,"&lt;="&amp;D663,C:C,C663)-SUMIFS(AA:AA,D:D,"&lt;="&amp;D663,C:C,C663)+SUMIFS(N:N,D:D,"&lt;="&amp;D663,C:C,C663)+SUMIFS(P:P,D:D,"&lt;="&amp;D663,C:C,C663))</f>
        <v>0</v>
      </c>
      <c r="AD663" s="111">
        <f t="shared" si="208"/>
        <v>0</v>
      </c>
      <c r="AE663" s="111">
        <f t="shared" si="202"/>
        <v>0</v>
      </c>
      <c r="AF663" s="204" t="str">
        <f t="shared" si="193"/>
        <v/>
      </c>
      <c r="AG663" s="111">
        <f t="shared" si="209"/>
        <v>0</v>
      </c>
      <c r="AH663" s="110"/>
      <c r="AI663" s="313"/>
      <c r="AJ663" s="111">
        <f t="shared" si="201"/>
        <v>0</v>
      </c>
      <c r="AK663" s="235"/>
      <c r="AL663" s="111">
        <f>IF(SUMIFS('Shipments data'!L:L,'Shipments data'!F:F,'Supply planning data'!C663,'Shipments data'!A:A,'Supply planning data'!A663,'Shipments data'!O:O,"received",'Shipments data'!Q:Q,"&lt;"&amp;'Supply planning data'!D678,'Shipments data'!AC:AC,"&lt;"&amp;'Supply planning data'!D678)-SUMIFS(M:M,D:D,"&lt;="&amp;D663,C:C,C663)-SUMIFS(AJ:AJ,D:D,"&lt;="&amp;D663,C:C,C663)+SUMIFS(N:N,D:D,"&lt;="&amp;D663,C:C,C663)+SUMIFS(P:P,D:D,"&lt;="&amp;D663,C:C,C663)&lt;0,0,SUMIFS('Shipments data'!L:L,'Shipments data'!F:F,'Supply planning data'!C663,'Shipments data'!A:A,'Supply planning data'!A663,'Shipments data'!O:O,"received",'Shipments data'!Q:Q,"&lt;"&amp;'Supply planning data'!D678,'Shipments data'!AC:AC,"&lt;"&amp;'Supply planning data'!D678)-SUMIFS(M:M,D:D,"&lt;="&amp;D663,C:C,C663)-SUMIFS(AJ:AJ,D:D,"&lt;="&amp;D663,C:C,C663)+SUMIFS(N:N,D:D,"&lt;="&amp;D663,C:C,C663)+SUMIFS(P:P,D:D,"&lt;="&amp;D663,C:C,C663))</f>
        <v>0</v>
      </c>
      <c r="AM663" s="111">
        <f t="shared" si="210"/>
        <v>0</v>
      </c>
      <c r="AN663" s="111">
        <f t="shared" si="203"/>
        <v>0</v>
      </c>
      <c r="AO663" s="204" t="str">
        <f t="shared" si="195"/>
        <v/>
      </c>
    </row>
    <row r="664" spans="1:41" hidden="1" x14ac:dyDescent="0.25">
      <c r="A664" s="113" t="str">
        <f>Start!D$7</f>
        <v>Anyland</v>
      </c>
      <c r="B664" s="114" t="str">
        <f>VLOOKUP(A664,list!B:C,2,FALSE)</f>
        <v>ANY</v>
      </c>
      <c r="C664" s="104" t="str">
        <f>IF(Start!$C$31="","",Start!$C$31)</f>
        <v/>
      </c>
      <c r="D664" s="298">
        <f t="shared" si="204"/>
        <v>45505</v>
      </c>
      <c r="E664" s="105" t="str">
        <f>IFERROR(VLOOKUP(C664,Start!C$15:D$31,2,FALSE),"No")</f>
        <v>No</v>
      </c>
      <c r="F664" s="105">
        <f t="shared" si="205"/>
        <v>0</v>
      </c>
      <c r="G664" s="106"/>
      <c r="H664" s="106"/>
      <c r="I664" s="106"/>
      <c r="J664" s="105">
        <f t="shared" si="197"/>
        <v>0</v>
      </c>
      <c r="K664" s="106"/>
      <c r="L664" s="177" t="str">
        <f t="shared" si="198"/>
        <v/>
      </c>
      <c r="M664" s="105">
        <f t="shared" si="199"/>
        <v>0</v>
      </c>
      <c r="N664" s="110"/>
      <c r="O664" s="124"/>
      <c r="P664" s="110"/>
      <c r="Q664" s="124"/>
      <c r="R664" s="111">
        <f>SUMIFS('Shipments data'!L:L,'Shipments data'!F:F,'Supply planning data'!C664,'Shipments data'!A:A,'Supply planning data'!A664,'Shipments data'!Y:Y,'Supply planning data'!D664,'Shipments data'!O:O,"received", 'Shipments data'!N:N, "Public")</f>
        <v>0</v>
      </c>
      <c r="S664" s="111">
        <f>SUMIFS('Shipments data'!L:L,'Shipments data'!F:F,'Supply planning data'!C664,'Shipments data'!A:A,'Supply planning data'!A664,'Shipments data'!Y:Y,'Supply planning data'!D664,'Shipments data'!O:O,"ordered", 'Shipments data'!N:N, "Public")</f>
        <v>0</v>
      </c>
      <c r="T664" s="111">
        <f>IF(SUMIFS('Shipments data'!L:L,'Shipments data'!F:F,'Supply planning data'!C664,'Shipments data'!A:A,'Supply planning data'!A664,'Shipments data'!O:O,"received",'Shipments data'!Q:Q,"&lt;"&amp;'Supply planning data'!D679,'Shipments data'!AC:AC,"&lt;"&amp;'Supply planning data'!D679)-SUMIFS(M:M,D:D,"&lt;="&amp;D664,C:C,C664)+SUMIFS(N:N,D:D,"&lt;="&amp;D664,C:C,C664)+SUMIFS(P:P,D:D,"&lt;="&amp;D664,C:C,C664)&lt;0,0,SUMIFS('Shipments data'!L:L,'Shipments data'!F:F,'Supply planning data'!C664,'Shipments data'!A:A,'Supply planning data'!A664,'Shipments data'!O:O,"received",'Shipments data'!Q:Q,"&lt;"&amp;'Supply planning data'!D679,'Shipments data'!AC:AC,"&lt;"&amp;'Supply planning data'!D679)-SUMIFS(M:M,D:D,"&lt;="&amp;D664,C:C,C664)+SUMIFS(N:N,D:D,"&lt;="&amp;D664,C:C,C664)+SUMIFS(P:P,D:D,"&lt;="&amp;D664,C:C,C664))</f>
        <v>0</v>
      </c>
      <c r="U664" s="112">
        <f t="shared" si="206"/>
        <v>0</v>
      </c>
      <c r="V664" s="111">
        <f t="shared" si="196"/>
        <v>0</v>
      </c>
      <c r="W664" s="204" t="str">
        <f t="shared" si="194"/>
        <v/>
      </c>
      <c r="X664" s="111">
        <f t="shared" si="207"/>
        <v>0</v>
      </c>
      <c r="Y664" s="110"/>
      <c r="Z664" s="107"/>
      <c r="AA664" s="111">
        <f t="shared" si="200"/>
        <v>0</v>
      </c>
      <c r="AB664" s="235"/>
      <c r="AC664" s="111">
        <f>IF(SUMIFS('Shipments data'!L:L,'Shipments data'!F:F,'Supply planning data'!C664,'Shipments data'!A:A,'Supply planning data'!A664,'Shipments data'!O:O,"received",'Shipments data'!Q:Q,"&lt;"&amp;'Supply planning data'!D679,'Shipments data'!AC:AC,"&lt;"&amp;'Supply planning data'!D679)-SUMIFS(M:M,D:D,"&lt;="&amp;D664,C:C,C664)-SUMIFS(AA:AA,D:D,"&lt;="&amp;D664,C:C,C664)+SUMIFS(N:N,D:D,"&lt;="&amp;D664,C:C,C664)+SUMIFS(P:P,D:D,"&lt;="&amp;D664,C:C,C664)&lt;0,0,SUMIFS('Shipments data'!L:L,'Shipments data'!F:F,'Supply planning data'!C664,'Shipments data'!A:A,'Supply planning data'!A664,'Shipments data'!O:O,"received",'Shipments data'!Q:Q,"&lt;"&amp;'Supply planning data'!D679,'Shipments data'!AC:AC,"&lt;"&amp;'Supply planning data'!D679)-SUMIFS(M:M,D:D,"&lt;="&amp;D664,C:C,C664)-SUMIFS(AA:AA,D:D,"&lt;="&amp;D664,C:C,C664)+SUMIFS(N:N,D:D,"&lt;="&amp;D664,C:C,C664)+SUMIFS(P:P,D:D,"&lt;="&amp;D664,C:C,C664))</f>
        <v>0</v>
      </c>
      <c r="AD664" s="111">
        <f t="shared" si="208"/>
        <v>0</v>
      </c>
      <c r="AE664" s="111">
        <f t="shared" si="202"/>
        <v>0</v>
      </c>
      <c r="AF664" s="204" t="str">
        <f t="shared" si="193"/>
        <v/>
      </c>
      <c r="AG664" s="111">
        <f t="shared" si="209"/>
        <v>0</v>
      </c>
      <c r="AH664" s="110"/>
      <c r="AI664" s="313"/>
      <c r="AJ664" s="111">
        <f t="shared" si="201"/>
        <v>0</v>
      </c>
      <c r="AK664" s="235"/>
      <c r="AL664" s="111">
        <f>IF(SUMIFS('Shipments data'!L:L,'Shipments data'!F:F,'Supply planning data'!C664,'Shipments data'!A:A,'Supply planning data'!A664,'Shipments data'!O:O,"received",'Shipments data'!Q:Q,"&lt;"&amp;'Supply planning data'!D679,'Shipments data'!AC:AC,"&lt;"&amp;'Supply planning data'!D679)-SUMIFS(M:M,D:D,"&lt;="&amp;D664,C:C,C664)-SUMIFS(AJ:AJ,D:D,"&lt;="&amp;D664,C:C,C664)+SUMIFS(N:N,D:D,"&lt;="&amp;D664,C:C,C664)+SUMIFS(P:P,D:D,"&lt;="&amp;D664,C:C,C664)&lt;0,0,SUMIFS('Shipments data'!L:L,'Shipments data'!F:F,'Supply planning data'!C664,'Shipments data'!A:A,'Supply planning data'!A664,'Shipments data'!O:O,"received",'Shipments data'!Q:Q,"&lt;"&amp;'Supply planning data'!D679,'Shipments data'!AC:AC,"&lt;"&amp;'Supply planning data'!D679)-SUMIFS(M:M,D:D,"&lt;="&amp;D664,C:C,C664)-SUMIFS(AJ:AJ,D:D,"&lt;="&amp;D664,C:C,C664)+SUMIFS(N:N,D:D,"&lt;="&amp;D664,C:C,C664)+SUMIFS(P:P,D:D,"&lt;="&amp;D664,C:C,C664))</f>
        <v>0</v>
      </c>
      <c r="AM664" s="111">
        <f t="shared" si="210"/>
        <v>0</v>
      </c>
      <c r="AN664" s="111">
        <f t="shared" si="203"/>
        <v>0</v>
      </c>
      <c r="AO664" s="204" t="str">
        <f t="shared" si="195"/>
        <v/>
      </c>
    </row>
    <row r="665" spans="1:41" x14ac:dyDescent="0.25">
      <c r="A665" s="89" t="str">
        <f>Start!D$7</f>
        <v>Anyland</v>
      </c>
      <c r="B665" s="90" t="str">
        <f>VLOOKUP(A665,list!B:C,2,FALSE)</f>
        <v>ANY</v>
      </c>
      <c r="C665" s="90" t="str">
        <f>IF(Start!$C$17="","",Start!$C$17)</f>
        <v>AstraZeneca</v>
      </c>
      <c r="D665" s="296">
        <f t="shared" si="204"/>
        <v>45536</v>
      </c>
      <c r="E665" s="92" t="str">
        <f>IFERROR(VLOOKUP(C665,Start!C$15:D$31,2,FALSE),"No")</f>
        <v>Yes</v>
      </c>
      <c r="F665" s="92">
        <f t="shared" si="205"/>
        <v>0</v>
      </c>
      <c r="G665" s="91"/>
      <c r="H665" s="91"/>
      <c r="I665" s="91"/>
      <c r="J665" s="92">
        <f t="shared" si="197"/>
        <v>0</v>
      </c>
      <c r="K665" s="91"/>
      <c r="L665" s="174" t="str">
        <f t="shared" si="198"/>
        <v/>
      </c>
      <c r="M665" s="92">
        <f t="shared" si="199"/>
        <v>0</v>
      </c>
      <c r="N665" s="91"/>
      <c r="O665" s="121"/>
      <c r="P665" s="91"/>
      <c r="Q665" s="121"/>
      <c r="R665" s="92">
        <f>SUMIFS('Shipments data'!L:L,'Shipments data'!F:F,'Supply planning data'!C665,'Shipments data'!A:A,'Supply planning data'!A665,'Shipments data'!Y:Y,'Supply planning data'!D665,'Shipments data'!O:O,"received", 'Shipments data'!N:N, "Public")</f>
        <v>0</v>
      </c>
      <c r="S665" s="92">
        <f>SUMIFS('Shipments data'!L:L,'Shipments data'!F:F,'Supply planning data'!C665,'Shipments data'!A:A,'Supply planning data'!A665,'Shipments data'!Y:Y,'Supply planning data'!D665,'Shipments data'!O:O,"ordered", 'Shipments data'!N:N, "Public")</f>
        <v>0</v>
      </c>
      <c r="T665" s="92">
        <f>IF(SUMIFS('Shipments data'!L:L,'Shipments data'!F:F,'Supply planning data'!C665,'Shipments data'!A:A,'Supply planning data'!A665,'Shipments data'!O:O,"received",'Shipments data'!Q:Q,"&lt;"&amp;'Supply planning data'!D680,'Shipments data'!AC:AC,"&lt;"&amp;'Supply planning data'!D680)-SUMIFS(M:M,D:D,"&lt;="&amp;D665,C:C,C665)+SUMIFS(N:N,D:D,"&lt;="&amp;D665,C:C,C665)+SUMIFS(P:P,D:D,"&lt;="&amp;D665,C:C,C665)&lt;0,0,SUMIFS('Shipments data'!L:L,'Shipments data'!F:F,'Supply planning data'!C665,'Shipments data'!A:A,'Supply planning data'!A665,'Shipments data'!O:O,"received",'Shipments data'!Q:Q,"&lt;"&amp;'Supply planning data'!D680,'Shipments data'!AC:AC,"&lt;"&amp;'Supply planning data'!D680)-SUMIFS(M:M,D:D,"&lt;="&amp;D665,C:C,C665)+SUMIFS(N:N,D:D,"&lt;="&amp;D665,C:C,C665)+SUMIFS(P:P,D:D,"&lt;="&amp;D665,C:C,C665))</f>
        <v>0</v>
      </c>
      <c r="U665" s="94">
        <f t="shared" si="206"/>
        <v>0</v>
      </c>
      <c r="V665" s="92">
        <f t="shared" si="196"/>
        <v>0</v>
      </c>
      <c r="W665" s="205" t="str">
        <f t="shared" si="194"/>
        <v/>
      </c>
      <c r="X665" s="92">
        <f t="shared" si="207"/>
        <v>154701</v>
      </c>
      <c r="Y665" s="91"/>
      <c r="Z665" s="93"/>
      <c r="AA665" s="92">
        <f t="shared" si="200"/>
        <v>0</v>
      </c>
      <c r="AB665" s="232"/>
      <c r="AC665" s="92">
        <f>IF(SUMIFS('Shipments data'!L:L,'Shipments data'!F:F,'Supply planning data'!C665,'Shipments data'!A:A,'Supply planning data'!A665,'Shipments data'!O:O,"received",'Shipments data'!Q:Q,"&lt;"&amp;'Supply planning data'!D680,'Shipments data'!AC:AC,"&lt;"&amp;'Supply planning data'!D680)-SUMIFS(M:M,D:D,"&lt;="&amp;D665,C:C,C665)-SUMIFS(AA:AA,D:D,"&lt;="&amp;D665,C:C,C665)+SUMIFS(N:N,D:D,"&lt;="&amp;D665,C:C,C665)+SUMIFS(P:P,D:D,"&lt;="&amp;D665,C:C,C665)&lt;0,0,SUMIFS('Shipments data'!L:L,'Shipments data'!F:F,'Supply planning data'!C665,'Shipments data'!A:A,'Supply planning data'!A665,'Shipments data'!O:O,"received",'Shipments data'!Q:Q,"&lt;"&amp;'Supply planning data'!D680,'Shipments data'!AC:AC,"&lt;"&amp;'Supply planning data'!D680)-SUMIFS(M:M,D:D,"&lt;="&amp;D665,C:C,C665)-SUMIFS(AA:AA,D:D,"&lt;="&amp;D665,C:C,C665)+SUMIFS(N:N,D:D,"&lt;="&amp;D665,C:C,C665)+SUMIFS(P:P,D:D,"&lt;="&amp;D665,C:C,C665))</f>
        <v>0</v>
      </c>
      <c r="AD665" s="92">
        <f t="shared" si="208"/>
        <v>0</v>
      </c>
      <c r="AE665" s="92">
        <f t="shared" si="202"/>
        <v>154701</v>
      </c>
      <c r="AF665" s="205" t="str">
        <f t="shared" si="193"/>
        <v/>
      </c>
      <c r="AG665" s="92">
        <f t="shared" si="209"/>
        <v>0</v>
      </c>
      <c r="AH665" s="91"/>
      <c r="AI665" s="310"/>
      <c r="AJ665" s="92">
        <f t="shared" si="201"/>
        <v>0</v>
      </c>
      <c r="AK665" s="232"/>
      <c r="AL665" s="92">
        <f>IF(SUMIFS('Shipments data'!L:L,'Shipments data'!F:F,'Supply planning data'!C665,'Shipments data'!A:A,'Supply planning data'!A665,'Shipments data'!O:O,"received",'Shipments data'!Q:Q,"&lt;"&amp;'Supply planning data'!D680,'Shipments data'!AC:AC,"&lt;"&amp;'Supply planning data'!D680)-SUMIFS(M:M,D:D,"&lt;="&amp;D665,C:C,C665)-SUMIFS(AJ:AJ,D:D,"&lt;="&amp;D665,C:C,C665)+SUMIFS(N:N,D:D,"&lt;="&amp;D665,C:C,C665)+SUMIFS(P:P,D:D,"&lt;="&amp;D665,C:C,C665)&lt;0,0,SUMIFS('Shipments data'!L:L,'Shipments data'!F:F,'Supply planning data'!C665,'Shipments data'!A:A,'Supply planning data'!A665,'Shipments data'!O:O,"received",'Shipments data'!Q:Q,"&lt;"&amp;'Supply planning data'!D680,'Shipments data'!AC:AC,"&lt;"&amp;'Supply planning data'!D680)-SUMIFS(M:M,D:D,"&lt;="&amp;D665,C:C,C665)-SUMIFS(AJ:AJ,D:D,"&lt;="&amp;D665,C:C,C665)+SUMIFS(N:N,D:D,"&lt;="&amp;D665,C:C,C665)+SUMIFS(P:P,D:D,"&lt;="&amp;D665,C:C,C665))</f>
        <v>0</v>
      </c>
      <c r="AM665" s="92">
        <f t="shared" si="210"/>
        <v>0</v>
      </c>
      <c r="AN665" s="92">
        <f t="shared" si="203"/>
        <v>0</v>
      </c>
      <c r="AO665" s="205" t="str">
        <f t="shared" si="195"/>
        <v/>
      </c>
    </row>
    <row r="666" spans="1:41" x14ac:dyDescent="0.25">
      <c r="A666" s="95" t="str">
        <f>Start!D$7</f>
        <v>Anyland</v>
      </c>
      <c r="B666" s="96" t="str">
        <f>VLOOKUP(A666,list!B:C,2,FALSE)</f>
        <v>ANY</v>
      </c>
      <c r="C666" s="90" t="str">
        <f>IF(Start!$C$18="","",Start!$C$18)</f>
        <v>Jansen</v>
      </c>
      <c r="D666" s="296">
        <f t="shared" si="204"/>
        <v>45536</v>
      </c>
      <c r="E666" s="92" t="str">
        <f>IFERROR(VLOOKUP(C666,Start!C$15:D$31,2,FALSE),"No")</f>
        <v>Yes</v>
      </c>
      <c r="F666" s="92">
        <f t="shared" si="205"/>
        <v>1871200</v>
      </c>
      <c r="G666" s="91"/>
      <c r="H666" s="97"/>
      <c r="I666" s="97"/>
      <c r="J666" s="98">
        <f t="shared" si="197"/>
        <v>0</v>
      </c>
      <c r="K666" s="97"/>
      <c r="L666" s="175" t="str">
        <f t="shared" si="198"/>
        <v/>
      </c>
      <c r="M666" s="98">
        <f t="shared" si="199"/>
        <v>0</v>
      </c>
      <c r="N666" s="97"/>
      <c r="O666" s="122"/>
      <c r="P666" s="97"/>
      <c r="Q666" s="122"/>
      <c r="R666" s="98">
        <f>SUMIFS('Shipments data'!L:L,'Shipments data'!F:F,'Supply planning data'!C666,'Shipments data'!A:A,'Supply planning data'!A666,'Shipments data'!Y:Y,'Supply planning data'!D666,'Shipments data'!O:O,"received", 'Shipments data'!N:N, "Public")</f>
        <v>0</v>
      </c>
      <c r="S666" s="98">
        <f>SUMIFS('Shipments data'!L:L,'Shipments data'!F:F,'Supply planning data'!C666,'Shipments data'!A:A,'Supply planning data'!A666,'Shipments data'!Y:Y,'Supply planning data'!D666,'Shipments data'!O:O,"ordered", 'Shipments data'!N:N, "Public")</f>
        <v>0</v>
      </c>
      <c r="T666" s="98">
        <f>IF(SUMIFS('Shipments data'!L:L,'Shipments data'!F:F,'Supply planning data'!C666,'Shipments data'!A:A,'Supply planning data'!A666,'Shipments data'!O:O,"received",'Shipments data'!Q:Q,"&lt;"&amp;'Supply planning data'!D681,'Shipments data'!AC:AC,"&lt;"&amp;'Supply planning data'!D681)-SUMIFS(M:M,D:D,"&lt;="&amp;D666,C:C,C666)+SUMIFS(N:N,D:D,"&lt;="&amp;D666,C:C,C666)+SUMIFS(P:P,D:D,"&lt;="&amp;D666,C:C,C666)&lt;0,0,SUMIFS('Shipments data'!L:L,'Shipments data'!F:F,'Supply planning data'!C666,'Shipments data'!A:A,'Supply planning data'!A666,'Shipments data'!O:O,"received",'Shipments data'!Q:Q,"&lt;"&amp;'Supply planning data'!D681,'Shipments data'!AC:AC,"&lt;"&amp;'Supply planning data'!D681)-SUMIFS(M:M,D:D,"&lt;="&amp;D666,C:C,C666)+SUMIFS(N:N,D:D,"&lt;="&amp;D666,C:C,C666)+SUMIFS(P:P,D:D,"&lt;="&amp;D666,C:C,C666))</f>
        <v>387547</v>
      </c>
      <c r="U666" s="99">
        <f t="shared" si="206"/>
        <v>0</v>
      </c>
      <c r="V666" s="98">
        <f t="shared" si="196"/>
        <v>1871200</v>
      </c>
      <c r="W666" s="203" t="str">
        <f t="shared" si="194"/>
        <v/>
      </c>
      <c r="X666" s="98">
        <f t="shared" si="207"/>
        <v>1311200</v>
      </c>
      <c r="Y666" s="97"/>
      <c r="Z666" s="93"/>
      <c r="AA666" s="98">
        <f t="shared" si="200"/>
        <v>0</v>
      </c>
      <c r="AB666" s="233"/>
      <c r="AC666" s="98">
        <f>IF(SUMIFS('Shipments data'!L:L,'Shipments data'!F:F,'Supply planning data'!C666,'Shipments data'!A:A,'Supply planning data'!A666,'Shipments data'!O:O,"received",'Shipments data'!Q:Q,"&lt;"&amp;'Supply planning data'!D681,'Shipments data'!AC:AC,"&lt;"&amp;'Supply planning data'!D681)-SUMIFS(M:M,D:D,"&lt;="&amp;D666,C:C,C666)-SUMIFS(AA:AA,D:D,"&lt;="&amp;D666,C:C,C666)+SUMIFS(N:N,D:D,"&lt;="&amp;D666,C:C,C666)+SUMIFS(P:P,D:D,"&lt;="&amp;D666,C:C,C666)&lt;0,0,SUMIFS('Shipments data'!L:L,'Shipments data'!F:F,'Supply planning data'!C666,'Shipments data'!A:A,'Supply planning data'!A666,'Shipments data'!O:O,"received",'Shipments data'!Q:Q,"&lt;"&amp;'Supply planning data'!D681,'Shipments data'!AC:AC,"&lt;"&amp;'Supply planning data'!D681)-SUMIFS(M:M,D:D,"&lt;="&amp;D666,C:C,C666)-SUMIFS(AA:AA,D:D,"&lt;="&amp;D666,C:C,C666)+SUMIFS(N:N,D:D,"&lt;="&amp;D666,C:C,C666)+SUMIFS(P:P,D:D,"&lt;="&amp;D666,C:C,C666))</f>
        <v>0</v>
      </c>
      <c r="AD666" s="98">
        <f t="shared" si="208"/>
        <v>0</v>
      </c>
      <c r="AE666" s="98">
        <f t="shared" si="202"/>
        <v>1311200</v>
      </c>
      <c r="AF666" s="205" t="str">
        <f t="shared" si="193"/>
        <v/>
      </c>
      <c r="AG666" s="98">
        <f t="shared" si="209"/>
        <v>1871200</v>
      </c>
      <c r="AH666" s="97"/>
      <c r="AI666" s="311"/>
      <c r="AJ666" s="98">
        <f t="shared" si="201"/>
        <v>0</v>
      </c>
      <c r="AK666" s="233"/>
      <c r="AL666" s="98">
        <f>IF(SUMIFS('Shipments data'!L:L,'Shipments data'!F:F,'Supply planning data'!C666,'Shipments data'!A:A,'Supply planning data'!A666,'Shipments data'!O:O,"received",'Shipments data'!Q:Q,"&lt;"&amp;'Supply planning data'!D681,'Shipments data'!AC:AC,"&lt;"&amp;'Supply planning data'!D681)-SUMIFS(M:M,D:D,"&lt;="&amp;D666,C:C,C666)-SUMIFS(AJ:AJ,D:D,"&lt;="&amp;D666,C:C,C666)+SUMIFS(N:N,D:D,"&lt;="&amp;D666,C:C,C666)+SUMIFS(P:P,D:D,"&lt;="&amp;D666,C:C,C666)&lt;0,0,SUMIFS('Shipments data'!L:L,'Shipments data'!F:F,'Supply planning data'!C666,'Shipments data'!A:A,'Supply planning data'!A666,'Shipments data'!O:O,"received",'Shipments data'!Q:Q,"&lt;"&amp;'Supply planning data'!D681,'Shipments data'!AC:AC,"&lt;"&amp;'Supply planning data'!D681)-SUMIFS(M:M,D:D,"&lt;="&amp;D666,C:C,C666)-SUMIFS(AJ:AJ,D:D,"&lt;="&amp;D666,C:C,C666)+SUMIFS(N:N,D:D,"&lt;="&amp;D666,C:C,C666)+SUMIFS(P:P,D:D,"&lt;="&amp;D666,C:C,C666))</f>
        <v>387547</v>
      </c>
      <c r="AM666" s="98">
        <f t="shared" si="210"/>
        <v>0</v>
      </c>
      <c r="AN666" s="98">
        <f t="shared" si="203"/>
        <v>1871200</v>
      </c>
      <c r="AO666" s="203" t="str">
        <f t="shared" si="195"/>
        <v/>
      </c>
    </row>
    <row r="667" spans="1:41" x14ac:dyDescent="0.25">
      <c r="A667" s="95" t="str">
        <f>Start!D$7</f>
        <v>Anyland</v>
      </c>
      <c r="B667" s="96" t="str">
        <f>VLOOKUP(A667,list!B:C,2,FALSE)</f>
        <v>ANY</v>
      </c>
      <c r="C667" s="90" t="str">
        <f>IF(Start!$C$19="","",Start!$C$19)</f>
        <v>Moderna</v>
      </c>
      <c r="D667" s="296">
        <f t="shared" si="204"/>
        <v>45536</v>
      </c>
      <c r="E667" s="92" t="str">
        <f>IFERROR(VLOOKUP(C667,Start!C$15:D$31,2,FALSE),"No")</f>
        <v>No</v>
      </c>
      <c r="F667" s="92">
        <f t="shared" si="205"/>
        <v>0</v>
      </c>
      <c r="G667" s="91"/>
      <c r="H667" s="97"/>
      <c r="I667" s="97"/>
      <c r="J667" s="98">
        <f t="shared" si="197"/>
        <v>0</v>
      </c>
      <c r="K667" s="97"/>
      <c r="L667" s="175" t="str">
        <f t="shared" si="198"/>
        <v/>
      </c>
      <c r="M667" s="98">
        <f t="shared" si="199"/>
        <v>0</v>
      </c>
      <c r="N667" s="97"/>
      <c r="O667" s="122"/>
      <c r="P667" s="97"/>
      <c r="Q667" s="122"/>
      <c r="R667" s="98">
        <f>SUMIFS('Shipments data'!L:L,'Shipments data'!F:F,'Supply planning data'!C667,'Shipments data'!A:A,'Supply planning data'!A667,'Shipments data'!Y:Y,'Supply planning data'!D667,'Shipments data'!O:O,"received", 'Shipments data'!N:N, "Public")</f>
        <v>0</v>
      </c>
      <c r="S667" s="98">
        <f>SUMIFS('Shipments data'!L:L,'Shipments data'!F:F,'Supply planning data'!C667,'Shipments data'!A:A,'Supply planning data'!A667,'Shipments data'!Y:Y,'Supply planning data'!D667,'Shipments data'!O:O,"ordered", 'Shipments data'!N:N, "Public")</f>
        <v>0</v>
      </c>
      <c r="T667" s="98">
        <f>IF(SUMIFS('Shipments data'!L:L,'Shipments data'!F:F,'Supply planning data'!C667,'Shipments data'!A:A,'Supply planning data'!A667,'Shipments data'!O:O,"received",'Shipments data'!Q:Q,"&lt;"&amp;'Supply planning data'!D682,'Shipments data'!AC:AC,"&lt;"&amp;'Supply planning data'!D682)-SUMIFS(M:M,D:D,"&lt;="&amp;D667,C:C,C667)+SUMIFS(N:N,D:D,"&lt;="&amp;D667,C:C,C667)+SUMIFS(P:P,D:D,"&lt;="&amp;D667,C:C,C667)&lt;0,0,SUMIFS('Shipments data'!L:L,'Shipments data'!F:F,'Supply planning data'!C667,'Shipments data'!A:A,'Supply planning data'!A667,'Shipments data'!O:O,"received",'Shipments data'!Q:Q,"&lt;"&amp;'Supply planning data'!D682,'Shipments data'!AC:AC,"&lt;"&amp;'Supply planning data'!D682)-SUMIFS(M:M,D:D,"&lt;="&amp;D667,C:C,C667)+SUMIFS(N:N,D:D,"&lt;="&amp;D667,C:C,C667)+SUMIFS(P:P,D:D,"&lt;="&amp;D667,C:C,C667))</f>
        <v>0</v>
      </c>
      <c r="U667" s="99">
        <f t="shared" si="206"/>
        <v>0</v>
      </c>
      <c r="V667" s="98">
        <f t="shared" si="196"/>
        <v>0</v>
      </c>
      <c r="W667" s="203" t="str">
        <f t="shared" si="194"/>
        <v/>
      </c>
      <c r="X667" s="98">
        <f t="shared" si="207"/>
        <v>0</v>
      </c>
      <c r="Y667" s="97"/>
      <c r="Z667" s="93"/>
      <c r="AA667" s="98">
        <f t="shared" si="200"/>
        <v>0</v>
      </c>
      <c r="AB667" s="233"/>
      <c r="AC667" s="98">
        <f>IF(SUMIFS('Shipments data'!L:L,'Shipments data'!F:F,'Supply planning data'!C667,'Shipments data'!A:A,'Supply planning data'!A667,'Shipments data'!O:O,"received",'Shipments data'!Q:Q,"&lt;"&amp;'Supply planning data'!D682,'Shipments data'!AC:AC,"&lt;"&amp;'Supply planning data'!D682)-SUMIFS(M:M,D:D,"&lt;="&amp;D667,C:C,C667)-SUMIFS(AA:AA,D:D,"&lt;="&amp;D667,C:C,C667)+SUMIFS(N:N,D:D,"&lt;="&amp;D667,C:C,C667)+SUMIFS(P:P,D:D,"&lt;="&amp;D667,C:C,C667)&lt;0,0,SUMIFS('Shipments data'!L:L,'Shipments data'!F:F,'Supply planning data'!C667,'Shipments data'!A:A,'Supply planning data'!A667,'Shipments data'!O:O,"received",'Shipments data'!Q:Q,"&lt;"&amp;'Supply planning data'!D682,'Shipments data'!AC:AC,"&lt;"&amp;'Supply planning data'!D682)-SUMIFS(M:M,D:D,"&lt;="&amp;D667,C:C,C667)-SUMIFS(AA:AA,D:D,"&lt;="&amp;D667,C:C,C667)+SUMIFS(N:N,D:D,"&lt;="&amp;D667,C:C,C667)+SUMIFS(P:P,D:D,"&lt;="&amp;D667,C:C,C667))</f>
        <v>0</v>
      </c>
      <c r="AD667" s="98">
        <f t="shared" si="208"/>
        <v>0</v>
      </c>
      <c r="AE667" s="98">
        <f t="shared" si="202"/>
        <v>0</v>
      </c>
      <c r="AF667" s="205" t="str">
        <f t="shared" si="193"/>
        <v/>
      </c>
      <c r="AG667" s="98">
        <f t="shared" si="209"/>
        <v>0</v>
      </c>
      <c r="AH667" s="97"/>
      <c r="AI667" s="311"/>
      <c r="AJ667" s="98">
        <f t="shared" si="201"/>
        <v>0</v>
      </c>
      <c r="AK667" s="233"/>
      <c r="AL667" s="98">
        <f>IF(SUMIFS('Shipments data'!L:L,'Shipments data'!F:F,'Supply planning data'!C667,'Shipments data'!A:A,'Supply planning data'!A667,'Shipments data'!O:O,"received",'Shipments data'!Q:Q,"&lt;"&amp;'Supply planning data'!D682,'Shipments data'!AC:AC,"&lt;"&amp;'Supply planning data'!D682)-SUMIFS(M:M,D:D,"&lt;="&amp;D667,C:C,C667)-SUMIFS(AJ:AJ,D:D,"&lt;="&amp;D667,C:C,C667)+SUMIFS(N:N,D:D,"&lt;="&amp;D667,C:C,C667)+SUMIFS(P:P,D:D,"&lt;="&amp;D667,C:C,C667)&lt;0,0,SUMIFS('Shipments data'!L:L,'Shipments data'!F:F,'Supply planning data'!C667,'Shipments data'!A:A,'Supply planning data'!A667,'Shipments data'!O:O,"received",'Shipments data'!Q:Q,"&lt;"&amp;'Supply planning data'!D682,'Shipments data'!AC:AC,"&lt;"&amp;'Supply planning data'!D682)-SUMIFS(M:M,D:D,"&lt;="&amp;D667,C:C,C667)-SUMIFS(AJ:AJ,D:D,"&lt;="&amp;D667,C:C,C667)+SUMIFS(N:N,D:D,"&lt;="&amp;D667,C:C,C667)+SUMIFS(P:P,D:D,"&lt;="&amp;D667,C:C,C667))</f>
        <v>0</v>
      </c>
      <c r="AM667" s="98">
        <f t="shared" si="210"/>
        <v>0</v>
      </c>
      <c r="AN667" s="98">
        <f t="shared" si="203"/>
        <v>0</v>
      </c>
      <c r="AO667" s="203" t="str">
        <f t="shared" si="195"/>
        <v/>
      </c>
    </row>
    <row r="668" spans="1:41" x14ac:dyDescent="0.25">
      <c r="A668" s="95" t="str">
        <f>Start!D$7</f>
        <v>Anyland</v>
      </c>
      <c r="B668" s="96" t="str">
        <f>VLOOKUP(A668,list!B:C,2,FALSE)</f>
        <v>ANY</v>
      </c>
      <c r="C668" s="90" t="str">
        <f>IF(Start!$C$20="","",Start!$C$20)</f>
        <v>Pfizer</v>
      </c>
      <c r="D668" s="296">
        <f t="shared" si="204"/>
        <v>45536</v>
      </c>
      <c r="E668" s="92" t="str">
        <f>IFERROR(VLOOKUP(C668,Start!C$15:D$31,2,FALSE),"No")</f>
        <v>Yes</v>
      </c>
      <c r="F668" s="92">
        <f t="shared" si="205"/>
        <v>3000000</v>
      </c>
      <c r="G668" s="91"/>
      <c r="H668" s="97"/>
      <c r="I668" s="97"/>
      <c r="J668" s="98">
        <f t="shared" si="197"/>
        <v>0</v>
      </c>
      <c r="K668" s="97"/>
      <c r="L668" s="175" t="str">
        <f t="shared" si="198"/>
        <v/>
      </c>
      <c r="M668" s="98">
        <f t="shared" si="199"/>
        <v>0</v>
      </c>
      <c r="N668" s="97"/>
      <c r="O668" s="122"/>
      <c r="P668" s="97"/>
      <c r="Q668" s="122"/>
      <c r="R668" s="98">
        <f>SUMIFS('Shipments data'!L:L,'Shipments data'!F:F,'Supply planning data'!C668,'Shipments data'!A:A,'Supply planning data'!A668,'Shipments data'!Y:Y,'Supply planning data'!D668,'Shipments data'!O:O,"received", 'Shipments data'!N:N, "Public")</f>
        <v>0</v>
      </c>
      <c r="S668" s="98">
        <f>SUMIFS('Shipments data'!L:L,'Shipments data'!F:F,'Supply planning data'!C668,'Shipments data'!A:A,'Supply planning data'!A668,'Shipments data'!Y:Y,'Supply planning data'!D668,'Shipments data'!O:O,"ordered", 'Shipments data'!N:N, "Public")</f>
        <v>0</v>
      </c>
      <c r="T668" s="98">
        <f>IF(SUMIFS('Shipments data'!L:L,'Shipments data'!F:F,'Supply planning data'!C668,'Shipments data'!A:A,'Supply planning data'!A668,'Shipments data'!O:O,"received",'Shipments data'!Q:Q,"&lt;"&amp;'Supply planning data'!D683,'Shipments data'!AC:AC,"&lt;"&amp;'Supply planning data'!D683)-SUMIFS(M:M,D:D,"&lt;="&amp;D668,C:C,C668)+SUMIFS(N:N,D:D,"&lt;="&amp;D668,C:C,C668)+SUMIFS(P:P,D:D,"&lt;="&amp;D668,C:C,C668)&lt;0,0,SUMIFS('Shipments data'!L:L,'Shipments data'!F:F,'Supply planning data'!C668,'Shipments data'!A:A,'Supply planning data'!A668,'Shipments data'!O:O,"received",'Shipments data'!Q:Q,"&lt;"&amp;'Supply planning data'!D683,'Shipments data'!AC:AC,"&lt;"&amp;'Supply planning data'!D683)-SUMIFS(M:M,D:D,"&lt;="&amp;D668,C:C,C668)+SUMIFS(N:N,D:D,"&lt;="&amp;D668,C:C,C668)+SUMIFS(P:P,D:D,"&lt;="&amp;D668,C:C,C668))</f>
        <v>110538</v>
      </c>
      <c r="U668" s="99">
        <f t="shared" si="206"/>
        <v>0</v>
      </c>
      <c r="V668" s="98">
        <f t="shared" si="196"/>
        <v>3000000</v>
      </c>
      <c r="W668" s="203" t="str">
        <f t="shared" si="194"/>
        <v/>
      </c>
      <c r="X668" s="98">
        <f t="shared" si="207"/>
        <v>2440000</v>
      </c>
      <c r="Y668" s="97"/>
      <c r="Z668" s="93"/>
      <c r="AA668" s="98">
        <f t="shared" si="200"/>
        <v>0</v>
      </c>
      <c r="AB668" s="233"/>
      <c r="AC668" s="98">
        <f>IF(SUMIFS('Shipments data'!L:L,'Shipments data'!F:F,'Supply planning data'!C668,'Shipments data'!A:A,'Supply planning data'!A668,'Shipments data'!O:O,"received",'Shipments data'!Q:Q,"&lt;"&amp;'Supply planning data'!D683,'Shipments data'!AC:AC,"&lt;"&amp;'Supply planning data'!D683)-SUMIFS(M:M,D:D,"&lt;="&amp;D668,C:C,C668)-SUMIFS(AA:AA,D:D,"&lt;="&amp;D668,C:C,C668)+SUMIFS(N:N,D:D,"&lt;="&amp;D668,C:C,C668)+SUMIFS(P:P,D:D,"&lt;="&amp;D668,C:C,C668)&lt;0,0,SUMIFS('Shipments data'!L:L,'Shipments data'!F:F,'Supply planning data'!C668,'Shipments data'!A:A,'Supply planning data'!A668,'Shipments data'!O:O,"received",'Shipments data'!Q:Q,"&lt;"&amp;'Supply planning data'!D683,'Shipments data'!AC:AC,"&lt;"&amp;'Supply planning data'!D683)-SUMIFS(M:M,D:D,"&lt;="&amp;D668,C:C,C668)-SUMIFS(AA:AA,D:D,"&lt;="&amp;D668,C:C,C668)+SUMIFS(N:N,D:D,"&lt;="&amp;D668,C:C,C668)+SUMIFS(P:P,D:D,"&lt;="&amp;D668,C:C,C668))</f>
        <v>0</v>
      </c>
      <c r="AD668" s="98">
        <f t="shared" si="208"/>
        <v>0</v>
      </c>
      <c r="AE668" s="98">
        <f t="shared" si="202"/>
        <v>2440000</v>
      </c>
      <c r="AF668" s="205" t="str">
        <f t="shared" si="193"/>
        <v/>
      </c>
      <c r="AG668" s="98">
        <f t="shared" si="209"/>
        <v>3000000</v>
      </c>
      <c r="AH668" s="97"/>
      <c r="AI668" s="311"/>
      <c r="AJ668" s="98">
        <f t="shared" si="201"/>
        <v>0</v>
      </c>
      <c r="AK668" s="233"/>
      <c r="AL668" s="98">
        <f>IF(SUMIFS('Shipments data'!L:L,'Shipments data'!F:F,'Supply planning data'!C668,'Shipments data'!A:A,'Supply planning data'!A668,'Shipments data'!O:O,"received",'Shipments data'!Q:Q,"&lt;"&amp;'Supply planning data'!D683,'Shipments data'!AC:AC,"&lt;"&amp;'Supply planning data'!D683)-SUMIFS(M:M,D:D,"&lt;="&amp;D668,C:C,C668)-SUMIFS(AJ:AJ,D:D,"&lt;="&amp;D668,C:C,C668)+SUMIFS(N:N,D:D,"&lt;="&amp;D668,C:C,C668)+SUMIFS(P:P,D:D,"&lt;="&amp;D668,C:C,C668)&lt;0,0,SUMIFS('Shipments data'!L:L,'Shipments data'!F:F,'Supply planning data'!C668,'Shipments data'!A:A,'Supply planning data'!A668,'Shipments data'!O:O,"received",'Shipments data'!Q:Q,"&lt;"&amp;'Supply planning data'!D683,'Shipments data'!AC:AC,"&lt;"&amp;'Supply planning data'!D683)-SUMIFS(M:M,D:D,"&lt;="&amp;D668,C:C,C668)-SUMIFS(AJ:AJ,D:D,"&lt;="&amp;D668,C:C,C668)+SUMIFS(N:N,D:D,"&lt;="&amp;D668,C:C,C668)+SUMIFS(P:P,D:D,"&lt;="&amp;D668,C:C,C668))</f>
        <v>110538</v>
      </c>
      <c r="AM668" s="98">
        <f t="shared" si="210"/>
        <v>0</v>
      </c>
      <c r="AN668" s="98">
        <f t="shared" si="203"/>
        <v>3000000</v>
      </c>
      <c r="AO668" s="203" t="str">
        <f t="shared" si="195"/>
        <v/>
      </c>
    </row>
    <row r="669" spans="1:41" x14ac:dyDescent="0.25">
      <c r="A669" s="95" t="str">
        <f>Start!D$7</f>
        <v>Anyland</v>
      </c>
      <c r="B669" s="96" t="str">
        <f>VLOOKUP(A669,list!B:C,2,FALSE)</f>
        <v>ANY</v>
      </c>
      <c r="C669" s="90" t="str">
        <f>IF(Start!$C$21="","",Start!$C$21)</f>
        <v>Sinovac</v>
      </c>
      <c r="D669" s="296">
        <f t="shared" si="204"/>
        <v>45536</v>
      </c>
      <c r="E669" s="92" t="str">
        <f>IFERROR(VLOOKUP(C669,Start!C$15:D$31,2,FALSE),"No")</f>
        <v>No</v>
      </c>
      <c r="F669" s="92">
        <f t="shared" si="205"/>
        <v>0</v>
      </c>
      <c r="G669" s="91"/>
      <c r="H669" s="97"/>
      <c r="I669" s="97"/>
      <c r="J669" s="98">
        <f t="shared" si="197"/>
        <v>0</v>
      </c>
      <c r="K669" s="97"/>
      <c r="L669" s="175" t="str">
        <f t="shared" si="198"/>
        <v/>
      </c>
      <c r="M669" s="98">
        <f t="shared" si="199"/>
        <v>0</v>
      </c>
      <c r="N669" s="97"/>
      <c r="O669" s="122"/>
      <c r="P669" s="97"/>
      <c r="Q669" s="122"/>
      <c r="R669" s="98">
        <f>SUMIFS('Shipments data'!L:L,'Shipments data'!F:F,'Supply planning data'!C669,'Shipments data'!A:A,'Supply planning data'!A669,'Shipments data'!Y:Y,'Supply planning data'!D669,'Shipments data'!O:O,"received", 'Shipments data'!N:N, "Public")</f>
        <v>0</v>
      </c>
      <c r="S669" s="98">
        <f>SUMIFS('Shipments data'!L:L,'Shipments data'!F:F,'Supply planning data'!C669,'Shipments data'!A:A,'Supply planning data'!A669,'Shipments data'!Y:Y,'Supply planning data'!D669,'Shipments data'!O:O,"ordered", 'Shipments data'!N:N, "Public")</f>
        <v>0</v>
      </c>
      <c r="T669" s="98">
        <f>IF(SUMIFS('Shipments data'!L:L,'Shipments data'!F:F,'Supply planning data'!C669,'Shipments data'!A:A,'Supply planning data'!A669,'Shipments data'!O:O,"received",'Shipments data'!Q:Q,"&lt;"&amp;'Supply planning data'!D684,'Shipments data'!AC:AC,"&lt;"&amp;'Supply planning data'!D684)-SUMIFS(M:M,D:D,"&lt;="&amp;D669,C:C,C669)+SUMIFS(N:N,D:D,"&lt;="&amp;D669,C:C,C669)+SUMIFS(P:P,D:D,"&lt;="&amp;D669,C:C,C669)&lt;0,0,SUMIFS('Shipments data'!L:L,'Shipments data'!F:F,'Supply planning data'!C669,'Shipments data'!A:A,'Supply planning data'!A669,'Shipments data'!O:O,"received",'Shipments data'!Q:Q,"&lt;"&amp;'Supply planning data'!D684,'Shipments data'!AC:AC,"&lt;"&amp;'Supply planning data'!D684)-SUMIFS(M:M,D:D,"&lt;="&amp;D669,C:C,C669)+SUMIFS(N:N,D:D,"&lt;="&amp;D669,C:C,C669)+SUMIFS(P:P,D:D,"&lt;="&amp;D669,C:C,C669))</f>
        <v>0</v>
      </c>
      <c r="U669" s="99">
        <f t="shared" si="206"/>
        <v>0</v>
      </c>
      <c r="V669" s="98">
        <f t="shared" si="196"/>
        <v>0</v>
      </c>
      <c r="W669" s="203" t="str">
        <f t="shared" si="194"/>
        <v/>
      </c>
      <c r="X669" s="98">
        <f t="shared" si="207"/>
        <v>0</v>
      </c>
      <c r="Y669" s="97"/>
      <c r="Z669" s="93"/>
      <c r="AA669" s="98">
        <f t="shared" si="200"/>
        <v>0</v>
      </c>
      <c r="AB669" s="233"/>
      <c r="AC669" s="98">
        <f>IF(SUMIFS('Shipments data'!L:L,'Shipments data'!F:F,'Supply planning data'!C669,'Shipments data'!A:A,'Supply planning data'!A669,'Shipments data'!O:O,"received",'Shipments data'!Q:Q,"&lt;"&amp;'Supply planning data'!D684,'Shipments data'!AC:AC,"&lt;"&amp;'Supply planning data'!D684)-SUMIFS(M:M,D:D,"&lt;="&amp;D669,C:C,C669)-SUMIFS(AA:AA,D:D,"&lt;="&amp;D669,C:C,C669)+SUMIFS(N:N,D:D,"&lt;="&amp;D669,C:C,C669)+SUMIFS(P:P,D:D,"&lt;="&amp;D669,C:C,C669)&lt;0,0,SUMIFS('Shipments data'!L:L,'Shipments data'!F:F,'Supply planning data'!C669,'Shipments data'!A:A,'Supply planning data'!A669,'Shipments data'!O:O,"received",'Shipments data'!Q:Q,"&lt;"&amp;'Supply planning data'!D684,'Shipments data'!AC:AC,"&lt;"&amp;'Supply planning data'!D684)-SUMIFS(M:M,D:D,"&lt;="&amp;D669,C:C,C669)-SUMIFS(AA:AA,D:D,"&lt;="&amp;D669,C:C,C669)+SUMIFS(N:N,D:D,"&lt;="&amp;D669,C:C,C669)+SUMIFS(P:P,D:D,"&lt;="&amp;D669,C:C,C669))</f>
        <v>0</v>
      </c>
      <c r="AD669" s="98">
        <f t="shared" si="208"/>
        <v>0</v>
      </c>
      <c r="AE669" s="98">
        <f t="shared" si="202"/>
        <v>0</v>
      </c>
      <c r="AF669" s="205" t="str">
        <f t="shared" si="193"/>
        <v/>
      </c>
      <c r="AG669" s="98">
        <f t="shared" si="209"/>
        <v>0</v>
      </c>
      <c r="AH669" s="97"/>
      <c r="AI669" s="311"/>
      <c r="AJ669" s="98">
        <f t="shared" si="201"/>
        <v>0</v>
      </c>
      <c r="AK669" s="233"/>
      <c r="AL669" s="98">
        <f>IF(SUMIFS('Shipments data'!L:L,'Shipments data'!F:F,'Supply planning data'!C669,'Shipments data'!A:A,'Supply planning data'!A669,'Shipments data'!O:O,"received",'Shipments data'!Q:Q,"&lt;"&amp;'Supply planning data'!D684,'Shipments data'!AC:AC,"&lt;"&amp;'Supply planning data'!D684)-SUMIFS(M:M,D:D,"&lt;="&amp;D669,C:C,C669)-SUMIFS(AJ:AJ,D:D,"&lt;="&amp;D669,C:C,C669)+SUMIFS(N:N,D:D,"&lt;="&amp;D669,C:C,C669)+SUMIFS(P:P,D:D,"&lt;="&amp;D669,C:C,C669)&lt;0,0,SUMIFS('Shipments data'!L:L,'Shipments data'!F:F,'Supply planning data'!C669,'Shipments data'!A:A,'Supply planning data'!A669,'Shipments data'!O:O,"received",'Shipments data'!Q:Q,"&lt;"&amp;'Supply planning data'!D684,'Shipments data'!AC:AC,"&lt;"&amp;'Supply planning data'!D684)-SUMIFS(M:M,D:D,"&lt;="&amp;D669,C:C,C669)-SUMIFS(AJ:AJ,D:D,"&lt;="&amp;D669,C:C,C669)+SUMIFS(N:N,D:D,"&lt;="&amp;D669,C:C,C669)+SUMIFS(P:P,D:D,"&lt;="&amp;D669,C:C,C669))</f>
        <v>0</v>
      </c>
      <c r="AM669" s="98">
        <f t="shared" si="210"/>
        <v>0</v>
      </c>
      <c r="AN669" s="98">
        <f t="shared" si="203"/>
        <v>0</v>
      </c>
      <c r="AO669" s="203" t="str">
        <f t="shared" si="195"/>
        <v/>
      </c>
    </row>
    <row r="670" spans="1:41" hidden="1" x14ac:dyDescent="0.25">
      <c r="A670" s="95" t="str">
        <f>Start!D$7</f>
        <v>Anyland</v>
      </c>
      <c r="B670" s="96" t="str">
        <f>VLOOKUP(A670,list!B:C,2,FALSE)</f>
        <v>ANY</v>
      </c>
      <c r="C670" s="90" t="str">
        <f>IF(Start!$C$22="","",Start!$C$22)</f>
        <v/>
      </c>
      <c r="D670" s="296">
        <f t="shared" si="204"/>
        <v>45536</v>
      </c>
      <c r="E670" s="92" t="str">
        <f>IFERROR(VLOOKUP(C670,Start!C$15:D$31,2,FALSE),"No")</f>
        <v>No</v>
      </c>
      <c r="F670" s="92">
        <f t="shared" si="205"/>
        <v>0</v>
      </c>
      <c r="G670" s="91"/>
      <c r="H670" s="97"/>
      <c r="I670" s="97"/>
      <c r="J670" s="98">
        <f t="shared" si="197"/>
        <v>0</v>
      </c>
      <c r="K670" s="97"/>
      <c r="L670" s="175" t="str">
        <f t="shared" si="198"/>
        <v/>
      </c>
      <c r="M670" s="98">
        <f t="shared" si="199"/>
        <v>0</v>
      </c>
      <c r="N670" s="97"/>
      <c r="O670" s="122"/>
      <c r="P670" s="97"/>
      <c r="Q670" s="122"/>
      <c r="R670" s="98">
        <f>SUMIFS('Shipments data'!L:L,'Shipments data'!F:F,'Supply planning data'!C670,'Shipments data'!A:A,'Supply planning data'!A670,'Shipments data'!Y:Y,'Supply planning data'!D670,'Shipments data'!O:O,"received", 'Shipments data'!N:N, "Public")</f>
        <v>0</v>
      </c>
      <c r="S670" s="98">
        <f>SUMIFS('Shipments data'!L:L,'Shipments data'!F:F,'Supply planning data'!C670,'Shipments data'!A:A,'Supply planning data'!A670,'Shipments data'!Y:Y,'Supply planning data'!D670,'Shipments data'!O:O,"ordered", 'Shipments data'!N:N, "Public")</f>
        <v>0</v>
      </c>
      <c r="T670" s="98">
        <f>IF(SUMIFS('Shipments data'!L:L,'Shipments data'!F:F,'Supply planning data'!C670,'Shipments data'!A:A,'Supply planning data'!A670,'Shipments data'!O:O,"received",'Shipments data'!Q:Q,"&lt;"&amp;'Supply planning data'!D685,'Shipments data'!AC:AC,"&lt;"&amp;'Supply planning data'!D685)-SUMIFS(M:M,D:D,"&lt;="&amp;D670,C:C,C670)+SUMIFS(N:N,D:D,"&lt;="&amp;D670,C:C,C670)+SUMIFS(P:P,D:D,"&lt;="&amp;D670,C:C,C670)&lt;0,0,SUMIFS('Shipments data'!L:L,'Shipments data'!F:F,'Supply planning data'!C670,'Shipments data'!A:A,'Supply planning data'!A670,'Shipments data'!O:O,"received",'Shipments data'!Q:Q,"&lt;"&amp;'Supply planning data'!D685,'Shipments data'!AC:AC,"&lt;"&amp;'Supply planning data'!D685)-SUMIFS(M:M,D:D,"&lt;="&amp;D670,C:C,C670)+SUMIFS(N:N,D:D,"&lt;="&amp;D670,C:C,C670)+SUMIFS(P:P,D:D,"&lt;="&amp;D670,C:C,C670))</f>
        <v>0</v>
      </c>
      <c r="U670" s="99">
        <f t="shared" si="206"/>
        <v>0</v>
      </c>
      <c r="V670" s="98">
        <f t="shared" si="196"/>
        <v>0</v>
      </c>
      <c r="W670" s="203" t="str">
        <f t="shared" si="194"/>
        <v/>
      </c>
      <c r="X670" s="98">
        <f t="shared" si="207"/>
        <v>0</v>
      </c>
      <c r="Y670" s="97"/>
      <c r="Z670" s="93"/>
      <c r="AA670" s="98">
        <f t="shared" si="200"/>
        <v>0</v>
      </c>
      <c r="AB670" s="233"/>
      <c r="AC670" s="98">
        <f>IF(SUMIFS('Shipments data'!L:L,'Shipments data'!F:F,'Supply planning data'!C670,'Shipments data'!A:A,'Supply planning data'!A670,'Shipments data'!O:O,"received",'Shipments data'!Q:Q,"&lt;"&amp;'Supply planning data'!D685,'Shipments data'!AC:AC,"&lt;"&amp;'Supply planning data'!D685)-SUMIFS(M:M,D:D,"&lt;="&amp;D670,C:C,C670)-SUMIFS(AA:AA,D:D,"&lt;="&amp;D670,C:C,C670)+SUMIFS(N:N,D:D,"&lt;="&amp;D670,C:C,C670)+SUMIFS(P:P,D:D,"&lt;="&amp;D670,C:C,C670)&lt;0,0,SUMIFS('Shipments data'!L:L,'Shipments data'!F:F,'Supply planning data'!C670,'Shipments data'!A:A,'Supply planning data'!A670,'Shipments data'!O:O,"received",'Shipments data'!Q:Q,"&lt;"&amp;'Supply planning data'!D685,'Shipments data'!AC:AC,"&lt;"&amp;'Supply planning data'!D685)-SUMIFS(M:M,D:D,"&lt;="&amp;D670,C:C,C670)-SUMIFS(AA:AA,D:D,"&lt;="&amp;D670,C:C,C670)+SUMIFS(N:N,D:D,"&lt;="&amp;D670,C:C,C670)+SUMIFS(P:P,D:D,"&lt;="&amp;D670,C:C,C670))</f>
        <v>0</v>
      </c>
      <c r="AD670" s="98">
        <f t="shared" si="208"/>
        <v>0</v>
      </c>
      <c r="AE670" s="98">
        <f t="shared" si="202"/>
        <v>0</v>
      </c>
      <c r="AF670" s="205" t="str">
        <f t="shared" si="193"/>
        <v/>
      </c>
      <c r="AG670" s="98">
        <f t="shared" si="209"/>
        <v>0</v>
      </c>
      <c r="AH670" s="97"/>
      <c r="AI670" s="311"/>
      <c r="AJ670" s="98">
        <f t="shared" si="201"/>
        <v>0</v>
      </c>
      <c r="AK670" s="233"/>
      <c r="AL670" s="98">
        <f>IF(SUMIFS('Shipments data'!L:L,'Shipments data'!F:F,'Supply planning data'!C670,'Shipments data'!A:A,'Supply planning data'!A670,'Shipments data'!O:O,"received",'Shipments data'!Q:Q,"&lt;"&amp;'Supply planning data'!D685,'Shipments data'!AC:AC,"&lt;"&amp;'Supply planning data'!D685)-SUMIFS(M:M,D:D,"&lt;="&amp;D670,C:C,C670)-SUMIFS(AJ:AJ,D:D,"&lt;="&amp;D670,C:C,C670)+SUMIFS(N:N,D:D,"&lt;="&amp;D670,C:C,C670)+SUMIFS(P:P,D:D,"&lt;="&amp;D670,C:C,C670)&lt;0,0,SUMIFS('Shipments data'!L:L,'Shipments data'!F:F,'Supply planning data'!C670,'Shipments data'!A:A,'Supply planning data'!A670,'Shipments data'!O:O,"received",'Shipments data'!Q:Q,"&lt;"&amp;'Supply planning data'!D685,'Shipments data'!AC:AC,"&lt;"&amp;'Supply planning data'!D685)-SUMIFS(M:M,D:D,"&lt;="&amp;D670,C:C,C670)-SUMIFS(AJ:AJ,D:D,"&lt;="&amp;D670,C:C,C670)+SUMIFS(N:N,D:D,"&lt;="&amp;D670,C:C,C670)+SUMIFS(P:P,D:D,"&lt;="&amp;D670,C:C,C670))</f>
        <v>0</v>
      </c>
      <c r="AM670" s="98">
        <f t="shared" si="210"/>
        <v>0</v>
      </c>
      <c r="AN670" s="98">
        <f t="shared" si="203"/>
        <v>0</v>
      </c>
      <c r="AO670" s="203" t="str">
        <f t="shared" si="195"/>
        <v/>
      </c>
    </row>
    <row r="671" spans="1:41" hidden="1" x14ac:dyDescent="0.25">
      <c r="A671" s="95" t="str">
        <f>Start!D$7</f>
        <v>Anyland</v>
      </c>
      <c r="B671" s="96" t="str">
        <f>VLOOKUP(A671,list!B:C,2,FALSE)</f>
        <v>ANY</v>
      </c>
      <c r="C671" s="90" t="str">
        <f>IF(Start!$C$23="","",Start!$C$23)</f>
        <v/>
      </c>
      <c r="D671" s="296">
        <f t="shared" si="204"/>
        <v>45536</v>
      </c>
      <c r="E671" s="92" t="str">
        <f>IFERROR(VLOOKUP(C671,Start!C$15:D$31,2,FALSE),"No")</f>
        <v>No</v>
      </c>
      <c r="F671" s="92">
        <f t="shared" si="205"/>
        <v>0</v>
      </c>
      <c r="G671" s="91"/>
      <c r="H671" s="97"/>
      <c r="I671" s="97"/>
      <c r="J671" s="98">
        <f t="shared" si="197"/>
        <v>0</v>
      </c>
      <c r="K671" s="97"/>
      <c r="L671" s="175" t="str">
        <f t="shared" si="198"/>
        <v/>
      </c>
      <c r="M671" s="98">
        <f t="shared" si="199"/>
        <v>0</v>
      </c>
      <c r="N671" s="97"/>
      <c r="O671" s="122"/>
      <c r="P671" s="97"/>
      <c r="Q671" s="122"/>
      <c r="R671" s="98">
        <f>SUMIFS('Shipments data'!L:L,'Shipments data'!F:F,'Supply planning data'!C671,'Shipments data'!A:A,'Supply planning data'!A671,'Shipments data'!Y:Y,'Supply planning data'!D671,'Shipments data'!O:O,"received", 'Shipments data'!N:N, "Public")</f>
        <v>0</v>
      </c>
      <c r="S671" s="98">
        <f>SUMIFS('Shipments data'!L:L,'Shipments data'!F:F,'Supply planning data'!C671,'Shipments data'!A:A,'Supply planning data'!A671,'Shipments data'!Y:Y,'Supply planning data'!D671,'Shipments data'!O:O,"ordered", 'Shipments data'!N:N, "Public")</f>
        <v>0</v>
      </c>
      <c r="T671" s="98">
        <f>IF(SUMIFS('Shipments data'!L:L,'Shipments data'!F:F,'Supply planning data'!C671,'Shipments data'!A:A,'Supply planning data'!A671,'Shipments data'!O:O,"received",'Shipments data'!Q:Q,"&lt;"&amp;'Supply planning data'!D686,'Shipments data'!AC:AC,"&lt;"&amp;'Supply planning data'!D686)-SUMIFS(M:M,D:D,"&lt;="&amp;D671,C:C,C671)+SUMIFS(N:N,D:D,"&lt;="&amp;D671,C:C,C671)+SUMIFS(P:P,D:D,"&lt;="&amp;D671,C:C,C671)&lt;0,0,SUMIFS('Shipments data'!L:L,'Shipments data'!F:F,'Supply planning data'!C671,'Shipments data'!A:A,'Supply planning data'!A671,'Shipments data'!O:O,"received",'Shipments data'!Q:Q,"&lt;"&amp;'Supply planning data'!D686,'Shipments data'!AC:AC,"&lt;"&amp;'Supply planning data'!D686)-SUMIFS(M:M,D:D,"&lt;="&amp;D671,C:C,C671)+SUMIFS(N:N,D:D,"&lt;="&amp;D671,C:C,C671)+SUMIFS(P:P,D:D,"&lt;="&amp;D671,C:C,C671))</f>
        <v>0</v>
      </c>
      <c r="U671" s="99">
        <f t="shared" si="206"/>
        <v>0</v>
      </c>
      <c r="V671" s="98">
        <f t="shared" si="196"/>
        <v>0</v>
      </c>
      <c r="W671" s="203" t="str">
        <f t="shared" si="194"/>
        <v/>
      </c>
      <c r="X671" s="98">
        <f t="shared" si="207"/>
        <v>0</v>
      </c>
      <c r="Y671" s="97"/>
      <c r="Z671" s="93"/>
      <c r="AA671" s="98">
        <f t="shared" si="200"/>
        <v>0</v>
      </c>
      <c r="AB671" s="233"/>
      <c r="AC671" s="98">
        <f>IF(SUMIFS('Shipments data'!L:L,'Shipments data'!F:F,'Supply planning data'!C671,'Shipments data'!A:A,'Supply planning data'!A671,'Shipments data'!O:O,"received",'Shipments data'!Q:Q,"&lt;"&amp;'Supply planning data'!D686,'Shipments data'!AC:AC,"&lt;"&amp;'Supply planning data'!D686)-SUMIFS(M:M,D:D,"&lt;="&amp;D671,C:C,C671)-SUMIFS(AA:AA,D:D,"&lt;="&amp;D671,C:C,C671)+SUMIFS(N:N,D:D,"&lt;="&amp;D671,C:C,C671)+SUMIFS(P:P,D:D,"&lt;="&amp;D671,C:C,C671)&lt;0,0,SUMIFS('Shipments data'!L:L,'Shipments data'!F:F,'Supply planning data'!C671,'Shipments data'!A:A,'Supply planning data'!A671,'Shipments data'!O:O,"received",'Shipments data'!Q:Q,"&lt;"&amp;'Supply planning data'!D686,'Shipments data'!AC:AC,"&lt;"&amp;'Supply planning data'!D686)-SUMIFS(M:M,D:D,"&lt;="&amp;D671,C:C,C671)-SUMIFS(AA:AA,D:D,"&lt;="&amp;D671,C:C,C671)+SUMIFS(N:N,D:D,"&lt;="&amp;D671,C:C,C671)+SUMIFS(P:P,D:D,"&lt;="&amp;D671,C:C,C671))</f>
        <v>0</v>
      </c>
      <c r="AD671" s="98">
        <f t="shared" si="208"/>
        <v>0</v>
      </c>
      <c r="AE671" s="98">
        <f t="shared" si="202"/>
        <v>0</v>
      </c>
      <c r="AF671" s="205" t="str">
        <f t="shared" ref="AF671:AF734" si="211">IF(M671+AA671&lt;=0,"",IFERROR(AE671/(SUM(M671,M701,M686,AA671,AA701,AA686)/3),""))</f>
        <v/>
      </c>
      <c r="AG671" s="98">
        <f t="shared" si="209"/>
        <v>0</v>
      </c>
      <c r="AH671" s="97"/>
      <c r="AI671" s="311"/>
      <c r="AJ671" s="98">
        <f t="shared" si="201"/>
        <v>0</v>
      </c>
      <c r="AK671" s="233"/>
      <c r="AL671" s="98">
        <f>IF(SUMIFS('Shipments data'!L:L,'Shipments data'!F:F,'Supply planning data'!C671,'Shipments data'!A:A,'Supply planning data'!A671,'Shipments data'!O:O,"received",'Shipments data'!Q:Q,"&lt;"&amp;'Supply planning data'!D686,'Shipments data'!AC:AC,"&lt;"&amp;'Supply planning data'!D686)-SUMIFS(M:M,D:D,"&lt;="&amp;D671,C:C,C671)-SUMIFS(AJ:AJ,D:D,"&lt;="&amp;D671,C:C,C671)+SUMIFS(N:N,D:D,"&lt;="&amp;D671,C:C,C671)+SUMIFS(P:P,D:D,"&lt;="&amp;D671,C:C,C671)&lt;0,0,SUMIFS('Shipments data'!L:L,'Shipments data'!F:F,'Supply planning data'!C671,'Shipments data'!A:A,'Supply planning data'!A671,'Shipments data'!O:O,"received",'Shipments data'!Q:Q,"&lt;"&amp;'Supply planning data'!D686,'Shipments data'!AC:AC,"&lt;"&amp;'Supply planning data'!D686)-SUMIFS(M:M,D:D,"&lt;="&amp;D671,C:C,C671)-SUMIFS(AJ:AJ,D:D,"&lt;="&amp;D671,C:C,C671)+SUMIFS(N:N,D:D,"&lt;="&amp;D671,C:C,C671)+SUMIFS(P:P,D:D,"&lt;="&amp;D671,C:C,C671))</f>
        <v>0</v>
      </c>
      <c r="AM671" s="98">
        <f t="shared" si="210"/>
        <v>0</v>
      </c>
      <c r="AN671" s="98">
        <f t="shared" si="203"/>
        <v>0</v>
      </c>
      <c r="AO671" s="203" t="str">
        <f t="shared" si="195"/>
        <v/>
      </c>
    </row>
    <row r="672" spans="1:41" hidden="1" x14ac:dyDescent="0.25">
      <c r="A672" s="95" t="str">
        <f>Start!D$7</f>
        <v>Anyland</v>
      </c>
      <c r="B672" s="96" t="str">
        <f>VLOOKUP(A672,list!B:C,2,FALSE)</f>
        <v>ANY</v>
      </c>
      <c r="C672" s="90" t="str">
        <f>IF(Start!$C$24="","",Start!$C$24)</f>
        <v/>
      </c>
      <c r="D672" s="296">
        <f t="shared" si="204"/>
        <v>45536</v>
      </c>
      <c r="E672" s="92" t="str">
        <f>IFERROR(VLOOKUP(C672,Start!C$15:D$31,2,FALSE),"No")</f>
        <v>No</v>
      </c>
      <c r="F672" s="92">
        <f t="shared" si="205"/>
        <v>0</v>
      </c>
      <c r="G672" s="91"/>
      <c r="H672" s="97"/>
      <c r="I672" s="97"/>
      <c r="J672" s="98">
        <f t="shared" si="197"/>
        <v>0</v>
      </c>
      <c r="K672" s="97"/>
      <c r="L672" s="175" t="str">
        <f t="shared" si="198"/>
        <v/>
      </c>
      <c r="M672" s="98">
        <f t="shared" si="199"/>
        <v>0</v>
      </c>
      <c r="N672" s="97"/>
      <c r="O672" s="122"/>
      <c r="P672" s="97"/>
      <c r="Q672" s="122"/>
      <c r="R672" s="98">
        <f>SUMIFS('Shipments data'!L:L,'Shipments data'!F:F,'Supply planning data'!C672,'Shipments data'!A:A,'Supply planning data'!A672,'Shipments data'!Y:Y,'Supply planning data'!D672,'Shipments data'!O:O,"received", 'Shipments data'!N:N, "Public")</f>
        <v>0</v>
      </c>
      <c r="S672" s="98">
        <f>SUMIFS('Shipments data'!L:L,'Shipments data'!F:F,'Supply planning data'!C672,'Shipments data'!A:A,'Supply planning data'!A672,'Shipments data'!Y:Y,'Supply planning data'!D672,'Shipments data'!O:O,"ordered", 'Shipments data'!N:N, "Public")</f>
        <v>0</v>
      </c>
      <c r="T672" s="98">
        <f>IF(SUMIFS('Shipments data'!L:L,'Shipments data'!F:F,'Supply planning data'!C672,'Shipments data'!A:A,'Supply planning data'!A672,'Shipments data'!O:O,"received",'Shipments data'!Q:Q,"&lt;"&amp;'Supply planning data'!D687,'Shipments data'!AC:AC,"&lt;"&amp;'Supply planning data'!D687)-SUMIFS(M:M,D:D,"&lt;="&amp;D672,C:C,C672)+SUMIFS(N:N,D:D,"&lt;="&amp;D672,C:C,C672)+SUMIFS(P:P,D:D,"&lt;="&amp;D672,C:C,C672)&lt;0,0,SUMIFS('Shipments data'!L:L,'Shipments data'!F:F,'Supply planning data'!C672,'Shipments data'!A:A,'Supply planning data'!A672,'Shipments data'!O:O,"received",'Shipments data'!Q:Q,"&lt;"&amp;'Supply planning data'!D687,'Shipments data'!AC:AC,"&lt;"&amp;'Supply planning data'!D687)-SUMIFS(M:M,D:D,"&lt;="&amp;D672,C:C,C672)+SUMIFS(N:N,D:D,"&lt;="&amp;D672,C:C,C672)+SUMIFS(P:P,D:D,"&lt;="&amp;D672,C:C,C672))</f>
        <v>0</v>
      </c>
      <c r="U672" s="99">
        <f t="shared" si="206"/>
        <v>0</v>
      </c>
      <c r="V672" s="98">
        <f t="shared" si="196"/>
        <v>0</v>
      </c>
      <c r="W672" s="203" t="str">
        <f t="shared" si="194"/>
        <v/>
      </c>
      <c r="X672" s="98">
        <f t="shared" si="207"/>
        <v>0</v>
      </c>
      <c r="Y672" s="97"/>
      <c r="Z672" s="93"/>
      <c r="AA672" s="98">
        <f t="shared" si="200"/>
        <v>0</v>
      </c>
      <c r="AB672" s="233"/>
      <c r="AC672" s="98">
        <f>IF(SUMIFS('Shipments data'!L:L,'Shipments data'!F:F,'Supply planning data'!C672,'Shipments data'!A:A,'Supply planning data'!A672,'Shipments data'!O:O,"received",'Shipments data'!Q:Q,"&lt;"&amp;'Supply planning data'!D687,'Shipments data'!AC:AC,"&lt;"&amp;'Supply planning data'!D687)-SUMIFS(M:M,D:D,"&lt;="&amp;D672,C:C,C672)-SUMIFS(AA:AA,D:D,"&lt;="&amp;D672,C:C,C672)+SUMIFS(N:N,D:D,"&lt;="&amp;D672,C:C,C672)+SUMIFS(P:P,D:D,"&lt;="&amp;D672,C:C,C672)&lt;0,0,SUMIFS('Shipments data'!L:L,'Shipments data'!F:F,'Supply planning data'!C672,'Shipments data'!A:A,'Supply planning data'!A672,'Shipments data'!O:O,"received",'Shipments data'!Q:Q,"&lt;"&amp;'Supply planning data'!D687,'Shipments data'!AC:AC,"&lt;"&amp;'Supply planning data'!D687)-SUMIFS(M:M,D:D,"&lt;="&amp;D672,C:C,C672)-SUMIFS(AA:AA,D:D,"&lt;="&amp;D672,C:C,C672)+SUMIFS(N:N,D:D,"&lt;="&amp;D672,C:C,C672)+SUMIFS(P:P,D:D,"&lt;="&amp;D672,C:C,C672))</f>
        <v>0</v>
      </c>
      <c r="AD672" s="98">
        <f t="shared" si="208"/>
        <v>0</v>
      </c>
      <c r="AE672" s="98">
        <f t="shared" si="202"/>
        <v>0</v>
      </c>
      <c r="AF672" s="205" t="str">
        <f t="shared" si="211"/>
        <v/>
      </c>
      <c r="AG672" s="98">
        <f t="shared" si="209"/>
        <v>0</v>
      </c>
      <c r="AH672" s="97"/>
      <c r="AI672" s="311"/>
      <c r="AJ672" s="98">
        <f t="shared" si="201"/>
        <v>0</v>
      </c>
      <c r="AK672" s="233"/>
      <c r="AL672" s="98">
        <f>IF(SUMIFS('Shipments data'!L:L,'Shipments data'!F:F,'Supply planning data'!C672,'Shipments data'!A:A,'Supply planning data'!A672,'Shipments data'!O:O,"received",'Shipments data'!Q:Q,"&lt;"&amp;'Supply planning data'!D687,'Shipments data'!AC:AC,"&lt;"&amp;'Supply planning data'!D687)-SUMIFS(M:M,D:D,"&lt;="&amp;D672,C:C,C672)-SUMIFS(AJ:AJ,D:D,"&lt;="&amp;D672,C:C,C672)+SUMIFS(N:N,D:D,"&lt;="&amp;D672,C:C,C672)+SUMIFS(P:P,D:D,"&lt;="&amp;D672,C:C,C672)&lt;0,0,SUMIFS('Shipments data'!L:L,'Shipments data'!F:F,'Supply planning data'!C672,'Shipments data'!A:A,'Supply planning data'!A672,'Shipments data'!O:O,"received",'Shipments data'!Q:Q,"&lt;"&amp;'Supply planning data'!D687,'Shipments data'!AC:AC,"&lt;"&amp;'Supply planning data'!D687)-SUMIFS(M:M,D:D,"&lt;="&amp;D672,C:C,C672)-SUMIFS(AJ:AJ,D:D,"&lt;="&amp;D672,C:C,C672)+SUMIFS(N:N,D:D,"&lt;="&amp;D672,C:C,C672)+SUMIFS(P:P,D:D,"&lt;="&amp;D672,C:C,C672))</f>
        <v>0</v>
      </c>
      <c r="AM672" s="98">
        <f t="shared" si="210"/>
        <v>0</v>
      </c>
      <c r="AN672" s="98">
        <f t="shared" si="203"/>
        <v>0</v>
      </c>
      <c r="AO672" s="203" t="str">
        <f t="shared" si="195"/>
        <v/>
      </c>
    </row>
    <row r="673" spans="1:41" hidden="1" x14ac:dyDescent="0.25">
      <c r="A673" s="95" t="str">
        <f>Start!D$7</f>
        <v>Anyland</v>
      </c>
      <c r="B673" s="96" t="str">
        <f>VLOOKUP(A673,list!B:C,2,FALSE)</f>
        <v>ANY</v>
      </c>
      <c r="C673" s="90" t="str">
        <f>IF(Start!$C$25="","",Start!$C$25)</f>
        <v/>
      </c>
      <c r="D673" s="296">
        <f t="shared" si="204"/>
        <v>45536</v>
      </c>
      <c r="E673" s="92" t="str">
        <f>IFERROR(VLOOKUP(C673,Start!C$15:D$31,2,FALSE),"No")</f>
        <v>No</v>
      </c>
      <c r="F673" s="92">
        <f t="shared" si="205"/>
        <v>0</v>
      </c>
      <c r="G673" s="91"/>
      <c r="H673" s="97"/>
      <c r="I673" s="97"/>
      <c r="J673" s="98">
        <f t="shared" si="197"/>
        <v>0</v>
      </c>
      <c r="K673" s="97"/>
      <c r="L673" s="175" t="str">
        <f t="shared" si="198"/>
        <v/>
      </c>
      <c r="M673" s="98">
        <f t="shared" si="199"/>
        <v>0</v>
      </c>
      <c r="N673" s="97"/>
      <c r="O673" s="122"/>
      <c r="P673" s="97"/>
      <c r="Q673" s="122"/>
      <c r="R673" s="98">
        <f>SUMIFS('Shipments data'!L:L,'Shipments data'!F:F,'Supply planning data'!C673,'Shipments data'!A:A,'Supply planning data'!A673,'Shipments data'!Y:Y,'Supply planning data'!D673,'Shipments data'!O:O,"received", 'Shipments data'!N:N, "Public")</f>
        <v>0</v>
      </c>
      <c r="S673" s="98">
        <f>SUMIFS('Shipments data'!L:L,'Shipments data'!F:F,'Supply planning data'!C673,'Shipments data'!A:A,'Supply planning data'!A673,'Shipments data'!Y:Y,'Supply planning data'!D673,'Shipments data'!O:O,"ordered", 'Shipments data'!N:N, "Public")</f>
        <v>0</v>
      </c>
      <c r="T673" s="98">
        <f>IF(SUMIFS('Shipments data'!L:L,'Shipments data'!F:F,'Supply planning data'!C673,'Shipments data'!A:A,'Supply planning data'!A673,'Shipments data'!O:O,"received",'Shipments data'!Q:Q,"&lt;"&amp;'Supply planning data'!D688,'Shipments data'!AC:AC,"&lt;"&amp;'Supply planning data'!D688)-SUMIFS(M:M,D:D,"&lt;="&amp;D673,C:C,C673)+SUMIFS(N:N,D:D,"&lt;="&amp;D673,C:C,C673)+SUMIFS(P:P,D:D,"&lt;="&amp;D673,C:C,C673)&lt;0,0,SUMIFS('Shipments data'!L:L,'Shipments data'!F:F,'Supply planning data'!C673,'Shipments data'!A:A,'Supply planning data'!A673,'Shipments data'!O:O,"received",'Shipments data'!Q:Q,"&lt;"&amp;'Supply planning data'!D688,'Shipments data'!AC:AC,"&lt;"&amp;'Supply planning data'!D688)-SUMIFS(M:M,D:D,"&lt;="&amp;D673,C:C,C673)+SUMIFS(N:N,D:D,"&lt;="&amp;D673,C:C,C673)+SUMIFS(P:P,D:D,"&lt;="&amp;D673,C:C,C673))</f>
        <v>0</v>
      </c>
      <c r="U673" s="99">
        <f t="shared" si="206"/>
        <v>0</v>
      </c>
      <c r="V673" s="98">
        <f t="shared" si="196"/>
        <v>0</v>
      </c>
      <c r="W673" s="203" t="str">
        <f t="shared" si="194"/>
        <v/>
      </c>
      <c r="X673" s="98">
        <f t="shared" si="207"/>
        <v>0</v>
      </c>
      <c r="Y673" s="97"/>
      <c r="Z673" s="93"/>
      <c r="AA673" s="98">
        <f t="shared" si="200"/>
        <v>0</v>
      </c>
      <c r="AB673" s="233"/>
      <c r="AC673" s="98">
        <f>IF(SUMIFS('Shipments data'!L:L,'Shipments data'!F:F,'Supply planning data'!C673,'Shipments data'!A:A,'Supply planning data'!A673,'Shipments data'!O:O,"received",'Shipments data'!Q:Q,"&lt;"&amp;'Supply planning data'!D688,'Shipments data'!AC:AC,"&lt;"&amp;'Supply planning data'!D688)-SUMIFS(M:M,D:D,"&lt;="&amp;D673,C:C,C673)-SUMIFS(AA:AA,D:D,"&lt;="&amp;D673,C:C,C673)+SUMIFS(N:N,D:D,"&lt;="&amp;D673,C:C,C673)+SUMIFS(P:P,D:D,"&lt;="&amp;D673,C:C,C673)&lt;0,0,SUMIFS('Shipments data'!L:L,'Shipments data'!F:F,'Supply planning data'!C673,'Shipments data'!A:A,'Supply planning data'!A673,'Shipments data'!O:O,"received",'Shipments data'!Q:Q,"&lt;"&amp;'Supply planning data'!D688,'Shipments data'!AC:AC,"&lt;"&amp;'Supply planning data'!D688)-SUMIFS(M:M,D:D,"&lt;="&amp;D673,C:C,C673)-SUMIFS(AA:AA,D:D,"&lt;="&amp;D673,C:C,C673)+SUMIFS(N:N,D:D,"&lt;="&amp;D673,C:C,C673)+SUMIFS(P:P,D:D,"&lt;="&amp;D673,C:C,C673))</f>
        <v>0</v>
      </c>
      <c r="AD673" s="98">
        <f t="shared" si="208"/>
        <v>0</v>
      </c>
      <c r="AE673" s="98">
        <f t="shared" si="202"/>
        <v>0</v>
      </c>
      <c r="AF673" s="205" t="str">
        <f t="shared" si="211"/>
        <v/>
      </c>
      <c r="AG673" s="98">
        <f t="shared" si="209"/>
        <v>0</v>
      </c>
      <c r="AH673" s="97"/>
      <c r="AI673" s="311"/>
      <c r="AJ673" s="98">
        <f t="shared" si="201"/>
        <v>0</v>
      </c>
      <c r="AK673" s="233"/>
      <c r="AL673" s="98">
        <f>IF(SUMIFS('Shipments data'!L:L,'Shipments data'!F:F,'Supply planning data'!C673,'Shipments data'!A:A,'Supply planning data'!A673,'Shipments data'!O:O,"received",'Shipments data'!Q:Q,"&lt;"&amp;'Supply planning data'!D688,'Shipments data'!AC:AC,"&lt;"&amp;'Supply planning data'!D688)-SUMIFS(M:M,D:D,"&lt;="&amp;D673,C:C,C673)-SUMIFS(AJ:AJ,D:D,"&lt;="&amp;D673,C:C,C673)+SUMIFS(N:N,D:D,"&lt;="&amp;D673,C:C,C673)+SUMIFS(P:P,D:D,"&lt;="&amp;D673,C:C,C673)&lt;0,0,SUMIFS('Shipments data'!L:L,'Shipments data'!F:F,'Supply planning data'!C673,'Shipments data'!A:A,'Supply planning data'!A673,'Shipments data'!O:O,"received",'Shipments data'!Q:Q,"&lt;"&amp;'Supply planning data'!D688,'Shipments data'!AC:AC,"&lt;"&amp;'Supply planning data'!D688)-SUMIFS(M:M,D:D,"&lt;="&amp;D673,C:C,C673)-SUMIFS(AJ:AJ,D:D,"&lt;="&amp;D673,C:C,C673)+SUMIFS(N:N,D:D,"&lt;="&amp;D673,C:C,C673)+SUMIFS(P:P,D:D,"&lt;="&amp;D673,C:C,C673))</f>
        <v>0</v>
      </c>
      <c r="AM673" s="98">
        <f t="shared" si="210"/>
        <v>0</v>
      </c>
      <c r="AN673" s="98">
        <f t="shared" si="203"/>
        <v>0</v>
      </c>
      <c r="AO673" s="203" t="str">
        <f t="shared" si="195"/>
        <v/>
      </c>
    </row>
    <row r="674" spans="1:41" hidden="1" x14ac:dyDescent="0.25">
      <c r="A674" s="95" t="str">
        <f>Start!D$7</f>
        <v>Anyland</v>
      </c>
      <c r="B674" s="96" t="str">
        <f>VLOOKUP(A674,list!B:C,2,FALSE)</f>
        <v>ANY</v>
      </c>
      <c r="C674" s="90" t="str">
        <f>IF(Start!$C$26="","",Start!$C$26)</f>
        <v/>
      </c>
      <c r="D674" s="296">
        <f t="shared" si="204"/>
        <v>45536</v>
      </c>
      <c r="E674" s="92" t="str">
        <f>IFERROR(VLOOKUP(C674,Start!C$15:D$31,2,FALSE),"No")</f>
        <v>No</v>
      </c>
      <c r="F674" s="92">
        <f t="shared" si="205"/>
        <v>0</v>
      </c>
      <c r="G674" s="91"/>
      <c r="H674" s="97"/>
      <c r="I674" s="97"/>
      <c r="J674" s="98">
        <f t="shared" si="197"/>
        <v>0</v>
      </c>
      <c r="K674" s="97"/>
      <c r="L674" s="175" t="str">
        <f t="shared" si="198"/>
        <v/>
      </c>
      <c r="M674" s="98">
        <f t="shared" si="199"/>
        <v>0</v>
      </c>
      <c r="N674" s="97"/>
      <c r="O674" s="122"/>
      <c r="P674" s="97"/>
      <c r="Q674" s="122"/>
      <c r="R674" s="98">
        <f>SUMIFS('Shipments data'!L:L,'Shipments data'!F:F,'Supply planning data'!C674,'Shipments data'!A:A,'Supply planning data'!A674,'Shipments data'!Y:Y,'Supply planning data'!D674,'Shipments data'!O:O,"received", 'Shipments data'!N:N, "Public")</f>
        <v>0</v>
      </c>
      <c r="S674" s="98">
        <f>SUMIFS('Shipments data'!L:L,'Shipments data'!F:F,'Supply planning data'!C674,'Shipments data'!A:A,'Supply planning data'!A674,'Shipments data'!Y:Y,'Supply planning data'!D674,'Shipments data'!O:O,"ordered", 'Shipments data'!N:N, "Public")</f>
        <v>0</v>
      </c>
      <c r="T674" s="98">
        <f>IF(SUMIFS('Shipments data'!L:L,'Shipments data'!F:F,'Supply planning data'!C674,'Shipments data'!A:A,'Supply planning data'!A674,'Shipments data'!O:O,"received",'Shipments data'!Q:Q,"&lt;"&amp;'Supply planning data'!D689,'Shipments data'!AC:AC,"&lt;"&amp;'Supply planning data'!D689)-SUMIFS(M:M,D:D,"&lt;="&amp;D674,C:C,C674)+SUMIFS(N:N,D:D,"&lt;="&amp;D674,C:C,C674)+SUMIFS(P:P,D:D,"&lt;="&amp;D674,C:C,C674)&lt;0,0,SUMIFS('Shipments data'!L:L,'Shipments data'!F:F,'Supply planning data'!C674,'Shipments data'!A:A,'Supply planning data'!A674,'Shipments data'!O:O,"received",'Shipments data'!Q:Q,"&lt;"&amp;'Supply planning data'!D689,'Shipments data'!AC:AC,"&lt;"&amp;'Supply planning data'!D689)-SUMIFS(M:M,D:D,"&lt;="&amp;D674,C:C,C674)+SUMIFS(N:N,D:D,"&lt;="&amp;D674,C:C,C674)+SUMIFS(P:P,D:D,"&lt;="&amp;D674,C:C,C674))</f>
        <v>0</v>
      </c>
      <c r="U674" s="99">
        <f t="shared" si="206"/>
        <v>0</v>
      </c>
      <c r="V674" s="98">
        <f t="shared" si="196"/>
        <v>0</v>
      </c>
      <c r="W674" s="203" t="str">
        <f t="shared" si="194"/>
        <v/>
      </c>
      <c r="X674" s="98">
        <f t="shared" si="207"/>
        <v>0</v>
      </c>
      <c r="Y674" s="97"/>
      <c r="Z674" s="93"/>
      <c r="AA674" s="98">
        <f t="shared" si="200"/>
        <v>0</v>
      </c>
      <c r="AB674" s="233"/>
      <c r="AC674" s="98">
        <f>IF(SUMIFS('Shipments data'!L:L,'Shipments data'!F:F,'Supply planning data'!C674,'Shipments data'!A:A,'Supply planning data'!A674,'Shipments data'!O:O,"received",'Shipments data'!Q:Q,"&lt;"&amp;'Supply planning data'!D689,'Shipments data'!AC:AC,"&lt;"&amp;'Supply planning data'!D689)-SUMIFS(M:M,D:D,"&lt;="&amp;D674,C:C,C674)-SUMIFS(AA:AA,D:D,"&lt;="&amp;D674,C:C,C674)+SUMIFS(N:N,D:D,"&lt;="&amp;D674,C:C,C674)+SUMIFS(P:P,D:D,"&lt;="&amp;D674,C:C,C674)&lt;0,0,SUMIFS('Shipments data'!L:L,'Shipments data'!F:F,'Supply planning data'!C674,'Shipments data'!A:A,'Supply planning data'!A674,'Shipments data'!O:O,"received",'Shipments data'!Q:Q,"&lt;"&amp;'Supply planning data'!D689,'Shipments data'!AC:AC,"&lt;"&amp;'Supply planning data'!D689)-SUMIFS(M:M,D:D,"&lt;="&amp;D674,C:C,C674)-SUMIFS(AA:AA,D:D,"&lt;="&amp;D674,C:C,C674)+SUMIFS(N:N,D:D,"&lt;="&amp;D674,C:C,C674)+SUMIFS(P:P,D:D,"&lt;="&amp;D674,C:C,C674))</f>
        <v>0</v>
      </c>
      <c r="AD674" s="98">
        <f t="shared" si="208"/>
        <v>0</v>
      </c>
      <c r="AE674" s="98">
        <f t="shared" si="202"/>
        <v>0</v>
      </c>
      <c r="AF674" s="205" t="str">
        <f t="shared" si="211"/>
        <v/>
      </c>
      <c r="AG674" s="98">
        <f t="shared" si="209"/>
        <v>0</v>
      </c>
      <c r="AH674" s="97"/>
      <c r="AI674" s="311"/>
      <c r="AJ674" s="98">
        <f t="shared" si="201"/>
        <v>0</v>
      </c>
      <c r="AK674" s="233"/>
      <c r="AL674" s="98">
        <f>IF(SUMIFS('Shipments data'!L:L,'Shipments data'!F:F,'Supply planning data'!C674,'Shipments data'!A:A,'Supply planning data'!A674,'Shipments data'!O:O,"received",'Shipments data'!Q:Q,"&lt;"&amp;'Supply planning data'!D689,'Shipments data'!AC:AC,"&lt;"&amp;'Supply planning data'!D689)-SUMIFS(M:M,D:D,"&lt;="&amp;D674,C:C,C674)-SUMIFS(AJ:AJ,D:D,"&lt;="&amp;D674,C:C,C674)+SUMIFS(N:N,D:D,"&lt;="&amp;D674,C:C,C674)+SUMIFS(P:P,D:D,"&lt;="&amp;D674,C:C,C674)&lt;0,0,SUMIFS('Shipments data'!L:L,'Shipments data'!F:F,'Supply planning data'!C674,'Shipments data'!A:A,'Supply planning data'!A674,'Shipments data'!O:O,"received",'Shipments data'!Q:Q,"&lt;"&amp;'Supply planning data'!D689,'Shipments data'!AC:AC,"&lt;"&amp;'Supply planning data'!D689)-SUMIFS(M:M,D:D,"&lt;="&amp;D674,C:C,C674)-SUMIFS(AJ:AJ,D:D,"&lt;="&amp;D674,C:C,C674)+SUMIFS(N:N,D:D,"&lt;="&amp;D674,C:C,C674)+SUMIFS(P:P,D:D,"&lt;="&amp;D674,C:C,C674))</f>
        <v>0</v>
      </c>
      <c r="AM674" s="98">
        <f t="shared" si="210"/>
        <v>0</v>
      </c>
      <c r="AN674" s="98">
        <f t="shared" si="203"/>
        <v>0</v>
      </c>
      <c r="AO674" s="203" t="str">
        <f t="shared" si="195"/>
        <v/>
      </c>
    </row>
    <row r="675" spans="1:41" hidden="1" x14ac:dyDescent="0.25">
      <c r="A675" s="95" t="str">
        <f>Start!D$7</f>
        <v>Anyland</v>
      </c>
      <c r="B675" s="96" t="str">
        <f>VLOOKUP(A675,list!B:C,2,FALSE)</f>
        <v>ANY</v>
      </c>
      <c r="C675" s="90" t="str">
        <f>IF(Start!$C$27="","",Start!$C$27)</f>
        <v/>
      </c>
      <c r="D675" s="296">
        <f t="shared" si="204"/>
        <v>45536</v>
      </c>
      <c r="E675" s="92" t="str">
        <f>IFERROR(VLOOKUP(C675,Start!C$15:D$31,2,FALSE),"No")</f>
        <v>No</v>
      </c>
      <c r="F675" s="92">
        <f t="shared" si="205"/>
        <v>0</v>
      </c>
      <c r="G675" s="91"/>
      <c r="H675" s="97"/>
      <c r="I675" s="97"/>
      <c r="J675" s="98">
        <f t="shared" si="197"/>
        <v>0</v>
      </c>
      <c r="K675" s="97"/>
      <c r="L675" s="175" t="str">
        <f t="shared" si="198"/>
        <v/>
      </c>
      <c r="M675" s="98">
        <f t="shared" si="199"/>
        <v>0</v>
      </c>
      <c r="N675" s="97"/>
      <c r="O675" s="122"/>
      <c r="P675" s="97"/>
      <c r="Q675" s="122"/>
      <c r="R675" s="98">
        <f>SUMIFS('Shipments data'!L:L,'Shipments data'!F:F,'Supply planning data'!C675,'Shipments data'!A:A,'Supply planning data'!A675,'Shipments data'!Y:Y,'Supply planning data'!D675,'Shipments data'!O:O,"received", 'Shipments data'!N:N, "Public")</f>
        <v>0</v>
      </c>
      <c r="S675" s="98">
        <f>SUMIFS('Shipments data'!L:L,'Shipments data'!F:F,'Supply planning data'!C675,'Shipments data'!A:A,'Supply planning data'!A675,'Shipments data'!Y:Y,'Supply planning data'!D675,'Shipments data'!O:O,"ordered", 'Shipments data'!N:N, "Public")</f>
        <v>0</v>
      </c>
      <c r="T675" s="98">
        <f>IF(SUMIFS('Shipments data'!L:L,'Shipments data'!F:F,'Supply planning data'!C675,'Shipments data'!A:A,'Supply planning data'!A675,'Shipments data'!O:O,"received",'Shipments data'!Q:Q,"&lt;"&amp;'Supply planning data'!D690,'Shipments data'!AC:AC,"&lt;"&amp;'Supply planning data'!D690)-SUMIFS(M:M,D:D,"&lt;="&amp;D675,C:C,C675)+SUMIFS(N:N,D:D,"&lt;="&amp;D675,C:C,C675)+SUMIFS(P:P,D:D,"&lt;="&amp;D675,C:C,C675)&lt;0,0,SUMIFS('Shipments data'!L:L,'Shipments data'!F:F,'Supply planning data'!C675,'Shipments data'!A:A,'Supply planning data'!A675,'Shipments data'!O:O,"received",'Shipments data'!Q:Q,"&lt;"&amp;'Supply planning data'!D690,'Shipments data'!AC:AC,"&lt;"&amp;'Supply planning data'!D690)-SUMIFS(M:M,D:D,"&lt;="&amp;D675,C:C,C675)+SUMIFS(N:N,D:D,"&lt;="&amp;D675,C:C,C675)+SUMIFS(P:P,D:D,"&lt;="&amp;D675,C:C,C675))</f>
        <v>0</v>
      </c>
      <c r="U675" s="99">
        <f t="shared" si="206"/>
        <v>0</v>
      </c>
      <c r="V675" s="98">
        <f t="shared" si="196"/>
        <v>0</v>
      </c>
      <c r="W675" s="203" t="str">
        <f t="shared" si="194"/>
        <v/>
      </c>
      <c r="X675" s="98">
        <f t="shared" si="207"/>
        <v>0</v>
      </c>
      <c r="Y675" s="97"/>
      <c r="Z675" s="93"/>
      <c r="AA675" s="98">
        <f t="shared" si="200"/>
        <v>0</v>
      </c>
      <c r="AB675" s="233"/>
      <c r="AC675" s="98">
        <f>IF(SUMIFS('Shipments data'!L:L,'Shipments data'!F:F,'Supply planning data'!C675,'Shipments data'!A:A,'Supply planning data'!A675,'Shipments data'!O:O,"received",'Shipments data'!Q:Q,"&lt;"&amp;'Supply planning data'!D690,'Shipments data'!AC:AC,"&lt;"&amp;'Supply planning data'!D690)-SUMIFS(M:M,D:D,"&lt;="&amp;D675,C:C,C675)-SUMIFS(AA:AA,D:D,"&lt;="&amp;D675,C:C,C675)+SUMIFS(N:N,D:D,"&lt;="&amp;D675,C:C,C675)+SUMIFS(P:P,D:D,"&lt;="&amp;D675,C:C,C675)&lt;0,0,SUMIFS('Shipments data'!L:L,'Shipments data'!F:F,'Supply planning data'!C675,'Shipments data'!A:A,'Supply planning data'!A675,'Shipments data'!O:O,"received",'Shipments data'!Q:Q,"&lt;"&amp;'Supply planning data'!D690,'Shipments data'!AC:AC,"&lt;"&amp;'Supply planning data'!D690)-SUMIFS(M:M,D:D,"&lt;="&amp;D675,C:C,C675)-SUMIFS(AA:AA,D:D,"&lt;="&amp;D675,C:C,C675)+SUMIFS(N:N,D:D,"&lt;="&amp;D675,C:C,C675)+SUMIFS(P:P,D:D,"&lt;="&amp;D675,C:C,C675))</f>
        <v>0</v>
      </c>
      <c r="AD675" s="98">
        <f t="shared" si="208"/>
        <v>0</v>
      </c>
      <c r="AE675" s="98">
        <f t="shared" si="202"/>
        <v>0</v>
      </c>
      <c r="AF675" s="205" t="str">
        <f t="shared" si="211"/>
        <v/>
      </c>
      <c r="AG675" s="98">
        <f t="shared" si="209"/>
        <v>0</v>
      </c>
      <c r="AH675" s="97"/>
      <c r="AI675" s="311"/>
      <c r="AJ675" s="98">
        <f t="shared" si="201"/>
        <v>0</v>
      </c>
      <c r="AK675" s="233"/>
      <c r="AL675" s="98">
        <f>IF(SUMIFS('Shipments data'!L:L,'Shipments data'!F:F,'Supply planning data'!C675,'Shipments data'!A:A,'Supply planning data'!A675,'Shipments data'!O:O,"received",'Shipments data'!Q:Q,"&lt;"&amp;'Supply planning data'!D690,'Shipments data'!AC:AC,"&lt;"&amp;'Supply planning data'!D690)-SUMIFS(M:M,D:D,"&lt;="&amp;D675,C:C,C675)-SUMIFS(AJ:AJ,D:D,"&lt;="&amp;D675,C:C,C675)+SUMIFS(N:N,D:D,"&lt;="&amp;D675,C:C,C675)+SUMIFS(P:P,D:D,"&lt;="&amp;D675,C:C,C675)&lt;0,0,SUMIFS('Shipments data'!L:L,'Shipments data'!F:F,'Supply planning data'!C675,'Shipments data'!A:A,'Supply planning data'!A675,'Shipments data'!O:O,"received",'Shipments data'!Q:Q,"&lt;"&amp;'Supply planning data'!D690,'Shipments data'!AC:AC,"&lt;"&amp;'Supply planning data'!D690)-SUMIFS(M:M,D:D,"&lt;="&amp;D675,C:C,C675)-SUMIFS(AJ:AJ,D:D,"&lt;="&amp;D675,C:C,C675)+SUMIFS(N:N,D:D,"&lt;="&amp;D675,C:C,C675)+SUMIFS(P:P,D:D,"&lt;="&amp;D675,C:C,C675))</f>
        <v>0</v>
      </c>
      <c r="AM675" s="98">
        <f t="shared" si="210"/>
        <v>0</v>
      </c>
      <c r="AN675" s="98">
        <f t="shared" si="203"/>
        <v>0</v>
      </c>
      <c r="AO675" s="203" t="str">
        <f t="shared" si="195"/>
        <v/>
      </c>
    </row>
    <row r="676" spans="1:41" hidden="1" x14ac:dyDescent="0.25">
      <c r="A676" s="95" t="str">
        <f>Start!D$7</f>
        <v>Anyland</v>
      </c>
      <c r="B676" s="96" t="str">
        <f>VLOOKUP(A676,list!B:C,2,FALSE)</f>
        <v>ANY</v>
      </c>
      <c r="C676" s="90" t="str">
        <f>IF(Start!$C$28="","",Start!$C$28)</f>
        <v/>
      </c>
      <c r="D676" s="296">
        <f t="shared" si="204"/>
        <v>45536</v>
      </c>
      <c r="E676" s="92" t="str">
        <f>IFERROR(VLOOKUP(C676,Start!C$15:D$31,2,FALSE),"No")</f>
        <v>No</v>
      </c>
      <c r="F676" s="92">
        <f t="shared" si="205"/>
        <v>0</v>
      </c>
      <c r="G676" s="91"/>
      <c r="H676" s="97"/>
      <c r="I676" s="97"/>
      <c r="J676" s="98">
        <f t="shared" si="197"/>
        <v>0</v>
      </c>
      <c r="K676" s="97"/>
      <c r="L676" s="175" t="str">
        <f t="shared" si="198"/>
        <v/>
      </c>
      <c r="M676" s="98">
        <f t="shared" si="199"/>
        <v>0</v>
      </c>
      <c r="N676" s="97"/>
      <c r="O676" s="122"/>
      <c r="P676" s="97"/>
      <c r="Q676" s="122"/>
      <c r="R676" s="98">
        <f>SUMIFS('Shipments data'!L:L,'Shipments data'!F:F,'Supply planning data'!C676,'Shipments data'!A:A,'Supply planning data'!A676,'Shipments data'!Y:Y,'Supply planning data'!D676,'Shipments data'!O:O,"received", 'Shipments data'!N:N, "Public")</f>
        <v>0</v>
      </c>
      <c r="S676" s="98">
        <f>SUMIFS('Shipments data'!L:L,'Shipments data'!F:F,'Supply planning data'!C676,'Shipments data'!A:A,'Supply planning data'!A676,'Shipments data'!Y:Y,'Supply planning data'!D676,'Shipments data'!O:O,"ordered", 'Shipments data'!N:N, "Public")</f>
        <v>0</v>
      </c>
      <c r="T676" s="98">
        <f>IF(SUMIFS('Shipments data'!L:L,'Shipments data'!F:F,'Supply planning data'!C676,'Shipments data'!A:A,'Supply planning data'!A676,'Shipments data'!O:O,"received",'Shipments data'!Q:Q,"&lt;"&amp;'Supply planning data'!D691,'Shipments data'!AC:AC,"&lt;"&amp;'Supply planning data'!D691)-SUMIFS(M:M,D:D,"&lt;="&amp;D676,C:C,C676)+SUMIFS(N:N,D:D,"&lt;="&amp;D676,C:C,C676)+SUMIFS(P:P,D:D,"&lt;="&amp;D676,C:C,C676)&lt;0,0,SUMIFS('Shipments data'!L:L,'Shipments data'!F:F,'Supply planning data'!C676,'Shipments data'!A:A,'Supply planning data'!A676,'Shipments data'!O:O,"received",'Shipments data'!Q:Q,"&lt;"&amp;'Supply planning data'!D691,'Shipments data'!AC:AC,"&lt;"&amp;'Supply planning data'!D691)-SUMIFS(M:M,D:D,"&lt;="&amp;D676,C:C,C676)+SUMIFS(N:N,D:D,"&lt;="&amp;D676,C:C,C676)+SUMIFS(P:P,D:D,"&lt;="&amp;D676,C:C,C676))</f>
        <v>0</v>
      </c>
      <c r="U676" s="99">
        <f t="shared" si="206"/>
        <v>0</v>
      </c>
      <c r="V676" s="98">
        <f t="shared" si="196"/>
        <v>0</v>
      </c>
      <c r="W676" s="203" t="str">
        <f t="shared" ref="W676:W739" si="212">IF(M676&lt;=0,"",IFERROR(V676/(SUM(M676,M661,M646)/3),""))</f>
        <v/>
      </c>
      <c r="X676" s="98">
        <f t="shared" si="207"/>
        <v>0</v>
      </c>
      <c r="Y676" s="97"/>
      <c r="Z676" s="93"/>
      <c r="AA676" s="98">
        <f t="shared" si="200"/>
        <v>0</v>
      </c>
      <c r="AB676" s="233"/>
      <c r="AC676" s="98">
        <f>IF(SUMIFS('Shipments data'!L:L,'Shipments data'!F:F,'Supply planning data'!C676,'Shipments data'!A:A,'Supply planning data'!A676,'Shipments data'!O:O,"received",'Shipments data'!Q:Q,"&lt;"&amp;'Supply planning data'!D691,'Shipments data'!AC:AC,"&lt;"&amp;'Supply planning data'!D691)-SUMIFS(M:M,D:D,"&lt;="&amp;D676,C:C,C676)-SUMIFS(AA:AA,D:D,"&lt;="&amp;D676,C:C,C676)+SUMIFS(N:N,D:D,"&lt;="&amp;D676,C:C,C676)+SUMIFS(P:P,D:D,"&lt;="&amp;D676,C:C,C676)&lt;0,0,SUMIFS('Shipments data'!L:L,'Shipments data'!F:F,'Supply planning data'!C676,'Shipments data'!A:A,'Supply planning data'!A676,'Shipments data'!O:O,"received",'Shipments data'!Q:Q,"&lt;"&amp;'Supply planning data'!D691,'Shipments data'!AC:AC,"&lt;"&amp;'Supply planning data'!D691)-SUMIFS(M:M,D:D,"&lt;="&amp;D676,C:C,C676)-SUMIFS(AA:AA,D:D,"&lt;="&amp;D676,C:C,C676)+SUMIFS(N:N,D:D,"&lt;="&amp;D676,C:C,C676)+SUMIFS(P:P,D:D,"&lt;="&amp;D676,C:C,C676))</f>
        <v>0</v>
      </c>
      <c r="AD676" s="98">
        <f t="shared" si="208"/>
        <v>0</v>
      </c>
      <c r="AE676" s="98">
        <f t="shared" si="202"/>
        <v>0</v>
      </c>
      <c r="AF676" s="205" t="str">
        <f t="shared" si="211"/>
        <v/>
      </c>
      <c r="AG676" s="98">
        <f t="shared" si="209"/>
        <v>0</v>
      </c>
      <c r="AH676" s="97"/>
      <c r="AI676" s="311"/>
      <c r="AJ676" s="98">
        <f t="shared" si="201"/>
        <v>0</v>
      </c>
      <c r="AK676" s="233"/>
      <c r="AL676" s="98">
        <f>IF(SUMIFS('Shipments data'!L:L,'Shipments data'!F:F,'Supply planning data'!C676,'Shipments data'!A:A,'Supply planning data'!A676,'Shipments data'!O:O,"received",'Shipments data'!Q:Q,"&lt;"&amp;'Supply planning data'!D691,'Shipments data'!AC:AC,"&lt;"&amp;'Supply planning data'!D691)-SUMIFS(M:M,D:D,"&lt;="&amp;D676,C:C,C676)-SUMIFS(AJ:AJ,D:D,"&lt;="&amp;D676,C:C,C676)+SUMIFS(N:N,D:D,"&lt;="&amp;D676,C:C,C676)+SUMIFS(P:P,D:D,"&lt;="&amp;D676,C:C,C676)&lt;0,0,SUMIFS('Shipments data'!L:L,'Shipments data'!F:F,'Supply planning data'!C676,'Shipments data'!A:A,'Supply planning data'!A676,'Shipments data'!O:O,"received",'Shipments data'!Q:Q,"&lt;"&amp;'Supply planning data'!D691,'Shipments data'!AC:AC,"&lt;"&amp;'Supply planning data'!D691)-SUMIFS(M:M,D:D,"&lt;="&amp;D676,C:C,C676)-SUMIFS(AJ:AJ,D:D,"&lt;="&amp;D676,C:C,C676)+SUMIFS(N:N,D:D,"&lt;="&amp;D676,C:C,C676)+SUMIFS(P:P,D:D,"&lt;="&amp;D676,C:C,C676))</f>
        <v>0</v>
      </c>
      <c r="AM676" s="98">
        <f t="shared" si="210"/>
        <v>0</v>
      </c>
      <c r="AN676" s="98">
        <f t="shared" si="203"/>
        <v>0</v>
      </c>
      <c r="AO676" s="203" t="str">
        <f t="shared" ref="AO676:AO739" si="213">IF(M676+AJ676&lt;=0,"",IFERROR(AN676/(SUM(M676,M706,M691,AJ676,AJ706,AJ691)/3),""))</f>
        <v/>
      </c>
    </row>
    <row r="677" spans="1:41" hidden="1" x14ac:dyDescent="0.25">
      <c r="A677" s="95" t="str">
        <f>Start!D$7</f>
        <v>Anyland</v>
      </c>
      <c r="B677" s="96" t="str">
        <f>VLOOKUP(A677,list!B:C,2,FALSE)</f>
        <v>ANY</v>
      </c>
      <c r="C677" s="90" t="str">
        <f>IF(Start!$C$29="","",Start!$C$29)</f>
        <v/>
      </c>
      <c r="D677" s="296">
        <f t="shared" si="204"/>
        <v>45536</v>
      </c>
      <c r="E677" s="92" t="str">
        <f>IFERROR(VLOOKUP(C677,Start!C$15:D$31,2,FALSE),"No")</f>
        <v>No</v>
      </c>
      <c r="F677" s="92">
        <f t="shared" si="205"/>
        <v>0</v>
      </c>
      <c r="G677" s="91"/>
      <c r="H677" s="97"/>
      <c r="I677" s="97"/>
      <c r="J677" s="98">
        <f t="shared" si="197"/>
        <v>0</v>
      </c>
      <c r="K677" s="97"/>
      <c r="L677" s="175" t="str">
        <f t="shared" si="198"/>
        <v/>
      </c>
      <c r="M677" s="98">
        <f t="shared" si="199"/>
        <v>0</v>
      </c>
      <c r="N677" s="97"/>
      <c r="O677" s="122"/>
      <c r="P677" s="97"/>
      <c r="Q677" s="122"/>
      <c r="R677" s="98">
        <f>SUMIFS('Shipments data'!L:L,'Shipments data'!F:F,'Supply planning data'!C677,'Shipments data'!A:A,'Supply planning data'!A677,'Shipments data'!Y:Y,'Supply planning data'!D677,'Shipments data'!O:O,"received", 'Shipments data'!N:N, "Public")</f>
        <v>0</v>
      </c>
      <c r="S677" s="98">
        <f>SUMIFS('Shipments data'!L:L,'Shipments data'!F:F,'Supply planning data'!C677,'Shipments data'!A:A,'Supply planning data'!A677,'Shipments data'!Y:Y,'Supply planning data'!D677,'Shipments data'!O:O,"ordered", 'Shipments data'!N:N, "Public")</f>
        <v>0</v>
      </c>
      <c r="T677" s="98">
        <f>IF(SUMIFS('Shipments data'!L:L,'Shipments data'!F:F,'Supply planning data'!C677,'Shipments data'!A:A,'Supply planning data'!A677,'Shipments data'!O:O,"received",'Shipments data'!Q:Q,"&lt;"&amp;'Supply planning data'!D692,'Shipments data'!AC:AC,"&lt;"&amp;'Supply planning data'!D692)-SUMIFS(M:M,D:D,"&lt;="&amp;D677,C:C,C677)+SUMIFS(N:N,D:D,"&lt;="&amp;D677,C:C,C677)+SUMIFS(P:P,D:D,"&lt;="&amp;D677,C:C,C677)&lt;0,0,SUMIFS('Shipments data'!L:L,'Shipments data'!F:F,'Supply planning data'!C677,'Shipments data'!A:A,'Supply planning data'!A677,'Shipments data'!O:O,"received",'Shipments data'!Q:Q,"&lt;"&amp;'Supply planning data'!D692,'Shipments data'!AC:AC,"&lt;"&amp;'Supply planning data'!D692)-SUMIFS(M:M,D:D,"&lt;="&amp;D677,C:C,C677)+SUMIFS(N:N,D:D,"&lt;="&amp;D677,C:C,C677)+SUMIFS(P:P,D:D,"&lt;="&amp;D677,C:C,C677))</f>
        <v>0</v>
      </c>
      <c r="U677" s="99">
        <f t="shared" si="206"/>
        <v>0</v>
      </c>
      <c r="V677" s="98">
        <f t="shared" si="196"/>
        <v>0</v>
      </c>
      <c r="W677" s="203" t="str">
        <f t="shared" si="212"/>
        <v/>
      </c>
      <c r="X677" s="98">
        <f t="shared" si="207"/>
        <v>0</v>
      </c>
      <c r="Y677" s="97"/>
      <c r="Z677" s="93"/>
      <c r="AA677" s="98">
        <f t="shared" si="200"/>
        <v>0</v>
      </c>
      <c r="AB677" s="233"/>
      <c r="AC677" s="98">
        <f>IF(SUMIFS('Shipments data'!L:L,'Shipments data'!F:F,'Supply planning data'!C677,'Shipments data'!A:A,'Supply planning data'!A677,'Shipments data'!O:O,"received",'Shipments data'!Q:Q,"&lt;"&amp;'Supply planning data'!D692,'Shipments data'!AC:AC,"&lt;"&amp;'Supply planning data'!D692)-SUMIFS(M:M,D:D,"&lt;="&amp;D677,C:C,C677)-SUMIFS(AA:AA,D:D,"&lt;="&amp;D677,C:C,C677)+SUMIFS(N:N,D:D,"&lt;="&amp;D677,C:C,C677)+SUMIFS(P:P,D:D,"&lt;="&amp;D677,C:C,C677)&lt;0,0,SUMIFS('Shipments data'!L:L,'Shipments data'!F:F,'Supply planning data'!C677,'Shipments data'!A:A,'Supply planning data'!A677,'Shipments data'!O:O,"received",'Shipments data'!Q:Q,"&lt;"&amp;'Supply planning data'!D692,'Shipments data'!AC:AC,"&lt;"&amp;'Supply planning data'!D692)-SUMIFS(M:M,D:D,"&lt;="&amp;D677,C:C,C677)-SUMIFS(AA:AA,D:D,"&lt;="&amp;D677,C:C,C677)+SUMIFS(N:N,D:D,"&lt;="&amp;D677,C:C,C677)+SUMIFS(P:P,D:D,"&lt;="&amp;D677,C:C,C677))</f>
        <v>0</v>
      </c>
      <c r="AD677" s="98">
        <f t="shared" si="208"/>
        <v>0</v>
      </c>
      <c r="AE677" s="98">
        <f t="shared" si="202"/>
        <v>0</v>
      </c>
      <c r="AF677" s="205" t="str">
        <f t="shared" si="211"/>
        <v/>
      </c>
      <c r="AG677" s="98">
        <f t="shared" si="209"/>
        <v>0</v>
      </c>
      <c r="AH677" s="97"/>
      <c r="AI677" s="311"/>
      <c r="AJ677" s="98">
        <f t="shared" si="201"/>
        <v>0</v>
      </c>
      <c r="AK677" s="233"/>
      <c r="AL677" s="98">
        <f>IF(SUMIFS('Shipments data'!L:L,'Shipments data'!F:F,'Supply planning data'!C677,'Shipments data'!A:A,'Supply planning data'!A677,'Shipments data'!O:O,"received",'Shipments data'!Q:Q,"&lt;"&amp;'Supply planning data'!D692,'Shipments data'!AC:AC,"&lt;"&amp;'Supply planning data'!D692)-SUMIFS(M:M,D:D,"&lt;="&amp;D677,C:C,C677)-SUMIFS(AJ:AJ,D:D,"&lt;="&amp;D677,C:C,C677)+SUMIFS(N:N,D:D,"&lt;="&amp;D677,C:C,C677)+SUMIFS(P:P,D:D,"&lt;="&amp;D677,C:C,C677)&lt;0,0,SUMIFS('Shipments data'!L:L,'Shipments data'!F:F,'Supply planning data'!C677,'Shipments data'!A:A,'Supply planning data'!A677,'Shipments data'!O:O,"received",'Shipments data'!Q:Q,"&lt;"&amp;'Supply planning data'!D692,'Shipments data'!AC:AC,"&lt;"&amp;'Supply planning data'!D692)-SUMIFS(M:M,D:D,"&lt;="&amp;D677,C:C,C677)-SUMIFS(AJ:AJ,D:D,"&lt;="&amp;D677,C:C,C677)+SUMIFS(N:N,D:D,"&lt;="&amp;D677,C:C,C677)+SUMIFS(P:P,D:D,"&lt;="&amp;D677,C:C,C677))</f>
        <v>0</v>
      </c>
      <c r="AM677" s="98">
        <f t="shared" si="210"/>
        <v>0</v>
      </c>
      <c r="AN677" s="98">
        <f t="shared" si="203"/>
        <v>0</v>
      </c>
      <c r="AO677" s="203" t="str">
        <f t="shared" si="213"/>
        <v/>
      </c>
    </row>
    <row r="678" spans="1:41" hidden="1" x14ac:dyDescent="0.25">
      <c r="A678" s="95" t="str">
        <f>Start!D$7</f>
        <v>Anyland</v>
      </c>
      <c r="B678" s="96" t="str">
        <f>VLOOKUP(A678,list!B:C,2,FALSE)</f>
        <v>ANY</v>
      </c>
      <c r="C678" s="90" t="str">
        <f>IF(Start!$C$30="","",Start!$C$30)</f>
        <v/>
      </c>
      <c r="D678" s="296">
        <f t="shared" si="204"/>
        <v>45536</v>
      </c>
      <c r="E678" s="92" t="str">
        <f>IFERROR(VLOOKUP(C678,Start!C$15:D$31,2,FALSE),"No")</f>
        <v>No</v>
      </c>
      <c r="F678" s="92">
        <f t="shared" si="205"/>
        <v>0</v>
      </c>
      <c r="G678" s="91"/>
      <c r="H678" s="97"/>
      <c r="I678" s="97"/>
      <c r="J678" s="98">
        <f t="shared" si="197"/>
        <v>0</v>
      </c>
      <c r="K678" s="97"/>
      <c r="L678" s="175" t="str">
        <f t="shared" si="198"/>
        <v/>
      </c>
      <c r="M678" s="98">
        <f t="shared" si="199"/>
        <v>0</v>
      </c>
      <c r="N678" s="97"/>
      <c r="O678" s="122"/>
      <c r="P678" s="97"/>
      <c r="Q678" s="122"/>
      <c r="R678" s="98">
        <f>SUMIFS('Shipments data'!L:L,'Shipments data'!F:F,'Supply planning data'!C678,'Shipments data'!A:A,'Supply planning data'!A678,'Shipments data'!Y:Y,'Supply planning data'!D678,'Shipments data'!O:O,"received", 'Shipments data'!N:N, "Public")</f>
        <v>0</v>
      </c>
      <c r="S678" s="98">
        <f>SUMIFS('Shipments data'!L:L,'Shipments data'!F:F,'Supply planning data'!C678,'Shipments data'!A:A,'Supply planning data'!A678,'Shipments data'!Y:Y,'Supply planning data'!D678,'Shipments data'!O:O,"ordered", 'Shipments data'!N:N, "Public")</f>
        <v>0</v>
      </c>
      <c r="T678" s="98">
        <f>IF(SUMIFS('Shipments data'!L:L,'Shipments data'!F:F,'Supply planning data'!C678,'Shipments data'!A:A,'Supply planning data'!A678,'Shipments data'!O:O,"received",'Shipments data'!Q:Q,"&lt;"&amp;'Supply planning data'!D693,'Shipments data'!AC:AC,"&lt;"&amp;'Supply planning data'!D693)-SUMIFS(M:M,D:D,"&lt;="&amp;D678,C:C,C678)+SUMIFS(N:N,D:D,"&lt;="&amp;D678,C:C,C678)+SUMIFS(P:P,D:D,"&lt;="&amp;D678,C:C,C678)&lt;0,0,SUMIFS('Shipments data'!L:L,'Shipments data'!F:F,'Supply planning data'!C678,'Shipments data'!A:A,'Supply planning data'!A678,'Shipments data'!O:O,"received",'Shipments data'!Q:Q,"&lt;"&amp;'Supply planning data'!D693,'Shipments data'!AC:AC,"&lt;"&amp;'Supply planning data'!D693)-SUMIFS(M:M,D:D,"&lt;="&amp;D678,C:C,C678)+SUMIFS(N:N,D:D,"&lt;="&amp;D678,C:C,C678)+SUMIFS(P:P,D:D,"&lt;="&amp;D678,C:C,C678))</f>
        <v>0</v>
      </c>
      <c r="U678" s="99">
        <f t="shared" si="206"/>
        <v>0</v>
      </c>
      <c r="V678" s="98">
        <f t="shared" si="196"/>
        <v>0</v>
      </c>
      <c r="W678" s="203" t="str">
        <f t="shared" si="212"/>
        <v/>
      </c>
      <c r="X678" s="98">
        <f t="shared" si="207"/>
        <v>0</v>
      </c>
      <c r="Y678" s="97"/>
      <c r="Z678" s="93"/>
      <c r="AA678" s="98">
        <f t="shared" si="200"/>
        <v>0</v>
      </c>
      <c r="AB678" s="233"/>
      <c r="AC678" s="98">
        <f>IF(SUMIFS('Shipments data'!L:L,'Shipments data'!F:F,'Supply planning data'!C678,'Shipments data'!A:A,'Supply planning data'!A678,'Shipments data'!O:O,"received",'Shipments data'!Q:Q,"&lt;"&amp;'Supply planning data'!D693,'Shipments data'!AC:AC,"&lt;"&amp;'Supply planning data'!D693)-SUMIFS(M:M,D:D,"&lt;="&amp;D678,C:C,C678)-SUMIFS(AA:AA,D:D,"&lt;="&amp;D678,C:C,C678)+SUMIFS(N:N,D:D,"&lt;="&amp;D678,C:C,C678)+SUMIFS(P:P,D:D,"&lt;="&amp;D678,C:C,C678)&lt;0,0,SUMIFS('Shipments data'!L:L,'Shipments data'!F:F,'Supply planning data'!C678,'Shipments data'!A:A,'Supply planning data'!A678,'Shipments data'!O:O,"received",'Shipments data'!Q:Q,"&lt;"&amp;'Supply planning data'!D693,'Shipments data'!AC:AC,"&lt;"&amp;'Supply planning data'!D693)-SUMIFS(M:M,D:D,"&lt;="&amp;D678,C:C,C678)-SUMIFS(AA:AA,D:D,"&lt;="&amp;D678,C:C,C678)+SUMIFS(N:N,D:D,"&lt;="&amp;D678,C:C,C678)+SUMIFS(P:P,D:D,"&lt;="&amp;D678,C:C,C678))</f>
        <v>0</v>
      </c>
      <c r="AD678" s="98">
        <f t="shared" si="208"/>
        <v>0</v>
      </c>
      <c r="AE678" s="98">
        <f t="shared" si="202"/>
        <v>0</v>
      </c>
      <c r="AF678" s="205" t="str">
        <f t="shared" si="211"/>
        <v/>
      </c>
      <c r="AG678" s="98">
        <f t="shared" si="209"/>
        <v>0</v>
      </c>
      <c r="AH678" s="97"/>
      <c r="AI678" s="311"/>
      <c r="AJ678" s="98">
        <f t="shared" si="201"/>
        <v>0</v>
      </c>
      <c r="AK678" s="233"/>
      <c r="AL678" s="98">
        <f>IF(SUMIFS('Shipments data'!L:L,'Shipments data'!F:F,'Supply planning data'!C678,'Shipments data'!A:A,'Supply planning data'!A678,'Shipments data'!O:O,"received",'Shipments data'!Q:Q,"&lt;"&amp;'Supply planning data'!D693,'Shipments data'!AC:AC,"&lt;"&amp;'Supply planning data'!D693)-SUMIFS(M:M,D:D,"&lt;="&amp;D678,C:C,C678)-SUMIFS(AJ:AJ,D:D,"&lt;="&amp;D678,C:C,C678)+SUMIFS(N:N,D:D,"&lt;="&amp;D678,C:C,C678)+SUMIFS(P:P,D:D,"&lt;="&amp;D678,C:C,C678)&lt;0,0,SUMIFS('Shipments data'!L:L,'Shipments data'!F:F,'Supply planning data'!C678,'Shipments data'!A:A,'Supply planning data'!A678,'Shipments data'!O:O,"received",'Shipments data'!Q:Q,"&lt;"&amp;'Supply planning data'!D693,'Shipments data'!AC:AC,"&lt;"&amp;'Supply planning data'!D693)-SUMIFS(M:M,D:D,"&lt;="&amp;D678,C:C,C678)-SUMIFS(AJ:AJ,D:D,"&lt;="&amp;D678,C:C,C678)+SUMIFS(N:N,D:D,"&lt;="&amp;D678,C:C,C678)+SUMIFS(P:P,D:D,"&lt;="&amp;D678,C:C,C678))</f>
        <v>0</v>
      </c>
      <c r="AM678" s="98">
        <f t="shared" si="210"/>
        <v>0</v>
      </c>
      <c r="AN678" s="98">
        <f t="shared" si="203"/>
        <v>0</v>
      </c>
      <c r="AO678" s="203" t="str">
        <f t="shared" si="213"/>
        <v/>
      </c>
    </row>
    <row r="679" spans="1:41" hidden="1" x14ac:dyDescent="0.25">
      <c r="A679" s="95" t="str">
        <f>Start!D$7</f>
        <v>Anyland</v>
      </c>
      <c r="B679" s="100" t="str">
        <f>VLOOKUP(A679,list!B:C,2,FALSE)</f>
        <v>ANY</v>
      </c>
      <c r="C679" s="90" t="str">
        <f>IF(Start!$C$31="","",Start!$C$31)</f>
        <v/>
      </c>
      <c r="D679" s="296">
        <f t="shared" si="204"/>
        <v>45536</v>
      </c>
      <c r="E679" s="92" t="str">
        <f>IFERROR(VLOOKUP(C679,Start!C$15:D$31,2,FALSE),"No")</f>
        <v>No</v>
      </c>
      <c r="F679" s="92">
        <f t="shared" si="205"/>
        <v>0</v>
      </c>
      <c r="G679" s="91"/>
      <c r="H679" s="97"/>
      <c r="I679" s="97"/>
      <c r="J679" s="98">
        <f t="shared" si="197"/>
        <v>0</v>
      </c>
      <c r="K679" s="97"/>
      <c r="L679" s="175" t="str">
        <f t="shared" si="198"/>
        <v/>
      </c>
      <c r="M679" s="98">
        <f t="shared" si="199"/>
        <v>0</v>
      </c>
      <c r="N679" s="97"/>
      <c r="O679" s="122"/>
      <c r="P679" s="97"/>
      <c r="Q679" s="122"/>
      <c r="R679" s="98">
        <f>SUMIFS('Shipments data'!L:L,'Shipments data'!F:F,'Supply planning data'!C679,'Shipments data'!A:A,'Supply planning data'!A679,'Shipments data'!Y:Y,'Supply planning data'!D679,'Shipments data'!O:O,"received", 'Shipments data'!N:N, "Public")</f>
        <v>0</v>
      </c>
      <c r="S679" s="98">
        <f>SUMIFS('Shipments data'!L:L,'Shipments data'!F:F,'Supply planning data'!C679,'Shipments data'!A:A,'Supply planning data'!A679,'Shipments data'!Y:Y,'Supply planning data'!D679,'Shipments data'!O:O,"ordered", 'Shipments data'!N:N, "Public")</f>
        <v>0</v>
      </c>
      <c r="T679" s="98">
        <f>IF(SUMIFS('Shipments data'!L:L,'Shipments data'!F:F,'Supply planning data'!C679,'Shipments data'!A:A,'Supply planning data'!A679,'Shipments data'!O:O,"received",'Shipments data'!Q:Q,"&lt;"&amp;'Supply planning data'!D694,'Shipments data'!AC:AC,"&lt;"&amp;'Supply planning data'!D694)-SUMIFS(M:M,D:D,"&lt;="&amp;D679,C:C,C679)+SUMIFS(N:N,D:D,"&lt;="&amp;D679,C:C,C679)+SUMIFS(P:P,D:D,"&lt;="&amp;D679,C:C,C679)&lt;0,0,SUMIFS('Shipments data'!L:L,'Shipments data'!F:F,'Supply planning data'!C679,'Shipments data'!A:A,'Supply planning data'!A679,'Shipments data'!O:O,"received",'Shipments data'!Q:Q,"&lt;"&amp;'Supply planning data'!D694,'Shipments data'!AC:AC,"&lt;"&amp;'Supply planning data'!D694)-SUMIFS(M:M,D:D,"&lt;="&amp;D679,C:C,C679)+SUMIFS(N:N,D:D,"&lt;="&amp;D679,C:C,C679)+SUMIFS(P:P,D:D,"&lt;="&amp;D679,C:C,C679))</f>
        <v>0</v>
      </c>
      <c r="U679" s="99">
        <f t="shared" si="206"/>
        <v>0</v>
      </c>
      <c r="V679" s="98">
        <f t="shared" si="196"/>
        <v>0</v>
      </c>
      <c r="W679" s="203" t="str">
        <f t="shared" si="212"/>
        <v/>
      </c>
      <c r="X679" s="98">
        <f t="shared" si="207"/>
        <v>0</v>
      </c>
      <c r="Y679" s="97"/>
      <c r="Z679" s="93"/>
      <c r="AA679" s="98">
        <f t="shared" si="200"/>
        <v>0</v>
      </c>
      <c r="AB679" s="233"/>
      <c r="AC679" s="98">
        <f>IF(SUMIFS('Shipments data'!L:L,'Shipments data'!F:F,'Supply planning data'!C679,'Shipments data'!A:A,'Supply planning data'!A679,'Shipments data'!O:O,"received",'Shipments data'!Q:Q,"&lt;"&amp;'Supply planning data'!D694,'Shipments data'!AC:AC,"&lt;"&amp;'Supply planning data'!D694)-SUMIFS(M:M,D:D,"&lt;="&amp;D679,C:C,C679)-SUMIFS(AA:AA,D:D,"&lt;="&amp;D679,C:C,C679)+SUMIFS(N:N,D:D,"&lt;="&amp;D679,C:C,C679)+SUMIFS(P:P,D:D,"&lt;="&amp;D679,C:C,C679)&lt;0,0,SUMIFS('Shipments data'!L:L,'Shipments data'!F:F,'Supply planning data'!C679,'Shipments data'!A:A,'Supply planning data'!A679,'Shipments data'!O:O,"received",'Shipments data'!Q:Q,"&lt;"&amp;'Supply planning data'!D694,'Shipments data'!AC:AC,"&lt;"&amp;'Supply planning data'!D694)-SUMIFS(M:M,D:D,"&lt;="&amp;D679,C:C,C679)-SUMIFS(AA:AA,D:D,"&lt;="&amp;D679,C:C,C679)+SUMIFS(N:N,D:D,"&lt;="&amp;D679,C:C,C679)+SUMIFS(P:P,D:D,"&lt;="&amp;D679,C:C,C679))</f>
        <v>0</v>
      </c>
      <c r="AD679" s="98">
        <f t="shared" si="208"/>
        <v>0</v>
      </c>
      <c r="AE679" s="98">
        <f t="shared" si="202"/>
        <v>0</v>
      </c>
      <c r="AF679" s="205" t="str">
        <f t="shared" si="211"/>
        <v/>
      </c>
      <c r="AG679" s="98">
        <f t="shared" si="209"/>
        <v>0</v>
      </c>
      <c r="AH679" s="97"/>
      <c r="AI679" s="311"/>
      <c r="AJ679" s="98">
        <f t="shared" si="201"/>
        <v>0</v>
      </c>
      <c r="AK679" s="233"/>
      <c r="AL679" s="98">
        <f>IF(SUMIFS('Shipments data'!L:L,'Shipments data'!F:F,'Supply planning data'!C679,'Shipments data'!A:A,'Supply planning data'!A679,'Shipments data'!O:O,"received",'Shipments data'!Q:Q,"&lt;"&amp;'Supply planning data'!D694,'Shipments data'!AC:AC,"&lt;"&amp;'Supply planning data'!D694)-SUMIFS(M:M,D:D,"&lt;="&amp;D679,C:C,C679)-SUMIFS(AJ:AJ,D:D,"&lt;="&amp;D679,C:C,C679)+SUMIFS(N:N,D:D,"&lt;="&amp;D679,C:C,C679)+SUMIFS(P:P,D:D,"&lt;="&amp;D679,C:C,C679)&lt;0,0,SUMIFS('Shipments data'!L:L,'Shipments data'!F:F,'Supply planning data'!C679,'Shipments data'!A:A,'Supply planning data'!A679,'Shipments data'!O:O,"received",'Shipments data'!Q:Q,"&lt;"&amp;'Supply planning data'!D694,'Shipments data'!AC:AC,"&lt;"&amp;'Supply planning data'!D694)-SUMIFS(M:M,D:D,"&lt;="&amp;D679,C:C,C679)-SUMIFS(AJ:AJ,D:D,"&lt;="&amp;D679,C:C,C679)+SUMIFS(N:N,D:D,"&lt;="&amp;D679,C:C,C679)+SUMIFS(P:P,D:D,"&lt;="&amp;D679,C:C,C679))</f>
        <v>0</v>
      </c>
      <c r="AM679" s="98">
        <f t="shared" si="210"/>
        <v>0</v>
      </c>
      <c r="AN679" s="98">
        <f t="shared" si="203"/>
        <v>0</v>
      </c>
      <c r="AO679" s="203" t="str">
        <f t="shared" si="213"/>
        <v/>
      </c>
    </row>
    <row r="680" spans="1:41" x14ac:dyDescent="0.25">
      <c r="A680" s="103" t="str">
        <f>Start!D$7</f>
        <v>Anyland</v>
      </c>
      <c r="B680" s="104" t="str">
        <f>VLOOKUP(A680,list!B:C,2,FALSE)</f>
        <v>ANY</v>
      </c>
      <c r="C680" s="104" t="str">
        <f>IF(Start!$C$17="","",Start!$C$17)</f>
        <v>AstraZeneca</v>
      </c>
      <c r="D680" s="298">
        <f t="shared" si="204"/>
        <v>45566</v>
      </c>
      <c r="E680" s="105" t="str">
        <f>IFERROR(VLOOKUP(C680,Start!C$15:D$31,2,FALSE),"No")</f>
        <v>Yes</v>
      </c>
      <c r="F680" s="105">
        <f t="shared" si="205"/>
        <v>0</v>
      </c>
      <c r="G680" s="106"/>
      <c r="H680" s="106"/>
      <c r="I680" s="106"/>
      <c r="J680" s="105">
        <f t="shared" si="197"/>
        <v>0</v>
      </c>
      <c r="K680" s="106"/>
      <c r="L680" s="177" t="str">
        <f t="shared" si="198"/>
        <v/>
      </c>
      <c r="M680" s="105">
        <f t="shared" si="199"/>
        <v>0</v>
      </c>
      <c r="N680" s="106"/>
      <c r="O680" s="123"/>
      <c r="P680" s="106"/>
      <c r="Q680" s="123"/>
      <c r="R680" s="105">
        <f>SUMIFS('Shipments data'!L:L,'Shipments data'!F:F,'Supply planning data'!C680,'Shipments data'!A:A,'Supply planning data'!A680,'Shipments data'!Y:Y,'Supply planning data'!D680,'Shipments data'!O:O,"received", 'Shipments data'!N:N, "Public")</f>
        <v>0</v>
      </c>
      <c r="S680" s="105">
        <f>SUMIFS('Shipments data'!L:L,'Shipments data'!F:F,'Supply planning data'!C680,'Shipments data'!A:A,'Supply planning data'!A680,'Shipments data'!Y:Y,'Supply planning data'!D680,'Shipments data'!O:O,"ordered", 'Shipments data'!N:N, "Public")</f>
        <v>0</v>
      </c>
      <c r="T680" s="105">
        <f>IF(SUMIFS('Shipments data'!L:L,'Shipments data'!F:F,'Supply planning data'!C680,'Shipments data'!A:A,'Supply planning data'!A680,'Shipments data'!O:O,"received",'Shipments data'!Q:Q,"&lt;"&amp;'Supply planning data'!D695,'Shipments data'!AC:AC,"&lt;"&amp;'Supply planning data'!D695)-SUMIFS(M:M,D:D,"&lt;="&amp;D680,C:C,C680)+SUMIFS(N:N,D:D,"&lt;="&amp;D680,C:C,C680)+SUMIFS(P:P,D:D,"&lt;="&amp;D680,C:C,C680)&lt;0,0,SUMIFS('Shipments data'!L:L,'Shipments data'!F:F,'Supply planning data'!C680,'Shipments data'!A:A,'Supply planning data'!A680,'Shipments data'!O:O,"received",'Shipments data'!Q:Q,"&lt;"&amp;'Supply planning data'!D695,'Shipments data'!AC:AC,"&lt;"&amp;'Supply planning data'!D695)-SUMIFS(M:M,D:D,"&lt;="&amp;D680,C:C,C680)+SUMIFS(N:N,D:D,"&lt;="&amp;D680,C:C,C680)+SUMIFS(P:P,D:D,"&lt;="&amp;D680,C:C,C680))</f>
        <v>0</v>
      </c>
      <c r="U680" s="108">
        <f t="shared" si="206"/>
        <v>0</v>
      </c>
      <c r="V680" s="105">
        <f t="shared" si="196"/>
        <v>0</v>
      </c>
      <c r="W680" s="206" t="str">
        <f t="shared" si="212"/>
        <v/>
      </c>
      <c r="X680" s="105">
        <f t="shared" si="207"/>
        <v>154701</v>
      </c>
      <c r="Y680" s="106"/>
      <c r="Z680" s="107"/>
      <c r="AA680" s="105">
        <f t="shared" si="200"/>
        <v>0</v>
      </c>
      <c r="AB680" s="234"/>
      <c r="AC680" s="105">
        <f>IF(SUMIFS('Shipments data'!L:L,'Shipments data'!F:F,'Supply planning data'!C680,'Shipments data'!A:A,'Supply planning data'!A680,'Shipments data'!O:O,"received",'Shipments data'!Q:Q,"&lt;"&amp;'Supply planning data'!D695,'Shipments data'!AC:AC,"&lt;"&amp;'Supply planning data'!D695)-SUMIFS(M:M,D:D,"&lt;="&amp;D680,C:C,C680)-SUMIFS(AA:AA,D:D,"&lt;="&amp;D680,C:C,C680)+SUMIFS(N:N,D:D,"&lt;="&amp;D680,C:C,C680)+SUMIFS(P:P,D:D,"&lt;="&amp;D680,C:C,C680)&lt;0,0,SUMIFS('Shipments data'!L:L,'Shipments data'!F:F,'Supply planning data'!C680,'Shipments data'!A:A,'Supply planning data'!A680,'Shipments data'!O:O,"received",'Shipments data'!Q:Q,"&lt;"&amp;'Supply planning data'!D695,'Shipments data'!AC:AC,"&lt;"&amp;'Supply planning data'!D695)-SUMIFS(M:M,D:D,"&lt;="&amp;D680,C:C,C680)-SUMIFS(AA:AA,D:D,"&lt;="&amp;D680,C:C,C680)+SUMIFS(N:N,D:D,"&lt;="&amp;D680,C:C,C680)+SUMIFS(P:P,D:D,"&lt;="&amp;D680,C:C,C680))</f>
        <v>0</v>
      </c>
      <c r="AD680" s="105">
        <f t="shared" si="208"/>
        <v>0</v>
      </c>
      <c r="AE680" s="105">
        <f t="shared" si="202"/>
        <v>154701</v>
      </c>
      <c r="AF680" s="206" t="str">
        <f t="shared" si="211"/>
        <v/>
      </c>
      <c r="AG680" s="105">
        <f t="shared" si="209"/>
        <v>0</v>
      </c>
      <c r="AH680" s="106"/>
      <c r="AI680" s="312"/>
      <c r="AJ680" s="105">
        <f t="shared" si="201"/>
        <v>0</v>
      </c>
      <c r="AK680" s="234"/>
      <c r="AL680" s="105">
        <f>IF(SUMIFS('Shipments data'!L:L,'Shipments data'!F:F,'Supply planning data'!C680,'Shipments data'!A:A,'Supply planning data'!A680,'Shipments data'!O:O,"received",'Shipments data'!Q:Q,"&lt;"&amp;'Supply planning data'!D695,'Shipments data'!AC:AC,"&lt;"&amp;'Supply planning data'!D695)-SUMIFS(M:M,D:D,"&lt;="&amp;D680,C:C,C680)-SUMIFS(AJ:AJ,D:D,"&lt;="&amp;D680,C:C,C680)+SUMIFS(N:N,D:D,"&lt;="&amp;D680,C:C,C680)+SUMIFS(P:P,D:D,"&lt;="&amp;D680,C:C,C680)&lt;0,0,SUMIFS('Shipments data'!L:L,'Shipments data'!F:F,'Supply planning data'!C680,'Shipments data'!A:A,'Supply planning data'!A680,'Shipments data'!O:O,"received",'Shipments data'!Q:Q,"&lt;"&amp;'Supply planning data'!D695,'Shipments data'!AC:AC,"&lt;"&amp;'Supply planning data'!D695)-SUMIFS(M:M,D:D,"&lt;="&amp;D680,C:C,C680)-SUMIFS(AJ:AJ,D:D,"&lt;="&amp;D680,C:C,C680)+SUMIFS(N:N,D:D,"&lt;="&amp;D680,C:C,C680)+SUMIFS(P:P,D:D,"&lt;="&amp;D680,C:C,C680))</f>
        <v>0</v>
      </c>
      <c r="AM680" s="105">
        <f t="shared" si="210"/>
        <v>0</v>
      </c>
      <c r="AN680" s="105">
        <f t="shared" si="203"/>
        <v>0</v>
      </c>
      <c r="AO680" s="206" t="str">
        <f t="shared" si="213"/>
        <v/>
      </c>
    </row>
    <row r="681" spans="1:41" x14ac:dyDescent="0.25">
      <c r="A681" s="103" t="str">
        <f>Start!D$7</f>
        <v>Anyland</v>
      </c>
      <c r="B681" s="109" t="str">
        <f>VLOOKUP(A681,list!B:C,2,FALSE)</f>
        <v>ANY</v>
      </c>
      <c r="C681" s="109" t="str">
        <f>IF(Start!$C$18="","",Start!$C$18)</f>
        <v>Jansen</v>
      </c>
      <c r="D681" s="298">
        <f t="shared" si="204"/>
        <v>45566</v>
      </c>
      <c r="E681" s="105" t="str">
        <f>IFERROR(VLOOKUP(C681,Start!C$15:D$31,2,FALSE),"No")</f>
        <v>Yes</v>
      </c>
      <c r="F681" s="105">
        <f t="shared" si="205"/>
        <v>1871200</v>
      </c>
      <c r="G681" s="106"/>
      <c r="H681" s="106"/>
      <c r="I681" s="106"/>
      <c r="J681" s="105">
        <f t="shared" si="197"/>
        <v>0</v>
      </c>
      <c r="K681" s="106"/>
      <c r="L681" s="177" t="str">
        <f t="shared" si="198"/>
        <v/>
      </c>
      <c r="M681" s="105">
        <f t="shared" si="199"/>
        <v>0</v>
      </c>
      <c r="N681" s="110"/>
      <c r="O681" s="124"/>
      <c r="P681" s="110"/>
      <c r="Q681" s="124"/>
      <c r="R681" s="111">
        <f>SUMIFS('Shipments data'!L:L,'Shipments data'!F:F,'Supply planning data'!C681,'Shipments data'!A:A,'Supply planning data'!A681,'Shipments data'!Y:Y,'Supply planning data'!D681,'Shipments data'!O:O,"received", 'Shipments data'!N:N, "Public")</f>
        <v>0</v>
      </c>
      <c r="S681" s="111">
        <f>SUMIFS('Shipments data'!L:L,'Shipments data'!F:F,'Supply planning data'!C681,'Shipments data'!A:A,'Supply planning data'!A681,'Shipments data'!Y:Y,'Supply planning data'!D681,'Shipments data'!O:O,"ordered", 'Shipments data'!N:N, "Public")</f>
        <v>0</v>
      </c>
      <c r="T681" s="111">
        <f>IF(SUMIFS('Shipments data'!L:L,'Shipments data'!F:F,'Supply planning data'!C681,'Shipments data'!A:A,'Supply planning data'!A681,'Shipments data'!O:O,"received",'Shipments data'!Q:Q,"&lt;"&amp;'Supply planning data'!D696,'Shipments data'!AC:AC,"&lt;"&amp;'Supply planning data'!D696)-SUMIFS(M:M,D:D,"&lt;="&amp;D681,C:C,C681)+SUMIFS(N:N,D:D,"&lt;="&amp;D681,C:C,C681)+SUMIFS(P:P,D:D,"&lt;="&amp;D681,C:C,C681)&lt;0,0,SUMIFS('Shipments data'!L:L,'Shipments data'!F:F,'Supply planning data'!C681,'Shipments data'!A:A,'Supply planning data'!A681,'Shipments data'!O:O,"received",'Shipments data'!Q:Q,"&lt;"&amp;'Supply planning data'!D696,'Shipments data'!AC:AC,"&lt;"&amp;'Supply planning data'!D696)-SUMIFS(M:M,D:D,"&lt;="&amp;D681,C:C,C681)+SUMIFS(N:N,D:D,"&lt;="&amp;D681,C:C,C681)+SUMIFS(P:P,D:D,"&lt;="&amp;D681,C:C,C681))</f>
        <v>387547</v>
      </c>
      <c r="U681" s="112">
        <f t="shared" si="206"/>
        <v>0</v>
      </c>
      <c r="V681" s="111">
        <f t="shared" si="196"/>
        <v>1871200</v>
      </c>
      <c r="W681" s="204" t="str">
        <f t="shared" si="212"/>
        <v/>
      </c>
      <c r="X681" s="111">
        <f t="shared" si="207"/>
        <v>1311200</v>
      </c>
      <c r="Y681" s="110"/>
      <c r="Z681" s="107"/>
      <c r="AA681" s="111">
        <f t="shared" si="200"/>
        <v>0</v>
      </c>
      <c r="AB681" s="235"/>
      <c r="AC681" s="111">
        <f>IF(SUMIFS('Shipments data'!L:L,'Shipments data'!F:F,'Supply planning data'!C681,'Shipments data'!A:A,'Supply planning data'!A681,'Shipments data'!O:O,"received",'Shipments data'!Q:Q,"&lt;"&amp;'Supply planning data'!D696,'Shipments data'!AC:AC,"&lt;"&amp;'Supply planning data'!D696)-SUMIFS(M:M,D:D,"&lt;="&amp;D681,C:C,C681)-SUMIFS(AA:AA,D:D,"&lt;="&amp;D681,C:C,C681)+SUMIFS(N:N,D:D,"&lt;="&amp;D681,C:C,C681)+SUMIFS(P:P,D:D,"&lt;="&amp;D681,C:C,C681)&lt;0,0,SUMIFS('Shipments data'!L:L,'Shipments data'!F:F,'Supply planning data'!C681,'Shipments data'!A:A,'Supply planning data'!A681,'Shipments data'!O:O,"received",'Shipments data'!Q:Q,"&lt;"&amp;'Supply planning data'!D696,'Shipments data'!AC:AC,"&lt;"&amp;'Supply planning data'!D696)-SUMIFS(M:M,D:D,"&lt;="&amp;D681,C:C,C681)-SUMIFS(AA:AA,D:D,"&lt;="&amp;D681,C:C,C681)+SUMIFS(N:N,D:D,"&lt;="&amp;D681,C:C,C681)+SUMIFS(P:P,D:D,"&lt;="&amp;D681,C:C,C681))</f>
        <v>0</v>
      </c>
      <c r="AD681" s="111">
        <f t="shared" si="208"/>
        <v>0</v>
      </c>
      <c r="AE681" s="111">
        <f t="shared" si="202"/>
        <v>1311200</v>
      </c>
      <c r="AF681" s="204" t="str">
        <f t="shared" si="211"/>
        <v/>
      </c>
      <c r="AG681" s="111">
        <f t="shared" si="209"/>
        <v>1871200</v>
      </c>
      <c r="AH681" s="110"/>
      <c r="AI681" s="313"/>
      <c r="AJ681" s="111">
        <f t="shared" si="201"/>
        <v>0</v>
      </c>
      <c r="AK681" s="235"/>
      <c r="AL681" s="111">
        <f>IF(SUMIFS('Shipments data'!L:L,'Shipments data'!F:F,'Supply planning data'!C681,'Shipments data'!A:A,'Supply planning data'!A681,'Shipments data'!O:O,"received",'Shipments data'!Q:Q,"&lt;"&amp;'Supply planning data'!D696,'Shipments data'!AC:AC,"&lt;"&amp;'Supply planning data'!D696)-SUMIFS(M:M,D:D,"&lt;="&amp;D681,C:C,C681)-SUMIFS(AJ:AJ,D:D,"&lt;="&amp;D681,C:C,C681)+SUMIFS(N:N,D:D,"&lt;="&amp;D681,C:C,C681)+SUMIFS(P:P,D:D,"&lt;="&amp;D681,C:C,C681)&lt;0,0,SUMIFS('Shipments data'!L:L,'Shipments data'!F:F,'Supply planning data'!C681,'Shipments data'!A:A,'Supply planning data'!A681,'Shipments data'!O:O,"received",'Shipments data'!Q:Q,"&lt;"&amp;'Supply planning data'!D696,'Shipments data'!AC:AC,"&lt;"&amp;'Supply planning data'!D696)-SUMIFS(M:M,D:D,"&lt;="&amp;D681,C:C,C681)-SUMIFS(AJ:AJ,D:D,"&lt;="&amp;D681,C:C,C681)+SUMIFS(N:N,D:D,"&lt;="&amp;D681,C:C,C681)+SUMIFS(P:P,D:D,"&lt;="&amp;D681,C:C,C681))</f>
        <v>387547</v>
      </c>
      <c r="AM681" s="111">
        <f t="shared" si="210"/>
        <v>0</v>
      </c>
      <c r="AN681" s="111">
        <f t="shared" si="203"/>
        <v>1871200</v>
      </c>
      <c r="AO681" s="204" t="str">
        <f t="shared" si="213"/>
        <v/>
      </c>
    </row>
    <row r="682" spans="1:41" x14ac:dyDescent="0.25">
      <c r="A682" s="103" t="str">
        <f>Start!D$7</f>
        <v>Anyland</v>
      </c>
      <c r="B682" s="109" t="str">
        <f>VLOOKUP(A682,list!B:C,2,FALSE)</f>
        <v>ANY</v>
      </c>
      <c r="C682" s="104" t="str">
        <f>IF(Start!$C$19="","",Start!$C$19)</f>
        <v>Moderna</v>
      </c>
      <c r="D682" s="298">
        <f t="shared" si="204"/>
        <v>45566</v>
      </c>
      <c r="E682" s="105" t="str">
        <f>IFERROR(VLOOKUP(C682,Start!C$15:D$31,2,FALSE),"No")</f>
        <v>No</v>
      </c>
      <c r="F682" s="105">
        <f t="shared" si="205"/>
        <v>0</v>
      </c>
      <c r="G682" s="106"/>
      <c r="H682" s="106"/>
      <c r="I682" s="106"/>
      <c r="J682" s="105">
        <f t="shared" si="197"/>
        <v>0</v>
      </c>
      <c r="K682" s="106"/>
      <c r="L682" s="177" t="str">
        <f t="shared" si="198"/>
        <v/>
      </c>
      <c r="M682" s="105">
        <f t="shared" si="199"/>
        <v>0</v>
      </c>
      <c r="N682" s="110"/>
      <c r="O682" s="124"/>
      <c r="P682" s="110"/>
      <c r="Q682" s="124"/>
      <c r="R682" s="111">
        <f>SUMIFS('Shipments data'!L:L,'Shipments data'!F:F,'Supply planning data'!C682,'Shipments data'!A:A,'Supply planning data'!A682,'Shipments data'!Y:Y,'Supply planning data'!D682,'Shipments data'!O:O,"received", 'Shipments data'!N:N, "Public")</f>
        <v>0</v>
      </c>
      <c r="S682" s="111">
        <f>SUMIFS('Shipments data'!L:L,'Shipments data'!F:F,'Supply planning data'!C682,'Shipments data'!A:A,'Supply planning data'!A682,'Shipments data'!Y:Y,'Supply planning data'!D682,'Shipments data'!O:O,"ordered", 'Shipments data'!N:N, "Public")</f>
        <v>0</v>
      </c>
      <c r="T682" s="111">
        <f>IF(SUMIFS('Shipments data'!L:L,'Shipments data'!F:F,'Supply planning data'!C682,'Shipments data'!A:A,'Supply planning data'!A682,'Shipments data'!O:O,"received",'Shipments data'!Q:Q,"&lt;"&amp;'Supply planning data'!D697,'Shipments data'!AC:AC,"&lt;"&amp;'Supply planning data'!D697)-SUMIFS(M:M,D:D,"&lt;="&amp;D682,C:C,C682)+SUMIFS(N:N,D:D,"&lt;="&amp;D682,C:C,C682)+SUMIFS(P:P,D:D,"&lt;="&amp;D682,C:C,C682)&lt;0,0,SUMIFS('Shipments data'!L:L,'Shipments data'!F:F,'Supply planning data'!C682,'Shipments data'!A:A,'Supply planning data'!A682,'Shipments data'!O:O,"received",'Shipments data'!Q:Q,"&lt;"&amp;'Supply planning data'!D697,'Shipments data'!AC:AC,"&lt;"&amp;'Supply planning data'!D697)-SUMIFS(M:M,D:D,"&lt;="&amp;D682,C:C,C682)+SUMIFS(N:N,D:D,"&lt;="&amp;D682,C:C,C682)+SUMIFS(P:P,D:D,"&lt;="&amp;D682,C:C,C682))</f>
        <v>0</v>
      </c>
      <c r="U682" s="112">
        <f t="shared" si="206"/>
        <v>0</v>
      </c>
      <c r="V682" s="111">
        <f t="shared" si="196"/>
        <v>0</v>
      </c>
      <c r="W682" s="204" t="str">
        <f t="shared" si="212"/>
        <v/>
      </c>
      <c r="X682" s="111">
        <f t="shared" si="207"/>
        <v>0</v>
      </c>
      <c r="Y682" s="110"/>
      <c r="Z682" s="107"/>
      <c r="AA682" s="111">
        <f t="shared" si="200"/>
        <v>0</v>
      </c>
      <c r="AB682" s="235"/>
      <c r="AC682" s="111">
        <f>IF(SUMIFS('Shipments data'!L:L,'Shipments data'!F:F,'Supply planning data'!C682,'Shipments data'!A:A,'Supply planning data'!A682,'Shipments data'!O:O,"received",'Shipments data'!Q:Q,"&lt;"&amp;'Supply planning data'!D697,'Shipments data'!AC:AC,"&lt;"&amp;'Supply planning data'!D697)-SUMIFS(M:M,D:D,"&lt;="&amp;D682,C:C,C682)-SUMIFS(AA:AA,D:D,"&lt;="&amp;D682,C:C,C682)+SUMIFS(N:N,D:D,"&lt;="&amp;D682,C:C,C682)+SUMIFS(P:P,D:D,"&lt;="&amp;D682,C:C,C682)&lt;0,0,SUMIFS('Shipments data'!L:L,'Shipments data'!F:F,'Supply planning data'!C682,'Shipments data'!A:A,'Supply planning data'!A682,'Shipments data'!O:O,"received",'Shipments data'!Q:Q,"&lt;"&amp;'Supply planning data'!D697,'Shipments data'!AC:AC,"&lt;"&amp;'Supply planning data'!D697)-SUMIFS(M:M,D:D,"&lt;="&amp;D682,C:C,C682)-SUMIFS(AA:AA,D:D,"&lt;="&amp;D682,C:C,C682)+SUMIFS(N:N,D:D,"&lt;="&amp;D682,C:C,C682)+SUMIFS(P:P,D:D,"&lt;="&amp;D682,C:C,C682))</f>
        <v>0</v>
      </c>
      <c r="AD682" s="111">
        <f t="shared" si="208"/>
        <v>0</v>
      </c>
      <c r="AE682" s="111">
        <f t="shared" si="202"/>
        <v>0</v>
      </c>
      <c r="AF682" s="204" t="str">
        <f t="shared" si="211"/>
        <v/>
      </c>
      <c r="AG682" s="111">
        <f t="shared" si="209"/>
        <v>0</v>
      </c>
      <c r="AH682" s="110"/>
      <c r="AI682" s="313"/>
      <c r="AJ682" s="111">
        <f t="shared" si="201"/>
        <v>0</v>
      </c>
      <c r="AK682" s="235"/>
      <c r="AL682" s="111">
        <f>IF(SUMIFS('Shipments data'!L:L,'Shipments data'!F:F,'Supply planning data'!C682,'Shipments data'!A:A,'Supply planning data'!A682,'Shipments data'!O:O,"received",'Shipments data'!Q:Q,"&lt;"&amp;'Supply planning data'!D697,'Shipments data'!AC:AC,"&lt;"&amp;'Supply planning data'!D697)-SUMIFS(M:M,D:D,"&lt;="&amp;D682,C:C,C682)-SUMIFS(AJ:AJ,D:D,"&lt;="&amp;D682,C:C,C682)+SUMIFS(N:N,D:D,"&lt;="&amp;D682,C:C,C682)+SUMIFS(P:P,D:D,"&lt;="&amp;D682,C:C,C682)&lt;0,0,SUMIFS('Shipments data'!L:L,'Shipments data'!F:F,'Supply planning data'!C682,'Shipments data'!A:A,'Supply planning data'!A682,'Shipments data'!O:O,"received",'Shipments data'!Q:Q,"&lt;"&amp;'Supply planning data'!D697,'Shipments data'!AC:AC,"&lt;"&amp;'Supply planning data'!D697)-SUMIFS(M:M,D:D,"&lt;="&amp;D682,C:C,C682)-SUMIFS(AJ:AJ,D:D,"&lt;="&amp;D682,C:C,C682)+SUMIFS(N:N,D:D,"&lt;="&amp;D682,C:C,C682)+SUMIFS(P:P,D:D,"&lt;="&amp;D682,C:C,C682))</f>
        <v>0</v>
      </c>
      <c r="AM682" s="111">
        <f t="shared" si="210"/>
        <v>0</v>
      </c>
      <c r="AN682" s="111">
        <f t="shared" si="203"/>
        <v>0</v>
      </c>
      <c r="AO682" s="204" t="str">
        <f t="shared" si="213"/>
        <v/>
      </c>
    </row>
    <row r="683" spans="1:41" x14ac:dyDescent="0.25">
      <c r="A683" s="103" t="str">
        <f>Start!D$7</f>
        <v>Anyland</v>
      </c>
      <c r="B683" s="109" t="str">
        <f>VLOOKUP(A683,list!B:C,2,FALSE)</f>
        <v>ANY</v>
      </c>
      <c r="C683" s="109" t="str">
        <f>IF(Start!$C$20="","",Start!$C$20)</f>
        <v>Pfizer</v>
      </c>
      <c r="D683" s="298">
        <f t="shared" si="204"/>
        <v>45566</v>
      </c>
      <c r="E683" s="105" t="str">
        <f>IFERROR(VLOOKUP(C683,Start!C$15:D$31,2,FALSE),"No")</f>
        <v>Yes</v>
      </c>
      <c r="F683" s="105">
        <f t="shared" si="205"/>
        <v>3000000</v>
      </c>
      <c r="G683" s="106"/>
      <c r="H683" s="106"/>
      <c r="I683" s="106"/>
      <c r="J683" s="105">
        <f t="shared" si="197"/>
        <v>0</v>
      </c>
      <c r="K683" s="106"/>
      <c r="L683" s="177" t="str">
        <f t="shared" si="198"/>
        <v/>
      </c>
      <c r="M683" s="105">
        <f t="shared" si="199"/>
        <v>0</v>
      </c>
      <c r="N683" s="110"/>
      <c r="O683" s="124"/>
      <c r="P683" s="110"/>
      <c r="Q683" s="124"/>
      <c r="R683" s="111">
        <f>SUMIFS('Shipments data'!L:L,'Shipments data'!F:F,'Supply planning data'!C683,'Shipments data'!A:A,'Supply planning data'!A683,'Shipments data'!Y:Y,'Supply planning data'!D683,'Shipments data'!O:O,"received", 'Shipments data'!N:N, "Public")</f>
        <v>0</v>
      </c>
      <c r="S683" s="111">
        <f>SUMIFS('Shipments data'!L:L,'Shipments data'!F:F,'Supply planning data'!C683,'Shipments data'!A:A,'Supply planning data'!A683,'Shipments data'!Y:Y,'Supply planning data'!D683,'Shipments data'!O:O,"ordered", 'Shipments data'!N:N, "Public")</f>
        <v>0</v>
      </c>
      <c r="T683" s="111">
        <f>IF(SUMIFS('Shipments data'!L:L,'Shipments data'!F:F,'Supply planning data'!C683,'Shipments data'!A:A,'Supply planning data'!A683,'Shipments data'!O:O,"received",'Shipments data'!Q:Q,"&lt;"&amp;'Supply planning data'!D698,'Shipments data'!AC:AC,"&lt;"&amp;'Supply planning data'!D698)-SUMIFS(M:M,D:D,"&lt;="&amp;D683,C:C,C683)+SUMIFS(N:N,D:D,"&lt;="&amp;D683,C:C,C683)+SUMIFS(P:P,D:D,"&lt;="&amp;D683,C:C,C683)&lt;0,0,SUMIFS('Shipments data'!L:L,'Shipments data'!F:F,'Supply planning data'!C683,'Shipments data'!A:A,'Supply planning data'!A683,'Shipments data'!O:O,"received",'Shipments data'!Q:Q,"&lt;"&amp;'Supply planning data'!D698,'Shipments data'!AC:AC,"&lt;"&amp;'Supply planning data'!D698)-SUMIFS(M:M,D:D,"&lt;="&amp;D683,C:C,C683)+SUMIFS(N:N,D:D,"&lt;="&amp;D683,C:C,C683)+SUMIFS(P:P,D:D,"&lt;="&amp;D683,C:C,C683))</f>
        <v>110538</v>
      </c>
      <c r="U683" s="112">
        <f t="shared" si="206"/>
        <v>0</v>
      </c>
      <c r="V683" s="111">
        <f t="shared" si="196"/>
        <v>3000000</v>
      </c>
      <c r="W683" s="204" t="str">
        <f t="shared" si="212"/>
        <v/>
      </c>
      <c r="X683" s="111">
        <f t="shared" si="207"/>
        <v>2440000</v>
      </c>
      <c r="Y683" s="110"/>
      <c r="Z683" s="107"/>
      <c r="AA683" s="111">
        <f t="shared" si="200"/>
        <v>0</v>
      </c>
      <c r="AB683" s="235"/>
      <c r="AC683" s="111">
        <f>IF(SUMIFS('Shipments data'!L:L,'Shipments data'!F:F,'Supply planning data'!C683,'Shipments data'!A:A,'Supply planning data'!A683,'Shipments data'!O:O,"received",'Shipments data'!Q:Q,"&lt;"&amp;'Supply planning data'!D698,'Shipments data'!AC:AC,"&lt;"&amp;'Supply planning data'!D698)-SUMIFS(M:M,D:D,"&lt;="&amp;D683,C:C,C683)-SUMIFS(AA:AA,D:D,"&lt;="&amp;D683,C:C,C683)+SUMIFS(N:N,D:D,"&lt;="&amp;D683,C:C,C683)+SUMIFS(P:P,D:D,"&lt;="&amp;D683,C:C,C683)&lt;0,0,SUMIFS('Shipments data'!L:L,'Shipments data'!F:F,'Supply planning data'!C683,'Shipments data'!A:A,'Supply planning data'!A683,'Shipments data'!O:O,"received",'Shipments data'!Q:Q,"&lt;"&amp;'Supply planning data'!D698,'Shipments data'!AC:AC,"&lt;"&amp;'Supply planning data'!D698)-SUMIFS(M:M,D:D,"&lt;="&amp;D683,C:C,C683)-SUMIFS(AA:AA,D:D,"&lt;="&amp;D683,C:C,C683)+SUMIFS(N:N,D:D,"&lt;="&amp;D683,C:C,C683)+SUMIFS(P:P,D:D,"&lt;="&amp;D683,C:C,C683))</f>
        <v>0</v>
      </c>
      <c r="AD683" s="111">
        <f t="shared" si="208"/>
        <v>0</v>
      </c>
      <c r="AE683" s="111">
        <f t="shared" si="202"/>
        <v>2440000</v>
      </c>
      <c r="AF683" s="204" t="str">
        <f t="shared" si="211"/>
        <v/>
      </c>
      <c r="AG683" s="111">
        <f t="shared" si="209"/>
        <v>3000000</v>
      </c>
      <c r="AH683" s="110"/>
      <c r="AI683" s="313"/>
      <c r="AJ683" s="111">
        <f t="shared" si="201"/>
        <v>0</v>
      </c>
      <c r="AK683" s="235"/>
      <c r="AL683" s="111">
        <f>IF(SUMIFS('Shipments data'!L:L,'Shipments data'!F:F,'Supply planning data'!C683,'Shipments data'!A:A,'Supply planning data'!A683,'Shipments data'!O:O,"received",'Shipments data'!Q:Q,"&lt;"&amp;'Supply planning data'!D698,'Shipments data'!AC:AC,"&lt;"&amp;'Supply planning data'!D698)-SUMIFS(M:M,D:D,"&lt;="&amp;D683,C:C,C683)-SUMIFS(AJ:AJ,D:D,"&lt;="&amp;D683,C:C,C683)+SUMIFS(N:N,D:D,"&lt;="&amp;D683,C:C,C683)+SUMIFS(P:P,D:D,"&lt;="&amp;D683,C:C,C683)&lt;0,0,SUMIFS('Shipments data'!L:L,'Shipments data'!F:F,'Supply planning data'!C683,'Shipments data'!A:A,'Supply planning data'!A683,'Shipments data'!O:O,"received",'Shipments data'!Q:Q,"&lt;"&amp;'Supply planning data'!D698,'Shipments data'!AC:AC,"&lt;"&amp;'Supply planning data'!D698)-SUMIFS(M:M,D:D,"&lt;="&amp;D683,C:C,C683)-SUMIFS(AJ:AJ,D:D,"&lt;="&amp;D683,C:C,C683)+SUMIFS(N:N,D:D,"&lt;="&amp;D683,C:C,C683)+SUMIFS(P:P,D:D,"&lt;="&amp;D683,C:C,C683))</f>
        <v>110538</v>
      </c>
      <c r="AM683" s="111">
        <f t="shared" si="210"/>
        <v>0</v>
      </c>
      <c r="AN683" s="111">
        <f t="shared" si="203"/>
        <v>3000000</v>
      </c>
      <c r="AO683" s="204" t="str">
        <f t="shared" si="213"/>
        <v/>
      </c>
    </row>
    <row r="684" spans="1:41" x14ac:dyDescent="0.25">
      <c r="A684" s="103" t="str">
        <f>Start!D$7</f>
        <v>Anyland</v>
      </c>
      <c r="B684" s="109" t="str">
        <f>VLOOKUP(A684,list!B:C,2,FALSE)</f>
        <v>ANY</v>
      </c>
      <c r="C684" s="104" t="str">
        <f>IF(Start!$C$21="","",Start!$C$21)</f>
        <v>Sinovac</v>
      </c>
      <c r="D684" s="298">
        <f t="shared" si="204"/>
        <v>45566</v>
      </c>
      <c r="E684" s="105" t="str">
        <f>IFERROR(VLOOKUP(C684,Start!C$15:D$31,2,FALSE),"No")</f>
        <v>No</v>
      </c>
      <c r="F684" s="105">
        <f t="shared" si="205"/>
        <v>0</v>
      </c>
      <c r="G684" s="106"/>
      <c r="H684" s="106"/>
      <c r="I684" s="106"/>
      <c r="J684" s="105">
        <f t="shared" si="197"/>
        <v>0</v>
      </c>
      <c r="K684" s="106"/>
      <c r="L684" s="177" t="str">
        <f t="shared" si="198"/>
        <v/>
      </c>
      <c r="M684" s="105">
        <f t="shared" si="199"/>
        <v>0</v>
      </c>
      <c r="N684" s="110"/>
      <c r="O684" s="124"/>
      <c r="P684" s="110"/>
      <c r="Q684" s="124"/>
      <c r="R684" s="111">
        <f>SUMIFS('Shipments data'!L:L,'Shipments data'!F:F,'Supply planning data'!C684,'Shipments data'!A:A,'Supply planning data'!A684,'Shipments data'!Y:Y,'Supply planning data'!D684,'Shipments data'!O:O,"received", 'Shipments data'!N:N, "Public")</f>
        <v>0</v>
      </c>
      <c r="S684" s="111">
        <f>SUMIFS('Shipments data'!L:L,'Shipments data'!F:F,'Supply planning data'!C684,'Shipments data'!A:A,'Supply planning data'!A684,'Shipments data'!Y:Y,'Supply planning data'!D684,'Shipments data'!O:O,"ordered", 'Shipments data'!N:N, "Public")</f>
        <v>0</v>
      </c>
      <c r="T684" s="111">
        <f>IF(SUMIFS('Shipments data'!L:L,'Shipments data'!F:F,'Supply planning data'!C684,'Shipments data'!A:A,'Supply planning data'!A684,'Shipments data'!O:O,"received",'Shipments data'!Q:Q,"&lt;"&amp;'Supply planning data'!D699,'Shipments data'!AC:AC,"&lt;"&amp;'Supply planning data'!D699)-SUMIFS(M:M,D:D,"&lt;="&amp;D684,C:C,C684)+SUMIFS(N:N,D:D,"&lt;="&amp;D684,C:C,C684)+SUMIFS(P:P,D:D,"&lt;="&amp;D684,C:C,C684)&lt;0,0,SUMIFS('Shipments data'!L:L,'Shipments data'!F:F,'Supply planning data'!C684,'Shipments data'!A:A,'Supply planning data'!A684,'Shipments data'!O:O,"received",'Shipments data'!Q:Q,"&lt;"&amp;'Supply planning data'!D699,'Shipments data'!AC:AC,"&lt;"&amp;'Supply planning data'!D699)-SUMIFS(M:M,D:D,"&lt;="&amp;D684,C:C,C684)+SUMIFS(N:N,D:D,"&lt;="&amp;D684,C:C,C684)+SUMIFS(P:P,D:D,"&lt;="&amp;D684,C:C,C684))</f>
        <v>0</v>
      </c>
      <c r="U684" s="112">
        <f t="shared" si="206"/>
        <v>0</v>
      </c>
      <c r="V684" s="111">
        <f t="shared" si="196"/>
        <v>0</v>
      </c>
      <c r="W684" s="204" t="str">
        <f t="shared" si="212"/>
        <v/>
      </c>
      <c r="X684" s="111">
        <f t="shared" si="207"/>
        <v>0</v>
      </c>
      <c r="Y684" s="110"/>
      <c r="Z684" s="107"/>
      <c r="AA684" s="111">
        <f t="shared" si="200"/>
        <v>0</v>
      </c>
      <c r="AB684" s="235"/>
      <c r="AC684" s="111">
        <f>IF(SUMIFS('Shipments data'!L:L,'Shipments data'!F:F,'Supply planning data'!C684,'Shipments data'!A:A,'Supply planning data'!A684,'Shipments data'!O:O,"received",'Shipments data'!Q:Q,"&lt;"&amp;'Supply planning data'!D699,'Shipments data'!AC:AC,"&lt;"&amp;'Supply planning data'!D699)-SUMIFS(M:M,D:D,"&lt;="&amp;D684,C:C,C684)-SUMIFS(AA:AA,D:D,"&lt;="&amp;D684,C:C,C684)+SUMIFS(N:N,D:D,"&lt;="&amp;D684,C:C,C684)+SUMIFS(P:P,D:D,"&lt;="&amp;D684,C:C,C684)&lt;0,0,SUMIFS('Shipments data'!L:L,'Shipments data'!F:F,'Supply planning data'!C684,'Shipments data'!A:A,'Supply planning data'!A684,'Shipments data'!O:O,"received",'Shipments data'!Q:Q,"&lt;"&amp;'Supply planning data'!D699,'Shipments data'!AC:AC,"&lt;"&amp;'Supply planning data'!D699)-SUMIFS(M:M,D:D,"&lt;="&amp;D684,C:C,C684)-SUMIFS(AA:AA,D:D,"&lt;="&amp;D684,C:C,C684)+SUMIFS(N:N,D:D,"&lt;="&amp;D684,C:C,C684)+SUMIFS(P:P,D:D,"&lt;="&amp;D684,C:C,C684))</f>
        <v>0</v>
      </c>
      <c r="AD684" s="111">
        <f t="shared" si="208"/>
        <v>0</v>
      </c>
      <c r="AE684" s="111">
        <f t="shared" si="202"/>
        <v>0</v>
      </c>
      <c r="AF684" s="204" t="str">
        <f t="shared" si="211"/>
        <v/>
      </c>
      <c r="AG684" s="111">
        <f t="shared" si="209"/>
        <v>0</v>
      </c>
      <c r="AH684" s="110"/>
      <c r="AI684" s="313"/>
      <c r="AJ684" s="111">
        <f t="shared" si="201"/>
        <v>0</v>
      </c>
      <c r="AK684" s="235"/>
      <c r="AL684" s="111">
        <f>IF(SUMIFS('Shipments data'!L:L,'Shipments data'!F:F,'Supply planning data'!C684,'Shipments data'!A:A,'Supply planning data'!A684,'Shipments data'!O:O,"received",'Shipments data'!Q:Q,"&lt;"&amp;'Supply planning data'!D699,'Shipments data'!AC:AC,"&lt;"&amp;'Supply planning data'!D699)-SUMIFS(M:M,D:D,"&lt;="&amp;D684,C:C,C684)-SUMIFS(AJ:AJ,D:D,"&lt;="&amp;D684,C:C,C684)+SUMIFS(N:N,D:D,"&lt;="&amp;D684,C:C,C684)+SUMIFS(P:P,D:D,"&lt;="&amp;D684,C:C,C684)&lt;0,0,SUMIFS('Shipments data'!L:L,'Shipments data'!F:F,'Supply planning data'!C684,'Shipments data'!A:A,'Supply planning data'!A684,'Shipments data'!O:O,"received",'Shipments data'!Q:Q,"&lt;"&amp;'Supply planning data'!D699,'Shipments data'!AC:AC,"&lt;"&amp;'Supply planning data'!D699)-SUMIFS(M:M,D:D,"&lt;="&amp;D684,C:C,C684)-SUMIFS(AJ:AJ,D:D,"&lt;="&amp;D684,C:C,C684)+SUMIFS(N:N,D:D,"&lt;="&amp;D684,C:C,C684)+SUMIFS(P:P,D:D,"&lt;="&amp;D684,C:C,C684))</f>
        <v>0</v>
      </c>
      <c r="AM684" s="111">
        <f t="shared" si="210"/>
        <v>0</v>
      </c>
      <c r="AN684" s="111">
        <f t="shared" si="203"/>
        <v>0</v>
      </c>
      <c r="AO684" s="204" t="str">
        <f t="shared" si="213"/>
        <v/>
      </c>
    </row>
    <row r="685" spans="1:41" hidden="1" x14ac:dyDescent="0.25">
      <c r="A685" s="103" t="str">
        <f>Start!D$7</f>
        <v>Anyland</v>
      </c>
      <c r="B685" s="109" t="str">
        <f>VLOOKUP(A685,list!B:C,2,FALSE)</f>
        <v>ANY</v>
      </c>
      <c r="C685" s="109" t="str">
        <f>IF(Start!$C$22="","",Start!$C$22)</f>
        <v/>
      </c>
      <c r="D685" s="298">
        <f t="shared" si="204"/>
        <v>45566</v>
      </c>
      <c r="E685" s="105" t="str">
        <f>IFERROR(VLOOKUP(C685,Start!C$15:D$31,2,FALSE),"No")</f>
        <v>No</v>
      </c>
      <c r="F685" s="105">
        <f t="shared" si="205"/>
        <v>0</v>
      </c>
      <c r="G685" s="106"/>
      <c r="H685" s="106"/>
      <c r="I685" s="106"/>
      <c r="J685" s="105">
        <f t="shared" si="197"/>
        <v>0</v>
      </c>
      <c r="K685" s="106"/>
      <c r="L685" s="177" t="str">
        <f t="shared" si="198"/>
        <v/>
      </c>
      <c r="M685" s="105">
        <f t="shared" si="199"/>
        <v>0</v>
      </c>
      <c r="N685" s="110"/>
      <c r="O685" s="124"/>
      <c r="P685" s="110"/>
      <c r="Q685" s="124"/>
      <c r="R685" s="111">
        <f>SUMIFS('Shipments data'!L:L,'Shipments data'!F:F,'Supply planning data'!C685,'Shipments data'!A:A,'Supply planning data'!A685,'Shipments data'!Y:Y,'Supply planning data'!D685,'Shipments data'!O:O,"received", 'Shipments data'!N:N, "Public")</f>
        <v>0</v>
      </c>
      <c r="S685" s="111">
        <f>SUMIFS('Shipments data'!L:L,'Shipments data'!F:F,'Supply planning data'!C685,'Shipments data'!A:A,'Supply planning data'!A685,'Shipments data'!Y:Y,'Supply planning data'!D685,'Shipments data'!O:O,"ordered", 'Shipments data'!N:N, "Public")</f>
        <v>0</v>
      </c>
      <c r="T685" s="111">
        <f>IF(SUMIFS('Shipments data'!L:L,'Shipments data'!F:F,'Supply planning data'!C685,'Shipments data'!A:A,'Supply planning data'!A685,'Shipments data'!O:O,"received",'Shipments data'!Q:Q,"&lt;"&amp;'Supply planning data'!D700,'Shipments data'!AC:AC,"&lt;"&amp;'Supply planning data'!D700)-SUMIFS(M:M,D:D,"&lt;="&amp;D685,C:C,C685)+SUMIFS(N:N,D:D,"&lt;="&amp;D685,C:C,C685)+SUMIFS(P:P,D:D,"&lt;="&amp;D685,C:C,C685)&lt;0,0,SUMIFS('Shipments data'!L:L,'Shipments data'!F:F,'Supply planning data'!C685,'Shipments data'!A:A,'Supply planning data'!A685,'Shipments data'!O:O,"received",'Shipments data'!Q:Q,"&lt;"&amp;'Supply planning data'!D700,'Shipments data'!AC:AC,"&lt;"&amp;'Supply planning data'!D700)-SUMIFS(M:M,D:D,"&lt;="&amp;D685,C:C,C685)+SUMIFS(N:N,D:D,"&lt;="&amp;D685,C:C,C685)+SUMIFS(P:P,D:D,"&lt;="&amp;D685,C:C,C685))</f>
        <v>0</v>
      </c>
      <c r="U685" s="112">
        <f t="shared" si="206"/>
        <v>0</v>
      </c>
      <c r="V685" s="111">
        <f t="shared" si="196"/>
        <v>0</v>
      </c>
      <c r="W685" s="204" t="str">
        <f t="shared" si="212"/>
        <v/>
      </c>
      <c r="X685" s="111">
        <f t="shared" si="207"/>
        <v>0</v>
      </c>
      <c r="Y685" s="110"/>
      <c r="Z685" s="107"/>
      <c r="AA685" s="111">
        <f t="shared" si="200"/>
        <v>0</v>
      </c>
      <c r="AB685" s="235"/>
      <c r="AC685" s="111">
        <f>IF(SUMIFS('Shipments data'!L:L,'Shipments data'!F:F,'Supply planning data'!C685,'Shipments data'!A:A,'Supply planning data'!A685,'Shipments data'!O:O,"received",'Shipments data'!Q:Q,"&lt;"&amp;'Supply planning data'!D700,'Shipments data'!AC:AC,"&lt;"&amp;'Supply planning data'!D700)-SUMIFS(M:M,D:D,"&lt;="&amp;D685,C:C,C685)-SUMIFS(AA:AA,D:D,"&lt;="&amp;D685,C:C,C685)+SUMIFS(N:N,D:D,"&lt;="&amp;D685,C:C,C685)+SUMIFS(P:P,D:D,"&lt;="&amp;D685,C:C,C685)&lt;0,0,SUMIFS('Shipments data'!L:L,'Shipments data'!F:F,'Supply planning data'!C685,'Shipments data'!A:A,'Supply planning data'!A685,'Shipments data'!O:O,"received",'Shipments data'!Q:Q,"&lt;"&amp;'Supply planning data'!D700,'Shipments data'!AC:AC,"&lt;"&amp;'Supply planning data'!D700)-SUMIFS(M:M,D:D,"&lt;="&amp;D685,C:C,C685)-SUMIFS(AA:AA,D:D,"&lt;="&amp;D685,C:C,C685)+SUMIFS(N:N,D:D,"&lt;="&amp;D685,C:C,C685)+SUMIFS(P:P,D:D,"&lt;="&amp;D685,C:C,C685))</f>
        <v>0</v>
      </c>
      <c r="AD685" s="111">
        <f t="shared" si="208"/>
        <v>0</v>
      </c>
      <c r="AE685" s="111">
        <f t="shared" si="202"/>
        <v>0</v>
      </c>
      <c r="AF685" s="204" t="str">
        <f t="shared" si="211"/>
        <v/>
      </c>
      <c r="AG685" s="111">
        <f t="shared" si="209"/>
        <v>0</v>
      </c>
      <c r="AH685" s="110"/>
      <c r="AI685" s="313"/>
      <c r="AJ685" s="111">
        <f t="shared" si="201"/>
        <v>0</v>
      </c>
      <c r="AK685" s="235"/>
      <c r="AL685" s="111">
        <f>IF(SUMIFS('Shipments data'!L:L,'Shipments data'!F:F,'Supply planning data'!C685,'Shipments data'!A:A,'Supply planning data'!A685,'Shipments data'!O:O,"received",'Shipments data'!Q:Q,"&lt;"&amp;'Supply planning data'!D700,'Shipments data'!AC:AC,"&lt;"&amp;'Supply planning data'!D700)-SUMIFS(M:M,D:D,"&lt;="&amp;D685,C:C,C685)-SUMIFS(AJ:AJ,D:D,"&lt;="&amp;D685,C:C,C685)+SUMIFS(N:N,D:D,"&lt;="&amp;D685,C:C,C685)+SUMIFS(P:P,D:D,"&lt;="&amp;D685,C:C,C685)&lt;0,0,SUMIFS('Shipments data'!L:L,'Shipments data'!F:F,'Supply planning data'!C685,'Shipments data'!A:A,'Supply planning data'!A685,'Shipments data'!O:O,"received",'Shipments data'!Q:Q,"&lt;"&amp;'Supply planning data'!D700,'Shipments data'!AC:AC,"&lt;"&amp;'Supply planning data'!D700)-SUMIFS(M:M,D:D,"&lt;="&amp;D685,C:C,C685)-SUMIFS(AJ:AJ,D:D,"&lt;="&amp;D685,C:C,C685)+SUMIFS(N:N,D:D,"&lt;="&amp;D685,C:C,C685)+SUMIFS(P:P,D:D,"&lt;="&amp;D685,C:C,C685))</f>
        <v>0</v>
      </c>
      <c r="AM685" s="111">
        <f t="shared" si="210"/>
        <v>0</v>
      </c>
      <c r="AN685" s="111">
        <f t="shared" si="203"/>
        <v>0</v>
      </c>
      <c r="AO685" s="204" t="str">
        <f t="shared" si="213"/>
        <v/>
      </c>
    </row>
    <row r="686" spans="1:41" hidden="1" x14ac:dyDescent="0.25">
      <c r="A686" s="103" t="str">
        <f>Start!D$7</f>
        <v>Anyland</v>
      </c>
      <c r="B686" s="109" t="str">
        <f>VLOOKUP(A686,list!B:C,2,FALSE)</f>
        <v>ANY</v>
      </c>
      <c r="C686" s="104" t="str">
        <f>IF(Start!$C$23="","",Start!$C$23)</f>
        <v/>
      </c>
      <c r="D686" s="298">
        <f t="shared" si="204"/>
        <v>45566</v>
      </c>
      <c r="E686" s="105" t="str">
        <f>IFERROR(VLOOKUP(C686,Start!C$15:D$31,2,FALSE),"No")</f>
        <v>No</v>
      </c>
      <c r="F686" s="105">
        <f t="shared" si="205"/>
        <v>0</v>
      </c>
      <c r="G686" s="106"/>
      <c r="H686" s="106"/>
      <c r="I686" s="106"/>
      <c r="J686" s="105">
        <f t="shared" si="197"/>
        <v>0</v>
      </c>
      <c r="K686" s="106"/>
      <c r="L686" s="177" t="str">
        <f t="shared" si="198"/>
        <v/>
      </c>
      <c r="M686" s="105">
        <f t="shared" si="199"/>
        <v>0</v>
      </c>
      <c r="N686" s="110"/>
      <c r="O686" s="124"/>
      <c r="P686" s="110"/>
      <c r="Q686" s="124"/>
      <c r="R686" s="111">
        <f>SUMIFS('Shipments data'!L:L,'Shipments data'!F:F,'Supply planning data'!C686,'Shipments data'!A:A,'Supply planning data'!A686,'Shipments data'!Y:Y,'Supply planning data'!D686,'Shipments data'!O:O,"received", 'Shipments data'!N:N, "Public")</f>
        <v>0</v>
      </c>
      <c r="S686" s="111">
        <f>SUMIFS('Shipments data'!L:L,'Shipments data'!F:F,'Supply planning data'!C686,'Shipments data'!A:A,'Supply planning data'!A686,'Shipments data'!Y:Y,'Supply planning data'!D686,'Shipments data'!O:O,"ordered", 'Shipments data'!N:N, "Public")</f>
        <v>0</v>
      </c>
      <c r="T686" s="111">
        <f>IF(SUMIFS('Shipments data'!L:L,'Shipments data'!F:F,'Supply planning data'!C686,'Shipments data'!A:A,'Supply planning data'!A686,'Shipments data'!O:O,"received",'Shipments data'!Q:Q,"&lt;"&amp;'Supply planning data'!D701,'Shipments data'!AC:AC,"&lt;"&amp;'Supply planning data'!D701)-SUMIFS(M:M,D:D,"&lt;="&amp;D686,C:C,C686)+SUMIFS(N:N,D:D,"&lt;="&amp;D686,C:C,C686)+SUMIFS(P:P,D:D,"&lt;="&amp;D686,C:C,C686)&lt;0,0,SUMIFS('Shipments data'!L:L,'Shipments data'!F:F,'Supply planning data'!C686,'Shipments data'!A:A,'Supply planning data'!A686,'Shipments data'!O:O,"received",'Shipments data'!Q:Q,"&lt;"&amp;'Supply planning data'!D701,'Shipments data'!AC:AC,"&lt;"&amp;'Supply planning data'!D701)-SUMIFS(M:M,D:D,"&lt;="&amp;D686,C:C,C686)+SUMIFS(N:N,D:D,"&lt;="&amp;D686,C:C,C686)+SUMIFS(P:P,D:D,"&lt;="&amp;D686,C:C,C686))</f>
        <v>0</v>
      </c>
      <c r="U686" s="112">
        <f t="shared" si="206"/>
        <v>0</v>
      </c>
      <c r="V686" s="111">
        <f t="shared" si="196"/>
        <v>0</v>
      </c>
      <c r="W686" s="204" t="str">
        <f t="shared" si="212"/>
        <v/>
      </c>
      <c r="X686" s="111">
        <f t="shared" si="207"/>
        <v>0</v>
      </c>
      <c r="Y686" s="110"/>
      <c r="Z686" s="107"/>
      <c r="AA686" s="111">
        <f t="shared" si="200"/>
        <v>0</v>
      </c>
      <c r="AB686" s="235"/>
      <c r="AC686" s="111">
        <f>IF(SUMIFS('Shipments data'!L:L,'Shipments data'!F:F,'Supply planning data'!C686,'Shipments data'!A:A,'Supply planning data'!A686,'Shipments data'!O:O,"received",'Shipments data'!Q:Q,"&lt;"&amp;'Supply planning data'!D701,'Shipments data'!AC:AC,"&lt;"&amp;'Supply planning data'!D701)-SUMIFS(M:M,D:D,"&lt;="&amp;D686,C:C,C686)-SUMIFS(AA:AA,D:D,"&lt;="&amp;D686,C:C,C686)+SUMIFS(N:N,D:D,"&lt;="&amp;D686,C:C,C686)+SUMIFS(P:P,D:D,"&lt;="&amp;D686,C:C,C686)&lt;0,0,SUMIFS('Shipments data'!L:L,'Shipments data'!F:F,'Supply planning data'!C686,'Shipments data'!A:A,'Supply planning data'!A686,'Shipments data'!O:O,"received",'Shipments data'!Q:Q,"&lt;"&amp;'Supply planning data'!D701,'Shipments data'!AC:AC,"&lt;"&amp;'Supply planning data'!D701)-SUMIFS(M:M,D:D,"&lt;="&amp;D686,C:C,C686)-SUMIFS(AA:AA,D:D,"&lt;="&amp;D686,C:C,C686)+SUMIFS(N:N,D:D,"&lt;="&amp;D686,C:C,C686)+SUMIFS(P:P,D:D,"&lt;="&amp;D686,C:C,C686))</f>
        <v>0</v>
      </c>
      <c r="AD686" s="111">
        <f t="shared" si="208"/>
        <v>0</v>
      </c>
      <c r="AE686" s="111">
        <f t="shared" si="202"/>
        <v>0</v>
      </c>
      <c r="AF686" s="204" t="str">
        <f t="shared" si="211"/>
        <v/>
      </c>
      <c r="AG686" s="111">
        <f t="shared" si="209"/>
        <v>0</v>
      </c>
      <c r="AH686" s="110"/>
      <c r="AI686" s="313"/>
      <c r="AJ686" s="111">
        <f t="shared" si="201"/>
        <v>0</v>
      </c>
      <c r="AK686" s="235"/>
      <c r="AL686" s="111">
        <f>IF(SUMIFS('Shipments data'!L:L,'Shipments data'!F:F,'Supply planning data'!C686,'Shipments data'!A:A,'Supply planning data'!A686,'Shipments data'!O:O,"received",'Shipments data'!Q:Q,"&lt;"&amp;'Supply planning data'!D701,'Shipments data'!AC:AC,"&lt;"&amp;'Supply planning data'!D701)-SUMIFS(M:M,D:D,"&lt;="&amp;D686,C:C,C686)-SUMIFS(AJ:AJ,D:D,"&lt;="&amp;D686,C:C,C686)+SUMIFS(N:N,D:D,"&lt;="&amp;D686,C:C,C686)+SUMIFS(P:P,D:D,"&lt;="&amp;D686,C:C,C686)&lt;0,0,SUMIFS('Shipments data'!L:L,'Shipments data'!F:F,'Supply planning data'!C686,'Shipments data'!A:A,'Supply planning data'!A686,'Shipments data'!O:O,"received",'Shipments data'!Q:Q,"&lt;"&amp;'Supply planning data'!D701,'Shipments data'!AC:AC,"&lt;"&amp;'Supply planning data'!D701)-SUMIFS(M:M,D:D,"&lt;="&amp;D686,C:C,C686)-SUMIFS(AJ:AJ,D:D,"&lt;="&amp;D686,C:C,C686)+SUMIFS(N:N,D:D,"&lt;="&amp;D686,C:C,C686)+SUMIFS(P:P,D:D,"&lt;="&amp;D686,C:C,C686))</f>
        <v>0</v>
      </c>
      <c r="AM686" s="111">
        <f t="shared" si="210"/>
        <v>0</v>
      </c>
      <c r="AN686" s="111">
        <f t="shared" si="203"/>
        <v>0</v>
      </c>
      <c r="AO686" s="204" t="str">
        <f t="shared" si="213"/>
        <v/>
      </c>
    </row>
    <row r="687" spans="1:41" hidden="1" x14ac:dyDescent="0.25">
      <c r="A687" s="103" t="str">
        <f>Start!D$7</f>
        <v>Anyland</v>
      </c>
      <c r="B687" s="109" t="str">
        <f>VLOOKUP(A687,list!B:C,2,FALSE)</f>
        <v>ANY</v>
      </c>
      <c r="C687" s="109" t="str">
        <f>IF(Start!$C$24="","",Start!$C$24)</f>
        <v/>
      </c>
      <c r="D687" s="298">
        <f t="shared" si="204"/>
        <v>45566</v>
      </c>
      <c r="E687" s="105" t="str">
        <f>IFERROR(VLOOKUP(C687,Start!C$15:D$31,2,FALSE),"No")</f>
        <v>No</v>
      </c>
      <c r="F687" s="105">
        <f t="shared" si="205"/>
        <v>0</v>
      </c>
      <c r="G687" s="106"/>
      <c r="H687" s="106"/>
      <c r="I687" s="106"/>
      <c r="J687" s="105">
        <f t="shared" si="197"/>
        <v>0</v>
      </c>
      <c r="K687" s="106"/>
      <c r="L687" s="177" t="str">
        <f t="shared" si="198"/>
        <v/>
      </c>
      <c r="M687" s="105">
        <f t="shared" si="199"/>
        <v>0</v>
      </c>
      <c r="N687" s="110"/>
      <c r="O687" s="124"/>
      <c r="P687" s="110"/>
      <c r="Q687" s="124"/>
      <c r="R687" s="111">
        <f>SUMIFS('Shipments data'!L:L,'Shipments data'!F:F,'Supply planning data'!C687,'Shipments data'!A:A,'Supply planning data'!A687,'Shipments data'!Y:Y,'Supply planning data'!D687,'Shipments data'!O:O,"received", 'Shipments data'!N:N, "Public")</f>
        <v>0</v>
      </c>
      <c r="S687" s="111">
        <f>SUMIFS('Shipments data'!L:L,'Shipments data'!F:F,'Supply planning data'!C687,'Shipments data'!A:A,'Supply planning data'!A687,'Shipments data'!Y:Y,'Supply planning data'!D687,'Shipments data'!O:O,"ordered", 'Shipments data'!N:N, "Public")</f>
        <v>0</v>
      </c>
      <c r="T687" s="111">
        <f>IF(SUMIFS('Shipments data'!L:L,'Shipments data'!F:F,'Supply planning data'!C687,'Shipments data'!A:A,'Supply planning data'!A687,'Shipments data'!O:O,"received",'Shipments data'!Q:Q,"&lt;"&amp;'Supply planning data'!D702,'Shipments data'!AC:AC,"&lt;"&amp;'Supply planning data'!D702)-SUMIFS(M:M,D:D,"&lt;="&amp;D687,C:C,C687)+SUMIFS(N:N,D:D,"&lt;="&amp;D687,C:C,C687)+SUMIFS(P:P,D:D,"&lt;="&amp;D687,C:C,C687)&lt;0,0,SUMIFS('Shipments data'!L:L,'Shipments data'!F:F,'Supply planning data'!C687,'Shipments data'!A:A,'Supply planning data'!A687,'Shipments data'!O:O,"received",'Shipments data'!Q:Q,"&lt;"&amp;'Supply planning data'!D702,'Shipments data'!AC:AC,"&lt;"&amp;'Supply planning data'!D702)-SUMIFS(M:M,D:D,"&lt;="&amp;D687,C:C,C687)+SUMIFS(N:N,D:D,"&lt;="&amp;D687,C:C,C687)+SUMIFS(P:P,D:D,"&lt;="&amp;D687,C:C,C687))</f>
        <v>0</v>
      </c>
      <c r="U687" s="112">
        <f t="shared" si="206"/>
        <v>0</v>
      </c>
      <c r="V687" s="111">
        <f t="shared" si="196"/>
        <v>0</v>
      </c>
      <c r="W687" s="204" t="str">
        <f t="shared" si="212"/>
        <v/>
      </c>
      <c r="X687" s="111">
        <f t="shared" si="207"/>
        <v>0</v>
      </c>
      <c r="Y687" s="110"/>
      <c r="Z687" s="107"/>
      <c r="AA687" s="111">
        <f t="shared" si="200"/>
        <v>0</v>
      </c>
      <c r="AB687" s="235"/>
      <c r="AC687" s="111">
        <f>IF(SUMIFS('Shipments data'!L:L,'Shipments data'!F:F,'Supply planning data'!C687,'Shipments data'!A:A,'Supply planning data'!A687,'Shipments data'!O:O,"received",'Shipments data'!Q:Q,"&lt;"&amp;'Supply planning data'!D702,'Shipments data'!AC:AC,"&lt;"&amp;'Supply planning data'!D702)-SUMIFS(M:M,D:D,"&lt;="&amp;D687,C:C,C687)-SUMIFS(AA:AA,D:D,"&lt;="&amp;D687,C:C,C687)+SUMIFS(N:N,D:D,"&lt;="&amp;D687,C:C,C687)+SUMIFS(P:P,D:D,"&lt;="&amp;D687,C:C,C687)&lt;0,0,SUMIFS('Shipments data'!L:L,'Shipments data'!F:F,'Supply planning data'!C687,'Shipments data'!A:A,'Supply planning data'!A687,'Shipments data'!O:O,"received",'Shipments data'!Q:Q,"&lt;"&amp;'Supply planning data'!D702,'Shipments data'!AC:AC,"&lt;"&amp;'Supply planning data'!D702)-SUMIFS(M:M,D:D,"&lt;="&amp;D687,C:C,C687)-SUMIFS(AA:AA,D:D,"&lt;="&amp;D687,C:C,C687)+SUMIFS(N:N,D:D,"&lt;="&amp;D687,C:C,C687)+SUMIFS(P:P,D:D,"&lt;="&amp;D687,C:C,C687))</f>
        <v>0</v>
      </c>
      <c r="AD687" s="111">
        <f t="shared" si="208"/>
        <v>0</v>
      </c>
      <c r="AE687" s="111">
        <f t="shared" si="202"/>
        <v>0</v>
      </c>
      <c r="AF687" s="204" t="str">
        <f t="shared" si="211"/>
        <v/>
      </c>
      <c r="AG687" s="111">
        <f t="shared" si="209"/>
        <v>0</v>
      </c>
      <c r="AH687" s="110"/>
      <c r="AI687" s="313"/>
      <c r="AJ687" s="111">
        <f t="shared" si="201"/>
        <v>0</v>
      </c>
      <c r="AK687" s="235"/>
      <c r="AL687" s="111">
        <f>IF(SUMIFS('Shipments data'!L:L,'Shipments data'!F:F,'Supply planning data'!C687,'Shipments data'!A:A,'Supply planning data'!A687,'Shipments data'!O:O,"received",'Shipments data'!Q:Q,"&lt;"&amp;'Supply planning data'!D702,'Shipments data'!AC:AC,"&lt;"&amp;'Supply planning data'!D702)-SUMIFS(M:M,D:D,"&lt;="&amp;D687,C:C,C687)-SUMIFS(AJ:AJ,D:D,"&lt;="&amp;D687,C:C,C687)+SUMIFS(N:N,D:D,"&lt;="&amp;D687,C:C,C687)+SUMIFS(P:P,D:D,"&lt;="&amp;D687,C:C,C687)&lt;0,0,SUMIFS('Shipments data'!L:L,'Shipments data'!F:F,'Supply planning data'!C687,'Shipments data'!A:A,'Supply planning data'!A687,'Shipments data'!O:O,"received",'Shipments data'!Q:Q,"&lt;"&amp;'Supply planning data'!D702,'Shipments data'!AC:AC,"&lt;"&amp;'Supply planning data'!D702)-SUMIFS(M:M,D:D,"&lt;="&amp;D687,C:C,C687)-SUMIFS(AJ:AJ,D:D,"&lt;="&amp;D687,C:C,C687)+SUMIFS(N:N,D:D,"&lt;="&amp;D687,C:C,C687)+SUMIFS(P:P,D:D,"&lt;="&amp;D687,C:C,C687))</f>
        <v>0</v>
      </c>
      <c r="AM687" s="111">
        <f t="shared" si="210"/>
        <v>0</v>
      </c>
      <c r="AN687" s="111">
        <f t="shared" si="203"/>
        <v>0</v>
      </c>
      <c r="AO687" s="204" t="str">
        <f t="shared" si="213"/>
        <v/>
      </c>
    </row>
    <row r="688" spans="1:41" hidden="1" x14ac:dyDescent="0.25">
      <c r="A688" s="103" t="str">
        <f>Start!D$7</f>
        <v>Anyland</v>
      </c>
      <c r="B688" s="109" t="str">
        <f>VLOOKUP(A688,list!B:C,2,FALSE)</f>
        <v>ANY</v>
      </c>
      <c r="C688" s="104" t="str">
        <f>IF(Start!$C$25="","",Start!$C$25)</f>
        <v/>
      </c>
      <c r="D688" s="298">
        <f t="shared" si="204"/>
        <v>45566</v>
      </c>
      <c r="E688" s="105" t="str">
        <f>IFERROR(VLOOKUP(C688,Start!C$15:D$31,2,FALSE),"No")</f>
        <v>No</v>
      </c>
      <c r="F688" s="105">
        <f t="shared" si="205"/>
        <v>0</v>
      </c>
      <c r="G688" s="106"/>
      <c r="H688" s="106"/>
      <c r="I688" s="106"/>
      <c r="J688" s="105">
        <f t="shared" si="197"/>
        <v>0</v>
      </c>
      <c r="K688" s="106"/>
      <c r="L688" s="177" t="str">
        <f t="shared" si="198"/>
        <v/>
      </c>
      <c r="M688" s="105">
        <f t="shared" si="199"/>
        <v>0</v>
      </c>
      <c r="N688" s="110"/>
      <c r="O688" s="124"/>
      <c r="P688" s="110"/>
      <c r="Q688" s="124"/>
      <c r="R688" s="111">
        <f>SUMIFS('Shipments data'!L:L,'Shipments data'!F:F,'Supply planning data'!C688,'Shipments data'!A:A,'Supply planning data'!A688,'Shipments data'!Y:Y,'Supply planning data'!D688,'Shipments data'!O:O,"received", 'Shipments data'!N:N, "Public")</f>
        <v>0</v>
      </c>
      <c r="S688" s="111">
        <f>SUMIFS('Shipments data'!L:L,'Shipments data'!F:F,'Supply planning data'!C688,'Shipments data'!A:A,'Supply planning data'!A688,'Shipments data'!Y:Y,'Supply planning data'!D688,'Shipments data'!O:O,"ordered", 'Shipments data'!N:N, "Public")</f>
        <v>0</v>
      </c>
      <c r="T688" s="111">
        <f>IF(SUMIFS('Shipments data'!L:L,'Shipments data'!F:F,'Supply planning data'!C688,'Shipments data'!A:A,'Supply planning data'!A688,'Shipments data'!O:O,"received",'Shipments data'!Q:Q,"&lt;"&amp;'Supply planning data'!D703,'Shipments data'!AC:AC,"&lt;"&amp;'Supply planning data'!D703)-SUMIFS(M:M,D:D,"&lt;="&amp;D688,C:C,C688)+SUMIFS(N:N,D:D,"&lt;="&amp;D688,C:C,C688)+SUMIFS(P:P,D:D,"&lt;="&amp;D688,C:C,C688)&lt;0,0,SUMIFS('Shipments data'!L:L,'Shipments data'!F:F,'Supply planning data'!C688,'Shipments data'!A:A,'Supply planning data'!A688,'Shipments data'!O:O,"received",'Shipments data'!Q:Q,"&lt;"&amp;'Supply planning data'!D703,'Shipments data'!AC:AC,"&lt;"&amp;'Supply planning data'!D703)-SUMIFS(M:M,D:D,"&lt;="&amp;D688,C:C,C688)+SUMIFS(N:N,D:D,"&lt;="&amp;D688,C:C,C688)+SUMIFS(P:P,D:D,"&lt;="&amp;D688,C:C,C688))</f>
        <v>0</v>
      </c>
      <c r="U688" s="112">
        <f t="shared" si="206"/>
        <v>0</v>
      </c>
      <c r="V688" s="111">
        <f t="shared" si="196"/>
        <v>0</v>
      </c>
      <c r="W688" s="204" t="str">
        <f t="shared" si="212"/>
        <v/>
      </c>
      <c r="X688" s="111">
        <f t="shared" si="207"/>
        <v>0</v>
      </c>
      <c r="Y688" s="110"/>
      <c r="Z688" s="107"/>
      <c r="AA688" s="111">
        <f t="shared" si="200"/>
        <v>0</v>
      </c>
      <c r="AB688" s="235"/>
      <c r="AC688" s="111">
        <f>IF(SUMIFS('Shipments data'!L:L,'Shipments data'!F:F,'Supply planning data'!C688,'Shipments data'!A:A,'Supply planning data'!A688,'Shipments data'!O:O,"received",'Shipments data'!Q:Q,"&lt;"&amp;'Supply planning data'!D703,'Shipments data'!AC:AC,"&lt;"&amp;'Supply planning data'!D703)-SUMIFS(M:M,D:D,"&lt;="&amp;D688,C:C,C688)-SUMIFS(AA:AA,D:D,"&lt;="&amp;D688,C:C,C688)+SUMIFS(N:N,D:D,"&lt;="&amp;D688,C:C,C688)+SUMIFS(P:P,D:D,"&lt;="&amp;D688,C:C,C688)&lt;0,0,SUMIFS('Shipments data'!L:L,'Shipments data'!F:F,'Supply planning data'!C688,'Shipments data'!A:A,'Supply planning data'!A688,'Shipments data'!O:O,"received",'Shipments data'!Q:Q,"&lt;"&amp;'Supply planning data'!D703,'Shipments data'!AC:AC,"&lt;"&amp;'Supply planning data'!D703)-SUMIFS(M:M,D:D,"&lt;="&amp;D688,C:C,C688)-SUMIFS(AA:AA,D:D,"&lt;="&amp;D688,C:C,C688)+SUMIFS(N:N,D:D,"&lt;="&amp;D688,C:C,C688)+SUMIFS(P:P,D:D,"&lt;="&amp;D688,C:C,C688))</f>
        <v>0</v>
      </c>
      <c r="AD688" s="111">
        <f t="shared" si="208"/>
        <v>0</v>
      </c>
      <c r="AE688" s="111">
        <f t="shared" si="202"/>
        <v>0</v>
      </c>
      <c r="AF688" s="204" t="str">
        <f t="shared" si="211"/>
        <v/>
      </c>
      <c r="AG688" s="111">
        <f t="shared" si="209"/>
        <v>0</v>
      </c>
      <c r="AH688" s="110"/>
      <c r="AI688" s="313"/>
      <c r="AJ688" s="111">
        <f t="shared" si="201"/>
        <v>0</v>
      </c>
      <c r="AK688" s="235"/>
      <c r="AL688" s="111">
        <f>IF(SUMIFS('Shipments data'!L:L,'Shipments data'!F:F,'Supply planning data'!C688,'Shipments data'!A:A,'Supply planning data'!A688,'Shipments data'!O:O,"received",'Shipments data'!Q:Q,"&lt;"&amp;'Supply planning data'!D703,'Shipments data'!AC:AC,"&lt;"&amp;'Supply planning data'!D703)-SUMIFS(M:M,D:D,"&lt;="&amp;D688,C:C,C688)-SUMIFS(AJ:AJ,D:D,"&lt;="&amp;D688,C:C,C688)+SUMIFS(N:N,D:D,"&lt;="&amp;D688,C:C,C688)+SUMIFS(P:P,D:D,"&lt;="&amp;D688,C:C,C688)&lt;0,0,SUMIFS('Shipments data'!L:L,'Shipments data'!F:F,'Supply planning data'!C688,'Shipments data'!A:A,'Supply planning data'!A688,'Shipments data'!O:O,"received",'Shipments data'!Q:Q,"&lt;"&amp;'Supply planning data'!D703,'Shipments data'!AC:AC,"&lt;"&amp;'Supply planning data'!D703)-SUMIFS(M:M,D:D,"&lt;="&amp;D688,C:C,C688)-SUMIFS(AJ:AJ,D:D,"&lt;="&amp;D688,C:C,C688)+SUMIFS(N:N,D:D,"&lt;="&amp;D688,C:C,C688)+SUMIFS(P:P,D:D,"&lt;="&amp;D688,C:C,C688))</f>
        <v>0</v>
      </c>
      <c r="AM688" s="111">
        <f t="shared" si="210"/>
        <v>0</v>
      </c>
      <c r="AN688" s="111">
        <f t="shared" si="203"/>
        <v>0</v>
      </c>
      <c r="AO688" s="204" t="str">
        <f t="shared" si="213"/>
        <v/>
      </c>
    </row>
    <row r="689" spans="1:41" hidden="1" x14ac:dyDescent="0.25">
      <c r="A689" s="103" t="str">
        <f>Start!D$7</f>
        <v>Anyland</v>
      </c>
      <c r="B689" s="109" t="str">
        <f>VLOOKUP(A689,list!B:C,2,FALSE)</f>
        <v>ANY</v>
      </c>
      <c r="C689" s="109" t="str">
        <f>IF(Start!$C$26="","",Start!$C$26)</f>
        <v/>
      </c>
      <c r="D689" s="298">
        <f t="shared" si="204"/>
        <v>45566</v>
      </c>
      <c r="E689" s="105" t="str">
        <f>IFERROR(VLOOKUP(C689,Start!C$15:D$31,2,FALSE),"No")</f>
        <v>No</v>
      </c>
      <c r="F689" s="105">
        <f t="shared" si="205"/>
        <v>0</v>
      </c>
      <c r="G689" s="106"/>
      <c r="H689" s="106"/>
      <c r="I689" s="106"/>
      <c r="J689" s="105">
        <f t="shared" si="197"/>
        <v>0</v>
      </c>
      <c r="K689" s="106"/>
      <c r="L689" s="177" t="str">
        <f t="shared" si="198"/>
        <v/>
      </c>
      <c r="M689" s="105">
        <f t="shared" si="199"/>
        <v>0</v>
      </c>
      <c r="N689" s="110"/>
      <c r="O689" s="124"/>
      <c r="P689" s="110"/>
      <c r="Q689" s="124"/>
      <c r="R689" s="111">
        <f>SUMIFS('Shipments data'!L:L,'Shipments data'!F:F,'Supply planning data'!C689,'Shipments data'!A:A,'Supply planning data'!A689,'Shipments data'!Y:Y,'Supply planning data'!D689,'Shipments data'!O:O,"received", 'Shipments data'!N:N, "Public")</f>
        <v>0</v>
      </c>
      <c r="S689" s="111">
        <f>SUMIFS('Shipments data'!L:L,'Shipments data'!F:F,'Supply planning data'!C689,'Shipments data'!A:A,'Supply planning data'!A689,'Shipments data'!Y:Y,'Supply planning data'!D689,'Shipments data'!O:O,"ordered", 'Shipments data'!N:N, "Public")</f>
        <v>0</v>
      </c>
      <c r="T689" s="111">
        <f>IF(SUMIFS('Shipments data'!L:L,'Shipments data'!F:F,'Supply planning data'!C689,'Shipments data'!A:A,'Supply planning data'!A689,'Shipments data'!O:O,"received",'Shipments data'!Q:Q,"&lt;"&amp;'Supply planning data'!D704,'Shipments data'!AC:AC,"&lt;"&amp;'Supply planning data'!D704)-SUMIFS(M:M,D:D,"&lt;="&amp;D689,C:C,C689)+SUMIFS(N:N,D:D,"&lt;="&amp;D689,C:C,C689)+SUMIFS(P:P,D:D,"&lt;="&amp;D689,C:C,C689)&lt;0,0,SUMIFS('Shipments data'!L:L,'Shipments data'!F:F,'Supply planning data'!C689,'Shipments data'!A:A,'Supply planning data'!A689,'Shipments data'!O:O,"received",'Shipments data'!Q:Q,"&lt;"&amp;'Supply planning data'!D704,'Shipments data'!AC:AC,"&lt;"&amp;'Supply planning data'!D704)-SUMIFS(M:M,D:D,"&lt;="&amp;D689,C:C,C689)+SUMIFS(N:N,D:D,"&lt;="&amp;D689,C:C,C689)+SUMIFS(P:P,D:D,"&lt;="&amp;D689,C:C,C689))</f>
        <v>0</v>
      </c>
      <c r="U689" s="112">
        <f t="shared" si="206"/>
        <v>0</v>
      </c>
      <c r="V689" s="111">
        <f t="shared" si="196"/>
        <v>0</v>
      </c>
      <c r="W689" s="204" t="str">
        <f t="shared" si="212"/>
        <v/>
      </c>
      <c r="X689" s="111">
        <f t="shared" si="207"/>
        <v>0</v>
      </c>
      <c r="Y689" s="110"/>
      <c r="Z689" s="107"/>
      <c r="AA689" s="111">
        <f t="shared" si="200"/>
        <v>0</v>
      </c>
      <c r="AB689" s="235"/>
      <c r="AC689" s="111">
        <f>IF(SUMIFS('Shipments data'!L:L,'Shipments data'!F:F,'Supply planning data'!C689,'Shipments data'!A:A,'Supply planning data'!A689,'Shipments data'!O:O,"received",'Shipments data'!Q:Q,"&lt;"&amp;'Supply planning data'!D704,'Shipments data'!AC:AC,"&lt;"&amp;'Supply planning data'!D704)-SUMIFS(M:M,D:D,"&lt;="&amp;D689,C:C,C689)-SUMIFS(AA:AA,D:D,"&lt;="&amp;D689,C:C,C689)+SUMIFS(N:N,D:D,"&lt;="&amp;D689,C:C,C689)+SUMIFS(P:P,D:D,"&lt;="&amp;D689,C:C,C689)&lt;0,0,SUMIFS('Shipments data'!L:L,'Shipments data'!F:F,'Supply planning data'!C689,'Shipments data'!A:A,'Supply planning data'!A689,'Shipments data'!O:O,"received",'Shipments data'!Q:Q,"&lt;"&amp;'Supply planning data'!D704,'Shipments data'!AC:AC,"&lt;"&amp;'Supply planning data'!D704)-SUMIFS(M:M,D:D,"&lt;="&amp;D689,C:C,C689)-SUMIFS(AA:AA,D:D,"&lt;="&amp;D689,C:C,C689)+SUMIFS(N:N,D:D,"&lt;="&amp;D689,C:C,C689)+SUMIFS(P:P,D:D,"&lt;="&amp;D689,C:C,C689))</f>
        <v>0</v>
      </c>
      <c r="AD689" s="111">
        <f t="shared" si="208"/>
        <v>0</v>
      </c>
      <c r="AE689" s="111">
        <f t="shared" si="202"/>
        <v>0</v>
      </c>
      <c r="AF689" s="204" t="str">
        <f t="shared" si="211"/>
        <v/>
      </c>
      <c r="AG689" s="111">
        <f t="shared" si="209"/>
        <v>0</v>
      </c>
      <c r="AH689" s="110"/>
      <c r="AI689" s="313"/>
      <c r="AJ689" s="111">
        <f t="shared" si="201"/>
        <v>0</v>
      </c>
      <c r="AK689" s="235"/>
      <c r="AL689" s="111">
        <f>IF(SUMIFS('Shipments data'!L:L,'Shipments data'!F:F,'Supply planning data'!C689,'Shipments data'!A:A,'Supply planning data'!A689,'Shipments data'!O:O,"received",'Shipments data'!Q:Q,"&lt;"&amp;'Supply planning data'!D704,'Shipments data'!AC:AC,"&lt;"&amp;'Supply planning data'!D704)-SUMIFS(M:M,D:D,"&lt;="&amp;D689,C:C,C689)-SUMIFS(AJ:AJ,D:D,"&lt;="&amp;D689,C:C,C689)+SUMIFS(N:N,D:D,"&lt;="&amp;D689,C:C,C689)+SUMIFS(P:P,D:D,"&lt;="&amp;D689,C:C,C689)&lt;0,0,SUMIFS('Shipments data'!L:L,'Shipments data'!F:F,'Supply planning data'!C689,'Shipments data'!A:A,'Supply planning data'!A689,'Shipments data'!O:O,"received",'Shipments data'!Q:Q,"&lt;"&amp;'Supply planning data'!D704,'Shipments data'!AC:AC,"&lt;"&amp;'Supply planning data'!D704)-SUMIFS(M:M,D:D,"&lt;="&amp;D689,C:C,C689)-SUMIFS(AJ:AJ,D:D,"&lt;="&amp;D689,C:C,C689)+SUMIFS(N:N,D:D,"&lt;="&amp;D689,C:C,C689)+SUMIFS(P:P,D:D,"&lt;="&amp;D689,C:C,C689))</f>
        <v>0</v>
      </c>
      <c r="AM689" s="111">
        <f t="shared" si="210"/>
        <v>0</v>
      </c>
      <c r="AN689" s="111">
        <f t="shared" si="203"/>
        <v>0</v>
      </c>
      <c r="AO689" s="204" t="str">
        <f t="shared" si="213"/>
        <v/>
      </c>
    </row>
    <row r="690" spans="1:41" hidden="1" x14ac:dyDescent="0.25">
      <c r="A690" s="103" t="str">
        <f>Start!D$7</f>
        <v>Anyland</v>
      </c>
      <c r="B690" s="109" t="str">
        <f>VLOOKUP(A690,list!B:C,2,FALSE)</f>
        <v>ANY</v>
      </c>
      <c r="C690" s="104" t="str">
        <f>IF(Start!$C$27="","",Start!$C$27)</f>
        <v/>
      </c>
      <c r="D690" s="298">
        <f t="shared" si="204"/>
        <v>45566</v>
      </c>
      <c r="E690" s="105" t="str">
        <f>IFERROR(VLOOKUP(C690,Start!C$15:D$31,2,FALSE),"No")</f>
        <v>No</v>
      </c>
      <c r="F690" s="105">
        <f t="shared" si="205"/>
        <v>0</v>
      </c>
      <c r="G690" s="106"/>
      <c r="H690" s="106"/>
      <c r="I690" s="106"/>
      <c r="J690" s="105">
        <f t="shared" si="197"/>
        <v>0</v>
      </c>
      <c r="K690" s="106"/>
      <c r="L690" s="177" t="str">
        <f t="shared" si="198"/>
        <v/>
      </c>
      <c r="M690" s="105">
        <f t="shared" si="199"/>
        <v>0</v>
      </c>
      <c r="N690" s="110"/>
      <c r="O690" s="124"/>
      <c r="P690" s="110"/>
      <c r="Q690" s="124"/>
      <c r="R690" s="111">
        <f>SUMIFS('Shipments data'!L:L,'Shipments data'!F:F,'Supply planning data'!C690,'Shipments data'!A:A,'Supply planning data'!A690,'Shipments data'!Y:Y,'Supply planning data'!D690,'Shipments data'!O:O,"received", 'Shipments data'!N:N, "Public")</f>
        <v>0</v>
      </c>
      <c r="S690" s="111">
        <f>SUMIFS('Shipments data'!L:L,'Shipments data'!F:F,'Supply planning data'!C690,'Shipments data'!A:A,'Supply planning data'!A690,'Shipments data'!Y:Y,'Supply planning data'!D690,'Shipments data'!O:O,"ordered", 'Shipments data'!N:N, "Public")</f>
        <v>0</v>
      </c>
      <c r="T690" s="111">
        <f>IF(SUMIFS('Shipments data'!L:L,'Shipments data'!F:F,'Supply planning data'!C690,'Shipments data'!A:A,'Supply planning data'!A690,'Shipments data'!O:O,"received",'Shipments data'!Q:Q,"&lt;"&amp;'Supply planning data'!D705,'Shipments data'!AC:AC,"&lt;"&amp;'Supply planning data'!D705)-SUMIFS(M:M,D:D,"&lt;="&amp;D690,C:C,C690)+SUMIFS(N:N,D:D,"&lt;="&amp;D690,C:C,C690)+SUMIFS(P:P,D:D,"&lt;="&amp;D690,C:C,C690)&lt;0,0,SUMIFS('Shipments data'!L:L,'Shipments data'!F:F,'Supply planning data'!C690,'Shipments data'!A:A,'Supply planning data'!A690,'Shipments data'!O:O,"received",'Shipments data'!Q:Q,"&lt;"&amp;'Supply planning data'!D705,'Shipments data'!AC:AC,"&lt;"&amp;'Supply planning data'!D705)-SUMIFS(M:M,D:D,"&lt;="&amp;D690,C:C,C690)+SUMIFS(N:N,D:D,"&lt;="&amp;D690,C:C,C690)+SUMIFS(P:P,D:D,"&lt;="&amp;D690,C:C,C690))</f>
        <v>0</v>
      </c>
      <c r="U690" s="112">
        <f t="shared" si="206"/>
        <v>0</v>
      </c>
      <c r="V690" s="111">
        <f t="shared" si="196"/>
        <v>0</v>
      </c>
      <c r="W690" s="204" t="str">
        <f t="shared" si="212"/>
        <v/>
      </c>
      <c r="X690" s="111">
        <f t="shared" si="207"/>
        <v>0</v>
      </c>
      <c r="Y690" s="110"/>
      <c r="Z690" s="107"/>
      <c r="AA690" s="111">
        <f t="shared" si="200"/>
        <v>0</v>
      </c>
      <c r="AB690" s="235"/>
      <c r="AC690" s="111">
        <f>IF(SUMIFS('Shipments data'!L:L,'Shipments data'!F:F,'Supply planning data'!C690,'Shipments data'!A:A,'Supply planning data'!A690,'Shipments data'!O:O,"received",'Shipments data'!Q:Q,"&lt;"&amp;'Supply planning data'!D705,'Shipments data'!AC:AC,"&lt;"&amp;'Supply planning data'!D705)-SUMIFS(M:M,D:D,"&lt;="&amp;D690,C:C,C690)-SUMIFS(AA:AA,D:D,"&lt;="&amp;D690,C:C,C690)+SUMIFS(N:N,D:D,"&lt;="&amp;D690,C:C,C690)+SUMIFS(P:P,D:D,"&lt;="&amp;D690,C:C,C690)&lt;0,0,SUMIFS('Shipments data'!L:L,'Shipments data'!F:F,'Supply planning data'!C690,'Shipments data'!A:A,'Supply planning data'!A690,'Shipments data'!O:O,"received",'Shipments data'!Q:Q,"&lt;"&amp;'Supply planning data'!D705,'Shipments data'!AC:AC,"&lt;"&amp;'Supply planning data'!D705)-SUMIFS(M:M,D:D,"&lt;="&amp;D690,C:C,C690)-SUMIFS(AA:AA,D:D,"&lt;="&amp;D690,C:C,C690)+SUMIFS(N:N,D:D,"&lt;="&amp;D690,C:C,C690)+SUMIFS(P:P,D:D,"&lt;="&amp;D690,C:C,C690))</f>
        <v>0</v>
      </c>
      <c r="AD690" s="111">
        <f t="shared" si="208"/>
        <v>0</v>
      </c>
      <c r="AE690" s="111">
        <f t="shared" si="202"/>
        <v>0</v>
      </c>
      <c r="AF690" s="204" t="str">
        <f t="shared" si="211"/>
        <v/>
      </c>
      <c r="AG690" s="111">
        <f t="shared" si="209"/>
        <v>0</v>
      </c>
      <c r="AH690" s="110"/>
      <c r="AI690" s="313"/>
      <c r="AJ690" s="111">
        <f t="shared" si="201"/>
        <v>0</v>
      </c>
      <c r="AK690" s="235"/>
      <c r="AL690" s="111">
        <f>IF(SUMIFS('Shipments data'!L:L,'Shipments data'!F:F,'Supply planning data'!C690,'Shipments data'!A:A,'Supply planning data'!A690,'Shipments data'!O:O,"received",'Shipments data'!Q:Q,"&lt;"&amp;'Supply planning data'!D705,'Shipments data'!AC:AC,"&lt;"&amp;'Supply planning data'!D705)-SUMIFS(M:M,D:D,"&lt;="&amp;D690,C:C,C690)-SUMIFS(AJ:AJ,D:D,"&lt;="&amp;D690,C:C,C690)+SUMIFS(N:N,D:D,"&lt;="&amp;D690,C:C,C690)+SUMIFS(P:P,D:D,"&lt;="&amp;D690,C:C,C690)&lt;0,0,SUMIFS('Shipments data'!L:L,'Shipments data'!F:F,'Supply planning data'!C690,'Shipments data'!A:A,'Supply planning data'!A690,'Shipments data'!O:O,"received",'Shipments data'!Q:Q,"&lt;"&amp;'Supply planning data'!D705,'Shipments data'!AC:AC,"&lt;"&amp;'Supply planning data'!D705)-SUMIFS(M:M,D:D,"&lt;="&amp;D690,C:C,C690)-SUMIFS(AJ:AJ,D:D,"&lt;="&amp;D690,C:C,C690)+SUMIFS(N:N,D:D,"&lt;="&amp;D690,C:C,C690)+SUMIFS(P:P,D:D,"&lt;="&amp;D690,C:C,C690))</f>
        <v>0</v>
      </c>
      <c r="AM690" s="111">
        <f t="shared" si="210"/>
        <v>0</v>
      </c>
      <c r="AN690" s="111">
        <f t="shared" si="203"/>
        <v>0</v>
      </c>
      <c r="AO690" s="204" t="str">
        <f t="shared" si="213"/>
        <v/>
      </c>
    </row>
    <row r="691" spans="1:41" hidden="1" x14ac:dyDescent="0.25">
      <c r="A691" s="103" t="str">
        <f>Start!D$7</f>
        <v>Anyland</v>
      </c>
      <c r="B691" s="109" t="str">
        <f>VLOOKUP(A691,list!B:C,2,FALSE)</f>
        <v>ANY</v>
      </c>
      <c r="C691" s="109" t="str">
        <f>IF(Start!$C$28="","",Start!$C$28)</f>
        <v/>
      </c>
      <c r="D691" s="298">
        <f t="shared" si="204"/>
        <v>45566</v>
      </c>
      <c r="E691" s="105" t="str">
        <f>IFERROR(VLOOKUP(C691,Start!C$15:D$31,2,FALSE),"No")</f>
        <v>No</v>
      </c>
      <c r="F691" s="105">
        <f t="shared" si="205"/>
        <v>0</v>
      </c>
      <c r="G691" s="106"/>
      <c r="H691" s="106"/>
      <c r="I691" s="106"/>
      <c r="J691" s="105">
        <f t="shared" si="197"/>
        <v>0</v>
      </c>
      <c r="K691" s="106"/>
      <c r="L691" s="177" t="str">
        <f t="shared" si="198"/>
        <v/>
      </c>
      <c r="M691" s="105">
        <f t="shared" si="199"/>
        <v>0</v>
      </c>
      <c r="N691" s="110"/>
      <c r="O691" s="124"/>
      <c r="P691" s="110"/>
      <c r="Q691" s="124"/>
      <c r="R691" s="111">
        <f>SUMIFS('Shipments data'!L:L,'Shipments data'!F:F,'Supply planning data'!C691,'Shipments data'!A:A,'Supply planning data'!A691,'Shipments data'!Y:Y,'Supply planning data'!D691,'Shipments data'!O:O,"received", 'Shipments data'!N:N, "Public")</f>
        <v>0</v>
      </c>
      <c r="S691" s="111">
        <f>SUMIFS('Shipments data'!L:L,'Shipments data'!F:F,'Supply planning data'!C691,'Shipments data'!A:A,'Supply planning data'!A691,'Shipments data'!Y:Y,'Supply planning data'!D691,'Shipments data'!O:O,"ordered", 'Shipments data'!N:N, "Public")</f>
        <v>0</v>
      </c>
      <c r="T691" s="111">
        <f>IF(SUMIFS('Shipments data'!L:L,'Shipments data'!F:F,'Supply planning data'!C691,'Shipments data'!A:A,'Supply planning data'!A691,'Shipments data'!O:O,"received",'Shipments data'!Q:Q,"&lt;"&amp;'Supply planning data'!D706,'Shipments data'!AC:AC,"&lt;"&amp;'Supply planning data'!D706)-SUMIFS(M:M,D:D,"&lt;="&amp;D691,C:C,C691)+SUMIFS(N:N,D:D,"&lt;="&amp;D691,C:C,C691)+SUMIFS(P:P,D:D,"&lt;="&amp;D691,C:C,C691)&lt;0,0,SUMIFS('Shipments data'!L:L,'Shipments data'!F:F,'Supply planning data'!C691,'Shipments data'!A:A,'Supply planning data'!A691,'Shipments data'!O:O,"received",'Shipments data'!Q:Q,"&lt;"&amp;'Supply planning data'!D706,'Shipments data'!AC:AC,"&lt;"&amp;'Supply planning data'!D706)-SUMIFS(M:M,D:D,"&lt;="&amp;D691,C:C,C691)+SUMIFS(N:N,D:D,"&lt;="&amp;D691,C:C,C691)+SUMIFS(P:P,D:D,"&lt;="&amp;D691,C:C,C691))</f>
        <v>0</v>
      </c>
      <c r="U691" s="112">
        <f t="shared" si="206"/>
        <v>0</v>
      </c>
      <c r="V691" s="111">
        <f t="shared" ref="V691:V754" si="214">IF(F691-M691+N691+P691+R691+S691-U691&lt;0,0,F691-M691+N691+P691+R691+S691-U691)</f>
        <v>0</v>
      </c>
      <c r="W691" s="204" t="str">
        <f t="shared" si="212"/>
        <v/>
      </c>
      <c r="X691" s="111">
        <f t="shared" si="207"/>
        <v>0</v>
      </c>
      <c r="Y691" s="110"/>
      <c r="Z691" s="107"/>
      <c r="AA691" s="111">
        <f t="shared" si="200"/>
        <v>0</v>
      </c>
      <c r="AB691" s="235"/>
      <c r="AC691" s="111">
        <f>IF(SUMIFS('Shipments data'!L:L,'Shipments data'!F:F,'Supply planning data'!C691,'Shipments data'!A:A,'Supply planning data'!A691,'Shipments data'!O:O,"received",'Shipments data'!Q:Q,"&lt;"&amp;'Supply planning data'!D706,'Shipments data'!AC:AC,"&lt;"&amp;'Supply planning data'!D706)-SUMIFS(M:M,D:D,"&lt;="&amp;D691,C:C,C691)-SUMIFS(AA:AA,D:D,"&lt;="&amp;D691,C:C,C691)+SUMIFS(N:N,D:D,"&lt;="&amp;D691,C:C,C691)+SUMIFS(P:P,D:D,"&lt;="&amp;D691,C:C,C691)&lt;0,0,SUMIFS('Shipments data'!L:L,'Shipments data'!F:F,'Supply planning data'!C691,'Shipments data'!A:A,'Supply planning data'!A691,'Shipments data'!O:O,"received",'Shipments data'!Q:Q,"&lt;"&amp;'Supply planning data'!D706,'Shipments data'!AC:AC,"&lt;"&amp;'Supply planning data'!D706)-SUMIFS(M:M,D:D,"&lt;="&amp;D691,C:C,C691)-SUMIFS(AA:AA,D:D,"&lt;="&amp;D691,C:C,C691)+SUMIFS(N:N,D:D,"&lt;="&amp;D691,C:C,C691)+SUMIFS(P:P,D:D,"&lt;="&amp;D691,C:C,C691))</f>
        <v>0</v>
      </c>
      <c r="AD691" s="111">
        <f t="shared" si="208"/>
        <v>0</v>
      </c>
      <c r="AE691" s="111">
        <f t="shared" si="202"/>
        <v>0</v>
      </c>
      <c r="AF691" s="204" t="str">
        <f t="shared" si="211"/>
        <v/>
      </c>
      <c r="AG691" s="111">
        <f t="shared" si="209"/>
        <v>0</v>
      </c>
      <c r="AH691" s="110"/>
      <c r="AI691" s="313"/>
      <c r="AJ691" s="111">
        <f t="shared" si="201"/>
        <v>0</v>
      </c>
      <c r="AK691" s="235"/>
      <c r="AL691" s="111">
        <f>IF(SUMIFS('Shipments data'!L:L,'Shipments data'!F:F,'Supply planning data'!C691,'Shipments data'!A:A,'Supply planning data'!A691,'Shipments data'!O:O,"received",'Shipments data'!Q:Q,"&lt;"&amp;'Supply planning data'!D706,'Shipments data'!AC:AC,"&lt;"&amp;'Supply planning data'!D706)-SUMIFS(M:M,D:D,"&lt;="&amp;D691,C:C,C691)-SUMIFS(AJ:AJ,D:D,"&lt;="&amp;D691,C:C,C691)+SUMIFS(N:N,D:D,"&lt;="&amp;D691,C:C,C691)+SUMIFS(P:P,D:D,"&lt;="&amp;D691,C:C,C691)&lt;0,0,SUMIFS('Shipments data'!L:L,'Shipments data'!F:F,'Supply planning data'!C691,'Shipments data'!A:A,'Supply planning data'!A691,'Shipments data'!O:O,"received",'Shipments data'!Q:Q,"&lt;"&amp;'Supply planning data'!D706,'Shipments data'!AC:AC,"&lt;"&amp;'Supply planning data'!D706)-SUMIFS(M:M,D:D,"&lt;="&amp;D691,C:C,C691)-SUMIFS(AJ:AJ,D:D,"&lt;="&amp;D691,C:C,C691)+SUMIFS(N:N,D:D,"&lt;="&amp;D691,C:C,C691)+SUMIFS(P:P,D:D,"&lt;="&amp;D691,C:C,C691))</f>
        <v>0</v>
      </c>
      <c r="AM691" s="111">
        <f t="shared" si="210"/>
        <v>0</v>
      </c>
      <c r="AN691" s="111">
        <f t="shared" si="203"/>
        <v>0</v>
      </c>
      <c r="AO691" s="204" t="str">
        <f t="shared" si="213"/>
        <v/>
      </c>
    </row>
    <row r="692" spans="1:41" hidden="1" x14ac:dyDescent="0.25">
      <c r="A692" s="103" t="str">
        <f>Start!D$7</f>
        <v>Anyland</v>
      </c>
      <c r="B692" s="109" t="str">
        <f>VLOOKUP(A692,list!B:C,2,FALSE)</f>
        <v>ANY</v>
      </c>
      <c r="C692" s="104" t="str">
        <f>IF(Start!$C$29="","",Start!$C$29)</f>
        <v/>
      </c>
      <c r="D692" s="298">
        <f t="shared" si="204"/>
        <v>45566</v>
      </c>
      <c r="E692" s="105" t="str">
        <f>IFERROR(VLOOKUP(C692,Start!C$15:D$31,2,FALSE),"No")</f>
        <v>No</v>
      </c>
      <c r="F692" s="105">
        <f t="shared" si="205"/>
        <v>0</v>
      </c>
      <c r="G692" s="106"/>
      <c r="H692" s="106"/>
      <c r="I692" s="106"/>
      <c r="J692" s="105">
        <f t="shared" si="197"/>
        <v>0</v>
      </c>
      <c r="K692" s="106"/>
      <c r="L692" s="177" t="str">
        <f t="shared" si="198"/>
        <v/>
      </c>
      <c r="M692" s="105">
        <f t="shared" si="199"/>
        <v>0</v>
      </c>
      <c r="N692" s="110"/>
      <c r="O692" s="124"/>
      <c r="P692" s="110"/>
      <c r="Q692" s="124"/>
      <c r="R692" s="111">
        <f>SUMIFS('Shipments data'!L:L,'Shipments data'!F:F,'Supply planning data'!C692,'Shipments data'!A:A,'Supply planning data'!A692,'Shipments data'!Y:Y,'Supply planning data'!D692,'Shipments data'!O:O,"received", 'Shipments data'!N:N, "Public")</f>
        <v>0</v>
      </c>
      <c r="S692" s="111">
        <f>SUMIFS('Shipments data'!L:L,'Shipments data'!F:F,'Supply planning data'!C692,'Shipments data'!A:A,'Supply planning data'!A692,'Shipments data'!Y:Y,'Supply planning data'!D692,'Shipments data'!O:O,"ordered", 'Shipments data'!N:N, "Public")</f>
        <v>0</v>
      </c>
      <c r="T692" s="111">
        <f>IF(SUMIFS('Shipments data'!L:L,'Shipments data'!F:F,'Supply planning data'!C692,'Shipments data'!A:A,'Supply planning data'!A692,'Shipments data'!O:O,"received",'Shipments data'!Q:Q,"&lt;"&amp;'Supply planning data'!D707,'Shipments data'!AC:AC,"&lt;"&amp;'Supply planning data'!D707)-SUMIFS(M:M,D:D,"&lt;="&amp;D692,C:C,C692)+SUMIFS(N:N,D:D,"&lt;="&amp;D692,C:C,C692)+SUMIFS(P:P,D:D,"&lt;="&amp;D692,C:C,C692)&lt;0,0,SUMIFS('Shipments data'!L:L,'Shipments data'!F:F,'Supply planning data'!C692,'Shipments data'!A:A,'Supply planning data'!A692,'Shipments data'!O:O,"received",'Shipments data'!Q:Q,"&lt;"&amp;'Supply planning data'!D707,'Shipments data'!AC:AC,"&lt;"&amp;'Supply planning data'!D707)-SUMIFS(M:M,D:D,"&lt;="&amp;D692,C:C,C692)+SUMIFS(N:N,D:D,"&lt;="&amp;D692,C:C,C692)+SUMIFS(P:P,D:D,"&lt;="&amp;D692,C:C,C692))</f>
        <v>0</v>
      </c>
      <c r="U692" s="112">
        <f t="shared" si="206"/>
        <v>0</v>
      </c>
      <c r="V692" s="111">
        <f t="shared" si="214"/>
        <v>0</v>
      </c>
      <c r="W692" s="204" t="str">
        <f t="shared" si="212"/>
        <v/>
      </c>
      <c r="X692" s="111">
        <f t="shared" si="207"/>
        <v>0</v>
      </c>
      <c r="Y692" s="110"/>
      <c r="Z692" s="107"/>
      <c r="AA692" s="111">
        <f t="shared" si="200"/>
        <v>0</v>
      </c>
      <c r="AB692" s="235"/>
      <c r="AC692" s="111">
        <f>IF(SUMIFS('Shipments data'!L:L,'Shipments data'!F:F,'Supply planning data'!C692,'Shipments data'!A:A,'Supply planning data'!A692,'Shipments data'!O:O,"received",'Shipments data'!Q:Q,"&lt;"&amp;'Supply planning data'!D707,'Shipments data'!AC:AC,"&lt;"&amp;'Supply planning data'!D707)-SUMIFS(M:M,D:D,"&lt;="&amp;D692,C:C,C692)-SUMIFS(AA:AA,D:D,"&lt;="&amp;D692,C:C,C692)+SUMIFS(N:N,D:D,"&lt;="&amp;D692,C:C,C692)+SUMIFS(P:P,D:D,"&lt;="&amp;D692,C:C,C692)&lt;0,0,SUMIFS('Shipments data'!L:L,'Shipments data'!F:F,'Supply planning data'!C692,'Shipments data'!A:A,'Supply planning data'!A692,'Shipments data'!O:O,"received",'Shipments data'!Q:Q,"&lt;"&amp;'Supply planning data'!D707,'Shipments data'!AC:AC,"&lt;"&amp;'Supply planning data'!D707)-SUMIFS(M:M,D:D,"&lt;="&amp;D692,C:C,C692)-SUMIFS(AA:AA,D:D,"&lt;="&amp;D692,C:C,C692)+SUMIFS(N:N,D:D,"&lt;="&amp;D692,C:C,C692)+SUMIFS(P:P,D:D,"&lt;="&amp;D692,C:C,C692))</f>
        <v>0</v>
      </c>
      <c r="AD692" s="111">
        <f t="shared" si="208"/>
        <v>0</v>
      </c>
      <c r="AE692" s="111">
        <f t="shared" si="202"/>
        <v>0</v>
      </c>
      <c r="AF692" s="204" t="str">
        <f t="shared" si="211"/>
        <v/>
      </c>
      <c r="AG692" s="111">
        <f t="shared" si="209"/>
        <v>0</v>
      </c>
      <c r="AH692" s="110"/>
      <c r="AI692" s="313"/>
      <c r="AJ692" s="111">
        <f t="shared" si="201"/>
        <v>0</v>
      </c>
      <c r="AK692" s="235"/>
      <c r="AL692" s="111">
        <f>IF(SUMIFS('Shipments data'!L:L,'Shipments data'!F:F,'Supply planning data'!C692,'Shipments data'!A:A,'Supply planning data'!A692,'Shipments data'!O:O,"received",'Shipments data'!Q:Q,"&lt;"&amp;'Supply planning data'!D707,'Shipments data'!AC:AC,"&lt;"&amp;'Supply planning data'!D707)-SUMIFS(M:M,D:D,"&lt;="&amp;D692,C:C,C692)-SUMIFS(AJ:AJ,D:D,"&lt;="&amp;D692,C:C,C692)+SUMIFS(N:N,D:D,"&lt;="&amp;D692,C:C,C692)+SUMIFS(P:P,D:D,"&lt;="&amp;D692,C:C,C692)&lt;0,0,SUMIFS('Shipments data'!L:L,'Shipments data'!F:F,'Supply planning data'!C692,'Shipments data'!A:A,'Supply planning data'!A692,'Shipments data'!O:O,"received",'Shipments data'!Q:Q,"&lt;"&amp;'Supply planning data'!D707,'Shipments data'!AC:AC,"&lt;"&amp;'Supply planning data'!D707)-SUMIFS(M:M,D:D,"&lt;="&amp;D692,C:C,C692)-SUMIFS(AJ:AJ,D:D,"&lt;="&amp;D692,C:C,C692)+SUMIFS(N:N,D:D,"&lt;="&amp;D692,C:C,C692)+SUMIFS(P:P,D:D,"&lt;="&amp;D692,C:C,C692))</f>
        <v>0</v>
      </c>
      <c r="AM692" s="111">
        <f t="shared" si="210"/>
        <v>0</v>
      </c>
      <c r="AN692" s="111">
        <f t="shared" si="203"/>
        <v>0</v>
      </c>
      <c r="AO692" s="204" t="str">
        <f t="shared" si="213"/>
        <v/>
      </c>
    </row>
    <row r="693" spans="1:41" hidden="1" x14ac:dyDescent="0.25">
      <c r="A693" s="103" t="str">
        <f>Start!D$7</f>
        <v>Anyland</v>
      </c>
      <c r="B693" s="109" t="str">
        <f>VLOOKUP(A693,list!B:C,2,FALSE)</f>
        <v>ANY</v>
      </c>
      <c r="C693" s="109" t="str">
        <f>IF(Start!$C$30="","",Start!$C$30)</f>
        <v/>
      </c>
      <c r="D693" s="298">
        <f t="shared" si="204"/>
        <v>45566</v>
      </c>
      <c r="E693" s="105" t="str">
        <f>IFERROR(VLOOKUP(C693,Start!C$15:D$31,2,FALSE),"No")</f>
        <v>No</v>
      </c>
      <c r="F693" s="105">
        <f t="shared" si="205"/>
        <v>0</v>
      </c>
      <c r="G693" s="106"/>
      <c r="H693" s="106"/>
      <c r="I693" s="106"/>
      <c r="J693" s="105">
        <f t="shared" si="197"/>
        <v>0</v>
      </c>
      <c r="K693" s="106"/>
      <c r="L693" s="177" t="str">
        <f t="shared" si="198"/>
        <v/>
      </c>
      <c r="M693" s="105">
        <f t="shared" si="199"/>
        <v>0</v>
      </c>
      <c r="N693" s="110"/>
      <c r="O693" s="124"/>
      <c r="P693" s="110"/>
      <c r="Q693" s="124"/>
      <c r="R693" s="111">
        <f>SUMIFS('Shipments data'!L:L,'Shipments data'!F:F,'Supply planning data'!C693,'Shipments data'!A:A,'Supply planning data'!A693,'Shipments data'!Y:Y,'Supply planning data'!D693,'Shipments data'!O:O,"received", 'Shipments data'!N:N, "Public")</f>
        <v>0</v>
      </c>
      <c r="S693" s="111">
        <f>SUMIFS('Shipments data'!L:L,'Shipments data'!F:F,'Supply planning data'!C693,'Shipments data'!A:A,'Supply planning data'!A693,'Shipments data'!Y:Y,'Supply planning data'!D693,'Shipments data'!O:O,"ordered", 'Shipments data'!N:N, "Public")</f>
        <v>0</v>
      </c>
      <c r="T693" s="111">
        <f>IF(SUMIFS('Shipments data'!L:L,'Shipments data'!F:F,'Supply planning data'!C693,'Shipments data'!A:A,'Supply planning data'!A693,'Shipments data'!O:O,"received",'Shipments data'!Q:Q,"&lt;"&amp;'Supply planning data'!D708,'Shipments data'!AC:AC,"&lt;"&amp;'Supply planning data'!D708)-SUMIFS(M:M,D:D,"&lt;="&amp;D693,C:C,C693)+SUMIFS(N:N,D:D,"&lt;="&amp;D693,C:C,C693)+SUMIFS(P:P,D:D,"&lt;="&amp;D693,C:C,C693)&lt;0,0,SUMIFS('Shipments data'!L:L,'Shipments data'!F:F,'Supply planning data'!C693,'Shipments data'!A:A,'Supply planning data'!A693,'Shipments data'!O:O,"received",'Shipments data'!Q:Q,"&lt;"&amp;'Supply planning data'!D708,'Shipments data'!AC:AC,"&lt;"&amp;'Supply planning data'!D708)-SUMIFS(M:M,D:D,"&lt;="&amp;D693,C:C,C693)+SUMIFS(N:N,D:D,"&lt;="&amp;D693,C:C,C693)+SUMIFS(P:P,D:D,"&lt;="&amp;D693,C:C,C693))</f>
        <v>0</v>
      </c>
      <c r="U693" s="112">
        <f t="shared" si="206"/>
        <v>0</v>
      </c>
      <c r="V693" s="111">
        <f t="shared" si="214"/>
        <v>0</v>
      </c>
      <c r="W693" s="204" t="str">
        <f t="shared" si="212"/>
        <v/>
      </c>
      <c r="X693" s="111">
        <f t="shared" si="207"/>
        <v>0</v>
      </c>
      <c r="Y693" s="110"/>
      <c r="Z693" s="107"/>
      <c r="AA693" s="111">
        <f t="shared" si="200"/>
        <v>0</v>
      </c>
      <c r="AB693" s="235"/>
      <c r="AC693" s="111">
        <f>IF(SUMIFS('Shipments data'!L:L,'Shipments data'!F:F,'Supply planning data'!C693,'Shipments data'!A:A,'Supply planning data'!A693,'Shipments data'!O:O,"received",'Shipments data'!Q:Q,"&lt;"&amp;'Supply planning data'!D708,'Shipments data'!AC:AC,"&lt;"&amp;'Supply planning data'!D708)-SUMIFS(M:M,D:D,"&lt;="&amp;D693,C:C,C693)-SUMIFS(AA:AA,D:D,"&lt;="&amp;D693,C:C,C693)+SUMIFS(N:N,D:D,"&lt;="&amp;D693,C:C,C693)+SUMIFS(P:P,D:D,"&lt;="&amp;D693,C:C,C693)&lt;0,0,SUMIFS('Shipments data'!L:L,'Shipments data'!F:F,'Supply planning data'!C693,'Shipments data'!A:A,'Supply planning data'!A693,'Shipments data'!O:O,"received",'Shipments data'!Q:Q,"&lt;"&amp;'Supply planning data'!D708,'Shipments data'!AC:AC,"&lt;"&amp;'Supply planning data'!D708)-SUMIFS(M:M,D:D,"&lt;="&amp;D693,C:C,C693)-SUMIFS(AA:AA,D:D,"&lt;="&amp;D693,C:C,C693)+SUMIFS(N:N,D:D,"&lt;="&amp;D693,C:C,C693)+SUMIFS(P:P,D:D,"&lt;="&amp;D693,C:C,C693))</f>
        <v>0</v>
      </c>
      <c r="AD693" s="111">
        <f t="shared" si="208"/>
        <v>0</v>
      </c>
      <c r="AE693" s="111">
        <f t="shared" si="202"/>
        <v>0</v>
      </c>
      <c r="AF693" s="204" t="str">
        <f t="shared" si="211"/>
        <v/>
      </c>
      <c r="AG693" s="111">
        <f t="shared" si="209"/>
        <v>0</v>
      </c>
      <c r="AH693" s="110"/>
      <c r="AI693" s="313"/>
      <c r="AJ693" s="111">
        <f t="shared" si="201"/>
        <v>0</v>
      </c>
      <c r="AK693" s="235"/>
      <c r="AL693" s="111">
        <f>IF(SUMIFS('Shipments data'!L:L,'Shipments data'!F:F,'Supply planning data'!C693,'Shipments data'!A:A,'Supply planning data'!A693,'Shipments data'!O:O,"received",'Shipments data'!Q:Q,"&lt;"&amp;'Supply planning data'!D708,'Shipments data'!AC:AC,"&lt;"&amp;'Supply planning data'!D708)-SUMIFS(M:M,D:D,"&lt;="&amp;D693,C:C,C693)-SUMIFS(AJ:AJ,D:D,"&lt;="&amp;D693,C:C,C693)+SUMIFS(N:N,D:D,"&lt;="&amp;D693,C:C,C693)+SUMIFS(P:P,D:D,"&lt;="&amp;D693,C:C,C693)&lt;0,0,SUMIFS('Shipments data'!L:L,'Shipments data'!F:F,'Supply planning data'!C693,'Shipments data'!A:A,'Supply planning data'!A693,'Shipments data'!O:O,"received",'Shipments data'!Q:Q,"&lt;"&amp;'Supply planning data'!D708,'Shipments data'!AC:AC,"&lt;"&amp;'Supply planning data'!D708)-SUMIFS(M:M,D:D,"&lt;="&amp;D693,C:C,C693)-SUMIFS(AJ:AJ,D:D,"&lt;="&amp;D693,C:C,C693)+SUMIFS(N:N,D:D,"&lt;="&amp;D693,C:C,C693)+SUMIFS(P:P,D:D,"&lt;="&amp;D693,C:C,C693))</f>
        <v>0</v>
      </c>
      <c r="AM693" s="111">
        <f t="shared" si="210"/>
        <v>0</v>
      </c>
      <c r="AN693" s="111">
        <f t="shared" si="203"/>
        <v>0</v>
      </c>
      <c r="AO693" s="204" t="str">
        <f t="shared" si="213"/>
        <v/>
      </c>
    </row>
    <row r="694" spans="1:41" hidden="1" x14ac:dyDescent="0.25">
      <c r="A694" s="113" t="str">
        <f>Start!D$7</f>
        <v>Anyland</v>
      </c>
      <c r="B694" s="114" t="str">
        <f>VLOOKUP(A694,list!B:C,2,FALSE)</f>
        <v>ANY</v>
      </c>
      <c r="C694" s="104" t="str">
        <f>IF(Start!$C$31="","",Start!$C$31)</f>
        <v/>
      </c>
      <c r="D694" s="298">
        <f t="shared" si="204"/>
        <v>45566</v>
      </c>
      <c r="E694" s="105" t="str">
        <f>IFERROR(VLOOKUP(C694,Start!C$15:D$31,2,FALSE),"No")</f>
        <v>No</v>
      </c>
      <c r="F694" s="105">
        <f t="shared" si="205"/>
        <v>0</v>
      </c>
      <c r="G694" s="106"/>
      <c r="H694" s="106"/>
      <c r="I694" s="106"/>
      <c r="J694" s="105">
        <f t="shared" si="197"/>
        <v>0</v>
      </c>
      <c r="K694" s="106"/>
      <c r="L694" s="177" t="str">
        <f t="shared" si="198"/>
        <v/>
      </c>
      <c r="M694" s="105">
        <f t="shared" si="199"/>
        <v>0</v>
      </c>
      <c r="N694" s="110"/>
      <c r="O694" s="124"/>
      <c r="P694" s="110"/>
      <c r="Q694" s="124"/>
      <c r="R694" s="111">
        <f>SUMIFS('Shipments data'!L:L,'Shipments data'!F:F,'Supply planning data'!C694,'Shipments data'!A:A,'Supply planning data'!A694,'Shipments data'!Y:Y,'Supply planning data'!D694,'Shipments data'!O:O,"received", 'Shipments data'!N:N, "Public")</f>
        <v>0</v>
      </c>
      <c r="S694" s="111">
        <f>SUMIFS('Shipments data'!L:L,'Shipments data'!F:F,'Supply planning data'!C694,'Shipments data'!A:A,'Supply planning data'!A694,'Shipments data'!Y:Y,'Supply planning data'!D694,'Shipments data'!O:O,"ordered", 'Shipments data'!N:N, "Public")</f>
        <v>0</v>
      </c>
      <c r="T694" s="111">
        <f>IF(SUMIFS('Shipments data'!L:L,'Shipments data'!F:F,'Supply planning data'!C694,'Shipments data'!A:A,'Supply planning data'!A694,'Shipments data'!O:O,"received",'Shipments data'!Q:Q,"&lt;"&amp;'Supply planning data'!D709,'Shipments data'!AC:AC,"&lt;"&amp;'Supply planning data'!D709)-SUMIFS(M:M,D:D,"&lt;="&amp;D694,C:C,C694)+SUMIFS(N:N,D:D,"&lt;="&amp;D694,C:C,C694)+SUMIFS(P:P,D:D,"&lt;="&amp;D694,C:C,C694)&lt;0,0,SUMIFS('Shipments data'!L:L,'Shipments data'!F:F,'Supply planning data'!C694,'Shipments data'!A:A,'Supply planning data'!A694,'Shipments data'!O:O,"received",'Shipments data'!Q:Q,"&lt;"&amp;'Supply planning data'!D709,'Shipments data'!AC:AC,"&lt;"&amp;'Supply planning data'!D709)-SUMIFS(M:M,D:D,"&lt;="&amp;D694,C:C,C694)+SUMIFS(N:N,D:D,"&lt;="&amp;D694,C:C,C694)+SUMIFS(P:P,D:D,"&lt;="&amp;D694,C:C,C694))</f>
        <v>0</v>
      </c>
      <c r="U694" s="112">
        <f t="shared" si="206"/>
        <v>0</v>
      </c>
      <c r="V694" s="111">
        <f t="shared" si="214"/>
        <v>0</v>
      </c>
      <c r="W694" s="204" t="str">
        <f t="shared" si="212"/>
        <v/>
      </c>
      <c r="X694" s="111">
        <f t="shared" si="207"/>
        <v>0</v>
      </c>
      <c r="Y694" s="110"/>
      <c r="Z694" s="107"/>
      <c r="AA694" s="111">
        <f t="shared" si="200"/>
        <v>0</v>
      </c>
      <c r="AB694" s="235"/>
      <c r="AC694" s="111">
        <f>IF(SUMIFS('Shipments data'!L:L,'Shipments data'!F:F,'Supply planning data'!C694,'Shipments data'!A:A,'Supply planning data'!A694,'Shipments data'!O:O,"received",'Shipments data'!Q:Q,"&lt;"&amp;'Supply planning data'!D709,'Shipments data'!AC:AC,"&lt;"&amp;'Supply planning data'!D709)-SUMIFS(M:M,D:D,"&lt;="&amp;D694,C:C,C694)-SUMIFS(AA:AA,D:D,"&lt;="&amp;D694,C:C,C694)+SUMIFS(N:N,D:D,"&lt;="&amp;D694,C:C,C694)+SUMIFS(P:P,D:D,"&lt;="&amp;D694,C:C,C694)&lt;0,0,SUMIFS('Shipments data'!L:L,'Shipments data'!F:F,'Supply planning data'!C694,'Shipments data'!A:A,'Supply planning data'!A694,'Shipments data'!O:O,"received",'Shipments data'!Q:Q,"&lt;"&amp;'Supply planning data'!D709,'Shipments data'!AC:AC,"&lt;"&amp;'Supply planning data'!D709)-SUMIFS(M:M,D:D,"&lt;="&amp;D694,C:C,C694)-SUMIFS(AA:AA,D:D,"&lt;="&amp;D694,C:C,C694)+SUMIFS(N:N,D:D,"&lt;="&amp;D694,C:C,C694)+SUMIFS(P:P,D:D,"&lt;="&amp;D694,C:C,C694))</f>
        <v>0</v>
      </c>
      <c r="AD694" s="111">
        <f t="shared" si="208"/>
        <v>0</v>
      </c>
      <c r="AE694" s="111">
        <f t="shared" si="202"/>
        <v>0</v>
      </c>
      <c r="AF694" s="204" t="str">
        <f t="shared" si="211"/>
        <v/>
      </c>
      <c r="AG694" s="111">
        <f t="shared" si="209"/>
        <v>0</v>
      </c>
      <c r="AH694" s="110"/>
      <c r="AI694" s="313"/>
      <c r="AJ694" s="111">
        <f t="shared" si="201"/>
        <v>0</v>
      </c>
      <c r="AK694" s="235"/>
      <c r="AL694" s="111">
        <f>IF(SUMIFS('Shipments data'!L:L,'Shipments data'!F:F,'Supply planning data'!C694,'Shipments data'!A:A,'Supply planning data'!A694,'Shipments data'!O:O,"received",'Shipments data'!Q:Q,"&lt;"&amp;'Supply planning data'!D709,'Shipments data'!AC:AC,"&lt;"&amp;'Supply planning data'!D709)-SUMIFS(M:M,D:D,"&lt;="&amp;D694,C:C,C694)-SUMIFS(AJ:AJ,D:D,"&lt;="&amp;D694,C:C,C694)+SUMIFS(N:N,D:D,"&lt;="&amp;D694,C:C,C694)+SUMIFS(P:P,D:D,"&lt;="&amp;D694,C:C,C694)&lt;0,0,SUMIFS('Shipments data'!L:L,'Shipments data'!F:F,'Supply planning data'!C694,'Shipments data'!A:A,'Supply planning data'!A694,'Shipments data'!O:O,"received",'Shipments data'!Q:Q,"&lt;"&amp;'Supply planning data'!D709,'Shipments data'!AC:AC,"&lt;"&amp;'Supply planning data'!D709)-SUMIFS(M:M,D:D,"&lt;="&amp;D694,C:C,C694)-SUMIFS(AJ:AJ,D:D,"&lt;="&amp;D694,C:C,C694)+SUMIFS(N:N,D:D,"&lt;="&amp;D694,C:C,C694)+SUMIFS(P:P,D:D,"&lt;="&amp;D694,C:C,C694))</f>
        <v>0</v>
      </c>
      <c r="AM694" s="111">
        <f t="shared" si="210"/>
        <v>0</v>
      </c>
      <c r="AN694" s="111">
        <f t="shared" si="203"/>
        <v>0</v>
      </c>
      <c r="AO694" s="204" t="str">
        <f t="shared" si="213"/>
        <v/>
      </c>
    </row>
    <row r="695" spans="1:41" x14ac:dyDescent="0.25">
      <c r="A695" s="89" t="str">
        <f>Start!D$7</f>
        <v>Anyland</v>
      </c>
      <c r="B695" s="90" t="str">
        <f>VLOOKUP(A695,list!B:C,2,FALSE)</f>
        <v>ANY</v>
      </c>
      <c r="C695" s="90" t="str">
        <f>IF(Start!$C$17="","",Start!$C$17)</f>
        <v>AstraZeneca</v>
      </c>
      <c r="D695" s="296">
        <f t="shared" si="204"/>
        <v>45597</v>
      </c>
      <c r="E695" s="92" t="str">
        <f>IFERROR(VLOOKUP(C695,Start!C$15:D$31,2,FALSE),"No")</f>
        <v>Yes</v>
      </c>
      <c r="F695" s="92">
        <f t="shared" si="205"/>
        <v>0</v>
      </c>
      <c r="G695" s="91"/>
      <c r="H695" s="91"/>
      <c r="I695" s="91"/>
      <c r="J695" s="92">
        <f t="shared" si="197"/>
        <v>0</v>
      </c>
      <c r="K695" s="91"/>
      <c r="L695" s="174" t="str">
        <f t="shared" si="198"/>
        <v/>
      </c>
      <c r="M695" s="92">
        <f t="shared" si="199"/>
        <v>0</v>
      </c>
      <c r="N695" s="91"/>
      <c r="O695" s="121"/>
      <c r="P695" s="91"/>
      <c r="Q695" s="121"/>
      <c r="R695" s="92">
        <f>SUMIFS('Shipments data'!L:L,'Shipments data'!F:F,'Supply planning data'!C695,'Shipments data'!A:A,'Supply planning data'!A695,'Shipments data'!Y:Y,'Supply planning data'!D695,'Shipments data'!O:O,"received", 'Shipments data'!N:N, "Public")</f>
        <v>0</v>
      </c>
      <c r="S695" s="92">
        <f>SUMIFS('Shipments data'!L:L,'Shipments data'!F:F,'Supply planning data'!C695,'Shipments data'!A:A,'Supply planning data'!A695,'Shipments data'!Y:Y,'Supply planning data'!D695,'Shipments data'!O:O,"ordered", 'Shipments data'!N:N, "Public")</f>
        <v>0</v>
      </c>
      <c r="T695" s="92">
        <f>IF(SUMIFS('Shipments data'!L:L,'Shipments data'!F:F,'Supply planning data'!C695,'Shipments data'!A:A,'Supply planning data'!A695,'Shipments data'!O:O,"received",'Shipments data'!Q:Q,"&lt;"&amp;'Supply planning data'!D710,'Shipments data'!AC:AC,"&lt;"&amp;'Supply planning data'!D710)-SUMIFS(M:M,D:D,"&lt;="&amp;D695,C:C,C695)+SUMIFS(N:N,D:D,"&lt;="&amp;D695,C:C,C695)+SUMIFS(P:P,D:D,"&lt;="&amp;D695,C:C,C695)&lt;0,0,SUMIFS('Shipments data'!L:L,'Shipments data'!F:F,'Supply planning data'!C695,'Shipments data'!A:A,'Supply planning data'!A695,'Shipments data'!O:O,"received",'Shipments data'!Q:Q,"&lt;"&amp;'Supply planning data'!D710,'Shipments data'!AC:AC,"&lt;"&amp;'Supply planning data'!D710)-SUMIFS(M:M,D:D,"&lt;="&amp;D695,C:C,C695)+SUMIFS(N:N,D:D,"&lt;="&amp;D695,C:C,C695)+SUMIFS(P:P,D:D,"&lt;="&amp;D695,C:C,C695))</f>
        <v>0</v>
      </c>
      <c r="U695" s="94">
        <f t="shared" si="206"/>
        <v>0</v>
      </c>
      <c r="V695" s="92">
        <f t="shared" si="214"/>
        <v>0</v>
      </c>
      <c r="W695" s="205" t="str">
        <f t="shared" si="212"/>
        <v/>
      </c>
      <c r="X695" s="92">
        <f t="shared" si="207"/>
        <v>154701</v>
      </c>
      <c r="Y695" s="91"/>
      <c r="Z695" s="93"/>
      <c r="AA695" s="92">
        <f t="shared" si="200"/>
        <v>0</v>
      </c>
      <c r="AB695" s="232"/>
      <c r="AC695" s="92">
        <f>IF(SUMIFS('Shipments data'!L:L,'Shipments data'!F:F,'Supply planning data'!C695,'Shipments data'!A:A,'Supply planning data'!A695,'Shipments data'!O:O,"received",'Shipments data'!Q:Q,"&lt;"&amp;'Supply planning data'!D710,'Shipments data'!AC:AC,"&lt;"&amp;'Supply planning data'!D710)-SUMIFS(M:M,D:D,"&lt;="&amp;D695,C:C,C695)-SUMIFS(AA:AA,D:D,"&lt;="&amp;D695,C:C,C695)+SUMIFS(N:N,D:D,"&lt;="&amp;D695,C:C,C695)+SUMIFS(P:P,D:D,"&lt;="&amp;D695,C:C,C695)&lt;0,0,SUMIFS('Shipments data'!L:L,'Shipments data'!F:F,'Supply planning data'!C695,'Shipments data'!A:A,'Supply planning data'!A695,'Shipments data'!O:O,"received",'Shipments data'!Q:Q,"&lt;"&amp;'Supply planning data'!D710,'Shipments data'!AC:AC,"&lt;"&amp;'Supply planning data'!D710)-SUMIFS(M:M,D:D,"&lt;="&amp;D695,C:C,C695)-SUMIFS(AA:AA,D:D,"&lt;="&amp;D695,C:C,C695)+SUMIFS(N:N,D:D,"&lt;="&amp;D695,C:C,C695)+SUMIFS(P:P,D:D,"&lt;="&amp;D695,C:C,C695))</f>
        <v>0</v>
      </c>
      <c r="AD695" s="92">
        <f t="shared" si="208"/>
        <v>0</v>
      </c>
      <c r="AE695" s="92">
        <f t="shared" si="202"/>
        <v>154701</v>
      </c>
      <c r="AF695" s="205" t="str">
        <f t="shared" si="211"/>
        <v/>
      </c>
      <c r="AG695" s="92">
        <f t="shared" si="209"/>
        <v>0</v>
      </c>
      <c r="AH695" s="91"/>
      <c r="AI695" s="310"/>
      <c r="AJ695" s="92">
        <f t="shared" si="201"/>
        <v>0</v>
      </c>
      <c r="AK695" s="232"/>
      <c r="AL695" s="92">
        <f>IF(SUMIFS('Shipments data'!L:L,'Shipments data'!F:F,'Supply planning data'!C695,'Shipments data'!A:A,'Supply planning data'!A695,'Shipments data'!O:O,"received",'Shipments data'!Q:Q,"&lt;"&amp;'Supply planning data'!D710,'Shipments data'!AC:AC,"&lt;"&amp;'Supply planning data'!D710)-SUMIFS(M:M,D:D,"&lt;="&amp;D695,C:C,C695)-SUMIFS(AJ:AJ,D:D,"&lt;="&amp;D695,C:C,C695)+SUMIFS(N:N,D:D,"&lt;="&amp;D695,C:C,C695)+SUMIFS(P:P,D:D,"&lt;="&amp;D695,C:C,C695)&lt;0,0,SUMIFS('Shipments data'!L:L,'Shipments data'!F:F,'Supply planning data'!C695,'Shipments data'!A:A,'Supply planning data'!A695,'Shipments data'!O:O,"received",'Shipments data'!Q:Q,"&lt;"&amp;'Supply planning data'!D710,'Shipments data'!AC:AC,"&lt;"&amp;'Supply planning data'!D710)-SUMIFS(M:M,D:D,"&lt;="&amp;D695,C:C,C695)-SUMIFS(AJ:AJ,D:D,"&lt;="&amp;D695,C:C,C695)+SUMIFS(N:N,D:D,"&lt;="&amp;D695,C:C,C695)+SUMIFS(P:P,D:D,"&lt;="&amp;D695,C:C,C695))</f>
        <v>0</v>
      </c>
      <c r="AM695" s="92">
        <f t="shared" si="210"/>
        <v>0</v>
      </c>
      <c r="AN695" s="92">
        <f t="shared" si="203"/>
        <v>0</v>
      </c>
      <c r="AO695" s="205" t="str">
        <f t="shared" si="213"/>
        <v/>
      </c>
    </row>
    <row r="696" spans="1:41" x14ac:dyDescent="0.25">
      <c r="A696" s="95" t="str">
        <f>Start!D$7</f>
        <v>Anyland</v>
      </c>
      <c r="B696" s="96" t="str">
        <f>VLOOKUP(A696,list!B:C,2,FALSE)</f>
        <v>ANY</v>
      </c>
      <c r="C696" s="90" t="str">
        <f>IF(Start!$C$18="","",Start!$C$18)</f>
        <v>Jansen</v>
      </c>
      <c r="D696" s="296">
        <f t="shared" si="204"/>
        <v>45597</v>
      </c>
      <c r="E696" s="92" t="str">
        <f>IFERROR(VLOOKUP(C696,Start!C$15:D$31,2,FALSE),"No")</f>
        <v>Yes</v>
      </c>
      <c r="F696" s="92">
        <f t="shared" si="205"/>
        <v>1871200</v>
      </c>
      <c r="G696" s="91"/>
      <c r="H696" s="97"/>
      <c r="I696" s="97"/>
      <c r="J696" s="98">
        <f t="shared" si="197"/>
        <v>0</v>
      </c>
      <c r="K696" s="97"/>
      <c r="L696" s="175" t="str">
        <f t="shared" si="198"/>
        <v/>
      </c>
      <c r="M696" s="98">
        <f t="shared" si="199"/>
        <v>0</v>
      </c>
      <c r="N696" s="97"/>
      <c r="O696" s="122"/>
      <c r="P696" s="97"/>
      <c r="Q696" s="122"/>
      <c r="R696" s="98">
        <f>SUMIFS('Shipments data'!L:L,'Shipments data'!F:F,'Supply planning data'!C696,'Shipments data'!A:A,'Supply planning data'!A696,'Shipments data'!Y:Y,'Supply planning data'!D696,'Shipments data'!O:O,"received", 'Shipments data'!N:N, "Public")</f>
        <v>0</v>
      </c>
      <c r="S696" s="98">
        <f>SUMIFS('Shipments data'!L:L,'Shipments data'!F:F,'Supply planning data'!C696,'Shipments data'!A:A,'Supply planning data'!A696,'Shipments data'!Y:Y,'Supply planning data'!D696,'Shipments data'!O:O,"ordered", 'Shipments data'!N:N, "Public")</f>
        <v>0</v>
      </c>
      <c r="T696" s="98">
        <f>IF(SUMIFS('Shipments data'!L:L,'Shipments data'!F:F,'Supply planning data'!C696,'Shipments data'!A:A,'Supply planning data'!A696,'Shipments data'!O:O,"received",'Shipments data'!Q:Q,"&lt;"&amp;'Supply planning data'!D711,'Shipments data'!AC:AC,"&lt;"&amp;'Supply planning data'!D711)-SUMIFS(M:M,D:D,"&lt;="&amp;D696,C:C,C696)+SUMIFS(N:N,D:D,"&lt;="&amp;D696,C:C,C696)+SUMIFS(P:P,D:D,"&lt;="&amp;D696,C:C,C696)&lt;0,0,SUMIFS('Shipments data'!L:L,'Shipments data'!F:F,'Supply planning data'!C696,'Shipments data'!A:A,'Supply planning data'!A696,'Shipments data'!O:O,"received",'Shipments data'!Q:Q,"&lt;"&amp;'Supply planning data'!D711,'Shipments data'!AC:AC,"&lt;"&amp;'Supply planning data'!D711)-SUMIFS(M:M,D:D,"&lt;="&amp;D696,C:C,C696)+SUMIFS(N:N,D:D,"&lt;="&amp;D696,C:C,C696)+SUMIFS(P:P,D:D,"&lt;="&amp;D696,C:C,C696))</f>
        <v>387547</v>
      </c>
      <c r="U696" s="99">
        <f t="shared" si="206"/>
        <v>0</v>
      </c>
      <c r="V696" s="98">
        <f t="shared" si="214"/>
        <v>1871200</v>
      </c>
      <c r="W696" s="203" t="str">
        <f t="shared" si="212"/>
        <v/>
      </c>
      <c r="X696" s="98">
        <f t="shared" si="207"/>
        <v>1311200</v>
      </c>
      <c r="Y696" s="97"/>
      <c r="Z696" s="93"/>
      <c r="AA696" s="98">
        <f t="shared" si="200"/>
        <v>0</v>
      </c>
      <c r="AB696" s="233"/>
      <c r="AC696" s="98">
        <f>IF(SUMIFS('Shipments data'!L:L,'Shipments data'!F:F,'Supply planning data'!C696,'Shipments data'!A:A,'Supply planning data'!A696,'Shipments data'!O:O,"received",'Shipments data'!Q:Q,"&lt;"&amp;'Supply planning data'!D711,'Shipments data'!AC:AC,"&lt;"&amp;'Supply planning data'!D711)-SUMIFS(M:M,D:D,"&lt;="&amp;D696,C:C,C696)-SUMIFS(AA:AA,D:D,"&lt;="&amp;D696,C:C,C696)+SUMIFS(N:N,D:D,"&lt;="&amp;D696,C:C,C696)+SUMIFS(P:P,D:D,"&lt;="&amp;D696,C:C,C696)&lt;0,0,SUMIFS('Shipments data'!L:L,'Shipments data'!F:F,'Supply planning data'!C696,'Shipments data'!A:A,'Supply planning data'!A696,'Shipments data'!O:O,"received",'Shipments data'!Q:Q,"&lt;"&amp;'Supply planning data'!D711,'Shipments data'!AC:AC,"&lt;"&amp;'Supply planning data'!D711)-SUMIFS(M:M,D:D,"&lt;="&amp;D696,C:C,C696)-SUMIFS(AA:AA,D:D,"&lt;="&amp;D696,C:C,C696)+SUMIFS(N:N,D:D,"&lt;="&amp;D696,C:C,C696)+SUMIFS(P:P,D:D,"&lt;="&amp;D696,C:C,C696))</f>
        <v>0</v>
      </c>
      <c r="AD696" s="98">
        <f t="shared" si="208"/>
        <v>0</v>
      </c>
      <c r="AE696" s="98">
        <f t="shared" si="202"/>
        <v>1311200</v>
      </c>
      <c r="AF696" s="205" t="str">
        <f t="shared" si="211"/>
        <v/>
      </c>
      <c r="AG696" s="98">
        <f t="shared" si="209"/>
        <v>1871200</v>
      </c>
      <c r="AH696" s="97"/>
      <c r="AI696" s="311"/>
      <c r="AJ696" s="98">
        <f t="shared" si="201"/>
        <v>0</v>
      </c>
      <c r="AK696" s="233"/>
      <c r="AL696" s="98">
        <f>IF(SUMIFS('Shipments data'!L:L,'Shipments data'!F:F,'Supply planning data'!C696,'Shipments data'!A:A,'Supply planning data'!A696,'Shipments data'!O:O,"received",'Shipments data'!Q:Q,"&lt;"&amp;'Supply planning data'!D711,'Shipments data'!AC:AC,"&lt;"&amp;'Supply planning data'!D711)-SUMIFS(M:M,D:D,"&lt;="&amp;D696,C:C,C696)-SUMIFS(AJ:AJ,D:D,"&lt;="&amp;D696,C:C,C696)+SUMIFS(N:N,D:D,"&lt;="&amp;D696,C:C,C696)+SUMIFS(P:P,D:D,"&lt;="&amp;D696,C:C,C696)&lt;0,0,SUMIFS('Shipments data'!L:L,'Shipments data'!F:F,'Supply planning data'!C696,'Shipments data'!A:A,'Supply planning data'!A696,'Shipments data'!O:O,"received",'Shipments data'!Q:Q,"&lt;"&amp;'Supply planning data'!D711,'Shipments data'!AC:AC,"&lt;"&amp;'Supply planning data'!D711)-SUMIFS(M:M,D:D,"&lt;="&amp;D696,C:C,C696)-SUMIFS(AJ:AJ,D:D,"&lt;="&amp;D696,C:C,C696)+SUMIFS(N:N,D:D,"&lt;="&amp;D696,C:C,C696)+SUMIFS(P:P,D:D,"&lt;="&amp;D696,C:C,C696))</f>
        <v>387547</v>
      </c>
      <c r="AM696" s="98">
        <f t="shared" si="210"/>
        <v>0</v>
      </c>
      <c r="AN696" s="98">
        <f t="shared" si="203"/>
        <v>1871200</v>
      </c>
      <c r="AO696" s="203" t="str">
        <f t="shared" si="213"/>
        <v/>
      </c>
    </row>
    <row r="697" spans="1:41" x14ac:dyDescent="0.25">
      <c r="A697" s="95" t="str">
        <f>Start!D$7</f>
        <v>Anyland</v>
      </c>
      <c r="B697" s="96" t="str">
        <f>VLOOKUP(A697,list!B:C,2,FALSE)</f>
        <v>ANY</v>
      </c>
      <c r="C697" s="90" t="str">
        <f>IF(Start!$C$19="","",Start!$C$19)</f>
        <v>Moderna</v>
      </c>
      <c r="D697" s="296">
        <f t="shared" si="204"/>
        <v>45597</v>
      </c>
      <c r="E697" s="92" t="str">
        <f>IFERROR(VLOOKUP(C697,Start!C$15:D$31,2,FALSE),"No")</f>
        <v>No</v>
      </c>
      <c r="F697" s="92">
        <f t="shared" si="205"/>
        <v>0</v>
      </c>
      <c r="G697" s="91"/>
      <c r="H697" s="97"/>
      <c r="I697" s="97"/>
      <c r="J697" s="98">
        <f t="shared" si="197"/>
        <v>0</v>
      </c>
      <c r="K697" s="97"/>
      <c r="L697" s="175" t="str">
        <f t="shared" si="198"/>
        <v/>
      </c>
      <c r="M697" s="98">
        <f t="shared" si="199"/>
        <v>0</v>
      </c>
      <c r="N697" s="97"/>
      <c r="O697" s="122"/>
      <c r="P697" s="97"/>
      <c r="Q697" s="122"/>
      <c r="R697" s="98">
        <f>SUMIFS('Shipments data'!L:L,'Shipments data'!F:F,'Supply planning data'!C697,'Shipments data'!A:A,'Supply planning data'!A697,'Shipments data'!Y:Y,'Supply planning data'!D697,'Shipments data'!O:O,"received", 'Shipments data'!N:N, "Public")</f>
        <v>0</v>
      </c>
      <c r="S697" s="98">
        <f>SUMIFS('Shipments data'!L:L,'Shipments data'!F:F,'Supply planning data'!C697,'Shipments data'!A:A,'Supply planning data'!A697,'Shipments data'!Y:Y,'Supply planning data'!D697,'Shipments data'!O:O,"ordered", 'Shipments data'!N:N, "Public")</f>
        <v>0</v>
      </c>
      <c r="T697" s="98">
        <f>IF(SUMIFS('Shipments data'!L:L,'Shipments data'!F:F,'Supply planning data'!C697,'Shipments data'!A:A,'Supply planning data'!A697,'Shipments data'!O:O,"received",'Shipments data'!Q:Q,"&lt;"&amp;'Supply planning data'!D712,'Shipments data'!AC:AC,"&lt;"&amp;'Supply planning data'!D712)-SUMIFS(M:M,D:D,"&lt;="&amp;D697,C:C,C697)+SUMIFS(N:N,D:D,"&lt;="&amp;D697,C:C,C697)+SUMIFS(P:P,D:D,"&lt;="&amp;D697,C:C,C697)&lt;0,0,SUMIFS('Shipments data'!L:L,'Shipments data'!F:F,'Supply planning data'!C697,'Shipments data'!A:A,'Supply planning data'!A697,'Shipments data'!O:O,"received",'Shipments data'!Q:Q,"&lt;"&amp;'Supply planning data'!D712,'Shipments data'!AC:AC,"&lt;"&amp;'Supply planning data'!D712)-SUMIFS(M:M,D:D,"&lt;="&amp;D697,C:C,C697)+SUMIFS(N:N,D:D,"&lt;="&amp;D697,C:C,C697)+SUMIFS(P:P,D:D,"&lt;="&amp;D697,C:C,C697))</f>
        <v>0</v>
      </c>
      <c r="U697" s="99">
        <f t="shared" si="206"/>
        <v>0</v>
      </c>
      <c r="V697" s="98">
        <f t="shared" si="214"/>
        <v>0</v>
      </c>
      <c r="W697" s="203" t="str">
        <f t="shared" si="212"/>
        <v/>
      </c>
      <c r="X697" s="98">
        <f t="shared" si="207"/>
        <v>0</v>
      </c>
      <c r="Y697" s="97"/>
      <c r="Z697" s="93"/>
      <c r="AA697" s="98">
        <f t="shared" si="200"/>
        <v>0</v>
      </c>
      <c r="AB697" s="233"/>
      <c r="AC697" s="98">
        <f>IF(SUMIFS('Shipments data'!L:L,'Shipments data'!F:F,'Supply planning data'!C697,'Shipments data'!A:A,'Supply planning data'!A697,'Shipments data'!O:O,"received",'Shipments data'!Q:Q,"&lt;"&amp;'Supply planning data'!D712,'Shipments data'!AC:AC,"&lt;"&amp;'Supply planning data'!D712)-SUMIFS(M:M,D:D,"&lt;="&amp;D697,C:C,C697)-SUMIFS(AA:AA,D:D,"&lt;="&amp;D697,C:C,C697)+SUMIFS(N:N,D:D,"&lt;="&amp;D697,C:C,C697)+SUMIFS(P:P,D:D,"&lt;="&amp;D697,C:C,C697)&lt;0,0,SUMIFS('Shipments data'!L:L,'Shipments data'!F:F,'Supply planning data'!C697,'Shipments data'!A:A,'Supply planning data'!A697,'Shipments data'!O:O,"received",'Shipments data'!Q:Q,"&lt;"&amp;'Supply planning data'!D712,'Shipments data'!AC:AC,"&lt;"&amp;'Supply planning data'!D712)-SUMIFS(M:M,D:D,"&lt;="&amp;D697,C:C,C697)-SUMIFS(AA:AA,D:D,"&lt;="&amp;D697,C:C,C697)+SUMIFS(N:N,D:D,"&lt;="&amp;D697,C:C,C697)+SUMIFS(P:P,D:D,"&lt;="&amp;D697,C:C,C697))</f>
        <v>0</v>
      </c>
      <c r="AD697" s="98">
        <f t="shared" si="208"/>
        <v>0</v>
      </c>
      <c r="AE697" s="98">
        <f t="shared" si="202"/>
        <v>0</v>
      </c>
      <c r="AF697" s="205" t="str">
        <f t="shared" si="211"/>
        <v/>
      </c>
      <c r="AG697" s="98">
        <f t="shared" si="209"/>
        <v>0</v>
      </c>
      <c r="AH697" s="97"/>
      <c r="AI697" s="311"/>
      <c r="AJ697" s="98">
        <f t="shared" si="201"/>
        <v>0</v>
      </c>
      <c r="AK697" s="233"/>
      <c r="AL697" s="98">
        <f>IF(SUMIFS('Shipments data'!L:L,'Shipments data'!F:F,'Supply planning data'!C697,'Shipments data'!A:A,'Supply planning data'!A697,'Shipments data'!O:O,"received",'Shipments data'!Q:Q,"&lt;"&amp;'Supply planning data'!D712,'Shipments data'!AC:AC,"&lt;"&amp;'Supply planning data'!D712)-SUMIFS(M:M,D:D,"&lt;="&amp;D697,C:C,C697)-SUMIFS(AJ:AJ,D:D,"&lt;="&amp;D697,C:C,C697)+SUMIFS(N:N,D:D,"&lt;="&amp;D697,C:C,C697)+SUMIFS(P:P,D:D,"&lt;="&amp;D697,C:C,C697)&lt;0,0,SUMIFS('Shipments data'!L:L,'Shipments data'!F:F,'Supply planning data'!C697,'Shipments data'!A:A,'Supply planning data'!A697,'Shipments data'!O:O,"received",'Shipments data'!Q:Q,"&lt;"&amp;'Supply planning data'!D712,'Shipments data'!AC:AC,"&lt;"&amp;'Supply planning data'!D712)-SUMIFS(M:M,D:D,"&lt;="&amp;D697,C:C,C697)-SUMIFS(AJ:AJ,D:D,"&lt;="&amp;D697,C:C,C697)+SUMIFS(N:N,D:D,"&lt;="&amp;D697,C:C,C697)+SUMIFS(P:P,D:D,"&lt;="&amp;D697,C:C,C697))</f>
        <v>0</v>
      </c>
      <c r="AM697" s="98">
        <f t="shared" si="210"/>
        <v>0</v>
      </c>
      <c r="AN697" s="98">
        <f t="shared" si="203"/>
        <v>0</v>
      </c>
      <c r="AO697" s="203" t="str">
        <f t="shared" si="213"/>
        <v/>
      </c>
    </row>
    <row r="698" spans="1:41" x14ac:dyDescent="0.25">
      <c r="A698" s="95" t="str">
        <f>Start!D$7</f>
        <v>Anyland</v>
      </c>
      <c r="B698" s="96" t="str">
        <f>VLOOKUP(A698,list!B:C,2,FALSE)</f>
        <v>ANY</v>
      </c>
      <c r="C698" s="90" t="str">
        <f>IF(Start!$C$20="","",Start!$C$20)</f>
        <v>Pfizer</v>
      </c>
      <c r="D698" s="296">
        <f t="shared" si="204"/>
        <v>45597</v>
      </c>
      <c r="E698" s="92" t="str">
        <f>IFERROR(VLOOKUP(C698,Start!C$15:D$31,2,FALSE),"No")</f>
        <v>Yes</v>
      </c>
      <c r="F698" s="92">
        <f t="shared" si="205"/>
        <v>3000000</v>
      </c>
      <c r="G698" s="91"/>
      <c r="H698" s="97"/>
      <c r="I698" s="97"/>
      <c r="J698" s="98">
        <f t="shared" si="197"/>
        <v>0</v>
      </c>
      <c r="K698" s="97"/>
      <c r="L698" s="175" t="str">
        <f t="shared" si="198"/>
        <v/>
      </c>
      <c r="M698" s="98">
        <f t="shared" si="199"/>
        <v>0</v>
      </c>
      <c r="N698" s="97"/>
      <c r="O698" s="122"/>
      <c r="P698" s="97"/>
      <c r="Q698" s="122"/>
      <c r="R698" s="98">
        <f>SUMIFS('Shipments data'!L:L,'Shipments data'!F:F,'Supply planning data'!C698,'Shipments data'!A:A,'Supply planning data'!A698,'Shipments data'!Y:Y,'Supply planning data'!D698,'Shipments data'!O:O,"received", 'Shipments data'!N:N, "Public")</f>
        <v>0</v>
      </c>
      <c r="S698" s="98">
        <f>SUMIFS('Shipments data'!L:L,'Shipments data'!F:F,'Supply planning data'!C698,'Shipments data'!A:A,'Supply planning data'!A698,'Shipments data'!Y:Y,'Supply planning data'!D698,'Shipments data'!O:O,"ordered", 'Shipments data'!N:N, "Public")</f>
        <v>0</v>
      </c>
      <c r="T698" s="98">
        <f>IF(SUMIFS('Shipments data'!L:L,'Shipments data'!F:F,'Supply planning data'!C698,'Shipments data'!A:A,'Supply planning data'!A698,'Shipments data'!O:O,"received",'Shipments data'!Q:Q,"&lt;"&amp;'Supply planning data'!D713,'Shipments data'!AC:AC,"&lt;"&amp;'Supply planning data'!D713)-SUMIFS(M:M,D:D,"&lt;="&amp;D698,C:C,C698)+SUMIFS(N:N,D:D,"&lt;="&amp;D698,C:C,C698)+SUMIFS(P:P,D:D,"&lt;="&amp;D698,C:C,C698)&lt;0,0,SUMIFS('Shipments data'!L:L,'Shipments data'!F:F,'Supply planning data'!C698,'Shipments data'!A:A,'Supply planning data'!A698,'Shipments data'!O:O,"received",'Shipments data'!Q:Q,"&lt;"&amp;'Supply planning data'!D713,'Shipments data'!AC:AC,"&lt;"&amp;'Supply planning data'!D713)-SUMIFS(M:M,D:D,"&lt;="&amp;D698,C:C,C698)+SUMIFS(N:N,D:D,"&lt;="&amp;D698,C:C,C698)+SUMIFS(P:P,D:D,"&lt;="&amp;D698,C:C,C698))</f>
        <v>110538</v>
      </c>
      <c r="U698" s="99">
        <f t="shared" si="206"/>
        <v>0</v>
      </c>
      <c r="V698" s="98">
        <f t="shared" si="214"/>
        <v>3000000</v>
      </c>
      <c r="W698" s="203" t="str">
        <f t="shared" si="212"/>
        <v/>
      </c>
      <c r="X698" s="98">
        <f t="shared" si="207"/>
        <v>2440000</v>
      </c>
      <c r="Y698" s="97"/>
      <c r="Z698" s="93"/>
      <c r="AA698" s="98">
        <f t="shared" si="200"/>
        <v>0</v>
      </c>
      <c r="AB698" s="233"/>
      <c r="AC698" s="98">
        <f>IF(SUMIFS('Shipments data'!L:L,'Shipments data'!F:F,'Supply planning data'!C698,'Shipments data'!A:A,'Supply planning data'!A698,'Shipments data'!O:O,"received",'Shipments data'!Q:Q,"&lt;"&amp;'Supply planning data'!D713,'Shipments data'!AC:AC,"&lt;"&amp;'Supply planning data'!D713)-SUMIFS(M:M,D:D,"&lt;="&amp;D698,C:C,C698)-SUMIFS(AA:AA,D:D,"&lt;="&amp;D698,C:C,C698)+SUMIFS(N:N,D:D,"&lt;="&amp;D698,C:C,C698)+SUMIFS(P:P,D:D,"&lt;="&amp;D698,C:C,C698)&lt;0,0,SUMIFS('Shipments data'!L:L,'Shipments data'!F:F,'Supply planning data'!C698,'Shipments data'!A:A,'Supply planning data'!A698,'Shipments data'!O:O,"received",'Shipments data'!Q:Q,"&lt;"&amp;'Supply planning data'!D713,'Shipments data'!AC:AC,"&lt;"&amp;'Supply planning data'!D713)-SUMIFS(M:M,D:D,"&lt;="&amp;D698,C:C,C698)-SUMIFS(AA:AA,D:D,"&lt;="&amp;D698,C:C,C698)+SUMIFS(N:N,D:D,"&lt;="&amp;D698,C:C,C698)+SUMIFS(P:P,D:D,"&lt;="&amp;D698,C:C,C698))</f>
        <v>0</v>
      </c>
      <c r="AD698" s="98">
        <f t="shared" si="208"/>
        <v>0</v>
      </c>
      <c r="AE698" s="98">
        <f t="shared" si="202"/>
        <v>2440000</v>
      </c>
      <c r="AF698" s="205" t="str">
        <f t="shared" si="211"/>
        <v/>
      </c>
      <c r="AG698" s="98">
        <f t="shared" si="209"/>
        <v>3000000</v>
      </c>
      <c r="AH698" s="97"/>
      <c r="AI698" s="311"/>
      <c r="AJ698" s="98">
        <f t="shared" si="201"/>
        <v>0</v>
      </c>
      <c r="AK698" s="233"/>
      <c r="AL698" s="98">
        <f>IF(SUMIFS('Shipments data'!L:L,'Shipments data'!F:F,'Supply planning data'!C698,'Shipments data'!A:A,'Supply planning data'!A698,'Shipments data'!O:O,"received",'Shipments data'!Q:Q,"&lt;"&amp;'Supply planning data'!D713,'Shipments data'!AC:AC,"&lt;"&amp;'Supply planning data'!D713)-SUMIFS(M:M,D:D,"&lt;="&amp;D698,C:C,C698)-SUMIFS(AJ:AJ,D:D,"&lt;="&amp;D698,C:C,C698)+SUMIFS(N:N,D:D,"&lt;="&amp;D698,C:C,C698)+SUMIFS(P:P,D:D,"&lt;="&amp;D698,C:C,C698)&lt;0,0,SUMIFS('Shipments data'!L:L,'Shipments data'!F:F,'Supply planning data'!C698,'Shipments data'!A:A,'Supply planning data'!A698,'Shipments data'!O:O,"received",'Shipments data'!Q:Q,"&lt;"&amp;'Supply planning data'!D713,'Shipments data'!AC:AC,"&lt;"&amp;'Supply planning data'!D713)-SUMIFS(M:M,D:D,"&lt;="&amp;D698,C:C,C698)-SUMIFS(AJ:AJ,D:D,"&lt;="&amp;D698,C:C,C698)+SUMIFS(N:N,D:D,"&lt;="&amp;D698,C:C,C698)+SUMIFS(P:P,D:D,"&lt;="&amp;D698,C:C,C698))</f>
        <v>110538</v>
      </c>
      <c r="AM698" s="98">
        <f t="shared" si="210"/>
        <v>0</v>
      </c>
      <c r="AN698" s="98">
        <f t="shared" si="203"/>
        <v>3000000</v>
      </c>
      <c r="AO698" s="203" t="str">
        <f t="shared" si="213"/>
        <v/>
      </c>
    </row>
    <row r="699" spans="1:41" x14ac:dyDescent="0.25">
      <c r="A699" s="95" t="str">
        <f>Start!D$7</f>
        <v>Anyland</v>
      </c>
      <c r="B699" s="96" t="str">
        <f>VLOOKUP(A699,list!B:C,2,FALSE)</f>
        <v>ANY</v>
      </c>
      <c r="C699" s="90" t="str">
        <f>IF(Start!$C$21="","",Start!$C$21)</f>
        <v>Sinovac</v>
      </c>
      <c r="D699" s="296">
        <f t="shared" si="204"/>
        <v>45597</v>
      </c>
      <c r="E699" s="92" t="str">
        <f>IFERROR(VLOOKUP(C699,Start!C$15:D$31,2,FALSE),"No")</f>
        <v>No</v>
      </c>
      <c r="F699" s="92">
        <f t="shared" si="205"/>
        <v>0</v>
      </c>
      <c r="G699" s="91"/>
      <c r="H699" s="97"/>
      <c r="I699" s="97"/>
      <c r="J699" s="98">
        <f t="shared" si="197"/>
        <v>0</v>
      </c>
      <c r="K699" s="97"/>
      <c r="L699" s="175" t="str">
        <f t="shared" si="198"/>
        <v/>
      </c>
      <c r="M699" s="98">
        <f t="shared" si="199"/>
        <v>0</v>
      </c>
      <c r="N699" s="97"/>
      <c r="O699" s="122"/>
      <c r="P699" s="97"/>
      <c r="Q699" s="122"/>
      <c r="R699" s="98">
        <f>SUMIFS('Shipments data'!L:L,'Shipments data'!F:F,'Supply planning data'!C699,'Shipments data'!A:A,'Supply planning data'!A699,'Shipments data'!Y:Y,'Supply planning data'!D699,'Shipments data'!O:O,"received", 'Shipments data'!N:N, "Public")</f>
        <v>0</v>
      </c>
      <c r="S699" s="98">
        <f>SUMIFS('Shipments data'!L:L,'Shipments data'!F:F,'Supply planning data'!C699,'Shipments data'!A:A,'Supply planning data'!A699,'Shipments data'!Y:Y,'Supply planning data'!D699,'Shipments data'!O:O,"ordered", 'Shipments data'!N:N, "Public")</f>
        <v>0</v>
      </c>
      <c r="T699" s="98">
        <f>IF(SUMIFS('Shipments data'!L:L,'Shipments data'!F:F,'Supply planning data'!C699,'Shipments data'!A:A,'Supply planning data'!A699,'Shipments data'!O:O,"received",'Shipments data'!Q:Q,"&lt;"&amp;'Supply planning data'!D714,'Shipments data'!AC:AC,"&lt;"&amp;'Supply planning data'!D714)-SUMIFS(M:M,D:D,"&lt;="&amp;D699,C:C,C699)+SUMIFS(N:N,D:D,"&lt;="&amp;D699,C:C,C699)+SUMIFS(P:P,D:D,"&lt;="&amp;D699,C:C,C699)&lt;0,0,SUMIFS('Shipments data'!L:L,'Shipments data'!F:F,'Supply planning data'!C699,'Shipments data'!A:A,'Supply planning data'!A699,'Shipments data'!O:O,"received",'Shipments data'!Q:Q,"&lt;"&amp;'Supply planning data'!D714,'Shipments data'!AC:AC,"&lt;"&amp;'Supply planning data'!D714)-SUMIFS(M:M,D:D,"&lt;="&amp;D699,C:C,C699)+SUMIFS(N:N,D:D,"&lt;="&amp;D699,C:C,C699)+SUMIFS(P:P,D:D,"&lt;="&amp;D699,C:C,C699))</f>
        <v>0</v>
      </c>
      <c r="U699" s="99">
        <f t="shared" si="206"/>
        <v>0</v>
      </c>
      <c r="V699" s="98">
        <f t="shared" si="214"/>
        <v>0</v>
      </c>
      <c r="W699" s="203" t="str">
        <f t="shared" si="212"/>
        <v/>
      </c>
      <c r="X699" s="98">
        <f t="shared" si="207"/>
        <v>0</v>
      </c>
      <c r="Y699" s="97"/>
      <c r="Z699" s="93"/>
      <c r="AA699" s="98">
        <f t="shared" si="200"/>
        <v>0</v>
      </c>
      <c r="AB699" s="233"/>
      <c r="AC699" s="98">
        <f>IF(SUMIFS('Shipments data'!L:L,'Shipments data'!F:F,'Supply planning data'!C699,'Shipments data'!A:A,'Supply planning data'!A699,'Shipments data'!O:O,"received",'Shipments data'!Q:Q,"&lt;"&amp;'Supply planning data'!D714,'Shipments data'!AC:AC,"&lt;"&amp;'Supply planning data'!D714)-SUMIFS(M:M,D:D,"&lt;="&amp;D699,C:C,C699)-SUMIFS(AA:AA,D:D,"&lt;="&amp;D699,C:C,C699)+SUMIFS(N:N,D:D,"&lt;="&amp;D699,C:C,C699)+SUMIFS(P:P,D:D,"&lt;="&amp;D699,C:C,C699)&lt;0,0,SUMIFS('Shipments data'!L:L,'Shipments data'!F:F,'Supply planning data'!C699,'Shipments data'!A:A,'Supply planning data'!A699,'Shipments data'!O:O,"received",'Shipments data'!Q:Q,"&lt;"&amp;'Supply planning data'!D714,'Shipments data'!AC:AC,"&lt;"&amp;'Supply planning data'!D714)-SUMIFS(M:M,D:D,"&lt;="&amp;D699,C:C,C699)-SUMIFS(AA:AA,D:D,"&lt;="&amp;D699,C:C,C699)+SUMIFS(N:N,D:D,"&lt;="&amp;D699,C:C,C699)+SUMIFS(P:P,D:D,"&lt;="&amp;D699,C:C,C699))</f>
        <v>0</v>
      </c>
      <c r="AD699" s="98">
        <f t="shared" si="208"/>
        <v>0</v>
      </c>
      <c r="AE699" s="98">
        <f t="shared" si="202"/>
        <v>0</v>
      </c>
      <c r="AF699" s="205" t="str">
        <f t="shared" si="211"/>
        <v/>
      </c>
      <c r="AG699" s="98">
        <f t="shared" si="209"/>
        <v>0</v>
      </c>
      <c r="AH699" s="97"/>
      <c r="AI699" s="311"/>
      <c r="AJ699" s="98">
        <f t="shared" si="201"/>
        <v>0</v>
      </c>
      <c r="AK699" s="233"/>
      <c r="AL699" s="98">
        <f>IF(SUMIFS('Shipments data'!L:L,'Shipments data'!F:F,'Supply planning data'!C699,'Shipments data'!A:A,'Supply planning data'!A699,'Shipments data'!O:O,"received",'Shipments data'!Q:Q,"&lt;"&amp;'Supply planning data'!D714,'Shipments data'!AC:AC,"&lt;"&amp;'Supply planning data'!D714)-SUMIFS(M:M,D:D,"&lt;="&amp;D699,C:C,C699)-SUMIFS(AJ:AJ,D:D,"&lt;="&amp;D699,C:C,C699)+SUMIFS(N:N,D:D,"&lt;="&amp;D699,C:C,C699)+SUMIFS(P:P,D:D,"&lt;="&amp;D699,C:C,C699)&lt;0,0,SUMIFS('Shipments data'!L:L,'Shipments data'!F:F,'Supply planning data'!C699,'Shipments data'!A:A,'Supply planning data'!A699,'Shipments data'!O:O,"received",'Shipments data'!Q:Q,"&lt;"&amp;'Supply planning data'!D714,'Shipments data'!AC:AC,"&lt;"&amp;'Supply planning data'!D714)-SUMIFS(M:M,D:D,"&lt;="&amp;D699,C:C,C699)-SUMIFS(AJ:AJ,D:D,"&lt;="&amp;D699,C:C,C699)+SUMIFS(N:N,D:D,"&lt;="&amp;D699,C:C,C699)+SUMIFS(P:P,D:D,"&lt;="&amp;D699,C:C,C699))</f>
        <v>0</v>
      </c>
      <c r="AM699" s="98">
        <f t="shared" si="210"/>
        <v>0</v>
      </c>
      <c r="AN699" s="98">
        <f t="shared" si="203"/>
        <v>0</v>
      </c>
      <c r="AO699" s="203" t="str">
        <f t="shared" si="213"/>
        <v/>
      </c>
    </row>
    <row r="700" spans="1:41" hidden="1" x14ac:dyDescent="0.25">
      <c r="A700" s="95" t="str">
        <f>Start!D$7</f>
        <v>Anyland</v>
      </c>
      <c r="B700" s="96" t="str">
        <f>VLOOKUP(A700,list!B:C,2,FALSE)</f>
        <v>ANY</v>
      </c>
      <c r="C700" s="90" t="str">
        <f>IF(Start!$C$22="","",Start!$C$22)</f>
        <v/>
      </c>
      <c r="D700" s="296">
        <f t="shared" si="204"/>
        <v>45597</v>
      </c>
      <c r="E700" s="92" t="str">
        <f>IFERROR(VLOOKUP(C700,Start!C$15:D$31,2,FALSE),"No")</f>
        <v>No</v>
      </c>
      <c r="F700" s="92">
        <f t="shared" si="205"/>
        <v>0</v>
      </c>
      <c r="G700" s="91"/>
      <c r="H700" s="97"/>
      <c r="I700" s="97"/>
      <c r="J700" s="98">
        <f t="shared" si="197"/>
        <v>0</v>
      </c>
      <c r="K700" s="97"/>
      <c r="L700" s="175" t="str">
        <f t="shared" si="198"/>
        <v/>
      </c>
      <c r="M700" s="98">
        <f t="shared" si="199"/>
        <v>0</v>
      </c>
      <c r="N700" s="97"/>
      <c r="O700" s="122"/>
      <c r="P700" s="97"/>
      <c r="Q700" s="122"/>
      <c r="R700" s="98">
        <f>SUMIFS('Shipments data'!L:L,'Shipments data'!F:F,'Supply planning data'!C700,'Shipments data'!A:A,'Supply planning data'!A700,'Shipments data'!Y:Y,'Supply planning data'!D700,'Shipments data'!O:O,"received", 'Shipments data'!N:N, "Public")</f>
        <v>0</v>
      </c>
      <c r="S700" s="98">
        <f>SUMIFS('Shipments data'!L:L,'Shipments data'!F:F,'Supply planning data'!C700,'Shipments data'!A:A,'Supply planning data'!A700,'Shipments data'!Y:Y,'Supply planning data'!D700,'Shipments data'!O:O,"ordered", 'Shipments data'!N:N, "Public")</f>
        <v>0</v>
      </c>
      <c r="T700" s="98">
        <f>IF(SUMIFS('Shipments data'!L:L,'Shipments data'!F:F,'Supply planning data'!C700,'Shipments data'!A:A,'Supply planning data'!A700,'Shipments data'!O:O,"received",'Shipments data'!Q:Q,"&lt;"&amp;'Supply planning data'!D715,'Shipments data'!AC:AC,"&lt;"&amp;'Supply planning data'!D715)-SUMIFS(M:M,D:D,"&lt;="&amp;D700,C:C,C700)+SUMIFS(N:N,D:D,"&lt;="&amp;D700,C:C,C700)+SUMIFS(P:P,D:D,"&lt;="&amp;D700,C:C,C700)&lt;0,0,SUMIFS('Shipments data'!L:L,'Shipments data'!F:F,'Supply planning data'!C700,'Shipments data'!A:A,'Supply planning data'!A700,'Shipments data'!O:O,"received",'Shipments data'!Q:Q,"&lt;"&amp;'Supply planning data'!D715,'Shipments data'!AC:AC,"&lt;"&amp;'Supply planning data'!D715)-SUMIFS(M:M,D:D,"&lt;="&amp;D700,C:C,C700)+SUMIFS(N:N,D:D,"&lt;="&amp;D700,C:C,C700)+SUMIFS(P:P,D:D,"&lt;="&amp;D700,C:C,C700))</f>
        <v>0</v>
      </c>
      <c r="U700" s="99">
        <f t="shared" si="206"/>
        <v>0</v>
      </c>
      <c r="V700" s="98">
        <f t="shared" si="214"/>
        <v>0</v>
      </c>
      <c r="W700" s="203" t="str">
        <f t="shared" si="212"/>
        <v/>
      </c>
      <c r="X700" s="98">
        <f t="shared" si="207"/>
        <v>0</v>
      </c>
      <c r="Y700" s="97"/>
      <c r="Z700" s="93"/>
      <c r="AA700" s="98">
        <f t="shared" si="200"/>
        <v>0</v>
      </c>
      <c r="AB700" s="233"/>
      <c r="AC700" s="98">
        <f>IF(SUMIFS('Shipments data'!L:L,'Shipments data'!F:F,'Supply planning data'!C700,'Shipments data'!A:A,'Supply planning data'!A700,'Shipments data'!O:O,"received",'Shipments data'!Q:Q,"&lt;"&amp;'Supply planning data'!D715,'Shipments data'!AC:AC,"&lt;"&amp;'Supply planning data'!D715)-SUMIFS(M:M,D:D,"&lt;="&amp;D700,C:C,C700)-SUMIFS(AA:AA,D:D,"&lt;="&amp;D700,C:C,C700)+SUMIFS(N:N,D:D,"&lt;="&amp;D700,C:C,C700)+SUMIFS(P:P,D:D,"&lt;="&amp;D700,C:C,C700)&lt;0,0,SUMIFS('Shipments data'!L:L,'Shipments data'!F:F,'Supply planning data'!C700,'Shipments data'!A:A,'Supply planning data'!A700,'Shipments data'!O:O,"received",'Shipments data'!Q:Q,"&lt;"&amp;'Supply planning data'!D715,'Shipments data'!AC:AC,"&lt;"&amp;'Supply planning data'!D715)-SUMIFS(M:M,D:D,"&lt;="&amp;D700,C:C,C700)-SUMIFS(AA:AA,D:D,"&lt;="&amp;D700,C:C,C700)+SUMIFS(N:N,D:D,"&lt;="&amp;D700,C:C,C700)+SUMIFS(P:P,D:D,"&lt;="&amp;D700,C:C,C700))</f>
        <v>0</v>
      </c>
      <c r="AD700" s="98">
        <f t="shared" si="208"/>
        <v>0</v>
      </c>
      <c r="AE700" s="98">
        <f t="shared" si="202"/>
        <v>0</v>
      </c>
      <c r="AF700" s="205" t="str">
        <f t="shared" si="211"/>
        <v/>
      </c>
      <c r="AG700" s="98">
        <f t="shared" si="209"/>
        <v>0</v>
      </c>
      <c r="AH700" s="97"/>
      <c r="AI700" s="311"/>
      <c r="AJ700" s="98">
        <f t="shared" si="201"/>
        <v>0</v>
      </c>
      <c r="AK700" s="233"/>
      <c r="AL700" s="98">
        <f>IF(SUMIFS('Shipments data'!L:L,'Shipments data'!F:F,'Supply planning data'!C700,'Shipments data'!A:A,'Supply planning data'!A700,'Shipments data'!O:O,"received",'Shipments data'!Q:Q,"&lt;"&amp;'Supply planning data'!D715,'Shipments data'!AC:AC,"&lt;"&amp;'Supply planning data'!D715)-SUMIFS(M:M,D:D,"&lt;="&amp;D700,C:C,C700)-SUMIFS(AJ:AJ,D:D,"&lt;="&amp;D700,C:C,C700)+SUMIFS(N:N,D:D,"&lt;="&amp;D700,C:C,C700)+SUMIFS(P:P,D:D,"&lt;="&amp;D700,C:C,C700)&lt;0,0,SUMIFS('Shipments data'!L:L,'Shipments data'!F:F,'Supply planning data'!C700,'Shipments data'!A:A,'Supply planning data'!A700,'Shipments data'!O:O,"received",'Shipments data'!Q:Q,"&lt;"&amp;'Supply planning data'!D715,'Shipments data'!AC:AC,"&lt;"&amp;'Supply planning data'!D715)-SUMIFS(M:M,D:D,"&lt;="&amp;D700,C:C,C700)-SUMIFS(AJ:AJ,D:D,"&lt;="&amp;D700,C:C,C700)+SUMIFS(N:N,D:D,"&lt;="&amp;D700,C:C,C700)+SUMIFS(P:P,D:D,"&lt;="&amp;D700,C:C,C700))</f>
        <v>0</v>
      </c>
      <c r="AM700" s="98">
        <f t="shared" si="210"/>
        <v>0</v>
      </c>
      <c r="AN700" s="98">
        <f t="shared" si="203"/>
        <v>0</v>
      </c>
      <c r="AO700" s="203" t="str">
        <f t="shared" si="213"/>
        <v/>
      </c>
    </row>
    <row r="701" spans="1:41" hidden="1" x14ac:dyDescent="0.25">
      <c r="A701" s="95" t="str">
        <f>Start!D$7</f>
        <v>Anyland</v>
      </c>
      <c r="B701" s="96" t="str">
        <f>VLOOKUP(A701,list!B:C,2,FALSE)</f>
        <v>ANY</v>
      </c>
      <c r="C701" s="90" t="str">
        <f>IF(Start!$C$23="","",Start!$C$23)</f>
        <v/>
      </c>
      <c r="D701" s="296">
        <f t="shared" si="204"/>
        <v>45597</v>
      </c>
      <c r="E701" s="92" t="str">
        <f>IFERROR(VLOOKUP(C701,Start!C$15:D$31,2,FALSE),"No")</f>
        <v>No</v>
      </c>
      <c r="F701" s="92">
        <f t="shared" si="205"/>
        <v>0</v>
      </c>
      <c r="G701" s="91"/>
      <c r="H701" s="97"/>
      <c r="I701" s="97"/>
      <c r="J701" s="98">
        <f t="shared" si="197"/>
        <v>0</v>
      </c>
      <c r="K701" s="97"/>
      <c r="L701" s="175" t="str">
        <f t="shared" si="198"/>
        <v/>
      </c>
      <c r="M701" s="98">
        <f t="shared" si="199"/>
        <v>0</v>
      </c>
      <c r="N701" s="97"/>
      <c r="O701" s="122"/>
      <c r="P701" s="97"/>
      <c r="Q701" s="122"/>
      <c r="R701" s="98">
        <f>SUMIFS('Shipments data'!L:L,'Shipments data'!F:F,'Supply planning data'!C701,'Shipments data'!A:A,'Supply planning data'!A701,'Shipments data'!Y:Y,'Supply planning data'!D701,'Shipments data'!O:O,"received", 'Shipments data'!N:N, "Public")</f>
        <v>0</v>
      </c>
      <c r="S701" s="98">
        <f>SUMIFS('Shipments data'!L:L,'Shipments data'!F:F,'Supply planning data'!C701,'Shipments data'!A:A,'Supply planning data'!A701,'Shipments data'!Y:Y,'Supply planning data'!D701,'Shipments data'!O:O,"ordered", 'Shipments data'!N:N, "Public")</f>
        <v>0</v>
      </c>
      <c r="T701" s="98">
        <f>IF(SUMIFS('Shipments data'!L:L,'Shipments data'!F:F,'Supply planning data'!C701,'Shipments data'!A:A,'Supply planning data'!A701,'Shipments data'!O:O,"received",'Shipments data'!Q:Q,"&lt;"&amp;'Supply planning data'!D716,'Shipments data'!AC:AC,"&lt;"&amp;'Supply planning data'!D716)-SUMIFS(M:M,D:D,"&lt;="&amp;D701,C:C,C701)+SUMIFS(N:N,D:D,"&lt;="&amp;D701,C:C,C701)+SUMIFS(P:P,D:D,"&lt;="&amp;D701,C:C,C701)&lt;0,0,SUMIFS('Shipments data'!L:L,'Shipments data'!F:F,'Supply planning data'!C701,'Shipments data'!A:A,'Supply planning data'!A701,'Shipments data'!O:O,"received",'Shipments data'!Q:Q,"&lt;"&amp;'Supply planning data'!D716,'Shipments data'!AC:AC,"&lt;"&amp;'Supply planning data'!D716)-SUMIFS(M:M,D:D,"&lt;="&amp;D701,C:C,C701)+SUMIFS(N:N,D:D,"&lt;="&amp;D701,C:C,C701)+SUMIFS(P:P,D:D,"&lt;="&amp;D701,C:C,C701))</f>
        <v>0</v>
      </c>
      <c r="U701" s="99">
        <f t="shared" si="206"/>
        <v>0</v>
      </c>
      <c r="V701" s="98">
        <f t="shared" si="214"/>
        <v>0</v>
      </c>
      <c r="W701" s="203" t="str">
        <f t="shared" si="212"/>
        <v/>
      </c>
      <c r="X701" s="98">
        <f t="shared" si="207"/>
        <v>0</v>
      </c>
      <c r="Y701" s="97"/>
      <c r="Z701" s="93"/>
      <c r="AA701" s="98">
        <f t="shared" si="200"/>
        <v>0</v>
      </c>
      <c r="AB701" s="233"/>
      <c r="AC701" s="98">
        <f>IF(SUMIFS('Shipments data'!L:L,'Shipments data'!F:F,'Supply planning data'!C701,'Shipments data'!A:A,'Supply planning data'!A701,'Shipments data'!O:O,"received",'Shipments data'!Q:Q,"&lt;"&amp;'Supply planning data'!D716,'Shipments data'!AC:AC,"&lt;"&amp;'Supply planning data'!D716)-SUMIFS(M:M,D:D,"&lt;="&amp;D701,C:C,C701)-SUMIFS(AA:AA,D:D,"&lt;="&amp;D701,C:C,C701)+SUMIFS(N:N,D:D,"&lt;="&amp;D701,C:C,C701)+SUMIFS(P:P,D:D,"&lt;="&amp;D701,C:C,C701)&lt;0,0,SUMIFS('Shipments data'!L:L,'Shipments data'!F:F,'Supply planning data'!C701,'Shipments data'!A:A,'Supply planning data'!A701,'Shipments data'!O:O,"received",'Shipments data'!Q:Q,"&lt;"&amp;'Supply planning data'!D716,'Shipments data'!AC:AC,"&lt;"&amp;'Supply planning data'!D716)-SUMIFS(M:M,D:D,"&lt;="&amp;D701,C:C,C701)-SUMIFS(AA:AA,D:D,"&lt;="&amp;D701,C:C,C701)+SUMIFS(N:N,D:D,"&lt;="&amp;D701,C:C,C701)+SUMIFS(P:P,D:D,"&lt;="&amp;D701,C:C,C701))</f>
        <v>0</v>
      </c>
      <c r="AD701" s="98">
        <f t="shared" si="208"/>
        <v>0</v>
      </c>
      <c r="AE701" s="98">
        <f t="shared" si="202"/>
        <v>0</v>
      </c>
      <c r="AF701" s="205" t="str">
        <f t="shared" si="211"/>
        <v/>
      </c>
      <c r="AG701" s="98">
        <f t="shared" si="209"/>
        <v>0</v>
      </c>
      <c r="AH701" s="97"/>
      <c r="AI701" s="311"/>
      <c r="AJ701" s="98">
        <f t="shared" si="201"/>
        <v>0</v>
      </c>
      <c r="AK701" s="233"/>
      <c r="AL701" s="98">
        <f>IF(SUMIFS('Shipments data'!L:L,'Shipments data'!F:F,'Supply planning data'!C701,'Shipments data'!A:A,'Supply planning data'!A701,'Shipments data'!O:O,"received",'Shipments data'!Q:Q,"&lt;"&amp;'Supply planning data'!D716,'Shipments data'!AC:AC,"&lt;"&amp;'Supply planning data'!D716)-SUMIFS(M:M,D:D,"&lt;="&amp;D701,C:C,C701)-SUMIFS(AJ:AJ,D:D,"&lt;="&amp;D701,C:C,C701)+SUMIFS(N:N,D:D,"&lt;="&amp;D701,C:C,C701)+SUMIFS(P:P,D:D,"&lt;="&amp;D701,C:C,C701)&lt;0,0,SUMIFS('Shipments data'!L:L,'Shipments data'!F:F,'Supply planning data'!C701,'Shipments data'!A:A,'Supply planning data'!A701,'Shipments data'!O:O,"received",'Shipments data'!Q:Q,"&lt;"&amp;'Supply planning data'!D716,'Shipments data'!AC:AC,"&lt;"&amp;'Supply planning data'!D716)-SUMIFS(M:M,D:D,"&lt;="&amp;D701,C:C,C701)-SUMIFS(AJ:AJ,D:D,"&lt;="&amp;D701,C:C,C701)+SUMIFS(N:N,D:D,"&lt;="&amp;D701,C:C,C701)+SUMIFS(P:P,D:D,"&lt;="&amp;D701,C:C,C701))</f>
        <v>0</v>
      </c>
      <c r="AM701" s="98">
        <f t="shared" si="210"/>
        <v>0</v>
      </c>
      <c r="AN701" s="98">
        <f t="shared" si="203"/>
        <v>0</v>
      </c>
      <c r="AO701" s="203" t="str">
        <f t="shared" si="213"/>
        <v/>
      </c>
    </row>
    <row r="702" spans="1:41" hidden="1" x14ac:dyDescent="0.25">
      <c r="A702" s="95" t="str">
        <f>Start!D$7</f>
        <v>Anyland</v>
      </c>
      <c r="B702" s="96" t="str">
        <f>VLOOKUP(A702,list!B:C,2,FALSE)</f>
        <v>ANY</v>
      </c>
      <c r="C702" s="90" t="str">
        <f>IF(Start!$C$24="","",Start!$C$24)</f>
        <v/>
      </c>
      <c r="D702" s="296">
        <f t="shared" si="204"/>
        <v>45597</v>
      </c>
      <c r="E702" s="92" t="str">
        <f>IFERROR(VLOOKUP(C702,Start!C$15:D$31,2,FALSE),"No")</f>
        <v>No</v>
      </c>
      <c r="F702" s="92">
        <f t="shared" si="205"/>
        <v>0</v>
      </c>
      <c r="G702" s="91"/>
      <c r="H702" s="97"/>
      <c r="I702" s="97"/>
      <c r="J702" s="98">
        <f t="shared" si="197"/>
        <v>0</v>
      </c>
      <c r="K702" s="97"/>
      <c r="L702" s="175" t="str">
        <f t="shared" si="198"/>
        <v/>
      </c>
      <c r="M702" s="98">
        <f t="shared" si="199"/>
        <v>0</v>
      </c>
      <c r="N702" s="97"/>
      <c r="O702" s="122"/>
      <c r="P702" s="97"/>
      <c r="Q702" s="122"/>
      <c r="R702" s="98">
        <f>SUMIFS('Shipments data'!L:L,'Shipments data'!F:F,'Supply planning data'!C702,'Shipments data'!A:A,'Supply planning data'!A702,'Shipments data'!Y:Y,'Supply planning data'!D702,'Shipments data'!O:O,"received", 'Shipments data'!N:N, "Public")</f>
        <v>0</v>
      </c>
      <c r="S702" s="98">
        <f>SUMIFS('Shipments data'!L:L,'Shipments data'!F:F,'Supply planning data'!C702,'Shipments data'!A:A,'Supply planning data'!A702,'Shipments data'!Y:Y,'Supply planning data'!D702,'Shipments data'!O:O,"ordered", 'Shipments data'!N:N, "Public")</f>
        <v>0</v>
      </c>
      <c r="T702" s="98">
        <f>IF(SUMIFS('Shipments data'!L:L,'Shipments data'!F:F,'Supply planning data'!C702,'Shipments data'!A:A,'Supply planning data'!A702,'Shipments data'!O:O,"received",'Shipments data'!Q:Q,"&lt;"&amp;'Supply planning data'!D717,'Shipments data'!AC:AC,"&lt;"&amp;'Supply planning data'!D717)-SUMIFS(M:M,D:D,"&lt;="&amp;D702,C:C,C702)+SUMIFS(N:N,D:D,"&lt;="&amp;D702,C:C,C702)+SUMIFS(P:P,D:D,"&lt;="&amp;D702,C:C,C702)&lt;0,0,SUMIFS('Shipments data'!L:L,'Shipments data'!F:F,'Supply planning data'!C702,'Shipments data'!A:A,'Supply planning data'!A702,'Shipments data'!O:O,"received",'Shipments data'!Q:Q,"&lt;"&amp;'Supply planning data'!D717,'Shipments data'!AC:AC,"&lt;"&amp;'Supply planning data'!D717)-SUMIFS(M:M,D:D,"&lt;="&amp;D702,C:C,C702)+SUMIFS(N:N,D:D,"&lt;="&amp;D702,C:C,C702)+SUMIFS(P:P,D:D,"&lt;="&amp;D702,C:C,C702))</f>
        <v>0</v>
      </c>
      <c r="U702" s="99">
        <f t="shared" si="206"/>
        <v>0</v>
      </c>
      <c r="V702" s="98">
        <f t="shared" si="214"/>
        <v>0</v>
      </c>
      <c r="W702" s="203" t="str">
        <f t="shared" si="212"/>
        <v/>
      </c>
      <c r="X702" s="98">
        <f t="shared" si="207"/>
        <v>0</v>
      </c>
      <c r="Y702" s="97"/>
      <c r="Z702" s="93"/>
      <c r="AA702" s="98">
        <f t="shared" si="200"/>
        <v>0</v>
      </c>
      <c r="AB702" s="233"/>
      <c r="AC702" s="98">
        <f>IF(SUMIFS('Shipments data'!L:L,'Shipments data'!F:F,'Supply planning data'!C702,'Shipments data'!A:A,'Supply planning data'!A702,'Shipments data'!O:O,"received",'Shipments data'!Q:Q,"&lt;"&amp;'Supply planning data'!D717,'Shipments data'!AC:AC,"&lt;"&amp;'Supply planning data'!D717)-SUMIFS(M:M,D:D,"&lt;="&amp;D702,C:C,C702)-SUMIFS(AA:AA,D:D,"&lt;="&amp;D702,C:C,C702)+SUMIFS(N:N,D:D,"&lt;="&amp;D702,C:C,C702)+SUMIFS(P:P,D:D,"&lt;="&amp;D702,C:C,C702)&lt;0,0,SUMIFS('Shipments data'!L:L,'Shipments data'!F:F,'Supply planning data'!C702,'Shipments data'!A:A,'Supply planning data'!A702,'Shipments data'!O:O,"received",'Shipments data'!Q:Q,"&lt;"&amp;'Supply planning data'!D717,'Shipments data'!AC:AC,"&lt;"&amp;'Supply planning data'!D717)-SUMIFS(M:M,D:D,"&lt;="&amp;D702,C:C,C702)-SUMIFS(AA:AA,D:D,"&lt;="&amp;D702,C:C,C702)+SUMIFS(N:N,D:D,"&lt;="&amp;D702,C:C,C702)+SUMIFS(P:P,D:D,"&lt;="&amp;D702,C:C,C702))</f>
        <v>0</v>
      </c>
      <c r="AD702" s="98">
        <f t="shared" si="208"/>
        <v>0</v>
      </c>
      <c r="AE702" s="98">
        <f t="shared" si="202"/>
        <v>0</v>
      </c>
      <c r="AF702" s="205" t="str">
        <f t="shared" si="211"/>
        <v/>
      </c>
      <c r="AG702" s="98">
        <f t="shared" si="209"/>
        <v>0</v>
      </c>
      <c r="AH702" s="97"/>
      <c r="AI702" s="311"/>
      <c r="AJ702" s="98">
        <f t="shared" si="201"/>
        <v>0</v>
      </c>
      <c r="AK702" s="233"/>
      <c r="AL702" s="98">
        <f>IF(SUMIFS('Shipments data'!L:L,'Shipments data'!F:F,'Supply planning data'!C702,'Shipments data'!A:A,'Supply planning data'!A702,'Shipments data'!O:O,"received",'Shipments data'!Q:Q,"&lt;"&amp;'Supply planning data'!D717,'Shipments data'!AC:AC,"&lt;"&amp;'Supply planning data'!D717)-SUMIFS(M:M,D:D,"&lt;="&amp;D702,C:C,C702)-SUMIFS(AJ:AJ,D:D,"&lt;="&amp;D702,C:C,C702)+SUMIFS(N:N,D:D,"&lt;="&amp;D702,C:C,C702)+SUMIFS(P:P,D:D,"&lt;="&amp;D702,C:C,C702)&lt;0,0,SUMIFS('Shipments data'!L:L,'Shipments data'!F:F,'Supply planning data'!C702,'Shipments data'!A:A,'Supply planning data'!A702,'Shipments data'!O:O,"received",'Shipments data'!Q:Q,"&lt;"&amp;'Supply planning data'!D717,'Shipments data'!AC:AC,"&lt;"&amp;'Supply planning data'!D717)-SUMIFS(M:M,D:D,"&lt;="&amp;D702,C:C,C702)-SUMIFS(AJ:AJ,D:D,"&lt;="&amp;D702,C:C,C702)+SUMIFS(N:N,D:D,"&lt;="&amp;D702,C:C,C702)+SUMIFS(P:P,D:D,"&lt;="&amp;D702,C:C,C702))</f>
        <v>0</v>
      </c>
      <c r="AM702" s="98">
        <f t="shared" si="210"/>
        <v>0</v>
      </c>
      <c r="AN702" s="98">
        <f t="shared" si="203"/>
        <v>0</v>
      </c>
      <c r="AO702" s="203" t="str">
        <f t="shared" si="213"/>
        <v/>
      </c>
    </row>
    <row r="703" spans="1:41" hidden="1" x14ac:dyDescent="0.25">
      <c r="A703" s="95" t="str">
        <f>Start!D$7</f>
        <v>Anyland</v>
      </c>
      <c r="B703" s="96" t="str">
        <f>VLOOKUP(A703,list!B:C,2,FALSE)</f>
        <v>ANY</v>
      </c>
      <c r="C703" s="90" t="str">
        <f>IF(Start!$C$25="","",Start!$C$25)</f>
        <v/>
      </c>
      <c r="D703" s="296">
        <f t="shared" si="204"/>
        <v>45597</v>
      </c>
      <c r="E703" s="92" t="str">
        <f>IFERROR(VLOOKUP(C703,Start!C$15:D$31,2,FALSE),"No")</f>
        <v>No</v>
      </c>
      <c r="F703" s="92">
        <f t="shared" si="205"/>
        <v>0</v>
      </c>
      <c r="G703" s="91"/>
      <c r="H703" s="97"/>
      <c r="I703" s="97"/>
      <c r="J703" s="98">
        <f t="shared" si="197"/>
        <v>0</v>
      </c>
      <c r="K703" s="97"/>
      <c r="L703" s="175" t="str">
        <f t="shared" si="198"/>
        <v/>
      </c>
      <c r="M703" s="98">
        <f t="shared" si="199"/>
        <v>0</v>
      </c>
      <c r="N703" s="97"/>
      <c r="O703" s="122"/>
      <c r="P703" s="97"/>
      <c r="Q703" s="122"/>
      <c r="R703" s="98">
        <f>SUMIFS('Shipments data'!L:L,'Shipments data'!F:F,'Supply planning data'!C703,'Shipments data'!A:A,'Supply planning data'!A703,'Shipments data'!Y:Y,'Supply planning data'!D703,'Shipments data'!O:O,"received", 'Shipments data'!N:N, "Public")</f>
        <v>0</v>
      </c>
      <c r="S703" s="98">
        <f>SUMIFS('Shipments data'!L:L,'Shipments data'!F:F,'Supply planning data'!C703,'Shipments data'!A:A,'Supply planning data'!A703,'Shipments data'!Y:Y,'Supply planning data'!D703,'Shipments data'!O:O,"ordered", 'Shipments data'!N:N, "Public")</f>
        <v>0</v>
      </c>
      <c r="T703" s="98">
        <f>IF(SUMIFS('Shipments data'!L:L,'Shipments data'!F:F,'Supply planning data'!C703,'Shipments data'!A:A,'Supply planning data'!A703,'Shipments data'!O:O,"received",'Shipments data'!Q:Q,"&lt;"&amp;'Supply planning data'!D718,'Shipments data'!AC:AC,"&lt;"&amp;'Supply planning data'!D718)-SUMIFS(M:M,D:D,"&lt;="&amp;D703,C:C,C703)+SUMIFS(N:N,D:D,"&lt;="&amp;D703,C:C,C703)+SUMIFS(P:P,D:D,"&lt;="&amp;D703,C:C,C703)&lt;0,0,SUMIFS('Shipments data'!L:L,'Shipments data'!F:F,'Supply planning data'!C703,'Shipments data'!A:A,'Supply planning data'!A703,'Shipments data'!O:O,"received",'Shipments data'!Q:Q,"&lt;"&amp;'Supply planning data'!D718,'Shipments data'!AC:AC,"&lt;"&amp;'Supply planning data'!D718)-SUMIFS(M:M,D:D,"&lt;="&amp;D703,C:C,C703)+SUMIFS(N:N,D:D,"&lt;="&amp;D703,C:C,C703)+SUMIFS(P:P,D:D,"&lt;="&amp;D703,C:C,C703))</f>
        <v>0</v>
      </c>
      <c r="U703" s="99">
        <f t="shared" si="206"/>
        <v>0</v>
      </c>
      <c r="V703" s="98">
        <f t="shared" si="214"/>
        <v>0</v>
      </c>
      <c r="W703" s="203" t="str">
        <f t="shared" si="212"/>
        <v/>
      </c>
      <c r="X703" s="98">
        <f t="shared" si="207"/>
        <v>0</v>
      </c>
      <c r="Y703" s="97"/>
      <c r="Z703" s="93"/>
      <c r="AA703" s="98">
        <f t="shared" si="200"/>
        <v>0</v>
      </c>
      <c r="AB703" s="233"/>
      <c r="AC703" s="98">
        <f>IF(SUMIFS('Shipments data'!L:L,'Shipments data'!F:F,'Supply planning data'!C703,'Shipments data'!A:A,'Supply planning data'!A703,'Shipments data'!O:O,"received",'Shipments data'!Q:Q,"&lt;"&amp;'Supply planning data'!D718,'Shipments data'!AC:AC,"&lt;"&amp;'Supply planning data'!D718)-SUMIFS(M:M,D:D,"&lt;="&amp;D703,C:C,C703)-SUMIFS(AA:AA,D:D,"&lt;="&amp;D703,C:C,C703)+SUMIFS(N:N,D:D,"&lt;="&amp;D703,C:C,C703)+SUMIFS(P:P,D:D,"&lt;="&amp;D703,C:C,C703)&lt;0,0,SUMIFS('Shipments data'!L:L,'Shipments data'!F:F,'Supply planning data'!C703,'Shipments data'!A:A,'Supply planning data'!A703,'Shipments data'!O:O,"received",'Shipments data'!Q:Q,"&lt;"&amp;'Supply planning data'!D718,'Shipments data'!AC:AC,"&lt;"&amp;'Supply planning data'!D718)-SUMIFS(M:M,D:D,"&lt;="&amp;D703,C:C,C703)-SUMIFS(AA:AA,D:D,"&lt;="&amp;D703,C:C,C703)+SUMIFS(N:N,D:D,"&lt;="&amp;D703,C:C,C703)+SUMIFS(P:P,D:D,"&lt;="&amp;D703,C:C,C703))</f>
        <v>0</v>
      </c>
      <c r="AD703" s="98">
        <f t="shared" si="208"/>
        <v>0</v>
      </c>
      <c r="AE703" s="98">
        <f t="shared" si="202"/>
        <v>0</v>
      </c>
      <c r="AF703" s="205" t="str">
        <f t="shared" si="211"/>
        <v/>
      </c>
      <c r="AG703" s="98">
        <f t="shared" si="209"/>
        <v>0</v>
      </c>
      <c r="AH703" s="97"/>
      <c r="AI703" s="311"/>
      <c r="AJ703" s="98">
        <f t="shared" si="201"/>
        <v>0</v>
      </c>
      <c r="AK703" s="233"/>
      <c r="AL703" s="98">
        <f>IF(SUMIFS('Shipments data'!L:L,'Shipments data'!F:F,'Supply planning data'!C703,'Shipments data'!A:A,'Supply planning data'!A703,'Shipments data'!O:O,"received",'Shipments data'!Q:Q,"&lt;"&amp;'Supply planning data'!D718,'Shipments data'!AC:AC,"&lt;"&amp;'Supply planning data'!D718)-SUMIFS(M:M,D:D,"&lt;="&amp;D703,C:C,C703)-SUMIFS(AJ:AJ,D:D,"&lt;="&amp;D703,C:C,C703)+SUMIFS(N:N,D:D,"&lt;="&amp;D703,C:C,C703)+SUMIFS(P:P,D:D,"&lt;="&amp;D703,C:C,C703)&lt;0,0,SUMIFS('Shipments data'!L:L,'Shipments data'!F:F,'Supply planning data'!C703,'Shipments data'!A:A,'Supply planning data'!A703,'Shipments data'!O:O,"received",'Shipments data'!Q:Q,"&lt;"&amp;'Supply planning data'!D718,'Shipments data'!AC:AC,"&lt;"&amp;'Supply planning data'!D718)-SUMIFS(M:M,D:D,"&lt;="&amp;D703,C:C,C703)-SUMIFS(AJ:AJ,D:D,"&lt;="&amp;D703,C:C,C703)+SUMIFS(N:N,D:D,"&lt;="&amp;D703,C:C,C703)+SUMIFS(P:P,D:D,"&lt;="&amp;D703,C:C,C703))</f>
        <v>0</v>
      </c>
      <c r="AM703" s="98">
        <f t="shared" si="210"/>
        <v>0</v>
      </c>
      <c r="AN703" s="98">
        <f t="shared" si="203"/>
        <v>0</v>
      </c>
      <c r="AO703" s="203" t="str">
        <f t="shared" si="213"/>
        <v/>
      </c>
    </row>
    <row r="704" spans="1:41" hidden="1" x14ac:dyDescent="0.25">
      <c r="A704" s="95" t="str">
        <f>Start!D$7</f>
        <v>Anyland</v>
      </c>
      <c r="B704" s="96" t="str">
        <f>VLOOKUP(A704,list!B:C,2,FALSE)</f>
        <v>ANY</v>
      </c>
      <c r="C704" s="90" t="str">
        <f>IF(Start!$C$26="","",Start!$C$26)</f>
        <v/>
      </c>
      <c r="D704" s="296">
        <f t="shared" si="204"/>
        <v>45597</v>
      </c>
      <c r="E704" s="92" t="str">
        <f>IFERROR(VLOOKUP(C704,Start!C$15:D$31,2,FALSE),"No")</f>
        <v>No</v>
      </c>
      <c r="F704" s="92">
        <f t="shared" si="205"/>
        <v>0</v>
      </c>
      <c r="G704" s="91"/>
      <c r="H704" s="97"/>
      <c r="I704" s="97"/>
      <c r="J704" s="98">
        <f t="shared" si="197"/>
        <v>0</v>
      </c>
      <c r="K704" s="97"/>
      <c r="L704" s="175" t="str">
        <f t="shared" si="198"/>
        <v/>
      </c>
      <c r="M704" s="98">
        <f t="shared" si="199"/>
        <v>0</v>
      </c>
      <c r="N704" s="97"/>
      <c r="O704" s="122"/>
      <c r="P704" s="97"/>
      <c r="Q704" s="122"/>
      <c r="R704" s="98">
        <f>SUMIFS('Shipments data'!L:L,'Shipments data'!F:F,'Supply planning data'!C704,'Shipments data'!A:A,'Supply planning data'!A704,'Shipments data'!Y:Y,'Supply planning data'!D704,'Shipments data'!O:O,"received", 'Shipments data'!N:N, "Public")</f>
        <v>0</v>
      </c>
      <c r="S704" s="98">
        <f>SUMIFS('Shipments data'!L:L,'Shipments data'!F:F,'Supply planning data'!C704,'Shipments data'!A:A,'Supply planning data'!A704,'Shipments data'!Y:Y,'Supply planning data'!D704,'Shipments data'!O:O,"ordered", 'Shipments data'!N:N, "Public")</f>
        <v>0</v>
      </c>
      <c r="T704" s="98">
        <f>IF(SUMIFS('Shipments data'!L:L,'Shipments data'!F:F,'Supply planning data'!C704,'Shipments data'!A:A,'Supply planning data'!A704,'Shipments data'!O:O,"received",'Shipments data'!Q:Q,"&lt;"&amp;'Supply planning data'!D719,'Shipments data'!AC:AC,"&lt;"&amp;'Supply planning data'!D719)-SUMIFS(M:M,D:D,"&lt;="&amp;D704,C:C,C704)+SUMIFS(N:N,D:D,"&lt;="&amp;D704,C:C,C704)+SUMIFS(P:P,D:D,"&lt;="&amp;D704,C:C,C704)&lt;0,0,SUMIFS('Shipments data'!L:L,'Shipments data'!F:F,'Supply planning data'!C704,'Shipments data'!A:A,'Supply planning data'!A704,'Shipments data'!O:O,"received",'Shipments data'!Q:Q,"&lt;"&amp;'Supply planning data'!D719,'Shipments data'!AC:AC,"&lt;"&amp;'Supply planning data'!D719)-SUMIFS(M:M,D:D,"&lt;="&amp;D704,C:C,C704)+SUMIFS(N:N,D:D,"&lt;="&amp;D704,C:C,C704)+SUMIFS(P:P,D:D,"&lt;="&amp;D704,C:C,C704))</f>
        <v>0</v>
      </c>
      <c r="U704" s="99">
        <f t="shared" si="206"/>
        <v>0</v>
      </c>
      <c r="V704" s="98">
        <f t="shared" si="214"/>
        <v>0</v>
      </c>
      <c r="W704" s="203" t="str">
        <f t="shared" si="212"/>
        <v/>
      </c>
      <c r="X704" s="98">
        <f t="shared" si="207"/>
        <v>0</v>
      </c>
      <c r="Y704" s="97"/>
      <c r="Z704" s="93"/>
      <c r="AA704" s="98">
        <f t="shared" si="200"/>
        <v>0</v>
      </c>
      <c r="AB704" s="233"/>
      <c r="AC704" s="98">
        <f>IF(SUMIFS('Shipments data'!L:L,'Shipments data'!F:F,'Supply planning data'!C704,'Shipments data'!A:A,'Supply planning data'!A704,'Shipments data'!O:O,"received",'Shipments data'!Q:Q,"&lt;"&amp;'Supply planning data'!D719,'Shipments data'!AC:AC,"&lt;"&amp;'Supply planning data'!D719)-SUMIFS(M:M,D:D,"&lt;="&amp;D704,C:C,C704)-SUMIFS(AA:AA,D:D,"&lt;="&amp;D704,C:C,C704)+SUMIFS(N:N,D:D,"&lt;="&amp;D704,C:C,C704)+SUMIFS(P:P,D:D,"&lt;="&amp;D704,C:C,C704)&lt;0,0,SUMIFS('Shipments data'!L:L,'Shipments data'!F:F,'Supply planning data'!C704,'Shipments data'!A:A,'Supply planning data'!A704,'Shipments data'!O:O,"received",'Shipments data'!Q:Q,"&lt;"&amp;'Supply planning data'!D719,'Shipments data'!AC:AC,"&lt;"&amp;'Supply planning data'!D719)-SUMIFS(M:M,D:D,"&lt;="&amp;D704,C:C,C704)-SUMIFS(AA:AA,D:D,"&lt;="&amp;D704,C:C,C704)+SUMIFS(N:N,D:D,"&lt;="&amp;D704,C:C,C704)+SUMIFS(P:P,D:D,"&lt;="&amp;D704,C:C,C704))</f>
        <v>0</v>
      </c>
      <c r="AD704" s="98">
        <f t="shared" si="208"/>
        <v>0</v>
      </c>
      <c r="AE704" s="98">
        <f t="shared" si="202"/>
        <v>0</v>
      </c>
      <c r="AF704" s="205" t="str">
        <f t="shared" si="211"/>
        <v/>
      </c>
      <c r="AG704" s="98">
        <f t="shared" si="209"/>
        <v>0</v>
      </c>
      <c r="AH704" s="97"/>
      <c r="AI704" s="311"/>
      <c r="AJ704" s="98">
        <f t="shared" si="201"/>
        <v>0</v>
      </c>
      <c r="AK704" s="233"/>
      <c r="AL704" s="98">
        <f>IF(SUMIFS('Shipments data'!L:L,'Shipments data'!F:F,'Supply planning data'!C704,'Shipments data'!A:A,'Supply planning data'!A704,'Shipments data'!O:O,"received",'Shipments data'!Q:Q,"&lt;"&amp;'Supply planning data'!D719,'Shipments data'!AC:AC,"&lt;"&amp;'Supply planning data'!D719)-SUMIFS(M:M,D:D,"&lt;="&amp;D704,C:C,C704)-SUMIFS(AJ:AJ,D:D,"&lt;="&amp;D704,C:C,C704)+SUMIFS(N:N,D:D,"&lt;="&amp;D704,C:C,C704)+SUMIFS(P:P,D:D,"&lt;="&amp;D704,C:C,C704)&lt;0,0,SUMIFS('Shipments data'!L:L,'Shipments data'!F:F,'Supply planning data'!C704,'Shipments data'!A:A,'Supply planning data'!A704,'Shipments data'!O:O,"received",'Shipments data'!Q:Q,"&lt;"&amp;'Supply planning data'!D719,'Shipments data'!AC:AC,"&lt;"&amp;'Supply planning data'!D719)-SUMIFS(M:M,D:D,"&lt;="&amp;D704,C:C,C704)-SUMIFS(AJ:AJ,D:D,"&lt;="&amp;D704,C:C,C704)+SUMIFS(N:N,D:D,"&lt;="&amp;D704,C:C,C704)+SUMIFS(P:P,D:D,"&lt;="&amp;D704,C:C,C704))</f>
        <v>0</v>
      </c>
      <c r="AM704" s="98">
        <f t="shared" si="210"/>
        <v>0</v>
      </c>
      <c r="AN704" s="98">
        <f t="shared" si="203"/>
        <v>0</v>
      </c>
      <c r="AO704" s="203" t="str">
        <f t="shared" si="213"/>
        <v/>
      </c>
    </row>
    <row r="705" spans="1:41" hidden="1" x14ac:dyDescent="0.25">
      <c r="A705" s="95" t="str">
        <f>Start!D$7</f>
        <v>Anyland</v>
      </c>
      <c r="B705" s="96" t="str">
        <f>VLOOKUP(A705,list!B:C,2,FALSE)</f>
        <v>ANY</v>
      </c>
      <c r="C705" s="90" t="str">
        <f>IF(Start!$C$27="","",Start!$C$27)</f>
        <v/>
      </c>
      <c r="D705" s="296">
        <f t="shared" si="204"/>
        <v>45597</v>
      </c>
      <c r="E705" s="92" t="str">
        <f>IFERROR(VLOOKUP(C705,Start!C$15:D$31,2,FALSE),"No")</f>
        <v>No</v>
      </c>
      <c r="F705" s="92">
        <f t="shared" si="205"/>
        <v>0</v>
      </c>
      <c r="G705" s="91"/>
      <c r="H705" s="97"/>
      <c r="I705" s="97"/>
      <c r="J705" s="98">
        <f t="shared" si="197"/>
        <v>0</v>
      </c>
      <c r="K705" s="97"/>
      <c r="L705" s="175" t="str">
        <f t="shared" si="198"/>
        <v/>
      </c>
      <c r="M705" s="98">
        <f t="shared" si="199"/>
        <v>0</v>
      </c>
      <c r="N705" s="97"/>
      <c r="O705" s="122"/>
      <c r="P705" s="97"/>
      <c r="Q705" s="122"/>
      <c r="R705" s="98">
        <f>SUMIFS('Shipments data'!L:L,'Shipments data'!F:F,'Supply planning data'!C705,'Shipments data'!A:A,'Supply planning data'!A705,'Shipments data'!Y:Y,'Supply planning data'!D705,'Shipments data'!O:O,"received", 'Shipments data'!N:N, "Public")</f>
        <v>0</v>
      </c>
      <c r="S705" s="98">
        <f>SUMIFS('Shipments data'!L:L,'Shipments data'!F:F,'Supply planning data'!C705,'Shipments data'!A:A,'Supply planning data'!A705,'Shipments data'!Y:Y,'Supply planning data'!D705,'Shipments data'!O:O,"ordered", 'Shipments data'!N:N, "Public")</f>
        <v>0</v>
      </c>
      <c r="T705" s="98">
        <f>IF(SUMIFS('Shipments data'!L:L,'Shipments data'!F:F,'Supply planning data'!C705,'Shipments data'!A:A,'Supply planning data'!A705,'Shipments data'!O:O,"received",'Shipments data'!Q:Q,"&lt;"&amp;'Supply planning data'!D720,'Shipments data'!AC:AC,"&lt;"&amp;'Supply planning data'!D720)-SUMIFS(M:M,D:D,"&lt;="&amp;D705,C:C,C705)+SUMIFS(N:N,D:D,"&lt;="&amp;D705,C:C,C705)+SUMIFS(P:P,D:D,"&lt;="&amp;D705,C:C,C705)&lt;0,0,SUMIFS('Shipments data'!L:L,'Shipments data'!F:F,'Supply planning data'!C705,'Shipments data'!A:A,'Supply planning data'!A705,'Shipments data'!O:O,"received",'Shipments data'!Q:Q,"&lt;"&amp;'Supply planning data'!D720,'Shipments data'!AC:AC,"&lt;"&amp;'Supply planning data'!D720)-SUMIFS(M:M,D:D,"&lt;="&amp;D705,C:C,C705)+SUMIFS(N:N,D:D,"&lt;="&amp;D705,C:C,C705)+SUMIFS(P:P,D:D,"&lt;="&amp;D705,C:C,C705))</f>
        <v>0</v>
      </c>
      <c r="U705" s="99">
        <f t="shared" si="206"/>
        <v>0</v>
      </c>
      <c r="V705" s="98">
        <f t="shared" si="214"/>
        <v>0</v>
      </c>
      <c r="W705" s="203" t="str">
        <f t="shared" si="212"/>
        <v/>
      </c>
      <c r="X705" s="98">
        <f t="shared" si="207"/>
        <v>0</v>
      </c>
      <c r="Y705" s="97"/>
      <c r="Z705" s="93"/>
      <c r="AA705" s="98">
        <f t="shared" si="200"/>
        <v>0</v>
      </c>
      <c r="AB705" s="233"/>
      <c r="AC705" s="98">
        <f>IF(SUMIFS('Shipments data'!L:L,'Shipments data'!F:F,'Supply planning data'!C705,'Shipments data'!A:A,'Supply planning data'!A705,'Shipments data'!O:O,"received",'Shipments data'!Q:Q,"&lt;"&amp;'Supply planning data'!D720,'Shipments data'!AC:AC,"&lt;"&amp;'Supply planning data'!D720)-SUMIFS(M:M,D:D,"&lt;="&amp;D705,C:C,C705)-SUMIFS(AA:AA,D:D,"&lt;="&amp;D705,C:C,C705)+SUMIFS(N:N,D:D,"&lt;="&amp;D705,C:C,C705)+SUMIFS(P:P,D:D,"&lt;="&amp;D705,C:C,C705)&lt;0,0,SUMIFS('Shipments data'!L:L,'Shipments data'!F:F,'Supply planning data'!C705,'Shipments data'!A:A,'Supply planning data'!A705,'Shipments data'!O:O,"received",'Shipments data'!Q:Q,"&lt;"&amp;'Supply planning data'!D720,'Shipments data'!AC:AC,"&lt;"&amp;'Supply planning data'!D720)-SUMIFS(M:M,D:D,"&lt;="&amp;D705,C:C,C705)-SUMIFS(AA:AA,D:D,"&lt;="&amp;D705,C:C,C705)+SUMIFS(N:N,D:D,"&lt;="&amp;D705,C:C,C705)+SUMIFS(P:P,D:D,"&lt;="&amp;D705,C:C,C705))</f>
        <v>0</v>
      </c>
      <c r="AD705" s="98">
        <f t="shared" si="208"/>
        <v>0</v>
      </c>
      <c r="AE705" s="98">
        <f t="shared" si="202"/>
        <v>0</v>
      </c>
      <c r="AF705" s="205" t="str">
        <f t="shared" si="211"/>
        <v/>
      </c>
      <c r="AG705" s="98">
        <f t="shared" si="209"/>
        <v>0</v>
      </c>
      <c r="AH705" s="97"/>
      <c r="AI705" s="311"/>
      <c r="AJ705" s="98">
        <f t="shared" si="201"/>
        <v>0</v>
      </c>
      <c r="AK705" s="233"/>
      <c r="AL705" s="98">
        <f>IF(SUMIFS('Shipments data'!L:L,'Shipments data'!F:F,'Supply planning data'!C705,'Shipments data'!A:A,'Supply planning data'!A705,'Shipments data'!O:O,"received",'Shipments data'!Q:Q,"&lt;"&amp;'Supply planning data'!D720,'Shipments data'!AC:AC,"&lt;"&amp;'Supply planning data'!D720)-SUMIFS(M:M,D:D,"&lt;="&amp;D705,C:C,C705)-SUMIFS(AJ:AJ,D:D,"&lt;="&amp;D705,C:C,C705)+SUMIFS(N:N,D:D,"&lt;="&amp;D705,C:C,C705)+SUMIFS(P:P,D:D,"&lt;="&amp;D705,C:C,C705)&lt;0,0,SUMIFS('Shipments data'!L:L,'Shipments data'!F:F,'Supply planning data'!C705,'Shipments data'!A:A,'Supply planning data'!A705,'Shipments data'!O:O,"received",'Shipments data'!Q:Q,"&lt;"&amp;'Supply planning data'!D720,'Shipments data'!AC:AC,"&lt;"&amp;'Supply planning data'!D720)-SUMIFS(M:M,D:D,"&lt;="&amp;D705,C:C,C705)-SUMIFS(AJ:AJ,D:D,"&lt;="&amp;D705,C:C,C705)+SUMIFS(N:N,D:D,"&lt;="&amp;D705,C:C,C705)+SUMIFS(P:P,D:D,"&lt;="&amp;D705,C:C,C705))</f>
        <v>0</v>
      </c>
      <c r="AM705" s="98">
        <f t="shared" si="210"/>
        <v>0</v>
      </c>
      <c r="AN705" s="98">
        <f t="shared" si="203"/>
        <v>0</v>
      </c>
      <c r="AO705" s="203" t="str">
        <f t="shared" si="213"/>
        <v/>
      </c>
    </row>
    <row r="706" spans="1:41" hidden="1" x14ac:dyDescent="0.25">
      <c r="A706" s="95" t="str">
        <f>Start!D$7</f>
        <v>Anyland</v>
      </c>
      <c r="B706" s="96" t="str">
        <f>VLOOKUP(A706,list!B:C,2,FALSE)</f>
        <v>ANY</v>
      </c>
      <c r="C706" s="90" t="str">
        <f>IF(Start!$C$28="","",Start!$C$28)</f>
        <v/>
      </c>
      <c r="D706" s="296">
        <f t="shared" si="204"/>
        <v>45597</v>
      </c>
      <c r="E706" s="92" t="str">
        <f>IFERROR(VLOOKUP(C706,Start!C$15:D$31,2,FALSE),"No")</f>
        <v>No</v>
      </c>
      <c r="F706" s="92">
        <f t="shared" si="205"/>
        <v>0</v>
      </c>
      <c r="G706" s="91"/>
      <c r="H706" s="97"/>
      <c r="I706" s="97"/>
      <c r="J706" s="98">
        <f t="shared" si="197"/>
        <v>0</v>
      </c>
      <c r="K706" s="97"/>
      <c r="L706" s="175" t="str">
        <f t="shared" si="198"/>
        <v/>
      </c>
      <c r="M706" s="98">
        <f t="shared" si="199"/>
        <v>0</v>
      </c>
      <c r="N706" s="97"/>
      <c r="O706" s="122"/>
      <c r="P706" s="97"/>
      <c r="Q706" s="122"/>
      <c r="R706" s="98">
        <f>SUMIFS('Shipments data'!L:L,'Shipments data'!F:F,'Supply planning data'!C706,'Shipments data'!A:A,'Supply planning data'!A706,'Shipments data'!Y:Y,'Supply planning data'!D706,'Shipments data'!O:O,"received", 'Shipments data'!N:N, "Public")</f>
        <v>0</v>
      </c>
      <c r="S706" s="98">
        <f>SUMIFS('Shipments data'!L:L,'Shipments data'!F:F,'Supply planning data'!C706,'Shipments data'!A:A,'Supply planning data'!A706,'Shipments data'!Y:Y,'Supply planning data'!D706,'Shipments data'!O:O,"ordered", 'Shipments data'!N:N, "Public")</f>
        <v>0</v>
      </c>
      <c r="T706" s="98">
        <f>IF(SUMIFS('Shipments data'!L:L,'Shipments data'!F:F,'Supply planning data'!C706,'Shipments data'!A:A,'Supply planning data'!A706,'Shipments data'!O:O,"received",'Shipments data'!Q:Q,"&lt;"&amp;'Supply planning data'!D721,'Shipments data'!AC:AC,"&lt;"&amp;'Supply planning data'!D721)-SUMIFS(M:M,D:D,"&lt;="&amp;D706,C:C,C706)+SUMIFS(N:N,D:D,"&lt;="&amp;D706,C:C,C706)+SUMIFS(P:P,D:D,"&lt;="&amp;D706,C:C,C706)&lt;0,0,SUMIFS('Shipments data'!L:L,'Shipments data'!F:F,'Supply planning data'!C706,'Shipments data'!A:A,'Supply planning data'!A706,'Shipments data'!O:O,"received",'Shipments data'!Q:Q,"&lt;"&amp;'Supply planning data'!D721,'Shipments data'!AC:AC,"&lt;"&amp;'Supply planning data'!D721)-SUMIFS(M:M,D:D,"&lt;="&amp;D706,C:C,C706)+SUMIFS(N:N,D:D,"&lt;="&amp;D706,C:C,C706)+SUMIFS(P:P,D:D,"&lt;="&amp;D706,C:C,C706))</f>
        <v>0</v>
      </c>
      <c r="U706" s="99">
        <f t="shared" si="206"/>
        <v>0</v>
      </c>
      <c r="V706" s="98">
        <f t="shared" si="214"/>
        <v>0</v>
      </c>
      <c r="W706" s="203" t="str">
        <f t="shared" si="212"/>
        <v/>
      </c>
      <c r="X706" s="98">
        <f t="shared" si="207"/>
        <v>0</v>
      </c>
      <c r="Y706" s="97"/>
      <c r="Z706" s="93"/>
      <c r="AA706" s="98">
        <f t="shared" si="200"/>
        <v>0</v>
      </c>
      <c r="AB706" s="233"/>
      <c r="AC706" s="98">
        <f>IF(SUMIFS('Shipments data'!L:L,'Shipments data'!F:F,'Supply planning data'!C706,'Shipments data'!A:A,'Supply planning data'!A706,'Shipments data'!O:O,"received",'Shipments data'!Q:Q,"&lt;"&amp;'Supply planning data'!D721,'Shipments data'!AC:AC,"&lt;"&amp;'Supply planning data'!D721)-SUMIFS(M:M,D:D,"&lt;="&amp;D706,C:C,C706)-SUMIFS(AA:AA,D:D,"&lt;="&amp;D706,C:C,C706)+SUMIFS(N:N,D:D,"&lt;="&amp;D706,C:C,C706)+SUMIFS(P:P,D:D,"&lt;="&amp;D706,C:C,C706)&lt;0,0,SUMIFS('Shipments data'!L:L,'Shipments data'!F:F,'Supply planning data'!C706,'Shipments data'!A:A,'Supply planning data'!A706,'Shipments data'!O:O,"received",'Shipments data'!Q:Q,"&lt;"&amp;'Supply planning data'!D721,'Shipments data'!AC:AC,"&lt;"&amp;'Supply planning data'!D721)-SUMIFS(M:M,D:D,"&lt;="&amp;D706,C:C,C706)-SUMIFS(AA:AA,D:D,"&lt;="&amp;D706,C:C,C706)+SUMIFS(N:N,D:D,"&lt;="&amp;D706,C:C,C706)+SUMIFS(P:P,D:D,"&lt;="&amp;D706,C:C,C706))</f>
        <v>0</v>
      </c>
      <c r="AD706" s="98">
        <f t="shared" si="208"/>
        <v>0</v>
      </c>
      <c r="AE706" s="98">
        <f t="shared" si="202"/>
        <v>0</v>
      </c>
      <c r="AF706" s="205" t="str">
        <f t="shared" si="211"/>
        <v/>
      </c>
      <c r="AG706" s="98">
        <f t="shared" si="209"/>
        <v>0</v>
      </c>
      <c r="AH706" s="97"/>
      <c r="AI706" s="311"/>
      <c r="AJ706" s="98">
        <f t="shared" si="201"/>
        <v>0</v>
      </c>
      <c r="AK706" s="233"/>
      <c r="AL706" s="98">
        <f>IF(SUMIFS('Shipments data'!L:L,'Shipments data'!F:F,'Supply planning data'!C706,'Shipments data'!A:A,'Supply planning data'!A706,'Shipments data'!O:O,"received",'Shipments data'!Q:Q,"&lt;"&amp;'Supply planning data'!D721,'Shipments data'!AC:AC,"&lt;"&amp;'Supply planning data'!D721)-SUMIFS(M:M,D:D,"&lt;="&amp;D706,C:C,C706)-SUMIFS(AJ:AJ,D:D,"&lt;="&amp;D706,C:C,C706)+SUMIFS(N:N,D:D,"&lt;="&amp;D706,C:C,C706)+SUMIFS(P:P,D:D,"&lt;="&amp;D706,C:C,C706)&lt;0,0,SUMIFS('Shipments data'!L:L,'Shipments data'!F:F,'Supply planning data'!C706,'Shipments data'!A:A,'Supply planning data'!A706,'Shipments data'!O:O,"received",'Shipments data'!Q:Q,"&lt;"&amp;'Supply planning data'!D721,'Shipments data'!AC:AC,"&lt;"&amp;'Supply planning data'!D721)-SUMIFS(M:M,D:D,"&lt;="&amp;D706,C:C,C706)-SUMIFS(AJ:AJ,D:D,"&lt;="&amp;D706,C:C,C706)+SUMIFS(N:N,D:D,"&lt;="&amp;D706,C:C,C706)+SUMIFS(P:P,D:D,"&lt;="&amp;D706,C:C,C706))</f>
        <v>0</v>
      </c>
      <c r="AM706" s="98">
        <f t="shared" si="210"/>
        <v>0</v>
      </c>
      <c r="AN706" s="98">
        <f t="shared" si="203"/>
        <v>0</v>
      </c>
      <c r="AO706" s="203" t="str">
        <f t="shared" si="213"/>
        <v/>
      </c>
    </row>
    <row r="707" spans="1:41" hidden="1" x14ac:dyDescent="0.25">
      <c r="A707" s="95" t="str">
        <f>Start!D$7</f>
        <v>Anyland</v>
      </c>
      <c r="B707" s="96" t="str">
        <f>VLOOKUP(A707,list!B:C,2,FALSE)</f>
        <v>ANY</v>
      </c>
      <c r="C707" s="90" t="str">
        <f>IF(Start!$C$29="","",Start!$C$29)</f>
        <v/>
      </c>
      <c r="D707" s="296">
        <f t="shared" si="204"/>
        <v>45597</v>
      </c>
      <c r="E707" s="92" t="str">
        <f>IFERROR(VLOOKUP(C707,Start!C$15:D$31,2,FALSE),"No")</f>
        <v>No</v>
      </c>
      <c r="F707" s="92">
        <f t="shared" si="205"/>
        <v>0</v>
      </c>
      <c r="G707" s="91"/>
      <c r="H707" s="97"/>
      <c r="I707" s="97"/>
      <c r="J707" s="98">
        <f t="shared" si="197"/>
        <v>0</v>
      </c>
      <c r="K707" s="97"/>
      <c r="L707" s="175" t="str">
        <f t="shared" si="198"/>
        <v/>
      </c>
      <c r="M707" s="98">
        <f t="shared" si="199"/>
        <v>0</v>
      </c>
      <c r="N707" s="97"/>
      <c r="O707" s="122"/>
      <c r="P707" s="97"/>
      <c r="Q707" s="122"/>
      <c r="R707" s="98">
        <f>SUMIFS('Shipments data'!L:L,'Shipments data'!F:F,'Supply planning data'!C707,'Shipments data'!A:A,'Supply planning data'!A707,'Shipments data'!Y:Y,'Supply planning data'!D707,'Shipments data'!O:O,"received", 'Shipments data'!N:N, "Public")</f>
        <v>0</v>
      </c>
      <c r="S707" s="98">
        <f>SUMIFS('Shipments data'!L:L,'Shipments data'!F:F,'Supply planning data'!C707,'Shipments data'!A:A,'Supply planning data'!A707,'Shipments data'!Y:Y,'Supply planning data'!D707,'Shipments data'!O:O,"ordered", 'Shipments data'!N:N, "Public")</f>
        <v>0</v>
      </c>
      <c r="T707" s="98">
        <f>IF(SUMIFS('Shipments data'!L:L,'Shipments data'!F:F,'Supply planning data'!C707,'Shipments data'!A:A,'Supply planning data'!A707,'Shipments data'!O:O,"received",'Shipments data'!Q:Q,"&lt;"&amp;'Supply planning data'!D722,'Shipments data'!AC:AC,"&lt;"&amp;'Supply planning data'!D722)-SUMIFS(M:M,D:D,"&lt;="&amp;D707,C:C,C707)+SUMIFS(N:N,D:D,"&lt;="&amp;D707,C:C,C707)+SUMIFS(P:P,D:D,"&lt;="&amp;D707,C:C,C707)&lt;0,0,SUMIFS('Shipments data'!L:L,'Shipments data'!F:F,'Supply planning data'!C707,'Shipments data'!A:A,'Supply planning data'!A707,'Shipments data'!O:O,"received",'Shipments data'!Q:Q,"&lt;"&amp;'Supply planning data'!D722,'Shipments data'!AC:AC,"&lt;"&amp;'Supply planning data'!D722)-SUMIFS(M:M,D:D,"&lt;="&amp;D707,C:C,C707)+SUMIFS(N:N,D:D,"&lt;="&amp;D707,C:C,C707)+SUMIFS(P:P,D:D,"&lt;="&amp;D707,C:C,C707))</f>
        <v>0</v>
      </c>
      <c r="U707" s="99">
        <f t="shared" si="206"/>
        <v>0</v>
      </c>
      <c r="V707" s="98">
        <f t="shared" si="214"/>
        <v>0</v>
      </c>
      <c r="W707" s="203" t="str">
        <f t="shared" si="212"/>
        <v/>
      </c>
      <c r="X707" s="98">
        <f t="shared" si="207"/>
        <v>0</v>
      </c>
      <c r="Y707" s="97"/>
      <c r="Z707" s="93"/>
      <c r="AA707" s="98">
        <f t="shared" si="200"/>
        <v>0</v>
      </c>
      <c r="AB707" s="233"/>
      <c r="AC707" s="98">
        <f>IF(SUMIFS('Shipments data'!L:L,'Shipments data'!F:F,'Supply planning data'!C707,'Shipments data'!A:A,'Supply planning data'!A707,'Shipments data'!O:O,"received",'Shipments data'!Q:Q,"&lt;"&amp;'Supply planning data'!D722,'Shipments data'!AC:AC,"&lt;"&amp;'Supply planning data'!D722)-SUMIFS(M:M,D:D,"&lt;="&amp;D707,C:C,C707)-SUMIFS(AA:AA,D:D,"&lt;="&amp;D707,C:C,C707)+SUMIFS(N:N,D:D,"&lt;="&amp;D707,C:C,C707)+SUMIFS(P:P,D:D,"&lt;="&amp;D707,C:C,C707)&lt;0,0,SUMIFS('Shipments data'!L:L,'Shipments data'!F:F,'Supply planning data'!C707,'Shipments data'!A:A,'Supply planning data'!A707,'Shipments data'!O:O,"received",'Shipments data'!Q:Q,"&lt;"&amp;'Supply planning data'!D722,'Shipments data'!AC:AC,"&lt;"&amp;'Supply planning data'!D722)-SUMIFS(M:M,D:D,"&lt;="&amp;D707,C:C,C707)-SUMIFS(AA:AA,D:D,"&lt;="&amp;D707,C:C,C707)+SUMIFS(N:N,D:D,"&lt;="&amp;D707,C:C,C707)+SUMIFS(P:P,D:D,"&lt;="&amp;D707,C:C,C707))</f>
        <v>0</v>
      </c>
      <c r="AD707" s="98">
        <f t="shared" si="208"/>
        <v>0</v>
      </c>
      <c r="AE707" s="98">
        <f t="shared" si="202"/>
        <v>0</v>
      </c>
      <c r="AF707" s="205" t="str">
        <f t="shared" si="211"/>
        <v/>
      </c>
      <c r="AG707" s="98">
        <f t="shared" si="209"/>
        <v>0</v>
      </c>
      <c r="AH707" s="97"/>
      <c r="AI707" s="311"/>
      <c r="AJ707" s="98">
        <f t="shared" si="201"/>
        <v>0</v>
      </c>
      <c r="AK707" s="233"/>
      <c r="AL707" s="98">
        <f>IF(SUMIFS('Shipments data'!L:L,'Shipments data'!F:F,'Supply planning data'!C707,'Shipments data'!A:A,'Supply planning data'!A707,'Shipments data'!O:O,"received",'Shipments data'!Q:Q,"&lt;"&amp;'Supply planning data'!D722,'Shipments data'!AC:AC,"&lt;"&amp;'Supply planning data'!D722)-SUMIFS(M:M,D:D,"&lt;="&amp;D707,C:C,C707)-SUMIFS(AJ:AJ,D:D,"&lt;="&amp;D707,C:C,C707)+SUMIFS(N:N,D:D,"&lt;="&amp;D707,C:C,C707)+SUMIFS(P:P,D:D,"&lt;="&amp;D707,C:C,C707)&lt;0,0,SUMIFS('Shipments data'!L:L,'Shipments data'!F:F,'Supply planning data'!C707,'Shipments data'!A:A,'Supply planning data'!A707,'Shipments data'!O:O,"received",'Shipments data'!Q:Q,"&lt;"&amp;'Supply planning data'!D722,'Shipments data'!AC:AC,"&lt;"&amp;'Supply planning data'!D722)-SUMIFS(M:M,D:D,"&lt;="&amp;D707,C:C,C707)-SUMIFS(AJ:AJ,D:D,"&lt;="&amp;D707,C:C,C707)+SUMIFS(N:N,D:D,"&lt;="&amp;D707,C:C,C707)+SUMIFS(P:P,D:D,"&lt;="&amp;D707,C:C,C707))</f>
        <v>0</v>
      </c>
      <c r="AM707" s="98">
        <f t="shared" si="210"/>
        <v>0</v>
      </c>
      <c r="AN707" s="98">
        <f t="shared" si="203"/>
        <v>0</v>
      </c>
      <c r="AO707" s="203" t="str">
        <f t="shared" si="213"/>
        <v/>
      </c>
    </row>
    <row r="708" spans="1:41" hidden="1" x14ac:dyDescent="0.25">
      <c r="A708" s="95" t="str">
        <f>Start!D$7</f>
        <v>Anyland</v>
      </c>
      <c r="B708" s="96" t="str">
        <f>VLOOKUP(A708,list!B:C,2,FALSE)</f>
        <v>ANY</v>
      </c>
      <c r="C708" s="90" t="str">
        <f>IF(Start!$C$30="","",Start!$C$30)</f>
        <v/>
      </c>
      <c r="D708" s="296">
        <f t="shared" si="204"/>
        <v>45597</v>
      </c>
      <c r="E708" s="92" t="str">
        <f>IFERROR(VLOOKUP(C708,Start!C$15:D$31,2,FALSE),"No")</f>
        <v>No</v>
      </c>
      <c r="F708" s="92">
        <f t="shared" si="205"/>
        <v>0</v>
      </c>
      <c r="G708" s="91"/>
      <c r="H708" s="97"/>
      <c r="I708" s="97"/>
      <c r="J708" s="98">
        <f t="shared" si="197"/>
        <v>0</v>
      </c>
      <c r="K708" s="97"/>
      <c r="L708" s="175" t="str">
        <f t="shared" si="198"/>
        <v/>
      </c>
      <c r="M708" s="98">
        <f t="shared" si="199"/>
        <v>0</v>
      </c>
      <c r="N708" s="97"/>
      <c r="O708" s="122"/>
      <c r="P708" s="97"/>
      <c r="Q708" s="122"/>
      <c r="R708" s="98">
        <f>SUMIFS('Shipments data'!L:L,'Shipments data'!F:F,'Supply planning data'!C708,'Shipments data'!A:A,'Supply planning data'!A708,'Shipments data'!Y:Y,'Supply planning data'!D708,'Shipments data'!O:O,"received", 'Shipments data'!N:N, "Public")</f>
        <v>0</v>
      </c>
      <c r="S708" s="98">
        <f>SUMIFS('Shipments data'!L:L,'Shipments data'!F:F,'Supply planning data'!C708,'Shipments data'!A:A,'Supply planning data'!A708,'Shipments data'!Y:Y,'Supply planning data'!D708,'Shipments data'!O:O,"ordered", 'Shipments data'!N:N, "Public")</f>
        <v>0</v>
      </c>
      <c r="T708" s="98">
        <f>IF(SUMIFS('Shipments data'!L:L,'Shipments data'!F:F,'Supply planning data'!C708,'Shipments data'!A:A,'Supply planning data'!A708,'Shipments data'!O:O,"received",'Shipments data'!Q:Q,"&lt;"&amp;'Supply planning data'!D723,'Shipments data'!AC:AC,"&lt;"&amp;'Supply planning data'!D723)-SUMIFS(M:M,D:D,"&lt;="&amp;D708,C:C,C708)+SUMIFS(N:N,D:D,"&lt;="&amp;D708,C:C,C708)+SUMIFS(P:P,D:D,"&lt;="&amp;D708,C:C,C708)&lt;0,0,SUMIFS('Shipments data'!L:L,'Shipments data'!F:F,'Supply planning data'!C708,'Shipments data'!A:A,'Supply planning data'!A708,'Shipments data'!O:O,"received",'Shipments data'!Q:Q,"&lt;"&amp;'Supply planning data'!D723,'Shipments data'!AC:AC,"&lt;"&amp;'Supply planning data'!D723)-SUMIFS(M:M,D:D,"&lt;="&amp;D708,C:C,C708)+SUMIFS(N:N,D:D,"&lt;="&amp;D708,C:C,C708)+SUMIFS(P:P,D:D,"&lt;="&amp;D708,C:C,C708))</f>
        <v>0</v>
      </c>
      <c r="U708" s="99">
        <f t="shared" si="206"/>
        <v>0</v>
      </c>
      <c r="V708" s="98">
        <f t="shared" si="214"/>
        <v>0</v>
      </c>
      <c r="W708" s="203" t="str">
        <f t="shared" si="212"/>
        <v/>
      </c>
      <c r="X708" s="98">
        <f t="shared" si="207"/>
        <v>0</v>
      </c>
      <c r="Y708" s="97"/>
      <c r="Z708" s="93"/>
      <c r="AA708" s="98">
        <f t="shared" si="200"/>
        <v>0</v>
      </c>
      <c r="AB708" s="233"/>
      <c r="AC708" s="98">
        <f>IF(SUMIFS('Shipments data'!L:L,'Shipments data'!F:F,'Supply planning data'!C708,'Shipments data'!A:A,'Supply planning data'!A708,'Shipments data'!O:O,"received",'Shipments data'!Q:Q,"&lt;"&amp;'Supply planning data'!D723,'Shipments data'!AC:AC,"&lt;"&amp;'Supply planning data'!D723)-SUMIFS(M:M,D:D,"&lt;="&amp;D708,C:C,C708)-SUMIFS(AA:AA,D:D,"&lt;="&amp;D708,C:C,C708)+SUMIFS(N:N,D:D,"&lt;="&amp;D708,C:C,C708)+SUMIFS(P:P,D:D,"&lt;="&amp;D708,C:C,C708)&lt;0,0,SUMIFS('Shipments data'!L:L,'Shipments data'!F:F,'Supply planning data'!C708,'Shipments data'!A:A,'Supply planning data'!A708,'Shipments data'!O:O,"received",'Shipments data'!Q:Q,"&lt;"&amp;'Supply planning data'!D723,'Shipments data'!AC:AC,"&lt;"&amp;'Supply planning data'!D723)-SUMIFS(M:M,D:D,"&lt;="&amp;D708,C:C,C708)-SUMIFS(AA:AA,D:D,"&lt;="&amp;D708,C:C,C708)+SUMIFS(N:N,D:D,"&lt;="&amp;D708,C:C,C708)+SUMIFS(P:P,D:D,"&lt;="&amp;D708,C:C,C708))</f>
        <v>0</v>
      </c>
      <c r="AD708" s="98">
        <f t="shared" si="208"/>
        <v>0</v>
      </c>
      <c r="AE708" s="98">
        <f t="shared" si="202"/>
        <v>0</v>
      </c>
      <c r="AF708" s="205" t="str">
        <f t="shared" si="211"/>
        <v/>
      </c>
      <c r="AG708" s="98">
        <f t="shared" si="209"/>
        <v>0</v>
      </c>
      <c r="AH708" s="97"/>
      <c r="AI708" s="311"/>
      <c r="AJ708" s="98">
        <f t="shared" si="201"/>
        <v>0</v>
      </c>
      <c r="AK708" s="233"/>
      <c r="AL708" s="98">
        <f>IF(SUMIFS('Shipments data'!L:L,'Shipments data'!F:F,'Supply planning data'!C708,'Shipments data'!A:A,'Supply planning data'!A708,'Shipments data'!O:O,"received",'Shipments data'!Q:Q,"&lt;"&amp;'Supply planning data'!D723,'Shipments data'!AC:AC,"&lt;"&amp;'Supply planning data'!D723)-SUMIFS(M:M,D:D,"&lt;="&amp;D708,C:C,C708)-SUMIFS(AJ:AJ,D:D,"&lt;="&amp;D708,C:C,C708)+SUMIFS(N:N,D:D,"&lt;="&amp;D708,C:C,C708)+SUMIFS(P:P,D:D,"&lt;="&amp;D708,C:C,C708)&lt;0,0,SUMIFS('Shipments data'!L:L,'Shipments data'!F:F,'Supply planning data'!C708,'Shipments data'!A:A,'Supply planning data'!A708,'Shipments data'!O:O,"received",'Shipments data'!Q:Q,"&lt;"&amp;'Supply planning data'!D723,'Shipments data'!AC:AC,"&lt;"&amp;'Supply planning data'!D723)-SUMIFS(M:M,D:D,"&lt;="&amp;D708,C:C,C708)-SUMIFS(AJ:AJ,D:D,"&lt;="&amp;D708,C:C,C708)+SUMIFS(N:N,D:D,"&lt;="&amp;D708,C:C,C708)+SUMIFS(P:P,D:D,"&lt;="&amp;D708,C:C,C708))</f>
        <v>0</v>
      </c>
      <c r="AM708" s="98">
        <f t="shared" si="210"/>
        <v>0</v>
      </c>
      <c r="AN708" s="98">
        <f t="shared" si="203"/>
        <v>0</v>
      </c>
      <c r="AO708" s="203" t="str">
        <f t="shared" si="213"/>
        <v/>
      </c>
    </row>
    <row r="709" spans="1:41" hidden="1" x14ac:dyDescent="0.25">
      <c r="A709" s="95" t="str">
        <f>Start!D$7</f>
        <v>Anyland</v>
      </c>
      <c r="B709" s="100" t="str">
        <f>VLOOKUP(A709,list!B:C,2,FALSE)</f>
        <v>ANY</v>
      </c>
      <c r="C709" s="90" t="str">
        <f>IF(Start!$C$31="","",Start!$C$31)</f>
        <v/>
      </c>
      <c r="D709" s="296">
        <f t="shared" si="204"/>
        <v>45597</v>
      </c>
      <c r="E709" s="92" t="str">
        <f>IFERROR(VLOOKUP(C709,Start!C$15:D$31,2,FALSE),"No")</f>
        <v>No</v>
      </c>
      <c r="F709" s="92">
        <f t="shared" si="205"/>
        <v>0</v>
      </c>
      <c r="G709" s="91"/>
      <c r="H709" s="97"/>
      <c r="I709" s="97"/>
      <c r="J709" s="98">
        <f t="shared" ref="J709:J772" si="215">SUM(G709:I709)</f>
        <v>0</v>
      </c>
      <c r="K709" s="97"/>
      <c r="L709" s="175" t="str">
        <f t="shared" ref="L709:L772" si="216">IFERROR(K709/J709, "")</f>
        <v/>
      </c>
      <c r="M709" s="98">
        <f t="shared" ref="M709:M772" si="217">SUM(J709,K709)</f>
        <v>0</v>
      </c>
      <c r="N709" s="97"/>
      <c r="O709" s="122"/>
      <c r="P709" s="97"/>
      <c r="Q709" s="122"/>
      <c r="R709" s="98">
        <f>SUMIFS('Shipments data'!L:L,'Shipments data'!F:F,'Supply planning data'!C709,'Shipments data'!A:A,'Supply planning data'!A709,'Shipments data'!Y:Y,'Supply planning data'!D709,'Shipments data'!O:O,"received", 'Shipments data'!N:N, "Public")</f>
        <v>0</v>
      </c>
      <c r="S709" s="98">
        <f>SUMIFS('Shipments data'!L:L,'Shipments data'!F:F,'Supply planning data'!C709,'Shipments data'!A:A,'Supply planning data'!A709,'Shipments data'!Y:Y,'Supply planning data'!D709,'Shipments data'!O:O,"ordered", 'Shipments data'!N:N, "Public")</f>
        <v>0</v>
      </c>
      <c r="T709" s="98">
        <f>IF(SUMIFS('Shipments data'!L:L,'Shipments data'!F:F,'Supply planning data'!C709,'Shipments data'!A:A,'Supply planning data'!A709,'Shipments data'!O:O,"received",'Shipments data'!Q:Q,"&lt;"&amp;'Supply planning data'!D724,'Shipments data'!AC:AC,"&lt;"&amp;'Supply planning data'!D724)-SUMIFS(M:M,D:D,"&lt;="&amp;D709,C:C,C709)+SUMIFS(N:N,D:D,"&lt;="&amp;D709,C:C,C709)+SUMIFS(P:P,D:D,"&lt;="&amp;D709,C:C,C709)&lt;0,0,SUMIFS('Shipments data'!L:L,'Shipments data'!F:F,'Supply planning data'!C709,'Shipments data'!A:A,'Supply planning data'!A709,'Shipments data'!O:O,"received",'Shipments data'!Q:Q,"&lt;"&amp;'Supply planning data'!D724,'Shipments data'!AC:AC,"&lt;"&amp;'Supply planning data'!D724)-SUMIFS(M:M,D:D,"&lt;="&amp;D709,C:C,C709)+SUMIFS(N:N,D:D,"&lt;="&amp;D709,C:C,C709)+SUMIFS(P:P,D:D,"&lt;="&amp;D709,C:C,C709))</f>
        <v>0</v>
      </c>
      <c r="U709" s="99">
        <f t="shared" si="206"/>
        <v>0</v>
      </c>
      <c r="V709" s="98">
        <f t="shared" si="214"/>
        <v>0</v>
      </c>
      <c r="W709" s="203" t="str">
        <f t="shared" si="212"/>
        <v/>
      </c>
      <c r="X709" s="98">
        <f t="shared" si="207"/>
        <v>0</v>
      </c>
      <c r="Y709" s="97"/>
      <c r="Z709" s="93"/>
      <c r="AA709" s="98">
        <f t="shared" ref="AA709:AA772" si="218">IFERROR(Z709*Y709,0)+Y709</f>
        <v>0</v>
      </c>
      <c r="AB709" s="233"/>
      <c r="AC709" s="98">
        <f>IF(SUMIFS('Shipments data'!L:L,'Shipments data'!F:F,'Supply planning data'!C709,'Shipments data'!A:A,'Supply planning data'!A709,'Shipments data'!O:O,"received",'Shipments data'!Q:Q,"&lt;"&amp;'Supply planning data'!D724,'Shipments data'!AC:AC,"&lt;"&amp;'Supply planning data'!D724)-SUMIFS(M:M,D:D,"&lt;="&amp;D709,C:C,C709)-SUMIFS(AA:AA,D:D,"&lt;="&amp;D709,C:C,C709)+SUMIFS(N:N,D:D,"&lt;="&amp;D709,C:C,C709)+SUMIFS(P:P,D:D,"&lt;="&amp;D709,C:C,C709)&lt;0,0,SUMIFS('Shipments data'!L:L,'Shipments data'!F:F,'Supply planning data'!C709,'Shipments data'!A:A,'Supply planning data'!A709,'Shipments data'!O:O,"received",'Shipments data'!Q:Q,"&lt;"&amp;'Supply planning data'!D724,'Shipments data'!AC:AC,"&lt;"&amp;'Supply planning data'!D724)-SUMIFS(M:M,D:D,"&lt;="&amp;D709,C:C,C709)-SUMIFS(AA:AA,D:D,"&lt;="&amp;D709,C:C,C709)+SUMIFS(N:N,D:D,"&lt;="&amp;D709,C:C,C709)+SUMIFS(P:P,D:D,"&lt;="&amp;D709,C:C,C709))</f>
        <v>0</v>
      </c>
      <c r="AD709" s="98">
        <f t="shared" si="208"/>
        <v>0</v>
      </c>
      <c r="AE709" s="98">
        <f t="shared" si="202"/>
        <v>0</v>
      </c>
      <c r="AF709" s="205" t="str">
        <f t="shared" si="211"/>
        <v/>
      </c>
      <c r="AG709" s="98">
        <f t="shared" si="209"/>
        <v>0</v>
      </c>
      <c r="AH709" s="97"/>
      <c r="AI709" s="311"/>
      <c r="AJ709" s="98">
        <f t="shared" ref="AJ709:AJ772" si="219">IFERROR(AI709*AH709,0)+AH709</f>
        <v>0</v>
      </c>
      <c r="AK709" s="233"/>
      <c r="AL709" s="98">
        <f>IF(SUMIFS('Shipments data'!L:L,'Shipments data'!F:F,'Supply planning data'!C709,'Shipments data'!A:A,'Supply planning data'!A709,'Shipments data'!O:O,"received",'Shipments data'!Q:Q,"&lt;"&amp;'Supply planning data'!D724,'Shipments data'!AC:AC,"&lt;"&amp;'Supply planning data'!D724)-SUMIFS(M:M,D:D,"&lt;="&amp;D709,C:C,C709)-SUMIFS(AJ:AJ,D:D,"&lt;="&amp;D709,C:C,C709)+SUMIFS(N:N,D:D,"&lt;="&amp;D709,C:C,C709)+SUMIFS(P:P,D:D,"&lt;="&amp;D709,C:C,C709)&lt;0,0,SUMIFS('Shipments data'!L:L,'Shipments data'!F:F,'Supply planning data'!C709,'Shipments data'!A:A,'Supply planning data'!A709,'Shipments data'!O:O,"received",'Shipments data'!Q:Q,"&lt;"&amp;'Supply planning data'!D724,'Shipments data'!AC:AC,"&lt;"&amp;'Supply planning data'!D724)-SUMIFS(M:M,D:D,"&lt;="&amp;D709,C:C,C709)-SUMIFS(AJ:AJ,D:D,"&lt;="&amp;D709,C:C,C709)+SUMIFS(N:N,D:D,"&lt;="&amp;D709,C:C,C709)+SUMIFS(P:P,D:D,"&lt;="&amp;D709,C:C,C709))</f>
        <v>0</v>
      </c>
      <c r="AM709" s="98">
        <f t="shared" si="210"/>
        <v>0</v>
      </c>
      <c r="AN709" s="98">
        <f t="shared" si="203"/>
        <v>0</v>
      </c>
      <c r="AO709" s="203" t="str">
        <f t="shared" si="213"/>
        <v/>
      </c>
    </row>
    <row r="710" spans="1:41" x14ac:dyDescent="0.25">
      <c r="A710" s="103" t="str">
        <f>Start!D$7</f>
        <v>Anyland</v>
      </c>
      <c r="B710" s="104" t="str">
        <f>VLOOKUP(A710,list!B:C,2,FALSE)</f>
        <v>ANY</v>
      </c>
      <c r="C710" s="104" t="str">
        <f>IF(Start!$C$17="","",Start!$C$17)</f>
        <v>AstraZeneca</v>
      </c>
      <c r="D710" s="298">
        <f t="shared" si="204"/>
        <v>45627</v>
      </c>
      <c r="E710" s="105" t="str">
        <f>IFERROR(VLOOKUP(C710,Start!C$15:D$31,2,FALSE),"No")</f>
        <v>Yes</v>
      </c>
      <c r="F710" s="105">
        <f t="shared" si="205"/>
        <v>0</v>
      </c>
      <c r="G710" s="106"/>
      <c r="H710" s="106"/>
      <c r="I710" s="106"/>
      <c r="J710" s="105">
        <f t="shared" si="215"/>
        <v>0</v>
      </c>
      <c r="K710" s="106"/>
      <c r="L710" s="177" t="str">
        <f t="shared" si="216"/>
        <v/>
      </c>
      <c r="M710" s="105">
        <f t="shared" si="217"/>
        <v>0</v>
      </c>
      <c r="N710" s="106"/>
      <c r="O710" s="123"/>
      <c r="P710" s="106"/>
      <c r="Q710" s="123"/>
      <c r="R710" s="105">
        <f>SUMIFS('Shipments data'!L:L,'Shipments data'!F:F,'Supply planning data'!C710,'Shipments data'!A:A,'Supply planning data'!A710,'Shipments data'!Y:Y,'Supply planning data'!D710,'Shipments data'!O:O,"received", 'Shipments data'!N:N, "Public")</f>
        <v>0</v>
      </c>
      <c r="S710" s="105">
        <f>SUMIFS('Shipments data'!L:L,'Shipments data'!F:F,'Supply planning data'!C710,'Shipments data'!A:A,'Supply planning data'!A710,'Shipments data'!Y:Y,'Supply planning data'!D710,'Shipments data'!O:O,"ordered", 'Shipments data'!N:N, "Public")</f>
        <v>0</v>
      </c>
      <c r="T710" s="105">
        <f>IF(SUMIFS('Shipments data'!L:L,'Shipments data'!F:F,'Supply planning data'!C710,'Shipments data'!A:A,'Supply planning data'!A710,'Shipments data'!O:O,"received",'Shipments data'!Q:Q,"&lt;"&amp;'Supply planning data'!D725,'Shipments data'!AC:AC,"&lt;"&amp;'Supply planning data'!D725)-SUMIFS(M:M,D:D,"&lt;="&amp;D710,C:C,C710)+SUMIFS(N:N,D:D,"&lt;="&amp;D710,C:C,C710)+SUMIFS(P:P,D:D,"&lt;="&amp;D710,C:C,C710)&lt;0,0,SUMIFS('Shipments data'!L:L,'Shipments data'!F:F,'Supply planning data'!C710,'Shipments data'!A:A,'Supply planning data'!A710,'Shipments data'!O:O,"received",'Shipments data'!Q:Q,"&lt;"&amp;'Supply planning data'!D725,'Shipments data'!AC:AC,"&lt;"&amp;'Supply planning data'!D725)-SUMIFS(M:M,D:D,"&lt;="&amp;D710,C:C,C710)+SUMIFS(N:N,D:D,"&lt;="&amp;D710,C:C,C710)+SUMIFS(P:P,D:D,"&lt;="&amp;D710,C:C,C710))</f>
        <v>0</v>
      </c>
      <c r="U710" s="108">
        <f t="shared" si="206"/>
        <v>0</v>
      </c>
      <c r="V710" s="105">
        <f t="shared" si="214"/>
        <v>0</v>
      </c>
      <c r="W710" s="206" t="str">
        <f t="shared" si="212"/>
        <v/>
      </c>
      <c r="X710" s="105">
        <f t="shared" si="207"/>
        <v>154701</v>
      </c>
      <c r="Y710" s="106"/>
      <c r="Z710" s="107"/>
      <c r="AA710" s="105">
        <f t="shared" si="218"/>
        <v>0</v>
      </c>
      <c r="AB710" s="234"/>
      <c r="AC710" s="105">
        <f>IF(SUMIFS('Shipments data'!L:L,'Shipments data'!F:F,'Supply planning data'!C710,'Shipments data'!A:A,'Supply planning data'!A710,'Shipments data'!O:O,"received",'Shipments data'!Q:Q,"&lt;"&amp;'Supply planning data'!D725,'Shipments data'!AC:AC,"&lt;"&amp;'Supply planning data'!D725)-SUMIFS(M:M,D:D,"&lt;="&amp;D710,C:C,C710)-SUMIFS(AA:AA,D:D,"&lt;="&amp;D710,C:C,C710)+SUMIFS(N:N,D:D,"&lt;="&amp;D710,C:C,C710)+SUMIFS(P:P,D:D,"&lt;="&amp;D710,C:C,C710)&lt;0,0,SUMIFS('Shipments data'!L:L,'Shipments data'!F:F,'Supply planning data'!C710,'Shipments data'!A:A,'Supply planning data'!A710,'Shipments data'!O:O,"received",'Shipments data'!Q:Q,"&lt;"&amp;'Supply planning data'!D725,'Shipments data'!AC:AC,"&lt;"&amp;'Supply planning data'!D725)-SUMIFS(M:M,D:D,"&lt;="&amp;D710,C:C,C710)-SUMIFS(AA:AA,D:D,"&lt;="&amp;D710,C:C,C710)+SUMIFS(N:N,D:D,"&lt;="&amp;D710,C:C,C710)+SUMIFS(P:P,D:D,"&lt;="&amp;D710,C:C,C710))</f>
        <v>0</v>
      </c>
      <c r="AD710" s="105">
        <f t="shared" si="208"/>
        <v>0</v>
      </c>
      <c r="AE710" s="105">
        <f t="shared" ref="AE710:AE773" si="220">IF(X710+R710+S710+AB710+N710+P710-M710-AA710-U710&lt;0,0,X710+R710+S710+AB710+N710+P710-M710-AA710-U710)</f>
        <v>154701</v>
      </c>
      <c r="AF710" s="206" t="str">
        <f t="shared" si="211"/>
        <v/>
      </c>
      <c r="AG710" s="105">
        <f t="shared" si="209"/>
        <v>0</v>
      </c>
      <c r="AH710" s="106"/>
      <c r="AI710" s="312"/>
      <c r="AJ710" s="105">
        <f t="shared" si="219"/>
        <v>0</v>
      </c>
      <c r="AK710" s="234"/>
      <c r="AL710" s="105">
        <f>IF(SUMIFS('Shipments data'!L:L,'Shipments data'!F:F,'Supply planning data'!C710,'Shipments data'!A:A,'Supply planning data'!A710,'Shipments data'!O:O,"received",'Shipments data'!Q:Q,"&lt;"&amp;'Supply planning data'!D725,'Shipments data'!AC:AC,"&lt;"&amp;'Supply planning data'!D725)-SUMIFS(M:M,D:D,"&lt;="&amp;D710,C:C,C710)-SUMIFS(AJ:AJ,D:D,"&lt;="&amp;D710,C:C,C710)+SUMIFS(N:N,D:D,"&lt;="&amp;D710,C:C,C710)+SUMIFS(P:P,D:D,"&lt;="&amp;D710,C:C,C710)&lt;0,0,SUMIFS('Shipments data'!L:L,'Shipments data'!F:F,'Supply planning data'!C710,'Shipments data'!A:A,'Supply planning data'!A710,'Shipments data'!O:O,"received",'Shipments data'!Q:Q,"&lt;"&amp;'Supply planning data'!D725,'Shipments data'!AC:AC,"&lt;"&amp;'Supply planning data'!D725)-SUMIFS(M:M,D:D,"&lt;="&amp;D710,C:C,C710)-SUMIFS(AJ:AJ,D:D,"&lt;="&amp;D710,C:C,C710)+SUMIFS(N:N,D:D,"&lt;="&amp;D710,C:C,C710)+SUMIFS(P:P,D:D,"&lt;="&amp;D710,C:C,C710))</f>
        <v>0</v>
      </c>
      <c r="AM710" s="105">
        <f t="shared" si="210"/>
        <v>0</v>
      </c>
      <c r="AN710" s="105">
        <f t="shared" ref="AN710:AN773" si="221">IF(AG710+$R710+$S710+AK710+$N710+$P710-$M710-AJ710-$AM710&lt;0,0,AG710+$R710+$S710+AK710+$N710+$P710-$M710-AJ710-$AM710)</f>
        <v>0</v>
      </c>
      <c r="AO710" s="206" t="str">
        <f t="shared" si="213"/>
        <v/>
      </c>
    </row>
    <row r="711" spans="1:41" x14ac:dyDescent="0.25">
      <c r="A711" s="103" t="str">
        <f>Start!D$7</f>
        <v>Anyland</v>
      </c>
      <c r="B711" s="109" t="str">
        <f>VLOOKUP(A711,list!B:C,2,FALSE)</f>
        <v>ANY</v>
      </c>
      <c r="C711" s="109" t="str">
        <f>IF(Start!$C$18="","",Start!$C$18)</f>
        <v>Jansen</v>
      </c>
      <c r="D711" s="298">
        <f t="shared" si="204"/>
        <v>45627</v>
      </c>
      <c r="E711" s="105" t="str">
        <f>IFERROR(VLOOKUP(C711,Start!C$15:D$31,2,FALSE),"No")</f>
        <v>Yes</v>
      </c>
      <c r="F711" s="105">
        <f t="shared" si="205"/>
        <v>1871200</v>
      </c>
      <c r="G711" s="106"/>
      <c r="H711" s="106"/>
      <c r="I711" s="106"/>
      <c r="J711" s="105">
        <f t="shared" si="215"/>
        <v>0</v>
      </c>
      <c r="K711" s="106"/>
      <c r="L711" s="177" t="str">
        <f t="shared" si="216"/>
        <v/>
      </c>
      <c r="M711" s="105">
        <f t="shared" si="217"/>
        <v>0</v>
      </c>
      <c r="N711" s="110"/>
      <c r="O711" s="124"/>
      <c r="P711" s="110"/>
      <c r="Q711" s="124"/>
      <c r="R711" s="111">
        <f>SUMIFS('Shipments data'!L:L,'Shipments data'!F:F,'Supply planning data'!C711,'Shipments data'!A:A,'Supply planning data'!A711,'Shipments data'!Y:Y,'Supply planning data'!D711,'Shipments data'!O:O,"received", 'Shipments data'!N:N, "Public")</f>
        <v>0</v>
      </c>
      <c r="S711" s="111">
        <f>SUMIFS('Shipments data'!L:L,'Shipments data'!F:F,'Supply planning data'!C711,'Shipments data'!A:A,'Supply planning data'!A711,'Shipments data'!Y:Y,'Supply planning data'!D711,'Shipments data'!O:O,"ordered", 'Shipments data'!N:N, "Public")</f>
        <v>0</v>
      </c>
      <c r="T711" s="111">
        <f>IF(SUMIFS('Shipments data'!L:L,'Shipments data'!F:F,'Supply planning data'!C711,'Shipments data'!A:A,'Supply planning data'!A711,'Shipments data'!O:O,"received",'Shipments data'!Q:Q,"&lt;"&amp;'Supply planning data'!D726,'Shipments data'!AC:AC,"&lt;"&amp;'Supply planning data'!D726)-SUMIFS(M:M,D:D,"&lt;="&amp;D711,C:C,C711)+SUMIFS(N:N,D:D,"&lt;="&amp;D711,C:C,C711)+SUMIFS(P:P,D:D,"&lt;="&amp;D711,C:C,C711)&lt;0,0,SUMIFS('Shipments data'!L:L,'Shipments data'!F:F,'Supply planning data'!C711,'Shipments data'!A:A,'Supply planning data'!A711,'Shipments data'!O:O,"received",'Shipments data'!Q:Q,"&lt;"&amp;'Supply planning data'!D726,'Shipments data'!AC:AC,"&lt;"&amp;'Supply planning data'!D726)-SUMIFS(M:M,D:D,"&lt;="&amp;D711,C:C,C711)+SUMIFS(N:N,D:D,"&lt;="&amp;D711,C:C,C711)+SUMIFS(P:P,D:D,"&lt;="&amp;D711,C:C,C711))</f>
        <v>387547</v>
      </c>
      <c r="U711" s="112">
        <f t="shared" si="206"/>
        <v>0</v>
      </c>
      <c r="V711" s="111">
        <f t="shared" si="214"/>
        <v>1871200</v>
      </c>
      <c r="W711" s="204" t="str">
        <f t="shared" si="212"/>
        <v/>
      </c>
      <c r="X711" s="111">
        <f t="shared" si="207"/>
        <v>1311200</v>
      </c>
      <c r="Y711" s="110"/>
      <c r="Z711" s="107"/>
      <c r="AA711" s="111">
        <f t="shared" si="218"/>
        <v>0</v>
      </c>
      <c r="AB711" s="235"/>
      <c r="AC711" s="111">
        <f>IF(SUMIFS('Shipments data'!L:L,'Shipments data'!F:F,'Supply planning data'!C711,'Shipments data'!A:A,'Supply planning data'!A711,'Shipments data'!O:O,"received",'Shipments data'!Q:Q,"&lt;"&amp;'Supply planning data'!D726,'Shipments data'!AC:AC,"&lt;"&amp;'Supply planning data'!D726)-SUMIFS(M:M,D:D,"&lt;="&amp;D711,C:C,C711)-SUMIFS(AA:AA,D:D,"&lt;="&amp;D711,C:C,C711)+SUMIFS(N:N,D:D,"&lt;="&amp;D711,C:C,C711)+SUMIFS(P:P,D:D,"&lt;="&amp;D711,C:C,C711)&lt;0,0,SUMIFS('Shipments data'!L:L,'Shipments data'!F:F,'Supply planning data'!C711,'Shipments data'!A:A,'Supply planning data'!A711,'Shipments data'!O:O,"received",'Shipments data'!Q:Q,"&lt;"&amp;'Supply planning data'!D726,'Shipments data'!AC:AC,"&lt;"&amp;'Supply planning data'!D726)-SUMIFS(M:M,D:D,"&lt;="&amp;D711,C:C,C711)-SUMIFS(AA:AA,D:D,"&lt;="&amp;D711,C:C,C711)+SUMIFS(N:N,D:D,"&lt;="&amp;D711,C:C,C711)+SUMIFS(P:P,D:D,"&lt;="&amp;D711,C:C,C711))</f>
        <v>0</v>
      </c>
      <c r="AD711" s="111">
        <f t="shared" si="208"/>
        <v>0</v>
      </c>
      <c r="AE711" s="111">
        <f t="shared" si="220"/>
        <v>1311200</v>
      </c>
      <c r="AF711" s="204" t="str">
        <f t="shared" si="211"/>
        <v/>
      </c>
      <c r="AG711" s="111">
        <f t="shared" si="209"/>
        <v>1871200</v>
      </c>
      <c r="AH711" s="110"/>
      <c r="AI711" s="313"/>
      <c r="AJ711" s="111">
        <f t="shared" si="219"/>
        <v>0</v>
      </c>
      <c r="AK711" s="235"/>
      <c r="AL711" s="111">
        <f>IF(SUMIFS('Shipments data'!L:L,'Shipments data'!F:F,'Supply planning data'!C711,'Shipments data'!A:A,'Supply planning data'!A711,'Shipments data'!O:O,"received",'Shipments data'!Q:Q,"&lt;"&amp;'Supply planning data'!D726,'Shipments data'!AC:AC,"&lt;"&amp;'Supply planning data'!D726)-SUMIFS(M:M,D:D,"&lt;="&amp;D711,C:C,C711)-SUMIFS(AJ:AJ,D:D,"&lt;="&amp;D711,C:C,C711)+SUMIFS(N:N,D:D,"&lt;="&amp;D711,C:C,C711)+SUMIFS(P:P,D:D,"&lt;="&amp;D711,C:C,C711)&lt;0,0,SUMIFS('Shipments data'!L:L,'Shipments data'!F:F,'Supply planning data'!C711,'Shipments data'!A:A,'Supply planning data'!A711,'Shipments data'!O:O,"received",'Shipments data'!Q:Q,"&lt;"&amp;'Supply planning data'!D726,'Shipments data'!AC:AC,"&lt;"&amp;'Supply planning data'!D726)-SUMIFS(M:M,D:D,"&lt;="&amp;D711,C:C,C711)-SUMIFS(AJ:AJ,D:D,"&lt;="&amp;D711,C:C,C711)+SUMIFS(N:N,D:D,"&lt;="&amp;D711,C:C,C711)+SUMIFS(P:P,D:D,"&lt;="&amp;D711,C:C,C711))</f>
        <v>387547</v>
      </c>
      <c r="AM711" s="111">
        <f t="shared" si="210"/>
        <v>0</v>
      </c>
      <c r="AN711" s="111">
        <f t="shared" si="221"/>
        <v>1871200</v>
      </c>
      <c r="AO711" s="204" t="str">
        <f t="shared" si="213"/>
        <v/>
      </c>
    </row>
    <row r="712" spans="1:41" x14ac:dyDescent="0.25">
      <c r="A712" s="103" t="str">
        <f>Start!D$7</f>
        <v>Anyland</v>
      </c>
      <c r="B712" s="109" t="str">
        <f>VLOOKUP(A712,list!B:C,2,FALSE)</f>
        <v>ANY</v>
      </c>
      <c r="C712" s="104" t="str">
        <f>IF(Start!$C$19="","",Start!$C$19)</f>
        <v>Moderna</v>
      </c>
      <c r="D712" s="298">
        <f t="shared" si="204"/>
        <v>45627</v>
      </c>
      <c r="E712" s="105" t="str">
        <f>IFERROR(VLOOKUP(C712,Start!C$15:D$31,2,FALSE),"No")</f>
        <v>No</v>
      </c>
      <c r="F712" s="105">
        <f t="shared" si="205"/>
        <v>0</v>
      </c>
      <c r="G712" s="106"/>
      <c r="H712" s="106"/>
      <c r="I712" s="106"/>
      <c r="J712" s="105">
        <f t="shared" si="215"/>
        <v>0</v>
      </c>
      <c r="K712" s="106"/>
      <c r="L712" s="177" t="str">
        <f t="shared" si="216"/>
        <v/>
      </c>
      <c r="M712" s="105">
        <f t="shared" si="217"/>
        <v>0</v>
      </c>
      <c r="N712" s="110"/>
      <c r="O712" s="124"/>
      <c r="P712" s="110"/>
      <c r="Q712" s="124"/>
      <c r="R712" s="111">
        <f>SUMIFS('Shipments data'!L:L,'Shipments data'!F:F,'Supply planning data'!C712,'Shipments data'!A:A,'Supply planning data'!A712,'Shipments data'!Y:Y,'Supply planning data'!D712,'Shipments data'!O:O,"received", 'Shipments data'!N:N, "Public")</f>
        <v>0</v>
      </c>
      <c r="S712" s="111">
        <f>SUMIFS('Shipments data'!L:L,'Shipments data'!F:F,'Supply planning data'!C712,'Shipments data'!A:A,'Supply planning data'!A712,'Shipments data'!Y:Y,'Supply planning data'!D712,'Shipments data'!O:O,"ordered", 'Shipments data'!N:N, "Public")</f>
        <v>0</v>
      </c>
      <c r="T712" s="111">
        <f>IF(SUMIFS('Shipments data'!L:L,'Shipments data'!F:F,'Supply planning data'!C712,'Shipments data'!A:A,'Supply planning data'!A712,'Shipments data'!O:O,"received",'Shipments data'!Q:Q,"&lt;"&amp;'Supply planning data'!D727,'Shipments data'!AC:AC,"&lt;"&amp;'Supply planning data'!D727)-SUMIFS(M:M,D:D,"&lt;="&amp;D712,C:C,C712)+SUMIFS(N:N,D:D,"&lt;="&amp;D712,C:C,C712)+SUMIFS(P:P,D:D,"&lt;="&amp;D712,C:C,C712)&lt;0,0,SUMIFS('Shipments data'!L:L,'Shipments data'!F:F,'Supply planning data'!C712,'Shipments data'!A:A,'Supply planning data'!A712,'Shipments data'!O:O,"received",'Shipments data'!Q:Q,"&lt;"&amp;'Supply planning data'!D727,'Shipments data'!AC:AC,"&lt;"&amp;'Supply planning data'!D727)-SUMIFS(M:M,D:D,"&lt;="&amp;D712,C:C,C712)+SUMIFS(N:N,D:D,"&lt;="&amp;D712,C:C,C712)+SUMIFS(P:P,D:D,"&lt;="&amp;D712,C:C,C712))</f>
        <v>0</v>
      </c>
      <c r="U712" s="112">
        <f t="shared" si="206"/>
        <v>0</v>
      </c>
      <c r="V712" s="111">
        <f t="shared" si="214"/>
        <v>0</v>
      </c>
      <c r="W712" s="204" t="str">
        <f t="shared" si="212"/>
        <v/>
      </c>
      <c r="X712" s="111">
        <f t="shared" si="207"/>
        <v>0</v>
      </c>
      <c r="Y712" s="110"/>
      <c r="Z712" s="107"/>
      <c r="AA712" s="111">
        <f t="shared" si="218"/>
        <v>0</v>
      </c>
      <c r="AB712" s="235"/>
      <c r="AC712" s="111">
        <f>IF(SUMIFS('Shipments data'!L:L,'Shipments data'!F:F,'Supply planning data'!C712,'Shipments data'!A:A,'Supply planning data'!A712,'Shipments data'!O:O,"received",'Shipments data'!Q:Q,"&lt;"&amp;'Supply planning data'!D727,'Shipments data'!AC:AC,"&lt;"&amp;'Supply planning data'!D727)-SUMIFS(M:M,D:D,"&lt;="&amp;D712,C:C,C712)-SUMIFS(AA:AA,D:D,"&lt;="&amp;D712,C:C,C712)+SUMIFS(N:N,D:D,"&lt;="&amp;D712,C:C,C712)+SUMIFS(P:P,D:D,"&lt;="&amp;D712,C:C,C712)&lt;0,0,SUMIFS('Shipments data'!L:L,'Shipments data'!F:F,'Supply planning data'!C712,'Shipments data'!A:A,'Supply planning data'!A712,'Shipments data'!O:O,"received",'Shipments data'!Q:Q,"&lt;"&amp;'Supply planning data'!D727,'Shipments data'!AC:AC,"&lt;"&amp;'Supply planning data'!D727)-SUMIFS(M:M,D:D,"&lt;="&amp;D712,C:C,C712)-SUMIFS(AA:AA,D:D,"&lt;="&amp;D712,C:C,C712)+SUMIFS(N:N,D:D,"&lt;="&amp;D712,C:C,C712)+SUMIFS(P:P,D:D,"&lt;="&amp;D712,C:C,C712))</f>
        <v>0</v>
      </c>
      <c r="AD712" s="111">
        <f t="shared" si="208"/>
        <v>0</v>
      </c>
      <c r="AE712" s="111">
        <f t="shared" si="220"/>
        <v>0</v>
      </c>
      <c r="AF712" s="204" t="str">
        <f t="shared" si="211"/>
        <v/>
      </c>
      <c r="AG712" s="111">
        <f t="shared" si="209"/>
        <v>0</v>
      </c>
      <c r="AH712" s="110"/>
      <c r="AI712" s="313"/>
      <c r="AJ712" s="111">
        <f t="shared" si="219"/>
        <v>0</v>
      </c>
      <c r="AK712" s="235"/>
      <c r="AL712" s="111">
        <f>IF(SUMIFS('Shipments data'!L:L,'Shipments data'!F:F,'Supply planning data'!C712,'Shipments data'!A:A,'Supply planning data'!A712,'Shipments data'!O:O,"received",'Shipments data'!Q:Q,"&lt;"&amp;'Supply planning data'!D727,'Shipments data'!AC:AC,"&lt;"&amp;'Supply planning data'!D727)-SUMIFS(M:M,D:D,"&lt;="&amp;D712,C:C,C712)-SUMIFS(AJ:AJ,D:D,"&lt;="&amp;D712,C:C,C712)+SUMIFS(N:N,D:D,"&lt;="&amp;D712,C:C,C712)+SUMIFS(P:P,D:D,"&lt;="&amp;D712,C:C,C712)&lt;0,0,SUMIFS('Shipments data'!L:L,'Shipments data'!F:F,'Supply planning data'!C712,'Shipments data'!A:A,'Supply planning data'!A712,'Shipments data'!O:O,"received",'Shipments data'!Q:Q,"&lt;"&amp;'Supply planning data'!D727,'Shipments data'!AC:AC,"&lt;"&amp;'Supply planning data'!D727)-SUMIFS(M:M,D:D,"&lt;="&amp;D712,C:C,C712)-SUMIFS(AJ:AJ,D:D,"&lt;="&amp;D712,C:C,C712)+SUMIFS(N:N,D:D,"&lt;="&amp;D712,C:C,C712)+SUMIFS(P:P,D:D,"&lt;="&amp;D712,C:C,C712))</f>
        <v>0</v>
      </c>
      <c r="AM712" s="111">
        <f t="shared" si="210"/>
        <v>0</v>
      </c>
      <c r="AN712" s="111">
        <f t="shared" si="221"/>
        <v>0</v>
      </c>
      <c r="AO712" s="204" t="str">
        <f t="shared" si="213"/>
        <v/>
      </c>
    </row>
    <row r="713" spans="1:41" x14ac:dyDescent="0.25">
      <c r="A713" s="103" t="str">
        <f>Start!D$7</f>
        <v>Anyland</v>
      </c>
      <c r="B713" s="109" t="str">
        <f>VLOOKUP(A713,list!B:C,2,FALSE)</f>
        <v>ANY</v>
      </c>
      <c r="C713" s="109" t="str">
        <f>IF(Start!$C$20="","",Start!$C$20)</f>
        <v>Pfizer</v>
      </c>
      <c r="D713" s="298">
        <f t="shared" si="204"/>
        <v>45627</v>
      </c>
      <c r="E713" s="105" t="str">
        <f>IFERROR(VLOOKUP(C713,Start!C$15:D$31,2,FALSE),"No")</f>
        <v>Yes</v>
      </c>
      <c r="F713" s="105">
        <f t="shared" si="205"/>
        <v>3000000</v>
      </c>
      <c r="G713" s="106"/>
      <c r="H713" s="106"/>
      <c r="I713" s="106"/>
      <c r="J713" s="105">
        <f t="shared" si="215"/>
        <v>0</v>
      </c>
      <c r="K713" s="106"/>
      <c r="L713" s="177" t="str">
        <f t="shared" si="216"/>
        <v/>
      </c>
      <c r="M713" s="105">
        <f t="shared" si="217"/>
        <v>0</v>
      </c>
      <c r="N713" s="110"/>
      <c r="O713" s="124"/>
      <c r="P713" s="110"/>
      <c r="Q713" s="124"/>
      <c r="R713" s="111">
        <f>SUMIFS('Shipments data'!L:L,'Shipments data'!F:F,'Supply planning data'!C713,'Shipments data'!A:A,'Supply planning data'!A713,'Shipments data'!Y:Y,'Supply planning data'!D713,'Shipments data'!O:O,"received", 'Shipments data'!N:N, "Public")</f>
        <v>0</v>
      </c>
      <c r="S713" s="111">
        <f>SUMIFS('Shipments data'!L:L,'Shipments data'!F:F,'Supply planning data'!C713,'Shipments data'!A:A,'Supply planning data'!A713,'Shipments data'!Y:Y,'Supply planning data'!D713,'Shipments data'!O:O,"ordered", 'Shipments data'!N:N, "Public")</f>
        <v>0</v>
      </c>
      <c r="T713" s="111">
        <f>IF(SUMIFS('Shipments data'!L:L,'Shipments data'!F:F,'Supply planning data'!C713,'Shipments data'!A:A,'Supply planning data'!A713,'Shipments data'!O:O,"received",'Shipments data'!Q:Q,"&lt;"&amp;'Supply planning data'!D728,'Shipments data'!AC:AC,"&lt;"&amp;'Supply planning data'!D728)-SUMIFS(M:M,D:D,"&lt;="&amp;D713,C:C,C713)+SUMIFS(N:N,D:D,"&lt;="&amp;D713,C:C,C713)+SUMIFS(P:P,D:D,"&lt;="&amp;D713,C:C,C713)&lt;0,0,SUMIFS('Shipments data'!L:L,'Shipments data'!F:F,'Supply planning data'!C713,'Shipments data'!A:A,'Supply planning data'!A713,'Shipments data'!O:O,"received",'Shipments data'!Q:Q,"&lt;"&amp;'Supply planning data'!D728,'Shipments data'!AC:AC,"&lt;"&amp;'Supply planning data'!D728)-SUMIFS(M:M,D:D,"&lt;="&amp;D713,C:C,C713)+SUMIFS(N:N,D:D,"&lt;="&amp;D713,C:C,C713)+SUMIFS(P:P,D:D,"&lt;="&amp;D713,C:C,C713))</f>
        <v>110538</v>
      </c>
      <c r="U713" s="112">
        <f t="shared" si="206"/>
        <v>0</v>
      </c>
      <c r="V713" s="111">
        <f t="shared" si="214"/>
        <v>3000000</v>
      </c>
      <c r="W713" s="204" t="str">
        <f t="shared" si="212"/>
        <v/>
      </c>
      <c r="X713" s="111">
        <f t="shared" si="207"/>
        <v>2440000</v>
      </c>
      <c r="Y713" s="110"/>
      <c r="Z713" s="107"/>
      <c r="AA713" s="111">
        <f t="shared" si="218"/>
        <v>0</v>
      </c>
      <c r="AB713" s="235"/>
      <c r="AC713" s="111">
        <f>IF(SUMIFS('Shipments data'!L:L,'Shipments data'!F:F,'Supply planning data'!C713,'Shipments data'!A:A,'Supply planning data'!A713,'Shipments data'!O:O,"received",'Shipments data'!Q:Q,"&lt;"&amp;'Supply planning data'!D728,'Shipments data'!AC:AC,"&lt;"&amp;'Supply planning data'!D728)-SUMIFS(M:M,D:D,"&lt;="&amp;D713,C:C,C713)-SUMIFS(AA:AA,D:D,"&lt;="&amp;D713,C:C,C713)+SUMIFS(N:N,D:D,"&lt;="&amp;D713,C:C,C713)+SUMIFS(P:P,D:D,"&lt;="&amp;D713,C:C,C713)&lt;0,0,SUMIFS('Shipments data'!L:L,'Shipments data'!F:F,'Supply planning data'!C713,'Shipments data'!A:A,'Supply planning data'!A713,'Shipments data'!O:O,"received",'Shipments data'!Q:Q,"&lt;"&amp;'Supply planning data'!D728,'Shipments data'!AC:AC,"&lt;"&amp;'Supply planning data'!D728)-SUMIFS(M:M,D:D,"&lt;="&amp;D713,C:C,C713)-SUMIFS(AA:AA,D:D,"&lt;="&amp;D713,C:C,C713)+SUMIFS(N:N,D:D,"&lt;="&amp;D713,C:C,C713)+SUMIFS(P:P,D:D,"&lt;="&amp;D713,C:C,C713))</f>
        <v>0</v>
      </c>
      <c r="AD713" s="111">
        <f t="shared" si="208"/>
        <v>0</v>
      </c>
      <c r="AE713" s="111">
        <f t="shared" si="220"/>
        <v>2440000</v>
      </c>
      <c r="AF713" s="204" t="str">
        <f t="shared" si="211"/>
        <v/>
      </c>
      <c r="AG713" s="111">
        <f t="shared" si="209"/>
        <v>3000000</v>
      </c>
      <c r="AH713" s="110"/>
      <c r="AI713" s="313"/>
      <c r="AJ713" s="111">
        <f t="shared" si="219"/>
        <v>0</v>
      </c>
      <c r="AK713" s="235"/>
      <c r="AL713" s="111">
        <f>IF(SUMIFS('Shipments data'!L:L,'Shipments data'!F:F,'Supply planning data'!C713,'Shipments data'!A:A,'Supply planning data'!A713,'Shipments data'!O:O,"received",'Shipments data'!Q:Q,"&lt;"&amp;'Supply planning data'!D728,'Shipments data'!AC:AC,"&lt;"&amp;'Supply planning data'!D728)-SUMIFS(M:M,D:D,"&lt;="&amp;D713,C:C,C713)-SUMIFS(AJ:AJ,D:D,"&lt;="&amp;D713,C:C,C713)+SUMIFS(N:N,D:D,"&lt;="&amp;D713,C:C,C713)+SUMIFS(P:P,D:D,"&lt;="&amp;D713,C:C,C713)&lt;0,0,SUMIFS('Shipments data'!L:L,'Shipments data'!F:F,'Supply planning data'!C713,'Shipments data'!A:A,'Supply planning data'!A713,'Shipments data'!O:O,"received",'Shipments data'!Q:Q,"&lt;"&amp;'Supply planning data'!D728,'Shipments data'!AC:AC,"&lt;"&amp;'Supply planning data'!D728)-SUMIFS(M:M,D:D,"&lt;="&amp;D713,C:C,C713)-SUMIFS(AJ:AJ,D:D,"&lt;="&amp;D713,C:C,C713)+SUMIFS(N:N,D:D,"&lt;="&amp;D713,C:C,C713)+SUMIFS(P:P,D:D,"&lt;="&amp;D713,C:C,C713))</f>
        <v>110538</v>
      </c>
      <c r="AM713" s="111">
        <f t="shared" si="210"/>
        <v>0</v>
      </c>
      <c r="AN713" s="111">
        <f t="shared" si="221"/>
        <v>3000000</v>
      </c>
      <c r="AO713" s="204" t="str">
        <f t="shared" si="213"/>
        <v/>
      </c>
    </row>
    <row r="714" spans="1:41" x14ac:dyDescent="0.25">
      <c r="A714" s="103" t="str">
        <f>Start!D$7</f>
        <v>Anyland</v>
      </c>
      <c r="B714" s="109" t="str">
        <f>VLOOKUP(A714,list!B:C,2,FALSE)</f>
        <v>ANY</v>
      </c>
      <c r="C714" s="104" t="str">
        <f>IF(Start!$C$21="","",Start!$C$21)</f>
        <v>Sinovac</v>
      </c>
      <c r="D714" s="298">
        <f t="shared" si="204"/>
        <v>45627</v>
      </c>
      <c r="E714" s="105" t="str">
        <f>IFERROR(VLOOKUP(C714,Start!C$15:D$31,2,FALSE),"No")</f>
        <v>No</v>
      </c>
      <c r="F714" s="105">
        <f t="shared" si="205"/>
        <v>0</v>
      </c>
      <c r="G714" s="106"/>
      <c r="H714" s="106"/>
      <c r="I714" s="106"/>
      <c r="J714" s="105">
        <f t="shared" si="215"/>
        <v>0</v>
      </c>
      <c r="K714" s="106"/>
      <c r="L714" s="177" t="str">
        <f t="shared" si="216"/>
        <v/>
      </c>
      <c r="M714" s="105">
        <f t="shared" si="217"/>
        <v>0</v>
      </c>
      <c r="N714" s="110"/>
      <c r="O714" s="124"/>
      <c r="P714" s="110"/>
      <c r="Q714" s="124"/>
      <c r="R714" s="111">
        <f>SUMIFS('Shipments data'!L:L,'Shipments data'!F:F,'Supply planning data'!C714,'Shipments data'!A:A,'Supply planning data'!A714,'Shipments data'!Y:Y,'Supply planning data'!D714,'Shipments data'!O:O,"received", 'Shipments data'!N:N, "Public")</f>
        <v>0</v>
      </c>
      <c r="S714" s="111">
        <f>SUMIFS('Shipments data'!L:L,'Shipments data'!F:F,'Supply planning data'!C714,'Shipments data'!A:A,'Supply planning data'!A714,'Shipments data'!Y:Y,'Supply planning data'!D714,'Shipments data'!O:O,"ordered", 'Shipments data'!N:N, "Public")</f>
        <v>0</v>
      </c>
      <c r="T714" s="111">
        <f>IF(SUMIFS('Shipments data'!L:L,'Shipments data'!F:F,'Supply planning data'!C714,'Shipments data'!A:A,'Supply planning data'!A714,'Shipments data'!O:O,"received",'Shipments data'!Q:Q,"&lt;"&amp;'Supply planning data'!D729,'Shipments data'!AC:AC,"&lt;"&amp;'Supply planning data'!D729)-SUMIFS(M:M,D:D,"&lt;="&amp;D714,C:C,C714)+SUMIFS(N:N,D:D,"&lt;="&amp;D714,C:C,C714)+SUMIFS(P:P,D:D,"&lt;="&amp;D714,C:C,C714)&lt;0,0,SUMIFS('Shipments data'!L:L,'Shipments data'!F:F,'Supply planning data'!C714,'Shipments data'!A:A,'Supply planning data'!A714,'Shipments data'!O:O,"received",'Shipments data'!Q:Q,"&lt;"&amp;'Supply planning data'!D729,'Shipments data'!AC:AC,"&lt;"&amp;'Supply planning data'!D729)-SUMIFS(M:M,D:D,"&lt;="&amp;D714,C:C,C714)+SUMIFS(N:N,D:D,"&lt;="&amp;D714,C:C,C714)+SUMIFS(P:P,D:D,"&lt;="&amp;D714,C:C,C714))</f>
        <v>0</v>
      </c>
      <c r="U714" s="112">
        <f t="shared" si="206"/>
        <v>0</v>
      </c>
      <c r="V714" s="111">
        <f t="shared" si="214"/>
        <v>0</v>
      </c>
      <c r="W714" s="204" t="str">
        <f t="shared" si="212"/>
        <v/>
      </c>
      <c r="X714" s="111">
        <f t="shared" si="207"/>
        <v>0</v>
      </c>
      <c r="Y714" s="110"/>
      <c r="Z714" s="107"/>
      <c r="AA714" s="111">
        <f t="shared" si="218"/>
        <v>0</v>
      </c>
      <c r="AB714" s="235"/>
      <c r="AC714" s="111">
        <f>IF(SUMIFS('Shipments data'!L:L,'Shipments data'!F:F,'Supply planning data'!C714,'Shipments data'!A:A,'Supply planning data'!A714,'Shipments data'!O:O,"received",'Shipments data'!Q:Q,"&lt;"&amp;'Supply planning data'!D729,'Shipments data'!AC:AC,"&lt;"&amp;'Supply planning data'!D729)-SUMIFS(M:M,D:D,"&lt;="&amp;D714,C:C,C714)-SUMIFS(AA:AA,D:D,"&lt;="&amp;D714,C:C,C714)+SUMIFS(N:N,D:D,"&lt;="&amp;D714,C:C,C714)+SUMIFS(P:P,D:D,"&lt;="&amp;D714,C:C,C714)&lt;0,0,SUMIFS('Shipments data'!L:L,'Shipments data'!F:F,'Supply planning data'!C714,'Shipments data'!A:A,'Supply planning data'!A714,'Shipments data'!O:O,"received",'Shipments data'!Q:Q,"&lt;"&amp;'Supply planning data'!D729,'Shipments data'!AC:AC,"&lt;"&amp;'Supply planning data'!D729)-SUMIFS(M:M,D:D,"&lt;="&amp;D714,C:C,C714)-SUMIFS(AA:AA,D:D,"&lt;="&amp;D714,C:C,C714)+SUMIFS(N:N,D:D,"&lt;="&amp;D714,C:C,C714)+SUMIFS(P:P,D:D,"&lt;="&amp;D714,C:C,C714))</f>
        <v>0</v>
      </c>
      <c r="AD714" s="111">
        <f t="shared" si="208"/>
        <v>0</v>
      </c>
      <c r="AE714" s="111">
        <f t="shared" si="220"/>
        <v>0</v>
      </c>
      <c r="AF714" s="204" t="str">
        <f t="shared" si="211"/>
        <v/>
      </c>
      <c r="AG714" s="111">
        <f t="shared" si="209"/>
        <v>0</v>
      </c>
      <c r="AH714" s="110"/>
      <c r="AI714" s="313"/>
      <c r="AJ714" s="111">
        <f t="shared" si="219"/>
        <v>0</v>
      </c>
      <c r="AK714" s="235"/>
      <c r="AL714" s="111">
        <f>IF(SUMIFS('Shipments data'!L:L,'Shipments data'!F:F,'Supply planning data'!C714,'Shipments data'!A:A,'Supply planning data'!A714,'Shipments data'!O:O,"received",'Shipments data'!Q:Q,"&lt;"&amp;'Supply planning data'!D729,'Shipments data'!AC:AC,"&lt;"&amp;'Supply planning data'!D729)-SUMIFS(M:M,D:D,"&lt;="&amp;D714,C:C,C714)-SUMIFS(AJ:AJ,D:D,"&lt;="&amp;D714,C:C,C714)+SUMIFS(N:N,D:D,"&lt;="&amp;D714,C:C,C714)+SUMIFS(P:P,D:D,"&lt;="&amp;D714,C:C,C714)&lt;0,0,SUMIFS('Shipments data'!L:L,'Shipments data'!F:F,'Supply planning data'!C714,'Shipments data'!A:A,'Supply planning data'!A714,'Shipments data'!O:O,"received",'Shipments data'!Q:Q,"&lt;"&amp;'Supply planning data'!D729,'Shipments data'!AC:AC,"&lt;"&amp;'Supply planning data'!D729)-SUMIFS(M:M,D:D,"&lt;="&amp;D714,C:C,C714)-SUMIFS(AJ:AJ,D:D,"&lt;="&amp;D714,C:C,C714)+SUMIFS(N:N,D:D,"&lt;="&amp;D714,C:C,C714)+SUMIFS(P:P,D:D,"&lt;="&amp;D714,C:C,C714))</f>
        <v>0</v>
      </c>
      <c r="AM714" s="111">
        <f t="shared" si="210"/>
        <v>0</v>
      </c>
      <c r="AN714" s="111">
        <f t="shared" si="221"/>
        <v>0</v>
      </c>
      <c r="AO714" s="204" t="str">
        <f t="shared" si="213"/>
        <v/>
      </c>
    </row>
    <row r="715" spans="1:41" hidden="1" x14ac:dyDescent="0.25">
      <c r="A715" s="103" t="str">
        <f>Start!D$7</f>
        <v>Anyland</v>
      </c>
      <c r="B715" s="109" t="str">
        <f>VLOOKUP(A715,list!B:C,2,FALSE)</f>
        <v>ANY</v>
      </c>
      <c r="C715" s="109" t="str">
        <f>IF(Start!$C$22="","",Start!$C$22)</f>
        <v/>
      </c>
      <c r="D715" s="298">
        <f t="shared" si="204"/>
        <v>45627</v>
      </c>
      <c r="E715" s="105" t="str">
        <f>IFERROR(VLOOKUP(C715,Start!C$15:D$31,2,FALSE),"No")</f>
        <v>No</v>
      </c>
      <c r="F715" s="105">
        <f t="shared" si="205"/>
        <v>0</v>
      </c>
      <c r="G715" s="106"/>
      <c r="H715" s="106"/>
      <c r="I715" s="106"/>
      <c r="J715" s="105">
        <f t="shared" si="215"/>
        <v>0</v>
      </c>
      <c r="K715" s="106"/>
      <c r="L715" s="177" t="str">
        <f t="shared" si="216"/>
        <v/>
      </c>
      <c r="M715" s="105">
        <f t="shared" si="217"/>
        <v>0</v>
      </c>
      <c r="N715" s="110"/>
      <c r="O715" s="124"/>
      <c r="P715" s="110"/>
      <c r="Q715" s="124"/>
      <c r="R715" s="111">
        <f>SUMIFS('Shipments data'!L:L,'Shipments data'!F:F,'Supply planning data'!C715,'Shipments data'!A:A,'Supply planning data'!A715,'Shipments data'!Y:Y,'Supply planning data'!D715,'Shipments data'!O:O,"received", 'Shipments data'!N:N, "Public")</f>
        <v>0</v>
      </c>
      <c r="S715" s="111">
        <f>SUMIFS('Shipments data'!L:L,'Shipments data'!F:F,'Supply planning data'!C715,'Shipments data'!A:A,'Supply planning data'!A715,'Shipments data'!Y:Y,'Supply planning data'!D715,'Shipments data'!O:O,"ordered", 'Shipments data'!N:N, "Public")</f>
        <v>0</v>
      </c>
      <c r="T715" s="111">
        <f>IF(SUMIFS('Shipments data'!L:L,'Shipments data'!F:F,'Supply planning data'!C715,'Shipments data'!A:A,'Supply planning data'!A715,'Shipments data'!O:O,"received",'Shipments data'!Q:Q,"&lt;"&amp;'Supply planning data'!D730,'Shipments data'!AC:AC,"&lt;"&amp;'Supply planning data'!D730)-SUMIFS(M:M,D:D,"&lt;="&amp;D715,C:C,C715)+SUMIFS(N:N,D:D,"&lt;="&amp;D715,C:C,C715)+SUMIFS(P:P,D:D,"&lt;="&amp;D715,C:C,C715)&lt;0,0,SUMIFS('Shipments data'!L:L,'Shipments data'!F:F,'Supply planning data'!C715,'Shipments data'!A:A,'Supply planning data'!A715,'Shipments data'!O:O,"received",'Shipments data'!Q:Q,"&lt;"&amp;'Supply planning data'!D730,'Shipments data'!AC:AC,"&lt;"&amp;'Supply planning data'!D730)-SUMIFS(M:M,D:D,"&lt;="&amp;D715,C:C,C715)+SUMIFS(N:N,D:D,"&lt;="&amp;D715,C:C,C715)+SUMIFS(P:P,D:D,"&lt;="&amp;D715,C:C,C715))</f>
        <v>0</v>
      </c>
      <c r="U715" s="112">
        <f t="shared" si="206"/>
        <v>0</v>
      </c>
      <c r="V715" s="111">
        <f t="shared" si="214"/>
        <v>0</v>
      </c>
      <c r="W715" s="204" t="str">
        <f t="shared" si="212"/>
        <v/>
      </c>
      <c r="X715" s="111">
        <f t="shared" si="207"/>
        <v>0</v>
      </c>
      <c r="Y715" s="110"/>
      <c r="Z715" s="107"/>
      <c r="AA715" s="111">
        <f t="shared" si="218"/>
        <v>0</v>
      </c>
      <c r="AB715" s="235"/>
      <c r="AC715" s="111">
        <f>IF(SUMIFS('Shipments data'!L:L,'Shipments data'!F:F,'Supply planning data'!C715,'Shipments data'!A:A,'Supply planning data'!A715,'Shipments data'!O:O,"received",'Shipments data'!Q:Q,"&lt;"&amp;'Supply planning data'!D730,'Shipments data'!AC:AC,"&lt;"&amp;'Supply planning data'!D730)-SUMIFS(M:M,D:D,"&lt;="&amp;D715,C:C,C715)-SUMIFS(AA:AA,D:D,"&lt;="&amp;D715,C:C,C715)+SUMIFS(N:N,D:D,"&lt;="&amp;D715,C:C,C715)+SUMIFS(P:P,D:D,"&lt;="&amp;D715,C:C,C715)&lt;0,0,SUMIFS('Shipments data'!L:L,'Shipments data'!F:F,'Supply planning data'!C715,'Shipments data'!A:A,'Supply planning data'!A715,'Shipments data'!O:O,"received",'Shipments data'!Q:Q,"&lt;"&amp;'Supply planning data'!D730,'Shipments data'!AC:AC,"&lt;"&amp;'Supply planning data'!D730)-SUMIFS(M:M,D:D,"&lt;="&amp;D715,C:C,C715)-SUMIFS(AA:AA,D:D,"&lt;="&amp;D715,C:C,C715)+SUMIFS(N:N,D:D,"&lt;="&amp;D715,C:C,C715)+SUMIFS(P:P,D:D,"&lt;="&amp;D715,C:C,C715))</f>
        <v>0</v>
      </c>
      <c r="AD715" s="111">
        <f t="shared" si="208"/>
        <v>0</v>
      </c>
      <c r="AE715" s="111">
        <f t="shared" si="220"/>
        <v>0</v>
      </c>
      <c r="AF715" s="204" t="str">
        <f t="shared" si="211"/>
        <v/>
      </c>
      <c r="AG715" s="111">
        <f t="shared" si="209"/>
        <v>0</v>
      </c>
      <c r="AH715" s="110"/>
      <c r="AI715" s="313"/>
      <c r="AJ715" s="111">
        <f t="shared" si="219"/>
        <v>0</v>
      </c>
      <c r="AK715" s="235"/>
      <c r="AL715" s="111">
        <f>IF(SUMIFS('Shipments data'!L:L,'Shipments data'!F:F,'Supply planning data'!C715,'Shipments data'!A:A,'Supply planning data'!A715,'Shipments data'!O:O,"received",'Shipments data'!Q:Q,"&lt;"&amp;'Supply planning data'!D730,'Shipments data'!AC:AC,"&lt;"&amp;'Supply planning data'!D730)-SUMIFS(M:M,D:D,"&lt;="&amp;D715,C:C,C715)-SUMIFS(AJ:AJ,D:D,"&lt;="&amp;D715,C:C,C715)+SUMIFS(N:N,D:D,"&lt;="&amp;D715,C:C,C715)+SUMIFS(P:P,D:D,"&lt;="&amp;D715,C:C,C715)&lt;0,0,SUMIFS('Shipments data'!L:L,'Shipments data'!F:F,'Supply planning data'!C715,'Shipments data'!A:A,'Supply planning data'!A715,'Shipments data'!O:O,"received",'Shipments data'!Q:Q,"&lt;"&amp;'Supply planning data'!D730,'Shipments data'!AC:AC,"&lt;"&amp;'Supply planning data'!D730)-SUMIFS(M:M,D:D,"&lt;="&amp;D715,C:C,C715)-SUMIFS(AJ:AJ,D:D,"&lt;="&amp;D715,C:C,C715)+SUMIFS(N:N,D:D,"&lt;="&amp;D715,C:C,C715)+SUMIFS(P:P,D:D,"&lt;="&amp;D715,C:C,C715))</f>
        <v>0</v>
      </c>
      <c r="AM715" s="111">
        <f t="shared" si="210"/>
        <v>0</v>
      </c>
      <c r="AN715" s="111">
        <f t="shared" si="221"/>
        <v>0</v>
      </c>
      <c r="AO715" s="204" t="str">
        <f t="shared" si="213"/>
        <v/>
      </c>
    </row>
    <row r="716" spans="1:41" hidden="1" x14ac:dyDescent="0.25">
      <c r="A716" s="103" t="str">
        <f>Start!D$7</f>
        <v>Anyland</v>
      </c>
      <c r="B716" s="109" t="str">
        <f>VLOOKUP(A716,list!B:C,2,FALSE)</f>
        <v>ANY</v>
      </c>
      <c r="C716" s="104" t="str">
        <f>IF(Start!$C$23="","",Start!$C$23)</f>
        <v/>
      </c>
      <c r="D716" s="298">
        <f t="shared" si="204"/>
        <v>45627</v>
      </c>
      <c r="E716" s="105" t="str">
        <f>IFERROR(VLOOKUP(C716,Start!C$15:D$31,2,FALSE),"No")</f>
        <v>No</v>
      </c>
      <c r="F716" s="105">
        <f t="shared" si="205"/>
        <v>0</v>
      </c>
      <c r="G716" s="106"/>
      <c r="H716" s="106"/>
      <c r="I716" s="106"/>
      <c r="J716" s="105">
        <f t="shared" si="215"/>
        <v>0</v>
      </c>
      <c r="K716" s="106"/>
      <c r="L716" s="177" t="str">
        <f t="shared" si="216"/>
        <v/>
      </c>
      <c r="M716" s="105">
        <f t="shared" si="217"/>
        <v>0</v>
      </c>
      <c r="N716" s="110"/>
      <c r="O716" s="124"/>
      <c r="P716" s="110"/>
      <c r="Q716" s="124"/>
      <c r="R716" s="111">
        <f>SUMIFS('Shipments data'!L:L,'Shipments data'!F:F,'Supply planning data'!C716,'Shipments data'!A:A,'Supply planning data'!A716,'Shipments data'!Y:Y,'Supply planning data'!D716,'Shipments data'!O:O,"received", 'Shipments data'!N:N, "Public")</f>
        <v>0</v>
      </c>
      <c r="S716" s="111">
        <f>SUMIFS('Shipments data'!L:L,'Shipments data'!F:F,'Supply planning data'!C716,'Shipments data'!A:A,'Supply planning data'!A716,'Shipments data'!Y:Y,'Supply planning data'!D716,'Shipments data'!O:O,"ordered", 'Shipments data'!N:N, "Public")</f>
        <v>0</v>
      </c>
      <c r="T716" s="111">
        <f>IF(SUMIFS('Shipments data'!L:L,'Shipments data'!F:F,'Supply planning data'!C716,'Shipments data'!A:A,'Supply planning data'!A716,'Shipments data'!O:O,"received",'Shipments data'!Q:Q,"&lt;"&amp;'Supply planning data'!D731,'Shipments data'!AC:AC,"&lt;"&amp;'Supply planning data'!D731)-SUMIFS(M:M,D:D,"&lt;="&amp;D716,C:C,C716)+SUMIFS(N:N,D:D,"&lt;="&amp;D716,C:C,C716)+SUMIFS(P:P,D:D,"&lt;="&amp;D716,C:C,C716)&lt;0,0,SUMIFS('Shipments data'!L:L,'Shipments data'!F:F,'Supply planning data'!C716,'Shipments data'!A:A,'Supply planning data'!A716,'Shipments data'!O:O,"received",'Shipments data'!Q:Q,"&lt;"&amp;'Supply planning data'!D731,'Shipments data'!AC:AC,"&lt;"&amp;'Supply planning data'!D731)-SUMIFS(M:M,D:D,"&lt;="&amp;D716,C:C,C716)+SUMIFS(N:N,D:D,"&lt;="&amp;D716,C:C,C716)+SUMIFS(P:P,D:D,"&lt;="&amp;D716,C:C,C716))</f>
        <v>0</v>
      </c>
      <c r="U716" s="112">
        <f t="shared" si="206"/>
        <v>0</v>
      </c>
      <c r="V716" s="111">
        <f t="shared" si="214"/>
        <v>0</v>
      </c>
      <c r="W716" s="204" t="str">
        <f t="shared" si="212"/>
        <v/>
      </c>
      <c r="X716" s="111">
        <f t="shared" si="207"/>
        <v>0</v>
      </c>
      <c r="Y716" s="110"/>
      <c r="Z716" s="107"/>
      <c r="AA716" s="111">
        <f t="shared" si="218"/>
        <v>0</v>
      </c>
      <c r="AB716" s="235"/>
      <c r="AC716" s="111">
        <f>IF(SUMIFS('Shipments data'!L:L,'Shipments data'!F:F,'Supply planning data'!C716,'Shipments data'!A:A,'Supply planning data'!A716,'Shipments data'!O:O,"received",'Shipments data'!Q:Q,"&lt;"&amp;'Supply planning data'!D731,'Shipments data'!AC:AC,"&lt;"&amp;'Supply planning data'!D731)-SUMIFS(M:M,D:D,"&lt;="&amp;D716,C:C,C716)-SUMIFS(AA:AA,D:D,"&lt;="&amp;D716,C:C,C716)+SUMIFS(N:N,D:D,"&lt;="&amp;D716,C:C,C716)+SUMIFS(P:P,D:D,"&lt;="&amp;D716,C:C,C716)&lt;0,0,SUMIFS('Shipments data'!L:L,'Shipments data'!F:F,'Supply planning data'!C716,'Shipments data'!A:A,'Supply planning data'!A716,'Shipments data'!O:O,"received",'Shipments data'!Q:Q,"&lt;"&amp;'Supply planning data'!D731,'Shipments data'!AC:AC,"&lt;"&amp;'Supply planning data'!D731)-SUMIFS(M:M,D:D,"&lt;="&amp;D716,C:C,C716)-SUMIFS(AA:AA,D:D,"&lt;="&amp;D716,C:C,C716)+SUMIFS(N:N,D:D,"&lt;="&amp;D716,C:C,C716)+SUMIFS(P:P,D:D,"&lt;="&amp;D716,C:C,C716))</f>
        <v>0</v>
      </c>
      <c r="AD716" s="111">
        <f t="shared" si="208"/>
        <v>0</v>
      </c>
      <c r="AE716" s="111">
        <f t="shared" si="220"/>
        <v>0</v>
      </c>
      <c r="AF716" s="204" t="str">
        <f t="shared" si="211"/>
        <v/>
      </c>
      <c r="AG716" s="111">
        <f t="shared" si="209"/>
        <v>0</v>
      </c>
      <c r="AH716" s="110"/>
      <c r="AI716" s="313"/>
      <c r="AJ716" s="111">
        <f t="shared" si="219"/>
        <v>0</v>
      </c>
      <c r="AK716" s="235"/>
      <c r="AL716" s="111">
        <f>IF(SUMIFS('Shipments data'!L:L,'Shipments data'!F:F,'Supply planning data'!C716,'Shipments data'!A:A,'Supply planning data'!A716,'Shipments data'!O:O,"received",'Shipments data'!Q:Q,"&lt;"&amp;'Supply planning data'!D731,'Shipments data'!AC:AC,"&lt;"&amp;'Supply planning data'!D731)-SUMIFS(M:M,D:D,"&lt;="&amp;D716,C:C,C716)-SUMIFS(AJ:AJ,D:D,"&lt;="&amp;D716,C:C,C716)+SUMIFS(N:N,D:D,"&lt;="&amp;D716,C:C,C716)+SUMIFS(P:P,D:D,"&lt;="&amp;D716,C:C,C716)&lt;0,0,SUMIFS('Shipments data'!L:L,'Shipments data'!F:F,'Supply planning data'!C716,'Shipments data'!A:A,'Supply planning data'!A716,'Shipments data'!O:O,"received",'Shipments data'!Q:Q,"&lt;"&amp;'Supply planning data'!D731,'Shipments data'!AC:AC,"&lt;"&amp;'Supply planning data'!D731)-SUMIFS(M:M,D:D,"&lt;="&amp;D716,C:C,C716)-SUMIFS(AJ:AJ,D:D,"&lt;="&amp;D716,C:C,C716)+SUMIFS(N:N,D:D,"&lt;="&amp;D716,C:C,C716)+SUMIFS(P:P,D:D,"&lt;="&amp;D716,C:C,C716))</f>
        <v>0</v>
      </c>
      <c r="AM716" s="111">
        <f t="shared" si="210"/>
        <v>0</v>
      </c>
      <c r="AN716" s="111">
        <f t="shared" si="221"/>
        <v>0</v>
      </c>
      <c r="AO716" s="204" t="str">
        <f t="shared" si="213"/>
        <v/>
      </c>
    </row>
    <row r="717" spans="1:41" hidden="1" x14ac:dyDescent="0.25">
      <c r="A717" s="103" t="str">
        <f>Start!D$7</f>
        <v>Anyland</v>
      </c>
      <c r="B717" s="109" t="str">
        <f>VLOOKUP(A717,list!B:C,2,FALSE)</f>
        <v>ANY</v>
      </c>
      <c r="C717" s="109" t="str">
        <f>IF(Start!$C$24="","",Start!$C$24)</f>
        <v/>
      </c>
      <c r="D717" s="298">
        <f t="shared" si="204"/>
        <v>45627</v>
      </c>
      <c r="E717" s="105" t="str">
        <f>IFERROR(VLOOKUP(C717,Start!C$15:D$31,2,FALSE),"No")</f>
        <v>No</v>
      </c>
      <c r="F717" s="105">
        <f t="shared" si="205"/>
        <v>0</v>
      </c>
      <c r="G717" s="106"/>
      <c r="H717" s="106"/>
      <c r="I717" s="106"/>
      <c r="J717" s="105">
        <f t="shared" si="215"/>
        <v>0</v>
      </c>
      <c r="K717" s="106"/>
      <c r="L717" s="177" t="str">
        <f t="shared" si="216"/>
        <v/>
      </c>
      <c r="M717" s="105">
        <f t="shared" si="217"/>
        <v>0</v>
      </c>
      <c r="N717" s="110"/>
      <c r="O717" s="124"/>
      <c r="P717" s="110"/>
      <c r="Q717" s="124"/>
      <c r="R717" s="111">
        <f>SUMIFS('Shipments data'!L:L,'Shipments data'!F:F,'Supply planning data'!C717,'Shipments data'!A:A,'Supply planning data'!A717,'Shipments data'!Y:Y,'Supply planning data'!D717,'Shipments data'!O:O,"received", 'Shipments data'!N:N, "Public")</f>
        <v>0</v>
      </c>
      <c r="S717" s="111">
        <f>SUMIFS('Shipments data'!L:L,'Shipments data'!F:F,'Supply planning data'!C717,'Shipments data'!A:A,'Supply planning data'!A717,'Shipments data'!Y:Y,'Supply planning data'!D717,'Shipments data'!O:O,"ordered", 'Shipments data'!N:N, "Public")</f>
        <v>0</v>
      </c>
      <c r="T717" s="111">
        <f>IF(SUMIFS('Shipments data'!L:L,'Shipments data'!F:F,'Supply planning data'!C717,'Shipments data'!A:A,'Supply planning data'!A717,'Shipments data'!O:O,"received",'Shipments data'!Q:Q,"&lt;"&amp;'Supply planning data'!D732,'Shipments data'!AC:AC,"&lt;"&amp;'Supply planning data'!D732)-SUMIFS(M:M,D:D,"&lt;="&amp;D717,C:C,C717)+SUMIFS(N:N,D:D,"&lt;="&amp;D717,C:C,C717)+SUMIFS(P:P,D:D,"&lt;="&amp;D717,C:C,C717)&lt;0,0,SUMIFS('Shipments data'!L:L,'Shipments data'!F:F,'Supply planning data'!C717,'Shipments data'!A:A,'Supply planning data'!A717,'Shipments data'!O:O,"received",'Shipments data'!Q:Q,"&lt;"&amp;'Supply planning data'!D732,'Shipments data'!AC:AC,"&lt;"&amp;'Supply planning data'!D732)-SUMIFS(M:M,D:D,"&lt;="&amp;D717,C:C,C717)+SUMIFS(N:N,D:D,"&lt;="&amp;D717,C:C,C717)+SUMIFS(P:P,D:D,"&lt;="&amp;D717,C:C,C717))</f>
        <v>0</v>
      </c>
      <c r="U717" s="112">
        <f t="shared" si="206"/>
        <v>0</v>
      </c>
      <c r="V717" s="111">
        <f t="shared" si="214"/>
        <v>0</v>
      </c>
      <c r="W717" s="204" t="str">
        <f t="shared" si="212"/>
        <v/>
      </c>
      <c r="X717" s="111">
        <f t="shared" si="207"/>
        <v>0</v>
      </c>
      <c r="Y717" s="110"/>
      <c r="Z717" s="107"/>
      <c r="AA717" s="111">
        <f t="shared" si="218"/>
        <v>0</v>
      </c>
      <c r="AB717" s="235"/>
      <c r="AC717" s="111">
        <f>IF(SUMIFS('Shipments data'!L:L,'Shipments data'!F:F,'Supply planning data'!C717,'Shipments data'!A:A,'Supply planning data'!A717,'Shipments data'!O:O,"received",'Shipments data'!Q:Q,"&lt;"&amp;'Supply planning data'!D732,'Shipments data'!AC:AC,"&lt;"&amp;'Supply planning data'!D732)-SUMIFS(M:M,D:D,"&lt;="&amp;D717,C:C,C717)-SUMIFS(AA:AA,D:D,"&lt;="&amp;D717,C:C,C717)+SUMIFS(N:N,D:D,"&lt;="&amp;D717,C:C,C717)+SUMIFS(P:P,D:D,"&lt;="&amp;D717,C:C,C717)&lt;0,0,SUMIFS('Shipments data'!L:L,'Shipments data'!F:F,'Supply planning data'!C717,'Shipments data'!A:A,'Supply planning data'!A717,'Shipments data'!O:O,"received",'Shipments data'!Q:Q,"&lt;"&amp;'Supply planning data'!D732,'Shipments data'!AC:AC,"&lt;"&amp;'Supply planning data'!D732)-SUMIFS(M:M,D:D,"&lt;="&amp;D717,C:C,C717)-SUMIFS(AA:AA,D:D,"&lt;="&amp;D717,C:C,C717)+SUMIFS(N:N,D:D,"&lt;="&amp;D717,C:C,C717)+SUMIFS(P:P,D:D,"&lt;="&amp;D717,C:C,C717))</f>
        <v>0</v>
      </c>
      <c r="AD717" s="111">
        <f t="shared" si="208"/>
        <v>0</v>
      </c>
      <c r="AE717" s="111">
        <f t="shared" si="220"/>
        <v>0</v>
      </c>
      <c r="AF717" s="204" t="str">
        <f t="shared" si="211"/>
        <v/>
      </c>
      <c r="AG717" s="111">
        <f t="shared" si="209"/>
        <v>0</v>
      </c>
      <c r="AH717" s="110"/>
      <c r="AI717" s="313"/>
      <c r="AJ717" s="111">
        <f t="shared" si="219"/>
        <v>0</v>
      </c>
      <c r="AK717" s="235"/>
      <c r="AL717" s="111">
        <f>IF(SUMIFS('Shipments data'!L:L,'Shipments data'!F:F,'Supply planning data'!C717,'Shipments data'!A:A,'Supply planning data'!A717,'Shipments data'!O:O,"received",'Shipments data'!Q:Q,"&lt;"&amp;'Supply planning data'!D732,'Shipments data'!AC:AC,"&lt;"&amp;'Supply planning data'!D732)-SUMIFS(M:M,D:D,"&lt;="&amp;D717,C:C,C717)-SUMIFS(AJ:AJ,D:D,"&lt;="&amp;D717,C:C,C717)+SUMIFS(N:N,D:D,"&lt;="&amp;D717,C:C,C717)+SUMIFS(P:P,D:D,"&lt;="&amp;D717,C:C,C717)&lt;0,0,SUMIFS('Shipments data'!L:L,'Shipments data'!F:F,'Supply planning data'!C717,'Shipments data'!A:A,'Supply planning data'!A717,'Shipments data'!O:O,"received",'Shipments data'!Q:Q,"&lt;"&amp;'Supply planning data'!D732,'Shipments data'!AC:AC,"&lt;"&amp;'Supply planning data'!D732)-SUMIFS(M:M,D:D,"&lt;="&amp;D717,C:C,C717)-SUMIFS(AJ:AJ,D:D,"&lt;="&amp;D717,C:C,C717)+SUMIFS(N:N,D:D,"&lt;="&amp;D717,C:C,C717)+SUMIFS(P:P,D:D,"&lt;="&amp;D717,C:C,C717))</f>
        <v>0</v>
      </c>
      <c r="AM717" s="111">
        <f t="shared" si="210"/>
        <v>0</v>
      </c>
      <c r="AN717" s="111">
        <f t="shared" si="221"/>
        <v>0</v>
      </c>
      <c r="AO717" s="204" t="str">
        <f t="shared" si="213"/>
        <v/>
      </c>
    </row>
    <row r="718" spans="1:41" hidden="1" x14ac:dyDescent="0.25">
      <c r="A718" s="103" t="str">
        <f>Start!D$7</f>
        <v>Anyland</v>
      </c>
      <c r="B718" s="109" t="str">
        <f>VLOOKUP(A718,list!B:C,2,FALSE)</f>
        <v>ANY</v>
      </c>
      <c r="C718" s="104" t="str">
        <f>IF(Start!$C$25="","",Start!$C$25)</f>
        <v/>
      </c>
      <c r="D718" s="298">
        <f t="shared" si="204"/>
        <v>45627</v>
      </c>
      <c r="E718" s="105" t="str">
        <f>IFERROR(VLOOKUP(C718,Start!C$15:D$31,2,FALSE),"No")</f>
        <v>No</v>
      </c>
      <c r="F718" s="105">
        <f t="shared" si="205"/>
        <v>0</v>
      </c>
      <c r="G718" s="106"/>
      <c r="H718" s="106"/>
      <c r="I718" s="106"/>
      <c r="J718" s="105">
        <f t="shared" si="215"/>
        <v>0</v>
      </c>
      <c r="K718" s="106"/>
      <c r="L718" s="177" t="str">
        <f t="shared" si="216"/>
        <v/>
      </c>
      <c r="M718" s="105">
        <f t="shared" si="217"/>
        <v>0</v>
      </c>
      <c r="N718" s="110"/>
      <c r="O718" s="124"/>
      <c r="P718" s="110"/>
      <c r="Q718" s="124"/>
      <c r="R718" s="111">
        <f>SUMIFS('Shipments data'!L:L,'Shipments data'!F:F,'Supply planning data'!C718,'Shipments data'!A:A,'Supply planning data'!A718,'Shipments data'!Y:Y,'Supply planning data'!D718,'Shipments data'!O:O,"received", 'Shipments data'!N:N, "Public")</f>
        <v>0</v>
      </c>
      <c r="S718" s="111">
        <f>SUMIFS('Shipments data'!L:L,'Shipments data'!F:F,'Supply planning data'!C718,'Shipments data'!A:A,'Supply planning data'!A718,'Shipments data'!Y:Y,'Supply planning data'!D718,'Shipments data'!O:O,"ordered", 'Shipments data'!N:N, "Public")</f>
        <v>0</v>
      </c>
      <c r="T718" s="111">
        <f>IF(SUMIFS('Shipments data'!L:L,'Shipments data'!F:F,'Supply planning data'!C718,'Shipments data'!A:A,'Supply planning data'!A718,'Shipments data'!O:O,"received",'Shipments data'!Q:Q,"&lt;"&amp;'Supply planning data'!D733,'Shipments data'!AC:AC,"&lt;"&amp;'Supply planning data'!D733)-SUMIFS(M:M,D:D,"&lt;="&amp;D718,C:C,C718)+SUMIFS(N:N,D:D,"&lt;="&amp;D718,C:C,C718)+SUMIFS(P:P,D:D,"&lt;="&amp;D718,C:C,C718)&lt;0,0,SUMIFS('Shipments data'!L:L,'Shipments data'!F:F,'Supply planning data'!C718,'Shipments data'!A:A,'Supply planning data'!A718,'Shipments data'!O:O,"received",'Shipments data'!Q:Q,"&lt;"&amp;'Supply planning data'!D733,'Shipments data'!AC:AC,"&lt;"&amp;'Supply planning data'!D733)-SUMIFS(M:M,D:D,"&lt;="&amp;D718,C:C,C718)+SUMIFS(N:N,D:D,"&lt;="&amp;D718,C:C,C718)+SUMIFS(P:P,D:D,"&lt;="&amp;D718,C:C,C718))</f>
        <v>0</v>
      </c>
      <c r="U718" s="112">
        <f t="shared" si="206"/>
        <v>0</v>
      </c>
      <c r="V718" s="111">
        <f t="shared" si="214"/>
        <v>0</v>
      </c>
      <c r="W718" s="204" t="str">
        <f t="shared" si="212"/>
        <v/>
      </c>
      <c r="X718" s="111">
        <f t="shared" si="207"/>
        <v>0</v>
      </c>
      <c r="Y718" s="110"/>
      <c r="Z718" s="107"/>
      <c r="AA718" s="111">
        <f t="shared" si="218"/>
        <v>0</v>
      </c>
      <c r="AB718" s="235"/>
      <c r="AC718" s="111">
        <f>IF(SUMIFS('Shipments data'!L:L,'Shipments data'!F:F,'Supply planning data'!C718,'Shipments data'!A:A,'Supply planning data'!A718,'Shipments data'!O:O,"received",'Shipments data'!Q:Q,"&lt;"&amp;'Supply planning data'!D733,'Shipments data'!AC:AC,"&lt;"&amp;'Supply planning data'!D733)-SUMIFS(M:M,D:D,"&lt;="&amp;D718,C:C,C718)-SUMIFS(AA:AA,D:D,"&lt;="&amp;D718,C:C,C718)+SUMIFS(N:N,D:D,"&lt;="&amp;D718,C:C,C718)+SUMIFS(P:P,D:D,"&lt;="&amp;D718,C:C,C718)&lt;0,0,SUMIFS('Shipments data'!L:L,'Shipments data'!F:F,'Supply planning data'!C718,'Shipments data'!A:A,'Supply planning data'!A718,'Shipments data'!O:O,"received",'Shipments data'!Q:Q,"&lt;"&amp;'Supply planning data'!D733,'Shipments data'!AC:AC,"&lt;"&amp;'Supply planning data'!D733)-SUMIFS(M:M,D:D,"&lt;="&amp;D718,C:C,C718)-SUMIFS(AA:AA,D:D,"&lt;="&amp;D718,C:C,C718)+SUMIFS(N:N,D:D,"&lt;="&amp;D718,C:C,C718)+SUMIFS(P:P,D:D,"&lt;="&amp;D718,C:C,C718))</f>
        <v>0</v>
      </c>
      <c r="AD718" s="111">
        <f t="shared" si="208"/>
        <v>0</v>
      </c>
      <c r="AE718" s="111">
        <f t="shared" si="220"/>
        <v>0</v>
      </c>
      <c r="AF718" s="204" t="str">
        <f t="shared" si="211"/>
        <v/>
      </c>
      <c r="AG718" s="111">
        <f t="shared" si="209"/>
        <v>0</v>
      </c>
      <c r="AH718" s="110"/>
      <c r="AI718" s="313"/>
      <c r="AJ718" s="111">
        <f t="shared" si="219"/>
        <v>0</v>
      </c>
      <c r="AK718" s="235"/>
      <c r="AL718" s="111">
        <f>IF(SUMIFS('Shipments data'!L:L,'Shipments data'!F:F,'Supply planning data'!C718,'Shipments data'!A:A,'Supply planning data'!A718,'Shipments data'!O:O,"received",'Shipments data'!Q:Q,"&lt;"&amp;'Supply planning data'!D733,'Shipments data'!AC:AC,"&lt;"&amp;'Supply planning data'!D733)-SUMIFS(M:M,D:D,"&lt;="&amp;D718,C:C,C718)-SUMIFS(AJ:AJ,D:D,"&lt;="&amp;D718,C:C,C718)+SUMIFS(N:N,D:D,"&lt;="&amp;D718,C:C,C718)+SUMIFS(P:P,D:D,"&lt;="&amp;D718,C:C,C718)&lt;0,0,SUMIFS('Shipments data'!L:L,'Shipments data'!F:F,'Supply planning data'!C718,'Shipments data'!A:A,'Supply planning data'!A718,'Shipments data'!O:O,"received",'Shipments data'!Q:Q,"&lt;"&amp;'Supply planning data'!D733,'Shipments data'!AC:AC,"&lt;"&amp;'Supply planning data'!D733)-SUMIFS(M:M,D:D,"&lt;="&amp;D718,C:C,C718)-SUMIFS(AJ:AJ,D:D,"&lt;="&amp;D718,C:C,C718)+SUMIFS(N:N,D:D,"&lt;="&amp;D718,C:C,C718)+SUMIFS(P:P,D:D,"&lt;="&amp;D718,C:C,C718))</f>
        <v>0</v>
      </c>
      <c r="AM718" s="111">
        <f t="shared" si="210"/>
        <v>0</v>
      </c>
      <c r="AN718" s="111">
        <f t="shared" si="221"/>
        <v>0</v>
      </c>
      <c r="AO718" s="204" t="str">
        <f t="shared" si="213"/>
        <v/>
      </c>
    </row>
    <row r="719" spans="1:41" hidden="1" x14ac:dyDescent="0.25">
      <c r="A719" s="103" t="str">
        <f>Start!D$7</f>
        <v>Anyland</v>
      </c>
      <c r="B719" s="109" t="str">
        <f>VLOOKUP(A719,list!B:C,2,FALSE)</f>
        <v>ANY</v>
      </c>
      <c r="C719" s="109" t="str">
        <f>IF(Start!$C$26="","",Start!$C$26)</f>
        <v/>
      </c>
      <c r="D719" s="298">
        <f t="shared" si="204"/>
        <v>45627</v>
      </c>
      <c r="E719" s="105" t="str">
        <f>IFERROR(VLOOKUP(C719,Start!C$15:D$31,2,FALSE),"No")</f>
        <v>No</v>
      </c>
      <c r="F719" s="105">
        <f t="shared" si="205"/>
        <v>0</v>
      </c>
      <c r="G719" s="106"/>
      <c r="H719" s="106"/>
      <c r="I719" s="106"/>
      <c r="J719" s="105">
        <f t="shared" si="215"/>
        <v>0</v>
      </c>
      <c r="K719" s="106"/>
      <c r="L719" s="177" t="str">
        <f t="shared" si="216"/>
        <v/>
      </c>
      <c r="M719" s="105">
        <f t="shared" si="217"/>
        <v>0</v>
      </c>
      <c r="N719" s="110"/>
      <c r="O719" s="124"/>
      <c r="P719" s="110"/>
      <c r="Q719" s="124"/>
      <c r="R719" s="111">
        <f>SUMIFS('Shipments data'!L:L,'Shipments data'!F:F,'Supply planning data'!C719,'Shipments data'!A:A,'Supply planning data'!A719,'Shipments data'!Y:Y,'Supply planning data'!D719,'Shipments data'!O:O,"received", 'Shipments data'!N:N, "Public")</f>
        <v>0</v>
      </c>
      <c r="S719" s="111">
        <f>SUMIFS('Shipments data'!L:L,'Shipments data'!F:F,'Supply planning data'!C719,'Shipments data'!A:A,'Supply planning data'!A719,'Shipments data'!Y:Y,'Supply planning data'!D719,'Shipments data'!O:O,"ordered", 'Shipments data'!N:N, "Public")</f>
        <v>0</v>
      </c>
      <c r="T719" s="111">
        <f>IF(SUMIFS('Shipments data'!L:L,'Shipments data'!F:F,'Supply planning data'!C719,'Shipments data'!A:A,'Supply planning data'!A719,'Shipments data'!O:O,"received",'Shipments data'!Q:Q,"&lt;"&amp;'Supply planning data'!D734,'Shipments data'!AC:AC,"&lt;"&amp;'Supply planning data'!D734)-SUMIFS(M:M,D:D,"&lt;="&amp;D719,C:C,C719)+SUMIFS(N:N,D:D,"&lt;="&amp;D719,C:C,C719)+SUMIFS(P:P,D:D,"&lt;="&amp;D719,C:C,C719)&lt;0,0,SUMIFS('Shipments data'!L:L,'Shipments data'!F:F,'Supply planning data'!C719,'Shipments data'!A:A,'Supply planning data'!A719,'Shipments data'!O:O,"received",'Shipments data'!Q:Q,"&lt;"&amp;'Supply planning data'!D734,'Shipments data'!AC:AC,"&lt;"&amp;'Supply planning data'!D734)-SUMIFS(M:M,D:D,"&lt;="&amp;D719,C:C,C719)+SUMIFS(N:N,D:D,"&lt;="&amp;D719,C:C,C719)+SUMIFS(P:P,D:D,"&lt;="&amp;D719,C:C,C719))</f>
        <v>0</v>
      </c>
      <c r="U719" s="112">
        <f t="shared" si="206"/>
        <v>0</v>
      </c>
      <c r="V719" s="111">
        <f t="shared" si="214"/>
        <v>0</v>
      </c>
      <c r="W719" s="204" t="str">
        <f t="shared" si="212"/>
        <v/>
      </c>
      <c r="X719" s="111">
        <f t="shared" si="207"/>
        <v>0</v>
      </c>
      <c r="Y719" s="110"/>
      <c r="Z719" s="107"/>
      <c r="AA719" s="111">
        <f t="shared" si="218"/>
        <v>0</v>
      </c>
      <c r="AB719" s="235"/>
      <c r="AC719" s="111">
        <f>IF(SUMIFS('Shipments data'!L:L,'Shipments data'!F:F,'Supply planning data'!C719,'Shipments data'!A:A,'Supply planning data'!A719,'Shipments data'!O:O,"received",'Shipments data'!Q:Q,"&lt;"&amp;'Supply planning data'!D734,'Shipments data'!AC:AC,"&lt;"&amp;'Supply planning data'!D734)-SUMIFS(M:M,D:D,"&lt;="&amp;D719,C:C,C719)-SUMIFS(AA:AA,D:D,"&lt;="&amp;D719,C:C,C719)+SUMIFS(N:N,D:D,"&lt;="&amp;D719,C:C,C719)+SUMIFS(P:P,D:D,"&lt;="&amp;D719,C:C,C719)&lt;0,0,SUMIFS('Shipments data'!L:L,'Shipments data'!F:F,'Supply planning data'!C719,'Shipments data'!A:A,'Supply planning data'!A719,'Shipments data'!O:O,"received",'Shipments data'!Q:Q,"&lt;"&amp;'Supply planning data'!D734,'Shipments data'!AC:AC,"&lt;"&amp;'Supply planning data'!D734)-SUMIFS(M:M,D:D,"&lt;="&amp;D719,C:C,C719)-SUMIFS(AA:AA,D:D,"&lt;="&amp;D719,C:C,C719)+SUMIFS(N:N,D:D,"&lt;="&amp;D719,C:C,C719)+SUMIFS(P:P,D:D,"&lt;="&amp;D719,C:C,C719))</f>
        <v>0</v>
      </c>
      <c r="AD719" s="111">
        <f t="shared" si="208"/>
        <v>0</v>
      </c>
      <c r="AE719" s="111">
        <f t="shared" si="220"/>
        <v>0</v>
      </c>
      <c r="AF719" s="204" t="str">
        <f t="shared" si="211"/>
        <v/>
      </c>
      <c r="AG719" s="111">
        <f t="shared" si="209"/>
        <v>0</v>
      </c>
      <c r="AH719" s="110"/>
      <c r="AI719" s="313"/>
      <c r="AJ719" s="111">
        <f t="shared" si="219"/>
        <v>0</v>
      </c>
      <c r="AK719" s="235"/>
      <c r="AL719" s="111">
        <f>IF(SUMIFS('Shipments data'!L:L,'Shipments data'!F:F,'Supply planning data'!C719,'Shipments data'!A:A,'Supply planning data'!A719,'Shipments data'!O:O,"received",'Shipments data'!Q:Q,"&lt;"&amp;'Supply planning data'!D734,'Shipments data'!AC:AC,"&lt;"&amp;'Supply planning data'!D734)-SUMIFS(M:M,D:D,"&lt;="&amp;D719,C:C,C719)-SUMIFS(AJ:AJ,D:D,"&lt;="&amp;D719,C:C,C719)+SUMIFS(N:N,D:D,"&lt;="&amp;D719,C:C,C719)+SUMIFS(P:P,D:D,"&lt;="&amp;D719,C:C,C719)&lt;0,0,SUMIFS('Shipments data'!L:L,'Shipments data'!F:F,'Supply planning data'!C719,'Shipments data'!A:A,'Supply planning data'!A719,'Shipments data'!O:O,"received",'Shipments data'!Q:Q,"&lt;"&amp;'Supply planning data'!D734,'Shipments data'!AC:AC,"&lt;"&amp;'Supply planning data'!D734)-SUMIFS(M:M,D:D,"&lt;="&amp;D719,C:C,C719)-SUMIFS(AJ:AJ,D:D,"&lt;="&amp;D719,C:C,C719)+SUMIFS(N:N,D:D,"&lt;="&amp;D719,C:C,C719)+SUMIFS(P:P,D:D,"&lt;="&amp;D719,C:C,C719))</f>
        <v>0</v>
      </c>
      <c r="AM719" s="111">
        <f t="shared" si="210"/>
        <v>0</v>
      </c>
      <c r="AN719" s="111">
        <f t="shared" si="221"/>
        <v>0</v>
      </c>
      <c r="AO719" s="204" t="str">
        <f t="shared" si="213"/>
        <v/>
      </c>
    </row>
    <row r="720" spans="1:41" hidden="1" x14ac:dyDescent="0.25">
      <c r="A720" s="103" t="str">
        <f>Start!D$7</f>
        <v>Anyland</v>
      </c>
      <c r="B720" s="109" t="str">
        <f>VLOOKUP(A720,list!B:C,2,FALSE)</f>
        <v>ANY</v>
      </c>
      <c r="C720" s="104" t="str">
        <f>IF(Start!$C$27="","",Start!$C$27)</f>
        <v/>
      </c>
      <c r="D720" s="298">
        <f t="shared" si="204"/>
        <v>45627</v>
      </c>
      <c r="E720" s="105" t="str">
        <f>IFERROR(VLOOKUP(C720,Start!C$15:D$31,2,FALSE),"No")</f>
        <v>No</v>
      </c>
      <c r="F720" s="105">
        <f t="shared" si="205"/>
        <v>0</v>
      </c>
      <c r="G720" s="106"/>
      <c r="H720" s="106"/>
      <c r="I720" s="106"/>
      <c r="J720" s="105">
        <f t="shared" si="215"/>
        <v>0</v>
      </c>
      <c r="K720" s="106"/>
      <c r="L720" s="177" t="str">
        <f t="shared" si="216"/>
        <v/>
      </c>
      <c r="M720" s="105">
        <f t="shared" si="217"/>
        <v>0</v>
      </c>
      <c r="N720" s="110"/>
      <c r="O720" s="124"/>
      <c r="P720" s="110"/>
      <c r="Q720" s="124"/>
      <c r="R720" s="111">
        <f>SUMIFS('Shipments data'!L:L,'Shipments data'!F:F,'Supply planning data'!C720,'Shipments data'!A:A,'Supply planning data'!A720,'Shipments data'!Y:Y,'Supply planning data'!D720,'Shipments data'!O:O,"received", 'Shipments data'!N:N, "Public")</f>
        <v>0</v>
      </c>
      <c r="S720" s="111">
        <f>SUMIFS('Shipments data'!L:L,'Shipments data'!F:F,'Supply planning data'!C720,'Shipments data'!A:A,'Supply planning data'!A720,'Shipments data'!Y:Y,'Supply planning data'!D720,'Shipments data'!O:O,"ordered", 'Shipments data'!N:N, "Public")</f>
        <v>0</v>
      </c>
      <c r="T720" s="111">
        <f>IF(SUMIFS('Shipments data'!L:L,'Shipments data'!F:F,'Supply planning data'!C720,'Shipments data'!A:A,'Supply planning data'!A720,'Shipments data'!O:O,"received",'Shipments data'!Q:Q,"&lt;"&amp;'Supply planning data'!D735,'Shipments data'!AC:AC,"&lt;"&amp;'Supply planning data'!D735)-SUMIFS(M:M,D:D,"&lt;="&amp;D720,C:C,C720)+SUMIFS(N:N,D:D,"&lt;="&amp;D720,C:C,C720)+SUMIFS(P:P,D:D,"&lt;="&amp;D720,C:C,C720)&lt;0,0,SUMIFS('Shipments data'!L:L,'Shipments data'!F:F,'Supply planning data'!C720,'Shipments data'!A:A,'Supply planning data'!A720,'Shipments data'!O:O,"received",'Shipments data'!Q:Q,"&lt;"&amp;'Supply planning data'!D735,'Shipments data'!AC:AC,"&lt;"&amp;'Supply planning data'!D735)-SUMIFS(M:M,D:D,"&lt;="&amp;D720,C:C,C720)+SUMIFS(N:N,D:D,"&lt;="&amp;D720,C:C,C720)+SUMIFS(P:P,D:D,"&lt;="&amp;D720,C:C,C720))</f>
        <v>0</v>
      </c>
      <c r="U720" s="112">
        <f t="shared" si="206"/>
        <v>0</v>
      </c>
      <c r="V720" s="111">
        <f t="shared" si="214"/>
        <v>0</v>
      </c>
      <c r="W720" s="204" t="str">
        <f t="shared" si="212"/>
        <v/>
      </c>
      <c r="X720" s="111">
        <f t="shared" si="207"/>
        <v>0</v>
      </c>
      <c r="Y720" s="110"/>
      <c r="Z720" s="107"/>
      <c r="AA720" s="111">
        <f t="shared" si="218"/>
        <v>0</v>
      </c>
      <c r="AB720" s="235"/>
      <c r="AC720" s="111">
        <f>IF(SUMIFS('Shipments data'!L:L,'Shipments data'!F:F,'Supply planning data'!C720,'Shipments data'!A:A,'Supply planning data'!A720,'Shipments data'!O:O,"received",'Shipments data'!Q:Q,"&lt;"&amp;'Supply planning data'!D735,'Shipments data'!AC:AC,"&lt;"&amp;'Supply planning data'!D735)-SUMIFS(M:M,D:D,"&lt;="&amp;D720,C:C,C720)-SUMIFS(AA:AA,D:D,"&lt;="&amp;D720,C:C,C720)+SUMIFS(N:N,D:D,"&lt;="&amp;D720,C:C,C720)+SUMIFS(P:P,D:D,"&lt;="&amp;D720,C:C,C720)&lt;0,0,SUMIFS('Shipments data'!L:L,'Shipments data'!F:F,'Supply planning data'!C720,'Shipments data'!A:A,'Supply planning data'!A720,'Shipments data'!O:O,"received",'Shipments data'!Q:Q,"&lt;"&amp;'Supply planning data'!D735,'Shipments data'!AC:AC,"&lt;"&amp;'Supply planning data'!D735)-SUMIFS(M:M,D:D,"&lt;="&amp;D720,C:C,C720)-SUMIFS(AA:AA,D:D,"&lt;="&amp;D720,C:C,C720)+SUMIFS(N:N,D:D,"&lt;="&amp;D720,C:C,C720)+SUMIFS(P:P,D:D,"&lt;="&amp;D720,C:C,C720))</f>
        <v>0</v>
      </c>
      <c r="AD720" s="111">
        <f t="shared" si="208"/>
        <v>0</v>
      </c>
      <c r="AE720" s="111">
        <f t="shared" si="220"/>
        <v>0</v>
      </c>
      <c r="AF720" s="204" t="str">
        <f t="shared" si="211"/>
        <v/>
      </c>
      <c r="AG720" s="111">
        <f t="shared" si="209"/>
        <v>0</v>
      </c>
      <c r="AH720" s="110"/>
      <c r="AI720" s="313"/>
      <c r="AJ720" s="111">
        <f t="shared" si="219"/>
        <v>0</v>
      </c>
      <c r="AK720" s="235"/>
      <c r="AL720" s="111">
        <f>IF(SUMIFS('Shipments data'!L:L,'Shipments data'!F:F,'Supply planning data'!C720,'Shipments data'!A:A,'Supply planning data'!A720,'Shipments data'!O:O,"received",'Shipments data'!Q:Q,"&lt;"&amp;'Supply planning data'!D735,'Shipments data'!AC:AC,"&lt;"&amp;'Supply planning data'!D735)-SUMIFS(M:M,D:D,"&lt;="&amp;D720,C:C,C720)-SUMIFS(AJ:AJ,D:D,"&lt;="&amp;D720,C:C,C720)+SUMIFS(N:N,D:D,"&lt;="&amp;D720,C:C,C720)+SUMIFS(P:P,D:D,"&lt;="&amp;D720,C:C,C720)&lt;0,0,SUMIFS('Shipments data'!L:L,'Shipments data'!F:F,'Supply planning data'!C720,'Shipments data'!A:A,'Supply planning data'!A720,'Shipments data'!O:O,"received",'Shipments data'!Q:Q,"&lt;"&amp;'Supply planning data'!D735,'Shipments data'!AC:AC,"&lt;"&amp;'Supply planning data'!D735)-SUMIFS(M:M,D:D,"&lt;="&amp;D720,C:C,C720)-SUMIFS(AJ:AJ,D:D,"&lt;="&amp;D720,C:C,C720)+SUMIFS(N:N,D:D,"&lt;="&amp;D720,C:C,C720)+SUMIFS(P:P,D:D,"&lt;="&amp;D720,C:C,C720))</f>
        <v>0</v>
      </c>
      <c r="AM720" s="111">
        <f t="shared" si="210"/>
        <v>0</v>
      </c>
      <c r="AN720" s="111">
        <f t="shared" si="221"/>
        <v>0</v>
      </c>
      <c r="AO720" s="204" t="str">
        <f t="shared" si="213"/>
        <v/>
      </c>
    </row>
    <row r="721" spans="1:41" hidden="1" x14ac:dyDescent="0.25">
      <c r="A721" s="103" t="str">
        <f>Start!D$7</f>
        <v>Anyland</v>
      </c>
      <c r="B721" s="109" t="str">
        <f>VLOOKUP(A721,list!B:C,2,FALSE)</f>
        <v>ANY</v>
      </c>
      <c r="C721" s="109" t="str">
        <f>IF(Start!$C$28="","",Start!$C$28)</f>
        <v/>
      </c>
      <c r="D721" s="298">
        <f t="shared" si="204"/>
        <v>45627</v>
      </c>
      <c r="E721" s="105" t="str">
        <f>IFERROR(VLOOKUP(C721,Start!C$15:D$31,2,FALSE),"No")</f>
        <v>No</v>
      </c>
      <c r="F721" s="105">
        <f t="shared" si="205"/>
        <v>0</v>
      </c>
      <c r="G721" s="106"/>
      <c r="H721" s="106"/>
      <c r="I721" s="106"/>
      <c r="J721" s="105">
        <f t="shared" si="215"/>
        <v>0</v>
      </c>
      <c r="K721" s="106"/>
      <c r="L721" s="177" t="str">
        <f t="shared" si="216"/>
        <v/>
      </c>
      <c r="M721" s="105">
        <f t="shared" si="217"/>
        <v>0</v>
      </c>
      <c r="N721" s="110"/>
      <c r="O721" s="124"/>
      <c r="P721" s="110"/>
      <c r="Q721" s="124"/>
      <c r="R721" s="111">
        <f>SUMIFS('Shipments data'!L:L,'Shipments data'!F:F,'Supply planning data'!C721,'Shipments data'!A:A,'Supply planning data'!A721,'Shipments data'!Y:Y,'Supply planning data'!D721,'Shipments data'!O:O,"received", 'Shipments data'!N:N, "Public")</f>
        <v>0</v>
      </c>
      <c r="S721" s="111">
        <f>SUMIFS('Shipments data'!L:L,'Shipments data'!F:F,'Supply planning data'!C721,'Shipments data'!A:A,'Supply planning data'!A721,'Shipments data'!Y:Y,'Supply planning data'!D721,'Shipments data'!O:O,"ordered", 'Shipments data'!N:N, "Public")</f>
        <v>0</v>
      </c>
      <c r="T721" s="111">
        <f>IF(SUMIFS('Shipments data'!L:L,'Shipments data'!F:F,'Supply planning data'!C721,'Shipments data'!A:A,'Supply planning data'!A721,'Shipments data'!O:O,"received",'Shipments data'!Q:Q,"&lt;"&amp;'Supply planning data'!D736,'Shipments data'!AC:AC,"&lt;"&amp;'Supply planning data'!D736)-SUMIFS(M:M,D:D,"&lt;="&amp;D721,C:C,C721)+SUMIFS(N:N,D:D,"&lt;="&amp;D721,C:C,C721)+SUMIFS(P:P,D:D,"&lt;="&amp;D721,C:C,C721)&lt;0,0,SUMIFS('Shipments data'!L:L,'Shipments data'!F:F,'Supply planning data'!C721,'Shipments data'!A:A,'Supply planning data'!A721,'Shipments data'!O:O,"received",'Shipments data'!Q:Q,"&lt;"&amp;'Supply planning data'!D736,'Shipments data'!AC:AC,"&lt;"&amp;'Supply planning data'!D736)-SUMIFS(M:M,D:D,"&lt;="&amp;D721,C:C,C721)+SUMIFS(N:N,D:D,"&lt;="&amp;D721,C:C,C721)+SUMIFS(P:P,D:D,"&lt;="&amp;D721,C:C,C721))</f>
        <v>0</v>
      </c>
      <c r="U721" s="112">
        <f t="shared" si="206"/>
        <v>0</v>
      </c>
      <c r="V721" s="111">
        <f t="shared" si="214"/>
        <v>0</v>
      </c>
      <c r="W721" s="204" t="str">
        <f t="shared" si="212"/>
        <v/>
      </c>
      <c r="X721" s="111">
        <f t="shared" si="207"/>
        <v>0</v>
      </c>
      <c r="Y721" s="110"/>
      <c r="Z721" s="107"/>
      <c r="AA721" s="111">
        <f t="shared" si="218"/>
        <v>0</v>
      </c>
      <c r="AB721" s="235"/>
      <c r="AC721" s="111">
        <f>IF(SUMIFS('Shipments data'!L:L,'Shipments data'!F:F,'Supply planning data'!C721,'Shipments data'!A:A,'Supply planning data'!A721,'Shipments data'!O:O,"received",'Shipments data'!Q:Q,"&lt;"&amp;'Supply planning data'!D736,'Shipments data'!AC:AC,"&lt;"&amp;'Supply planning data'!D736)-SUMIFS(M:M,D:D,"&lt;="&amp;D721,C:C,C721)-SUMIFS(AA:AA,D:D,"&lt;="&amp;D721,C:C,C721)+SUMIFS(N:N,D:D,"&lt;="&amp;D721,C:C,C721)+SUMIFS(P:P,D:D,"&lt;="&amp;D721,C:C,C721)&lt;0,0,SUMIFS('Shipments data'!L:L,'Shipments data'!F:F,'Supply planning data'!C721,'Shipments data'!A:A,'Supply planning data'!A721,'Shipments data'!O:O,"received",'Shipments data'!Q:Q,"&lt;"&amp;'Supply planning data'!D736,'Shipments data'!AC:AC,"&lt;"&amp;'Supply planning data'!D736)-SUMIFS(M:M,D:D,"&lt;="&amp;D721,C:C,C721)-SUMIFS(AA:AA,D:D,"&lt;="&amp;D721,C:C,C721)+SUMIFS(N:N,D:D,"&lt;="&amp;D721,C:C,C721)+SUMIFS(P:P,D:D,"&lt;="&amp;D721,C:C,C721))</f>
        <v>0</v>
      </c>
      <c r="AD721" s="111">
        <f t="shared" si="208"/>
        <v>0</v>
      </c>
      <c r="AE721" s="111">
        <f t="shared" si="220"/>
        <v>0</v>
      </c>
      <c r="AF721" s="204" t="str">
        <f t="shared" si="211"/>
        <v/>
      </c>
      <c r="AG721" s="111">
        <f t="shared" si="209"/>
        <v>0</v>
      </c>
      <c r="AH721" s="110"/>
      <c r="AI721" s="313"/>
      <c r="AJ721" s="111">
        <f t="shared" si="219"/>
        <v>0</v>
      </c>
      <c r="AK721" s="235"/>
      <c r="AL721" s="111">
        <f>IF(SUMIFS('Shipments data'!L:L,'Shipments data'!F:F,'Supply planning data'!C721,'Shipments data'!A:A,'Supply planning data'!A721,'Shipments data'!O:O,"received",'Shipments data'!Q:Q,"&lt;"&amp;'Supply planning data'!D736,'Shipments data'!AC:AC,"&lt;"&amp;'Supply planning data'!D736)-SUMIFS(M:M,D:D,"&lt;="&amp;D721,C:C,C721)-SUMIFS(AJ:AJ,D:D,"&lt;="&amp;D721,C:C,C721)+SUMIFS(N:N,D:D,"&lt;="&amp;D721,C:C,C721)+SUMIFS(P:P,D:D,"&lt;="&amp;D721,C:C,C721)&lt;0,0,SUMIFS('Shipments data'!L:L,'Shipments data'!F:F,'Supply planning data'!C721,'Shipments data'!A:A,'Supply planning data'!A721,'Shipments data'!O:O,"received",'Shipments data'!Q:Q,"&lt;"&amp;'Supply planning data'!D736,'Shipments data'!AC:AC,"&lt;"&amp;'Supply planning data'!D736)-SUMIFS(M:M,D:D,"&lt;="&amp;D721,C:C,C721)-SUMIFS(AJ:AJ,D:D,"&lt;="&amp;D721,C:C,C721)+SUMIFS(N:N,D:D,"&lt;="&amp;D721,C:C,C721)+SUMIFS(P:P,D:D,"&lt;="&amp;D721,C:C,C721))</f>
        <v>0</v>
      </c>
      <c r="AM721" s="111">
        <f t="shared" si="210"/>
        <v>0</v>
      </c>
      <c r="AN721" s="111">
        <f t="shared" si="221"/>
        <v>0</v>
      </c>
      <c r="AO721" s="204" t="str">
        <f t="shared" si="213"/>
        <v/>
      </c>
    </row>
    <row r="722" spans="1:41" hidden="1" x14ac:dyDescent="0.25">
      <c r="A722" s="103" t="str">
        <f>Start!D$7</f>
        <v>Anyland</v>
      </c>
      <c r="B722" s="109" t="str">
        <f>VLOOKUP(A722,list!B:C,2,FALSE)</f>
        <v>ANY</v>
      </c>
      <c r="C722" s="104" t="str">
        <f>IF(Start!$C$29="","",Start!$C$29)</f>
        <v/>
      </c>
      <c r="D722" s="298">
        <f t="shared" si="204"/>
        <v>45627</v>
      </c>
      <c r="E722" s="105" t="str">
        <f>IFERROR(VLOOKUP(C722,Start!C$15:D$31,2,FALSE),"No")</f>
        <v>No</v>
      </c>
      <c r="F722" s="105">
        <f t="shared" si="205"/>
        <v>0</v>
      </c>
      <c r="G722" s="106"/>
      <c r="H722" s="106"/>
      <c r="I722" s="106"/>
      <c r="J722" s="105">
        <f t="shared" si="215"/>
        <v>0</v>
      </c>
      <c r="K722" s="106"/>
      <c r="L722" s="177" t="str">
        <f t="shared" si="216"/>
        <v/>
      </c>
      <c r="M722" s="105">
        <f t="shared" si="217"/>
        <v>0</v>
      </c>
      <c r="N722" s="110"/>
      <c r="O722" s="124"/>
      <c r="P722" s="110"/>
      <c r="Q722" s="124"/>
      <c r="R722" s="111">
        <f>SUMIFS('Shipments data'!L:L,'Shipments data'!F:F,'Supply planning data'!C722,'Shipments data'!A:A,'Supply planning data'!A722,'Shipments data'!Y:Y,'Supply planning data'!D722,'Shipments data'!O:O,"received", 'Shipments data'!N:N, "Public")</f>
        <v>0</v>
      </c>
      <c r="S722" s="111">
        <f>SUMIFS('Shipments data'!L:L,'Shipments data'!F:F,'Supply planning data'!C722,'Shipments data'!A:A,'Supply planning data'!A722,'Shipments data'!Y:Y,'Supply planning data'!D722,'Shipments data'!O:O,"ordered", 'Shipments data'!N:N, "Public")</f>
        <v>0</v>
      </c>
      <c r="T722" s="111">
        <f>IF(SUMIFS('Shipments data'!L:L,'Shipments data'!F:F,'Supply planning data'!C722,'Shipments data'!A:A,'Supply planning data'!A722,'Shipments data'!O:O,"received",'Shipments data'!Q:Q,"&lt;"&amp;'Supply planning data'!D737,'Shipments data'!AC:AC,"&lt;"&amp;'Supply planning data'!D737)-SUMIFS(M:M,D:D,"&lt;="&amp;D722,C:C,C722)+SUMIFS(N:N,D:D,"&lt;="&amp;D722,C:C,C722)+SUMIFS(P:P,D:D,"&lt;="&amp;D722,C:C,C722)&lt;0,0,SUMIFS('Shipments data'!L:L,'Shipments data'!F:F,'Supply planning data'!C722,'Shipments data'!A:A,'Supply planning data'!A722,'Shipments data'!O:O,"received",'Shipments data'!Q:Q,"&lt;"&amp;'Supply planning data'!D737,'Shipments data'!AC:AC,"&lt;"&amp;'Supply planning data'!D737)-SUMIFS(M:M,D:D,"&lt;="&amp;D722,C:C,C722)+SUMIFS(N:N,D:D,"&lt;="&amp;D722,C:C,C722)+SUMIFS(P:P,D:D,"&lt;="&amp;D722,C:C,C722))</f>
        <v>0</v>
      </c>
      <c r="U722" s="112">
        <f t="shared" si="206"/>
        <v>0</v>
      </c>
      <c r="V722" s="111">
        <f t="shared" si="214"/>
        <v>0</v>
      </c>
      <c r="W722" s="204" t="str">
        <f t="shared" si="212"/>
        <v/>
      </c>
      <c r="X722" s="111">
        <f t="shared" si="207"/>
        <v>0</v>
      </c>
      <c r="Y722" s="110"/>
      <c r="Z722" s="107"/>
      <c r="AA722" s="111">
        <f t="shared" si="218"/>
        <v>0</v>
      </c>
      <c r="AB722" s="235"/>
      <c r="AC722" s="111">
        <f>IF(SUMIFS('Shipments data'!L:L,'Shipments data'!F:F,'Supply planning data'!C722,'Shipments data'!A:A,'Supply planning data'!A722,'Shipments data'!O:O,"received",'Shipments data'!Q:Q,"&lt;"&amp;'Supply planning data'!D737,'Shipments data'!AC:AC,"&lt;"&amp;'Supply planning data'!D737)-SUMIFS(M:M,D:D,"&lt;="&amp;D722,C:C,C722)-SUMIFS(AA:AA,D:D,"&lt;="&amp;D722,C:C,C722)+SUMIFS(N:N,D:D,"&lt;="&amp;D722,C:C,C722)+SUMIFS(P:P,D:D,"&lt;="&amp;D722,C:C,C722)&lt;0,0,SUMIFS('Shipments data'!L:L,'Shipments data'!F:F,'Supply planning data'!C722,'Shipments data'!A:A,'Supply planning data'!A722,'Shipments data'!O:O,"received",'Shipments data'!Q:Q,"&lt;"&amp;'Supply planning data'!D737,'Shipments data'!AC:AC,"&lt;"&amp;'Supply planning data'!D737)-SUMIFS(M:M,D:D,"&lt;="&amp;D722,C:C,C722)-SUMIFS(AA:AA,D:D,"&lt;="&amp;D722,C:C,C722)+SUMIFS(N:N,D:D,"&lt;="&amp;D722,C:C,C722)+SUMIFS(P:P,D:D,"&lt;="&amp;D722,C:C,C722))</f>
        <v>0</v>
      </c>
      <c r="AD722" s="111">
        <f t="shared" si="208"/>
        <v>0</v>
      </c>
      <c r="AE722" s="111">
        <f t="shared" si="220"/>
        <v>0</v>
      </c>
      <c r="AF722" s="204" t="str">
        <f t="shared" si="211"/>
        <v/>
      </c>
      <c r="AG722" s="111">
        <f t="shared" si="209"/>
        <v>0</v>
      </c>
      <c r="AH722" s="110"/>
      <c r="AI722" s="313"/>
      <c r="AJ722" s="111">
        <f t="shared" si="219"/>
        <v>0</v>
      </c>
      <c r="AK722" s="235"/>
      <c r="AL722" s="111">
        <f>IF(SUMIFS('Shipments data'!L:L,'Shipments data'!F:F,'Supply planning data'!C722,'Shipments data'!A:A,'Supply planning data'!A722,'Shipments data'!O:O,"received",'Shipments data'!Q:Q,"&lt;"&amp;'Supply planning data'!D737,'Shipments data'!AC:AC,"&lt;"&amp;'Supply planning data'!D737)-SUMIFS(M:M,D:D,"&lt;="&amp;D722,C:C,C722)-SUMIFS(AJ:AJ,D:D,"&lt;="&amp;D722,C:C,C722)+SUMIFS(N:N,D:D,"&lt;="&amp;D722,C:C,C722)+SUMIFS(P:P,D:D,"&lt;="&amp;D722,C:C,C722)&lt;0,0,SUMIFS('Shipments data'!L:L,'Shipments data'!F:F,'Supply planning data'!C722,'Shipments data'!A:A,'Supply planning data'!A722,'Shipments data'!O:O,"received",'Shipments data'!Q:Q,"&lt;"&amp;'Supply planning data'!D737,'Shipments data'!AC:AC,"&lt;"&amp;'Supply planning data'!D737)-SUMIFS(M:M,D:D,"&lt;="&amp;D722,C:C,C722)-SUMIFS(AJ:AJ,D:D,"&lt;="&amp;D722,C:C,C722)+SUMIFS(N:N,D:D,"&lt;="&amp;D722,C:C,C722)+SUMIFS(P:P,D:D,"&lt;="&amp;D722,C:C,C722))</f>
        <v>0</v>
      </c>
      <c r="AM722" s="111">
        <f t="shared" si="210"/>
        <v>0</v>
      </c>
      <c r="AN722" s="111">
        <f t="shared" si="221"/>
        <v>0</v>
      </c>
      <c r="AO722" s="204" t="str">
        <f t="shared" si="213"/>
        <v/>
      </c>
    </row>
    <row r="723" spans="1:41" hidden="1" x14ac:dyDescent="0.25">
      <c r="A723" s="103" t="str">
        <f>Start!D$7</f>
        <v>Anyland</v>
      </c>
      <c r="B723" s="109" t="str">
        <f>VLOOKUP(A723,list!B:C,2,FALSE)</f>
        <v>ANY</v>
      </c>
      <c r="C723" s="109" t="str">
        <f>IF(Start!$C$30="","",Start!$C$30)</f>
        <v/>
      </c>
      <c r="D723" s="298">
        <f t="shared" si="204"/>
        <v>45627</v>
      </c>
      <c r="E723" s="105" t="str">
        <f>IFERROR(VLOOKUP(C723,Start!C$15:D$31,2,FALSE),"No")</f>
        <v>No</v>
      </c>
      <c r="F723" s="105">
        <f t="shared" si="205"/>
        <v>0</v>
      </c>
      <c r="G723" s="106"/>
      <c r="H723" s="106"/>
      <c r="I723" s="106"/>
      <c r="J723" s="105">
        <f t="shared" si="215"/>
        <v>0</v>
      </c>
      <c r="K723" s="106"/>
      <c r="L723" s="177" t="str">
        <f t="shared" si="216"/>
        <v/>
      </c>
      <c r="M723" s="105">
        <f t="shared" si="217"/>
        <v>0</v>
      </c>
      <c r="N723" s="110"/>
      <c r="O723" s="124"/>
      <c r="P723" s="110"/>
      <c r="Q723" s="124"/>
      <c r="R723" s="111">
        <f>SUMIFS('Shipments data'!L:L,'Shipments data'!F:F,'Supply planning data'!C723,'Shipments data'!A:A,'Supply planning data'!A723,'Shipments data'!Y:Y,'Supply planning data'!D723,'Shipments data'!O:O,"received", 'Shipments data'!N:N, "Public")</f>
        <v>0</v>
      </c>
      <c r="S723" s="111">
        <f>SUMIFS('Shipments data'!L:L,'Shipments data'!F:F,'Supply planning data'!C723,'Shipments data'!A:A,'Supply planning data'!A723,'Shipments data'!Y:Y,'Supply planning data'!D723,'Shipments data'!O:O,"ordered", 'Shipments data'!N:N, "Public")</f>
        <v>0</v>
      </c>
      <c r="T723" s="111">
        <f>IF(SUMIFS('Shipments data'!L:L,'Shipments data'!F:F,'Supply planning data'!C723,'Shipments data'!A:A,'Supply planning data'!A723,'Shipments data'!O:O,"received",'Shipments data'!Q:Q,"&lt;"&amp;'Supply planning data'!D738,'Shipments data'!AC:AC,"&lt;"&amp;'Supply planning data'!D738)-SUMIFS(M:M,D:D,"&lt;="&amp;D723,C:C,C723)+SUMIFS(N:N,D:D,"&lt;="&amp;D723,C:C,C723)+SUMIFS(P:P,D:D,"&lt;="&amp;D723,C:C,C723)&lt;0,0,SUMIFS('Shipments data'!L:L,'Shipments data'!F:F,'Supply planning data'!C723,'Shipments data'!A:A,'Supply planning data'!A723,'Shipments data'!O:O,"received",'Shipments data'!Q:Q,"&lt;"&amp;'Supply planning data'!D738,'Shipments data'!AC:AC,"&lt;"&amp;'Supply planning data'!D738)-SUMIFS(M:M,D:D,"&lt;="&amp;D723,C:C,C723)+SUMIFS(N:N,D:D,"&lt;="&amp;D723,C:C,C723)+SUMIFS(P:P,D:D,"&lt;="&amp;D723,C:C,C723))</f>
        <v>0</v>
      </c>
      <c r="U723" s="112">
        <f t="shared" si="206"/>
        <v>0</v>
      </c>
      <c r="V723" s="111">
        <f t="shared" si="214"/>
        <v>0</v>
      </c>
      <c r="W723" s="204" t="str">
        <f t="shared" si="212"/>
        <v/>
      </c>
      <c r="X723" s="111">
        <f t="shared" si="207"/>
        <v>0</v>
      </c>
      <c r="Y723" s="110"/>
      <c r="Z723" s="107"/>
      <c r="AA723" s="111">
        <f t="shared" si="218"/>
        <v>0</v>
      </c>
      <c r="AB723" s="235"/>
      <c r="AC723" s="111">
        <f>IF(SUMIFS('Shipments data'!L:L,'Shipments data'!F:F,'Supply planning data'!C723,'Shipments data'!A:A,'Supply planning data'!A723,'Shipments data'!O:O,"received",'Shipments data'!Q:Q,"&lt;"&amp;'Supply planning data'!D738,'Shipments data'!AC:AC,"&lt;"&amp;'Supply planning data'!D738)-SUMIFS(M:M,D:D,"&lt;="&amp;D723,C:C,C723)-SUMIFS(AA:AA,D:D,"&lt;="&amp;D723,C:C,C723)+SUMIFS(N:N,D:D,"&lt;="&amp;D723,C:C,C723)+SUMIFS(P:P,D:D,"&lt;="&amp;D723,C:C,C723)&lt;0,0,SUMIFS('Shipments data'!L:L,'Shipments data'!F:F,'Supply planning data'!C723,'Shipments data'!A:A,'Supply planning data'!A723,'Shipments data'!O:O,"received",'Shipments data'!Q:Q,"&lt;"&amp;'Supply planning data'!D738,'Shipments data'!AC:AC,"&lt;"&amp;'Supply planning data'!D738)-SUMIFS(M:M,D:D,"&lt;="&amp;D723,C:C,C723)-SUMIFS(AA:AA,D:D,"&lt;="&amp;D723,C:C,C723)+SUMIFS(N:N,D:D,"&lt;="&amp;D723,C:C,C723)+SUMIFS(P:P,D:D,"&lt;="&amp;D723,C:C,C723))</f>
        <v>0</v>
      </c>
      <c r="AD723" s="111">
        <f t="shared" si="208"/>
        <v>0</v>
      </c>
      <c r="AE723" s="111">
        <f t="shared" si="220"/>
        <v>0</v>
      </c>
      <c r="AF723" s="204" t="str">
        <f t="shared" si="211"/>
        <v/>
      </c>
      <c r="AG723" s="111">
        <f t="shared" si="209"/>
        <v>0</v>
      </c>
      <c r="AH723" s="110"/>
      <c r="AI723" s="313"/>
      <c r="AJ723" s="111">
        <f t="shared" si="219"/>
        <v>0</v>
      </c>
      <c r="AK723" s="235"/>
      <c r="AL723" s="111">
        <f>IF(SUMIFS('Shipments data'!L:L,'Shipments data'!F:F,'Supply planning data'!C723,'Shipments data'!A:A,'Supply planning data'!A723,'Shipments data'!O:O,"received",'Shipments data'!Q:Q,"&lt;"&amp;'Supply planning data'!D738,'Shipments data'!AC:AC,"&lt;"&amp;'Supply planning data'!D738)-SUMIFS(M:M,D:D,"&lt;="&amp;D723,C:C,C723)-SUMIFS(AJ:AJ,D:D,"&lt;="&amp;D723,C:C,C723)+SUMIFS(N:N,D:D,"&lt;="&amp;D723,C:C,C723)+SUMIFS(P:P,D:D,"&lt;="&amp;D723,C:C,C723)&lt;0,0,SUMIFS('Shipments data'!L:L,'Shipments data'!F:F,'Supply planning data'!C723,'Shipments data'!A:A,'Supply planning data'!A723,'Shipments data'!O:O,"received",'Shipments data'!Q:Q,"&lt;"&amp;'Supply planning data'!D738,'Shipments data'!AC:AC,"&lt;"&amp;'Supply planning data'!D738)-SUMIFS(M:M,D:D,"&lt;="&amp;D723,C:C,C723)-SUMIFS(AJ:AJ,D:D,"&lt;="&amp;D723,C:C,C723)+SUMIFS(N:N,D:D,"&lt;="&amp;D723,C:C,C723)+SUMIFS(P:P,D:D,"&lt;="&amp;D723,C:C,C723))</f>
        <v>0</v>
      </c>
      <c r="AM723" s="111">
        <f t="shared" si="210"/>
        <v>0</v>
      </c>
      <c r="AN723" s="111">
        <f t="shared" si="221"/>
        <v>0</v>
      </c>
      <c r="AO723" s="204" t="str">
        <f t="shared" si="213"/>
        <v/>
      </c>
    </row>
    <row r="724" spans="1:41" hidden="1" x14ac:dyDescent="0.25">
      <c r="A724" s="113" t="str">
        <f>Start!D$7</f>
        <v>Anyland</v>
      </c>
      <c r="B724" s="114" t="str">
        <f>VLOOKUP(A724,list!B:C,2,FALSE)</f>
        <v>ANY</v>
      </c>
      <c r="C724" s="104" t="str">
        <f>IF(Start!$C$31="","",Start!$C$31)</f>
        <v/>
      </c>
      <c r="D724" s="298">
        <f t="shared" ref="D724:D787" si="222">DATE(YEAR(D709),MONTH(D709)+1,1)</f>
        <v>45627</v>
      </c>
      <c r="E724" s="105" t="str">
        <f>IFERROR(VLOOKUP(C724,Start!C$15:D$31,2,FALSE),"No")</f>
        <v>No</v>
      </c>
      <c r="F724" s="105">
        <f t="shared" ref="F724:F787" si="223">V709</f>
        <v>0</v>
      </c>
      <c r="G724" s="106"/>
      <c r="H724" s="106"/>
      <c r="I724" s="106"/>
      <c r="J724" s="105">
        <f t="shared" si="215"/>
        <v>0</v>
      </c>
      <c r="K724" s="106"/>
      <c r="L724" s="177" t="str">
        <f t="shared" si="216"/>
        <v/>
      </c>
      <c r="M724" s="105">
        <f t="shared" si="217"/>
        <v>0</v>
      </c>
      <c r="N724" s="110"/>
      <c r="O724" s="124"/>
      <c r="P724" s="110"/>
      <c r="Q724" s="124"/>
      <c r="R724" s="111">
        <f>SUMIFS('Shipments data'!L:L,'Shipments data'!F:F,'Supply planning data'!C724,'Shipments data'!A:A,'Supply planning data'!A724,'Shipments data'!Y:Y,'Supply planning data'!D724,'Shipments data'!O:O,"received", 'Shipments data'!N:N, "Public")</f>
        <v>0</v>
      </c>
      <c r="S724" s="111">
        <f>SUMIFS('Shipments data'!L:L,'Shipments data'!F:F,'Supply planning data'!C724,'Shipments data'!A:A,'Supply planning data'!A724,'Shipments data'!Y:Y,'Supply planning data'!D724,'Shipments data'!O:O,"ordered", 'Shipments data'!N:N, "Public")</f>
        <v>0</v>
      </c>
      <c r="T724" s="111">
        <f>IF(SUMIFS('Shipments data'!L:L,'Shipments data'!F:F,'Supply planning data'!C724,'Shipments data'!A:A,'Supply planning data'!A724,'Shipments data'!O:O,"received",'Shipments data'!Q:Q,"&lt;"&amp;'Supply planning data'!D739,'Shipments data'!AC:AC,"&lt;"&amp;'Supply planning data'!D739)-SUMIFS(M:M,D:D,"&lt;="&amp;D724,C:C,C724)+SUMIFS(N:N,D:D,"&lt;="&amp;D724,C:C,C724)+SUMIFS(P:P,D:D,"&lt;="&amp;D724,C:C,C724)&lt;0,0,SUMIFS('Shipments data'!L:L,'Shipments data'!F:F,'Supply planning data'!C724,'Shipments data'!A:A,'Supply planning data'!A724,'Shipments data'!O:O,"received",'Shipments data'!Q:Q,"&lt;"&amp;'Supply planning data'!D739,'Shipments data'!AC:AC,"&lt;"&amp;'Supply planning data'!D739)-SUMIFS(M:M,D:D,"&lt;="&amp;D724,C:C,C724)+SUMIFS(N:N,D:D,"&lt;="&amp;D724,C:C,C724)+SUMIFS(P:P,D:D,"&lt;="&amp;D724,C:C,C724))</f>
        <v>0</v>
      </c>
      <c r="U724" s="112">
        <f t="shared" ref="U724:U787" si="224">IF(T724-T709&lt;0,0,T724-T709)</f>
        <v>0</v>
      </c>
      <c r="V724" s="111">
        <f t="shared" si="214"/>
        <v>0</v>
      </c>
      <c r="W724" s="204" t="str">
        <f t="shared" si="212"/>
        <v/>
      </c>
      <c r="X724" s="111">
        <f t="shared" ref="X724:X787" si="225">AE709</f>
        <v>0</v>
      </c>
      <c r="Y724" s="110"/>
      <c r="Z724" s="107"/>
      <c r="AA724" s="111">
        <f t="shared" si="218"/>
        <v>0</v>
      </c>
      <c r="AB724" s="235"/>
      <c r="AC724" s="111">
        <f>IF(SUMIFS('Shipments data'!L:L,'Shipments data'!F:F,'Supply planning data'!C724,'Shipments data'!A:A,'Supply planning data'!A724,'Shipments data'!O:O,"received",'Shipments data'!Q:Q,"&lt;"&amp;'Supply planning data'!D739,'Shipments data'!AC:AC,"&lt;"&amp;'Supply planning data'!D739)-SUMIFS(M:M,D:D,"&lt;="&amp;D724,C:C,C724)-SUMIFS(AA:AA,D:D,"&lt;="&amp;D724,C:C,C724)+SUMIFS(N:N,D:D,"&lt;="&amp;D724,C:C,C724)+SUMIFS(P:P,D:D,"&lt;="&amp;D724,C:C,C724)&lt;0,0,SUMIFS('Shipments data'!L:L,'Shipments data'!F:F,'Supply planning data'!C724,'Shipments data'!A:A,'Supply planning data'!A724,'Shipments data'!O:O,"received",'Shipments data'!Q:Q,"&lt;"&amp;'Supply planning data'!D739,'Shipments data'!AC:AC,"&lt;"&amp;'Supply planning data'!D739)-SUMIFS(M:M,D:D,"&lt;="&amp;D724,C:C,C724)-SUMIFS(AA:AA,D:D,"&lt;="&amp;D724,C:C,C724)+SUMIFS(N:N,D:D,"&lt;="&amp;D724,C:C,C724)+SUMIFS(P:P,D:D,"&lt;="&amp;D724,C:C,C724))</f>
        <v>0</v>
      </c>
      <c r="AD724" s="111">
        <f t="shared" ref="AD724:AD787" si="226">IF(AC724-AC709&lt;0,0,AC724-AC709)</f>
        <v>0</v>
      </c>
      <c r="AE724" s="111">
        <f t="shared" si="220"/>
        <v>0</v>
      </c>
      <c r="AF724" s="204" t="str">
        <f t="shared" si="211"/>
        <v/>
      </c>
      <c r="AG724" s="111">
        <f t="shared" ref="AG724:AG787" si="227">AN709</f>
        <v>0</v>
      </c>
      <c r="AH724" s="110"/>
      <c r="AI724" s="313"/>
      <c r="AJ724" s="111">
        <f t="shared" si="219"/>
        <v>0</v>
      </c>
      <c r="AK724" s="235"/>
      <c r="AL724" s="111">
        <f>IF(SUMIFS('Shipments data'!L:L,'Shipments data'!F:F,'Supply planning data'!C724,'Shipments data'!A:A,'Supply planning data'!A724,'Shipments data'!O:O,"received",'Shipments data'!Q:Q,"&lt;"&amp;'Supply planning data'!D739,'Shipments data'!AC:AC,"&lt;"&amp;'Supply planning data'!D739)-SUMIFS(M:M,D:D,"&lt;="&amp;D724,C:C,C724)-SUMIFS(AJ:AJ,D:D,"&lt;="&amp;D724,C:C,C724)+SUMIFS(N:N,D:D,"&lt;="&amp;D724,C:C,C724)+SUMIFS(P:P,D:D,"&lt;="&amp;D724,C:C,C724)&lt;0,0,SUMIFS('Shipments data'!L:L,'Shipments data'!F:F,'Supply planning data'!C724,'Shipments data'!A:A,'Supply planning data'!A724,'Shipments data'!O:O,"received",'Shipments data'!Q:Q,"&lt;"&amp;'Supply planning data'!D739,'Shipments data'!AC:AC,"&lt;"&amp;'Supply planning data'!D739)-SUMIFS(M:M,D:D,"&lt;="&amp;D724,C:C,C724)-SUMIFS(AJ:AJ,D:D,"&lt;="&amp;D724,C:C,C724)+SUMIFS(N:N,D:D,"&lt;="&amp;D724,C:C,C724)+SUMIFS(P:P,D:D,"&lt;="&amp;D724,C:C,C724))</f>
        <v>0</v>
      </c>
      <c r="AM724" s="111">
        <f t="shared" ref="AM724:AM787" si="228">IF(AL724-AL709&lt;0,0,AL724-AL709)</f>
        <v>0</v>
      </c>
      <c r="AN724" s="111">
        <f t="shared" si="221"/>
        <v>0</v>
      </c>
      <c r="AO724" s="204" t="str">
        <f t="shared" si="213"/>
        <v/>
      </c>
    </row>
    <row r="725" spans="1:41" x14ac:dyDescent="0.25">
      <c r="A725" s="89" t="str">
        <f>Start!D$7</f>
        <v>Anyland</v>
      </c>
      <c r="B725" s="90" t="str">
        <f>VLOOKUP(A725,list!B:C,2,FALSE)</f>
        <v>ANY</v>
      </c>
      <c r="C725" s="90" t="str">
        <f>IF(Start!$C$17="","",Start!$C$17)</f>
        <v>AstraZeneca</v>
      </c>
      <c r="D725" s="296">
        <f t="shared" si="222"/>
        <v>45658</v>
      </c>
      <c r="E725" s="92" t="str">
        <f>IFERROR(VLOOKUP(C725,Start!C$15:D$31,2,FALSE),"No")</f>
        <v>Yes</v>
      </c>
      <c r="F725" s="92">
        <f t="shared" si="223"/>
        <v>0</v>
      </c>
      <c r="G725" s="91"/>
      <c r="H725" s="91"/>
      <c r="I725" s="91"/>
      <c r="J725" s="92">
        <f t="shared" si="215"/>
        <v>0</v>
      </c>
      <c r="K725" s="91"/>
      <c r="L725" s="174" t="str">
        <f t="shared" si="216"/>
        <v/>
      </c>
      <c r="M725" s="92">
        <f t="shared" si="217"/>
        <v>0</v>
      </c>
      <c r="N725" s="91"/>
      <c r="O725" s="121"/>
      <c r="P725" s="91"/>
      <c r="Q725" s="121"/>
      <c r="R725" s="92">
        <f>SUMIFS('Shipments data'!L:L,'Shipments data'!F:F,'Supply planning data'!C725,'Shipments data'!A:A,'Supply planning data'!A725,'Shipments data'!Y:Y,'Supply planning data'!D725,'Shipments data'!O:O,"received", 'Shipments data'!N:N, "Public")</f>
        <v>0</v>
      </c>
      <c r="S725" s="92">
        <f>SUMIFS('Shipments data'!L:L,'Shipments data'!F:F,'Supply planning data'!C725,'Shipments data'!A:A,'Supply planning data'!A725,'Shipments data'!Y:Y,'Supply planning data'!D725,'Shipments data'!O:O,"ordered", 'Shipments data'!N:N, "Public")</f>
        <v>0</v>
      </c>
      <c r="T725" s="92">
        <f>IF(SUMIFS('Shipments data'!L:L,'Shipments data'!F:F,'Supply planning data'!C725,'Shipments data'!A:A,'Supply planning data'!A725,'Shipments data'!O:O,"received",'Shipments data'!Q:Q,"&lt;"&amp;'Supply planning data'!D740,'Shipments data'!AC:AC,"&lt;"&amp;'Supply planning data'!D740)-SUMIFS(M:M,D:D,"&lt;="&amp;D725,C:C,C725)+SUMIFS(N:N,D:D,"&lt;="&amp;D725,C:C,C725)+SUMIFS(P:P,D:D,"&lt;="&amp;D725,C:C,C725)&lt;0,0,SUMIFS('Shipments data'!L:L,'Shipments data'!F:F,'Supply planning data'!C725,'Shipments data'!A:A,'Supply planning data'!A725,'Shipments data'!O:O,"received",'Shipments data'!Q:Q,"&lt;"&amp;'Supply planning data'!D740,'Shipments data'!AC:AC,"&lt;"&amp;'Supply planning data'!D740)-SUMIFS(M:M,D:D,"&lt;="&amp;D725,C:C,C725)+SUMIFS(N:N,D:D,"&lt;="&amp;D725,C:C,C725)+SUMIFS(P:P,D:D,"&lt;="&amp;D725,C:C,C725))</f>
        <v>0</v>
      </c>
      <c r="U725" s="94">
        <f t="shared" si="224"/>
        <v>0</v>
      </c>
      <c r="V725" s="92">
        <f t="shared" si="214"/>
        <v>0</v>
      </c>
      <c r="W725" s="205" t="str">
        <f t="shared" si="212"/>
        <v/>
      </c>
      <c r="X725" s="92">
        <f t="shared" si="225"/>
        <v>154701</v>
      </c>
      <c r="Y725" s="91"/>
      <c r="Z725" s="93"/>
      <c r="AA725" s="92">
        <f t="shared" si="218"/>
        <v>0</v>
      </c>
      <c r="AB725" s="232"/>
      <c r="AC725" s="92">
        <f>IF(SUMIFS('Shipments data'!L:L,'Shipments data'!F:F,'Supply planning data'!C725,'Shipments data'!A:A,'Supply planning data'!A725,'Shipments data'!O:O,"received",'Shipments data'!Q:Q,"&lt;"&amp;'Supply planning data'!D740,'Shipments data'!AC:AC,"&lt;"&amp;'Supply planning data'!D740)-SUMIFS(M:M,D:D,"&lt;="&amp;D725,C:C,C725)-SUMIFS(AA:AA,D:D,"&lt;="&amp;D725,C:C,C725)+SUMIFS(N:N,D:D,"&lt;="&amp;D725,C:C,C725)+SUMIFS(P:P,D:D,"&lt;="&amp;D725,C:C,C725)&lt;0,0,SUMIFS('Shipments data'!L:L,'Shipments data'!F:F,'Supply planning data'!C725,'Shipments data'!A:A,'Supply planning data'!A725,'Shipments data'!O:O,"received",'Shipments data'!Q:Q,"&lt;"&amp;'Supply planning data'!D740,'Shipments data'!AC:AC,"&lt;"&amp;'Supply planning data'!D740)-SUMIFS(M:M,D:D,"&lt;="&amp;D725,C:C,C725)-SUMIFS(AA:AA,D:D,"&lt;="&amp;D725,C:C,C725)+SUMIFS(N:N,D:D,"&lt;="&amp;D725,C:C,C725)+SUMIFS(P:P,D:D,"&lt;="&amp;D725,C:C,C725))</f>
        <v>0</v>
      </c>
      <c r="AD725" s="92">
        <f t="shared" si="226"/>
        <v>0</v>
      </c>
      <c r="AE725" s="92">
        <f t="shared" si="220"/>
        <v>154701</v>
      </c>
      <c r="AF725" s="205" t="str">
        <f t="shared" si="211"/>
        <v/>
      </c>
      <c r="AG725" s="92">
        <f t="shared" si="227"/>
        <v>0</v>
      </c>
      <c r="AH725" s="91"/>
      <c r="AI725" s="310"/>
      <c r="AJ725" s="92">
        <f t="shared" si="219"/>
        <v>0</v>
      </c>
      <c r="AK725" s="232"/>
      <c r="AL725" s="92">
        <f>IF(SUMIFS('Shipments data'!L:L,'Shipments data'!F:F,'Supply planning data'!C725,'Shipments data'!A:A,'Supply planning data'!A725,'Shipments data'!O:O,"received",'Shipments data'!Q:Q,"&lt;"&amp;'Supply planning data'!D740,'Shipments data'!AC:AC,"&lt;"&amp;'Supply planning data'!D740)-SUMIFS(M:M,D:D,"&lt;="&amp;D725,C:C,C725)-SUMIFS(AJ:AJ,D:D,"&lt;="&amp;D725,C:C,C725)+SUMIFS(N:N,D:D,"&lt;="&amp;D725,C:C,C725)+SUMIFS(P:P,D:D,"&lt;="&amp;D725,C:C,C725)&lt;0,0,SUMIFS('Shipments data'!L:L,'Shipments data'!F:F,'Supply planning data'!C725,'Shipments data'!A:A,'Supply planning data'!A725,'Shipments data'!O:O,"received",'Shipments data'!Q:Q,"&lt;"&amp;'Supply planning data'!D740,'Shipments data'!AC:AC,"&lt;"&amp;'Supply planning data'!D740)-SUMIFS(M:M,D:D,"&lt;="&amp;D725,C:C,C725)-SUMIFS(AJ:AJ,D:D,"&lt;="&amp;D725,C:C,C725)+SUMIFS(N:N,D:D,"&lt;="&amp;D725,C:C,C725)+SUMIFS(P:P,D:D,"&lt;="&amp;D725,C:C,C725))</f>
        <v>0</v>
      </c>
      <c r="AM725" s="92">
        <f t="shared" si="228"/>
        <v>0</v>
      </c>
      <c r="AN725" s="92">
        <f t="shared" si="221"/>
        <v>0</v>
      </c>
      <c r="AO725" s="205" t="str">
        <f t="shared" si="213"/>
        <v/>
      </c>
    </row>
    <row r="726" spans="1:41" x14ac:dyDescent="0.25">
      <c r="A726" s="95" t="str">
        <f>Start!D$7</f>
        <v>Anyland</v>
      </c>
      <c r="B726" s="96" t="str">
        <f>VLOOKUP(A726,list!B:C,2,FALSE)</f>
        <v>ANY</v>
      </c>
      <c r="C726" s="90" t="str">
        <f>IF(Start!$C$18="","",Start!$C$18)</f>
        <v>Jansen</v>
      </c>
      <c r="D726" s="296">
        <f t="shared" si="222"/>
        <v>45658</v>
      </c>
      <c r="E726" s="92" t="str">
        <f>IFERROR(VLOOKUP(C726,Start!C$15:D$31,2,FALSE),"No")</f>
        <v>Yes</v>
      </c>
      <c r="F726" s="92">
        <f t="shared" si="223"/>
        <v>1871200</v>
      </c>
      <c r="G726" s="91"/>
      <c r="H726" s="97"/>
      <c r="I726" s="97"/>
      <c r="J726" s="98">
        <f t="shared" si="215"/>
        <v>0</v>
      </c>
      <c r="K726" s="97"/>
      <c r="L726" s="175" t="str">
        <f t="shared" si="216"/>
        <v/>
      </c>
      <c r="M726" s="98">
        <f t="shared" si="217"/>
        <v>0</v>
      </c>
      <c r="N726" s="97"/>
      <c r="O726" s="122"/>
      <c r="P726" s="97"/>
      <c r="Q726" s="122"/>
      <c r="R726" s="98">
        <f>SUMIFS('Shipments data'!L:L,'Shipments data'!F:F,'Supply planning data'!C726,'Shipments data'!A:A,'Supply planning data'!A726,'Shipments data'!Y:Y,'Supply planning data'!D726,'Shipments data'!O:O,"received", 'Shipments data'!N:N, "Public")</f>
        <v>0</v>
      </c>
      <c r="S726" s="98">
        <f>SUMIFS('Shipments data'!L:L,'Shipments data'!F:F,'Supply planning data'!C726,'Shipments data'!A:A,'Supply planning data'!A726,'Shipments data'!Y:Y,'Supply planning data'!D726,'Shipments data'!O:O,"ordered", 'Shipments data'!N:N, "Public")</f>
        <v>0</v>
      </c>
      <c r="T726" s="98">
        <f>IF(SUMIFS('Shipments data'!L:L,'Shipments data'!F:F,'Supply planning data'!C726,'Shipments data'!A:A,'Supply planning data'!A726,'Shipments data'!O:O,"received",'Shipments data'!Q:Q,"&lt;"&amp;'Supply planning data'!D741,'Shipments data'!AC:AC,"&lt;"&amp;'Supply planning data'!D741)-SUMIFS(M:M,D:D,"&lt;="&amp;D726,C:C,C726)+SUMIFS(N:N,D:D,"&lt;="&amp;D726,C:C,C726)+SUMIFS(P:P,D:D,"&lt;="&amp;D726,C:C,C726)&lt;0,0,SUMIFS('Shipments data'!L:L,'Shipments data'!F:F,'Supply planning data'!C726,'Shipments data'!A:A,'Supply planning data'!A726,'Shipments data'!O:O,"received",'Shipments data'!Q:Q,"&lt;"&amp;'Supply planning data'!D741,'Shipments data'!AC:AC,"&lt;"&amp;'Supply planning data'!D741)-SUMIFS(M:M,D:D,"&lt;="&amp;D726,C:C,C726)+SUMIFS(N:N,D:D,"&lt;="&amp;D726,C:C,C726)+SUMIFS(P:P,D:D,"&lt;="&amp;D726,C:C,C726))</f>
        <v>387547</v>
      </c>
      <c r="U726" s="99">
        <f t="shared" si="224"/>
        <v>0</v>
      </c>
      <c r="V726" s="98">
        <f t="shared" si="214"/>
        <v>1871200</v>
      </c>
      <c r="W726" s="203" t="str">
        <f t="shared" si="212"/>
        <v/>
      </c>
      <c r="X726" s="98">
        <f t="shared" si="225"/>
        <v>1311200</v>
      </c>
      <c r="Y726" s="97"/>
      <c r="Z726" s="93"/>
      <c r="AA726" s="98">
        <f t="shared" si="218"/>
        <v>0</v>
      </c>
      <c r="AB726" s="233"/>
      <c r="AC726" s="98">
        <f>IF(SUMIFS('Shipments data'!L:L,'Shipments data'!F:F,'Supply planning data'!C726,'Shipments data'!A:A,'Supply planning data'!A726,'Shipments data'!O:O,"received",'Shipments data'!Q:Q,"&lt;"&amp;'Supply planning data'!D741,'Shipments data'!AC:AC,"&lt;"&amp;'Supply planning data'!D741)-SUMIFS(M:M,D:D,"&lt;="&amp;D726,C:C,C726)-SUMIFS(AA:AA,D:D,"&lt;="&amp;D726,C:C,C726)+SUMIFS(N:N,D:D,"&lt;="&amp;D726,C:C,C726)+SUMIFS(P:P,D:D,"&lt;="&amp;D726,C:C,C726)&lt;0,0,SUMIFS('Shipments data'!L:L,'Shipments data'!F:F,'Supply planning data'!C726,'Shipments data'!A:A,'Supply planning data'!A726,'Shipments data'!O:O,"received",'Shipments data'!Q:Q,"&lt;"&amp;'Supply planning data'!D741,'Shipments data'!AC:AC,"&lt;"&amp;'Supply planning data'!D741)-SUMIFS(M:M,D:D,"&lt;="&amp;D726,C:C,C726)-SUMIFS(AA:AA,D:D,"&lt;="&amp;D726,C:C,C726)+SUMIFS(N:N,D:D,"&lt;="&amp;D726,C:C,C726)+SUMIFS(P:P,D:D,"&lt;="&amp;D726,C:C,C726))</f>
        <v>0</v>
      </c>
      <c r="AD726" s="98">
        <f t="shared" si="226"/>
        <v>0</v>
      </c>
      <c r="AE726" s="98">
        <f t="shared" si="220"/>
        <v>1311200</v>
      </c>
      <c r="AF726" s="205" t="str">
        <f t="shared" si="211"/>
        <v/>
      </c>
      <c r="AG726" s="98">
        <f t="shared" si="227"/>
        <v>1871200</v>
      </c>
      <c r="AH726" s="97"/>
      <c r="AI726" s="311"/>
      <c r="AJ726" s="98">
        <f t="shared" si="219"/>
        <v>0</v>
      </c>
      <c r="AK726" s="233"/>
      <c r="AL726" s="98">
        <f>IF(SUMIFS('Shipments data'!L:L,'Shipments data'!F:F,'Supply planning data'!C726,'Shipments data'!A:A,'Supply planning data'!A726,'Shipments data'!O:O,"received",'Shipments data'!Q:Q,"&lt;"&amp;'Supply planning data'!D741,'Shipments data'!AC:AC,"&lt;"&amp;'Supply planning data'!D741)-SUMIFS(M:M,D:D,"&lt;="&amp;D726,C:C,C726)-SUMIFS(AJ:AJ,D:D,"&lt;="&amp;D726,C:C,C726)+SUMIFS(N:N,D:D,"&lt;="&amp;D726,C:C,C726)+SUMIFS(P:P,D:D,"&lt;="&amp;D726,C:C,C726)&lt;0,0,SUMIFS('Shipments data'!L:L,'Shipments data'!F:F,'Supply planning data'!C726,'Shipments data'!A:A,'Supply planning data'!A726,'Shipments data'!O:O,"received",'Shipments data'!Q:Q,"&lt;"&amp;'Supply planning data'!D741,'Shipments data'!AC:AC,"&lt;"&amp;'Supply planning data'!D741)-SUMIFS(M:M,D:D,"&lt;="&amp;D726,C:C,C726)-SUMIFS(AJ:AJ,D:D,"&lt;="&amp;D726,C:C,C726)+SUMIFS(N:N,D:D,"&lt;="&amp;D726,C:C,C726)+SUMIFS(P:P,D:D,"&lt;="&amp;D726,C:C,C726))</f>
        <v>387547</v>
      </c>
      <c r="AM726" s="98">
        <f t="shared" si="228"/>
        <v>0</v>
      </c>
      <c r="AN726" s="98">
        <f t="shared" si="221"/>
        <v>1871200</v>
      </c>
      <c r="AO726" s="203" t="str">
        <f t="shared" si="213"/>
        <v/>
      </c>
    </row>
    <row r="727" spans="1:41" x14ac:dyDescent="0.25">
      <c r="A727" s="95" t="str">
        <f>Start!D$7</f>
        <v>Anyland</v>
      </c>
      <c r="B727" s="96" t="str">
        <f>VLOOKUP(A727,list!B:C,2,FALSE)</f>
        <v>ANY</v>
      </c>
      <c r="C727" s="90" t="str">
        <f>IF(Start!$C$19="","",Start!$C$19)</f>
        <v>Moderna</v>
      </c>
      <c r="D727" s="296">
        <f t="shared" si="222"/>
        <v>45658</v>
      </c>
      <c r="E727" s="92" t="str">
        <f>IFERROR(VLOOKUP(C727,Start!C$15:D$31,2,FALSE),"No")</f>
        <v>No</v>
      </c>
      <c r="F727" s="92">
        <f t="shared" si="223"/>
        <v>0</v>
      </c>
      <c r="G727" s="91"/>
      <c r="H727" s="97"/>
      <c r="I727" s="97"/>
      <c r="J727" s="98">
        <f t="shared" si="215"/>
        <v>0</v>
      </c>
      <c r="K727" s="97"/>
      <c r="L727" s="175" t="str">
        <f t="shared" si="216"/>
        <v/>
      </c>
      <c r="M727" s="98">
        <f t="shared" si="217"/>
        <v>0</v>
      </c>
      <c r="N727" s="97"/>
      <c r="O727" s="122"/>
      <c r="P727" s="97"/>
      <c r="Q727" s="122"/>
      <c r="R727" s="98">
        <f>SUMIFS('Shipments data'!L:L,'Shipments data'!F:F,'Supply planning data'!C727,'Shipments data'!A:A,'Supply planning data'!A727,'Shipments data'!Y:Y,'Supply planning data'!D727,'Shipments data'!O:O,"received", 'Shipments data'!N:N, "Public")</f>
        <v>0</v>
      </c>
      <c r="S727" s="98">
        <f>SUMIFS('Shipments data'!L:L,'Shipments data'!F:F,'Supply planning data'!C727,'Shipments data'!A:A,'Supply planning data'!A727,'Shipments data'!Y:Y,'Supply planning data'!D727,'Shipments data'!O:O,"ordered", 'Shipments data'!N:N, "Public")</f>
        <v>0</v>
      </c>
      <c r="T727" s="98">
        <f>IF(SUMIFS('Shipments data'!L:L,'Shipments data'!F:F,'Supply planning data'!C727,'Shipments data'!A:A,'Supply planning data'!A727,'Shipments data'!O:O,"received",'Shipments data'!Q:Q,"&lt;"&amp;'Supply planning data'!D742,'Shipments data'!AC:AC,"&lt;"&amp;'Supply planning data'!D742)-SUMIFS(M:M,D:D,"&lt;="&amp;D727,C:C,C727)+SUMIFS(N:N,D:D,"&lt;="&amp;D727,C:C,C727)+SUMIFS(P:P,D:D,"&lt;="&amp;D727,C:C,C727)&lt;0,0,SUMIFS('Shipments data'!L:L,'Shipments data'!F:F,'Supply planning data'!C727,'Shipments data'!A:A,'Supply planning data'!A727,'Shipments data'!O:O,"received",'Shipments data'!Q:Q,"&lt;"&amp;'Supply planning data'!D742,'Shipments data'!AC:AC,"&lt;"&amp;'Supply planning data'!D742)-SUMIFS(M:M,D:D,"&lt;="&amp;D727,C:C,C727)+SUMIFS(N:N,D:D,"&lt;="&amp;D727,C:C,C727)+SUMIFS(P:P,D:D,"&lt;="&amp;D727,C:C,C727))</f>
        <v>0</v>
      </c>
      <c r="U727" s="99">
        <f t="shared" si="224"/>
        <v>0</v>
      </c>
      <c r="V727" s="98">
        <f t="shared" si="214"/>
        <v>0</v>
      </c>
      <c r="W727" s="203" t="str">
        <f t="shared" si="212"/>
        <v/>
      </c>
      <c r="X727" s="98">
        <f t="shared" si="225"/>
        <v>0</v>
      </c>
      <c r="Y727" s="97"/>
      <c r="Z727" s="93"/>
      <c r="AA727" s="98">
        <f t="shared" si="218"/>
        <v>0</v>
      </c>
      <c r="AB727" s="233"/>
      <c r="AC727" s="98">
        <f>IF(SUMIFS('Shipments data'!L:L,'Shipments data'!F:F,'Supply planning data'!C727,'Shipments data'!A:A,'Supply planning data'!A727,'Shipments data'!O:O,"received",'Shipments data'!Q:Q,"&lt;"&amp;'Supply planning data'!D742,'Shipments data'!AC:AC,"&lt;"&amp;'Supply planning data'!D742)-SUMIFS(M:M,D:D,"&lt;="&amp;D727,C:C,C727)-SUMIFS(AA:AA,D:D,"&lt;="&amp;D727,C:C,C727)+SUMIFS(N:N,D:D,"&lt;="&amp;D727,C:C,C727)+SUMIFS(P:P,D:D,"&lt;="&amp;D727,C:C,C727)&lt;0,0,SUMIFS('Shipments data'!L:L,'Shipments data'!F:F,'Supply planning data'!C727,'Shipments data'!A:A,'Supply planning data'!A727,'Shipments data'!O:O,"received",'Shipments data'!Q:Q,"&lt;"&amp;'Supply planning data'!D742,'Shipments data'!AC:AC,"&lt;"&amp;'Supply planning data'!D742)-SUMIFS(M:M,D:D,"&lt;="&amp;D727,C:C,C727)-SUMIFS(AA:AA,D:D,"&lt;="&amp;D727,C:C,C727)+SUMIFS(N:N,D:D,"&lt;="&amp;D727,C:C,C727)+SUMIFS(P:P,D:D,"&lt;="&amp;D727,C:C,C727))</f>
        <v>0</v>
      </c>
      <c r="AD727" s="98">
        <f t="shared" si="226"/>
        <v>0</v>
      </c>
      <c r="AE727" s="98">
        <f t="shared" si="220"/>
        <v>0</v>
      </c>
      <c r="AF727" s="205" t="str">
        <f t="shared" si="211"/>
        <v/>
      </c>
      <c r="AG727" s="98">
        <f t="shared" si="227"/>
        <v>0</v>
      </c>
      <c r="AH727" s="97"/>
      <c r="AI727" s="311"/>
      <c r="AJ727" s="98">
        <f t="shared" si="219"/>
        <v>0</v>
      </c>
      <c r="AK727" s="233"/>
      <c r="AL727" s="98">
        <f>IF(SUMIFS('Shipments data'!L:L,'Shipments data'!F:F,'Supply planning data'!C727,'Shipments data'!A:A,'Supply planning data'!A727,'Shipments data'!O:O,"received",'Shipments data'!Q:Q,"&lt;"&amp;'Supply planning data'!D742,'Shipments data'!AC:AC,"&lt;"&amp;'Supply planning data'!D742)-SUMIFS(M:M,D:D,"&lt;="&amp;D727,C:C,C727)-SUMIFS(AJ:AJ,D:D,"&lt;="&amp;D727,C:C,C727)+SUMIFS(N:N,D:D,"&lt;="&amp;D727,C:C,C727)+SUMIFS(P:P,D:D,"&lt;="&amp;D727,C:C,C727)&lt;0,0,SUMIFS('Shipments data'!L:L,'Shipments data'!F:F,'Supply planning data'!C727,'Shipments data'!A:A,'Supply planning data'!A727,'Shipments data'!O:O,"received",'Shipments data'!Q:Q,"&lt;"&amp;'Supply planning data'!D742,'Shipments data'!AC:AC,"&lt;"&amp;'Supply planning data'!D742)-SUMIFS(M:M,D:D,"&lt;="&amp;D727,C:C,C727)-SUMIFS(AJ:AJ,D:D,"&lt;="&amp;D727,C:C,C727)+SUMIFS(N:N,D:D,"&lt;="&amp;D727,C:C,C727)+SUMIFS(P:P,D:D,"&lt;="&amp;D727,C:C,C727))</f>
        <v>0</v>
      </c>
      <c r="AM727" s="98">
        <f t="shared" si="228"/>
        <v>0</v>
      </c>
      <c r="AN727" s="98">
        <f t="shared" si="221"/>
        <v>0</v>
      </c>
      <c r="AO727" s="203" t="str">
        <f t="shared" si="213"/>
        <v/>
      </c>
    </row>
    <row r="728" spans="1:41" x14ac:dyDescent="0.25">
      <c r="A728" s="95" t="str">
        <f>Start!D$7</f>
        <v>Anyland</v>
      </c>
      <c r="B728" s="96" t="str">
        <f>VLOOKUP(A728,list!B:C,2,FALSE)</f>
        <v>ANY</v>
      </c>
      <c r="C728" s="90" t="str">
        <f>IF(Start!$C$20="","",Start!$C$20)</f>
        <v>Pfizer</v>
      </c>
      <c r="D728" s="296">
        <f t="shared" si="222"/>
        <v>45658</v>
      </c>
      <c r="E728" s="92" t="str">
        <f>IFERROR(VLOOKUP(C728,Start!C$15:D$31,2,FALSE),"No")</f>
        <v>Yes</v>
      </c>
      <c r="F728" s="92">
        <f t="shared" si="223"/>
        <v>3000000</v>
      </c>
      <c r="G728" s="91"/>
      <c r="H728" s="97"/>
      <c r="I728" s="97"/>
      <c r="J728" s="98">
        <f t="shared" si="215"/>
        <v>0</v>
      </c>
      <c r="K728" s="97"/>
      <c r="L728" s="175" t="str">
        <f t="shared" si="216"/>
        <v/>
      </c>
      <c r="M728" s="98">
        <f t="shared" si="217"/>
        <v>0</v>
      </c>
      <c r="N728" s="97"/>
      <c r="O728" s="122"/>
      <c r="P728" s="97"/>
      <c r="Q728" s="122"/>
      <c r="R728" s="98">
        <f>SUMIFS('Shipments data'!L:L,'Shipments data'!F:F,'Supply planning data'!C728,'Shipments data'!A:A,'Supply planning data'!A728,'Shipments data'!Y:Y,'Supply planning data'!D728,'Shipments data'!O:O,"received", 'Shipments data'!N:N, "Public")</f>
        <v>0</v>
      </c>
      <c r="S728" s="98">
        <f>SUMIFS('Shipments data'!L:L,'Shipments data'!F:F,'Supply planning data'!C728,'Shipments data'!A:A,'Supply planning data'!A728,'Shipments data'!Y:Y,'Supply planning data'!D728,'Shipments data'!O:O,"ordered", 'Shipments data'!N:N, "Public")</f>
        <v>0</v>
      </c>
      <c r="T728" s="98">
        <f>IF(SUMIFS('Shipments data'!L:L,'Shipments data'!F:F,'Supply planning data'!C728,'Shipments data'!A:A,'Supply planning data'!A728,'Shipments data'!O:O,"received",'Shipments data'!Q:Q,"&lt;"&amp;'Supply planning data'!D743,'Shipments data'!AC:AC,"&lt;"&amp;'Supply planning data'!D743)-SUMIFS(M:M,D:D,"&lt;="&amp;D728,C:C,C728)+SUMIFS(N:N,D:D,"&lt;="&amp;D728,C:C,C728)+SUMIFS(P:P,D:D,"&lt;="&amp;D728,C:C,C728)&lt;0,0,SUMIFS('Shipments data'!L:L,'Shipments data'!F:F,'Supply planning data'!C728,'Shipments data'!A:A,'Supply planning data'!A728,'Shipments data'!O:O,"received",'Shipments data'!Q:Q,"&lt;"&amp;'Supply planning data'!D743,'Shipments data'!AC:AC,"&lt;"&amp;'Supply planning data'!D743)-SUMIFS(M:M,D:D,"&lt;="&amp;D728,C:C,C728)+SUMIFS(N:N,D:D,"&lt;="&amp;D728,C:C,C728)+SUMIFS(P:P,D:D,"&lt;="&amp;D728,C:C,C728))</f>
        <v>110538</v>
      </c>
      <c r="U728" s="99">
        <f t="shared" si="224"/>
        <v>0</v>
      </c>
      <c r="V728" s="98">
        <f t="shared" si="214"/>
        <v>3000000</v>
      </c>
      <c r="W728" s="203" t="str">
        <f t="shared" si="212"/>
        <v/>
      </c>
      <c r="X728" s="98">
        <f t="shared" si="225"/>
        <v>2440000</v>
      </c>
      <c r="Y728" s="97"/>
      <c r="Z728" s="93"/>
      <c r="AA728" s="98">
        <f t="shared" si="218"/>
        <v>0</v>
      </c>
      <c r="AB728" s="233"/>
      <c r="AC728" s="98">
        <f>IF(SUMIFS('Shipments data'!L:L,'Shipments data'!F:F,'Supply planning data'!C728,'Shipments data'!A:A,'Supply planning data'!A728,'Shipments data'!O:O,"received",'Shipments data'!Q:Q,"&lt;"&amp;'Supply planning data'!D743,'Shipments data'!AC:AC,"&lt;"&amp;'Supply planning data'!D743)-SUMIFS(M:M,D:D,"&lt;="&amp;D728,C:C,C728)-SUMIFS(AA:AA,D:D,"&lt;="&amp;D728,C:C,C728)+SUMIFS(N:N,D:D,"&lt;="&amp;D728,C:C,C728)+SUMIFS(P:P,D:D,"&lt;="&amp;D728,C:C,C728)&lt;0,0,SUMIFS('Shipments data'!L:L,'Shipments data'!F:F,'Supply planning data'!C728,'Shipments data'!A:A,'Supply planning data'!A728,'Shipments data'!O:O,"received",'Shipments data'!Q:Q,"&lt;"&amp;'Supply planning data'!D743,'Shipments data'!AC:AC,"&lt;"&amp;'Supply planning data'!D743)-SUMIFS(M:M,D:D,"&lt;="&amp;D728,C:C,C728)-SUMIFS(AA:AA,D:D,"&lt;="&amp;D728,C:C,C728)+SUMIFS(N:N,D:D,"&lt;="&amp;D728,C:C,C728)+SUMIFS(P:P,D:D,"&lt;="&amp;D728,C:C,C728))</f>
        <v>0</v>
      </c>
      <c r="AD728" s="98">
        <f t="shared" si="226"/>
        <v>0</v>
      </c>
      <c r="AE728" s="98">
        <f t="shared" si="220"/>
        <v>2440000</v>
      </c>
      <c r="AF728" s="205" t="str">
        <f t="shared" si="211"/>
        <v/>
      </c>
      <c r="AG728" s="98">
        <f t="shared" si="227"/>
        <v>3000000</v>
      </c>
      <c r="AH728" s="97"/>
      <c r="AI728" s="311"/>
      <c r="AJ728" s="98">
        <f t="shared" si="219"/>
        <v>0</v>
      </c>
      <c r="AK728" s="233"/>
      <c r="AL728" s="98">
        <f>IF(SUMIFS('Shipments data'!L:L,'Shipments data'!F:F,'Supply planning data'!C728,'Shipments data'!A:A,'Supply planning data'!A728,'Shipments data'!O:O,"received",'Shipments data'!Q:Q,"&lt;"&amp;'Supply planning data'!D743,'Shipments data'!AC:AC,"&lt;"&amp;'Supply planning data'!D743)-SUMIFS(M:M,D:D,"&lt;="&amp;D728,C:C,C728)-SUMIFS(AJ:AJ,D:D,"&lt;="&amp;D728,C:C,C728)+SUMIFS(N:N,D:D,"&lt;="&amp;D728,C:C,C728)+SUMIFS(P:P,D:D,"&lt;="&amp;D728,C:C,C728)&lt;0,0,SUMIFS('Shipments data'!L:L,'Shipments data'!F:F,'Supply planning data'!C728,'Shipments data'!A:A,'Supply planning data'!A728,'Shipments data'!O:O,"received",'Shipments data'!Q:Q,"&lt;"&amp;'Supply planning data'!D743,'Shipments data'!AC:AC,"&lt;"&amp;'Supply planning data'!D743)-SUMIFS(M:M,D:D,"&lt;="&amp;D728,C:C,C728)-SUMIFS(AJ:AJ,D:D,"&lt;="&amp;D728,C:C,C728)+SUMIFS(N:N,D:D,"&lt;="&amp;D728,C:C,C728)+SUMIFS(P:P,D:D,"&lt;="&amp;D728,C:C,C728))</f>
        <v>110538</v>
      </c>
      <c r="AM728" s="98">
        <f t="shared" si="228"/>
        <v>0</v>
      </c>
      <c r="AN728" s="98">
        <f t="shared" si="221"/>
        <v>3000000</v>
      </c>
      <c r="AO728" s="203" t="str">
        <f t="shared" si="213"/>
        <v/>
      </c>
    </row>
    <row r="729" spans="1:41" x14ac:dyDescent="0.25">
      <c r="A729" s="95" t="str">
        <f>Start!D$7</f>
        <v>Anyland</v>
      </c>
      <c r="B729" s="96" t="str">
        <f>VLOOKUP(A729,list!B:C,2,FALSE)</f>
        <v>ANY</v>
      </c>
      <c r="C729" s="90" t="str">
        <f>IF(Start!$C$21="","",Start!$C$21)</f>
        <v>Sinovac</v>
      </c>
      <c r="D729" s="296">
        <f t="shared" si="222"/>
        <v>45658</v>
      </c>
      <c r="E729" s="92" t="str">
        <f>IFERROR(VLOOKUP(C729,Start!C$15:D$31,2,FALSE),"No")</f>
        <v>No</v>
      </c>
      <c r="F729" s="92">
        <f t="shared" si="223"/>
        <v>0</v>
      </c>
      <c r="G729" s="91"/>
      <c r="H729" s="97"/>
      <c r="I729" s="97"/>
      <c r="J729" s="98">
        <f t="shared" si="215"/>
        <v>0</v>
      </c>
      <c r="K729" s="97"/>
      <c r="L729" s="175" t="str">
        <f t="shared" si="216"/>
        <v/>
      </c>
      <c r="M729" s="98">
        <f t="shared" si="217"/>
        <v>0</v>
      </c>
      <c r="N729" s="97"/>
      <c r="O729" s="122"/>
      <c r="P729" s="97"/>
      <c r="Q729" s="122"/>
      <c r="R729" s="98">
        <f>SUMIFS('Shipments data'!L:L,'Shipments data'!F:F,'Supply planning data'!C729,'Shipments data'!A:A,'Supply planning data'!A729,'Shipments data'!Y:Y,'Supply planning data'!D729,'Shipments data'!O:O,"received", 'Shipments data'!N:N, "Public")</f>
        <v>0</v>
      </c>
      <c r="S729" s="98">
        <f>SUMIFS('Shipments data'!L:L,'Shipments data'!F:F,'Supply planning data'!C729,'Shipments data'!A:A,'Supply planning data'!A729,'Shipments data'!Y:Y,'Supply planning data'!D729,'Shipments data'!O:O,"ordered", 'Shipments data'!N:N, "Public")</f>
        <v>0</v>
      </c>
      <c r="T729" s="98">
        <f>IF(SUMIFS('Shipments data'!L:L,'Shipments data'!F:F,'Supply planning data'!C729,'Shipments data'!A:A,'Supply planning data'!A729,'Shipments data'!O:O,"received",'Shipments data'!Q:Q,"&lt;"&amp;'Supply planning data'!D744,'Shipments data'!AC:AC,"&lt;"&amp;'Supply planning data'!D744)-SUMIFS(M:M,D:D,"&lt;="&amp;D729,C:C,C729)+SUMIFS(N:N,D:D,"&lt;="&amp;D729,C:C,C729)+SUMIFS(P:P,D:D,"&lt;="&amp;D729,C:C,C729)&lt;0,0,SUMIFS('Shipments data'!L:L,'Shipments data'!F:F,'Supply planning data'!C729,'Shipments data'!A:A,'Supply planning data'!A729,'Shipments data'!O:O,"received",'Shipments data'!Q:Q,"&lt;"&amp;'Supply planning data'!D744,'Shipments data'!AC:AC,"&lt;"&amp;'Supply planning data'!D744)-SUMIFS(M:M,D:D,"&lt;="&amp;D729,C:C,C729)+SUMIFS(N:N,D:D,"&lt;="&amp;D729,C:C,C729)+SUMIFS(P:P,D:D,"&lt;="&amp;D729,C:C,C729))</f>
        <v>0</v>
      </c>
      <c r="U729" s="99">
        <f t="shared" si="224"/>
        <v>0</v>
      </c>
      <c r="V729" s="98">
        <f t="shared" si="214"/>
        <v>0</v>
      </c>
      <c r="W729" s="203" t="str">
        <f t="shared" si="212"/>
        <v/>
      </c>
      <c r="X729" s="98">
        <f t="shared" si="225"/>
        <v>0</v>
      </c>
      <c r="Y729" s="97"/>
      <c r="Z729" s="93"/>
      <c r="AA729" s="98">
        <f t="shared" si="218"/>
        <v>0</v>
      </c>
      <c r="AB729" s="233"/>
      <c r="AC729" s="98">
        <f>IF(SUMIFS('Shipments data'!L:L,'Shipments data'!F:F,'Supply planning data'!C729,'Shipments data'!A:A,'Supply planning data'!A729,'Shipments data'!O:O,"received",'Shipments data'!Q:Q,"&lt;"&amp;'Supply planning data'!D744,'Shipments data'!AC:AC,"&lt;"&amp;'Supply planning data'!D744)-SUMIFS(M:M,D:D,"&lt;="&amp;D729,C:C,C729)-SUMIFS(AA:AA,D:D,"&lt;="&amp;D729,C:C,C729)+SUMIFS(N:N,D:D,"&lt;="&amp;D729,C:C,C729)+SUMIFS(P:P,D:D,"&lt;="&amp;D729,C:C,C729)&lt;0,0,SUMIFS('Shipments data'!L:L,'Shipments data'!F:F,'Supply planning data'!C729,'Shipments data'!A:A,'Supply planning data'!A729,'Shipments data'!O:O,"received",'Shipments data'!Q:Q,"&lt;"&amp;'Supply planning data'!D744,'Shipments data'!AC:AC,"&lt;"&amp;'Supply planning data'!D744)-SUMIFS(M:M,D:D,"&lt;="&amp;D729,C:C,C729)-SUMIFS(AA:AA,D:D,"&lt;="&amp;D729,C:C,C729)+SUMIFS(N:N,D:D,"&lt;="&amp;D729,C:C,C729)+SUMIFS(P:P,D:D,"&lt;="&amp;D729,C:C,C729))</f>
        <v>0</v>
      </c>
      <c r="AD729" s="98">
        <f t="shared" si="226"/>
        <v>0</v>
      </c>
      <c r="AE729" s="98">
        <f t="shared" si="220"/>
        <v>0</v>
      </c>
      <c r="AF729" s="205" t="str">
        <f t="shared" si="211"/>
        <v/>
      </c>
      <c r="AG729" s="98">
        <f t="shared" si="227"/>
        <v>0</v>
      </c>
      <c r="AH729" s="97"/>
      <c r="AI729" s="311"/>
      <c r="AJ729" s="98">
        <f t="shared" si="219"/>
        <v>0</v>
      </c>
      <c r="AK729" s="233"/>
      <c r="AL729" s="98">
        <f>IF(SUMIFS('Shipments data'!L:L,'Shipments data'!F:F,'Supply planning data'!C729,'Shipments data'!A:A,'Supply planning data'!A729,'Shipments data'!O:O,"received",'Shipments data'!Q:Q,"&lt;"&amp;'Supply planning data'!D744,'Shipments data'!AC:AC,"&lt;"&amp;'Supply planning data'!D744)-SUMIFS(M:M,D:D,"&lt;="&amp;D729,C:C,C729)-SUMIFS(AJ:AJ,D:D,"&lt;="&amp;D729,C:C,C729)+SUMIFS(N:N,D:D,"&lt;="&amp;D729,C:C,C729)+SUMIFS(P:P,D:D,"&lt;="&amp;D729,C:C,C729)&lt;0,0,SUMIFS('Shipments data'!L:L,'Shipments data'!F:F,'Supply planning data'!C729,'Shipments data'!A:A,'Supply planning data'!A729,'Shipments data'!O:O,"received",'Shipments data'!Q:Q,"&lt;"&amp;'Supply planning data'!D744,'Shipments data'!AC:AC,"&lt;"&amp;'Supply planning data'!D744)-SUMIFS(M:M,D:D,"&lt;="&amp;D729,C:C,C729)-SUMIFS(AJ:AJ,D:D,"&lt;="&amp;D729,C:C,C729)+SUMIFS(N:N,D:D,"&lt;="&amp;D729,C:C,C729)+SUMIFS(P:P,D:D,"&lt;="&amp;D729,C:C,C729))</f>
        <v>0</v>
      </c>
      <c r="AM729" s="98">
        <f t="shared" si="228"/>
        <v>0</v>
      </c>
      <c r="AN729" s="98">
        <f t="shared" si="221"/>
        <v>0</v>
      </c>
      <c r="AO729" s="203" t="str">
        <f t="shared" si="213"/>
        <v/>
      </c>
    </row>
    <row r="730" spans="1:41" hidden="1" x14ac:dyDescent="0.25">
      <c r="A730" s="95" t="str">
        <f>Start!D$7</f>
        <v>Anyland</v>
      </c>
      <c r="B730" s="96" t="str">
        <f>VLOOKUP(A730,list!B:C,2,FALSE)</f>
        <v>ANY</v>
      </c>
      <c r="C730" s="90" t="str">
        <f>IF(Start!$C$22="","",Start!$C$22)</f>
        <v/>
      </c>
      <c r="D730" s="296">
        <f t="shared" si="222"/>
        <v>45658</v>
      </c>
      <c r="E730" s="92" t="str">
        <f>IFERROR(VLOOKUP(C730,Start!C$15:D$31,2,FALSE),"No")</f>
        <v>No</v>
      </c>
      <c r="F730" s="92">
        <f t="shared" si="223"/>
        <v>0</v>
      </c>
      <c r="G730" s="91"/>
      <c r="H730" s="97"/>
      <c r="I730" s="97"/>
      <c r="J730" s="98">
        <f t="shared" si="215"/>
        <v>0</v>
      </c>
      <c r="K730" s="97"/>
      <c r="L730" s="175" t="str">
        <f t="shared" si="216"/>
        <v/>
      </c>
      <c r="M730" s="98">
        <f t="shared" si="217"/>
        <v>0</v>
      </c>
      <c r="N730" s="97"/>
      <c r="O730" s="122"/>
      <c r="P730" s="97"/>
      <c r="Q730" s="122"/>
      <c r="R730" s="98">
        <f>SUMIFS('Shipments data'!L:L,'Shipments data'!F:F,'Supply planning data'!C730,'Shipments data'!A:A,'Supply planning data'!A730,'Shipments data'!Y:Y,'Supply planning data'!D730,'Shipments data'!O:O,"received", 'Shipments data'!N:N, "Public")</f>
        <v>0</v>
      </c>
      <c r="S730" s="98">
        <f>SUMIFS('Shipments data'!L:L,'Shipments data'!F:F,'Supply planning data'!C730,'Shipments data'!A:A,'Supply planning data'!A730,'Shipments data'!Y:Y,'Supply planning data'!D730,'Shipments data'!O:O,"ordered", 'Shipments data'!N:N, "Public")</f>
        <v>0</v>
      </c>
      <c r="T730" s="98">
        <f>IF(SUMIFS('Shipments data'!L:L,'Shipments data'!F:F,'Supply planning data'!C730,'Shipments data'!A:A,'Supply planning data'!A730,'Shipments data'!O:O,"received",'Shipments data'!Q:Q,"&lt;"&amp;'Supply planning data'!D745,'Shipments data'!AC:AC,"&lt;"&amp;'Supply planning data'!D745)-SUMIFS(M:M,D:D,"&lt;="&amp;D730,C:C,C730)+SUMIFS(N:N,D:D,"&lt;="&amp;D730,C:C,C730)+SUMIFS(P:P,D:D,"&lt;="&amp;D730,C:C,C730)&lt;0,0,SUMIFS('Shipments data'!L:L,'Shipments data'!F:F,'Supply planning data'!C730,'Shipments data'!A:A,'Supply planning data'!A730,'Shipments data'!O:O,"received",'Shipments data'!Q:Q,"&lt;"&amp;'Supply planning data'!D745,'Shipments data'!AC:AC,"&lt;"&amp;'Supply planning data'!D745)-SUMIFS(M:M,D:D,"&lt;="&amp;D730,C:C,C730)+SUMIFS(N:N,D:D,"&lt;="&amp;D730,C:C,C730)+SUMIFS(P:P,D:D,"&lt;="&amp;D730,C:C,C730))</f>
        <v>0</v>
      </c>
      <c r="U730" s="99">
        <f t="shared" si="224"/>
        <v>0</v>
      </c>
      <c r="V730" s="98">
        <f t="shared" si="214"/>
        <v>0</v>
      </c>
      <c r="W730" s="203" t="str">
        <f t="shared" si="212"/>
        <v/>
      </c>
      <c r="X730" s="98">
        <f t="shared" si="225"/>
        <v>0</v>
      </c>
      <c r="Y730" s="97"/>
      <c r="Z730" s="93"/>
      <c r="AA730" s="98">
        <f t="shared" si="218"/>
        <v>0</v>
      </c>
      <c r="AB730" s="233"/>
      <c r="AC730" s="98">
        <f>IF(SUMIFS('Shipments data'!L:L,'Shipments data'!F:F,'Supply planning data'!C730,'Shipments data'!A:A,'Supply planning data'!A730,'Shipments data'!O:O,"received",'Shipments data'!Q:Q,"&lt;"&amp;'Supply planning data'!D745,'Shipments data'!AC:AC,"&lt;"&amp;'Supply planning data'!D745)-SUMIFS(M:M,D:D,"&lt;="&amp;D730,C:C,C730)-SUMIFS(AA:AA,D:D,"&lt;="&amp;D730,C:C,C730)+SUMIFS(N:N,D:D,"&lt;="&amp;D730,C:C,C730)+SUMIFS(P:P,D:D,"&lt;="&amp;D730,C:C,C730)&lt;0,0,SUMIFS('Shipments data'!L:L,'Shipments data'!F:F,'Supply planning data'!C730,'Shipments data'!A:A,'Supply planning data'!A730,'Shipments data'!O:O,"received",'Shipments data'!Q:Q,"&lt;"&amp;'Supply planning data'!D745,'Shipments data'!AC:AC,"&lt;"&amp;'Supply planning data'!D745)-SUMIFS(M:M,D:D,"&lt;="&amp;D730,C:C,C730)-SUMIFS(AA:AA,D:D,"&lt;="&amp;D730,C:C,C730)+SUMIFS(N:N,D:D,"&lt;="&amp;D730,C:C,C730)+SUMIFS(P:P,D:D,"&lt;="&amp;D730,C:C,C730))</f>
        <v>0</v>
      </c>
      <c r="AD730" s="98">
        <f t="shared" si="226"/>
        <v>0</v>
      </c>
      <c r="AE730" s="98">
        <f t="shared" si="220"/>
        <v>0</v>
      </c>
      <c r="AF730" s="205" t="str">
        <f t="shared" si="211"/>
        <v/>
      </c>
      <c r="AG730" s="98">
        <f t="shared" si="227"/>
        <v>0</v>
      </c>
      <c r="AH730" s="97"/>
      <c r="AI730" s="311"/>
      <c r="AJ730" s="98">
        <f t="shared" si="219"/>
        <v>0</v>
      </c>
      <c r="AK730" s="233"/>
      <c r="AL730" s="98">
        <f>IF(SUMIFS('Shipments data'!L:L,'Shipments data'!F:F,'Supply planning data'!C730,'Shipments data'!A:A,'Supply planning data'!A730,'Shipments data'!O:O,"received",'Shipments data'!Q:Q,"&lt;"&amp;'Supply planning data'!D745,'Shipments data'!AC:AC,"&lt;"&amp;'Supply planning data'!D745)-SUMIFS(M:M,D:D,"&lt;="&amp;D730,C:C,C730)-SUMIFS(AJ:AJ,D:D,"&lt;="&amp;D730,C:C,C730)+SUMIFS(N:N,D:D,"&lt;="&amp;D730,C:C,C730)+SUMIFS(P:P,D:D,"&lt;="&amp;D730,C:C,C730)&lt;0,0,SUMIFS('Shipments data'!L:L,'Shipments data'!F:F,'Supply planning data'!C730,'Shipments data'!A:A,'Supply planning data'!A730,'Shipments data'!O:O,"received",'Shipments data'!Q:Q,"&lt;"&amp;'Supply planning data'!D745,'Shipments data'!AC:AC,"&lt;"&amp;'Supply planning data'!D745)-SUMIFS(M:M,D:D,"&lt;="&amp;D730,C:C,C730)-SUMIFS(AJ:AJ,D:D,"&lt;="&amp;D730,C:C,C730)+SUMIFS(N:N,D:D,"&lt;="&amp;D730,C:C,C730)+SUMIFS(P:P,D:D,"&lt;="&amp;D730,C:C,C730))</f>
        <v>0</v>
      </c>
      <c r="AM730" s="98">
        <f t="shared" si="228"/>
        <v>0</v>
      </c>
      <c r="AN730" s="98">
        <f t="shared" si="221"/>
        <v>0</v>
      </c>
      <c r="AO730" s="203" t="str">
        <f t="shared" si="213"/>
        <v/>
      </c>
    </row>
    <row r="731" spans="1:41" hidden="1" x14ac:dyDescent="0.25">
      <c r="A731" s="95" t="str">
        <f>Start!D$7</f>
        <v>Anyland</v>
      </c>
      <c r="B731" s="96" t="str">
        <f>VLOOKUP(A731,list!B:C,2,FALSE)</f>
        <v>ANY</v>
      </c>
      <c r="C731" s="90" t="str">
        <f>IF(Start!$C$23="","",Start!$C$23)</f>
        <v/>
      </c>
      <c r="D731" s="296">
        <f t="shared" si="222"/>
        <v>45658</v>
      </c>
      <c r="E731" s="92" t="str">
        <f>IFERROR(VLOOKUP(C731,Start!C$15:D$31,2,FALSE),"No")</f>
        <v>No</v>
      </c>
      <c r="F731" s="92">
        <f t="shared" si="223"/>
        <v>0</v>
      </c>
      <c r="G731" s="91"/>
      <c r="H731" s="97"/>
      <c r="I731" s="97"/>
      <c r="J731" s="98">
        <f t="shared" si="215"/>
        <v>0</v>
      </c>
      <c r="K731" s="97"/>
      <c r="L731" s="175" t="str">
        <f t="shared" si="216"/>
        <v/>
      </c>
      <c r="M731" s="98">
        <f t="shared" si="217"/>
        <v>0</v>
      </c>
      <c r="N731" s="97"/>
      <c r="O731" s="122"/>
      <c r="P731" s="97"/>
      <c r="Q731" s="122"/>
      <c r="R731" s="98">
        <f>SUMIFS('Shipments data'!L:L,'Shipments data'!F:F,'Supply planning data'!C731,'Shipments data'!A:A,'Supply planning data'!A731,'Shipments data'!Y:Y,'Supply planning data'!D731,'Shipments data'!O:O,"received", 'Shipments data'!N:N, "Public")</f>
        <v>0</v>
      </c>
      <c r="S731" s="98">
        <f>SUMIFS('Shipments data'!L:L,'Shipments data'!F:F,'Supply planning data'!C731,'Shipments data'!A:A,'Supply planning data'!A731,'Shipments data'!Y:Y,'Supply planning data'!D731,'Shipments data'!O:O,"ordered", 'Shipments data'!N:N, "Public")</f>
        <v>0</v>
      </c>
      <c r="T731" s="98">
        <f>IF(SUMIFS('Shipments data'!L:L,'Shipments data'!F:F,'Supply planning data'!C731,'Shipments data'!A:A,'Supply planning data'!A731,'Shipments data'!O:O,"received",'Shipments data'!Q:Q,"&lt;"&amp;'Supply planning data'!D746,'Shipments data'!AC:AC,"&lt;"&amp;'Supply planning data'!D746)-SUMIFS(M:M,D:D,"&lt;="&amp;D731,C:C,C731)+SUMIFS(N:N,D:D,"&lt;="&amp;D731,C:C,C731)+SUMIFS(P:P,D:D,"&lt;="&amp;D731,C:C,C731)&lt;0,0,SUMIFS('Shipments data'!L:L,'Shipments data'!F:F,'Supply planning data'!C731,'Shipments data'!A:A,'Supply planning data'!A731,'Shipments data'!O:O,"received",'Shipments data'!Q:Q,"&lt;"&amp;'Supply planning data'!D746,'Shipments data'!AC:AC,"&lt;"&amp;'Supply planning data'!D746)-SUMIFS(M:M,D:D,"&lt;="&amp;D731,C:C,C731)+SUMIFS(N:N,D:D,"&lt;="&amp;D731,C:C,C731)+SUMIFS(P:P,D:D,"&lt;="&amp;D731,C:C,C731))</f>
        <v>0</v>
      </c>
      <c r="U731" s="99">
        <f t="shared" si="224"/>
        <v>0</v>
      </c>
      <c r="V731" s="98">
        <f t="shared" si="214"/>
        <v>0</v>
      </c>
      <c r="W731" s="203" t="str">
        <f t="shared" si="212"/>
        <v/>
      </c>
      <c r="X731" s="98">
        <f t="shared" si="225"/>
        <v>0</v>
      </c>
      <c r="Y731" s="97"/>
      <c r="Z731" s="93"/>
      <c r="AA731" s="98">
        <f t="shared" si="218"/>
        <v>0</v>
      </c>
      <c r="AB731" s="233"/>
      <c r="AC731" s="98">
        <f>IF(SUMIFS('Shipments data'!L:L,'Shipments data'!F:F,'Supply planning data'!C731,'Shipments data'!A:A,'Supply planning data'!A731,'Shipments data'!O:O,"received",'Shipments data'!Q:Q,"&lt;"&amp;'Supply planning data'!D746,'Shipments data'!AC:AC,"&lt;"&amp;'Supply planning data'!D746)-SUMIFS(M:M,D:D,"&lt;="&amp;D731,C:C,C731)-SUMIFS(AA:AA,D:D,"&lt;="&amp;D731,C:C,C731)+SUMIFS(N:N,D:D,"&lt;="&amp;D731,C:C,C731)+SUMIFS(P:P,D:D,"&lt;="&amp;D731,C:C,C731)&lt;0,0,SUMIFS('Shipments data'!L:L,'Shipments data'!F:F,'Supply planning data'!C731,'Shipments data'!A:A,'Supply planning data'!A731,'Shipments data'!O:O,"received",'Shipments data'!Q:Q,"&lt;"&amp;'Supply planning data'!D746,'Shipments data'!AC:AC,"&lt;"&amp;'Supply planning data'!D746)-SUMIFS(M:M,D:D,"&lt;="&amp;D731,C:C,C731)-SUMIFS(AA:AA,D:D,"&lt;="&amp;D731,C:C,C731)+SUMIFS(N:N,D:D,"&lt;="&amp;D731,C:C,C731)+SUMIFS(P:P,D:D,"&lt;="&amp;D731,C:C,C731))</f>
        <v>0</v>
      </c>
      <c r="AD731" s="98">
        <f t="shared" si="226"/>
        <v>0</v>
      </c>
      <c r="AE731" s="98">
        <f t="shared" si="220"/>
        <v>0</v>
      </c>
      <c r="AF731" s="205" t="str">
        <f t="shared" si="211"/>
        <v/>
      </c>
      <c r="AG731" s="98">
        <f t="shared" si="227"/>
        <v>0</v>
      </c>
      <c r="AH731" s="97"/>
      <c r="AI731" s="311"/>
      <c r="AJ731" s="98">
        <f t="shared" si="219"/>
        <v>0</v>
      </c>
      <c r="AK731" s="233"/>
      <c r="AL731" s="98">
        <f>IF(SUMIFS('Shipments data'!L:L,'Shipments data'!F:F,'Supply planning data'!C731,'Shipments data'!A:A,'Supply planning data'!A731,'Shipments data'!O:O,"received",'Shipments data'!Q:Q,"&lt;"&amp;'Supply planning data'!D746,'Shipments data'!AC:AC,"&lt;"&amp;'Supply planning data'!D746)-SUMIFS(M:M,D:D,"&lt;="&amp;D731,C:C,C731)-SUMIFS(AJ:AJ,D:D,"&lt;="&amp;D731,C:C,C731)+SUMIFS(N:N,D:D,"&lt;="&amp;D731,C:C,C731)+SUMIFS(P:P,D:D,"&lt;="&amp;D731,C:C,C731)&lt;0,0,SUMIFS('Shipments data'!L:L,'Shipments data'!F:F,'Supply planning data'!C731,'Shipments data'!A:A,'Supply planning data'!A731,'Shipments data'!O:O,"received",'Shipments data'!Q:Q,"&lt;"&amp;'Supply planning data'!D746,'Shipments data'!AC:AC,"&lt;"&amp;'Supply planning data'!D746)-SUMIFS(M:M,D:D,"&lt;="&amp;D731,C:C,C731)-SUMIFS(AJ:AJ,D:D,"&lt;="&amp;D731,C:C,C731)+SUMIFS(N:N,D:D,"&lt;="&amp;D731,C:C,C731)+SUMIFS(P:P,D:D,"&lt;="&amp;D731,C:C,C731))</f>
        <v>0</v>
      </c>
      <c r="AM731" s="98">
        <f t="shared" si="228"/>
        <v>0</v>
      </c>
      <c r="AN731" s="98">
        <f t="shared" si="221"/>
        <v>0</v>
      </c>
      <c r="AO731" s="203" t="str">
        <f t="shared" si="213"/>
        <v/>
      </c>
    </row>
    <row r="732" spans="1:41" hidden="1" x14ac:dyDescent="0.25">
      <c r="A732" s="95" t="str">
        <f>Start!D$7</f>
        <v>Anyland</v>
      </c>
      <c r="B732" s="96" t="str">
        <f>VLOOKUP(A732,list!B:C,2,FALSE)</f>
        <v>ANY</v>
      </c>
      <c r="C732" s="90" t="str">
        <f>IF(Start!$C$24="","",Start!$C$24)</f>
        <v/>
      </c>
      <c r="D732" s="296">
        <f t="shared" si="222"/>
        <v>45658</v>
      </c>
      <c r="E732" s="92" t="str">
        <f>IFERROR(VLOOKUP(C732,Start!C$15:D$31,2,FALSE),"No")</f>
        <v>No</v>
      </c>
      <c r="F732" s="92">
        <f t="shared" si="223"/>
        <v>0</v>
      </c>
      <c r="G732" s="91"/>
      <c r="H732" s="97"/>
      <c r="I732" s="97"/>
      <c r="J732" s="98">
        <f t="shared" si="215"/>
        <v>0</v>
      </c>
      <c r="K732" s="97"/>
      <c r="L732" s="175" t="str">
        <f t="shared" si="216"/>
        <v/>
      </c>
      <c r="M732" s="98">
        <f t="shared" si="217"/>
        <v>0</v>
      </c>
      <c r="N732" s="97"/>
      <c r="O732" s="122"/>
      <c r="P732" s="97"/>
      <c r="Q732" s="122"/>
      <c r="R732" s="98">
        <f>SUMIFS('Shipments data'!L:L,'Shipments data'!F:F,'Supply planning data'!C732,'Shipments data'!A:A,'Supply planning data'!A732,'Shipments data'!Y:Y,'Supply planning data'!D732,'Shipments data'!O:O,"received", 'Shipments data'!N:N, "Public")</f>
        <v>0</v>
      </c>
      <c r="S732" s="98">
        <f>SUMIFS('Shipments data'!L:L,'Shipments data'!F:F,'Supply planning data'!C732,'Shipments data'!A:A,'Supply planning data'!A732,'Shipments data'!Y:Y,'Supply planning data'!D732,'Shipments data'!O:O,"ordered", 'Shipments data'!N:N, "Public")</f>
        <v>0</v>
      </c>
      <c r="T732" s="98">
        <f>IF(SUMIFS('Shipments data'!L:L,'Shipments data'!F:F,'Supply planning data'!C732,'Shipments data'!A:A,'Supply planning data'!A732,'Shipments data'!O:O,"received",'Shipments data'!Q:Q,"&lt;"&amp;'Supply planning data'!D747,'Shipments data'!AC:AC,"&lt;"&amp;'Supply planning data'!D747)-SUMIFS(M:M,D:D,"&lt;="&amp;D732,C:C,C732)+SUMIFS(N:N,D:D,"&lt;="&amp;D732,C:C,C732)+SUMIFS(P:P,D:D,"&lt;="&amp;D732,C:C,C732)&lt;0,0,SUMIFS('Shipments data'!L:L,'Shipments data'!F:F,'Supply planning data'!C732,'Shipments data'!A:A,'Supply planning data'!A732,'Shipments data'!O:O,"received",'Shipments data'!Q:Q,"&lt;"&amp;'Supply planning data'!D747,'Shipments data'!AC:AC,"&lt;"&amp;'Supply planning data'!D747)-SUMIFS(M:M,D:D,"&lt;="&amp;D732,C:C,C732)+SUMIFS(N:N,D:D,"&lt;="&amp;D732,C:C,C732)+SUMIFS(P:P,D:D,"&lt;="&amp;D732,C:C,C732))</f>
        <v>0</v>
      </c>
      <c r="U732" s="99">
        <f t="shared" si="224"/>
        <v>0</v>
      </c>
      <c r="V732" s="98">
        <f t="shared" si="214"/>
        <v>0</v>
      </c>
      <c r="W732" s="203" t="str">
        <f t="shared" si="212"/>
        <v/>
      </c>
      <c r="X732" s="98">
        <f t="shared" si="225"/>
        <v>0</v>
      </c>
      <c r="Y732" s="97"/>
      <c r="Z732" s="93"/>
      <c r="AA732" s="98">
        <f t="shared" si="218"/>
        <v>0</v>
      </c>
      <c r="AB732" s="233"/>
      <c r="AC732" s="98">
        <f>IF(SUMIFS('Shipments data'!L:L,'Shipments data'!F:F,'Supply planning data'!C732,'Shipments data'!A:A,'Supply planning data'!A732,'Shipments data'!O:O,"received",'Shipments data'!Q:Q,"&lt;"&amp;'Supply planning data'!D747,'Shipments data'!AC:AC,"&lt;"&amp;'Supply planning data'!D747)-SUMIFS(M:M,D:D,"&lt;="&amp;D732,C:C,C732)-SUMIFS(AA:AA,D:D,"&lt;="&amp;D732,C:C,C732)+SUMIFS(N:N,D:D,"&lt;="&amp;D732,C:C,C732)+SUMIFS(P:P,D:D,"&lt;="&amp;D732,C:C,C732)&lt;0,0,SUMIFS('Shipments data'!L:L,'Shipments data'!F:F,'Supply planning data'!C732,'Shipments data'!A:A,'Supply planning data'!A732,'Shipments data'!O:O,"received",'Shipments data'!Q:Q,"&lt;"&amp;'Supply planning data'!D747,'Shipments data'!AC:AC,"&lt;"&amp;'Supply planning data'!D747)-SUMIFS(M:M,D:D,"&lt;="&amp;D732,C:C,C732)-SUMIFS(AA:AA,D:D,"&lt;="&amp;D732,C:C,C732)+SUMIFS(N:N,D:D,"&lt;="&amp;D732,C:C,C732)+SUMIFS(P:P,D:D,"&lt;="&amp;D732,C:C,C732))</f>
        <v>0</v>
      </c>
      <c r="AD732" s="98">
        <f t="shared" si="226"/>
        <v>0</v>
      </c>
      <c r="AE732" s="98">
        <f t="shared" si="220"/>
        <v>0</v>
      </c>
      <c r="AF732" s="205" t="str">
        <f t="shared" si="211"/>
        <v/>
      </c>
      <c r="AG732" s="98">
        <f t="shared" si="227"/>
        <v>0</v>
      </c>
      <c r="AH732" s="97"/>
      <c r="AI732" s="311"/>
      <c r="AJ732" s="98">
        <f t="shared" si="219"/>
        <v>0</v>
      </c>
      <c r="AK732" s="233"/>
      <c r="AL732" s="98">
        <f>IF(SUMIFS('Shipments data'!L:L,'Shipments data'!F:F,'Supply planning data'!C732,'Shipments data'!A:A,'Supply planning data'!A732,'Shipments data'!O:O,"received",'Shipments data'!Q:Q,"&lt;"&amp;'Supply planning data'!D747,'Shipments data'!AC:AC,"&lt;"&amp;'Supply planning data'!D747)-SUMIFS(M:M,D:D,"&lt;="&amp;D732,C:C,C732)-SUMIFS(AJ:AJ,D:D,"&lt;="&amp;D732,C:C,C732)+SUMIFS(N:N,D:D,"&lt;="&amp;D732,C:C,C732)+SUMIFS(P:P,D:D,"&lt;="&amp;D732,C:C,C732)&lt;0,0,SUMIFS('Shipments data'!L:L,'Shipments data'!F:F,'Supply planning data'!C732,'Shipments data'!A:A,'Supply planning data'!A732,'Shipments data'!O:O,"received",'Shipments data'!Q:Q,"&lt;"&amp;'Supply planning data'!D747,'Shipments data'!AC:AC,"&lt;"&amp;'Supply planning data'!D747)-SUMIFS(M:M,D:D,"&lt;="&amp;D732,C:C,C732)-SUMIFS(AJ:AJ,D:D,"&lt;="&amp;D732,C:C,C732)+SUMIFS(N:N,D:D,"&lt;="&amp;D732,C:C,C732)+SUMIFS(P:P,D:D,"&lt;="&amp;D732,C:C,C732))</f>
        <v>0</v>
      </c>
      <c r="AM732" s="98">
        <f t="shared" si="228"/>
        <v>0</v>
      </c>
      <c r="AN732" s="98">
        <f t="shared" si="221"/>
        <v>0</v>
      </c>
      <c r="AO732" s="203" t="str">
        <f t="shared" si="213"/>
        <v/>
      </c>
    </row>
    <row r="733" spans="1:41" hidden="1" x14ac:dyDescent="0.25">
      <c r="A733" s="95" t="str">
        <f>Start!D$7</f>
        <v>Anyland</v>
      </c>
      <c r="B733" s="96" t="str">
        <f>VLOOKUP(A733,list!B:C,2,FALSE)</f>
        <v>ANY</v>
      </c>
      <c r="C733" s="90" t="str">
        <f>IF(Start!$C$25="","",Start!$C$25)</f>
        <v/>
      </c>
      <c r="D733" s="296">
        <f t="shared" si="222"/>
        <v>45658</v>
      </c>
      <c r="E733" s="92" t="str">
        <f>IFERROR(VLOOKUP(C733,Start!C$15:D$31,2,FALSE),"No")</f>
        <v>No</v>
      </c>
      <c r="F733" s="92">
        <f t="shared" si="223"/>
        <v>0</v>
      </c>
      <c r="G733" s="91"/>
      <c r="H733" s="97"/>
      <c r="I733" s="97"/>
      <c r="J733" s="98">
        <f t="shared" si="215"/>
        <v>0</v>
      </c>
      <c r="K733" s="97"/>
      <c r="L733" s="175" t="str">
        <f t="shared" si="216"/>
        <v/>
      </c>
      <c r="M733" s="98">
        <f t="shared" si="217"/>
        <v>0</v>
      </c>
      <c r="N733" s="97"/>
      <c r="O733" s="122"/>
      <c r="P733" s="97"/>
      <c r="Q733" s="122"/>
      <c r="R733" s="98">
        <f>SUMIFS('Shipments data'!L:L,'Shipments data'!F:F,'Supply planning data'!C733,'Shipments data'!A:A,'Supply planning data'!A733,'Shipments data'!Y:Y,'Supply planning data'!D733,'Shipments data'!O:O,"received", 'Shipments data'!N:N, "Public")</f>
        <v>0</v>
      </c>
      <c r="S733" s="98">
        <f>SUMIFS('Shipments data'!L:L,'Shipments data'!F:F,'Supply planning data'!C733,'Shipments data'!A:A,'Supply planning data'!A733,'Shipments data'!Y:Y,'Supply planning data'!D733,'Shipments data'!O:O,"ordered", 'Shipments data'!N:N, "Public")</f>
        <v>0</v>
      </c>
      <c r="T733" s="98">
        <f>IF(SUMIFS('Shipments data'!L:L,'Shipments data'!F:F,'Supply planning data'!C733,'Shipments data'!A:A,'Supply planning data'!A733,'Shipments data'!O:O,"received",'Shipments data'!Q:Q,"&lt;"&amp;'Supply planning data'!D748,'Shipments data'!AC:AC,"&lt;"&amp;'Supply planning data'!D748)-SUMIFS(M:M,D:D,"&lt;="&amp;D733,C:C,C733)+SUMIFS(N:N,D:D,"&lt;="&amp;D733,C:C,C733)+SUMIFS(P:P,D:D,"&lt;="&amp;D733,C:C,C733)&lt;0,0,SUMIFS('Shipments data'!L:L,'Shipments data'!F:F,'Supply planning data'!C733,'Shipments data'!A:A,'Supply planning data'!A733,'Shipments data'!O:O,"received",'Shipments data'!Q:Q,"&lt;"&amp;'Supply planning data'!D748,'Shipments data'!AC:AC,"&lt;"&amp;'Supply planning data'!D748)-SUMIFS(M:M,D:D,"&lt;="&amp;D733,C:C,C733)+SUMIFS(N:N,D:D,"&lt;="&amp;D733,C:C,C733)+SUMIFS(P:P,D:D,"&lt;="&amp;D733,C:C,C733))</f>
        <v>0</v>
      </c>
      <c r="U733" s="99">
        <f t="shared" si="224"/>
        <v>0</v>
      </c>
      <c r="V733" s="98">
        <f t="shared" si="214"/>
        <v>0</v>
      </c>
      <c r="W733" s="203" t="str">
        <f t="shared" si="212"/>
        <v/>
      </c>
      <c r="X733" s="98">
        <f t="shared" si="225"/>
        <v>0</v>
      </c>
      <c r="Y733" s="97"/>
      <c r="Z733" s="93"/>
      <c r="AA733" s="98">
        <f t="shared" si="218"/>
        <v>0</v>
      </c>
      <c r="AB733" s="233"/>
      <c r="AC733" s="98">
        <f>IF(SUMIFS('Shipments data'!L:L,'Shipments data'!F:F,'Supply planning data'!C733,'Shipments data'!A:A,'Supply planning data'!A733,'Shipments data'!O:O,"received",'Shipments data'!Q:Q,"&lt;"&amp;'Supply planning data'!D748,'Shipments data'!AC:AC,"&lt;"&amp;'Supply planning data'!D748)-SUMIFS(M:M,D:D,"&lt;="&amp;D733,C:C,C733)-SUMIFS(AA:AA,D:D,"&lt;="&amp;D733,C:C,C733)+SUMIFS(N:N,D:D,"&lt;="&amp;D733,C:C,C733)+SUMIFS(P:P,D:D,"&lt;="&amp;D733,C:C,C733)&lt;0,0,SUMIFS('Shipments data'!L:L,'Shipments data'!F:F,'Supply planning data'!C733,'Shipments data'!A:A,'Supply planning data'!A733,'Shipments data'!O:O,"received",'Shipments data'!Q:Q,"&lt;"&amp;'Supply planning data'!D748,'Shipments data'!AC:AC,"&lt;"&amp;'Supply planning data'!D748)-SUMIFS(M:M,D:D,"&lt;="&amp;D733,C:C,C733)-SUMIFS(AA:AA,D:D,"&lt;="&amp;D733,C:C,C733)+SUMIFS(N:N,D:D,"&lt;="&amp;D733,C:C,C733)+SUMIFS(P:P,D:D,"&lt;="&amp;D733,C:C,C733))</f>
        <v>0</v>
      </c>
      <c r="AD733" s="98">
        <f t="shared" si="226"/>
        <v>0</v>
      </c>
      <c r="AE733" s="98">
        <f t="shared" si="220"/>
        <v>0</v>
      </c>
      <c r="AF733" s="205" t="str">
        <f t="shared" si="211"/>
        <v/>
      </c>
      <c r="AG733" s="98">
        <f t="shared" si="227"/>
        <v>0</v>
      </c>
      <c r="AH733" s="97"/>
      <c r="AI733" s="311"/>
      <c r="AJ733" s="98">
        <f t="shared" si="219"/>
        <v>0</v>
      </c>
      <c r="AK733" s="233"/>
      <c r="AL733" s="98">
        <f>IF(SUMIFS('Shipments data'!L:L,'Shipments data'!F:F,'Supply planning data'!C733,'Shipments data'!A:A,'Supply planning data'!A733,'Shipments data'!O:O,"received",'Shipments data'!Q:Q,"&lt;"&amp;'Supply planning data'!D748,'Shipments data'!AC:AC,"&lt;"&amp;'Supply planning data'!D748)-SUMIFS(M:M,D:D,"&lt;="&amp;D733,C:C,C733)-SUMIFS(AJ:AJ,D:D,"&lt;="&amp;D733,C:C,C733)+SUMIFS(N:N,D:D,"&lt;="&amp;D733,C:C,C733)+SUMIFS(P:P,D:D,"&lt;="&amp;D733,C:C,C733)&lt;0,0,SUMIFS('Shipments data'!L:L,'Shipments data'!F:F,'Supply planning data'!C733,'Shipments data'!A:A,'Supply planning data'!A733,'Shipments data'!O:O,"received",'Shipments data'!Q:Q,"&lt;"&amp;'Supply planning data'!D748,'Shipments data'!AC:AC,"&lt;"&amp;'Supply planning data'!D748)-SUMIFS(M:M,D:D,"&lt;="&amp;D733,C:C,C733)-SUMIFS(AJ:AJ,D:D,"&lt;="&amp;D733,C:C,C733)+SUMIFS(N:N,D:D,"&lt;="&amp;D733,C:C,C733)+SUMIFS(P:P,D:D,"&lt;="&amp;D733,C:C,C733))</f>
        <v>0</v>
      </c>
      <c r="AM733" s="98">
        <f t="shared" si="228"/>
        <v>0</v>
      </c>
      <c r="AN733" s="98">
        <f t="shared" si="221"/>
        <v>0</v>
      </c>
      <c r="AO733" s="203" t="str">
        <f t="shared" si="213"/>
        <v/>
      </c>
    </row>
    <row r="734" spans="1:41" hidden="1" x14ac:dyDescent="0.25">
      <c r="A734" s="95" t="str">
        <f>Start!D$7</f>
        <v>Anyland</v>
      </c>
      <c r="B734" s="96" t="str">
        <f>VLOOKUP(A734,list!B:C,2,FALSE)</f>
        <v>ANY</v>
      </c>
      <c r="C734" s="90" t="str">
        <f>IF(Start!$C$26="","",Start!$C$26)</f>
        <v/>
      </c>
      <c r="D734" s="296">
        <f t="shared" si="222"/>
        <v>45658</v>
      </c>
      <c r="E734" s="92" t="str">
        <f>IFERROR(VLOOKUP(C734,Start!C$15:D$31,2,FALSE),"No")</f>
        <v>No</v>
      </c>
      <c r="F734" s="92">
        <f t="shared" si="223"/>
        <v>0</v>
      </c>
      <c r="G734" s="91"/>
      <c r="H734" s="97"/>
      <c r="I734" s="97"/>
      <c r="J734" s="98">
        <f t="shared" si="215"/>
        <v>0</v>
      </c>
      <c r="K734" s="97"/>
      <c r="L734" s="175" t="str">
        <f t="shared" si="216"/>
        <v/>
      </c>
      <c r="M734" s="98">
        <f t="shared" si="217"/>
        <v>0</v>
      </c>
      <c r="N734" s="97"/>
      <c r="O734" s="122"/>
      <c r="P734" s="97"/>
      <c r="Q734" s="122"/>
      <c r="R734" s="98">
        <f>SUMIFS('Shipments data'!L:L,'Shipments data'!F:F,'Supply planning data'!C734,'Shipments data'!A:A,'Supply planning data'!A734,'Shipments data'!Y:Y,'Supply planning data'!D734,'Shipments data'!O:O,"received", 'Shipments data'!N:N, "Public")</f>
        <v>0</v>
      </c>
      <c r="S734" s="98">
        <f>SUMIFS('Shipments data'!L:L,'Shipments data'!F:F,'Supply planning data'!C734,'Shipments data'!A:A,'Supply planning data'!A734,'Shipments data'!Y:Y,'Supply planning data'!D734,'Shipments data'!O:O,"ordered", 'Shipments data'!N:N, "Public")</f>
        <v>0</v>
      </c>
      <c r="T734" s="98">
        <f>IF(SUMIFS('Shipments data'!L:L,'Shipments data'!F:F,'Supply planning data'!C734,'Shipments data'!A:A,'Supply planning data'!A734,'Shipments data'!O:O,"received",'Shipments data'!Q:Q,"&lt;"&amp;'Supply planning data'!D749,'Shipments data'!AC:AC,"&lt;"&amp;'Supply planning data'!D749)-SUMIFS(M:M,D:D,"&lt;="&amp;D734,C:C,C734)+SUMIFS(N:N,D:D,"&lt;="&amp;D734,C:C,C734)+SUMIFS(P:P,D:D,"&lt;="&amp;D734,C:C,C734)&lt;0,0,SUMIFS('Shipments data'!L:L,'Shipments data'!F:F,'Supply planning data'!C734,'Shipments data'!A:A,'Supply planning data'!A734,'Shipments data'!O:O,"received",'Shipments data'!Q:Q,"&lt;"&amp;'Supply planning data'!D749,'Shipments data'!AC:AC,"&lt;"&amp;'Supply planning data'!D749)-SUMIFS(M:M,D:D,"&lt;="&amp;D734,C:C,C734)+SUMIFS(N:N,D:D,"&lt;="&amp;D734,C:C,C734)+SUMIFS(P:P,D:D,"&lt;="&amp;D734,C:C,C734))</f>
        <v>0</v>
      </c>
      <c r="U734" s="99">
        <f t="shared" si="224"/>
        <v>0</v>
      </c>
      <c r="V734" s="98">
        <f t="shared" si="214"/>
        <v>0</v>
      </c>
      <c r="W734" s="203" t="str">
        <f t="shared" si="212"/>
        <v/>
      </c>
      <c r="X734" s="98">
        <f t="shared" si="225"/>
        <v>0</v>
      </c>
      <c r="Y734" s="97"/>
      <c r="Z734" s="93"/>
      <c r="AA734" s="98">
        <f t="shared" si="218"/>
        <v>0</v>
      </c>
      <c r="AB734" s="233"/>
      <c r="AC734" s="98">
        <f>IF(SUMIFS('Shipments data'!L:L,'Shipments data'!F:F,'Supply planning data'!C734,'Shipments data'!A:A,'Supply planning data'!A734,'Shipments data'!O:O,"received",'Shipments data'!Q:Q,"&lt;"&amp;'Supply planning data'!D749,'Shipments data'!AC:AC,"&lt;"&amp;'Supply planning data'!D749)-SUMIFS(M:M,D:D,"&lt;="&amp;D734,C:C,C734)-SUMIFS(AA:AA,D:D,"&lt;="&amp;D734,C:C,C734)+SUMIFS(N:N,D:D,"&lt;="&amp;D734,C:C,C734)+SUMIFS(P:P,D:D,"&lt;="&amp;D734,C:C,C734)&lt;0,0,SUMIFS('Shipments data'!L:L,'Shipments data'!F:F,'Supply planning data'!C734,'Shipments data'!A:A,'Supply planning data'!A734,'Shipments data'!O:O,"received",'Shipments data'!Q:Q,"&lt;"&amp;'Supply planning data'!D749,'Shipments data'!AC:AC,"&lt;"&amp;'Supply planning data'!D749)-SUMIFS(M:M,D:D,"&lt;="&amp;D734,C:C,C734)-SUMIFS(AA:AA,D:D,"&lt;="&amp;D734,C:C,C734)+SUMIFS(N:N,D:D,"&lt;="&amp;D734,C:C,C734)+SUMIFS(P:P,D:D,"&lt;="&amp;D734,C:C,C734))</f>
        <v>0</v>
      </c>
      <c r="AD734" s="98">
        <f t="shared" si="226"/>
        <v>0</v>
      </c>
      <c r="AE734" s="98">
        <f t="shared" si="220"/>
        <v>0</v>
      </c>
      <c r="AF734" s="205" t="str">
        <f t="shared" si="211"/>
        <v/>
      </c>
      <c r="AG734" s="98">
        <f t="shared" si="227"/>
        <v>0</v>
      </c>
      <c r="AH734" s="97"/>
      <c r="AI734" s="311"/>
      <c r="AJ734" s="98">
        <f t="shared" si="219"/>
        <v>0</v>
      </c>
      <c r="AK734" s="233"/>
      <c r="AL734" s="98">
        <f>IF(SUMIFS('Shipments data'!L:L,'Shipments data'!F:F,'Supply planning data'!C734,'Shipments data'!A:A,'Supply planning data'!A734,'Shipments data'!O:O,"received",'Shipments data'!Q:Q,"&lt;"&amp;'Supply planning data'!D749,'Shipments data'!AC:AC,"&lt;"&amp;'Supply planning data'!D749)-SUMIFS(M:M,D:D,"&lt;="&amp;D734,C:C,C734)-SUMIFS(AJ:AJ,D:D,"&lt;="&amp;D734,C:C,C734)+SUMIFS(N:N,D:D,"&lt;="&amp;D734,C:C,C734)+SUMIFS(P:P,D:D,"&lt;="&amp;D734,C:C,C734)&lt;0,0,SUMIFS('Shipments data'!L:L,'Shipments data'!F:F,'Supply planning data'!C734,'Shipments data'!A:A,'Supply planning data'!A734,'Shipments data'!O:O,"received",'Shipments data'!Q:Q,"&lt;"&amp;'Supply planning data'!D749,'Shipments data'!AC:AC,"&lt;"&amp;'Supply planning data'!D749)-SUMIFS(M:M,D:D,"&lt;="&amp;D734,C:C,C734)-SUMIFS(AJ:AJ,D:D,"&lt;="&amp;D734,C:C,C734)+SUMIFS(N:N,D:D,"&lt;="&amp;D734,C:C,C734)+SUMIFS(P:P,D:D,"&lt;="&amp;D734,C:C,C734))</f>
        <v>0</v>
      </c>
      <c r="AM734" s="98">
        <f t="shared" si="228"/>
        <v>0</v>
      </c>
      <c r="AN734" s="98">
        <f t="shared" si="221"/>
        <v>0</v>
      </c>
      <c r="AO734" s="203" t="str">
        <f t="shared" si="213"/>
        <v/>
      </c>
    </row>
    <row r="735" spans="1:41" hidden="1" x14ac:dyDescent="0.25">
      <c r="A735" s="95" t="str">
        <f>Start!D$7</f>
        <v>Anyland</v>
      </c>
      <c r="B735" s="96" t="str">
        <f>VLOOKUP(A735,list!B:C,2,FALSE)</f>
        <v>ANY</v>
      </c>
      <c r="C735" s="90" t="str">
        <f>IF(Start!$C$27="","",Start!$C$27)</f>
        <v/>
      </c>
      <c r="D735" s="296">
        <f t="shared" si="222"/>
        <v>45658</v>
      </c>
      <c r="E735" s="92" t="str">
        <f>IFERROR(VLOOKUP(C735,Start!C$15:D$31,2,FALSE),"No")</f>
        <v>No</v>
      </c>
      <c r="F735" s="92">
        <f t="shared" si="223"/>
        <v>0</v>
      </c>
      <c r="G735" s="91"/>
      <c r="H735" s="97"/>
      <c r="I735" s="97"/>
      <c r="J735" s="98">
        <f t="shared" si="215"/>
        <v>0</v>
      </c>
      <c r="K735" s="97"/>
      <c r="L735" s="175" t="str">
        <f t="shared" si="216"/>
        <v/>
      </c>
      <c r="M735" s="98">
        <f t="shared" si="217"/>
        <v>0</v>
      </c>
      <c r="N735" s="97"/>
      <c r="O735" s="122"/>
      <c r="P735" s="97"/>
      <c r="Q735" s="122"/>
      <c r="R735" s="98">
        <f>SUMIFS('Shipments data'!L:L,'Shipments data'!F:F,'Supply planning data'!C735,'Shipments data'!A:A,'Supply planning data'!A735,'Shipments data'!Y:Y,'Supply planning data'!D735,'Shipments data'!O:O,"received", 'Shipments data'!N:N, "Public")</f>
        <v>0</v>
      </c>
      <c r="S735" s="98">
        <f>SUMIFS('Shipments data'!L:L,'Shipments data'!F:F,'Supply planning data'!C735,'Shipments data'!A:A,'Supply planning data'!A735,'Shipments data'!Y:Y,'Supply planning data'!D735,'Shipments data'!O:O,"ordered", 'Shipments data'!N:N, "Public")</f>
        <v>0</v>
      </c>
      <c r="T735" s="98">
        <f>IF(SUMIFS('Shipments data'!L:L,'Shipments data'!F:F,'Supply planning data'!C735,'Shipments data'!A:A,'Supply planning data'!A735,'Shipments data'!O:O,"received",'Shipments data'!Q:Q,"&lt;"&amp;'Supply planning data'!D750,'Shipments data'!AC:AC,"&lt;"&amp;'Supply planning data'!D750)-SUMIFS(M:M,D:D,"&lt;="&amp;D735,C:C,C735)+SUMIFS(N:N,D:D,"&lt;="&amp;D735,C:C,C735)+SUMIFS(P:P,D:D,"&lt;="&amp;D735,C:C,C735)&lt;0,0,SUMIFS('Shipments data'!L:L,'Shipments data'!F:F,'Supply planning data'!C735,'Shipments data'!A:A,'Supply planning data'!A735,'Shipments data'!O:O,"received",'Shipments data'!Q:Q,"&lt;"&amp;'Supply planning data'!D750,'Shipments data'!AC:AC,"&lt;"&amp;'Supply planning data'!D750)-SUMIFS(M:M,D:D,"&lt;="&amp;D735,C:C,C735)+SUMIFS(N:N,D:D,"&lt;="&amp;D735,C:C,C735)+SUMIFS(P:P,D:D,"&lt;="&amp;D735,C:C,C735))</f>
        <v>0</v>
      </c>
      <c r="U735" s="99">
        <f t="shared" si="224"/>
        <v>0</v>
      </c>
      <c r="V735" s="98">
        <f t="shared" si="214"/>
        <v>0</v>
      </c>
      <c r="W735" s="203" t="str">
        <f t="shared" si="212"/>
        <v/>
      </c>
      <c r="X735" s="98">
        <f t="shared" si="225"/>
        <v>0</v>
      </c>
      <c r="Y735" s="97"/>
      <c r="Z735" s="93"/>
      <c r="AA735" s="98">
        <f t="shared" si="218"/>
        <v>0</v>
      </c>
      <c r="AB735" s="233"/>
      <c r="AC735" s="98">
        <f>IF(SUMIFS('Shipments data'!L:L,'Shipments data'!F:F,'Supply planning data'!C735,'Shipments data'!A:A,'Supply planning data'!A735,'Shipments data'!O:O,"received",'Shipments data'!Q:Q,"&lt;"&amp;'Supply planning data'!D750,'Shipments data'!AC:AC,"&lt;"&amp;'Supply planning data'!D750)-SUMIFS(M:M,D:D,"&lt;="&amp;D735,C:C,C735)-SUMIFS(AA:AA,D:D,"&lt;="&amp;D735,C:C,C735)+SUMIFS(N:N,D:D,"&lt;="&amp;D735,C:C,C735)+SUMIFS(P:P,D:D,"&lt;="&amp;D735,C:C,C735)&lt;0,0,SUMIFS('Shipments data'!L:L,'Shipments data'!F:F,'Supply planning data'!C735,'Shipments data'!A:A,'Supply planning data'!A735,'Shipments data'!O:O,"received",'Shipments data'!Q:Q,"&lt;"&amp;'Supply planning data'!D750,'Shipments data'!AC:AC,"&lt;"&amp;'Supply planning data'!D750)-SUMIFS(M:M,D:D,"&lt;="&amp;D735,C:C,C735)-SUMIFS(AA:AA,D:D,"&lt;="&amp;D735,C:C,C735)+SUMIFS(N:N,D:D,"&lt;="&amp;D735,C:C,C735)+SUMIFS(P:P,D:D,"&lt;="&amp;D735,C:C,C735))</f>
        <v>0</v>
      </c>
      <c r="AD735" s="98">
        <f t="shared" si="226"/>
        <v>0</v>
      </c>
      <c r="AE735" s="98">
        <f t="shared" si="220"/>
        <v>0</v>
      </c>
      <c r="AF735" s="205" t="str">
        <f t="shared" ref="AF735:AF798" si="229">IF(M735+AA735&lt;=0,"",IFERROR(AE735/(SUM(M735,M765,M750,AA735,AA765,AA750)/3),""))</f>
        <v/>
      </c>
      <c r="AG735" s="98">
        <f t="shared" si="227"/>
        <v>0</v>
      </c>
      <c r="AH735" s="97"/>
      <c r="AI735" s="311"/>
      <c r="AJ735" s="98">
        <f t="shared" si="219"/>
        <v>0</v>
      </c>
      <c r="AK735" s="233"/>
      <c r="AL735" s="98">
        <f>IF(SUMIFS('Shipments data'!L:L,'Shipments data'!F:F,'Supply planning data'!C735,'Shipments data'!A:A,'Supply planning data'!A735,'Shipments data'!O:O,"received",'Shipments data'!Q:Q,"&lt;"&amp;'Supply planning data'!D750,'Shipments data'!AC:AC,"&lt;"&amp;'Supply planning data'!D750)-SUMIFS(M:M,D:D,"&lt;="&amp;D735,C:C,C735)-SUMIFS(AJ:AJ,D:D,"&lt;="&amp;D735,C:C,C735)+SUMIFS(N:N,D:D,"&lt;="&amp;D735,C:C,C735)+SUMIFS(P:P,D:D,"&lt;="&amp;D735,C:C,C735)&lt;0,0,SUMIFS('Shipments data'!L:L,'Shipments data'!F:F,'Supply planning data'!C735,'Shipments data'!A:A,'Supply planning data'!A735,'Shipments data'!O:O,"received",'Shipments data'!Q:Q,"&lt;"&amp;'Supply planning data'!D750,'Shipments data'!AC:AC,"&lt;"&amp;'Supply planning data'!D750)-SUMIFS(M:M,D:D,"&lt;="&amp;D735,C:C,C735)-SUMIFS(AJ:AJ,D:D,"&lt;="&amp;D735,C:C,C735)+SUMIFS(N:N,D:D,"&lt;="&amp;D735,C:C,C735)+SUMIFS(P:P,D:D,"&lt;="&amp;D735,C:C,C735))</f>
        <v>0</v>
      </c>
      <c r="AM735" s="98">
        <f t="shared" si="228"/>
        <v>0</v>
      </c>
      <c r="AN735" s="98">
        <f t="shared" si="221"/>
        <v>0</v>
      </c>
      <c r="AO735" s="203" t="str">
        <f t="shared" si="213"/>
        <v/>
      </c>
    </row>
    <row r="736" spans="1:41" hidden="1" x14ac:dyDescent="0.25">
      <c r="A736" s="95" t="str">
        <f>Start!D$7</f>
        <v>Anyland</v>
      </c>
      <c r="B736" s="96" t="str">
        <f>VLOOKUP(A736,list!B:C,2,FALSE)</f>
        <v>ANY</v>
      </c>
      <c r="C736" s="90" t="str">
        <f>IF(Start!$C$28="","",Start!$C$28)</f>
        <v/>
      </c>
      <c r="D736" s="296">
        <f t="shared" si="222"/>
        <v>45658</v>
      </c>
      <c r="E736" s="92" t="str">
        <f>IFERROR(VLOOKUP(C736,Start!C$15:D$31,2,FALSE),"No")</f>
        <v>No</v>
      </c>
      <c r="F736" s="92">
        <f t="shared" si="223"/>
        <v>0</v>
      </c>
      <c r="G736" s="91"/>
      <c r="H736" s="97"/>
      <c r="I736" s="97"/>
      <c r="J736" s="98">
        <f t="shared" si="215"/>
        <v>0</v>
      </c>
      <c r="K736" s="97"/>
      <c r="L736" s="175" t="str">
        <f t="shared" si="216"/>
        <v/>
      </c>
      <c r="M736" s="98">
        <f t="shared" si="217"/>
        <v>0</v>
      </c>
      <c r="N736" s="97"/>
      <c r="O736" s="122"/>
      <c r="P736" s="97"/>
      <c r="Q736" s="122"/>
      <c r="R736" s="98">
        <f>SUMIFS('Shipments data'!L:L,'Shipments data'!F:F,'Supply planning data'!C736,'Shipments data'!A:A,'Supply planning data'!A736,'Shipments data'!Y:Y,'Supply planning data'!D736,'Shipments data'!O:O,"received", 'Shipments data'!N:N, "Public")</f>
        <v>0</v>
      </c>
      <c r="S736" s="98">
        <f>SUMIFS('Shipments data'!L:L,'Shipments data'!F:F,'Supply planning data'!C736,'Shipments data'!A:A,'Supply planning data'!A736,'Shipments data'!Y:Y,'Supply planning data'!D736,'Shipments data'!O:O,"ordered", 'Shipments data'!N:N, "Public")</f>
        <v>0</v>
      </c>
      <c r="T736" s="98">
        <f>IF(SUMIFS('Shipments data'!L:L,'Shipments data'!F:F,'Supply planning data'!C736,'Shipments data'!A:A,'Supply planning data'!A736,'Shipments data'!O:O,"received",'Shipments data'!Q:Q,"&lt;"&amp;'Supply planning data'!D751,'Shipments data'!AC:AC,"&lt;"&amp;'Supply planning data'!D751)-SUMIFS(M:M,D:D,"&lt;="&amp;D736,C:C,C736)+SUMIFS(N:N,D:D,"&lt;="&amp;D736,C:C,C736)+SUMIFS(P:P,D:D,"&lt;="&amp;D736,C:C,C736)&lt;0,0,SUMIFS('Shipments data'!L:L,'Shipments data'!F:F,'Supply planning data'!C736,'Shipments data'!A:A,'Supply planning data'!A736,'Shipments data'!O:O,"received",'Shipments data'!Q:Q,"&lt;"&amp;'Supply planning data'!D751,'Shipments data'!AC:AC,"&lt;"&amp;'Supply planning data'!D751)-SUMIFS(M:M,D:D,"&lt;="&amp;D736,C:C,C736)+SUMIFS(N:N,D:D,"&lt;="&amp;D736,C:C,C736)+SUMIFS(P:P,D:D,"&lt;="&amp;D736,C:C,C736))</f>
        <v>0</v>
      </c>
      <c r="U736" s="99">
        <f t="shared" si="224"/>
        <v>0</v>
      </c>
      <c r="V736" s="98">
        <f t="shared" si="214"/>
        <v>0</v>
      </c>
      <c r="W736" s="203" t="str">
        <f t="shared" si="212"/>
        <v/>
      </c>
      <c r="X736" s="98">
        <f t="shared" si="225"/>
        <v>0</v>
      </c>
      <c r="Y736" s="97"/>
      <c r="Z736" s="93"/>
      <c r="AA736" s="98">
        <f t="shared" si="218"/>
        <v>0</v>
      </c>
      <c r="AB736" s="233"/>
      <c r="AC736" s="98">
        <f>IF(SUMIFS('Shipments data'!L:L,'Shipments data'!F:F,'Supply planning data'!C736,'Shipments data'!A:A,'Supply planning data'!A736,'Shipments data'!O:O,"received",'Shipments data'!Q:Q,"&lt;"&amp;'Supply planning data'!D751,'Shipments data'!AC:AC,"&lt;"&amp;'Supply planning data'!D751)-SUMIFS(M:M,D:D,"&lt;="&amp;D736,C:C,C736)-SUMIFS(AA:AA,D:D,"&lt;="&amp;D736,C:C,C736)+SUMIFS(N:N,D:D,"&lt;="&amp;D736,C:C,C736)+SUMIFS(P:P,D:D,"&lt;="&amp;D736,C:C,C736)&lt;0,0,SUMIFS('Shipments data'!L:L,'Shipments data'!F:F,'Supply planning data'!C736,'Shipments data'!A:A,'Supply planning data'!A736,'Shipments data'!O:O,"received",'Shipments data'!Q:Q,"&lt;"&amp;'Supply planning data'!D751,'Shipments data'!AC:AC,"&lt;"&amp;'Supply planning data'!D751)-SUMIFS(M:M,D:D,"&lt;="&amp;D736,C:C,C736)-SUMIFS(AA:AA,D:D,"&lt;="&amp;D736,C:C,C736)+SUMIFS(N:N,D:D,"&lt;="&amp;D736,C:C,C736)+SUMIFS(P:P,D:D,"&lt;="&amp;D736,C:C,C736))</f>
        <v>0</v>
      </c>
      <c r="AD736" s="98">
        <f t="shared" si="226"/>
        <v>0</v>
      </c>
      <c r="AE736" s="98">
        <f t="shared" si="220"/>
        <v>0</v>
      </c>
      <c r="AF736" s="205" t="str">
        <f t="shared" si="229"/>
        <v/>
      </c>
      <c r="AG736" s="98">
        <f t="shared" si="227"/>
        <v>0</v>
      </c>
      <c r="AH736" s="97"/>
      <c r="AI736" s="311"/>
      <c r="AJ736" s="98">
        <f t="shared" si="219"/>
        <v>0</v>
      </c>
      <c r="AK736" s="233"/>
      <c r="AL736" s="98">
        <f>IF(SUMIFS('Shipments data'!L:L,'Shipments data'!F:F,'Supply planning data'!C736,'Shipments data'!A:A,'Supply planning data'!A736,'Shipments data'!O:O,"received",'Shipments data'!Q:Q,"&lt;"&amp;'Supply planning data'!D751,'Shipments data'!AC:AC,"&lt;"&amp;'Supply planning data'!D751)-SUMIFS(M:M,D:D,"&lt;="&amp;D736,C:C,C736)-SUMIFS(AJ:AJ,D:D,"&lt;="&amp;D736,C:C,C736)+SUMIFS(N:N,D:D,"&lt;="&amp;D736,C:C,C736)+SUMIFS(P:P,D:D,"&lt;="&amp;D736,C:C,C736)&lt;0,0,SUMIFS('Shipments data'!L:L,'Shipments data'!F:F,'Supply planning data'!C736,'Shipments data'!A:A,'Supply planning data'!A736,'Shipments data'!O:O,"received",'Shipments data'!Q:Q,"&lt;"&amp;'Supply planning data'!D751,'Shipments data'!AC:AC,"&lt;"&amp;'Supply planning data'!D751)-SUMIFS(M:M,D:D,"&lt;="&amp;D736,C:C,C736)-SUMIFS(AJ:AJ,D:D,"&lt;="&amp;D736,C:C,C736)+SUMIFS(N:N,D:D,"&lt;="&amp;D736,C:C,C736)+SUMIFS(P:P,D:D,"&lt;="&amp;D736,C:C,C736))</f>
        <v>0</v>
      </c>
      <c r="AM736" s="98">
        <f t="shared" si="228"/>
        <v>0</v>
      </c>
      <c r="AN736" s="98">
        <f t="shared" si="221"/>
        <v>0</v>
      </c>
      <c r="AO736" s="203" t="str">
        <f t="shared" si="213"/>
        <v/>
      </c>
    </row>
    <row r="737" spans="1:41" hidden="1" x14ac:dyDescent="0.25">
      <c r="A737" s="95" t="str">
        <f>Start!D$7</f>
        <v>Anyland</v>
      </c>
      <c r="B737" s="96" t="str">
        <f>VLOOKUP(A737,list!B:C,2,FALSE)</f>
        <v>ANY</v>
      </c>
      <c r="C737" s="90" t="str">
        <f>IF(Start!$C$29="","",Start!$C$29)</f>
        <v/>
      </c>
      <c r="D737" s="296">
        <f t="shared" si="222"/>
        <v>45658</v>
      </c>
      <c r="E737" s="92" t="str">
        <f>IFERROR(VLOOKUP(C737,Start!C$15:D$31,2,FALSE),"No")</f>
        <v>No</v>
      </c>
      <c r="F737" s="92">
        <f t="shared" si="223"/>
        <v>0</v>
      </c>
      <c r="G737" s="91"/>
      <c r="H737" s="97"/>
      <c r="I737" s="97"/>
      <c r="J737" s="98">
        <f t="shared" si="215"/>
        <v>0</v>
      </c>
      <c r="K737" s="97"/>
      <c r="L737" s="175" t="str">
        <f t="shared" si="216"/>
        <v/>
      </c>
      <c r="M737" s="98">
        <f t="shared" si="217"/>
        <v>0</v>
      </c>
      <c r="N737" s="97"/>
      <c r="O737" s="122"/>
      <c r="P737" s="97"/>
      <c r="Q737" s="122"/>
      <c r="R737" s="98">
        <f>SUMIFS('Shipments data'!L:L,'Shipments data'!F:F,'Supply planning data'!C737,'Shipments data'!A:A,'Supply planning data'!A737,'Shipments data'!Y:Y,'Supply planning data'!D737,'Shipments data'!O:O,"received", 'Shipments data'!N:N, "Public")</f>
        <v>0</v>
      </c>
      <c r="S737" s="98">
        <f>SUMIFS('Shipments data'!L:L,'Shipments data'!F:F,'Supply planning data'!C737,'Shipments data'!A:A,'Supply planning data'!A737,'Shipments data'!Y:Y,'Supply planning data'!D737,'Shipments data'!O:O,"ordered", 'Shipments data'!N:N, "Public")</f>
        <v>0</v>
      </c>
      <c r="T737" s="98">
        <f>IF(SUMIFS('Shipments data'!L:L,'Shipments data'!F:F,'Supply planning data'!C737,'Shipments data'!A:A,'Supply planning data'!A737,'Shipments data'!O:O,"received",'Shipments data'!Q:Q,"&lt;"&amp;'Supply planning data'!D752,'Shipments data'!AC:AC,"&lt;"&amp;'Supply planning data'!D752)-SUMIFS(M:M,D:D,"&lt;="&amp;D737,C:C,C737)+SUMIFS(N:N,D:D,"&lt;="&amp;D737,C:C,C737)+SUMIFS(P:P,D:D,"&lt;="&amp;D737,C:C,C737)&lt;0,0,SUMIFS('Shipments data'!L:L,'Shipments data'!F:F,'Supply planning data'!C737,'Shipments data'!A:A,'Supply planning data'!A737,'Shipments data'!O:O,"received",'Shipments data'!Q:Q,"&lt;"&amp;'Supply planning data'!D752,'Shipments data'!AC:AC,"&lt;"&amp;'Supply planning data'!D752)-SUMIFS(M:M,D:D,"&lt;="&amp;D737,C:C,C737)+SUMIFS(N:N,D:D,"&lt;="&amp;D737,C:C,C737)+SUMIFS(P:P,D:D,"&lt;="&amp;D737,C:C,C737))</f>
        <v>0</v>
      </c>
      <c r="U737" s="99">
        <f t="shared" si="224"/>
        <v>0</v>
      </c>
      <c r="V737" s="98">
        <f t="shared" si="214"/>
        <v>0</v>
      </c>
      <c r="W737" s="203" t="str">
        <f t="shared" si="212"/>
        <v/>
      </c>
      <c r="X737" s="98">
        <f t="shared" si="225"/>
        <v>0</v>
      </c>
      <c r="Y737" s="97"/>
      <c r="Z737" s="93"/>
      <c r="AA737" s="98">
        <f t="shared" si="218"/>
        <v>0</v>
      </c>
      <c r="AB737" s="233"/>
      <c r="AC737" s="98">
        <f>IF(SUMIFS('Shipments data'!L:L,'Shipments data'!F:F,'Supply planning data'!C737,'Shipments data'!A:A,'Supply planning data'!A737,'Shipments data'!O:O,"received",'Shipments data'!Q:Q,"&lt;"&amp;'Supply planning data'!D752,'Shipments data'!AC:AC,"&lt;"&amp;'Supply planning data'!D752)-SUMIFS(M:M,D:D,"&lt;="&amp;D737,C:C,C737)-SUMIFS(AA:AA,D:D,"&lt;="&amp;D737,C:C,C737)+SUMIFS(N:N,D:D,"&lt;="&amp;D737,C:C,C737)+SUMIFS(P:P,D:D,"&lt;="&amp;D737,C:C,C737)&lt;0,0,SUMIFS('Shipments data'!L:L,'Shipments data'!F:F,'Supply planning data'!C737,'Shipments data'!A:A,'Supply planning data'!A737,'Shipments data'!O:O,"received",'Shipments data'!Q:Q,"&lt;"&amp;'Supply planning data'!D752,'Shipments data'!AC:AC,"&lt;"&amp;'Supply planning data'!D752)-SUMIFS(M:M,D:D,"&lt;="&amp;D737,C:C,C737)-SUMIFS(AA:AA,D:D,"&lt;="&amp;D737,C:C,C737)+SUMIFS(N:N,D:D,"&lt;="&amp;D737,C:C,C737)+SUMIFS(P:P,D:D,"&lt;="&amp;D737,C:C,C737))</f>
        <v>0</v>
      </c>
      <c r="AD737" s="98">
        <f t="shared" si="226"/>
        <v>0</v>
      </c>
      <c r="AE737" s="98">
        <f t="shared" si="220"/>
        <v>0</v>
      </c>
      <c r="AF737" s="205" t="str">
        <f t="shared" si="229"/>
        <v/>
      </c>
      <c r="AG737" s="98">
        <f t="shared" si="227"/>
        <v>0</v>
      </c>
      <c r="AH737" s="97"/>
      <c r="AI737" s="311"/>
      <c r="AJ737" s="98">
        <f t="shared" si="219"/>
        <v>0</v>
      </c>
      <c r="AK737" s="233"/>
      <c r="AL737" s="98">
        <f>IF(SUMIFS('Shipments data'!L:L,'Shipments data'!F:F,'Supply planning data'!C737,'Shipments data'!A:A,'Supply planning data'!A737,'Shipments data'!O:O,"received",'Shipments data'!Q:Q,"&lt;"&amp;'Supply planning data'!D752,'Shipments data'!AC:AC,"&lt;"&amp;'Supply planning data'!D752)-SUMIFS(M:M,D:D,"&lt;="&amp;D737,C:C,C737)-SUMIFS(AJ:AJ,D:D,"&lt;="&amp;D737,C:C,C737)+SUMIFS(N:N,D:D,"&lt;="&amp;D737,C:C,C737)+SUMIFS(P:P,D:D,"&lt;="&amp;D737,C:C,C737)&lt;0,0,SUMIFS('Shipments data'!L:L,'Shipments data'!F:F,'Supply planning data'!C737,'Shipments data'!A:A,'Supply planning data'!A737,'Shipments data'!O:O,"received",'Shipments data'!Q:Q,"&lt;"&amp;'Supply planning data'!D752,'Shipments data'!AC:AC,"&lt;"&amp;'Supply planning data'!D752)-SUMIFS(M:M,D:D,"&lt;="&amp;D737,C:C,C737)-SUMIFS(AJ:AJ,D:D,"&lt;="&amp;D737,C:C,C737)+SUMIFS(N:N,D:D,"&lt;="&amp;D737,C:C,C737)+SUMIFS(P:P,D:D,"&lt;="&amp;D737,C:C,C737))</f>
        <v>0</v>
      </c>
      <c r="AM737" s="98">
        <f t="shared" si="228"/>
        <v>0</v>
      </c>
      <c r="AN737" s="98">
        <f t="shared" si="221"/>
        <v>0</v>
      </c>
      <c r="AO737" s="203" t="str">
        <f t="shared" si="213"/>
        <v/>
      </c>
    </row>
    <row r="738" spans="1:41" hidden="1" x14ac:dyDescent="0.25">
      <c r="A738" s="95" t="str">
        <f>Start!D$7</f>
        <v>Anyland</v>
      </c>
      <c r="B738" s="96" t="str">
        <f>VLOOKUP(A738,list!B:C,2,FALSE)</f>
        <v>ANY</v>
      </c>
      <c r="C738" s="90" t="str">
        <f>IF(Start!$C$30="","",Start!$C$30)</f>
        <v/>
      </c>
      <c r="D738" s="296">
        <f t="shared" si="222"/>
        <v>45658</v>
      </c>
      <c r="E738" s="92" t="str">
        <f>IFERROR(VLOOKUP(C738,Start!C$15:D$31,2,FALSE),"No")</f>
        <v>No</v>
      </c>
      <c r="F738" s="92">
        <f t="shared" si="223"/>
        <v>0</v>
      </c>
      <c r="G738" s="91"/>
      <c r="H738" s="97"/>
      <c r="I738" s="97"/>
      <c r="J738" s="98">
        <f t="shared" si="215"/>
        <v>0</v>
      </c>
      <c r="K738" s="97"/>
      <c r="L738" s="175" t="str">
        <f t="shared" si="216"/>
        <v/>
      </c>
      <c r="M738" s="98">
        <f t="shared" si="217"/>
        <v>0</v>
      </c>
      <c r="N738" s="97"/>
      <c r="O738" s="122"/>
      <c r="P738" s="97"/>
      <c r="Q738" s="122"/>
      <c r="R738" s="98">
        <f>SUMIFS('Shipments data'!L:L,'Shipments data'!F:F,'Supply planning data'!C738,'Shipments data'!A:A,'Supply planning data'!A738,'Shipments data'!Y:Y,'Supply planning data'!D738,'Shipments data'!O:O,"received", 'Shipments data'!N:N, "Public")</f>
        <v>0</v>
      </c>
      <c r="S738" s="98">
        <f>SUMIFS('Shipments data'!L:L,'Shipments data'!F:F,'Supply planning data'!C738,'Shipments data'!A:A,'Supply planning data'!A738,'Shipments data'!Y:Y,'Supply planning data'!D738,'Shipments data'!O:O,"ordered", 'Shipments data'!N:N, "Public")</f>
        <v>0</v>
      </c>
      <c r="T738" s="98">
        <f>IF(SUMIFS('Shipments data'!L:L,'Shipments data'!F:F,'Supply planning data'!C738,'Shipments data'!A:A,'Supply planning data'!A738,'Shipments data'!O:O,"received",'Shipments data'!Q:Q,"&lt;"&amp;'Supply planning data'!D753,'Shipments data'!AC:AC,"&lt;"&amp;'Supply planning data'!D753)-SUMIFS(M:M,D:D,"&lt;="&amp;D738,C:C,C738)+SUMIFS(N:N,D:D,"&lt;="&amp;D738,C:C,C738)+SUMIFS(P:P,D:D,"&lt;="&amp;D738,C:C,C738)&lt;0,0,SUMIFS('Shipments data'!L:L,'Shipments data'!F:F,'Supply planning data'!C738,'Shipments data'!A:A,'Supply planning data'!A738,'Shipments data'!O:O,"received",'Shipments data'!Q:Q,"&lt;"&amp;'Supply planning data'!D753,'Shipments data'!AC:AC,"&lt;"&amp;'Supply planning data'!D753)-SUMIFS(M:M,D:D,"&lt;="&amp;D738,C:C,C738)+SUMIFS(N:N,D:D,"&lt;="&amp;D738,C:C,C738)+SUMIFS(P:P,D:D,"&lt;="&amp;D738,C:C,C738))</f>
        <v>0</v>
      </c>
      <c r="U738" s="99">
        <f t="shared" si="224"/>
        <v>0</v>
      </c>
      <c r="V738" s="98">
        <f t="shared" si="214"/>
        <v>0</v>
      </c>
      <c r="W738" s="203" t="str">
        <f t="shared" si="212"/>
        <v/>
      </c>
      <c r="X738" s="98">
        <f t="shared" si="225"/>
        <v>0</v>
      </c>
      <c r="Y738" s="97"/>
      <c r="Z738" s="93"/>
      <c r="AA738" s="98">
        <f t="shared" si="218"/>
        <v>0</v>
      </c>
      <c r="AB738" s="233"/>
      <c r="AC738" s="98">
        <f>IF(SUMIFS('Shipments data'!L:L,'Shipments data'!F:F,'Supply planning data'!C738,'Shipments data'!A:A,'Supply planning data'!A738,'Shipments data'!O:O,"received",'Shipments data'!Q:Q,"&lt;"&amp;'Supply planning data'!D753,'Shipments data'!AC:AC,"&lt;"&amp;'Supply planning data'!D753)-SUMIFS(M:M,D:D,"&lt;="&amp;D738,C:C,C738)-SUMIFS(AA:AA,D:D,"&lt;="&amp;D738,C:C,C738)+SUMIFS(N:N,D:D,"&lt;="&amp;D738,C:C,C738)+SUMIFS(P:P,D:D,"&lt;="&amp;D738,C:C,C738)&lt;0,0,SUMIFS('Shipments data'!L:L,'Shipments data'!F:F,'Supply planning data'!C738,'Shipments data'!A:A,'Supply planning data'!A738,'Shipments data'!O:O,"received",'Shipments data'!Q:Q,"&lt;"&amp;'Supply planning data'!D753,'Shipments data'!AC:AC,"&lt;"&amp;'Supply planning data'!D753)-SUMIFS(M:M,D:D,"&lt;="&amp;D738,C:C,C738)-SUMIFS(AA:AA,D:D,"&lt;="&amp;D738,C:C,C738)+SUMIFS(N:N,D:D,"&lt;="&amp;D738,C:C,C738)+SUMIFS(P:P,D:D,"&lt;="&amp;D738,C:C,C738))</f>
        <v>0</v>
      </c>
      <c r="AD738" s="98">
        <f t="shared" si="226"/>
        <v>0</v>
      </c>
      <c r="AE738" s="98">
        <f t="shared" si="220"/>
        <v>0</v>
      </c>
      <c r="AF738" s="205" t="str">
        <f t="shared" si="229"/>
        <v/>
      </c>
      <c r="AG738" s="98">
        <f t="shared" si="227"/>
        <v>0</v>
      </c>
      <c r="AH738" s="97"/>
      <c r="AI738" s="311"/>
      <c r="AJ738" s="98">
        <f t="shared" si="219"/>
        <v>0</v>
      </c>
      <c r="AK738" s="233"/>
      <c r="AL738" s="98">
        <f>IF(SUMIFS('Shipments data'!L:L,'Shipments data'!F:F,'Supply planning data'!C738,'Shipments data'!A:A,'Supply planning data'!A738,'Shipments data'!O:O,"received",'Shipments data'!Q:Q,"&lt;"&amp;'Supply planning data'!D753,'Shipments data'!AC:AC,"&lt;"&amp;'Supply planning data'!D753)-SUMIFS(M:M,D:D,"&lt;="&amp;D738,C:C,C738)-SUMIFS(AJ:AJ,D:D,"&lt;="&amp;D738,C:C,C738)+SUMIFS(N:N,D:D,"&lt;="&amp;D738,C:C,C738)+SUMIFS(P:P,D:D,"&lt;="&amp;D738,C:C,C738)&lt;0,0,SUMIFS('Shipments data'!L:L,'Shipments data'!F:F,'Supply planning data'!C738,'Shipments data'!A:A,'Supply planning data'!A738,'Shipments data'!O:O,"received",'Shipments data'!Q:Q,"&lt;"&amp;'Supply planning data'!D753,'Shipments data'!AC:AC,"&lt;"&amp;'Supply planning data'!D753)-SUMIFS(M:M,D:D,"&lt;="&amp;D738,C:C,C738)-SUMIFS(AJ:AJ,D:D,"&lt;="&amp;D738,C:C,C738)+SUMIFS(N:N,D:D,"&lt;="&amp;D738,C:C,C738)+SUMIFS(P:P,D:D,"&lt;="&amp;D738,C:C,C738))</f>
        <v>0</v>
      </c>
      <c r="AM738" s="98">
        <f t="shared" si="228"/>
        <v>0</v>
      </c>
      <c r="AN738" s="98">
        <f t="shared" si="221"/>
        <v>0</v>
      </c>
      <c r="AO738" s="203" t="str">
        <f t="shared" si="213"/>
        <v/>
      </c>
    </row>
    <row r="739" spans="1:41" hidden="1" x14ac:dyDescent="0.25">
      <c r="A739" s="95" t="str">
        <f>Start!D$7</f>
        <v>Anyland</v>
      </c>
      <c r="B739" s="100" t="str">
        <f>VLOOKUP(A739,list!B:C,2,FALSE)</f>
        <v>ANY</v>
      </c>
      <c r="C739" s="90" t="str">
        <f>IF(Start!$C$31="","",Start!$C$31)</f>
        <v/>
      </c>
      <c r="D739" s="296">
        <f t="shared" si="222"/>
        <v>45658</v>
      </c>
      <c r="E739" s="92" t="str">
        <f>IFERROR(VLOOKUP(C739,Start!C$15:D$31,2,FALSE),"No")</f>
        <v>No</v>
      </c>
      <c r="F739" s="92">
        <f t="shared" si="223"/>
        <v>0</v>
      </c>
      <c r="G739" s="91"/>
      <c r="H739" s="97"/>
      <c r="I739" s="97"/>
      <c r="J739" s="98">
        <f t="shared" si="215"/>
        <v>0</v>
      </c>
      <c r="K739" s="97"/>
      <c r="L739" s="175" t="str">
        <f t="shared" si="216"/>
        <v/>
      </c>
      <c r="M739" s="98">
        <f t="shared" si="217"/>
        <v>0</v>
      </c>
      <c r="N739" s="97"/>
      <c r="O739" s="122"/>
      <c r="P739" s="97"/>
      <c r="Q739" s="122"/>
      <c r="R739" s="98">
        <f>SUMIFS('Shipments data'!L:L,'Shipments data'!F:F,'Supply planning data'!C739,'Shipments data'!A:A,'Supply planning data'!A739,'Shipments data'!Y:Y,'Supply planning data'!D739,'Shipments data'!O:O,"received", 'Shipments data'!N:N, "Public")</f>
        <v>0</v>
      </c>
      <c r="S739" s="98">
        <f>SUMIFS('Shipments data'!L:L,'Shipments data'!F:F,'Supply planning data'!C739,'Shipments data'!A:A,'Supply planning data'!A739,'Shipments data'!Y:Y,'Supply planning data'!D739,'Shipments data'!O:O,"ordered", 'Shipments data'!N:N, "Public")</f>
        <v>0</v>
      </c>
      <c r="T739" s="98">
        <f>IF(SUMIFS('Shipments data'!L:L,'Shipments data'!F:F,'Supply planning data'!C739,'Shipments data'!A:A,'Supply planning data'!A739,'Shipments data'!O:O,"received",'Shipments data'!Q:Q,"&lt;"&amp;'Supply planning data'!D754,'Shipments data'!AC:AC,"&lt;"&amp;'Supply planning data'!D754)-SUMIFS(M:M,D:D,"&lt;="&amp;D739,C:C,C739)+SUMIFS(N:N,D:D,"&lt;="&amp;D739,C:C,C739)+SUMIFS(P:P,D:D,"&lt;="&amp;D739,C:C,C739)&lt;0,0,SUMIFS('Shipments data'!L:L,'Shipments data'!F:F,'Supply planning data'!C739,'Shipments data'!A:A,'Supply planning data'!A739,'Shipments data'!O:O,"received",'Shipments data'!Q:Q,"&lt;"&amp;'Supply planning data'!D754,'Shipments data'!AC:AC,"&lt;"&amp;'Supply planning data'!D754)-SUMIFS(M:M,D:D,"&lt;="&amp;D739,C:C,C739)+SUMIFS(N:N,D:D,"&lt;="&amp;D739,C:C,C739)+SUMIFS(P:P,D:D,"&lt;="&amp;D739,C:C,C739))</f>
        <v>0</v>
      </c>
      <c r="U739" s="99">
        <f t="shared" si="224"/>
        <v>0</v>
      </c>
      <c r="V739" s="98">
        <f t="shared" si="214"/>
        <v>0</v>
      </c>
      <c r="W739" s="203" t="str">
        <f t="shared" si="212"/>
        <v/>
      </c>
      <c r="X739" s="98">
        <f t="shared" si="225"/>
        <v>0</v>
      </c>
      <c r="Y739" s="97"/>
      <c r="Z739" s="93"/>
      <c r="AA739" s="98">
        <f t="shared" si="218"/>
        <v>0</v>
      </c>
      <c r="AB739" s="233"/>
      <c r="AC739" s="98">
        <f>IF(SUMIFS('Shipments data'!L:L,'Shipments data'!F:F,'Supply planning data'!C739,'Shipments data'!A:A,'Supply planning data'!A739,'Shipments data'!O:O,"received",'Shipments data'!Q:Q,"&lt;"&amp;'Supply planning data'!D754,'Shipments data'!AC:AC,"&lt;"&amp;'Supply planning data'!D754)-SUMIFS(M:M,D:D,"&lt;="&amp;D739,C:C,C739)-SUMIFS(AA:AA,D:D,"&lt;="&amp;D739,C:C,C739)+SUMIFS(N:N,D:D,"&lt;="&amp;D739,C:C,C739)+SUMIFS(P:P,D:D,"&lt;="&amp;D739,C:C,C739)&lt;0,0,SUMIFS('Shipments data'!L:L,'Shipments data'!F:F,'Supply planning data'!C739,'Shipments data'!A:A,'Supply planning data'!A739,'Shipments data'!O:O,"received",'Shipments data'!Q:Q,"&lt;"&amp;'Supply planning data'!D754,'Shipments data'!AC:AC,"&lt;"&amp;'Supply planning data'!D754)-SUMIFS(M:M,D:D,"&lt;="&amp;D739,C:C,C739)-SUMIFS(AA:AA,D:D,"&lt;="&amp;D739,C:C,C739)+SUMIFS(N:N,D:D,"&lt;="&amp;D739,C:C,C739)+SUMIFS(P:P,D:D,"&lt;="&amp;D739,C:C,C739))</f>
        <v>0</v>
      </c>
      <c r="AD739" s="98">
        <f t="shared" si="226"/>
        <v>0</v>
      </c>
      <c r="AE739" s="98">
        <f t="shared" si="220"/>
        <v>0</v>
      </c>
      <c r="AF739" s="205" t="str">
        <f t="shared" si="229"/>
        <v/>
      </c>
      <c r="AG739" s="98">
        <f t="shared" si="227"/>
        <v>0</v>
      </c>
      <c r="AH739" s="97"/>
      <c r="AI739" s="311"/>
      <c r="AJ739" s="98">
        <f t="shared" si="219"/>
        <v>0</v>
      </c>
      <c r="AK739" s="233"/>
      <c r="AL739" s="98">
        <f>IF(SUMIFS('Shipments data'!L:L,'Shipments data'!F:F,'Supply planning data'!C739,'Shipments data'!A:A,'Supply planning data'!A739,'Shipments data'!O:O,"received",'Shipments data'!Q:Q,"&lt;"&amp;'Supply planning data'!D754,'Shipments data'!AC:AC,"&lt;"&amp;'Supply planning data'!D754)-SUMIFS(M:M,D:D,"&lt;="&amp;D739,C:C,C739)-SUMIFS(AJ:AJ,D:D,"&lt;="&amp;D739,C:C,C739)+SUMIFS(N:N,D:D,"&lt;="&amp;D739,C:C,C739)+SUMIFS(P:P,D:D,"&lt;="&amp;D739,C:C,C739)&lt;0,0,SUMIFS('Shipments data'!L:L,'Shipments data'!F:F,'Supply planning data'!C739,'Shipments data'!A:A,'Supply planning data'!A739,'Shipments data'!O:O,"received",'Shipments data'!Q:Q,"&lt;"&amp;'Supply planning data'!D754,'Shipments data'!AC:AC,"&lt;"&amp;'Supply planning data'!D754)-SUMIFS(M:M,D:D,"&lt;="&amp;D739,C:C,C739)-SUMIFS(AJ:AJ,D:D,"&lt;="&amp;D739,C:C,C739)+SUMIFS(N:N,D:D,"&lt;="&amp;D739,C:C,C739)+SUMIFS(P:P,D:D,"&lt;="&amp;D739,C:C,C739))</f>
        <v>0</v>
      </c>
      <c r="AM739" s="98">
        <f t="shared" si="228"/>
        <v>0</v>
      </c>
      <c r="AN739" s="98">
        <f t="shared" si="221"/>
        <v>0</v>
      </c>
      <c r="AO739" s="203" t="str">
        <f t="shared" si="213"/>
        <v/>
      </c>
    </row>
    <row r="740" spans="1:41" x14ac:dyDescent="0.25">
      <c r="A740" s="103" t="str">
        <f>Start!D$7</f>
        <v>Anyland</v>
      </c>
      <c r="B740" s="104" t="str">
        <f>VLOOKUP(A740,list!B:C,2,FALSE)</f>
        <v>ANY</v>
      </c>
      <c r="C740" s="104" t="str">
        <f>IF(Start!$C$17="","",Start!$C$17)</f>
        <v>AstraZeneca</v>
      </c>
      <c r="D740" s="298">
        <f t="shared" si="222"/>
        <v>45689</v>
      </c>
      <c r="E740" s="105" t="str">
        <f>IFERROR(VLOOKUP(C740,Start!C$15:D$31,2,FALSE),"No")</f>
        <v>Yes</v>
      </c>
      <c r="F740" s="105">
        <f t="shared" si="223"/>
        <v>0</v>
      </c>
      <c r="G740" s="106"/>
      <c r="H740" s="106"/>
      <c r="I740" s="106"/>
      <c r="J740" s="105">
        <f t="shared" si="215"/>
        <v>0</v>
      </c>
      <c r="K740" s="106"/>
      <c r="L740" s="177" t="str">
        <f t="shared" si="216"/>
        <v/>
      </c>
      <c r="M740" s="105">
        <f t="shared" si="217"/>
        <v>0</v>
      </c>
      <c r="N740" s="106"/>
      <c r="O740" s="123"/>
      <c r="P740" s="106"/>
      <c r="Q740" s="123"/>
      <c r="R740" s="105">
        <f>SUMIFS('Shipments data'!L:L,'Shipments data'!F:F,'Supply planning data'!C740,'Shipments data'!A:A,'Supply planning data'!A740,'Shipments data'!Y:Y,'Supply planning data'!D740,'Shipments data'!O:O,"received", 'Shipments data'!N:N, "Public")</f>
        <v>0</v>
      </c>
      <c r="S740" s="105">
        <f>SUMIFS('Shipments data'!L:L,'Shipments data'!F:F,'Supply planning data'!C740,'Shipments data'!A:A,'Supply planning data'!A740,'Shipments data'!Y:Y,'Supply planning data'!D740,'Shipments data'!O:O,"ordered", 'Shipments data'!N:N, "Public")</f>
        <v>0</v>
      </c>
      <c r="T740" s="105">
        <f>IF(SUMIFS('Shipments data'!L:L,'Shipments data'!F:F,'Supply planning data'!C740,'Shipments data'!A:A,'Supply planning data'!A740,'Shipments data'!O:O,"received",'Shipments data'!Q:Q,"&lt;"&amp;'Supply planning data'!D755,'Shipments data'!AC:AC,"&lt;"&amp;'Supply planning data'!D755)-SUMIFS(M:M,D:D,"&lt;="&amp;D740,C:C,C740)+SUMIFS(N:N,D:D,"&lt;="&amp;D740,C:C,C740)+SUMIFS(P:P,D:D,"&lt;="&amp;D740,C:C,C740)&lt;0,0,SUMIFS('Shipments data'!L:L,'Shipments data'!F:F,'Supply planning data'!C740,'Shipments data'!A:A,'Supply planning data'!A740,'Shipments data'!O:O,"received",'Shipments data'!Q:Q,"&lt;"&amp;'Supply planning data'!D755,'Shipments data'!AC:AC,"&lt;"&amp;'Supply planning data'!D755)-SUMIFS(M:M,D:D,"&lt;="&amp;D740,C:C,C740)+SUMIFS(N:N,D:D,"&lt;="&amp;D740,C:C,C740)+SUMIFS(P:P,D:D,"&lt;="&amp;D740,C:C,C740))</f>
        <v>0</v>
      </c>
      <c r="U740" s="108">
        <f t="shared" si="224"/>
        <v>0</v>
      </c>
      <c r="V740" s="105">
        <f t="shared" si="214"/>
        <v>0</v>
      </c>
      <c r="W740" s="206" t="str">
        <f t="shared" ref="W740:W803" si="230">IF(M740&lt;=0,"",IFERROR(V740/(SUM(M740,M725,M710)/3),""))</f>
        <v/>
      </c>
      <c r="X740" s="105">
        <f t="shared" si="225"/>
        <v>154701</v>
      </c>
      <c r="Y740" s="106"/>
      <c r="Z740" s="107"/>
      <c r="AA740" s="105">
        <f t="shared" si="218"/>
        <v>0</v>
      </c>
      <c r="AB740" s="234"/>
      <c r="AC740" s="105">
        <f>IF(SUMIFS('Shipments data'!L:L,'Shipments data'!F:F,'Supply planning data'!C740,'Shipments data'!A:A,'Supply planning data'!A740,'Shipments data'!O:O,"received",'Shipments data'!Q:Q,"&lt;"&amp;'Supply planning data'!D755,'Shipments data'!AC:AC,"&lt;"&amp;'Supply planning data'!D755)-SUMIFS(M:M,D:D,"&lt;="&amp;D740,C:C,C740)-SUMIFS(AA:AA,D:D,"&lt;="&amp;D740,C:C,C740)+SUMIFS(N:N,D:D,"&lt;="&amp;D740,C:C,C740)+SUMIFS(P:P,D:D,"&lt;="&amp;D740,C:C,C740)&lt;0,0,SUMIFS('Shipments data'!L:L,'Shipments data'!F:F,'Supply planning data'!C740,'Shipments data'!A:A,'Supply planning data'!A740,'Shipments data'!O:O,"received",'Shipments data'!Q:Q,"&lt;"&amp;'Supply planning data'!D755,'Shipments data'!AC:AC,"&lt;"&amp;'Supply planning data'!D755)-SUMIFS(M:M,D:D,"&lt;="&amp;D740,C:C,C740)-SUMIFS(AA:AA,D:D,"&lt;="&amp;D740,C:C,C740)+SUMIFS(N:N,D:D,"&lt;="&amp;D740,C:C,C740)+SUMIFS(P:P,D:D,"&lt;="&amp;D740,C:C,C740))</f>
        <v>0</v>
      </c>
      <c r="AD740" s="105">
        <f t="shared" si="226"/>
        <v>0</v>
      </c>
      <c r="AE740" s="105">
        <f t="shared" si="220"/>
        <v>154701</v>
      </c>
      <c r="AF740" s="206" t="str">
        <f t="shared" si="229"/>
        <v/>
      </c>
      <c r="AG740" s="105">
        <f t="shared" si="227"/>
        <v>0</v>
      </c>
      <c r="AH740" s="106"/>
      <c r="AI740" s="312"/>
      <c r="AJ740" s="105">
        <f t="shared" si="219"/>
        <v>0</v>
      </c>
      <c r="AK740" s="234"/>
      <c r="AL740" s="105">
        <f>IF(SUMIFS('Shipments data'!L:L,'Shipments data'!F:F,'Supply planning data'!C740,'Shipments data'!A:A,'Supply planning data'!A740,'Shipments data'!O:O,"received",'Shipments data'!Q:Q,"&lt;"&amp;'Supply planning data'!D755,'Shipments data'!AC:AC,"&lt;"&amp;'Supply planning data'!D755)-SUMIFS(M:M,D:D,"&lt;="&amp;D740,C:C,C740)-SUMIFS(AJ:AJ,D:D,"&lt;="&amp;D740,C:C,C740)+SUMIFS(N:N,D:D,"&lt;="&amp;D740,C:C,C740)+SUMIFS(P:P,D:D,"&lt;="&amp;D740,C:C,C740)&lt;0,0,SUMIFS('Shipments data'!L:L,'Shipments data'!F:F,'Supply planning data'!C740,'Shipments data'!A:A,'Supply planning data'!A740,'Shipments data'!O:O,"received",'Shipments data'!Q:Q,"&lt;"&amp;'Supply planning data'!D755,'Shipments data'!AC:AC,"&lt;"&amp;'Supply planning data'!D755)-SUMIFS(M:M,D:D,"&lt;="&amp;D740,C:C,C740)-SUMIFS(AJ:AJ,D:D,"&lt;="&amp;D740,C:C,C740)+SUMIFS(N:N,D:D,"&lt;="&amp;D740,C:C,C740)+SUMIFS(P:P,D:D,"&lt;="&amp;D740,C:C,C740))</f>
        <v>0</v>
      </c>
      <c r="AM740" s="105">
        <f t="shared" si="228"/>
        <v>0</v>
      </c>
      <c r="AN740" s="105">
        <f t="shared" si="221"/>
        <v>0</v>
      </c>
      <c r="AO740" s="206" t="str">
        <f t="shared" ref="AO740:AO803" si="231">IF(M740+AJ740&lt;=0,"",IFERROR(AN740/(SUM(M740,M770,M755,AJ740,AJ770,AJ755)/3),""))</f>
        <v/>
      </c>
    </row>
    <row r="741" spans="1:41" x14ac:dyDescent="0.25">
      <c r="A741" s="103" t="str">
        <f>Start!D$7</f>
        <v>Anyland</v>
      </c>
      <c r="B741" s="109" t="str">
        <f>VLOOKUP(A741,list!B:C,2,FALSE)</f>
        <v>ANY</v>
      </c>
      <c r="C741" s="109" t="str">
        <f>IF(Start!$C$18="","",Start!$C$18)</f>
        <v>Jansen</v>
      </c>
      <c r="D741" s="298">
        <f t="shared" si="222"/>
        <v>45689</v>
      </c>
      <c r="E741" s="105" t="str">
        <f>IFERROR(VLOOKUP(C741,Start!C$15:D$31,2,FALSE),"No")</f>
        <v>Yes</v>
      </c>
      <c r="F741" s="105">
        <f t="shared" si="223"/>
        <v>1871200</v>
      </c>
      <c r="G741" s="106"/>
      <c r="H741" s="106"/>
      <c r="I741" s="106"/>
      <c r="J741" s="105">
        <f t="shared" si="215"/>
        <v>0</v>
      </c>
      <c r="K741" s="106"/>
      <c r="L741" s="177" t="str">
        <f t="shared" si="216"/>
        <v/>
      </c>
      <c r="M741" s="105">
        <f t="shared" si="217"/>
        <v>0</v>
      </c>
      <c r="N741" s="110"/>
      <c r="O741" s="124"/>
      <c r="P741" s="110"/>
      <c r="Q741" s="124"/>
      <c r="R741" s="111">
        <f>SUMIFS('Shipments data'!L:L,'Shipments data'!F:F,'Supply planning data'!C741,'Shipments data'!A:A,'Supply planning data'!A741,'Shipments data'!Y:Y,'Supply planning data'!D741,'Shipments data'!O:O,"received", 'Shipments data'!N:N, "Public")</f>
        <v>0</v>
      </c>
      <c r="S741" s="111">
        <f>SUMIFS('Shipments data'!L:L,'Shipments data'!F:F,'Supply planning data'!C741,'Shipments data'!A:A,'Supply planning data'!A741,'Shipments data'!Y:Y,'Supply planning data'!D741,'Shipments data'!O:O,"ordered", 'Shipments data'!N:N, "Public")</f>
        <v>0</v>
      </c>
      <c r="T741" s="111">
        <f>IF(SUMIFS('Shipments data'!L:L,'Shipments data'!F:F,'Supply planning data'!C741,'Shipments data'!A:A,'Supply planning data'!A741,'Shipments data'!O:O,"received",'Shipments data'!Q:Q,"&lt;"&amp;'Supply planning data'!D756,'Shipments data'!AC:AC,"&lt;"&amp;'Supply planning data'!D756)-SUMIFS(M:M,D:D,"&lt;="&amp;D741,C:C,C741)+SUMIFS(N:N,D:D,"&lt;="&amp;D741,C:C,C741)+SUMIFS(P:P,D:D,"&lt;="&amp;D741,C:C,C741)&lt;0,0,SUMIFS('Shipments data'!L:L,'Shipments data'!F:F,'Supply planning data'!C741,'Shipments data'!A:A,'Supply planning data'!A741,'Shipments data'!O:O,"received",'Shipments data'!Q:Q,"&lt;"&amp;'Supply planning data'!D756,'Shipments data'!AC:AC,"&lt;"&amp;'Supply planning data'!D756)-SUMIFS(M:M,D:D,"&lt;="&amp;D741,C:C,C741)+SUMIFS(N:N,D:D,"&lt;="&amp;D741,C:C,C741)+SUMIFS(P:P,D:D,"&lt;="&amp;D741,C:C,C741))</f>
        <v>387547</v>
      </c>
      <c r="U741" s="112">
        <f t="shared" si="224"/>
        <v>0</v>
      </c>
      <c r="V741" s="111">
        <f t="shared" si="214"/>
        <v>1871200</v>
      </c>
      <c r="W741" s="204" t="str">
        <f t="shared" si="230"/>
        <v/>
      </c>
      <c r="X741" s="111">
        <f t="shared" si="225"/>
        <v>1311200</v>
      </c>
      <c r="Y741" s="110"/>
      <c r="Z741" s="107"/>
      <c r="AA741" s="111">
        <f t="shared" si="218"/>
        <v>0</v>
      </c>
      <c r="AB741" s="235"/>
      <c r="AC741" s="111">
        <f>IF(SUMIFS('Shipments data'!L:L,'Shipments data'!F:F,'Supply planning data'!C741,'Shipments data'!A:A,'Supply planning data'!A741,'Shipments data'!O:O,"received",'Shipments data'!Q:Q,"&lt;"&amp;'Supply planning data'!D756,'Shipments data'!AC:AC,"&lt;"&amp;'Supply planning data'!D756)-SUMIFS(M:M,D:D,"&lt;="&amp;D741,C:C,C741)-SUMIFS(AA:AA,D:D,"&lt;="&amp;D741,C:C,C741)+SUMIFS(N:N,D:D,"&lt;="&amp;D741,C:C,C741)+SUMIFS(P:P,D:D,"&lt;="&amp;D741,C:C,C741)&lt;0,0,SUMIFS('Shipments data'!L:L,'Shipments data'!F:F,'Supply planning data'!C741,'Shipments data'!A:A,'Supply planning data'!A741,'Shipments data'!O:O,"received",'Shipments data'!Q:Q,"&lt;"&amp;'Supply planning data'!D756,'Shipments data'!AC:AC,"&lt;"&amp;'Supply planning data'!D756)-SUMIFS(M:M,D:D,"&lt;="&amp;D741,C:C,C741)-SUMIFS(AA:AA,D:D,"&lt;="&amp;D741,C:C,C741)+SUMIFS(N:N,D:D,"&lt;="&amp;D741,C:C,C741)+SUMIFS(P:P,D:D,"&lt;="&amp;D741,C:C,C741))</f>
        <v>0</v>
      </c>
      <c r="AD741" s="111">
        <f t="shared" si="226"/>
        <v>0</v>
      </c>
      <c r="AE741" s="111">
        <f t="shared" si="220"/>
        <v>1311200</v>
      </c>
      <c r="AF741" s="204" t="str">
        <f t="shared" si="229"/>
        <v/>
      </c>
      <c r="AG741" s="111">
        <f t="shared" si="227"/>
        <v>1871200</v>
      </c>
      <c r="AH741" s="110"/>
      <c r="AI741" s="313"/>
      <c r="AJ741" s="111">
        <f t="shared" si="219"/>
        <v>0</v>
      </c>
      <c r="AK741" s="235"/>
      <c r="AL741" s="111">
        <f>IF(SUMIFS('Shipments data'!L:L,'Shipments data'!F:F,'Supply planning data'!C741,'Shipments data'!A:A,'Supply planning data'!A741,'Shipments data'!O:O,"received",'Shipments data'!Q:Q,"&lt;"&amp;'Supply planning data'!D756,'Shipments data'!AC:AC,"&lt;"&amp;'Supply planning data'!D756)-SUMIFS(M:M,D:D,"&lt;="&amp;D741,C:C,C741)-SUMIFS(AJ:AJ,D:D,"&lt;="&amp;D741,C:C,C741)+SUMIFS(N:N,D:D,"&lt;="&amp;D741,C:C,C741)+SUMIFS(P:P,D:D,"&lt;="&amp;D741,C:C,C741)&lt;0,0,SUMIFS('Shipments data'!L:L,'Shipments data'!F:F,'Supply planning data'!C741,'Shipments data'!A:A,'Supply planning data'!A741,'Shipments data'!O:O,"received",'Shipments data'!Q:Q,"&lt;"&amp;'Supply planning data'!D756,'Shipments data'!AC:AC,"&lt;"&amp;'Supply planning data'!D756)-SUMIFS(M:M,D:D,"&lt;="&amp;D741,C:C,C741)-SUMIFS(AJ:AJ,D:D,"&lt;="&amp;D741,C:C,C741)+SUMIFS(N:N,D:D,"&lt;="&amp;D741,C:C,C741)+SUMIFS(P:P,D:D,"&lt;="&amp;D741,C:C,C741))</f>
        <v>387547</v>
      </c>
      <c r="AM741" s="111">
        <f t="shared" si="228"/>
        <v>0</v>
      </c>
      <c r="AN741" s="111">
        <f t="shared" si="221"/>
        <v>1871200</v>
      </c>
      <c r="AO741" s="204" t="str">
        <f t="shared" si="231"/>
        <v/>
      </c>
    </row>
    <row r="742" spans="1:41" x14ac:dyDescent="0.25">
      <c r="A742" s="103" t="str">
        <f>Start!D$7</f>
        <v>Anyland</v>
      </c>
      <c r="B742" s="109" t="str">
        <f>VLOOKUP(A742,list!B:C,2,FALSE)</f>
        <v>ANY</v>
      </c>
      <c r="C742" s="104" t="str">
        <f>IF(Start!$C$19="","",Start!$C$19)</f>
        <v>Moderna</v>
      </c>
      <c r="D742" s="298">
        <f t="shared" si="222"/>
        <v>45689</v>
      </c>
      <c r="E742" s="105" t="str">
        <f>IFERROR(VLOOKUP(C742,Start!C$15:D$31,2,FALSE),"No")</f>
        <v>No</v>
      </c>
      <c r="F742" s="105">
        <f t="shared" si="223"/>
        <v>0</v>
      </c>
      <c r="G742" s="106"/>
      <c r="H742" s="106"/>
      <c r="I742" s="106"/>
      <c r="J742" s="105">
        <f t="shared" si="215"/>
        <v>0</v>
      </c>
      <c r="K742" s="106"/>
      <c r="L742" s="177" t="str">
        <f t="shared" si="216"/>
        <v/>
      </c>
      <c r="M742" s="105">
        <f t="shared" si="217"/>
        <v>0</v>
      </c>
      <c r="N742" s="110"/>
      <c r="O742" s="124"/>
      <c r="P742" s="110"/>
      <c r="Q742" s="124"/>
      <c r="R742" s="111">
        <f>SUMIFS('Shipments data'!L:L,'Shipments data'!F:F,'Supply planning data'!C742,'Shipments data'!A:A,'Supply planning data'!A742,'Shipments data'!Y:Y,'Supply planning data'!D742,'Shipments data'!O:O,"received", 'Shipments data'!N:N, "Public")</f>
        <v>0</v>
      </c>
      <c r="S742" s="111">
        <f>SUMIFS('Shipments data'!L:L,'Shipments data'!F:F,'Supply planning data'!C742,'Shipments data'!A:A,'Supply planning data'!A742,'Shipments data'!Y:Y,'Supply planning data'!D742,'Shipments data'!O:O,"ordered", 'Shipments data'!N:N, "Public")</f>
        <v>0</v>
      </c>
      <c r="T742" s="111">
        <f>IF(SUMIFS('Shipments data'!L:L,'Shipments data'!F:F,'Supply planning data'!C742,'Shipments data'!A:A,'Supply planning data'!A742,'Shipments data'!O:O,"received",'Shipments data'!Q:Q,"&lt;"&amp;'Supply planning data'!D757,'Shipments data'!AC:AC,"&lt;"&amp;'Supply planning data'!D757)-SUMIFS(M:M,D:D,"&lt;="&amp;D742,C:C,C742)+SUMIFS(N:N,D:D,"&lt;="&amp;D742,C:C,C742)+SUMIFS(P:P,D:D,"&lt;="&amp;D742,C:C,C742)&lt;0,0,SUMIFS('Shipments data'!L:L,'Shipments data'!F:F,'Supply planning data'!C742,'Shipments data'!A:A,'Supply planning data'!A742,'Shipments data'!O:O,"received",'Shipments data'!Q:Q,"&lt;"&amp;'Supply planning data'!D757,'Shipments data'!AC:AC,"&lt;"&amp;'Supply planning data'!D757)-SUMIFS(M:M,D:D,"&lt;="&amp;D742,C:C,C742)+SUMIFS(N:N,D:D,"&lt;="&amp;D742,C:C,C742)+SUMIFS(P:P,D:D,"&lt;="&amp;D742,C:C,C742))</f>
        <v>0</v>
      </c>
      <c r="U742" s="112">
        <f t="shared" si="224"/>
        <v>0</v>
      </c>
      <c r="V742" s="111">
        <f t="shared" si="214"/>
        <v>0</v>
      </c>
      <c r="W742" s="204" t="str">
        <f t="shared" si="230"/>
        <v/>
      </c>
      <c r="X742" s="111">
        <f t="shared" si="225"/>
        <v>0</v>
      </c>
      <c r="Y742" s="110"/>
      <c r="Z742" s="107"/>
      <c r="AA742" s="111">
        <f t="shared" si="218"/>
        <v>0</v>
      </c>
      <c r="AB742" s="235"/>
      <c r="AC742" s="111">
        <f>IF(SUMIFS('Shipments data'!L:L,'Shipments data'!F:F,'Supply planning data'!C742,'Shipments data'!A:A,'Supply planning data'!A742,'Shipments data'!O:O,"received",'Shipments data'!Q:Q,"&lt;"&amp;'Supply planning data'!D757,'Shipments data'!AC:AC,"&lt;"&amp;'Supply planning data'!D757)-SUMIFS(M:M,D:D,"&lt;="&amp;D742,C:C,C742)-SUMIFS(AA:AA,D:D,"&lt;="&amp;D742,C:C,C742)+SUMIFS(N:N,D:D,"&lt;="&amp;D742,C:C,C742)+SUMIFS(P:P,D:D,"&lt;="&amp;D742,C:C,C742)&lt;0,0,SUMIFS('Shipments data'!L:L,'Shipments data'!F:F,'Supply planning data'!C742,'Shipments data'!A:A,'Supply planning data'!A742,'Shipments data'!O:O,"received",'Shipments data'!Q:Q,"&lt;"&amp;'Supply planning data'!D757,'Shipments data'!AC:AC,"&lt;"&amp;'Supply planning data'!D757)-SUMIFS(M:M,D:D,"&lt;="&amp;D742,C:C,C742)-SUMIFS(AA:AA,D:D,"&lt;="&amp;D742,C:C,C742)+SUMIFS(N:N,D:D,"&lt;="&amp;D742,C:C,C742)+SUMIFS(P:P,D:D,"&lt;="&amp;D742,C:C,C742))</f>
        <v>0</v>
      </c>
      <c r="AD742" s="111">
        <f t="shared" si="226"/>
        <v>0</v>
      </c>
      <c r="AE742" s="111">
        <f t="shared" si="220"/>
        <v>0</v>
      </c>
      <c r="AF742" s="204" t="str">
        <f t="shared" si="229"/>
        <v/>
      </c>
      <c r="AG742" s="111">
        <f t="shared" si="227"/>
        <v>0</v>
      </c>
      <c r="AH742" s="110"/>
      <c r="AI742" s="313"/>
      <c r="AJ742" s="111">
        <f t="shared" si="219"/>
        <v>0</v>
      </c>
      <c r="AK742" s="235"/>
      <c r="AL742" s="111">
        <f>IF(SUMIFS('Shipments data'!L:L,'Shipments data'!F:F,'Supply planning data'!C742,'Shipments data'!A:A,'Supply planning data'!A742,'Shipments data'!O:O,"received",'Shipments data'!Q:Q,"&lt;"&amp;'Supply planning data'!D757,'Shipments data'!AC:AC,"&lt;"&amp;'Supply planning data'!D757)-SUMIFS(M:M,D:D,"&lt;="&amp;D742,C:C,C742)-SUMIFS(AJ:AJ,D:D,"&lt;="&amp;D742,C:C,C742)+SUMIFS(N:N,D:D,"&lt;="&amp;D742,C:C,C742)+SUMIFS(P:P,D:D,"&lt;="&amp;D742,C:C,C742)&lt;0,0,SUMIFS('Shipments data'!L:L,'Shipments data'!F:F,'Supply planning data'!C742,'Shipments data'!A:A,'Supply planning data'!A742,'Shipments data'!O:O,"received",'Shipments data'!Q:Q,"&lt;"&amp;'Supply planning data'!D757,'Shipments data'!AC:AC,"&lt;"&amp;'Supply planning data'!D757)-SUMIFS(M:M,D:D,"&lt;="&amp;D742,C:C,C742)-SUMIFS(AJ:AJ,D:D,"&lt;="&amp;D742,C:C,C742)+SUMIFS(N:N,D:D,"&lt;="&amp;D742,C:C,C742)+SUMIFS(P:P,D:D,"&lt;="&amp;D742,C:C,C742))</f>
        <v>0</v>
      </c>
      <c r="AM742" s="111">
        <f t="shared" si="228"/>
        <v>0</v>
      </c>
      <c r="AN742" s="111">
        <f t="shared" si="221"/>
        <v>0</v>
      </c>
      <c r="AO742" s="204" t="str">
        <f t="shared" si="231"/>
        <v/>
      </c>
    </row>
    <row r="743" spans="1:41" x14ac:dyDescent="0.25">
      <c r="A743" s="103" t="str">
        <f>Start!D$7</f>
        <v>Anyland</v>
      </c>
      <c r="B743" s="109" t="str">
        <f>VLOOKUP(A743,list!B:C,2,FALSE)</f>
        <v>ANY</v>
      </c>
      <c r="C743" s="109" t="str">
        <f>IF(Start!$C$20="","",Start!$C$20)</f>
        <v>Pfizer</v>
      </c>
      <c r="D743" s="298">
        <f t="shared" si="222"/>
        <v>45689</v>
      </c>
      <c r="E743" s="105" t="str">
        <f>IFERROR(VLOOKUP(C743,Start!C$15:D$31,2,FALSE),"No")</f>
        <v>Yes</v>
      </c>
      <c r="F743" s="105">
        <f t="shared" si="223"/>
        <v>3000000</v>
      </c>
      <c r="G743" s="106"/>
      <c r="H743" s="106"/>
      <c r="I743" s="106"/>
      <c r="J743" s="105">
        <f t="shared" si="215"/>
        <v>0</v>
      </c>
      <c r="K743" s="106"/>
      <c r="L743" s="177" t="str">
        <f t="shared" si="216"/>
        <v/>
      </c>
      <c r="M743" s="105">
        <f t="shared" si="217"/>
        <v>0</v>
      </c>
      <c r="N743" s="110"/>
      <c r="O743" s="124"/>
      <c r="P743" s="110"/>
      <c r="Q743" s="124"/>
      <c r="R743" s="111">
        <f>SUMIFS('Shipments data'!L:L,'Shipments data'!F:F,'Supply planning data'!C743,'Shipments data'!A:A,'Supply planning data'!A743,'Shipments data'!Y:Y,'Supply planning data'!D743,'Shipments data'!O:O,"received", 'Shipments data'!N:N, "Public")</f>
        <v>0</v>
      </c>
      <c r="S743" s="111">
        <f>SUMIFS('Shipments data'!L:L,'Shipments data'!F:F,'Supply planning data'!C743,'Shipments data'!A:A,'Supply planning data'!A743,'Shipments data'!Y:Y,'Supply planning data'!D743,'Shipments data'!O:O,"ordered", 'Shipments data'!N:N, "Public")</f>
        <v>0</v>
      </c>
      <c r="T743" s="111">
        <f>IF(SUMIFS('Shipments data'!L:L,'Shipments data'!F:F,'Supply planning data'!C743,'Shipments data'!A:A,'Supply planning data'!A743,'Shipments data'!O:O,"received",'Shipments data'!Q:Q,"&lt;"&amp;'Supply planning data'!D758,'Shipments data'!AC:AC,"&lt;"&amp;'Supply planning data'!D758)-SUMIFS(M:M,D:D,"&lt;="&amp;D743,C:C,C743)+SUMIFS(N:N,D:D,"&lt;="&amp;D743,C:C,C743)+SUMIFS(P:P,D:D,"&lt;="&amp;D743,C:C,C743)&lt;0,0,SUMIFS('Shipments data'!L:L,'Shipments data'!F:F,'Supply planning data'!C743,'Shipments data'!A:A,'Supply planning data'!A743,'Shipments data'!O:O,"received",'Shipments data'!Q:Q,"&lt;"&amp;'Supply planning data'!D758,'Shipments data'!AC:AC,"&lt;"&amp;'Supply planning data'!D758)-SUMIFS(M:M,D:D,"&lt;="&amp;D743,C:C,C743)+SUMIFS(N:N,D:D,"&lt;="&amp;D743,C:C,C743)+SUMIFS(P:P,D:D,"&lt;="&amp;D743,C:C,C743))</f>
        <v>110538</v>
      </c>
      <c r="U743" s="112">
        <f t="shared" si="224"/>
        <v>0</v>
      </c>
      <c r="V743" s="111">
        <f t="shared" si="214"/>
        <v>3000000</v>
      </c>
      <c r="W743" s="204" t="str">
        <f t="shared" si="230"/>
        <v/>
      </c>
      <c r="X743" s="111">
        <f t="shared" si="225"/>
        <v>2440000</v>
      </c>
      <c r="Y743" s="110"/>
      <c r="Z743" s="107"/>
      <c r="AA743" s="111">
        <f t="shared" si="218"/>
        <v>0</v>
      </c>
      <c r="AB743" s="235"/>
      <c r="AC743" s="111">
        <f>IF(SUMIFS('Shipments data'!L:L,'Shipments data'!F:F,'Supply planning data'!C743,'Shipments data'!A:A,'Supply planning data'!A743,'Shipments data'!O:O,"received",'Shipments data'!Q:Q,"&lt;"&amp;'Supply planning data'!D758,'Shipments data'!AC:AC,"&lt;"&amp;'Supply planning data'!D758)-SUMIFS(M:M,D:D,"&lt;="&amp;D743,C:C,C743)-SUMIFS(AA:AA,D:D,"&lt;="&amp;D743,C:C,C743)+SUMIFS(N:N,D:D,"&lt;="&amp;D743,C:C,C743)+SUMIFS(P:P,D:D,"&lt;="&amp;D743,C:C,C743)&lt;0,0,SUMIFS('Shipments data'!L:L,'Shipments data'!F:F,'Supply planning data'!C743,'Shipments data'!A:A,'Supply planning data'!A743,'Shipments data'!O:O,"received",'Shipments data'!Q:Q,"&lt;"&amp;'Supply planning data'!D758,'Shipments data'!AC:AC,"&lt;"&amp;'Supply planning data'!D758)-SUMIFS(M:M,D:D,"&lt;="&amp;D743,C:C,C743)-SUMIFS(AA:AA,D:D,"&lt;="&amp;D743,C:C,C743)+SUMIFS(N:N,D:D,"&lt;="&amp;D743,C:C,C743)+SUMIFS(P:P,D:D,"&lt;="&amp;D743,C:C,C743))</f>
        <v>0</v>
      </c>
      <c r="AD743" s="111">
        <f t="shared" si="226"/>
        <v>0</v>
      </c>
      <c r="AE743" s="111">
        <f t="shared" si="220"/>
        <v>2440000</v>
      </c>
      <c r="AF743" s="204" t="str">
        <f t="shared" si="229"/>
        <v/>
      </c>
      <c r="AG743" s="111">
        <f t="shared" si="227"/>
        <v>3000000</v>
      </c>
      <c r="AH743" s="110"/>
      <c r="AI743" s="313"/>
      <c r="AJ743" s="111">
        <f t="shared" si="219"/>
        <v>0</v>
      </c>
      <c r="AK743" s="235"/>
      <c r="AL743" s="111">
        <f>IF(SUMIFS('Shipments data'!L:L,'Shipments data'!F:F,'Supply planning data'!C743,'Shipments data'!A:A,'Supply planning data'!A743,'Shipments data'!O:O,"received",'Shipments data'!Q:Q,"&lt;"&amp;'Supply planning data'!D758,'Shipments data'!AC:AC,"&lt;"&amp;'Supply planning data'!D758)-SUMIFS(M:M,D:D,"&lt;="&amp;D743,C:C,C743)-SUMIFS(AJ:AJ,D:D,"&lt;="&amp;D743,C:C,C743)+SUMIFS(N:N,D:D,"&lt;="&amp;D743,C:C,C743)+SUMIFS(P:P,D:D,"&lt;="&amp;D743,C:C,C743)&lt;0,0,SUMIFS('Shipments data'!L:L,'Shipments data'!F:F,'Supply planning data'!C743,'Shipments data'!A:A,'Supply planning data'!A743,'Shipments data'!O:O,"received",'Shipments data'!Q:Q,"&lt;"&amp;'Supply planning data'!D758,'Shipments data'!AC:AC,"&lt;"&amp;'Supply planning data'!D758)-SUMIFS(M:M,D:D,"&lt;="&amp;D743,C:C,C743)-SUMIFS(AJ:AJ,D:D,"&lt;="&amp;D743,C:C,C743)+SUMIFS(N:N,D:D,"&lt;="&amp;D743,C:C,C743)+SUMIFS(P:P,D:D,"&lt;="&amp;D743,C:C,C743))</f>
        <v>110538</v>
      </c>
      <c r="AM743" s="111">
        <f t="shared" si="228"/>
        <v>0</v>
      </c>
      <c r="AN743" s="111">
        <f t="shared" si="221"/>
        <v>3000000</v>
      </c>
      <c r="AO743" s="204" t="str">
        <f t="shared" si="231"/>
        <v/>
      </c>
    </row>
    <row r="744" spans="1:41" x14ac:dyDescent="0.25">
      <c r="A744" s="103" t="str">
        <f>Start!D$7</f>
        <v>Anyland</v>
      </c>
      <c r="B744" s="109" t="str">
        <f>VLOOKUP(A744,list!B:C,2,FALSE)</f>
        <v>ANY</v>
      </c>
      <c r="C744" s="104" t="str">
        <f>IF(Start!$C$21="","",Start!$C$21)</f>
        <v>Sinovac</v>
      </c>
      <c r="D744" s="298">
        <f t="shared" si="222"/>
        <v>45689</v>
      </c>
      <c r="E744" s="105" t="str">
        <f>IFERROR(VLOOKUP(C744,Start!C$15:D$31,2,FALSE),"No")</f>
        <v>No</v>
      </c>
      <c r="F744" s="105">
        <f t="shared" si="223"/>
        <v>0</v>
      </c>
      <c r="G744" s="106"/>
      <c r="H744" s="106"/>
      <c r="I744" s="106"/>
      <c r="J744" s="105">
        <f t="shared" si="215"/>
        <v>0</v>
      </c>
      <c r="K744" s="106"/>
      <c r="L744" s="177" t="str">
        <f t="shared" si="216"/>
        <v/>
      </c>
      <c r="M744" s="105">
        <f t="shared" si="217"/>
        <v>0</v>
      </c>
      <c r="N744" s="110"/>
      <c r="O744" s="124"/>
      <c r="P744" s="110"/>
      <c r="Q744" s="124"/>
      <c r="R744" s="111">
        <f>SUMIFS('Shipments data'!L:L,'Shipments data'!F:F,'Supply planning data'!C744,'Shipments data'!A:A,'Supply planning data'!A744,'Shipments data'!Y:Y,'Supply planning data'!D744,'Shipments data'!O:O,"received", 'Shipments data'!N:N, "Public")</f>
        <v>0</v>
      </c>
      <c r="S744" s="111">
        <f>SUMIFS('Shipments data'!L:L,'Shipments data'!F:F,'Supply planning data'!C744,'Shipments data'!A:A,'Supply planning data'!A744,'Shipments data'!Y:Y,'Supply planning data'!D744,'Shipments data'!O:O,"ordered", 'Shipments data'!N:N, "Public")</f>
        <v>0</v>
      </c>
      <c r="T744" s="111">
        <f>IF(SUMIFS('Shipments data'!L:L,'Shipments data'!F:F,'Supply planning data'!C744,'Shipments data'!A:A,'Supply planning data'!A744,'Shipments data'!O:O,"received",'Shipments data'!Q:Q,"&lt;"&amp;'Supply planning data'!D759,'Shipments data'!AC:AC,"&lt;"&amp;'Supply planning data'!D759)-SUMIFS(M:M,D:D,"&lt;="&amp;D744,C:C,C744)+SUMIFS(N:N,D:D,"&lt;="&amp;D744,C:C,C744)+SUMIFS(P:P,D:D,"&lt;="&amp;D744,C:C,C744)&lt;0,0,SUMIFS('Shipments data'!L:L,'Shipments data'!F:F,'Supply planning data'!C744,'Shipments data'!A:A,'Supply planning data'!A744,'Shipments data'!O:O,"received",'Shipments data'!Q:Q,"&lt;"&amp;'Supply planning data'!D759,'Shipments data'!AC:AC,"&lt;"&amp;'Supply planning data'!D759)-SUMIFS(M:M,D:D,"&lt;="&amp;D744,C:C,C744)+SUMIFS(N:N,D:D,"&lt;="&amp;D744,C:C,C744)+SUMIFS(P:P,D:D,"&lt;="&amp;D744,C:C,C744))</f>
        <v>0</v>
      </c>
      <c r="U744" s="112">
        <f t="shared" si="224"/>
        <v>0</v>
      </c>
      <c r="V744" s="111">
        <f t="shared" si="214"/>
        <v>0</v>
      </c>
      <c r="W744" s="204" t="str">
        <f t="shared" si="230"/>
        <v/>
      </c>
      <c r="X744" s="111">
        <f t="shared" si="225"/>
        <v>0</v>
      </c>
      <c r="Y744" s="110"/>
      <c r="Z744" s="107"/>
      <c r="AA744" s="111">
        <f t="shared" si="218"/>
        <v>0</v>
      </c>
      <c r="AB744" s="235"/>
      <c r="AC744" s="111">
        <f>IF(SUMIFS('Shipments data'!L:L,'Shipments data'!F:F,'Supply planning data'!C744,'Shipments data'!A:A,'Supply planning data'!A744,'Shipments data'!O:O,"received",'Shipments data'!Q:Q,"&lt;"&amp;'Supply planning data'!D759,'Shipments data'!AC:AC,"&lt;"&amp;'Supply planning data'!D759)-SUMIFS(M:M,D:D,"&lt;="&amp;D744,C:C,C744)-SUMIFS(AA:AA,D:D,"&lt;="&amp;D744,C:C,C744)+SUMIFS(N:N,D:D,"&lt;="&amp;D744,C:C,C744)+SUMIFS(P:P,D:D,"&lt;="&amp;D744,C:C,C744)&lt;0,0,SUMIFS('Shipments data'!L:L,'Shipments data'!F:F,'Supply planning data'!C744,'Shipments data'!A:A,'Supply planning data'!A744,'Shipments data'!O:O,"received",'Shipments data'!Q:Q,"&lt;"&amp;'Supply planning data'!D759,'Shipments data'!AC:AC,"&lt;"&amp;'Supply planning data'!D759)-SUMIFS(M:M,D:D,"&lt;="&amp;D744,C:C,C744)-SUMIFS(AA:AA,D:D,"&lt;="&amp;D744,C:C,C744)+SUMIFS(N:N,D:D,"&lt;="&amp;D744,C:C,C744)+SUMIFS(P:P,D:D,"&lt;="&amp;D744,C:C,C744))</f>
        <v>0</v>
      </c>
      <c r="AD744" s="111">
        <f t="shared" si="226"/>
        <v>0</v>
      </c>
      <c r="AE744" s="111">
        <f t="shared" si="220"/>
        <v>0</v>
      </c>
      <c r="AF744" s="204" t="str">
        <f t="shared" si="229"/>
        <v/>
      </c>
      <c r="AG744" s="111">
        <f t="shared" si="227"/>
        <v>0</v>
      </c>
      <c r="AH744" s="110"/>
      <c r="AI744" s="313"/>
      <c r="AJ744" s="111">
        <f t="shared" si="219"/>
        <v>0</v>
      </c>
      <c r="AK744" s="235"/>
      <c r="AL744" s="111">
        <f>IF(SUMIFS('Shipments data'!L:L,'Shipments data'!F:F,'Supply planning data'!C744,'Shipments data'!A:A,'Supply planning data'!A744,'Shipments data'!O:O,"received",'Shipments data'!Q:Q,"&lt;"&amp;'Supply planning data'!D759,'Shipments data'!AC:AC,"&lt;"&amp;'Supply planning data'!D759)-SUMIFS(M:M,D:D,"&lt;="&amp;D744,C:C,C744)-SUMIFS(AJ:AJ,D:D,"&lt;="&amp;D744,C:C,C744)+SUMIFS(N:N,D:D,"&lt;="&amp;D744,C:C,C744)+SUMIFS(P:P,D:D,"&lt;="&amp;D744,C:C,C744)&lt;0,0,SUMIFS('Shipments data'!L:L,'Shipments data'!F:F,'Supply planning data'!C744,'Shipments data'!A:A,'Supply planning data'!A744,'Shipments data'!O:O,"received",'Shipments data'!Q:Q,"&lt;"&amp;'Supply planning data'!D759,'Shipments data'!AC:AC,"&lt;"&amp;'Supply planning data'!D759)-SUMIFS(M:M,D:D,"&lt;="&amp;D744,C:C,C744)-SUMIFS(AJ:AJ,D:D,"&lt;="&amp;D744,C:C,C744)+SUMIFS(N:N,D:D,"&lt;="&amp;D744,C:C,C744)+SUMIFS(P:P,D:D,"&lt;="&amp;D744,C:C,C744))</f>
        <v>0</v>
      </c>
      <c r="AM744" s="111">
        <f t="shared" si="228"/>
        <v>0</v>
      </c>
      <c r="AN744" s="111">
        <f t="shared" si="221"/>
        <v>0</v>
      </c>
      <c r="AO744" s="204" t="str">
        <f t="shared" si="231"/>
        <v/>
      </c>
    </row>
    <row r="745" spans="1:41" hidden="1" x14ac:dyDescent="0.25">
      <c r="A745" s="103" t="str">
        <f>Start!D$7</f>
        <v>Anyland</v>
      </c>
      <c r="B745" s="109" t="str">
        <f>VLOOKUP(A745,list!B:C,2,FALSE)</f>
        <v>ANY</v>
      </c>
      <c r="C745" s="109" t="str">
        <f>IF(Start!$C$22="","",Start!$C$22)</f>
        <v/>
      </c>
      <c r="D745" s="298">
        <f t="shared" si="222"/>
        <v>45689</v>
      </c>
      <c r="E745" s="105" t="str">
        <f>IFERROR(VLOOKUP(C745,Start!C$15:D$31,2,FALSE),"No")</f>
        <v>No</v>
      </c>
      <c r="F745" s="105">
        <f t="shared" si="223"/>
        <v>0</v>
      </c>
      <c r="G745" s="106"/>
      <c r="H745" s="106"/>
      <c r="I745" s="106"/>
      <c r="J745" s="105">
        <f t="shared" si="215"/>
        <v>0</v>
      </c>
      <c r="K745" s="106"/>
      <c r="L745" s="177" t="str">
        <f t="shared" si="216"/>
        <v/>
      </c>
      <c r="M745" s="105">
        <f t="shared" si="217"/>
        <v>0</v>
      </c>
      <c r="N745" s="110"/>
      <c r="O745" s="124"/>
      <c r="P745" s="110"/>
      <c r="Q745" s="124"/>
      <c r="R745" s="111">
        <f>SUMIFS('Shipments data'!L:L,'Shipments data'!F:F,'Supply planning data'!C745,'Shipments data'!A:A,'Supply planning data'!A745,'Shipments data'!Y:Y,'Supply planning data'!D745,'Shipments data'!O:O,"received", 'Shipments data'!N:N, "Public")</f>
        <v>0</v>
      </c>
      <c r="S745" s="111">
        <f>SUMIFS('Shipments data'!L:L,'Shipments data'!F:F,'Supply planning data'!C745,'Shipments data'!A:A,'Supply planning data'!A745,'Shipments data'!Y:Y,'Supply planning data'!D745,'Shipments data'!O:O,"ordered", 'Shipments data'!N:N, "Public")</f>
        <v>0</v>
      </c>
      <c r="T745" s="111">
        <f>IF(SUMIFS('Shipments data'!L:L,'Shipments data'!F:F,'Supply planning data'!C745,'Shipments data'!A:A,'Supply planning data'!A745,'Shipments data'!O:O,"received",'Shipments data'!Q:Q,"&lt;"&amp;'Supply planning data'!D760,'Shipments data'!AC:AC,"&lt;"&amp;'Supply planning data'!D760)-SUMIFS(M:M,D:D,"&lt;="&amp;D745,C:C,C745)+SUMIFS(N:N,D:D,"&lt;="&amp;D745,C:C,C745)+SUMIFS(P:P,D:D,"&lt;="&amp;D745,C:C,C745)&lt;0,0,SUMIFS('Shipments data'!L:L,'Shipments data'!F:F,'Supply planning data'!C745,'Shipments data'!A:A,'Supply planning data'!A745,'Shipments data'!O:O,"received",'Shipments data'!Q:Q,"&lt;"&amp;'Supply planning data'!D760,'Shipments data'!AC:AC,"&lt;"&amp;'Supply planning data'!D760)-SUMIFS(M:M,D:D,"&lt;="&amp;D745,C:C,C745)+SUMIFS(N:N,D:D,"&lt;="&amp;D745,C:C,C745)+SUMIFS(P:P,D:D,"&lt;="&amp;D745,C:C,C745))</f>
        <v>0</v>
      </c>
      <c r="U745" s="112">
        <f t="shared" si="224"/>
        <v>0</v>
      </c>
      <c r="V745" s="111">
        <f t="shared" si="214"/>
        <v>0</v>
      </c>
      <c r="W745" s="204" t="str">
        <f t="shared" si="230"/>
        <v/>
      </c>
      <c r="X745" s="111">
        <f t="shared" si="225"/>
        <v>0</v>
      </c>
      <c r="Y745" s="110"/>
      <c r="Z745" s="107"/>
      <c r="AA745" s="111">
        <f t="shared" si="218"/>
        <v>0</v>
      </c>
      <c r="AB745" s="235"/>
      <c r="AC745" s="111">
        <f>IF(SUMIFS('Shipments data'!L:L,'Shipments data'!F:F,'Supply planning data'!C745,'Shipments data'!A:A,'Supply planning data'!A745,'Shipments data'!O:O,"received",'Shipments data'!Q:Q,"&lt;"&amp;'Supply planning data'!D760,'Shipments data'!AC:AC,"&lt;"&amp;'Supply planning data'!D760)-SUMIFS(M:M,D:D,"&lt;="&amp;D745,C:C,C745)-SUMIFS(AA:AA,D:D,"&lt;="&amp;D745,C:C,C745)+SUMIFS(N:N,D:D,"&lt;="&amp;D745,C:C,C745)+SUMIFS(P:P,D:D,"&lt;="&amp;D745,C:C,C745)&lt;0,0,SUMIFS('Shipments data'!L:L,'Shipments data'!F:F,'Supply planning data'!C745,'Shipments data'!A:A,'Supply planning data'!A745,'Shipments data'!O:O,"received",'Shipments data'!Q:Q,"&lt;"&amp;'Supply planning data'!D760,'Shipments data'!AC:AC,"&lt;"&amp;'Supply planning data'!D760)-SUMIFS(M:M,D:D,"&lt;="&amp;D745,C:C,C745)-SUMIFS(AA:AA,D:D,"&lt;="&amp;D745,C:C,C745)+SUMIFS(N:N,D:D,"&lt;="&amp;D745,C:C,C745)+SUMIFS(P:P,D:D,"&lt;="&amp;D745,C:C,C745))</f>
        <v>0</v>
      </c>
      <c r="AD745" s="111">
        <f t="shared" si="226"/>
        <v>0</v>
      </c>
      <c r="AE745" s="111">
        <f t="shared" si="220"/>
        <v>0</v>
      </c>
      <c r="AF745" s="204" t="str">
        <f t="shared" si="229"/>
        <v/>
      </c>
      <c r="AG745" s="111">
        <f t="shared" si="227"/>
        <v>0</v>
      </c>
      <c r="AH745" s="110"/>
      <c r="AI745" s="313"/>
      <c r="AJ745" s="111">
        <f t="shared" si="219"/>
        <v>0</v>
      </c>
      <c r="AK745" s="235"/>
      <c r="AL745" s="111">
        <f>IF(SUMIFS('Shipments data'!L:L,'Shipments data'!F:F,'Supply planning data'!C745,'Shipments data'!A:A,'Supply planning data'!A745,'Shipments data'!O:O,"received",'Shipments data'!Q:Q,"&lt;"&amp;'Supply planning data'!D760,'Shipments data'!AC:AC,"&lt;"&amp;'Supply planning data'!D760)-SUMIFS(M:M,D:D,"&lt;="&amp;D745,C:C,C745)-SUMIFS(AJ:AJ,D:D,"&lt;="&amp;D745,C:C,C745)+SUMIFS(N:N,D:D,"&lt;="&amp;D745,C:C,C745)+SUMIFS(P:P,D:D,"&lt;="&amp;D745,C:C,C745)&lt;0,0,SUMIFS('Shipments data'!L:L,'Shipments data'!F:F,'Supply planning data'!C745,'Shipments data'!A:A,'Supply planning data'!A745,'Shipments data'!O:O,"received",'Shipments data'!Q:Q,"&lt;"&amp;'Supply planning data'!D760,'Shipments data'!AC:AC,"&lt;"&amp;'Supply planning data'!D760)-SUMIFS(M:M,D:D,"&lt;="&amp;D745,C:C,C745)-SUMIFS(AJ:AJ,D:D,"&lt;="&amp;D745,C:C,C745)+SUMIFS(N:N,D:D,"&lt;="&amp;D745,C:C,C745)+SUMIFS(P:P,D:D,"&lt;="&amp;D745,C:C,C745))</f>
        <v>0</v>
      </c>
      <c r="AM745" s="111">
        <f t="shared" si="228"/>
        <v>0</v>
      </c>
      <c r="AN745" s="111">
        <f t="shared" si="221"/>
        <v>0</v>
      </c>
      <c r="AO745" s="204" t="str">
        <f t="shared" si="231"/>
        <v/>
      </c>
    </row>
    <row r="746" spans="1:41" hidden="1" x14ac:dyDescent="0.25">
      <c r="A746" s="103" t="str">
        <f>Start!D$7</f>
        <v>Anyland</v>
      </c>
      <c r="B746" s="109" t="str">
        <f>VLOOKUP(A746,list!B:C,2,FALSE)</f>
        <v>ANY</v>
      </c>
      <c r="C746" s="104" t="str">
        <f>IF(Start!$C$23="","",Start!$C$23)</f>
        <v/>
      </c>
      <c r="D746" s="298">
        <f t="shared" si="222"/>
        <v>45689</v>
      </c>
      <c r="E746" s="105" t="str">
        <f>IFERROR(VLOOKUP(C746,Start!C$15:D$31,2,FALSE),"No")</f>
        <v>No</v>
      </c>
      <c r="F746" s="105">
        <f t="shared" si="223"/>
        <v>0</v>
      </c>
      <c r="G746" s="106"/>
      <c r="H746" s="106"/>
      <c r="I746" s="106"/>
      <c r="J746" s="105">
        <f t="shared" si="215"/>
        <v>0</v>
      </c>
      <c r="K746" s="106"/>
      <c r="L746" s="177" t="str">
        <f t="shared" si="216"/>
        <v/>
      </c>
      <c r="M746" s="105">
        <f t="shared" si="217"/>
        <v>0</v>
      </c>
      <c r="N746" s="110"/>
      <c r="O746" s="124"/>
      <c r="P746" s="110"/>
      <c r="Q746" s="124"/>
      <c r="R746" s="111">
        <f>SUMIFS('Shipments data'!L:L,'Shipments data'!F:F,'Supply planning data'!C746,'Shipments data'!A:A,'Supply planning data'!A746,'Shipments data'!Y:Y,'Supply planning data'!D746,'Shipments data'!O:O,"received", 'Shipments data'!N:N, "Public")</f>
        <v>0</v>
      </c>
      <c r="S746" s="111">
        <f>SUMIFS('Shipments data'!L:L,'Shipments data'!F:F,'Supply planning data'!C746,'Shipments data'!A:A,'Supply planning data'!A746,'Shipments data'!Y:Y,'Supply planning data'!D746,'Shipments data'!O:O,"ordered", 'Shipments data'!N:N, "Public")</f>
        <v>0</v>
      </c>
      <c r="T746" s="111">
        <f>IF(SUMIFS('Shipments data'!L:L,'Shipments data'!F:F,'Supply planning data'!C746,'Shipments data'!A:A,'Supply planning data'!A746,'Shipments data'!O:O,"received",'Shipments data'!Q:Q,"&lt;"&amp;'Supply planning data'!D761,'Shipments data'!AC:AC,"&lt;"&amp;'Supply planning data'!D761)-SUMIFS(M:M,D:D,"&lt;="&amp;D746,C:C,C746)+SUMIFS(N:N,D:D,"&lt;="&amp;D746,C:C,C746)+SUMIFS(P:P,D:D,"&lt;="&amp;D746,C:C,C746)&lt;0,0,SUMIFS('Shipments data'!L:L,'Shipments data'!F:F,'Supply planning data'!C746,'Shipments data'!A:A,'Supply planning data'!A746,'Shipments data'!O:O,"received",'Shipments data'!Q:Q,"&lt;"&amp;'Supply planning data'!D761,'Shipments data'!AC:AC,"&lt;"&amp;'Supply planning data'!D761)-SUMIFS(M:M,D:D,"&lt;="&amp;D746,C:C,C746)+SUMIFS(N:N,D:D,"&lt;="&amp;D746,C:C,C746)+SUMIFS(P:P,D:D,"&lt;="&amp;D746,C:C,C746))</f>
        <v>0</v>
      </c>
      <c r="U746" s="112">
        <f t="shared" si="224"/>
        <v>0</v>
      </c>
      <c r="V746" s="111">
        <f t="shared" si="214"/>
        <v>0</v>
      </c>
      <c r="W746" s="204" t="str">
        <f t="shared" si="230"/>
        <v/>
      </c>
      <c r="X746" s="111">
        <f t="shared" si="225"/>
        <v>0</v>
      </c>
      <c r="Y746" s="110"/>
      <c r="Z746" s="107"/>
      <c r="AA746" s="111">
        <f t="shared" si="218"/>
        <v>0</v>
      </c>
      <c r="AB746" s="235"/>
      <c r="AC746" s="111">
        <f>IF(SUMIFS('Shipments data'!L:L,'Shipments data'!F:F,'Supply planning data'!C746,'Shipments data'!A:A,'Supply planning data'!A746,'Shipments data'!O:O,"received",'Shipments data'!Q:Q,"&lt;"&amp;'Supply planning data'!D761,'Shipments data'!AC:AC,"&lt;"&amp;'Supply planning data'!D761)-SUMIFS(M:M,D:D,"&lt;="&amp;D746,C:C,C746)-SUMIFS(AA:AA,D:D,"&lt;="&amp;D746,C:C,C746)+SUMIFS(N:N,D:D,"&lt;="&amp;D746,C:C,C746)+SUMIFS(P:P,D:D,"&lt;="&amp;D746,C:C,C746)&lt;0,0,SUMIFS('Shipments data'!L:L,'Shipments data'!F:F,'Supply planning data'!C746,'Shipments data'!A:A,'Supply planning data'!A746,'Shipments data'!O:O,"received",'Shipments data'!Q:Q,"&lt;"&amp;'Supply planning data'!D761,'Shipments data'!AC:AC,"&lt;"&amp;'Supply planning data'!D761)-SUMIFS(M:M,D:D,"&lt;="&amp;D746,C:C,C746)-SUMIFS(AA:AA,D:D,"&lt;="&amp;D746,C:C,C746)+SUMIFS(N:N,D:D,"&lt;="&amp;D746,C:C,C746)+SUMIFS(P:P,D:D,"&lt;="&amp;D746,C:C,C746))</f>
        <v>0</v>
      </c>
      <c r="AD746" s="111">
        <f t="shared" si="226"/>
        <v>0</v>
      </c>
      <c r="AE746" s="111">
        <f t="shared" si="220"/>
        <v>0</v>
      </c>
      <c r="AF746" s="204" t="str">
        <f t="shared" si="229"/>
        <v/>
      </c>
      <c r="AG746" s="111">
        <f t="shared" si="227"/>
        <v>0</v>
      </c>
      <c r="AH746" s="110"/>
      <c r="AI746" s="313"/>
      <c r="AJ746" s="111">
        <f t="shared" si="219"/>
        <v>0</v>
      </c>
      <c r="AK746" s="235"/>
      <c r="AL746" s="111">
        <f>IF(SUMIFS('Shipments data'!L:L,'Shipments data'!F:F,'Supply planning data'!C746,'Shipments data'!A:A,'Supply planning data'!A746,'Shipments data'!O:O,"received",'Shipments data'!Q:Q,"&lt;"&amp;'Supply planning data'!D761,'Shipments data'!AC:AC,"&lt;"&amp;'Supply planning data'!D761)-SUMIFS(M:M,D:D,"&lt;="&amp;D746,C:C,C746)-SUMIFS(AJ:AJ,D:D,"&lt;="&amp;D746,C:C,C746)+SUMIFS(N:N,D:D,"&lt;="&amp;D746,C:C,C746)+SUMIFS(P:P,D:D,"&lt;="&amp;D746,C:C,C746)&lt;0,0,SUMIFS('Shipments data'!L:L,'Shipments data'!F:F,'Supply planning data'!C746,'Shipments data'!A:A,'Supply planning data'!A746,'Shipments data'!O:O,"received",'Shipments data'!Q:Q,"&lt;"&amp;'Supply planning data'!D761,'Shipments data'!AC:AC,"&lt;"&amp;'Supply planning data'!D761)-SUMIFS(M:M,D:D,"&lt;="&amp;D746,C:C,C746)-SUMIFS(AJ:AJ,D:D,"&lt;="&amp;D746,C:C,C746)+SUMIFS(N:N,D:D,"&lt;="&amp;D746,C:C,C746)+SUMIFS(P:P,D:D,"&lt;="&amp;D746,C:C,C746))</f>
        <v>0</v>
      </c>
      <c r="AM746" s="111">
        <f t="shared" si="228"/>
        <v>0</v>
      </c>
      <c r="AN746" s="111">
        <f t="shared" si="221"/>
        <v>0</v>
      </c>
      <c r="AO746" s="204" t="str">
        <f t="shared" si="231"/>
        <v/>
      </c>
    </row>
    <row r="747" spans="1:41" hidden="1" x14ac:dyDescent="0.25">
      <c r="A747" s="103" t="str">
        <f>Start!D$7</f>
        <v>Anyland</v>
      </c>
      <c r="B747" s="109" t="str">
        <f>VLOOKUP(A747,list!B:C,2,FALSE)</f>
        <v>ANY</v>
      </c>
      <c r="C747" s="109" t="str">
        <f>IF(Start!$C$24="","",Start!$C$24)</f>
        <v/>
      </c>
      <c r="D747" s="298">
        <f t="shared" si="222"/>
        <v>45689</v>
      </c>
      <c r="E747" s="105" t="str">
        <f>IFERROR(VLOOKUP(C747,Start!C$15:D$31,2,FALSE),"No")</f>
        <v>No</v>
      </c>
      <c r="F747" s="105">
        <f t="shared" si="223"/>
        <v>0</v>
      </c>
      <c r="G747" s="106"/>
      <c r="H747" s="106"/>
      <c r="I747" s="106"/>
      <c r="J747" s="105">
        <f t="shared" si="215"/>
        <v>0</v>
      </c>
      <c r="K747" s="106"/>
      <c r="L747" s="177" t="str">
        <f t="shared" si="216"/>
        <v/>
      </c>
      <c r="M747" s="105">
        <f t="shared" si="217"/>
        <v>0</v>
      </c>
      <c r="N747" s="110"/>
      <c r="O747" s="124"/>
      <c r="P747" s="110"/>
      <c r="Q747" s="124"/>
      <c r="R747" s="111">
        <f>SUMIFS('Shipments data'!L:L,'Shipments data'!F:F,'Supply planning data'!C747,'Shipments data'!A:A,'Supply planning data'!A747,'Shipments data'!Y:Y,'Supply planning data'!D747,'Shipments data'!O:O,"received", 'Shipments data'!N:N, "Public")</f>
        <v>0</v>
      </c>
      <c r="S747" s="111">
        <f>SUMIFS('Shipments data'!L:L,'Shipments data'!F:F,'Supply planning data'!C747,'Shipments data'!A:A,'Supply planning data'!A747,'Shipments data'!Y:Y,'Supply planning data'!D747,'Shipments data'!O:O,"ordered", 'Shipments data'!N:N, "Public")</f>
        <v>0</v>
      </c>
      <c r="T747" s="111">
        <f>IF(SUMIFS('Shipments data'!L:L,'Shipments data'!F:F,'Supply planning data'!C747,'Shipments data'!A:A,'Supply planning data'!A747,'Shipments data'!O:O,"received",'Shipments data'!Q:Q,"&lt;"&amp;'Supply planning data'!D762,'Shipments data'!AC:AC,"&lt;"&amp;'Supply planning data'!D762)-SUMIFS(M:M,D:D,"&lt;="&amp;D747,C:C,C747)+SUMIFS(N:N,D:D,"&lt;="&amp;D747,C:C,C747)+SUMIFS(P:P,D:D,"&lt;="&amp;D747,C:C,C747)&lt;0,0,SUMIFS('Shipments data'!L:L,'Shipments data'!F:F,'Supply planning data'!C747,'Shipments data'!A:A,'Supply planning data'!A747,'Shipments data'!O:O,"received",'Shipments data'!Q:Q,"&lt;"&amp;'Supply planning data'!D762,'Shipments data'!AC:AC,"&lt;"&amp;'Supply planning data'!D762)-SUMIFS(M:M,D:D,"&lt;="&amp;D747,C:C,C747)+SUMIFS(N:N,D:D,"&lt;="&amp;D747,C:C,C747)+SUMIFS(P:P,D:D,"&lt;="&amp;D747,C:C,C747))</f>
        <v>0</v>
      </c>
      <c r="U747" s="112">
        <f t="shared" si="224"/>
        <v>0</v>
      </c>
      <c r="V747" s="111">
        <f t="shared" si="214"/>
        <v>0</v>
      </c>
      <c r="W747" s="204" t="str">
        <f t="shared" si="230"/>
        <v/>
      </c>
      <c r="X747" s="111">
        <f t="shared" si="225"/>
        <v>0</v>
      </c>
      <c r="Y747" s="110"/>
      <c r="Z747" s="107"/>
      <c r="AA747" s="111">
        <f t="shared" si="218"/>
        <v>0</v>
      </c>
      <c r="AB747" s="235"/>
      <c r="AC747" s="111">
        <f>IF(SUMIFS('Shipments data'!L:L,'Shipments data'!F:F,'Supply planning data'!C747,'Shipments data'!A:A,'Supply planning data'!A747,'Shipments data'!O:O,"received",'Shipments data'!Q:Q,"&lt;"&amp;'Supply planning data'!D762,'Shipments data'!AC:AC,"&lt;"&amp;'Supply planning data'!D762)-SUMIFS(M:M,D:D,"&lt;="&amp;D747,C:C,C747)-SUMIFS(AA:AA,D:D,"&lt;="&amp;D747,C:C,C747)+SUMIFS(N:N,D:D,"&lt;="&amp;D747,C:C,C747)+SUMIFS(P:P,D:D,"&lt;="&amp;D747,C:C,C747)&lt;0,0,SUMIFS('Shipments data'!L:L,'Shipments data'!F:F,'Supply planning data'!C747,'Shipments data'!A:A,'Supply planning data'!A747,'Shipments data'!O:O,"received",'Shipments data'!Q:Q,"&lt;"&amp;'Supply planning data'!D762,'Shipments data'!AC:AC,"&lt;"&amp;'Supply planning data'!D762)-SUMIFS(M:M,D:D,"&lt;="&amp;D747,C:C,C747)-SUMIFS(AA:AA,D:D,"&lt;="&amp;D747,C:C,C747)+SUMIFS(N:N,D:D,"&lt;="&amp;D747,C:C,C747)+SUMIFS(P:P,D:D,"&lt;="&amp;D747,C:C,C747))</f>
        <v>0</v>
      </c>
      <c r="AD747" s="111">
        <f t="shared" si="226"/>
        <v>0</v>
      </c>
      <c r="AE747" s="111">
        <f t="shared" si="220"/>
        <v>0</v>
      </c>
      <c r="AF747" s="204" t="str">
        <f t="shared" si="229"/>
        <v/>
      </c>
      <c r="AG747" s="111">
        <f t="shared" si="227"/>
        <v>0</v>
      </c>
      <c r="AH747" s="110"/>
      <c r="AI747" s="313"/>
      <c r="AJ747" s="111">
        <f t="shared" si="219"/>
        <v>0</v>
      </c>
      <c r="AK747" s="235"/>
      <c r="AL747" s="111">
        <f>IF(SUMIFS('Shipments data'!L:L,'Shipments data'!F:F,'Supply planning data'!C747,'Shipments data'!A:A,'Supply planning data'!A747,'Shipments data'!O:O,"received",'Shipments data'!Q:Q,"&lt;"&amp;'Supply planning data'!D762,'Shipments data'!AC:AC,"&lt;"&amp;'Supply planning data'!D762)-SUMIFS(M:M,D:D,"&lt;="&amp;D747,C:C,C747)-SUMIFS(AJ:AJ,D:D,"&lt;="&amp;D747,C:C,C747)+SUMIFS(N:N,D:D,"&lt;="&amp;D747,C:C,C747)+SUMIFS(P:P,D:D,"&lt;="&amp;D747,C:C,C747)&lt;0,0,SUMIFS('Shipments data'!L:L,'Shipments data'!F:F,'Supply planning data'!C747,'Shipments data'!A:A,'Supply planning data'!A747,'Shipments data'!O:O,"received",'Shipments data'!Q:Q,"&lt;"&amp;'Supply planning data'!D762,'Shipments data'!AC:AC,"&lt;"&amp;'Supply planning data'!D762)-SUMIFS(M:M,D:D,"&lt;="&amp;D747,C:C,C747)-SUMIFS(AJ:AJ,D:D,"&lt;="&amp;D747,C:C,C747)+SUMIFS(N:N,D:D,"&lt;="&amp;D747,C:C,C747)+SUMIFS(P:P,D:D,"&lt;="&amp;D747,C:C,C747))</f>
        <v>0</v>
      </c>
      <c r="AM747" s="111">
        <f t="shared" si="228"/>
        <v>0</v>
      </c>
      <c r="AN747" s="111">
        <f t="shared" si="221"/>
        <v>0</v>
      </c>
      <c r="AO747" s="204" t="str">
        <f t="shared" si="231"/>
        <v/>
      </c>
    </row>
    <row r="748" spans="1:41" hidden="1" x14ac:dyDescent="0.25">
      <c r="A748" s="103" t="str">
        <f>Start!D$7</f>
        <v>Anyland</v>
      </c>
      <c r="B748" s="109" t="str">
        <f>VLOOKUP(A748,list!B:C,2,FALSE)</f>
        <v>ANY</v>
      </c>
      <c r="C748" s="104" t="str">
        <f>IF(Start!$C$25="","",Start!$C$25)</f>
        <v/>
      </c>
      <c r="D748" s="298">
        <f t="shared" si="222"/>
        <v>45689</v>
      </c>
      <c r="E748" s="105" t="str">
        <f>IFERROR(VLOOKUP(C748,Start!C$15:D$31,2,FALSE),"No")</f>
        <v>No</v>
      </c>
      <c r="F748" s="105">
        <f t="shared" si="223"/>
        <v>0</v>
      </c>
      <c r="G748" s="106"/>
      <c r="H748" s="106"/>
      <c r="I748" s="106"/>
      <c r="J748" s="105">
        <f t="shared" si="215"/>
        <v>0</v>
      </c>
      <c r="K748" s="106"/>
      <c r="L748" s="177" t="str">
        <f t="shared" si="216"/>
        <v/>
      </c>
      <c r="M748" s="105">
        <f t="shared" si="217"/>
        <v>0</v>
      </c>
      <c r="N748" s="110"/>
      <c r="O748" s="124"/>
      <c r="P748" s="110"/>
      <c r="Q748" s="124"/>
      <c r="R748" s="111">
        <f>SUMIFS('Shipments data'!L:L,'Shipments data'!F:F,'Supply planning data'!C748,'Shipments data'!A:A,'Supply planning data'!A748,'Shipments data'!Y:Y,'Supply planning data'!D748,'Shipments data'!O:O,"received", 'Shipments data'!N:N, "Public")</f>
        <v>0</v>
      </c>
      <c r="S748" s="111">
        <f>SUMIFS('Shipments data'!L:L,'Shipments data'!F:F,'Supply planning data'!C748,'Shipments data'!A:A,'Supply planning data'!A748,'Shipments data'!Y:Y,'Supply planning data'!D748,'Shipments data'!O:O,"ordered", 'Shipments data'!N:N, "Public")</f>
        <v>0</v>
      </c>
      <c r="T748" s="111">
        <f>IF(SUMIFS('Shipments data'!L:L,'Shipments data'!F:F,'Supply planning data'!C748,'Shipments data'!A:A,'Supply planning data'!A748,'Shipments data'!O:O,"received",'Shipments data'!Q:Q,"&lt;"&amp;'Supply planning data'!D763,'Shipments data'!AC:AC,"&lt;"&amp;'Supply planning data'!D763)-SUMIFS(M:M,D:D,"&lt;="&amp;D748,C:C,C748)+SUMIFS(N:N,D:D,"&lt;="&amp;D748,C:C,C748)+SUMIFS(P:P,D:D,"&lt;="&amp;D748,C:C,C748)&lt;0,0,SUMIFS('Shipments data'!L:L,'Shipments data'!F:F,'Supply planning data'!C748,'Shipments data'!A:A,'Supply planning data'!A748,'Shipments data'!O:O,"received",'Shipments data'!Q:Q,"&lt;"&amp;'Supply planning data'!D763,'Shipments data'!AC:AC,"&lt;"&amp;'Supply planning data'!D763)-SUMIFS(M:M,D:D,"&lt;="&amp;D748,C:C,C748)+SUMIFS(N:N,D:D,"&lt;="&amp;D748,C:C,C748)+SUMIFS(P:P,D:D,"&lt;="&amp;D748,C:C,C748))</f>
        <v>0</v>
      </c>
      <c r="U748" s="112">
        <f t="shared" si="224"/>
        <v>0</v>
      </c>
      <c r="V748" s="111">
        <f t="shared" si="214"/>
        <v>0</v>
      </c>
      <c r="W748" s="204" t="str">
        <f t="shared" si="230"/>
        <v/>
      </c>
      <c r="X748" s="111">
        <f t="shared" si="225"/>
        <v>0</v>
      </c>
      <c r="Y748" s="110"/>
      <c r="Z748" s="107"/>
      <c r="AA748" s="111">
        <f t="shared" si="218"/>
        <v>0</v>
      </c>
      <c r="AB748" s="235"/>
      <c r="AC748" s="111">
        <f>IF(SUMIFS('Shipments data'!L:L,'Shipments data'!F:F,'Supply planning data'!C748,'Shipments data'!A:A,'Supply planning data'!A748,'Shipments data'!O:O,"received",'Shipments data'!Q:Q,"&lt;"&amp;'Supply planning data'!D763,'Shipments data'!AC:AC,"&lt;"&amp;'Supply planning data'!D763)-SUMIFS(M:M,D:D,"&lt;="&amp;D748,C:C,C748)-SUMIFS(AA:AA,D:D,"&lt;="&amp;D748,C:C,C748)+SUMIFS(N:N,D:D,"&lt;="&amp;D748,C:C,C748)+SUMIFS(P:P,D:D,"&lt;="&amp;D748,C:C,C748)&lt;0,0,SUMIFS('Shipments data'!L:L,'Shipments data'!F:F,'Supply planning data'!C748,'Shipments data'!A:A,'Supply planning data'!A748,'Shipments data'!O:O,"received",'Shipments data'!Q:Q,"&lt;"&amp;'Supply planning data'!D763,'Shipments data'!AC:AC,"&lt;"&amp;'Supply planning data'!D763)-SUMIFS(M:M,D:D,"&lt;="&amp;D748,C:C,C748)-SUMIFS(AA:AA,D:D,"&lt;="&amp;D748,C:C,C748)+SUMIFS(N:N,D:D,"&lt;="&amp;D748,C:C,C748)+SUMIFS(P:P,D:D,"&lt;="&amp;D748,C:C,C748))</f>
        <v>0</v>
      </c>
      <c r="AD748" s="111">
        <f t="shared" si="226"/>
        <v>0</v>
      </c>
      <c r="AE748" s="111">
        <f t="shared" si="220"/>
        <v>0</v>
      </c>
      <c r="AF748" s="204" t="str">
        <f t="shared" si="229"/>
        <v/>
      </c>
      <c r="AG748" s="111">
        <f t="shared" si="227"/>
        <v>0</v>
      </c>
      <c r="AH748" s="110"/>
      <c r="AI748" s="313"/>
      <c r="AJ748" s="111">
        <f t="shared" si="219"/>
        <v>0</v>
      </c>
      <c r="AK748" s="235"/>
      <c r="AL748" s="111">
        <f>IF(SUMIFS('Shipments data'!L:L,'Shipments data'!F:F,'Supply planning data'!C748,'Shipments data'!A:A,'Supply planning data'!A748,'Shipments data'!O:O,"received",'Shipments data'!Q:Q,"&lt;"&amp;'Supply planning data'!D763,'Shipments data'!AC:AC,"&lt;"&amp;'Supply planning data'!D763)-SUMIFS(M:M,D:D,"&lt;="&amp;D748,C:C,C748)-SUMIFS(AJ:AJ,D:D,"&lt;="&amp;D748,C:C,C748)+SUMIFS(N:N,D:D,"&lt;="&amp;D748,C:C,C748)+SUMIFS(P:P,D:D,"&lt;="&amp;D748,C:C,C748)&lt;0,0,SUMIFS('Shipments data'!L:L,'Shipments data'!F:F,'Supply planning data'!C748,'Shipments data'!A:A,'Supply planning data'!A748,'Shipments data'!O:O,"received",'Shipments data'!Q:Q,"&lt;"&amp;'Supply planning data'!D763,'Shipments data'!AC:AC,"&lt;"&amp;'Supply planning data'!D763)-SUMIFS(M:M,D:D,"&lt;="&amp;D748,C:C,C748)-SUMIFS(AJ:AJ,D:D,"&lt;="&amp;D748,C:C,C748)+SUMIFS(N:N,D:D,"&lt;="&amp;D748,C:C,C748)+SUMIFS(P:P,D:D,"&lt;="&amp;D748,C:C,C748))</f>
        <v>0</v>
      </c>
      <c r="AM748" s="111">
        <f t="shared" si="228"/>
        <v>0</v>
      </c>
      <c r="AN748" s="111">
        <f t="shared" si="221"/>
        <v>0</v>
      </c>
      <c r="AO748" s="204" t="str">
        <f t="shared" si="231"/>
        <v/>
      </c>
    </row>
    <row r="749" spans="1:41" hidden="1" x14ac:dyDescent="0.25">
      <c r="A749" s="103" t="str">
        <f>Start!D$7</f>
        <v>Anyland</v>
      </c>
      <c r="B749" s="109" t="str">
        <f>VLOOKUP(A749,list!B:C,2,FALSE)</f>
        <v>ANY</v>
      </c>
      <c r="C749" s="109" t="str">
        <f>IF(Start!$C$26="","",Start!$C$26)</f>
        <v/>
      </c>
      <c r="D749" s="298">
        <f t="shared" si="222"/>
        <v>45689</v>
      </c>
      <c r="E749" s="105" t="str">
        <f>IFERROR(VLOOKUP(C749,Start!C$15:D$31,2,FALSE),"No")</f>
        <v>No</v>
      </c>
      <c r="F749" s="105">
        <f t="shared" si="223"/>
        <v>0</v>
      </c>
      <c r="G749" s="106"/>
      <c r="H749" s="106"/>
      <c r="I749" s="106"/>
      <c r="J749" s="105">
        <f t="shared" si="215"/>
        <v>0</v>
      </c>
      <c r="K749" s="106"/>
      <c r="L749" s="177" t="str">
        <f t="shared" si="216"/>
        <v/>
      </c>
      <c r="M749" s="105">
        <f t="shared" si="217"/>
        <v>0</v>
      </c>
      <c r="N749" s="110"/>
      <c r="O749" s="124"/>
      <c r="P749" s="110"/>
      <c r="Q749" s="124"/>
      <c r="R749" s="111">
        <f>SUMIFS('Shipments data'!L:L,'Shipments data'!F:F,'Supply planning data'!C749,'Shipments data'!A:A,'Supply planning data'!A749,'Shipments data'!Y:Y,'Supply planning data'!D749,'Shipments data'!O:O,"received", 'Shipments data'!N:N, "Public")</f>
        <v>0</v>
      </c>
      <c r="S749" s="111">
        <f>SUMIFS('Shipments data'!L:L,'Shipments data'!F:F,'Supply planning data'!C749,'Shipments data'!A:A,'Supply planning data'!A749,'Shipments data'!Y:Y,'Supply planning data'!D749,'Shipments data'!O:O,"ordered", 'Shipments data'!N:N, "Public")</f>
        <v>0</v>
      </c>
      <c r="T749" s="111">
        <f>IF(SUMIFS('Shipments data'!L:L,'Shipments data'!F:F,'Supply planning data'!C749,'Shipments data'!A:A,'Supply planning data'!A749,'Shipments data'!O:O,"received",'Shipments data'!Q:Q,"&lt;"&amp;'Supply planning data'!D764,'Shipments data'!AC:AC,"&lt;"&amp;'Supply planning data'!D764)-SUMIFS(M:M,D:D,"&lt;="&amp;D749,C:C,C749)+SUMIFS(N:N,D:D,"&lt;="&amp;D749,C:C,C749)+SUMIFS(P:P,D:D,"&lt;="&amp;D749,C:C,C749)&lt;0,0,SUMIFS('Shipments data'!L:L,'Shipments data'!F:F,'Supply planning data'!C749,'Shipments data'!A:A,'Supply planning data'!A749,'Shipments data'!O:O,"received",'Shipments data'!Q:Q,"&lt;"&amp;'Supply planning data'!D764,'Shipments data'!AC:AC,"&lt;"&amp;'Supply planning data'!D764)-SUMIFS(M:M,D:D,"&lt;="&amp;D749,C:C,C749)+SUMIFS(N:N,D:D,"&lt;="&amp;D749,C:C,C749)+SUMIFS(P:P,D:D,"&lt;="&amp;D749,C:C,C749))</f>
        <v>0</v>
      </c>
      <c r="U749" s="112">
        <f t="shared" si="224"/>
        <v>0</v>
      </c>
      <c r="V749" s="111">
        <f t="shared" si="214"/>
        <v>0</v>
      </c>
      <c r="W749" s="204" t="str">
        <f t="shared" si="230"/>
        <v/>
      </c>
      <c r="X749" s="111">
        <f t="shared" si="225"/>
        <v>0</v>
      </c>
      <c r="Y749" s="110"/>
      <c r="Z749" s="107"/>
      <c r="AA749" s="111">
        <f t="shared" si="218"/>
        <v>0</v>
      </c>
      <c r="AB749" s="235"/>
      <c r="AC749" s="111">
        <f>IF(SUMIFS('Shipments data'!L:L,'Shipments data'!F:F,'Supply planning data'!C749,'Shipments data'!A:A,'Supply planning data'!A749,'Shipments data'!O:O,"received",'Shipments data'!Q:Q,"&lt;"&amp;'Supply planning data'!D764,'Shipments data'!AC:AC,"&lt;"&amp;'Supply planning data'!D764)-SUMIFS(M:M,D:D,"&lt;="&amp;D749,C:C,C749)-SUMIFS(AA:AA,D:D,"&lt;="&amp;D749,C:C,C749)+SUMIFS(N:N,D:D,"&lt;="&amp;D749,C:C,C749)+SUMIFS(P:P,D:D,"&lt;="&amp;D749,C:C,C749)&lt;0,0,SUMIFS('Shipments data'!L:L,'Shipments data'!F:F,'Supply planning data'!C749,'Shipments data'!A:A,'Supply planning data'!A749,'Shipments data'!O:O,"received",'Shipments data'!Q:Q,"&lt;"&amp;'Supply planning data'!D764,'Shipments data'!AC:AC,"&lt;"&amp;'Supply planning data'!D764)-SUMIFS(M:M,D:D,"&lt;="&amp;D749,C:C,C749)-SUMIFS(AA:AA,D:D,"&lt;="&amp;D749,C:C,C749)+SUMIFS(N:N,D:D,"&lt;="&amp;D749,C:C,C749)+SUMIFS(P:P,D:D,"&lt;="&amp;D749,C:C,C749))</f>
        <v>0</v>
      </c>
      <c r="AD749" s="111">
        <f t="shared" si="226"/>
        <v>0</v>
      </c>
      <c r="AE749" s="111">
        <f t="shared" si="220"/>
        <v>0</v>
      </c>
      <c r="AF749" s="204" t="str">
        <f t="shared" si="229"/>
        <v/>
      </c>
      <c r="AG749" s="111">
        <f t="shared" si="227"/>
        <v>0</v>
      </c>
      <c r="AH749" s="110"/>
      <c r="AI749" s="313"/>
      <c r="AJ749" s="111">
        <f t="shared" si="219"/>
        <v>0</v>
      </c>
      <c r="AK749" s="235"/>
      <c r="AL749" s="111">
        <f>IF(SUMIFS('Shipments data'!L:L,'Shipments data'!F:F,'Supply planning data'!C749,'Shipments data'!A:A,'Supply planning data'!A749,'Shipments data'!O:O,"received",'Shipments data'!Q:Q,"&lt;"&amp;'Supply planning data'!D764,'Shipments data'!AC:AC,"&lt;"&amp;'Supply planning data'!D764)-SUMIFS(M:M,D:D,"&lt;="&amp;D749,C:C,C749)-SUMIFS(AJ:AJ,D:D,"&lt;="&amp;D749,C:C,C749)+SUMIFS(N:N,D:D,"&lt;="&amp;D749,C:C,C749)+SUMIFS(P:P,D:D,"&lt;="&amp;D749,C:C,C749)&lt;0,0,SUMIFS('Shipments data'!L:L,'Shipments data'!F:F,'Supply planning data'!C749,'Shipments data'!A:A,'Supply planning data'!A749,'Shipments data'!O:O,"received",'Shipments data'!Q:Q,"&lt;"&amp;'Supply planning data'!D764,'Shipments data'!AC:AC,"&lt;"&amp;'Supply planning data'!D764)-SUMIFS(M:M,D:D,"&lt;="&amp;D749,C:C,C749)-SUMIFS(AJ:AJ,D:D,"&lt;="&amp;D749,C:C,C749)+SUMIFS(N:N,D:D,"&lt;="&amp;D749,C:C,C749)+SUMIFS(P:P,D:D,"&lt;="&amp;D749,C:C,C749))</f>
        <v>0</v>
      </c>
      <c r="AM749" s="111">
        <f t="shared" si="228"/>
        <v>0</v>
      </c>
      <c r="AN749" s="111">
        <f t="shared" si="221"/>
        <v>0</v>
      </c>
      <c r="AO749" s="204" t="str">
        <f t="shared" si="231"/>
        <v/>
      </c>
    </row>
    <row r="750" spans="1:41" hidden="1" x14ac:dyDescent="0.25">
      <c r="A750" s="103" t="str">
        <f>Start!D$7</f>
        <v>Anyland</v>
      </c>
      <c r="B750" s="109" t="str">
        <f>VLOOKUP(A750,list!B:C,2,FALSE)</f>
        <v>ANY</v>
      </c>
      <c r="C750" s="104" t="str">
        <f>IF(Start!$C$27="","",Start!$C$27)</f>
        <v/>
      </c>
      <c r="D750" s="298">
        <f t="shared" si="222"/>
        <v>45689</v>
      </c>
      <c r="E750" s="105" t="str">
        <f>IFERROR(VLOOKUP(C750,Start!C$15:D$31,2,FALSE),"No")</f>
        <v>No</v>
      </c>
      <c r="F750" s="105">
        <f t="shared" si="223"/>
        <v>0</v>
      </c>
      <c r="G750" s="106"/>
      <c r="H750" s="106"/>
      <c r="I750" s="106"/>
      <c r="J750" s="105">
        <f t="shared" si="215"/>
        <v>0</v>
      </c>
      <c r="K750" s="106"/>
      <c r="L750" s="177" t="str">
        <f t="shared" si="216"/>
        <v/>
      </c>
      <c r="M750" s="105">
        <f t="shared" si="217"/>
        <v>0</v>
      </c>
      <c r="N750" s="110"/>
      <c r="O750" s="124"/>
      <c r="P750" s="110"/>
      <c r="Q750" s="124"/>
      <c r="R750" s="111">
        <f>SUMIFS('Shipments data'!L:L,'Shipments data'!F:F,'Supply planning data'!C750,'Shipments data'!A:A,'Supply planning data'!A750,'Shipments data'!Y:Y,'Supply planning data'!D750,'Shipments data'!O:O,"received", 'Shipments data'!N:N, "Public")</f>
        <v>0</v>
      </c>
      <c r="S750" s="111">
        <f>SUMIFS('Shipments data'!L:L,'Shipments data'!F:F,'Supply planning data'!C750,'Shipments data'!A:A,'Supply planning data'!A750,'Shipments data'!Y:Y,'Supply planning data'!D750,'Shipments data'!O:O,"ordered", 'Shipments data'!N:N, "Public")</f>
        <v>0</v>
      </c>
      <c r="T750" s="111">
        <f>IF(SUMIFS('Shipments data'!L:L,'Shipments data'!F:F,'Supply planning data'!C750,'Shipments data'!A:A,'Supply planning data'!A750,'Shipments data'!O:O,"received",'Shipments data'!Q:Q,"&lt;"&amp;'Supply planning data'!D765,'Shipments data'!AC:AC,"&lt;"&amp;'Supply planning data'!D765)-SUMIFS(M:M,D:D,"&lt;="&amp;D750,C:C,C750)+SUMIFS(N:N,D:D,"&lt;="&amp;D750,C:C,C750)+SUMIFS(P:P,D:D,"&lt;="&amp;D750,C:C,C750)&lt;0,0,SUMIFS('Shipments data'!L:L,'Shipments data'!F:F,'Supply planning data'!C750,'Shipments data'!A:A,'Supply planning data'!A750,'Shipments data'!O:O,"received",'Shipments data'!Q:Q,"&lt;"&amp;'Supply planning data'!D765,'Shipments data'!AC:AC,"&lt;"&amp;'Supply planning data'!D765)-SUMIFS(M:M,D:D,"&lt;="&amp;D750,C:C,C750)+SUMIFS(N:N,D:D,"&lt;="&amp;D750,C:C,C750)+SUMIFS(P:P,D:D,"&lt;="&amp;D750,C:C,C750))</f>
        <v>0</v>
      </c>
      <c r="U750" s="112">
        <f t="shared" si="224"/>
        <v>0</v>
      </c>
      <c r="V750" s="111">
        <f t="shared" si="214"/>
        <v>0</v>
      </c>
      <c r="W750" s="204" t="str">
        <f t="shared" si="230"/>
        <v/>
      </c>
      <c r="X750" s="111">
        <f t="shared" si="225"/>
        <v>0</v>
      </c>
      <c r="Y750" s="110"/>
      <c r="Z750" s="107"/>
      <c r="AA750" s="111">
        <f t="shared" si="218"/>
        <v>0</v>
      </c>
      <c r="AB750" s="235"/>
      <c r="AC750" s="111">
        <f>IF(SUMIFS('Shipments data'!L:L,'Shipments data'!F:F,'Supply planning data'!C750,'Shipments data'!A:A,'Supply planning data'!A750,'Shipments data'!O:O,"received",'Shipments data'!Q:Q,"&lt;"&amp;'Supply planning data'!D765,'Shipments data'!AC:AC,"&lt;"&amp;'Supply planning data'!D765)-SUMIFS(M:M,D:D,"&lt;="&amp;D750,C:C,C750)-SUMIFS(AA:AA,D:D,"&lt;="&amp;D750,C:C,C750)+SUMIFS(N:N,D:D,"&lt;="&amp;D750,C:C,C750)+SUMIFS(P:P,D:D,"&lt;="&amp;D750,C:C,C750)&lt;0,0,SUMIFS('Shipments data'!L:L,'Shipments data'!F:F,'Supply planning data'!C750,'Shipments data'!A:A,'Supply planning data'!A750,'Shipments data'!O:O,"received",'Shipments data'!Q:Q,"&lt;"&amp;'Supply planning data'!D765,'Shipments data'!AC:AC,"&lt;"&amp;'Supply planning data'!D765)-SUMIFS(M:M,D:D,"&lt;="&amp;D750,C:C,C750)-SUMIFS(AA:AA,D:D,"&lt;="&amp;D750,C:C,C750)+SUMIFS(N:N,D:D,"&lt;="&amp;D750,C:C,C750)+SUMIFS(P:P,D:D,"&lt;="&amp;D750,C:C,C750))</f>
        <v>0</v>
      </c>
      <c r="AD750" s="111">
        <f t="shared" si="226"/>
        <v>0</v>
      </c>
      <c r="AE750" s="111">
        <f t="shared" si="220"/>
        <v>0</v>
      </c>
      <c r="AF750" s="204" t="str">
        <f t="shared" si="229"/>
        <v/>
      </c>
      <c r="AG750" s="111">
        <f t="shared" si="227"/>
        <v>0</v>
      </c>
      <c r="AH750" s="110"/>
      <c r="AI750" s="313"/>
      <c r="AJ750" s="111">
        <f t="shared" si="219"/>
        <v>0</v>
      </c>
      <c r="AK750" s="235"/>
      <c r="AL750" s="111">
        <f>IF(SUMIFS('Shipments data'!L:L,'Shipments data'!F:F,'Supply planning data'!C750,'Shipments data'!A:A,'Supply planning data'!A750,'Shipments data'!O:O,"received",'Shipments data'!Q:Q,"&lt;"&amp;'Supply planning data'!D765,'Shipments data'!AC:AC,"&lt;"&amp;'Supply planning data'!D765)-SUMIFS(M:M,D:D,"&lt;="&amp;D750,C:C,C750)-SUMIFS(AJ:AJ,D:D,"&lt;="&amp;D750,C:C,C750)+SUMIFS(N:N,D:D,"&lt;="&amp;D750,C:C,C750)+SUMIFS(P:P,D:D,"&lt;="&amp;D750,C:C,C750)&lt;0,0,SUMIFS('Shipments data'!L:L,'Shipments data'!F:F,'Supply planning data'!C750,'Shipments data'!A:A,'Supply planning data'!A750,'Shipments data'!O:O,"received",'Shipments data'!Q:Q,"&lt;"&amp;'Supply planning data'!D765,'Shipments data'!AC:AC,"&lt;"&amp;'Supply planning data'!D765)-SUMIFS(M:M,D:D,"&lt;="&amp;D750,C:C,C750)-SUMIFS(AJ:AJ,D:D,"&lt;="&amp;D750,C:C,C750)+SUMIFS(N:N,D:D,"&lt;="&amp;D750,C:C,C750)+SUMIFS(P:P,D:D,"&lt;="&amp;D750,C:C,C750))</f>
        <v>0</v>
      </c>
      <c r="AM750" s="111">
        <f t="shared" si="228"/>
        <v>0</v>
      </c>
      <c r="AN750" s="111">
        <f t="shared" si="221"/>
        <v>0</v>
      </c>
      <c r="AO750" s="204" t="str">
        <f t="shared" si="231"/>
        <v/>
      </c>
    </row>
    <row r="751" spans="1:41" hidden="1" x14ac:dyDescent="0.25">
      <c r="A751" s="103" t="str">
        <f>Start!D$7</f>
        <v>Anyland</v>
      </c>
      <c r="B751" s="109" t="str">
        <f>VLOOKUP(A751,list!B:C,2,FALSE)</f>
        <v>ANY</v>
      </c>
      <c r="C751" s="109" t="str">
        <f>IF(Start!$C$28="","",Start!$C$28)</f>
        <v/>
      </c>
      <c r="D751" s="298">
        <f t="shared" si="222"/>
        <v>45689</v>
      </c>
      <c r="E751" s="105" t="str">
        <f>IFERROR(VLOOKUP(C751,Start!C$15:D$31,2,FALSE),"No")</f>
        <v>No</v>
      </c>
      <c r="F751" s="105">
        <f t="shared" si="223"/>
        <v>0</v>
      </c>
      <c r="G751" s="106"/>
      <c r="H751" s="106"/>
      <c r="I751" s="106"/>
      <c r="J751" s="105">
        <f t="shared" si="215"/>
        <v>0</v>
      </c>
      <c r="K751" s="106"/>
      <c r="L751" s="177" t="str">
        <f t="shared" si="216"/>
        <v/>
      </c>
      <c r="M751" s="105">
        <f t="shared" si="217"/>
        <v>0</v>
      </c>
      <c r="N751" s="110"/>
      <c r="O751" s="124"/>
      <c r="P751" s="110"/>
      <c r="Q751" s="124"/>
      <c r="R751" s="111">
        <f>SUMIFS('Shipments data'!L:L,'Shipments data'!F:F,'Supply planning data'!C751,'Shipments data'!A:A,'Supply planning data'!A751,'Shipments data'!Y:Y,'Supply planning data'!D751,'Shipments data'!O:O,"received", 'Shipments data'!N:N, "Public")</f>
        <v>0</v>
      </c>
      <c r="S751" s="111">
        <f>SUMIFS('Shipments data'!L:L,'Shipments data'!F:F,'Supply planning data'!C751,'Shipments data'!A:A,'Supply planning data'!A751,'Shipments data'!Y:Y,'Supply planning data'!D751,'Shipments data'!O:O,"ordered", 'Shipments data'!N:N, "Public")</f>
        <v>0</v>
      </c>
      <c r="T751" s="111">
        <f>IF(SUMIFS('Shipments data'!L:L,'Shipments data'!F:F,'Supply planning data'!C751,'Shipments data'!A:A,'Supply planning data'!A751,'Shipments data'!O:O,"received",'Shipments data'!Q:Q,"&lt;"&amp;'Supply planning data'!D766,'Shipments data'!AC:AC,"&lt;"&amp;'Supply planning data'!D766)-SUMIFS(M:M,D:D,"&lt;="&amp;D751,C:C,C751)+SUMIFS(N:N,D:D,"&lt;="&amp;D751,C:C,C751)+SUMIFS(P:P,D:D,"&lt;="&amp;D751,C:C,C751)&lt;0,0,SUMIFS('Shipments data'!L:L,'Shipments data'!F:F,'Supply planning data'!C751,'Shipments data'!A:A,'Supply planning data'!A751,'Shipments data'!O:O,"received",'Shipments data'!Q:Q,"&lt;"&amp;'Supply planning data'!D766,'Shipments data'!AC:AC,"&lt;"&amp;'Supply planning data'!D766)-SUMIFS(M:M,D:D,"&lt;="&amp;D751,C:C,C751)+SUMIFS(N:N,D:D,"&lt;="&amp;D751,C:C,C751)+SUMIFS(P:P,D:D,"&lt;="&amp;D751,C:C,C751))</f>
        <v>0</v>
      </c>
      <c r="U751" s="112">
        <f t="shared" si="224"/>
        <v>0</v>
      </c>
      <c r="V751" s="111">
        <f t="shared" si="214"/>
        <v>0</v>
      </c>
      <c r="W751" s="204" t="str">
        <f t="shared" si="230"/>
        <v/>
      </c>
      <c r="X751" s="111">
        <f t="shared" si="225"/>
        <v>0</v>
      </c>
      <c r="Y751" s="110"/>
      <c r="Z751" s="107"/>
      <c r="AA751" s="111">
        <f t="shared" si="218"/>
        <v>0</v>
      </c>
      <c r="AB751" s="235"/>
      <c r="AC751" s="111">
        <f>IF(SUMIFS('Shipments data'!L:L,'Shipments data'!F:F,'Supply planning data'!C751,'Shipments data'!A:A,'Supply planning data'!A751,'Shipments data'!O:O,"received",'Shipments data'!Q:Q,"&lt;"&amp;'Supply planning data'!D766,'Shipments data'!AC:AC,"&lt;"&amp;'Supply planning data'!D766)-SUMIFS(M:M,D:D,"&lt;="&amp;D751,C:C,C751)-SUMIFS(AA:AA,D:D,"&lt;="&amp;D751,C:C,C751)+SUMIFS(N:N,D:D,"&lt;="&amp;D751,C:C,C751)+SUMIFS(P:P,D:D,"&lt;="&amp;D751,C:C,C751)&lt;0,0,SUMIFS('Shipments data'!L:L,'Shipments data'!F:F,'Supply planning data'!C751,'Shipments data'!A:A,'Supply planning data'!A751,'Shipments data'!O:O,"received",'Shipments data'!Q:Q,"&lt;"&amp;'Supply planning data'!D766,'Shipments data'!AC:AC,"&lt;"&amp;'Supply planning data'!D766)-SUMIFS(M:M,D:D,"&lt;="&amp;D751,C:C,C751)-SUMIFS(AA:AA,D:D,"&lt;="&amp;D751,C:C,C751)+SUMIFS(N:N,D:D,"&lt;="&amp;D751,C:C,C751)+SUMIFS(P:P,D:D,"&lt;="&amp;D751,C:C,C751))</f>
        <v>0</v>
      </c>
      <c r="AD751" s="111">
        <f t="shared" si="226"/>
        <v>0</v>
      </c>
      <c r="AE751" s="111">
        <f t="shared" si="220"/>
        <v>0</v>
      </c>
      <c r="AF751" s="204" t="str">
        <f t="shared" si="229"/>
        <v/>
      </c>
      <c r="AG751" s="111">
        <f t="shared" si="227"/>
        <v>0</v>
      </c>
      <c r="AH751" s="110"/>
      <c r="AI751" s="313"/>
      <c r="AJ751" s="111">
        <f t="shared" si="219"/>
        <v>0</v>
      </c>
      <c r="AK751" s="235"/>
      <c r="AL751" s="111">
        <f>IF(SUMIFS('Shipments data'!L:L,'Shipments data'!F:F,'Supply planning data'!C751,'Shipments data'!A:A,'Supply planning data'!A751,'Shipments data'!O:O,"received",'Shipments data'!Q:Q,"&lt;"&amp;'Supply planning data'!D766,'Shipments data'!AC:AC,"&lt;"&amp;'Supply planning data'!D766)-SUMIFS(M:M,D:D,"&lt;="&amp;D751,C:C,C751)-SUMIFS(AJ:AJ,D:D,"&lt;="&amp;D751,C:C,C751)+SUMIFS(N:N,D:D,"&lt;="&amp;D751,C:C,C751)+SUMIFS(P:P,D:D,"&lt;="&amp;D751,C:C,C751)&lt;0,0,SUMIFS('Shipments data'!L:L,'Shipments data'!F:F,'Supply planning data'!C751,'Shipments data'!A:A,'Supply planning data'!A751,'Shipments data'!O:O,"received",'Shipments data'!Q:Q,"&lt;"&amp;'Supply planning data'!D766,'Shipments data'!AC:AC,"&lt;"&amp;'Supply planning data'!D766)-SUMIFS(M:M,D:D,"&lt;="&amp;D751,C:C,C751)-SUMIFS(AJ:AJ,D:D,"&lt;="&amp;D751,C:C,C751)+SUMIFS(N:N,D:D,"&lt;="&amp;D751,C:C,C751)+SUMIFS(P:P,D:D,"&lt;="&amp;D751,C:C,C751))</f>
        <v>0</v>
      </c>
      <c r="AM751" s="111">
        <f t="shared" si="228"/>
        <v>0</v>
      </c>
      <c r="AN751" s="111">
        <f t="shared" si="221"/>
        <v>0</v>
      </c>
      <c r="AO751" s="204" t="str">
        <f t="shared" si="231"/>
        <v/>
      </c>
    </row>
    <row r="752" spans="1:41" hidden="1" x14ac:dyDescent="0.25">
      <c r="A752" s="103" t="str">
        <f>Start!D$7</f>
        <v>Anyland</v>
      </c>
      <c r="B752" s="109" t="str">
        <f>VLOOKUP(A752,list!B:C,2,FALSE)</f>
        <v>ANY</v>
      </c>
      <c r="C752" s="104" t="str">
        <f>IF(Start!$C$29="","",Start!$C$29)</f>
        <v/>
      </c>
      <c r="D752" s="298">
        <f t="shared" si="222"/>
        <v>45689</v>
      </c>
      <c r="E752" s="105" t="str">
        <f>IFERROR(VLOOKUP(C752,Start!C$15:D$31,2,FALSE),"No")</f>
        <v>No</v>
      </c>
      <c r="F752" s="105">
        <f t="shared" si="223"/>
        <v>0</v>
      </c>
      <c r="G752" s="106"/>
      <c r="H752" s="106"/>
      <c r="I752" s="106"/>
      <c r="J752" s="105">
        <f t="shared" si="215"/>
        <v>0</v>
      </c>
      <c r="K752" s="106"/>
      <c r="L752" s="177" t="str">
        <f t="shared" si="216"/>
        <v/>
      </c>
      <c r="M752" s="105">
        <f t="shared" si="217"/>
        <v>0</v>
      </c>
      <c r="N752" s="110"/>
      <c r="O752" s="124"/>
      <c r="P752" s="110"/>
      <c r="Q752" s="124"/>
      <c r="R752" s="111">
        <f>SUMIFS('Shipments data'!L:L,'Shipments data'!F:F,'Supply planning data'!C752,'Shipments data'!A:A,'Supply planning data'!A752,'Shipments data'!Y:Y,'Supply planning data'!D752,'Shipments data'!O:O,"received", 'Shipments data'!N:N, "Public")</f>
        <v>0</v>
      </c>
      <c r="S752" s="111">
        <f>SUMIFS('Shipments data'!L:L,'Shipments data'!F:F,'Supply planning data'!C752,'Shipments data'!A:A,'Supply planning data'!A752,'Shipments data'!Y:Y,'Supply planning data'!D752,'Shipments data'!O:O,"ordered", 'Shipments data'!N:N, "Public")</f>
        <v>0</v>
      </c>
      <c r="T752" s="111">
        <f>IF(SUMIFS('Shipments data'!L:L,'Shipments data'!F:F,'Supply planning data'!C752,'Shipments data'!A:A,'Supply planning data'!A752,'Shipments data'!O:O,"received",'Shipments data'!Q:Q,"&lt;"&amp;'Supply planning data'!D767,'Shipments data'!AC:AC,"&lt;"&amp;'Supply planning data'!D767)-SUMIFS(M:M,D:D,"&lt;="&amp;D752,C:C,C752)+SUMIFS(N:N,D:D,"&lt;="&amp;D752,C:C,C752)+SUMIFS(P:P,D:D,"&lt;="&amp;D752,C:C,C752)&lt;0,0,SUMIFS('Shipments data'!L:L,'Shipments data'!F:F,'Supply planning data'!C752,'Shipments data'!A:A,'Supply planning data'!A752,'Shipments data'!O:O,"received",'Shipments data'!Q:Q,"&lt;"&amp;'Supply planning data'!D767,'Shipments data'!AC:AC,"&lt;"&amp;'Supply planning data'!D767)-SUMIFS(M:M,D:D,"&lt;="&amp;D752,C:C,C752)+SUMIFS(N:N,D:D,"&lt;="&amp;D752,C:C,C752)+SUMIFS(P:P,D:D,"&lt;="&amp;D752,C:C,C752))</f>
        <v>0</v>
      </c>
      <c r="U752" s="112">
        <f t="shared" si="224"/>
        <v>0</v>
      </c>
      <c r="V752" s="111">
        <f t="shared" si="214"/>
        <v>0</v>
      </c>
      <c r="W752" s="204" t="str">
        <f t="shared" si="230"/>
        <v/>
      </c>
      <c r="X752" s="111">
        <f t="shared" si="225"/>
        <v>0</v>
      </c>
      <c r="Y752" s="110"/>
      <c r="Z752" s="107"/>
      <c r="AA752" s="111">
        <f t="shared" si="218"/>
        <v>0</v>
      </c>
      <c r="AB752" s="235"/>
      <c r="AC752" s="111">
        <f>IF(SUMIFS('Shipments data'!L:L,'Shipments data'!F:F,'Supply planning data'!C752,'Shipments data'!A:A,'Supply planning data'!A752,'Shipments data'!O:O,"received",'Shipments data'!Q:Q,"&lt;"&amp;'Supply planning data'!D767,'Shipments data'!AC:AC,"&lt;"&amp;'Supply planning data'!D767)-SUMIFS(M:M,D:D,"&lt;="&amp;D752,C:C,C752)-SUMIFS(AA:AA,D:D,"&lt;="&amp;D752,C:C,C752)+SUMIFS(N:N,D:D,"&lt;="&amp;D752,C:C,C752)+SUMIFS(P:P,D:D,"&lt;="&amp;D752,C:C,C752)&lt;0,0,SUMIFS('Shipments data'!L:L,'Shipments data'!F:F,'Supply planning data'!C752,'Shipments data'!A:A,'Supply planning data'!A752,'Shipments data'!O:O,"received",'Shipments data'!Q:Q,"&lt;"&amp;'Supply planning data'!D767,'Shipments data'!AC:AC,"&lt;"&amp;'Supply planning data'!D767)-SUMIFS(M:M,D:D,"&lt;="&amp;D752,C:C,C752)-SUMIFS(AA:AA,D:D,"&lt;="&amp;D752,C:C,C752)+SUMIFS(N:N,D:D,"&lt;="&amp;D752,C:C,C752)+SUMIFS(P:P,D:D,"&lt;="&amp;D752,C:C,C752))</f>
        <v>0</v>
      </c>
      <c r="AD752" s="111">
        <f t="shared" si="226"/>
        <v>0</v>
      </c>
      <c r="AE752" s="111">
        <f t="shared" si="220"/>
        <v>0</v>
      </c>
      <c r="AF752" s="204" t="str">
        <f t="shared" si="229"/>
        <v/>
      </c>
      <c r="AG752" s="111">
        <f t="shared" si="227"/>
        <v>0</v>
      </c>
      <c r="AH752" s="110"/>
      <c r="AI752" s="313"/>
      <c r="AJ752" s="111">
        <f t="shared" si="219"/>
        <v>0</v>
      </c>
      <c r="AK752" s="235"/>
      <c r="AL752" s="111">
        <f>IF(SUMIFS('Shipments data'!L:L,'Shipments data'!F:F,'Supply planning data'!C752,'Shipments data'!A:A,'Supply planning data'!A752,'Shipments data'!O:O,"received",'Shipments data'!Q:Q,"&lt;"&amp;'Supply planning data'!D767,'Shipments data'!AC:AC,"&lt;"&amp;'Supply planning data'!D767)-SUMIFS(M:M,D:D,"&lt;="&amp;D752,C:C,C752)-SUMIFS(AJ:AJ,D:D,"&lt;="&amp;D752,C:C,C752)+SUMIFS(N:N,D:D,"&lt;="&amp;D752,C:C,C752)+SUMIFS(P:P,D:D,"&lt;="&amp;D752,C:C,C752)&lt;0,0,SUMIFS('Shipments data'!L:L,'Shipments data'!F:F,'Supply planning data'!C752,'Shipments data'!A:A,'Supply planning data'!A752,'Shipments data'!O:O,"received",'Shipments data'!Q:Q,"&lt;"&amp;'Supply planning data'!D767,'Shipments data'!AC:AC,"&lt;"&amp;'Supply planning data'!D767)-SUMIFS(M:M,D:D,"&lt;="&amp;D752,C:C,C752)-SUMIFS(AJ:AJ,D:D,"&lt;="&amp;D752,C:C,C752)+SUMIFS(N:N,D:D,"&lt;="&amp;D752,C:C,C752)+SUMIFS(P:P,D:D,"&lt;="&amp;D752,C:C,C752))</f>
        <v>0</v>
      </c>
      <c r="AM752" s="111">
        <f t="shared" si="228"/>
        <v>0</v>
      </c>
      <c r="AN752" s="111">
        <f t="shared" si="221"/>
        <v>0</v>
      </c>
      <c r="AO752" s="204" t="str">
        <f t="shared" si="231"/>
        <v/>
      </c>
    </row>
    <row r="753" spans="1:41" hidden="1" x14ac:dyDescent="0.25">
      <c r="A753" s="103" t="str">
        <f>Start!D$7</f>
        <v>Anyland</v>
      </c>
      <c r="B753" s="109" t="str">
        <f>VLOOKUP(A753,list!B:C,2,FALSE)</f>
        <v>ANY</v>
      </c>
      <c r="C753" s="109" t="str">
        <f>IF(Start!$C$30="","",Start!$C$30)</f>
        <v/>
      </c>
      <c r="D753" s="298">
        <f t="shared" si="222"/>
        <v>45689</v>
      </c>
      <c r="E753" s="105" t="str">
        <f>IFERROR(VLOOKUP(C753,Start!C$15:D$31,2,FALSE),"No")</f>
        <v>No</v>
      </c>
      <c r="F753" s="105">
        <f t="shared" si="223"/>
        <v>0</v>
      </c>
      <c r="G753" s="106"/>
      <c r="H753" s="106"/>
      <c r="I753" s="106"/>
      <c r="J753" s="105">
        <f t="shared" si="215"/>
        <v>0</v>
      </c>
      <c r="K753" s="106"/>
      <c r="L753" s="177" t="str">
        <f t="shared" si="216"/>
        <v/>
      </c>
      <c r="M753" s="105">
        <f t="shared" si="217"/>
        <v>0</v>
      </c>
      <c r="N753" s="110"/>
      <c r="O753" s="124"/>
      <c r="P753" s="110"/>
      <c r="Q753" s="124"/>
      <c r="R753" s="111">
        <f>SUMIFS('Shipments data'!L:L,'Shipments data'!F:F,'Supply planning data'!C753,'Shipments data'!A:A,'Supply planning data'!A753,'Shipments data'!Y:Y,'Supply planning data'!D753,'Shipments data'!O:O,"received", 'Shipments data'!N:N, "Public")</f>
        <v>0</v>
      </c>
      <c r="S753" s="111">
        <f>SUMIFS('Shipments data'!L:L,'Shipments data'!F:F,'Supply planning data'!C753,'Shipments data'!A:A,'Supply planning data'!A753,'Shipments data'!Y:Y,'Supply planning data'!D753,'Shipments data'!O:O,"ordered", 'Shipments data'!N:N, "Public")</f>
        <v>0</v>
      </c>
      <c r="T753" s="111">
        <f>IF(SUMIFS('Shipments data'!L:L,'Shipments data'!F:F,'Supply planning data'!C753,'Shipments data'!A:A,'Supply planning data'!A753,'Shipments data'!O:O,"received",'Shipments data'!Q:Q,"&lt;"&amp;'Supply planning data'!D768,'Shipments data'!AC:AC,"&lt;"&amp;'Supply planning data'!D768)-SUMIFS(M:M,D:D,"&lt;="&amp;D753,C:C,C753)+SUMIFS(N:N,D:D,"&lt;="&amp;D753,C:C,C753)+SUMIFS(P:P,D:D,"&lt;="&amp;D753,C:C,C753)&lt;0,0,SUMIFS('Shipments data'!L:L,'Shipments data'!F:F,'Supply planning data'!C753,'Shipments data'!A:A,'Supply planning data'!A753,'Shipments data'!O:O,"received",'Shipments data'!Q:Q,"&lt;"&amp;'Supply planning data'!D768,'Shipments data'!AC:AC,"&lt;"&amp;'Supply planning data'!D768)-SUMIFS(M:M,D:D,"&lt;="&amp;D753,C:C,C753)+SUMIFS(N:N,D:D,"&lt;="&amp;D753,C:C,C753)+SUMIFS(P:P,D:D,"&lt;="&amp;D753,C:C,C753))</f>
        <v>0</v>
      </c>
      <c r="U753" s="112">
        <f t="shared" si="224"/>
        <v>0</v>
      </c>
      <c r="V753" s="111">
        <f t="shared" si="214"/>
        <v>0</v>
      </c>
      <c r="W753" s="204" t="str">
        <f t="shared" si="230"/>
        <v/>
      </c>
      <c r="X753" s="111">
        <f t="shared" si="225"/>
        <v>0</v>
      </c>
      <c r="Y753" s="110"/>
      <c r="Z753" s="107"/>
      <c r="AA753" s="111">
        <f t="shared" si="218"/>
        <v>0</v>
      </c>
      <c r="AB753" s="235"/>
      <c r="AC753" s="111">
        <f>IF(SUMIFS('Shipments data'!L:L,'Shipments data'!F:F,'Supply planning data'!C753,'Shipments data'!A:A,'Supply planning data'!A753,'Shipments data'!O:O,"received",'Shipments data'!Q:Q,"&lt;"&amp;'Supply planning data'!D768,'Shipments data'!AC:AC,"&lt;"&amp;'Supply planning data'!D768)-SUMIFS(M:M,D:D,"&lt;="&amp;D753,C:C,C753)-SUMIFS(AA:AA,D:D,"&lt;="&amp;D753,C:C,C753)+SUMIFS(N:N,D:D,"&lt;="&amp;D753,C:C,C753)+SUMIFS(P:P,D:D,"&lt;="&amp;D753,C:C,C753)&lt;0,0,SUMIFS('Shipments data'!L:L,'Shipments data'!F:F,'Supply planning data'!C753,'Shipments data'!A:A,'Supply planning data'!A753,'Shipments data'!O:O,"received",'Shipments data'!Q:Q,"&lt;"&amp;'Supply planning data'!D768,'Shipments data'!AC:AC,"&lt;"&amp;'Supply planning data'!D768)-SUMIFS(M:M,D:D,"&lt;="&amp;D753,C:C,C753)-SUMIFS(AA:AA,D:D,"&lt;="&amp;D753,C:C,C753)+SUMIFS(N:N,D:D,"&lt;="&amp;D753,C:C,C753)+SUMIFS(P:P,D:D,"&lt;="&amp;D753,C:C,C753))</f>
        <v>0</v>
      </c>
      <c r="AD753" s="111">
        <f t="shared" si="226"/>
        <v>0</v>
      </c>
      <c r="AE753" s="111">
        <f t="shared" si="220"/>
        <v>0</v>
      </c>
      <c r="AF753" s="204" t="str">
        <f t="shared" si="229"/>
        <v/>
      </c>
      <c r="AG753" s="111">
        <f t="shared" si="227"/>
        <v>0</v>
      </c>
      <c r="AH753" s="110"/>
      <c r="AI753" s="313"/>
      <c r="AJ753" s="111">
        <f t="shared" si="219"/>
        <v>0</v>
      </c>
      <c r="AK753" s="235"/>
      <c r="AL753" s="111">
        <f>IF(SUMIFS('Shipments data'!L:L,'Shipments data'!F:F,'Supply planning data'!C753,'Shipments data'!A:A,'Supply planning data'!A753,'Shipments data'!O:O,"received",'Shipments data'!Q:Q,"&lt;"&amp;'Supply planning data'!D768,'Shipments data'!AC:AC,"&lt;"&amp;'Supply planning data'!D768)-SUMIFS(M:M,D:D,"&lt;="&amp;D753,C:C,C753)-SUMIFS(AJ:AJ,D:D,"&lt;="&amp;D753,C:C,C753)+SUMIFS(N:N,D:D,"&lt;="&amp;D753,C:C,C753)+SUMIFS(P:P,D:D,"&lt;="&amp;D753,C:C,C753)&lt;0,0,SUMIFS('Shipments data'!L:L,'Shipments data'!F:F,'Supply planning data'!C753,'Shipments data'!A:A,'Supply planning data'!A753,'Shipments data'!O:O,"received",'Shipments data'!Q:Q,"&lt;"&amp;'Supply planning data'!D768,'Shipments data'!AC:AC,"&lt;"&amp;'Supply planning data'!D768)-SUMIFS(M:M,D:D,"&lt;="&amp;D753,C:C,C753)-SUMIFS(AJ:AJ,D:D,"&lt;="&amp;D753,C:C,C753)+SUMIFS(N:N,D:D,"&lt;="&amp;D753,C:C,C753)+SUMIFS(P:P,D:D,"&lt;="&amp;D753,C:C,C753))</f>
        <v>0</v>
      </c>
      <c r="AM753" s="111">
        <f t="shared" si="228"/>
        <v>0</v>
      </c>
      <c r="AN753" s="111">
        <f t="shared" si="221"/>
        <v>0</v>
      </c>
      <c r="AO753" s="204" t="str">
        <f t="shared" si="231"/>
        <v/>
      </c>
    </row>
    <row r="754" spans="1:41" hidden="1" x14ac:dyDescent="0.25">
      <c r="A754" s="113" t="str">
        <f>Start!D$7</f>
        <v>Anyland</v>
      </c>
      <c r="B754" s="114" t="str">
        <f>VLOOKUP(A754,list!B:C,2,FALSE)</f>
        <v>ANY</v>
      </c>
      <c r="C754" s="104" t="str">
        <f>IF(Start!$C$31="","",Start!$C$31)</f>
        <v/>
      </c>
      <c r="D754" s="298">
        <f t="shared" si="222"/>
        <v>45689</v>
      </c>
      <c r="E754" s="105" t="str">
        <f>IFERROR(VLOOKUP(C754,Start!C$15:D$31,2,FALSE),"No")</f>
        <v>No</v>
      </c>
      <c r="F754" s="105">
        <f t="shared" si="223"/>
        <v>0</v>
      </c>
      <c r="G754" s="106"/>
      <c r="H754" s="106"/>
      <c r="I754" s="106"/>
      <c r="J754" s="105">
        <f t="shared" si="215"/>
        <v>0</v>
      </c>
      <c r="K754" s="106"/>
      <c r="L754" s="177" t="str">
        <f t="shared" si="216"/>
        <v/>
      </c>
      <c r="M754" s="105">
        <f t="shared" si="217"/>
        <v>0</v>
      </c>
      <c r="N754" s="110"/>
      <c r="O754" s="124"/>
      <c r="P754" s="110"/>
      <c r="Q754" s="124"/>
      <c r="R754" s="111">
        <f>SUMIFS('Shipments data'!L:L,'Shipments data'!F:F,'Supply planning data'!C754,'Shipments data'!A:A,'Supply planning data'!A754,'Shipments data'!Y:Y,'Supply planning data'!D754,'Shipments data'!O:O,"received", 'Shipments data'!N:N, "Public")</f>
        <v>0</v>
      </c>
      <c r="S754" s="111">
        <f>SUMIFS('Shipments data'!L:L,'Shipments data'!F:F,'Supply planning data'!C754,'Shipments data'!A:A,'Supply planning data'!A754,'Shipments data'!Y:Y,'Supply planning data'!D754,'Shipments data'!O:O,"ordered", 'Shipments data'!N:N, "Public")</f>
        <v>0</v>
      </c>
      <c r="T754" s="111">
        <f>IF(SUMIFS('Shipments data'!L:L,'Shipments data'!F:F,'Supply planning data'!C754,'Shipments data'!A:A,'Supply planning data'!A754,'Shipments data'!O:O,"received",'Shipments data'!Q:Q,"&lt;"&amp;'Supply planning data'!D769,'Shipments data'!AC:AC,"&lt;"&amp;'Supply planning data'!D769)-SUMIFS(M:M,D:D,"&lt;="&amp;D754,C:C,C754)+SUMIFS(N:N,D:D,"&lt;="&amp;D754,C:C,C754)+SUMIFS(P:P,D:D,"&lt;="&amp;D754,C:C,C754)&lt;0,0,SUMIFS('Shipments data'!L:L,'Shipments data'!F:F,'Supply planning data'!C754,'Shipments data'!A:A,'Supply planning data'!A754,'Shipments data'!O:O,"received",'Shipments data'!Q:Q,"&lt;"&amp;'Supply planning data'!D769,'Shipments data'!AC:AC,"&lt;"&amp;'Supply planning data'!D769)-SUMIFS(M:M,D:D,"&lt;="&amp;D754,C:C,C754)+SUMIFS(N:N,D:D,"&lt;="&amp;D754,C:C,C754)+SUMIFS(P:P,D:D,"&lt;="&amp;D754,C:C,C754))</f>
        <v>0</v>
      </c>
      <c r="U754" s="112">
        <f t="shared" si="224"/>
        <v>0</v>
      </c>
      <c r="V754" s="111">
        <f t="shared" si="214"/>
        <v>0</v>
      </c>
      <c r="W754" s="204" t="str">
        <f t="shared" si="230"/>
        <v/>
      </c>
      <c r="X754" s="111">
        <f t="shared" si="225"/>
        <v>0</v>
      </c>
      <c r="Y754" s="110"/>
      <c r="Z754" s="107"/>
      <c r="AA754" s="111">
        <f t="shared" si="218"/>
        <v>0</v>
      </c>
      <c r="AB754" s="235"/>
      <c r="AC754" s="111">
        <f>IF(SUMIFS('Shipments data'!L:L,'Shipments data'!F:F,'Supply planning data'!C754,'Shipments data'!A:A,'Supply planning data'!A754,'Shipments data'!O:O,"received",'Shipments data'!Q:Q,"&lt;"&amp;'Supply planning data'!D769,'Shipments data'!AC:AC,"&lt;"&amp;'Supply planning data'!D769)-SUMIFS(M:M,D:D,"&lt;="&amp;D754,C:C,C754)-SUMIFS(AA:AA,D:D,"&lt;="&amp;D754,C:C,C754)+SUMIFS(N:N,D:D,"&lt;="&amp;D754,C:C,C754)+SUMIFS(P:P,D:D,"&lt;="&amp;D754,C:C,C754)&lt;0,0,SUMIFS('Shipments data'!L:L,'Shipments data'!F:F,'Supply planning data'!C754,'Shipments data'!A:A,'Supply planning data'!A754,'Shipments data'!O:O,"received",'Shipments data'!Q:Q,"&lt;"&amp;'Supply planning data'!D769,'Shipments data'!AC:AC,"&lt;"&amp;'Supply planning data'!D769)-SUMIFS(M:M,D:D,"&lt;="&amp;D754,C:C,C754)-SUMIFS(AA:AA,D:D,"&lt;="&amp;D754,C:C,C754)+SUMIFS(N:N,D:D,"&lt;="&amp;D754,C:C,C754)+SUMIFS(P:P,D:D,"&lt;="&amp;D754,C:C,C754))</f>
        <v>0</v>
      </c>
      <c r="AD754" s="111">
        <f t="shared" si="226"/>
        <v>0</v>
      </c>
      <c r="AE754" s="111">
        <f t="shared" si="220"/>
        <v>0</v>
      </c>
      <c r="AF754" s="204" t="str">
        <f t="shared" si="229"/>
        <v/>
      </c>
      <c r="AG754" s="111">
        <f t="shared" si="227"/>
        <v>0</v>
      </c>
      <c r="AH754" s="110"/>
      <c r="AI754" s="313"/>
      <c r="AJ754" s="111">
        <f t="shared" si="219"/>
        <v>0</v>
      </c>
      <c r="AK754" s="235"/>
      <c r="AL754" s="111">
        <f>IF(SUMIFS('Shipments data'!L:L,'Shipments data'!F:F,'Supply planning data'!C754,'Shipments data'!A:A,'Supply planning data'!A754,'Shipments data'!O:O,"received",'Shipments data'!Q:Q,"&lt;"&amp;'Supply planning data'!D769,'Shipments data'!AC:AC,"&lt;"&amp;'Supply planning data'!D769)-SUMIFS(M:M,D:D,"&lt;="&amp;D754,C:C,C754)-SUMIFS(AJ:AJ,D:D,"&lt;="&amp;D754,C:C,C754)+SUMIFS(N:N,D:D,"&lt;="&amp;D754,C:C,C754)+SUMIFS(P:P,D:D,"&lt;="&amp;D754,C:C,C754)&lt;0,0,SUMIFS('Shipments data'!L:L,'Shipments data'!F:F,'Supply planning data'!C754,'Shipments data'!A:A,'Supply planning data'!A754,'Shipments data'!O:O,"received",'Shipments data'!Q:Q,"&lt;"&amp;'Supply planning data'!D769,'Shipments data'!AC:AC,"&lt;"&amp;'Supply planning data'!D769)-SUMIFS(M:M,D:D,"&lt;="&amp;D754,C:C,C754)-SUMIFS(AJ:AJ,D:D,"&lt;="&amp;D754,C:C,C754)+SUMIFS(N:N,D:D,"&lt;="&amp;D754,C:C,C754)+SUMIFS(P:P,D:D,"&lt;="&amp;D754,C:C,C754))</f>
        <v>0</v>
      </c>
      <c r="AM754" s="111">
        <f t="shared" si="228"/>
        <v>0</v>
      </c>
      <c r="AN754" s="111">
        <f t="shared" si="221"/>
        <v>0</v>
      </c>
      <c r="AO754" s="204" t="str">
        <f t="shared" si="231"/>
        <v/>
      </c>
    </row>
    <row r="755" spans="1:41" x14ac:dyDescent="0.25">
      <c r="A755" s="89" t="str">
        <f>Start!D$7</f>
        <v>Anyland</v>
      </c>
      <c r="B755" s="90" t="str">
        <f>VLOOKUP(A755,list!B:C,2,FALSE)</f>
        <v>ANY</v>
      </c>
      <c r="C755" s="90" t="str">
        <f>IF(Start!$C$17="","",Start!$C$17)</f>
        <v>AstraZeneca</v>
      </c>
      <c r="D755" s="296">
        <f t="shared" si="222"/>
        <v>45717</v>
      </c>
      <c r="E755" s="92" t="str">
        <f>IFERROR(VLOOKUP(C755,Start!C$15:D$31,2,FALSE),"No")</f>
        <v>Yes</v>
      </c>
      <c r="F755" s="92">
        <f t="shared" si="223"/>
        <v>0</v>
      </c>
      <c r="G755" s="91"/>
      <c r="H755" s="91"/>
      <c r="I755" s="91"/>
      <c r="J755" s="92">
        <f t="shared" si="215"/>
        <v>0</v>
      </c>
      <c r="K755" s="91"/>
      <c r="L755" s="174" t="str">
        <f t="shared" si="216"/>
        <v/>
      </c>
      <c r="M755" s="92">
        <f t="shared" si="217"/>
        <v>0</v>
      </c>
      <c r="N755" s="91"/>
      <c r="O755" s="121"/>
      <c r="P755" s="91"/>
      <c r="Q755" s="121"/>
      <c r="R755" s="92">
        <f>SUMIFS('Shipments data'!L:L,'Shipments data'!F:F,'Supply planning data'!C755,'Shipments data'!A:A,'Supply planning data'!A755,'Shipments data'!Y:Y,'Supply planning data'!D755,'Shipments data'!O:O,"received", 'Shipments data'!N:N, "Public")</f>
        <v>0</v>
      </c>
      <c r="S755" s="92">
        <f>SUMIFS('Shipments data'!L:L,'Shipments data'!F:F,'Supply planning data'!C755,'Shipments data'!A:A,'Supply planning data'!A755,'Shipments data'!Y:Y,'Supply planning data'!D755,'Shipments data'!O:O,"ordered", 'Shipments data'!N:N, "Public")</f>
        <v>0</v>
      </c>
      <c r="T755" s="92">
        <f>IF(SUMIFS('Shipments data'!L:L,'Shipments data'!F:F,'Supply planning data'!C755,'Shipments data'!A:A,'Supply planning data'!A755,'Shipments data'!O:O,"received",'Shipments data'!Q:Q,"&lt;"&amp;'Supply planning data'!D770,'Shipments data'!AC:AC,"&lt;"&amp;'Supply planning data'!D770)-SUMIFS(M:M,D:D,"&lt;="&amp;D755,C:C,C755)+SUMIFS(N:N,D:D,"&lt;="&amp;D755,C:C,C755)+SUMIFS(P:P,D:D,"&lt;="&amp;D755,C:C,C755)&lt;0,0,SUMIFS('Shipments data'!L:L,'Shipments data'!F:F,'Supply planning data'!C755,'Shipments data'!A:A,'Supply planning data'!A755,'Shipments data'!O:O,"received",'Shipments data'!Q:Q,"&lt;"&amp;'Supply planning data'!D770,'Shipments data'!AC:AC,"&lt;"&amp;'Supply planning data'!D770)-SUMIFS(M:M,D:D,"&lt;="&amp;D755,C:C,C755)+SUMIFS(N:N,D:D,"&lt;="&amp;D755,C:C,C755)+SUMIFS(P:P,D:D,"&lt;="&amp;D755,C:C,C755))</f>
        <v>0</v>
      </c>
      <c r="U755" s="94">
        <f t="shared" si="224"/>
        <v>0</v>
      </c>
      <c r="V755" s="92">
        <f t="shared" ref="V755:V818" si="232">IF(F755-M755+N755+P755+R755+S755-U755&lt;0,0,F755-M755+N755+P755+R755+S755-U755)</f>
        <v>0</v>
      </c>
      <c r="W755" s="205" t="str">
        <f t="shared" si="230"/>
        <v/>
      </c>
      <c r="X755" s="92">
        <f t="shared" si="225"/>
        <v>154701</v>
      </c>
      <c r="Y755" s="91"/>
      <c r="Z755" s="93"/>
      <c r="AA755" s="92">
        <f t="shared" si="218"/>
        <v>0</v>
      </c>
      <c r="AB755" s="232"/>
      <c r="AC755" s="92">
        <f>IF(SUMIFS('Shipments data'!L:L,'Shipments data'!F:F,'Supply planning data'!C755,'Shipments data'!A:A,'Supply planning data'!A755,'Shipments data'!O:O,"received",'Shipments data'!Q:Q,"&lt;"&amp;'Supply planning data'!D770,'Shipments data'!AC:AC,"&lt;"&amp;'Supply planning data'!D770)-SUMIFS(M:M,D:D,"&lt;="&amp;D755,C:C,C755)-SUMIFS(AA:AA,D:D,"&lt;="&amp;D755,C:C,C755)+SUMIFS(N:N,D:D,"&lt;="&amp;D755,C:C,C755)+SUMIFS(P:P,D:D,"&lt;="&amp;D755,C:C,C755)&lt;0,0,SUMIFS('Shipments data'!L:L,'Shipments data'!F:F,'Supply planning data'!C755,'Shipments data'!A:A,'Supply planning data'!A755,'Shipments data'!O:O,"received",'Shipments data'!Q:Q,"&lt;"&amp;'Supply planning data'!D770,'Shipments data'!AC:AC,"&lt;"&amp;'Supply planning data'!D770)-SUMIFS(M:M,D:D,"&lt;="&amp;D755,C:C,C755)-SUMIFS(AA:AA,D:D,"&lt;="&amp;D755,C:C,C755)+SUMIFS(N:N,D:D,"&lt;="&amp;D755,C:C,C755)+SUMIFS(P:P,D:D,"&lt;="&amp;D755,C:C,C755))</f>
        <v>0</v>
      </c>
      <c r="AD755" s="92">
        <f t="shared" si="226"/>
        <v>0</v>
      </c>
      <c r="AE755" s="92">
        <f t="shared" si="220"/>
        <v>154701</v>
      </c>
      <c r="AF755" s="205" t="str">
        <f t="shared" si="229"/>
        <v/>
      </c>
      <c r="AG755" s="92">
        <f t="shared" si="227"/>
        <v>0</v>
      </c>
      <c r="AH755" s="91"/>
      <c r="AI755" s="310"/>
      <c r="AJ755" s="92">
        <f t="shared" si="219"/>
        <v>0</v>
      </c>
      <c r="AK755" s="232"/>
      <c r="AL755" s="92">
        <f>IF(SUMIFS('Shipments data'!L:L,'Shipments data'!F:F,'Supply planning data'!C755,'Shipments data'!A:A,'Supply planning data'!A755,'Shipments data'!O:O,"received",'Shipments data'!Q:Q,"&lt;"&amp;'Supply planning data'!D770,'Shipments data'!AC:AC,"&lt;"&amp;'Supply planning data'!D770)-SUMIFS(M:M,D:D,"&lt;="&amp;D755,C:C,C755)-SUMIFS(AJ:AJ,D:D,"&lt;="&amp;D755,C:C,C755)+SUMIFS(N:N,D:D,"&lt;="&amp;D755,C:C,C755)+SUMIFS(P:P,D:D,"&lt;="&amp;D755,C:C,C755)&lt;0,0,SUMIFS('Shipments data'!L:L,'Shipments data'!F:F,'Supply planning data'!C755,'Shipments data'!A:A,'Supply planning data'!A755,'Shipments data'!O:O,"received",'Shipments data'!Q:Q,"&lt;"&amp;'Supply planning data'!D770,'Shipments data'!AC:AC,"&lt;"&amp;'Supply planning data'!D770)-SUMIFS(M:M,D:D,"&lt;="&amp;D755,C:C,C755)-SUMIFS(AJ:AJ,D:D,"&lt;="&amp;D755,C:C,C755)+SUMIFS(N:N,D:D,"&lt;="&amp;D755,C:C,C755)+SUMIFS(P:P,D:D,"&lt;="&amp;D755,C:C,C755))</f>
        <v>0</v>
      </c>
      <c r="AM755" s="92">
        <f t="shared" si="228"/>
        <v>0</v>
      </c>
      <c r="AN755" s="92">
        <f t="shared" si="221"/>
        <v>0</v>
      </c>
      <c r="AO755" s="205" t="str">
        <f t="shared" si="231"/>
        <v/>
      </c>
    </row>
    <row r="756" spans="1:41" x14ac:dyDescent="0.25">
      <c r="A756" s="95" t="str">
        <f>Start!D$7</f>
        <v>Anyland</v>
      </c>
      <c r="B756" s="96" t="str">
        <f>VLOOKUP(A756,list!B:C,2,FALSE)</f>
        <v>ANY</v>
      </c>
      <c r="C756" s="90" t="str">
        <f>IF(Start!$C$18="","",Start!$C$18)</f>
        <v>Jansen</v>
      </c>
      <c r="D756" s="296">
        <f t="shared" si="222"/>
        <v>45717</v>
      </c>
      <c r="E756" s="92" t="str">
        <f>IFERROR(VLOOKUP(C756,Start!C$15:D$31,2,FALSE),"No")</f>
        <v>Yes</v>
      </c>
      <c r="F756" s="92">
        <f t="shared" si="223"/>
        <v>1871200</v>
      </c>
      <c r="G756" s="91"/>
      <c r="H756" s="97"/>
      <c r="I756" s="97"/>
      <c r="J756" s="98">
        <f t="shared" si="215"/>
        <v>0</v>
      </c>
      <c r="K756" s="97"/>
      <c r="L756" s="175" t="str">
        <f t="shared" si="216"/>
        <v/>
      </c>
      <c r="M756" s="98">
        <f t="shared" si="217"/>
        <v>0</v>
      </c>
      <c r="N756" s="97"/>
      <c r="O756" s="122"/>
      <c r="P756" s="97"/>
      <c r="Q756" s="122"/>
      <c r="R756" s="98">
        <f>SUMIFS('Shipments data'!L:L,'Shipments data'!F:F,'Supply planning data'!C756,'Shipments data'!A:A,'Supply planning data'!A756,'Shipments data'!Y:Y,'Supply planning data'!D756,'Shipments data'!O:O,"received", 'Shipments data'!N:N, "Public")</f>
        <v>0</v>
      </c>
      <c r="S756" s="98">
        <f>SUMIFS('Shipments data'!L:L,'Shipments data'!F:F,'Supply planning data'!C756,'Shipments data'!A:A,'Supply planning data'!A756,'Shipments data'!Y:Y,'Supply planning data'!D756,'Shipments data'!O:O,"ordered", 'Shipments data'!N:N, "Public")</f>
        <v>0</v>
      </c>
      <c r="T756" s="98">
        <f>IF(SUMIFS('Shipments data'!L:L,'Shipments data'!F:F,'Supply planning data'!C756,'Shipments data'!A:A,'Supply planning data'!A756,'Shipments data'!O:O,"received",'Shipments data'!Q:Q,"&lt;"&amp;'Supply planning data'!D771,'Shipments data'!AC:AC,"&lt;"&amp;'Supply planning data'!D771)-SUMIFS(M:M,D:D,"&lt;="&amp;D756,C:C,C756)+SUMIFS(N:N,D:D,"&lt;="&amp;D756,C:C,C756)+SUMIFS(P:P,D:D,"&lt;="&amp;D756,C:C,C756)&lt;0,0,SUMIFS('Shipments data'!L:L,'Shipments data'!F:F,'Supply planning data'!C756,'Shipments data'!A:A,'Supply planning data'!A756,'Shipments data'!O:O,"received",'Shipments data'!Q:Q,"&lt;"&amp;'Supply planning data'!D771,'Shipments data'!AC:AC,"&lt;"&amp;'Supply planning data'!D771)-SUMIFS(M:M,D:D,"&lt;="&amp;D756,C:C,C756)+SUMIFS(N:N,D:D,"&lt;="&amp;D756,C:C,C756)+SUMIFS(P:P,D:D,"&lt;="&amp;D756,C:C,C756))</f>
        <v>387547</v>
      </c>
      <c r="U756" s="99">
        <f t="shared" si="224"/>
        <v>0</v>
      </c>
      <c r="V756" s="98">
        <f t="shared" si="232"/>
        <v>1871200</v>
      </c>
      <c r="W756" s="203" t="str">
        <f t="shared" si="230"/>
        <v/>
      </c>
      <c r="X756" s="98">
        <f t="shared" si="225"/>
        <v>1311200</v>
      </c>
      <c r="Y756" s="97"/>
      <c r="Z756" s="93"/>
      <c r="AA756" s="98">
        <f t="shared" si="218"/>
        <v>0</v>
      </c>
      <c r="AB756" s="233"/>
      <c r="AC756" s="98">
        <f>IF(SUMIFS('Shipments data'!L:L,'Shipments data'!F:F,'Supply planning data'!C756,'Shipments data'!A:A,'Supply planning data'!A756,'Shipments data'!O:O,"received",'Shipments data'!Q:Q,"&lt;"&amp;'Supply planning data'!D771,'Shipments data'!AC:AC,"&lt;"&amp;'Supply planning data'!D771)-SUMIFS(M:M,D:D,"&lt;="&amp;D756,C:C,C756)-SUMIFS(AA:AA,D:D,"&lt;="&amp;D756,C:C,C756)+SUMIFS(N:N,D:D,"&lt;="&amp;D756,C:C,C756)+SUMIFS(P:P,D:D,"&lt;="&amp;D756,C:C,C756)&lt;0,0,SUMIFS('Shipments data'!L:L,'Shipments data'!F:F,'Supply planning data'!C756,'Shipments data'!A:A,'Supply planning data'!A756,'Shipments data'!O:O,"received",'Shipments data'!Q:Q,"&lt;"&amp;'Supply planning data'!D771,'Shipments data'!AC:AC,"&lt;"&amp;'Supply planning data'!D771)-SUMIFS(M:M,D:D,"&lt;="&amp;D756,C:C,C756)-SUMIFS(AA:AA,D:D,"&lt;="&amp;D756,C:C,C756)+SUMIFS(N:N,D:D,"&lt;="&amp;D756,C:C,C756)+SUMIFS(P:P,D:D,"&lt;="&amp;D756,C:C,C756))</f>
        <v>0</v>
      </c>
      <c r="AD756" s="98">
        <f t="shared" si="226"/>
        <v>0</v>
      </c>
      <c r="AE756" s="98">
        <f t="shared" si="220"/>
        <v>1311200</v>
      </c>
      <c r="AF756" s="205" t="str">
        <f t="shared" si="229"/>
        <v/>
      </c>
      <c r="AG756" s="98">
        <f t="shared" si="227"/>
        <v>1871200</v>
      </c>
      <c r="AH756" s="97"/>
      <c r="AI756" s="311"/>
      <c r="AJ756" s="98">
        <f t="shared" si="219"/>
        <v>0</v>
      </c>
      <c r="AK756" s="233"/>
      <c r="AL756" s="98">
        <f>IF(SUMIFS('Shipments data'!L:L,'Shipments data'!F:F,'Supply planning data'!C756,'Shipments data'!A:A,'Supply planning data'!A756,'Shipments data'!O:O,"received",'Shipments data'!Q:Q,"&lt;"&amp;'Supply planning data'!D771,'Shipments data'!AC:AC,"&lt;"&amp;'Supply planning data'!D771)-SUMIFS(M:M,D:D,"&lt;="&amp;D756,C:C,C756)-SUMIFS(AJ:AJ,D:D,"&lt;="&amp;D756,C:C,C756)+SUMIFS(N:N,D:D,"&lt;="&amp;D756,C:C,C756)+SUMIFS(P:P,D:D,"&lt;="&amp;D756,C:C,C756)&lt;0,0,SUMIFS('Shipments data'!L:L,'Shipments data'!F:F,'Supply planning data'!C756,'Shipments data'!A:A,'Supply planning data'!A756,'Shipments data'!O:O,"received",'Shipments data'!Q:Q,"&lt;"&amp;'Supply planning data'!D771,'Shipments data'!AC:AC,"&lt;"&amp;'Supply planning data'!D771)-SUMIFS(M:M,D:D,"&lt;="&amp;D756,C:C,C756)-SUMIFS(AJ:AJ,D:D,"&lt;="&amp;D756,C:C,C756)+SUMIFS(N:N,D:D,"&lt;="&amp;D756,C:C,C756)+SUMIFS(P:P,D:D,"&lt;="&amp;D756,C:C,C756))</f>
        <v>387547</v>
      </c>
      <c r="AM756" s="98">
        <f t="shared" si="228"/>
        <v>0</v>
      </c>
      <c r="AN756" s="98">
        <f t="shared" si="221"/>
        <v>1871200</v>
      </c>
      <c r="AO756" s="203" t="str">
        <f t="shared" si="231"/>
        <v/>
      </c>
    </row>
    <row r="757" spans="1:41" x14ac:dyDescent="0.25">
      <c r="A757" s="95" t="str">
        <f>Start!D$7</f>
        <v>Anyland</v>
      </c>
      <c r="B757" s="96" t="str">
        <f>VLOOKUP(A757,list!B:C,2,FALSE)</f>
        <v>ANY</v>
      </c>
      <c r="C757" s="90" t="str">
        <f>IF(Start!$C$19="","",Start!$C$19)</f>
        <v>Moderna</v>
      </c>
      <c r="D757" s="296">
        <f t="shared" si="222"/>
        <v>45717</v>
      </c>
      <c r="E757" s="92" t="str">
        <f>IFERROR(VLOOKUP(C757,Start!C$15:D$31,2,FALSE),"No")</f>
        <v>No</v>
      </c>
      <c r="F757" s="92">
        <f t="shared" si="223"/>
        <v>0</v>
      </c>
      <c r="G757" s="91"/>
      <c r="H757" s="97"/>
      <c r="I757" s="97"/>
      <c r="J757" s="98">
        <f t="shared" si="215"/>
        <v>0</v>
      </c>
      <c r="K757" s="97"/>
      <c r="L757" s="175" t="str">
        <f t="shared" si="216"/>
        <v/>
      </c>
      <c r="M757" s="98">
        <f t="shared" si="217"/>
        <v>0</v>
      </c>
      <c r="N757" s="97"/>
      <c r="O757" s="122"/>
      <c r="P757" s="97"/>
      <c r="Q757" s="122"/>
      <c r="R757" s="98">
        <f>SUMIFS('Shipments data'!L:L,'Shipments data'!F:F,'Supply planning data'!C757,'Shipments data'!A:A,'Supply planning data'!A757,'Shipments data'!Y:Y,'Supply planning data'!D757,'Shipments data'!O:O,"received", 'Shipments data'!N:N, "Public")</f>
        <v>0</v>
      </c>
      <c r="S757" s="98">
        <f>SUMIFS('Shipments data'!L:L,'Shipments data'!F:F,'Supply planning data'!C757,'Shipments data'!A:A,'Supply planning data'!A757,'Shipments data'!Y:Y,'Supply planning data'!D757,'Shipments data'!O:O,"ordered", 'Shipments data'!N:N, "Public")</f>
        <v>0</v>
      </c>
      <c r="T757" s="98">
        <f>IF(SUMIFS('Shipments data'!L:L,'Shipments data'!F:F,'Supply planning data'!C757,'Shipments data'!A:A,'Supply planning data'!A757,'Shipments data'!O:O,"received",'Shipments data'!Q:Q,"&lt;"&amp;'Supply planning data'!D772,'Shipments data'!AC:AC,"&lt;"&amp;'Supply planning data'!D772)-SUMIFS(M:M,D:D,"&lt;="&amp;D757,C:C,C757)+SUMIFS(N:N,D:D,"&lt;="&amp;D757,C:C,C757)+SUMIFS(P:P,D:D,"&lt;="&amp;D757,C:C,C757)&lt;0,0,SUMIFS('Shipments data'!L:L,'Shipments data'!F:F,'Supply planning data'!C757,'Shipments data'!A:A,'Supply planning data'!A757,'Shipments data'!O:O,"received",'Shipments data'!Q:Q,"&lt;"&amp;'Supply planning data'!D772,'Shipments data'!AC:AC,"&lt;"&amp;'Supply planning data'!D772)-SUMIFS(M:M,D:D,"&lt;="&amp;D757,C:C,C757)+SUMIFS(N:N,D:D,"&lt;="&amp;D757,C:C,C757)+SUMIFS(P:P,D:D,"&lt;="&amp;D757,C:C,C757))</f>
        <v>0</v>
      </c>
      <c r="U757" s="99">
        <f t="shared" si="224"/>
        <v>0</v>
      </c>
      <c r="V757" s="98">
        <f t="shared" si="232"/>
        <v>0</v>
      </c>
      <c r="W757" s="203" t="str">
        <f t="shared" si="230"/>
        <v/>
      </c>
      <c r="X757" s="98">
        <f t="shared" si="225"/>
        <v>0</v>
      </c>
      <c r="Y757" s="97"/>
      <c r="Z757" s="93"/>
      <c r="AA757" s="98">
        <f t="shared" si="218"/>
        <v>0</v>
      </c>
      <c r="AB757" s="233"/>
      <c r="AC757" s="98">
        <f>IF(SUMIFS('Shipments data'!L:L,'Shipments data'!F:F,'Supply planning data'!C757,'Shipments data'!A:A,'Supply planning data'!A757,'Shipments data'!O:O,"received",'Shipments data'!Q:Q,"&lt;"&amp;'Supply planning data'!D772,'Shipments data'!AC:AC,"&lt;"&amp;'Supply planning data'!D772)-SUMIFS(M:M,D:D,"&lt;="&amp;D757,C:C,C757)-SUMIFS(AA:AA,D:D,"&lt;="&amp;D757,C:C,C757)+SUMIFS(N:N,D:D,"&lt;="&amp;D757,C:C,C757)+SUMIFS(P:P,D:D,"&lt;="&amp;D757,C:C,C757)&lt;0,0,SUMIFS('Shipments data'!L:L,'Shipments data'!F:F,'Supply planning data'!C757,'Shipments data'!A:A,'Supply planning data'!A757,'Shipments data'!O:O,"received",'Shipments data'!Q:Q,"&lt;"&amp;'Supply planning data'!D772,'Shipments data'!AC:AC,"&lt;"&amp;'Supply planning data'!D772)-SUMIFS(M:M,D:D,"&lt;="&amp;D757,C:C,C757)-SUMIFS(AA:AA,D:D,"&lt;="&amp;D757,C:C,C757)+SUMIFS(N:N,D:D,"&lt;="&amp;D757,C:C,C757)+SUMIFS(P:P,D:D,"&lt;="&amp;D757,C:C,C757))</f>
        <v>0</v>
      </c>
      <c r="AD757" s="98">
        <f t="shared" si="226"/>
        <v>0</v>
      </c>
      <c r="AE757" s="98">
        <f t="shared" si="220"/>
        <v>0</v>
      </c>
      <c r="AF757" s="205" t="str">
        <f t="shared" si="229"/>
        <v/>
      </c>
      <c r="AG757" s="98">
        <f t="shared" si="227"/>
        <v>0</v>
      </c>
      <c r="AH757" s="97"/>
      <c r="AI757" s="311"/>
      <c r="AJ757" s="98">
        <f t="shared" si="219"/>
        <v>0</v>
      </c>
      <c r="AK757" s="233"/>
      <c r="AL757" s="98">
        <f>IF(SUMIFS('Shipments data'!L:L,'Shipments data'!F:F,'Supply planning data'!C757,'Shipments data'!A:A,'Supply planning data'!A757,'Shipments data'!O:O,"received",'Shipments data'!Q:Q,"&lt;"&amp;'Supply planning data'!D772,'Shipments data'!AC:AC,"&lt;"&amp;'Supply planning data'!D772)-SUMIFS(M:M,D:D,"&lt;="&amp;D757,C:C,C757)-SUMIFS(AJ:AJ,D:D,"&lt;="&amp;D757,C:C,C757)+SUMIFS(N:N,D:D,"&lt;="&amp;D757,C:C,C757)+SUMIFS(P:P,D:D,"&lt;="&amp;D757,C:C,C757)&lt;0,0,SUMIFS('Shipments data'!L:L,'Shipments data'!F:F,'Supply planning data'!C757,'Shipments data'!A:A,'Supply planning data'!A757,'Shipments data'!O:O,"received",'Shipments data'!Q:Q,"&lt;"&amp;'Supply planning data'!D772,'Shipments data'!AC:AC,"&lt;"&amp;'Supply planning data'!D772)-SUMIFS(M:M,D:D,"&lt;="&amp;D757,C:C,C757)-SUMIFS(AJ:AJ,D:D,"&lt;="&amp;D757,C:C,C757)+SUMIFS(N:N,D:D,"&lt;="&amp;D757,C:C,C757)+SUMIFS(P:P,D:D,"&lt;="&amp;D757,C:C,C757))</f>
        <v>0</v>
      </c>
      <c r="AM757" s="98">
        <f t="shared" si="228"/>
        <v>0</v>
      </c>
      <c r="AN757" s="98">
        <f t="shared" si="221"/>
        <v>0</v>
      </c>
      <c r="AO757" s="203" t="str">
        <f t="shared" si="231"/>
        <v/>
      </c>
    </row>
    <row r="758" spans="1:41" x14ac:dyDescent="0.25">
      <c r="A758" s="95" t="str">
        <f>Start!D$7</f>
        <v>Anyland</v>
      </c>
      <c r="B758" s="96" t="str">
        <f>VLOOKUP(A758,list!B:C,2,FALSE)</f>
        <v>ANY</v>
      </c>
      <c r="C758" s="90" t="str">
        <f>IF(Start!$C$20="","",Start!$C$20)</f>
        <v>Pfizer</v>
      </c>
      <c r="D758" s="296">
        <f t="shared" si="222"/>
        <v>45717</v>
      </c>
      <c r="E758" s="92" t="str">
        <f>IFERROR(VLOOKUP(C758,Start!C$15:D$31,2,FALSE),"No")</f>
        <v>Yes</v>
      </c>
      <c r="F758" s="92">
        <f t="shared" si="223"/>
        <v>3000000</v>
      </c>
      <c r="G758" s="91"/>
      <c r="H758" s="97"/>
      <c r="I758" s="97"/>
      <c r="J758" s="98">
        <f t="shared" si="215"/>
        <v>0</v>
      </c>
      <c r="K758" s="97"/>
      <c r="L758" s="175" t="str">
        <f t="shared" si="216"/>
        <v/>
      </c>
      <c r="M758" s="98">
        <f t="shared" si="217"/>
        <v>0</v>
      </c>
      <c r="N758" s="97"/>
      <c r="O758" s="122"/>
      <c r="P758" s="97"/>
      <c r="Q758" s="122"/>
      <c r="R758" s="98">
        <f>SUMIFS('Shipments data'!L:L,'Shipments data'!F:F,'Supply planning data'!C758,'Shipments data'!A:A,'Supply planning data'!A758,'Shipments data'!Y:Y,'Supply planning data'!D758,'Shipments data'!O:O,"received", 'Shipments data'!N:N, "Public")</f>
        <v>0</v>
      </c>
      <c r="S758" s="98">
        <f>SUMIFS('Shipments data'!L:L,'Shipments data'!F:F,'Supply planning data'!C758,'Shipments data'!A:A,'Supply planning data'!A758,'Shipments data'!Y:Y,'Supply planning data'!D758,'Shipments data'!O:O,"ordered", 'Shipments data'!N:N, "Public")</f>
        <v>0</v>
      </c>
      <c r="T758" s="98">
        <f>IF(SUMIFS('Shipments data'!L:L,'Shipments data'!F:F,'Supply planning data'!C758,'Shipments data'!A:A,'Supply planning data'!A758,'Shipments data'!O:O,"received",'Shipments data'!Q:Q,"&lt;"&amp;'Supply planning data'!D773,'Shipments data'!AC:AC,"&lt;"&amp;'Supply planning data'!D773)-SUMIFS(M:M,D:D,"&lt;="&amp;D758,C:C,C758)+SUMIFS(N:N,D:D,"&lt;="&amp;D758,C:C,C758)+SUMIFS(P:P,D:D,"&lt;="&amp;D758,C:C,C758)&lt;0,0,SUMIFS('Shipments data'!L:L,'Shipments data'!F:F,'Supply planning data'!C758,'Shipments data'!A:A,'Supply planning data'!A758,'Shipments data'!O:O,"received",'Shipments data'!Q:Q,"&lt;"&amp;'Supply planning data'!D773,'Shipments data'!AC:AC,"&lt;"&amp;'Supply planning data'!D773)-SUMIFS(M:M,D:D,"&lt;="&amp;D758,C:C,C758)+SUMIFS(N:N,D:D,"&lt;="&amp;D758,C:C,C758)+SUMIFS(P:P,D:D,"&lt;="&amp;D758,C:C,C758))</f>
        <v>110538</v>
      </c>
      <c r="U758" s="99">
        <f t="shared" si="224"/>
        <v>0</v>
      </c>
      <c r="V758" s="98">
        <f t="shared" si="232"/>
        <v>3000000</v>
      </c>
      <c r="W758" s="203" t="str">
        <f t="shared" si="230"/>
        <v/>
      </c>
      <c r="X758" s="98">
        <f t="shared" si="225"/>
        <v>2440000</v>
      </c>
      <c r="Y758" s="97"/>
      <c r="Z758" s="93"/>
      <c r="AA758" s="98">
        <f t="shared" si="218"/>
        <v>0</v>
      </c>
      <c r="AB758" s="233"/>
      <c r="AC758" s="98">
        <f>IF(SUMIFS('Shipments data'!L:L,'Shipments data'!F:F,'Supply planning data'!C758,'Shipments data'!A:A,'Supply planning data'!A758,'Shipments data'!O:O,"received",'Shipments data'!Q:Q,"&lt;"&amp;'Supply planning data'!D773,'Shipments data'!AC:AC,"&lt;"&amp;'Supply planning data'!D773)-SUMIFS(M:M,D:D,"&lt;="&amp;D758,C:C,C758)-SUMIFS(AA:AA,D:D,"&lt;="&amp;D758,C:C,C758)+SUMIFS(N:N,D:D,"&lt;="&amp;D758,C:C,C758)+SUMIFS(P:P,D:D,"&lt;="&amp;D758,C:C,C758)&lt;0,0,SUMIFS('Shipments data'!L:L,'Shipments data'!F:F,'Supply planning data'!C758,'Shipments data'!A:A,'Supply planning data'!A758,'Shipments data'!O:O,"received",'Shipments data'!Q:Q,"&lt;"&amp;'Supply planning data'!D773,'Shipments data'!AC:AC,"&lt;"&amp;'Supply planning data'!D773)-SUMIFS(M:M,D:D,"&lt;="&amp;D758,C:C,C758)-SUMIFS(AA:AA,D:D,"&lt;="&amp;D758,C:C,C758)+SUMIFS(N:N,D:D,"&lt;="&amp;D758,C:C,C758)+SUMIFS(P:P,D:D,"&lt;="&amp;D758,C:C,C758))</f>
        <v>0</v>
      </c>
      <c r="AD758" s="98">
        <f t="shared" si="226"/>
        <v>0</v>
      </c>
      <c r="AE758" s="98">
        <f t="shared" si="220"/>
        <v>2440000</v>
      </c>
      <c r="AF758" s="205" t="str">
        <f t="shared" si="229"/>
        <v/>
      </c>
      <c r="AG758" s="98">
        <f t="shared" si="227"/>
        <v>3000000</v>
      </c>
      <c r="AH758" s="97"/>
      <c r="AI758" s="311"/>
      <c r="AJ758" s="98">
        <f t="shared" si="219"/>
        <v>0</v>
      </c>
      <c r="AK758" s="233"/>
      <c r="AL758" s="98">
        <f>IF(SUMIFS('Shipments data'!L:L,'Shipments data'!F:F,'Supply planning data'!C758,'Shipments data'!A:A,'Supply planning data'!A758,'Shipments data'!O:O,"received",'Shipments data'!Q:Q,"&lt;"&amp;'Supply planning data'!D773,'Shipments data'!AC:AC,"&lt;"&amp;'Supply planning data'!D773)-SUMIFS(M:M,D:D,"&lt;="&amp;D758,C:C,C758)-SUMIFS(AJ:AJ,D:D,"&lt;="&amp;D758,C:C,C758)+SUMIFS(N:N,D:D,"&lt;="&amp;D758,C:C,C758)+SUMIFS(P:P,D:D,"&lt;="&amp;D758,C:C,C758)&lt;0,0,SUMIFS('Shipments data'!L:L,'Shipments data'!F:F,'Supply planning data'!C758,'Shipments data'!A:A,'Supply planning data'!A758,'Shipments data'!O:O,"received",'Shipments data'!Q:Q,"&lt;"&amp;'Supply planning data'!D773,'Shipments data'!AC:AC,"&lt;"&amp;'Supply planning data'!D773)-SUMIFS(M:M,D:D,"&lt;="&amp;D758,C:C,C758)-SUMIFS(AJ:AJ,D:D,"&lt;="&amp;D758,C:C,C758)+SUMIFS(N:N,D:D,"&lt;="&amp;D758,C:C,C758)+SUMIFS(P:P,D:D,"&lt;="&amp;D758,C:C,C758))</f>
        <v>110538</v>
      </c>
      <c r="AM758" s="98">
        <f t="shared" si="228"/>
        <v>0</v>
      </c>
      <c r="AN758" s="98">
        <f t="shared" si="221"/>
        <v>3000000</v>
      </c>
      <c r="AO758" s="203" t="str">
        <f t="shared" si="231"/>
        <v/>
      </c>
    </row>
    <row r="759" spans="1:41" x14ac:dyDescent="0.25">
      <c r="A759" s="95" t="str">
        <f>Start!D$7</f>
        <v>Anyland</v>
      </c>
      <c r="B759" s="96" t="str">
        <f>VLOOKUP(A759,list!B:C,2,FALSE)</f>
        <v>ANY</v>
      </c>
      <c r="C759" s="90" t="str">
        <f>IF(Start!$C$21="","",Start!$C$21)</f>
        <v>Sinovac</v>
      </c>
      <c r="D759" s="296">
        <f t="shared" si="222"/>
        <v>45717</v>
      </c>
      <c r="E759" s="92" t="str">
        <f>IFERROR(VLOOKUP(C759,Start!C$15:D$31,2,FALSE),"No")</f>
        <v>No</v>
      </c>
      <c r="F759" s="92">
        <f t="shared" si="223"/>
        <v>0</v>
      </c>
      <c r="G759" s="91"/>
      <c r="H759" s="97"/>
      <c r="I759" s="97"/>
      <c r="J759" s="98">
        <f t="shared" si="215"/>
        <v>0</v>
      </c>
      <c r="K759" s="97"/>
      <c r="L759" s="175" t="str">
        <f t="shared" si="216"/>
        <v/>
      </c>
      <c r="M759" s="98">
        <f t="shared" si="217"/>
        <v>0</v>
      </c>
      <c r="N759" s="97"/>
      <c r="O759" s="122"/>
      <c r="P759" s="97"/>
      <c r="Q759" s="122"/>
      <c r="R759" s="98">
        <f>SUMIFS('Shipments data'!L:L,'Shipments data'!F:F,'Supply planning data'!C759,'Shipments data'!A:A,'Supply planning data'!A759,'Shipments data'!Y:Y,'Supply planning data'!D759,'Shipments data'!O:O,"received", 'Shipments data'!N:N, "Public")</f>
        <v>0</v>
      </c>
      <c r="S759" s="98">
        <f>SUMIFS('Shipments data'!L:L,'Shipments data'!F:F,'Supply planning data'!C759,'Shipments data'!A:A,'Supply planning data'!A759,'Shipments data'!Y:Y,'Supply planning data'!D759,'Shipments data'!O:O,"ordered", 'Shipments data'!N:N, "Public")</f>
        <v>0</v>
      </c>
      <c r="T759" s="98">
        <f>IF(SUMIFS('Shipments data'!L:L,'Shipments data'!F:F,'Supply planning data'!C759,'Shipments data'!A:A,'Supply planning data'!A759,'Shipments data'!O:O,"received",'Shipments data'!Q:Q,"&lt;"&amp;'Supply planning data'!D774,'Shipments data'!AC:AC,"&lt;"&amp;'Supply planning data'!D774)-SUMIFS(M:M,D:D,"&lt;="&amp;D759,C:C,C759)+SUMIFS(N:N,D:D,"&lt;="&amp;D759,C:C,C759)+SUMIFS(P:P,D:D,"&lt;="&amp;D759,C:C,C759)&lt;0,0,SUMIFS('Shipments data'!L:L,'Shipments data'!F:F,'Supply planning data'!C759,'Shipments data'!A:A,'Supply planning data'!A759,'Shipments data'!O:O,"received",'Shipments data'!Q:Q,"&lt;"&amp;'Supply planning data'!D774,'Shipments data'!AC:AC,"&lt;"&amp;'Supply planning data'!D774)-SUMIFS(M:M,D:D,"&lt;="&amp;D759,C:C,C759)+SUMIFS(N:N,D:D,"&lt;="&amp;D759,C:C,C759)+SUMIFS(P:P,D:D,"&lt;="&amp;D759,C:C,C759))</f>
        <v>0</v>
      </c>
      <c r="U759" s="99">
        <f t="shared" si="224"/>
        <v>0</v>
      </c>
      <c r="V759" s="98">
        <f t="shared" si="232"/>
        <v>0</v>
      </c>
      <c r="W759" s="203" t="str">
        <f t="shared" si="230"/>
        <v/>
      </c>
      <c r="X759" s="98">
        <f t="shared" si="225"/>
        <v>0</v>
      </c>
      <c r="Y759" s="97"/>
      <c r="Z759" s="93"/>
      <c r="AA759" s="98">
        <f t="shared" si="218"/>
        <v>0</v>
      </c>
      <c r="AB759" s="233"/>
      <c r="AC759" s="98">
        <f>IF(SUMIFS('Shipments data'!L:L,'Shipments data'!F:F,'Supply planning data'!C759,'Shipments data'!A:A,'Supply planning data'!A759,'Shipments data'!O:O,"received",'Shipments data'!Q:Q,"&lt;"&amp;'Supply planning data'!D774,'Shipments data'!AC:AC,"&lt;"&amp;'Supply planning data'!D774)-SUMIFS(M:M,D:D,"&lt;="&amp;D759,C:C,C759)-SUMIFS(AA:AA,D:D,"&lt;="&amp;D759,C:C,C759)+SUMIFS(N:N,D:D,"&lt;="&amp;D759,C:C,C759)+SUMIFS(P:P,D:D,"&lt;="&amp;D759,C:C,C759)&lt;0,0,SUMIFS('Shipments data'!L:L,'Shipments data'!F:F,'Supply planning data'!C759,'Shipments data'!A:A,'Supply planning data'!A759,'Shipments data'!O:O,"received",'Shipments data'!Q:Q,"&lt;"&amp;'Supply planning data'!D774,'Shipments data'!AC:AC,"&lt;"&amp;'Supply planning data'!D774)-SUMIFS(M:M,D:D,"&lt;="&amp;D759,C:C,C759)-SUMIFS(AA:AA,D:D,"&lt;="&amp;D759,C:C,C759)+SUMIFS(N:N,D:D,"&lt;="&amp;D759,C:C,C759)+SUMIFS(P:P,D:D,"&lt;="&amp;D759,C:C,C759))</f>
        <v>0</v>
      </c>
      <c r="AD759" s="98">
        <f t="shared" si="226"/>
        <v>0</v>
      </c>
      <c r="AE759" s="98">
        <f t="shared" si="220"/>
        <v>0</v>
      </c>
      <c r="AF759" s="205" t="str">
        <f t="shared" si="229"/>
        <v/>
      </c>
      <c r="AG759" s="98">
        <f t="shared" si="227"/>
        <v>0</v>
      </c>
      <c r="AH759" s="97"/>
      <c r="AI759" s="311"/>
      <c r="AJ759" s="98">
        <f t="shared" si="219"/>
        <v>0</v>
      </c>
      <c r="AK759" s="233"/>
      <c r="AL759" s="98">
        <f>IF(SUMIFS('Shipments data'!L:L,'Shipments data'!F:F,'Supply planning data'!C759,'Shipments data'!A:A,'Supply planning data'!A759,'Shipments data'!O:O,"received",'Shipments data'!Q:Q,"&lt;"&amp;'Supply planning data'!D774,'Shipments data'!AC:AC,"&lt;"&amp;'Supply planning data'!D774)-SUMIFS(M:M,D:D,"&lt;="&amp;D759,C:C,C759)-SUMIFS(AJ:AJ,D:D,"&lt;="&amp;D759,C:C,C759)+SUMIFS(N:N,D:D,"&lt;="&amp;D759,C:C,C759)+SUMIFS(P:P,D:D,"&lt;="&amp;D759,C:C,C759)&lt;0,0,SUMIFS('Shipments data'!L:L,'Shipments data'!F:F,'Supply planning data'!C759,'Shipments data'!A:A,'Supply planning data'!A759,'Shipments data'!O:O,"received",'Shipments data'!Q:Q,"&lt;"&amp;'Supply planning data'!D774,'Shipments data'!AC:AC,"&lt;"&amp;'Supply planning data'!D774)-SUMIFS(M:M,D:D,"&lt;="&amp;D759,C:C,C759)-SUMIFS(AJ:AJ,D:D,"&lt;="&amp;D759,C:C,C759)+SUMIFS(N:N,D:D,"&lt;="&amp;D759,C:C,C759)+SUMIFS(P:P,D:D,"&lt;="&amp;D759,C:C,C759))</f>
        <v>0</v>
      </c>
      <c r="AM759" s="98">
        <f t="shared" si="228"/>
        <v>0</v>
      </c>
      <c r="AN759" s="98">
        <f t="shared" si="221"/>
        <v>0</v>
      </c>
      <c r="AO759" s="203" t="str">
        <f t="shared" si="231"/>
        <v/>
      </c>
    </row>
    <row r="760" spans="1:41" hidden="1" x14ac:dyDescent="0.25">
      <c r="A760" s="95" t="str">
        <f>Start!D$7</f>
        <v>Anyland</v>
      </c>
      <c r="B760" s="96" t="str">
        <f>VLOOKUP(A760,list!B:C,2,FALSE)</f>
        <v>ANY</v>
      </c>
      <c r="C760" s="90" t="str">
        <f>IF(Start!$C$22="","",Start!$C$22)</f>
        <v/>
      </c>
      <c r="D760" s="296">
        <f t="shared" si="222"/>
        <v>45717</v>
      </c>
      <c r="E760" s="92" t="str">
        <f>IFERROR(VLOOKUP(C760,Start!C$15:D$31,2,FALSE),"No")</f>
        <v>No</v>
      </c>
      <c r="F760" s="92">
        <f t="shared" si="223"/>
        <v>0</v>
      </c>
      <c r="G760" s="91"/>
      <c r="H760" s="97"/>
      <c r="I760" s="97"/>
      <c r="J760" s="98">
        <f t="shared" si="215"/>
        <v>0</v>
      </c>
      <c r="K760" s="97"/>
      <c r="L760" s="175" t="str">
        <f t="shared" si="216"/>
        <v/>
      </c>
      <c r="M760" s="98">
        <f t="shared" si="217"/>
        <v>0</v>
      </c>
      <c r="N760" s="97"/>
      <c r="O760" s="122"/>
      <c r="P760" s="97"/>
      <c r="Q760" s="122"/>
      <c r="R760" s="98">
        <f>SUMIFS('Shipments data'!L:L,'Shipments data'!F:F,'Supply planning data'!C760,'Shipments data'!A:A,'Supply planning data'!A760,'Shipments data'!Y:Y,'Supply planning data'!D760,'Shipments data'!O:O,"received", 'Shipments data'!N:N, "Public")</f>
        <v>0</v>
      </c>
      <c r="S760" s="98">
        <f>SUMIFS('Shipments data'!L:L,'Shipments data'!F:F,'Supply planning data'!C760,'Shipments data'!A:A,'Supply planning data'!A760,'Shipments data'!Y:Y,'Supply planning data'!D760,'Shipments data'!O:O,"ordered", 'Shipments data'!N:N, "Public")</f>
        <v>0</v>
      </c>
      <c r="T760" s="98">
        <f>IF(SUMIFS('Shipments data'!L:L,'Shipments data'!F:F,'Supply planning data'!C760,'Shipments data'!A:A,'Supply planning data'!A760,'Shipments data'!O:O,"received",'Shipments data'!Q:Q,"&lt;"&amp;'Supply planning data'!D775,'Shipments data'!AC:AC,"&lt;"&amp;'Supply planning data'!D775)-SUMIFS(M:M,D:D,"&lt;="&amp;D760,C:C,C760)+SUMIFS(N:N,D:D,"&lt;="&amp;D760,C:C,C760)+SUMIFS(P:P,D:D,"&lt;="&amp;D760,C:C,C760)&lt;0,0,SUMIFS('Shipments data'!L:L,'Shipments data'!F:F,'Supply planning data'!C760,'Shipments data'!A:A,'Supply planning data'!A760,'Shipments data'!O:O,"received",'Shipments data'!Q:Q,"&lt;"&amp;'Supply planning data'!D775,'Shipments data'!AC:AC,"&lt;"&amp;'Supply planning data'!D775)-SUMIFS(M:M,D:D,"&lt;="&amp;D760,C:C,C760)+SUMIFS(N:N,D:D,"&lt;="&amp;D760,C:C,C760)+SUMIFS(P:P,D:D,"&lt;="&amp;D760,C:C,C760))</f>
        <v>0</v>
      </c>
      <c r="U760" s="99">
        <f t="shared" si="224"/>
        <v>0</v>
      </c>
      <c r="V760" s="98">
        <f t="shared" si="232"/>
        <v>0</v>
      </c>
      <c r="W760" s="203" t="str">
        <f t="shared" si="230"/>
        <v/>
      </c>
      <c r="X760" s="98">
        <f t="shared" si="225"/>
        <v>0</v>
      </c>
      <c r="Y760" s="97"/>
      <c r="Z760" s="93"/>
      <c r="AA760" s="98">
        <f t="shared" si="218"/>
        <v>0</v>
      </c>
      <c r="AB760" s="233"/>
      <c r="AC760" s="98">
        <f>IF(SUMIFS('Shipments data'!L:L,'Shipments data'!F:F,'Supply planning data'!C760,'Shipments data'!A:A,'Supply planning data'!A760,'Shipments data'!O:O,"received",'Shipments data'!Q:Q,"&lt;"&amp;'Supply planning data'!D775,'Shipments data'!AC:AC,"&lt;"&amp;'Supply planning data'!D775)-SUMIFS(M:M,D:D,"&lt;="&amp;D760,C:C,C760)-SUMIFS(AA:AA,D:D,"&lt;="&amp;D760,C:C,C760)+SUMIFS(N:N,D:D,"&lt;="&amp;D760,C:C,C760)+SUMIFS(P:P,D:D,"&lt;="&amp;D760,C:C,C760)&lt;0,0,SUMIFS('Shipments data'!L:L,'Shipments data'!F:F,'Supply planning data'!C760,'Shipments data'!A:A,'Supply planning data'!A760,'Shipments data'!O:O,"received",'Shipments data'!Q:Q,"&lt;"&amp;'Supply planning data'!D775,'Shipments data'!AC:AC,"&lt;"&amp;'Supply planning data'!D775)-SUMIFS(M:M,D:D,"&lt;="&amp;D760,C:C,C760)-SUMIFS(AA:AA,D:D,"&lt;="&amp;D760,C:C,C760)+SUMIFS(N:N,D:D,"&lt;="&amp;D760,C:C,C760)+SUMIFS(P:P,D:D,"&lt;="&amp;D760,C:C,C760))</f>
        <v>0</v>
      </c>
      <c r="AD760" s="98">
        <f t="shared" si="226"/>
        <v>0</v>
      </c>
      <c r="AE760" s="98">
        <f t="shared" si="220"/>
        <v>0</v>
      </c>
      <c r="AF760" s="205" t="str">
        <f t="shared" si="229"/>
        <v/>
      </c>
      <c r="AG760" s="98">
        <f t="shared" si="227"/>
        <v>0</v>
      </c>
      <c r="AH760" s="97"/>
      <c r="AI760" s="311"/>
      <c r="AJ760" s="98">
        <f t="shared" si="219"/>
        <v>0</v>
      </c>
      <c r="AK760" s="233"/>
      <c r="AL760" s="98">
        <f>IF(SUMIFS('Shipments data'!L:L,'Shipments data'!F:F,'Supply planning data'!C760,'Shipments data'!A:A,'Supply planning data'!A760,'Shipments data'!O:O,"received",'Shipments data'!Q:Q,"&lt;"&amp;'Supply planning data'!D775,'Shipments data'!AC:AC,"&lt;"&amp;'Supply planning data'!D775)-SUMIFS(M:M,D:D,"&lt;="&amp;D760,C:C,C760)-SUMIFS(AJ:AJ,D:D,"&lt;="&amp;D760,C:C,C760)+SUMIFS(N:N,D:D,"&lt;="&amp;D760,C:C,C760)+SUMIFS(P:P,D:D,"&lt;="&amp;D760,C:C,C760)&lt;0,0,SUMIFS('Shipments data'!L:L,'Shipments data'!F:F,'Supply planning data'!C760,'Shipments data'!A:A,'Supply planning data'!A760,'Shipments data'!O:O,"received",'Shipments data'!Q:Q,"&lt;"&amp;'Supply planning data'!D775,'Shipments data'!AC:AC,"&lt;"&amp;'Supply planning data'!D775)-SUMIFS(M:M,D:D,"&lt;="&amp;D760,C:C,C760)-SUMIFS(AJ:AJ,D:D,"&lt;="&amp;D760,C:C,C760)+SUMIFS(N:N,D:D,"&lt;="&amp;D760,C:C,C760)+SUMIFS(P:P,D:D,"&lt;="&amp;D760,C:C,C760))</f>
        <v>0</v>
      </c>
      <c r="AM760" s="98">
        <f t="shared" si="228"/>
        <v>0</v>
      </c>
      <c r="AN760" s="98">
        <f t="shared" si="221"/>
        <v>0</v>
      </c>
      <c r="AO760" s="203" t="str">
        <f t="shared" si="231"/>
        <v/>
      </c>
    </row>
    <row r="761" spans="1:41" hidden="1" x14ac:dyDescent="0.25">
      <c r="A761" s="95" t="str">
        <f>Start!D$7</f>
        <v>Anyland</v>
      </c>
      <c r="B761" s="96" t="str">
        <f>VLOOKUP(A761,list!B:C,2,FALSE)</f>
        <v>ANY</v>
      </c>
      <c r="C761" s="90" t="str">
        <f>IF(Start!$C$23="","",Start!$C$23)</f>
        <v/>
      </c>
      <c r="D761" s="296">
        <f t="shared" si="222"/>
        <v>45717</v>
      </c>
      <c r="E761" s="92" t="str">
        <f>IFERROR(VLOOKUP(C761,Start!C$15:D$31,2,FALSE),"No")</f>
        <v>No</v>
      </c>
      <c r="F761" s="92">
        <f t="shared" si="223"/>
        <v>0</v>
      </c>
      <c r="G761" s="91"/>
      <c r="H761" s="97"/>
      <c r="I761" s="97"/>
      <c r="J761" s="98">
        <f t="shared" si="215"/>
        <v>0</v>
      </c>
      <c r="K761" s="97"/>
      <c r="L761" s="175" t="str">
        <f t="shared" si="216"/>
        <v/>
      </c>
      <c r="M761" s="98">
        <f t="shared" si="217"/>
        <v>0</v>
      </c>
      <c r="N761" s="97"/>
      <c r="O761" s="122"/>
      <c r="P761" s="97"/>
      <c r="Q761" s="122"/>
      <c r="R761" s="98">
        <f>SUMIFS('Shipments data'!L:L,'Shipments data'!F:F,'Supply planning data'!C761,'Shipments data'!A:A,'Supply planning data'!A761,'Shipments data'!Y:Y,'Supply planning data'!D761,'Shipments data'!O:O,"received", 'Shipments data'!N:N, "Public")</f>
        <v>0</v>
      </c>
      <c r="S761" s="98">
        <f>SUMIFS('Shipments data'!L:L,'Shipments data'!F:F,'Supply planning data'!C761,'Shipments data'!A:A,'Supply planning data'!A761,'Shipments data'!Y:Y,'Supply planning data'!D761,'Shipments data'!O:O,"ordered", 'Shipments data'!N:N, "Public")</f>
        <v>0</v>
      </c>
      <c r="T761" s="98">
        <f>IF(SUMIFS('Shipments data'!L:L,'Shipments data'!F:F,'Supply planning data'!C761,'Shipments data'!A:A,'Supply planning data'!A761,'Shipments data'!O:O,"received",'Shipments data'!Q:Q,"&lt;"&amp;'Supply planning data'!D776,'Shipments data'!AC:AC,"&lt;"&amp;'Supply planning data'!D776)-SUMIFS(M:M,D:D,"&lt;="&amp;D761,C:C,C761)+SUMIFS(N:N,D:D,"&lt;="&amp;D761,C:C,C761)+SUMIFS(P:P,D:D,"&lt;="&amp;D761,C:C,C761)&lt;0,0,SUMIFS('Shipments data'!L:L,'Shipments data'!F:F,'Supply planning data'!C761,'Shipments data'!A:A,'Supply planning data'!A761,'Shipments data'!O:O,"received",'Shipments data'!Q:Q,"&lt;"&amp;'Supply planning data'!D776,'Shipments data'!AC:AC,"&lt;"&amp;'Supply planning data'!D776)-SUMIFS(M:M,D:D,"&lt;="&amp;D761,C:C,C761)+SUMIFS(N:N,D:D,"&lt;="&amp;D761,C:C,C761)+SUMIFS(P:P,D:D,"&lt;="&amp;D761,C:C,C761))</f>
        <v>0</v>
      </c>
      <c r="U761" s="99">
        <f t="shared" si="224"/>
        <v>0</v>
      </c>
      <c r="V761" s="98">
        <f t="shared" si="232"/>
        <v>0</v>
      </c>
      <c r="W761" s="203" t="str">
        <f t="shared" si="230"/>
        <v/>
      </c>
      <c r="X761" s="98">
        <f t="shared" si="225"/>
        <v>0</v>
      </c>
      <c r="Y761" s="97"/>
      <c r="Z761" s="93"/>
      <c r="AA761" s="98">
        <f t="shared" si="218"/>
        <v>0</v>
      </c>
      <c r="AB761" s="233"/>
      <c r="AC761" s="98">
        <f>IF(SUMIFS('Shipments data'!L:L,'Shipments data'!F:F,'Supply planning data'!C761,'Shipments data'!A:A,'Supply planning data'!A761,'Shipments data'!O:O,"received",'Shipments data'!Q:Q,"&lt;"&amp;'Supply planning data'!D776,'Shipments data'!AC:AC,"&lt;"&amp;'Supply planning data'!D776)-SUMIFS(M:M,D:D,"&lt;="&amp;D761,C:C,C761)-SUMIFS(AA:AA,D:D,"&lt;="&amp;D761,C:C,C761)+SUMIFS(N:N,D:D,"&lt;="&amp;D761,C:C,C761)+SUMIFS(P:P,D:D,"&lt;="&amp;D761,C:C,C761)&lt;0,0,SUMIFS('Shipments data'!L:L,'Shipments data'!F:F,'Supply planning data'!C761,'Shipments data'!A:A,'Supply planning data'!A761,'Shipments data'!O:O,"received",'Shipments data'!Q:Q,"&lt;"&amp;'Supply planning data'!D776,'Shipments data'!AC:AC,"&lt;"&amp;'Supply planning data'!D776)-SUMIFS(M:M,D:D,"&lt;="&amp;D761,C:C,C761)-SUMIFS(AA:AA,D:D,"&lt;="&amp;D761,C:C,C761)+SUMIFS(N:N,D:D,"&lt;="&amp;D761,C:C,C761)+SUMIFS(P:P,D:D,"&lt;="&amp;D761,C:C,C761))</f>
        <v>0</v>
      </c>
      <c r="AD761" s="98">
        <f t="shared" si="226"/>
        <v>0</v>
      </c>
      <c r="AE761" s="98">
        <f t="shared" si="220"/>
        <v>0</v>
      </c>
      <c r="AF761" s="205" t="str">
        <f t="shared" si="229"/>
        <v/>
      </c>
      <c r="AG761" s="98">
        <f t="shared" si="227"/>
        <v>0</v>
      </c>
      <c r="AH761" s="97"/>
      <c r="AI761" s="311"/>
      <c r="AJ761" s="98">
        <f t="shared" si="219"/>
        <v>0</v>
      </c>
      <c r="AK761" s="233"/>
      <c r="AL761" s="98">
        <f>IF(SUMIFS('Shipments data'!L:L,'Shipments data'!F:F,'Supply planning data'!C761,'Shipments data'!A:A,'Supply planning data'!A761,'Shipments data'!O:O,"received",'Shipments data'!Q:Q,"&lt;"&amp;'Supply planning data'!D776,'Shipments data'!AC:AC,"&lt;"&amp;'Supply planning data'!D776)-SUMIFS(M:M,D:D,"&lt;="&amp;D761,C:C,C761)-SUMIFS(AJ:AJ,D:D,"&lt;="&amp;D761,C:C,C761)+SUMIFS(N:N,D:D,"&lt;="&amp;D761,C:C,C761)+SUMIFS(P:P,D:D,"&lt;="&amp;D761,C:C,C761)&lt;0,0,SUMIFS('Shipments data'!L:L,'Shipments data'!F:F,'Supply planning data'!C761,'Shipments data'!A:A,'Supply planning data'!A761,'Shipments data'!O:O,"received",'Shipments data'!Q:Q,"&lt;"&amp;'Supply planning data'!D776,'Shipments data'!AC:AC,"&lt;"&amp;'Supply planning data'!D776)-SUMIFS(M:M,D:D,"&lt;="&amp;D761,C:C,C761)-SUMIFS(AJ:AJ,D:D,"&lt;="&amp;D761,C:C,C761)+SUMIFS(N:N,D:D,"&lt;="&amp;D761,C:C,C761)+SUMIFS(P:P,D:D,"&lt;="&amp;D761,C:C,C761))</f>
        <v>0</v>
      </c>
      <c r="AM761" s="98">
        <f t="shared" si="228"/>
        <v>0</v>
      </c>
      <c r="AN761" s="98">
        <f t="shared" si="221"/>
        <v>0</v>
      </c>
      <c r="AO761" s="203" t="str">
        <f t="shared" si="231"/>
        <v/>
      </c>
    </row>
    <row r="762" spans="1:41" hidden="1" x14ac:dyDescent="0.25">
      <c r="A762" s="95" t="str">
        <f>Start!D$7</f>
        <v>Anyland</v>
      </c>
      <c r="B762" s="96" t="str">
        <f>VLOOKUP(A762,list!B:C,2,FALSE)</f>
        <v>ANY</v>
      </c>
      <c r="C762" s="90" t="str">
        <f>IF(Start!$C$24="","",Start!$C$24)</f>
        <v/>
      </c>
      <c r="D762" s="296">
        <f t="shared" si="222"/>
        <v>45717</v>
      </c>
      <c r="E762" s="92" t="str">
        <f>IFERROR(VLOOKUP(C762,Start!C$15:D$31,2,FALSE),"No")</f>
        <v>No</v>
      </c>
      <c r="F762" s="92">
        <f t="shared" si="223"/>
        <v>0</v>
      </c>
      <c r="G762" s="91"/>
      <c r="H762" s="97"/>
      <c r="I762" s="97"/>
      <c r="J762" s="98">
        <f t="shared" si="215"/>
        <v>0</v>
      </c>
      <c r="K762" s="97"/>
      <c r="L762" s="175" t="str">
        <f t="shared" si="216"/>
        <v/>
      </c>
      <c r="M762" s="98">
        <f t="shared" si="217"/>
        <v>0</v>
      </c>
      <c r="N762" s="97"/>
      <c r="O762" s="122"/>
      <c r="P762" s="97"/>
      <c r="Q762" s="122"/>
      <c r="R762" s="98">
        <f>SUMIFS('Shipments data'!L:L,'Shipments data'!F:F,'Supply planning data'!C762,'Shipments data'!A:A,'Supply planning data'!A762,'Shipments data'!Y:Y,'Supply planning data'!D762,'Shipments data'!O:O,"received", 'Shipments data'!N:N, "Public")</f>
        <v>0</v>
      </c>
      <c r="S762" s="98">
        <f>SUMIFS('Shipments data'!L:L,'Shipments data'!F:F,'Supply planning data'!C762,'Shipments data'!A:A,'Supply planning data'!A762,'Shipments data'!Y:Y,'Supply planning data'!D762,'Shipments data'!O:O,"ordered", 'Shipments data'!N:N, "Public")</f>
        <v>0</v>
      </c>
      <c r="T762" s="98">
        <f>IF(SUMIFS('Shipments data'!L:L,'Shipments data'!F:F,'Supply planning data'!C762,'Shipments data'!A:A,'Supply planning data'!A762,'Shipments data'!O:O,"received",'Shipments data'!Q:Q,"&lt;"&amp;'Supply planning data'!D777,'Shipments data'!AC:AC,"&lt;"&amp;'Supply planning data'!D777)-SUMIFS(M:M,D:D,"&lt;="&amp;D762,C:C,C762)+SUMIFS(N:N,D:D,"&lt;="&amp;D762,C:C,C762)+SUMIFS(P:P,D:D,"&lt;="&amp;D762,C:C,C762)&lt;0,0,SUMIFS('Shipments data'!L:L,'Shipments data'!F:F,'Supply planning data'!C762,'Shipments data'!A:A,'Supply planning data'!A762,'Shipments data'!O:O,"received",'Shipments data'!Q:Q,"&lt;"&amp;'Supply planning data'!D777,'Shipments data'!AC:AC,"&lt;"&amp;'Supply planning data'!D777)-SUMIFS(M:M,D:D,"&lt;="&amp;D762,C:C,C762)+SUMIFS(N:N,D:D,"&lt;="&amp;D762,C:C,C762)+SUMIFS(P:P,D:D,"&lt;="&amp;D762,C:C,C762))</f>
        <v>0</v>
      </c>
      <c r="U762" s="99">
        <f t="shared" si="224"/>
        <v>0</v>
      </c>
      <c r="V762" s="98">
        <f t="shared" si="232"/>
        <v>0</v>
      </c>
      <c r="W762" s="203" t="str">
        <f t="shared" si="230"/>
        <v/>
      </c>
      <c r="X762" s="98">
        <f t="shared" si="225"/>
        <v>0</v>
      </c>
      <c r="Y762" s="97"/>
      <c r="Z762" s="93"/>
      <c r="AA762" s="98">
        <f t="shared" si="218"/>
        <v>0</v>
      </c>
      <c r="AB762" s="233"/>
      <c r="AC762" s="98">
        <f>IF(SUMIFS('Shipments data'!L:L,'Shipments data'!F:F,'Supply planning data'!C762,'Shipments data'!A:A,'Supply planning data'!A762,'Shipments data'!O:O,"received",'Shipments data'!Q:Q,"&lt;"&amp;'Supply planning data'!D777,'Shipments data'!AC:AC,"&lt;"&amp;'Supply planning data'!D777)-SUMIFS(M:M,D:D,"&lt;="&amp;D762,C:C,C762)-SUMIFS(AA:AA,D:D,"&lt;="&amp;D762,C:C,C762)+SUMIFS(N:N,D:D,"&lt;="&amp;D762,C:C,C762)+SUMIFS(P:P,D:D,"&lt;="&amp;D762,C:C,C762)&lt;0,0,SUMIFS('Shipments data'!L:L,'Shipments data'!F:F,'Supply planning data'!C762,'Shipments data'!A:A,'Supply planning data'!A762,'Shipments data'!O:O,"received",'Shipments data'!Q:Q,"&lt;"&amp;'Supply planning data'!D777,'Shipments data'!AC:AC,"&lt;"&amp;'Supply planning data'!D777)-SUMIFS(M:M,D:D,"&lt;="&amp;D762,C:C,C762)-SUMIFS(AA:AA,D:D,"&lt;="&amp;D762,C:C,C762)+SUMIFS(N:N,D:D,"&lt;="&amp;D762,C:C,C762)+SUMIFS(P:P,D:D,"&lt;="&amp;D762,C:C,C762))</f>
        <v>0</v>
      </c>
      <c r="AD762" s="98">
        <f t="shared" si="226"/>
        <v>0</v>
      </c>
      <c r="AE762" s="98">
        <f t="shared" si="220"/>
        <v>0</v>
      </c>
      <c r="AF762" s="205" t="str">
        <f t="shared" si="229"/>
        <v/>
      </c>
      <c r="AG762" s="98">
        <f t="shared" si="227"/>
        <v>0</v>
      </c>
      <c r="AH762" s="97"/>
      <c r="AI762" s="311"/>
      <c r="AJ762" s="98">
        <f t="shared" si="219"/>
        <v>0</v>
      </c>
      <c r="AK762" s="233"/>
      <c r="AL762" s="98">
        <f>IF(SUMIFS('Shipments data'!L:L,'Shipments data'!F:F,'Supply planning data'!C762,'Shipments data'!A:A,'Supply planning data'!A762,'Shipments data'!O:O,"received",'Shipments data'!Q:Q,"&lt;"&amp;'Supply planning data'!D777,'Shipments data'!AC:AC,"&lt;"&amp;'Supply planning data'!D777)-SUMIFS(M:M,D:D,"&lt;="&amp;D762,C:C,C762)-SUMIFS(AJ:AJ,D:D,"&lt;="&amp;D762,C:C,C762)+SUMIFS(N:N,D:D,"&lt;="&amp;D762,C:C,C762)+SUMIFS(P:P,D:D,"&lt;="&amp;D762,C:C,C762)&lt;0,0,SUMIFS('Shipments data'!L:L,'Shipments data'!F:F,'Supply planning data'!C762,'Shipments data'!A:A,'Supply planning data'!A762,'Shipments data'!O:O,"received",'Shipments data'!Q:Q,"&lt;"&amp;'Supply planning data'!D777,'Shipments data'!AC:AC,"&lt;"&amp;'Supply planning data'!D777)-SUMIFS(M:M,D:D,"&lt;="&amp;D762,C:C,C762)-SUMIFS(AJ:AJ,D:D,"&lt;="&amp;D762,C:C,C762)+SUMIFS(N:N,D:D,"&lt;="&amp;D762,C:C,C762)+SUMIFS(P:P,D:D,"&lt;="&amp;D762,C:C,C762))</f>
        <v>0</v>
      </c>
      <c r="AM762" s="98">
        <f t="shared" si="228"/>
        <v>0</v>
      </c>
      <c r="AN762" s="98">
        <f t="shared" si="221"/>
        <v>0</v>
      </c>
      <c r="AO762" s="203" t="str">
        <f t="shared" si="231"/>
        <v/>
      </c>
    </row>
    <row r="763" spans="1:41" hidden="1" x14ac:dyDescent="0.25">
      <c r="A763" s="95" t="str">
        <f>Start!D$7</f>
        <v>Anyland</v>
      </c>
      <c r="B763" s="96" t="str">
        <f>VLOOKUP(A763,list!B:C,2,FALSE)</f>
        <v>ANY</v>
      </c>
      <c r="C763" s="90" t="str">
        <f>IF(Start!$C$25="","",Start!$C$25)</f>
        <v/>
      </c>
      <c r="D763" s="296">
        <f t="shared" si="222"/>
        <v>45717</v>
      </c>
      <c r="E763" s="92" t="str">
        <f>IFERROR(VLOOKUP(C763,Start!C$15:D$31,2,FALSE),"No")</f>
        <v>No</v>
      </c>
      <c r="F763" s="92">
        <f t="shared" si="223"/>
        <v>0</v>
      </c>
      <c r="G763" s="91"/>
      <c r="H763" s="97"/>
      <c r="I763" s="97"/>
      <c r="J763" s="98">
        <f t="shared" si="215"/>
        <v>0</v>
      </c>
      <c r="K763" s="97"/>
      <c r="L763" s="175" t="str">
        <f t="shared" si="216"/>
        <v/>
      </c>
      <c r="M763" s="98">
        <f t="shared" si="217"/>
        <v>0</v>
      </c>
      <c r="N763" s="97"/>
      <c r="O763" s="122"/>
      <c r="P763" s="97"/>
      <c r="Q763" s="122"/>
      <c r="R763" s="98">
        <f>SUMIFS('Shipments data'!L:L,'Shipments data'!F:F,'Supply planning data'!C763,'Shipments data'!A:A,'Supply planning data'!A763,'Shipments data'!Y:Y,'Supply planning data'!D763,'Shipments data'!O:O,"received", 'Shipments data'!N:N, "Public")</f>
        <v>0</v>
      </c>
      <c r="S763" s="98">
        <f>SUMIFS('Shipments data'!L:L,'Shipments data'!F:F,'Supply planning data'!C763,'Shipments data'!A:A,'Supply planning data'!A763,'Shipments data'!Y:Y,'Supply planning data'!D763,'Shipments data'!O:O,"ordered", 'Shipments data'!N:N, "Public")</f>
        <v>0</v>
      </c>
      <c r="T763" s="98">
        <f>IF(SUMIFS('Shipments data'!L:L,'Shipments data'!F:F,'Supply planning data'!C763,'Shipments data'!A:A,'Supply planning data'!A763,'Shipments data'!O:O,"received",'Shipments data'!Q:Q,"&lt;"&amp;'Supply planning data'!D778,'Shipments data'!AC:AC,"&lt;"&amp;'Supply planning data'!D778)-SUMIFS(M:M,D:D,"&lt;="&amp;D763,C:C,C763)+SUMIFS(N:N,D:D,"&lt;="&amp;D763,C:C,C763)+SUMIFS(P:P,D:D,"&lt;="&amp;D763,C:C,C763)&lt;0,0,SUMIFS('Shipments data'!L:L,'Shipments data'!F:F,'Supply planning data'!C763,'Shipments data'!A:A,'Supply planning data'!A763,'Shipments data'!O:O,"received",'Shipments data'!Q:Q,"&lt;"&amp;'Supply planning data'!D778,'Shipments data'!AC:AC,"&lt;"&amp;'Supply planning data'!D778)-SUMIFS(M:M,D:D,"&lt;="&amp;D763,C:C,C763)+SUMIFS(N:N,D:D,"&lt;="&amp;D763,C:C,C763)+SUMIFS(P:P,D:D,"&lt;="&amp;D763,C:C,C763))</f>
        <v>0</v>
      </c>
      <c r="U763" s="99">
        <f t="shared" si="224"/>
        <v>0</v>
      </c>
      <c r="V763" s="98">
        <f t="shared" si="232"/>
        <v>0</v>
      </c>
      <c r="W763" s="203" t="str">
        <f t="shared" si="230"/>
        <v/>
      </c>
      <c r="X763" s="98">
        <f t="shared" si="225"/>
        <v>0</v>
      </c>
      <c r="Y763" s="97"/>
      <c r="Z763" s="93"/>
      <c r="AA763" s="98">
        <f t="shared" si="218"/>
        <v>0</v>
      </c>
      <c r="AB763" s="233"/>
      <c r="AC763" s="98">
        <f>IF(SUMIFS('Shipments data'!L:L,'Shipments data'!F:F,'Supply planning data'!C763,'Shipments data'!A:A,'Supply planning data'!A763,'Shipments data'!O:O,"received",'Shipments data'!Q:Q,"&lt;"&amp;'Supply planning data'!D778,'Shipments data'!AC:AC,"&lt;"&amp;'Supply planning data'!D778)-SUMIFS(M:M,D:D,"&lt;="&amp;D763,C:C,C763)-SUMIFS(AA:AA,D:D,"&lt;="&amp;D763,C:C,C763)+SUMIFS(N:N,D:D,"&lt;="&amp;D763,C:C,C763)+SUMIFS(P:P,D:D,"&lt;="&amp;D763,C:C,C763)&lt;0,0,SUMIFS('Shipments data'!L:L,'Shipments data'!F:F,'Supply planning data'!C763,'Shipments data'!A:A,'Supply planning data'!A763,'Shipments data'!O:O,"received",'Shipments data'!Q:Q,"&lt;"&amp;'Supply planning data'!D778,'Shipments data'!AC:AC,"&lt;"&amp;'Supply planning data'!D778)-SUMIFS(M:M,D:D,"&lt;="&amp;D763,C:C,C763)-SUMIFS(AA:AA,D:D,"&lt;="&amp;D763,C:C,C763)+SUMIFS(N:N,D:D,"&lt;="&amp;D763,C:C,C763)+SUMIFS(P:P,D:D,"&lt;="&amp;D763,C:C,C763))</f>
        <v>0</v>
      </c>
      <c r="AD763" s="98">
        <f t="shared" si="226"/>
        <v>0</v>
      </c>
      <c r="AE763" s="98">
        <f t="shared" si="220"/>
        <v>0</v>
      </c>
      <c r="AF763" s="205" t="str">
        <f t="shared" si="229"/>
        <v/>
      </c>
      <c r="AG763" s="98">
        <f t="shared" si="227"/>
        <v>0</v>
      </c>
      <c r="AH763" s="97"/>
      <c r="AI763" s="311"/>
      <c r="AJ763" s="98">
        <f t="shared" si="219"/>
        <v>0</v>
      </c>
      <c r="AK763" s="233"/>
      <c r="AL763" s="98">
        <f>IF(SUMIFS('Shipments data'!L:L,'Shipments data'!F:F,'Supply planning data'!C763,'Shipments data'!A:A,'Supply planning data'!A763,'Shipments data'!O:O,"received",'Shipments data'!Q:Q,"&lt;"&amp;'Supply planning data'!D778,'Shipments data'!AC:AC,"&lt;"&amp;'Supply planning data'!D778)-SUMIFS(M:M,D:D,"&lt;="&amp;D763,C:C,C763)-SUMIFS(AJ:AJ,D:D,"&lt;="&amp;D763,C:C,C763)+SUMIFS(N:N,D:D,"&lt;="&amp;D763,C:C,C763)+SUMIFS(P:P,D:D,"&lt;="&amp;D763,C:C,C763)&lt;0,0,SUMIFS('Shipments data'!L:L,'Shipments data'!F:F,'Supply planning data'!C763,'Shipments data'!A:A,'Supply planning data'!A763,'Shipments data'!O:O,"received",'Shipments data'!Q:Q,"&lt;"&amp;'Supply planning data'!D778,'Shipments data'!AC:AC,"&lt;"&amp;'Supply planning data'!D778)-SUMIFS(M:M,D:D,"&lt;="&amp;D763,C:C,C763)-SUMIFS(AJ:AJ,D:D,"&lt;="&amp;D763,C:C,C763)+SUMIFS(N:N,D:D,"&lt;="&amp;D763,C:C,C763)+SUMIFS(P:P,D:D,"&lt;="&amp;D763,C:C,C763))</f>
        <v>0</v>
      </c>
      <c r="AM763" s="98">
        <f t="shared" si="228"/>
        <v>0</v>
      </c>
      <c r="AN763" s="98">
        <f t="shared" si="221"/>
        <v>0</v>
      </c>
      <c r="AO763" s="203" t="str">
        <f t="shared" si="231"/>
        <v/>
      </c>
    </row>
    <row r="764" spans="1:41" hidden="1" x14ac:dyDescent="0.25">
      <c r="A764" s="95" t="str">
        <f>Start!D$7</f>
        <v>Anyland</v>
      </c>
      <c r="B764" s="96" t="str">
        <f>VLOOKUP(A764,list!B:C,2,FALSE)</f>
        <v>ANY</v>
      </c>
      <c r="C764" s="90" t="str">
        <f>IF(Start!$C$26="","",Start!$C$26)</f>
        <v/>
      </c>
      <c r="D764" s="296">
        <f t="shared" si="222"/>
        <v>45717</v>
      </c>
      <c r="E764" s="92" t="str">
        <f>IFERROR(VLOOKUP(C764,Start!C$15:D$31,2,FALSE),"No")</f>
        <v>No</v>
      </c>
      <c r="F764" s="92">
        <f t="shared" si="223"/>
        <v>0</v>
      </c>
      <c r="G764" s="91"/>
      <c r="H764" s="97"/>
      <c r="I764" s="97"/>
      <c r="J764" s="98">
        <f t="shared" si="215"/>
        <v>0</v>
      </c>
      <c r="K764" s="97"/>
      <c r="L764" s="175" t="str">
        <f t="shared" si="216"/>
        <v/>
      </c>
      <c r="M764" s="98">
        <f t="shared" si="217"/>
        <v>0</v>
      </c>
      <c r="N764" s="97"/>
      <c r="O764" s="122"/>
      <c r="P764" s="97"/>
      <c r="Q764" s="122"/>
      <c r="R764" s="98">
        <f>SUMIFS('Shipments data'!L:L,'Shipments data'!F:F,'Supply planning data'!C764,'Shipments data'!A:A,'Supply planning data'!A764,'Shipments data'!Y:Y,'Supply planning data'!D764,'Shipments data'!O:O,"received", 'Shipments data'!N:N, "Public")</f>
        <v>0</v>
      </c>
      <c r="S764" s="98">
        <f>SUMIFS('Shipments data'!L:L,'Shipments data'!F:F,'Supply planning data'!C764,'Shipments data'!A:A,'Supply planning data'!A764,'Shipments data'!Y:Y,'Supply planning data'!D764,'Shipments data'!O:O,"ordered", 'Shipments data'!N:N, "Public")</f>
        <v>0</v>
      </c>
      <c r="T764" s="98">
        <f>IF(SUMIFS('Shipments data'!L:L,'Shipments data'!F:F,'Supply planning data'!C764,'Shipments data'!A:A,'Supply planning data'!A764,'Shipments data'!O:O,"received",'Shipments data'!Q:Q,"&lt;"&amp;'Supply planning data'!D779,'Shipments data'!AC:AC,"&lt;"&amp;'Supply planning data'!D779)-SUMIFS(M:M,D:D,"&lt;="&amp;D764,C:C,C764)+SUMIFS(N:N,D:D,"&lt;="&amp;D764,C:C,C764)+SUMIFS(P:P,D:D,"&lt;="&amp;D764,C:C,C764)&lt;0,0,SUMIFS('Shipments data'!L:L,'Shipments data'!F:F,'Supply planning data'!C764,'Shipments data'!A:A,'Supply planning data'!A764,'Shipments data'!O:O,"received",'Shipments data'!Q:Q,"&lt;"&amp;'Supply planning data'!D779,'Shipments data'!AC:AC,"&lt;"&amp;'Supply planning data'!D779)-SUMIFS(M:M,D:D,"&lt;="&amp;D764,C:C,C764)+SUMIFS(N:N,D:D,"&lt;="&amp;D764,C:C,C764)+SUMIFS(P:P,D:D,"&lt;="&amp;D764,C:C,C764))</f>
        <v>0</v>
      </c>
      <c r="U764" s="99">
        <f t="shared" si="224"/>
        <v>0</v>
      </c>
      <c r="V764" s="98">
        <f t="shared" si="232"/>
        <v>0</v>
      </c>
      <c r="W764" s="203" t="str">
        <f t="shared" si="230"/>
        <v/>
      </c>
      <c r="X764" s="98">
        <f t="shared" si="225"/>
        <v>0</v>
      </c>
      <c r="Y764" s="97"/>
      <c r="Z764" s="93"/>
      <c r="AA764" s="98">
        <f t="shared" si="218"/>
        <v>0</v>
      </c>
      <c r="AB764" s="233"/>
      <c r="AC764" s="98">
        <f>IF(SUMIFS('Shipments data'!L:L,'Shipments data'!F:F,'Supply planning data'!C764,'Shipments data'!A:A,'Supply planning data'!A764,'Shipments data'!O:O,"received",'Shipments data'!Q:Q,"&lt;"&amp;'Supply planning data'!D779,'Shipments data'!AC:AC,"&lt;"&amp;'Supply planning data'!D779)-SUMIFS(M:M,D:D,"&lt;="&amp;D764,C:C,C764)-SUMIFS(AA:AA,D:D,"&lt;="&amp;D764,C:C,C764)+SUMIFS(N:N,D:D,"&lt;="&amp;D764,C:C,C764)+SUMIFS(P:P,D:D,"&lt;="&amp;D764,C:C,C764)&lt;0,0,SUMIFS('Shipments data'!L:L,'Shipments data'!F:F,'Supply planning data'!C764,'Shipments data'!A:A,'Supply planning data'!A764,'Shipments data'!O:O,"received",'Shipments data'!Q:Q,"&lt;"&amp;'Supply planning data'!D779,'Shipments data'!AC:AC,"&lt;"&amp;'Supply planning data'!D779)-SUMIFS(M:M,D:D,"&lt;="&amp;D764,C:C,C764)-SUMIFS(AA:AA,D:D,"&lt;="&amp;D764,C:C,C764)+SUMIFS(N:N,D:D,"&lt;="&amp;D764,C:C,C764)+SUMIFS(P:P,D:D,"&lt;="&amp;D764,C:C,C764))</f>
        <v>0</v>
      </c>
      <c r="AD764" s="98">
        <f t="shared" si="226"/>
        <v>0</v>
      </c>
      <c r="AE764" s="98">
        <f t="shared" si="220"/>
        <v>0</v>
      </c>
      <c r="AF764" s="205" t="str">
        <f t="shared" si="229"/>
        <v/>
      </c>
      <c r="AG764" s="98">
        <f t="shared" si="227"/>
        <v>0</v>
      </c>
      <c r="AH764" s="97"/>
      <c r="AI764" s="311"/>
      <c r="AJ764" s="98">
        <f t="shared" si="219"/>
        <v>0</v>
      </c>
      <c r="AK764" s="233"/>
      <c r="AL764" s="98">
        <f>IF(SUMIFS('Shipments data'!L:L,'Shipments data'!F:F,'Supply planning data'!C764,'Shipments data'!A:A,'Supply planning data'!A764,'Shipments data'!O:O,"received",'Shipments data'!Q:Q,"&lt;"&amp;'Supply planning data'!D779,'Shipments data'!AC:AC,"&lt;"&amp;'Supply planning data'!D779)-SUMIFS(M:M,D:D,"&lt;="&amp;D764,C:C,C764)-SUMIFS(AJ:AJ,D:D,"&lt;="&amp;D764,C:C,C764)+SUMIFS(N:N,D:D,"&lt;="&amp;D764,C:C,C764)+SUMIFS(P:P,D:D,"&lt;="&amp;D764,C:C,C764)&lt;0,0,SUMIFS('Shipments data'!L:L,'Shipments data'!F:F,'Supply planning data'!C764,'Shipments data'!A:A,'Supply planning data'!A764,'Shipments data'!O:O,"received",'Shipments data'!Q:Q,"&lt;"&amp;'Supply planning data'!D779,'Shipments data'!AC:AC,"&lt;"&amp;'Supply planning data'!D779)-SUMIFS(M:M,D:D,"&lt;="&amp;D764,C:C,C764)-SUMIFS(AJ:AJ,D:D,"&lt;="&amp;D764,C:C,C764)+SUMIFS(N:N,D:D,"&lt;="&amp;D764,C:C,C764)+SUMIFS(P:P,D:D,"&lt;="&amp;D764,C:C,C764))</f>
        <v>0</v>
      </c>
      <c r="AM764" s="98">
        <f t="shared" si="228"/>
        <v>0</v>
      </c>
      <c r="AN764" s="98">
        <f t="shared" si="221"/>
        <v>0</v>
      </c>
      <c r="AO764" s="203" t="str">
        <f t="shared" si="231"/>
        <v/>
      </c>
    </row>
    <row r="765" spans="1:41" hidden="1" x14ac:dyDescent="0.25">
      <c r="A765" s="95" t="str">
        <f>Start!D$7</f>
        <v>Anyland</v>
      </c>
      <c r="B765" s="96" t="str">
        <f>VLOOKUP(A765,list!B:C,2,FALSE)</f>
        <v>ANY</v>
      </c>
      <c r="C765" s="90" t="str">
        <f>IF(Start!$C$27="","",Start!$C$27)</f>
        <v/>
      </c>
      <c r="D765" s="296">
        <f t="shared" si="222"/>
        <v>45717</v>
      </c>
      <c r="E765" s="92" t="str">
        <f>IFERROR(VLOOKUP(C765,Start!C$15:D$31,2,FALSE),"No")</f>
        <v>No</v>
      </c>
      <c r="F765" s="92">
        <f t="shared" si="223"/>
        <v>0</v>
      </c>
      <c r="G765" s="91"/>
      <c r="H765" s="97"/>
      <c r="I765" s="97"/>
      <c r="J765" s="98">
        <f t="shared" si="215"/>
        <v>0</v>
      </c>
      <c r="K765" s="97"/>
      <c r="L765" s="175" t="str">
        <f t="shared" si="216"/>
        <v/>
      </c>
      <c r="M765" s="98">
        <f t="shared" si="217"/>
        <v>0</v>
      </c>
      <c r="N765" s="97"/>
      <c r="O765" s="122"/>
      <c r="P765" s="97"/>
      <c r="Q765" s="122"/>
      <c r="R765" s="98">
        <f>SUMIFS('Shipments data'!L:L,'Shipments data'!F:F,'Supply planning data'!C765,'Shipments data'!A:A,'Supply planning data'!A765,'Shipments data'!Y:Y,'Supply planning data'!D765,'Shipments data'!O:O,"received", 'Shipments data'!N:N, "Public")</f>
        <v>0</v>
      </c>
      <c r="S765" s="98">
        <f>SUMIFS('Shipments data'!L:L,'Shipments data'!F:F,'Supply planning data'!C765,'Shipments data'!A:A,'Supply planning data'!A765,'Shipments data'!Y:Y,'Supply planning data'!D765,'Shipments data'!O:O,"ordered", 'Shipments data'!N:N, "Public")</f>
        <v>0</v>
      </c>
      <c r="T765" s="98">
        <f>IF(SUMIFS('Shipments data'!L:L,'Shipments data'!F:F,'Supply planning data'!C765,'Shipments data'!A:A,'Supply planning data'!A765,'Shipments data'!O:O,"received",'Shipments data'!Q:Q,"&lt;"&amp;'Supply planning data'!D780,'Shipments data'!AC:AC,"&lt;"&amp;'Supply planning data'!D780)-SUMIFS(M:M,D:D,"&lt;="&amp;D765,C:C,C765)+SUMIFS(N:N,D:D,"&lt;="&amp;D765,C:C,C765)+SUMIFS(P:P,D:D,"&lt;="&amp;D765,C:C,C765)&lt;0,0,SUMIFS('Shipments data'!L:L,'Shipments data'!F:F,'Supply planning data'!C765,'Shipments data'!A:A,'Supply planning data'!A765,'Shipments data'!O:O,"received",'Shipments data'!Q:Q,"&lt;"&amp;'Supply planning data'!D780,'Shipments data'!AC:AC,"&lt;"&amp;'Supply planning data'!D780)-SUMIFS(M:M,D:D,"&lt;="&amp;D765,C:C,C765)+SUMIFS(N:N,D:D,"&lt;="&amp;D765,C:C,C765)+SUMIFS(P:P,D:D,"&lt;="&amp;D765,C:C,C765))</f>
        <v>0</v>
      </c>
      <c r="U765" s="99">
        <f t="shared" si="224"/>
        <v>0</v>
      </c>
      <c r="V765" s="98">
        <f t="shared" si="232"/>
        <v>0</v>
      </c>
      <c r="W765" s="203" t="str">
        <f t="shared" si="230"/>
        <v/>
      </c>
      <c r="X765" s="98">
        <f t="shared" si="225"/>
        <v>0</v>
      </c>
      <c r="Y765" s="97"/>
      <c r="Z765" s="93"/>
      <c r="AA765" s="98">
        <f t="shared" si="218"/>
        <v>0</v>
      </c>
      <c r="AB765" s="233"/>
      <c r="AC765" s="98">
        <f>IF(SUMIFS('Shipments data'!L:L,'Shipments data'!F:F,'Supply planning data'!C765,'Shipments data'!A:A,'Supply planning data'!A765,'Shipments data'!O:O,"received",'Shipments data'!Q:Q,"&lt;"&amp;'Supply planning data'!D780,'Shipments data'!AC:AC,"&lt;"&amp;'Supply planning data'!D780)-SUMIFS(M:M,D:D,"&lt;="&amp;D765,C:C,C765)-SUMIFS(AA:AA,D:D,"&lt;="&amp;D765,C:C,C765)+SUMIFS(N:N,D:D,"&lt;="&amp;D765,C:C,C765)+SUMIFS(P:P,D:D,"&lt;="&amp;D765,C:C,C765)&lt;0,0,SUMIFS('Shipments data'!L:L,'Shipments data'!F:F,'Supply planning data'!C765,'Shipments data'!A:A,'Supply planning data'!A765,'Shipments data'!O:O,"received",'Shipments data'!Q:Q,"&lt;"&amp;'Supply planning data'!D780,'Shipments data'!AC:AC,"&lt;"&amp;'Supply planning data'!D780)-SUMIFS(M:M,D:D,"&lt;="&amp;D765,C:C,C765)-SUMIFS(AA:AA,D:D,"&lt;="&amp;D765,C:C,C765)+SUMIFS(N:N,D:D,"&lt;="&amp;D765,C:C,C765)+SUMIFS(P:P,D:D,"&lt;="&amp;D765,C:C,C765))</f>
        <v>0</v>
      </c>
      <c r="AD765" s="98">
        <f t="shared" si="226"/>
        <v>0</v>
      </c>
      <c r="AE765" s="98">
        <f t="shared" si="220"/>
        <v>0</v>
      </c>
      <c r="AF765" s="205" t="str">
        <f t="shared" si="229"/>
        <v/>
      </c>
      <c r="AG765" s="98">
        <f t="shared" si="227"/>
        <v>0</v>
      </c>
      <c r="AH765" s="97"/>
      <c r="AI765" s="311"/>
      <c r="AJ765" s="98">
        <f t="shared" si="219"/>
        <v>0</v>
      </c>
      <c r="AK765" s="233"/>
      <c r="AL765" s="98">
        <f>IF(SUMIFS('Shipments data'!L:L,'Shipments data'!F:F,'Supply planning data'!C765,'Shipments data'!A:A,'Supply planning data'!A765,'Shipments data'!O:O,"received",'Shipments data'!Q:Q,"&lt;"&amp;'Supply planning data'!D780,'Shipments data'!AC:AC,"&lt;"&amp;'Supply planning data'!D780)-SUMIFS(M:M,D:D,"&lt;="&amp;D765,C:C,C765)-SUMIFS(AJ:AJ,D:D,"&lt;="&amp;D765,C:C,C765)+SUMIFS(N:N,D:D,"&lt;="&amp;D765,C:C,C765)+SUMIFS(P:P,D:D,"&lt;="&amp;D765,C:C,C765)&lt;0,0,SUMIFS('Shipments data'!L:L,'Shipments data'!F:F,'Supply planning data'!C765,'Shipments data'!A:A,'Supply planning data'!A765,'Shipments data'!O:O,"received",'Shipments data'!Q:Q,"&lt;"&amp;'Supply planning data'!D780,'Shipments data'!AC:AC,"&lt;"&amp;'Supply planning data'!D780)-SUMIFS(M:M,D:D,"&lt;="&amp;D765,C:C,C765)-SUMIFS(AJ:AJ,D:D,"&lt;="&amp;D765,C:C,C765)+SUMIFS(N:N,D:D,"&lt;="&amp;D765,C:C,C765)+SUMIFS(P:P,D:D,"&lt;="&amp;D765,C:C,C765))</f>
        <v>0</v>
      </c>
      <c r="AM765" s="98">
        <f t="shared" si="228"/>
        <v>0</v>
      </c>
      <c r="AN765" s="98">
        <f t="shared" si="221"/>
        <v>0</v>
      </c>
      <c r="AO765" s="203" t="str">
        <f t="shared" si="231"/>
        <v/>
      </c>
    </row>
    <row r="766" spans="1:41" hidden="1" x14ac:dyDescent="0.25">
      <c r="A766" s="95" t="str">
        <f>Start!D$7</f>
        <v>Anyland</v>
      </c>
      <c r="B766" s="96" t="str">
        <f>VLOOKUP(A766,list!B:C,2,FALSE)</f>
        <v>ANY</v>
      </c>
      <c r="C766" s="90" t="str">
        <f>IF(Start!$C$28="","",Start!$C$28)</f>
        <v/>
      </c>
      <c r="D766" s="296">
        <f t="shared" si="222"/>
        <v>45717</v>
      </c>
      <c r="E766" s="92" t="str">
        <f>IFERROR(VLOOKUP(C766,Start!C$15:D$31,2,FALSE),"No")</f>
        <v>No</v>
      </c>
      <c r="F766" s="92">
        <f t="shared" si="223"/>
        <v>0</v>
      </c>
      <c r="G766" s="91"/>
      <c r="H766" s="97"/>
      <c r="I766" s="97"/>
      <c r="J766" s="98">
        <f t="shared" si="215"/>
        <v>0</v>
      </c>
      <c r="K766" s="97"/>
      <c r="L766" s="175" t="str">
        <f t="shared" si="216"/>
        <v/>
      </c>
      <c r="M766" s="98">
        <f t="shared" si="217"/>
        <v>0</v>
      </c>
      <c r="N766" s="97"/>
      <c r="O766" s="122"/>
      <c r="P766" s="97"/>
      <c r="Q766" s="122"/>
      <c r="R766" s="98">
        <f>SUMIFS('Shipments data'!L:L,'Shipments data'!F:F,'Supply planning data'!C766,'Shipments data'!A:A,'Supply planning data'!A766,'Shipments data'!Y:Y,'Supply planning data'!D766,'Shipments data'!O:O,"received", 'Shipments data'!N:N, "Public")</f>
        <v>0</v>
      </c>
      <c r="S766" s="98">
        <f>SUMIFS('Shipments data'!L:L,'Shipments data'!F:F,'Supply planning data'!C766,'Shipments data'!A:A,'Supply planning data'!A766,'Shipments data'!Y:Y,'Supply planning data'!D766,'Shipments data'!O:O,"ordered", 'Shipments data'!N:N, "Public")</f>
        <v>0</v>
      </c>
      <c r="T766" s="98">
        <f>IF(SUMIFS('Shipments data'!L:L,'Shipments data'!F:F,'Supply planning data'!C766,'Shipments data'!A:A,'Supply planning data'!A766,'Shipments data'!O:O,"received",'Shipments data'!Q:Q,"&lt;"&amp;'Supply planning data'!D781,'Shipments data'!AC:AC,"&lt;"&amp;'Supply planning data'!D781)-SUMIFS(M:M,D:D,"&lt;="&amp;D766,C:C,C766)+SUMIFS(N:N,D:D,"&lt;="&amp;D766,C:C,C766)+SUMIFS(P:P,D:D,"&lt;="&amp;D766,C:C,C766)&lt;0,0,SUMIFS('Shipments data'!L:L,'Shipments data'!F:F,'Supply planning data'!C766,'Shipments data'!A:A,'Supply planning data'!A766,'Shipments data'!O:O,"received",'Shipments data'!Q:Q,"&lt;"&amp;'Supply planning data'!D781,'Shipments data'!AC:AC,"&lt;"&amp;'Supply planning data'!D781)-SUMIFS(M:M,D:D,"&lt;="&amp;D766,C:C,C766)+SUMIFS(N:N,D:D,"&lt;="&amp;D766,C:C,C766)+SUMIFS(P:P,D:D,"&lt;="&amp;D766,C:C,C766))</f>
        <v>0</v>
      </c>
      <c r="U766" s="99">
        <f t="shared" si="224"/>
        <v>0</v>
      </c>
      <c r="V766" s="98">
        <f t="shared" si="232"/>
        <v>0</v>
      </c>
      <c r="W766" s="203" t="str">
        <f t="shared" si="230"/>
        <v/>
      </c>
      <c r="X766" s="98">
        <f t="shared" si="225"/>
        <v>0</v>
      </c>
      <c r="Y766" s="97"/>
      <c r="Z766" s="93"/>
      <c r="AA766" s="98">
        <f t="shared" si="218"/>
        <v>0</v>
      </c>
      <c r="AB766" s="233"/>
      <c r="AC766" s="98">
        <f>IF(SUMIFS('Shipments data'!L:L,'Shipments data'!F:F,'Supply planning data'!C766,'Shipments data'!A:A,'Supply planning data'!A766,'Shipments data'!O:O,"received",'Shipments data'!Q:Q,"&lt;"&amp;'Supply planning data'!D781,'Shipments data'!AC:AC,"&lt;"&amp;'Supply planning data'!D781)-SUMIFS(M:M,D:D,"&lt;="&amp;D766,C:C,C766)-SUMIFS(AA:AA,D:D,"&lt;="&amp;D766,C:C,C766)+SUMIFS(N:N,D:D,"&lt;="&amp;D766,C:C,C766)+SUMIFS(P:P,D:D,"&lt;="&amp;D766,C:C,C766)&lt;0,0,SUMIFS('Shipments data'!L:L,'Shipments data'!F:F,'Supply planning data'!C766,'Shipments data'!A:A,'Supply planning data'!A766,'Shipments data'!O:O,"received",'Shipments data'!Q:Q,"&lt;"&amp;'Supply planning data'!D781,'Shipments data'!AC:AC,"&lt;"&amp;'Supply planning data'!D781)-SUMIFS(M:M,D:D,"&lt;="&amp;D766,C:C,C766)-SUMIFS(AA:AA,D:D,"&lt;="&amp;D766,C:C,C766)+SUMIFS(N:N,D:D,"&lt;="&amp;D766,C:C,C766)+SUMIFS(P:P,D:D,"&lt;="&amp;D766,C:C,C766))</f>
        <v>0</v>
      </c>
      <c r="AD766" s="98">
        <f t="shared" si="226"/>
        <v>0</v>
      </c>
      <c r="AE766" s="98">
        <f t="shared" si="220"/>
        <v>0</v>
      </c>
      <c r="AF766" s="205" t="str">
        <f t="shared" si="229"/>
        <v/>
      </c>
      <c r="AG766" s="98">
        <f t="shared" si="227"/>
        <v>0</v>
      </c>
      <c r="AH766" s="97"/>
      <c r="AI766" s="311"/>
      <c r="AJ766" s="98">
        <f t="shared" si="219"/>
        <v>0</v>
      </c>
      <c r="AK766" s="233"/>
      <c r="AL766" s="98">
        <f>IF(SUMIFS('Shipments data'!L:L,'Shipments data'!F:F,'Supply planning data'!C766,'Shipments data'!A:A,'Supply planning data'!A766,'Shipments data'!O:O,"received",'Shipments data'!Q:Q,"&lt;"&amp;'Supply planning data'!D781,'Shipments data'!AC:AC,"&lt;"&amp;'Supply planning data'!D781)-SUMIFS(M:M,D:D,"&lt;="&amp;D766,C:C,C766)-SUMIFS(AJ:AJ,D:D,"&lt;="&amp;D766,C:C,C766)+SUMIFS(N:N,D:D,"&lt;="&amp;D766,C:C,C766)+SUMIFS(P:P,D:D,"&lt;="&amp;D766,C:C,C766)&lt;0,0,SUMIFS('Shipments data'!L:L,'Shipments data'!F:F,'Supply planning data'!C766,'Shipments data'!A:A,'Supply planning data'!A766,'Shipments data'!O:O,"received",'Shipments data'!Q:Q,"&lt;"&amp;'Supply planning data'!D781,'Shipments data'!AC:AC,"&lt;"&amp;'Supply planning data'!D781)-SUMIFS(M:M,D:D,"&lt;="&amp;D766,C:C,C766)-SUMIFS(AJ:AJ,D:D,"&lt;="&amp;D766,C:C,C766)+SUMIFS(N:N,D:D,"&lt;="&amp;D766,C:C,C766)+SUMIFS(P:P,D:D,"&lt;="&amp;D766,C:C,C766))</f>
        <v>0</v>
      </c>
      <c r="AM766" s="98">
        <f t="shared" si="228"/>
        <v>0</v>
      </c>
      <c r="AN766" s="98">
        <f t="shared" si="221"/>
        <v>0</v>
      </c>
      <c r="AO766" s="203" t="str">
        <f t="shared" si="231"/>
        <v/>
      </c>
    </row>
    <row r="767" spans="1:41" hidden="1" x14ac:dyDescent="0.25">
      <c r="A767" s="95" t="str">
        <f>Start!D$7</f>
        <v>Anyland</v>
      </c>
      <c r="B767" s="96" t="str">
        <f>VLOOKUP(A767,list!B:C,2,FALSE)</f>
        <v>ANY</v>
      </c>
      <c r="C767" s="90" t="str">
        <f>IF(Start!$C$29="","",Start!$C$29)</f>
        <v/>
      </c>
      <c r="D767" s="296">
        <f t="shared" si="222"/>
        <v>45717</v>
      </c>
      <c r="E767" s="92" t="str">
        <f>IFERROR(VLOOKUP(C767,Start!C$15:D$31,2,FALSE),"No")</f>
        <v>No</v>
      </c>
      <c r="F767" s="92">
        <f t="shared" si="223"/>
        <v>0</v>
      </c>
      <c r="G767" s="91"/>
      <c r="H767" s="97"/>
      <c r="I767" s="97"/>
      <c r="J767" s="98">
        <f t="shared" si="215"/>
        <v>0</v>
      </c>
      <c r="K767" s="97"/>
      <c r="L767" s="175" t="str">
        <f t="shared" si="216"/>
        <v/>
      </c>
      <c r="M767" s="98">
        <f t="shared" si="217"/>
        <v>0</v>
      </c>
      <c r="N767" s="97"/>
      <c r="O767" s="122"/>
      <c r="P767" s="97"/>
      <c r="Q767" s="122"/>
      <c r="R767" s="98">
        <f>SUMIFS('Shipments data'!L:L,'Shipments data'!F:F,'Supply planning data'!C767,'Shipments data'!A:A,'Supply planning data'!A767,'Shipments data'!Y:Y,'Supply planning data'!D767,'Shipments data'!O:O,"received", 'Shipments data'!N:N, "Public")</f>
        <v>0</v>
      </c>
      <c r="S767" s="98">
        <f>SUMIFS('Shipments data'!L:L,'Shipments data'!F:F,'Supply planning data'!C767,'Shipments data'!A:A,'Supply planning data'!A767,'Shipments data'!Y:Y,'Supply planning data'!D767,'Shipments data'!O:O,"ordered", 'Shipments data'!N:N, "Public")</f>
        <v>0</v>
      </c>
      <c r="T767" s="98">
        <f>IF(SUMIFS('Shipments data'!L:L,'Shipments data'!F:F,'Supply planning data'!C767,'Shipments data'!A:A,'Supply planning data'!A767,'Shipments data'!O:O,"received",'Shipments data'!Q:Q,"&lt;"&amp;'Supply planning data'!D782,'Shipments data'!AC:AC,"&lt;"&amp;'Supply planning data'!D782)-SUMIFS(M:M,D:D,"&lt;="&amp;D767,C:C,C767)+SUMIFS(N:N,D:D,"&lt;="&amp;D767,C:C,C767)+SUMIFS(P:P,D:D,"&lt;="&amp;D767,C:C,C767)&lt;0,0,SUMIFS('Shipments data'!L:L,'Shipments data'!F:F,'Supply planning data'!C767,'Shipments data'!A:A,'Supply planning data'!A767,'Shipments data'!O:O,"received",'Shipments data'!Q:Q,"&lt;"&amp;'Supply planning data'!D782,'Shipments data'!AC:AC,"&lt;"&amp;'Supply planning data'!D782)-SUMIFS(M:M,D:D,"&lt;="&amp;D767,C:C,C767)+SUMIFS(N:N,D:D,"&lt;="&amp;D767,C:C,C767)+SUMIFS(P:P,D:D,"&lt;="&amp;D767,C:C,C767))</f>
        <v>0</v>
      </c>
      <c r="U767" s="99">
        <f t="shared" si="224"/>
        <v>0</v>
      </c>
      <c r="V767" s="98">
        <f t="shared" si="232"/>
        <v>0</v>
      </c>
      <c r="W767" s="203" t="str">
        <f t="shared" si="230"/>
        <v/>
      </c>
      <c r="X767" s="98">
        <f t="shared" si="225"/>
        <v>0</v>
      </c>
      <c r="Y767" s="97"/>
      <c r="Z767" s="93"/>
      <c r="AA767" s="98">
        <f t="shared" si="218"/>
        <v>0</v>
      </c>
      <c r="AB767" s="233"/>
      <c r="AC767" s="98">
        <f>IF(SUMIFS('Shipments data'!L:L,'Shipments data'!F:F,'Supply planning data'!C767,'Shipments data'!A:A,'Supply planning data'!A767,'Shipments data'!O:O,"received",'Shipments data'!Q:Q,"&lt;"&amp;'Supply planning data'!D782,'Shipments data'!AC:AC,"&lt;"&amp;'Supply planning data'!D782)-SUMIFS(M:M,D:D,"&lt;="&amp;D767,C:C,C767)-SUMIFS(AA:AA,D:D,"&lt;="&amp;D767,C:C,C767)+SUMIFS(N:N,D:D,"&lt;="&amp;D767,C:C,C767)+SUMIFS(P:P,D:D,"&lt;="&amp;D767,C:C,C767)&lt;0,0,SUMIFS('Shipments data'!L:L,'Shipments data'!F:F,'Supply planning data'!C767,'Shipments data'!A:A,'Supply planning data'!A767,'Shipments data'!O:O,"received",'Shipments data'!Q:Q,"&lt;"&amp;'Supply planning data'!D782,'Shipments data'!AC:AC,"&lt;"&amp;'Supply planning data'!D782)-SUMIFS(M:M,D:D,"&lt;="&amp;D767,C:C,C767)-SUMIFS(AA:AA,D:D,"&lt;="&amp;D767,C:C,C767)+SUMIFS(N:N,D:D,"&lt;="&amp;D767,C:C,C767)+SUMIFS(P:P,D:D,"&lt;="&amp;D767,C:C,C767))</f>
        <v>0</v>
      </c>
      <c r="AD767" s="98">
        <f t="shared" si="226"/>
        <v>0</v>
      </c>
      <c r="AE767" s="98">
        <f t="shared" si="220"/>
        <v>0</v>
      </c>
      <c r="AF767" s="205" t="str">
        <f t="shared" si="229"/>
        <v/>
      </c>
      <c r="AG767" s="98">
        <f t="shared" si="227"/>
        <v>0</v>
      </c>
      <c r="AH767" s="97"/>
      <c r="AI767" s="311"/>
      <c r="AJ767" s="98">
        <f t="shared" si="219"/>
        <v>0</v>
      </c>
      <c r="AK767" s="233"/>
      <c r="AL767" s="98">
        <f>IF(SUMIFS('Shipments data'!L:L,'Shipments data'!F:F,'Supply planning data'!C767,'Shipments data'!A:A,'Supply planning data'!A767,'Shipments data'!O:O,"received",'Shipments data'!Q:Q,"&lt;"&amp;'Supply planning data'!D782,'Shipments data'!AC:AC,"&lt;"&amp;'Supply planning data'!D782)-SUMIFS(M:M,D:D,"&lt;="&amp;D767,C:C,C767)-SUMIFS(AJ:AJ,D:D,"&lt;="&amp;D767,C:C,C767)+SUMIFS(N:N,D:D,"&lt;="&amp;D767,C:C,C767)+SUMIFS(P:P,D:D,"&lt;="&amp;D767,C:C,C767)&lt;0,0,SUMIFS('Shipments data'!L:L,'Shipments data'!F:F,'Supply planning data'!C767,'Shipments data'!A:A,'Supply planning data'!A767,'Shipments data'!O:O,"received",'Shipments data'!Q:Q,"&lt;"&amp;'Supply planning data'!D782,'Shipments data'!AC:AC,"&lt;"&amp;'Supply planning data'!D782)-SUMIFS(M:M,D:D,"&lt;="&amp;D767,C:C,C767)-SUMIFS(AJ:AJ,D:D,"&lt;="&amp;D767,C:C,C767)+SUMIFS(N:N,D:D,"&lt;="&amp;D767,C:C,C767)+SUMIFS(P:P,D:D,"&lt;="&amp;D767,C:C,C767))</f>
        <v>0</v>
      </c>
      <c r="AM767" s="98">
        <f t="shared" si="228"/>
        <v>0</v>
      </c>
      <c r="AN767" s="98">
        <f t="shared" si="221"/>
        <v>0</v>
      </c>
      <c r="AO767" s="203" t="str">
        <f t="shared" si="231"/>
        <v/>
      </c>
    </row>
    <row r="768" spans="1:41" hidden="1" x14ac:dyDescent="0.25">
      <c r="A768" s="95" t="str">
        <f>Start!D$7</f>
        <v>Anyland</v>
      </c>
      <c r="B768" s="96" t="str">
        <f>VLOOKUP(A768,list!B:C,2,FALSE)</f>
        <v>ANY</v>
      </c>
      <c r="C768" s="90" t="str">
        <f>IF(Start!$C$30="","",Start!$C$30)</f>
        <v/>
      </c>
      <c r="D768" s="296">
        <f t="shared" si="222"/>
        <v>45717</v>
      </c>
      <c r="E768" s="92" t="str">
        <f>IFERROR(VLOOKUP(C768,Start!C$15:D$31,2,FALSE),"No")</f>
        <v>No</v>
      </c>
      <c r="F768" s="92">
        <f t="shared" si="223"/>
        <v>0</v>
      </c>
      <c r="G768" s="91"/>
      <c r="H768" s="97"/>
      <c r="I768" s="97"/>
      <c r="J768" s="98">
        <f t="shared" si="215"/>
        <v>0</v>
      </c>
      <c r="K768" s="97"/>
      <c r="L768" s="175" t="str">
        <f t="shared" si="216"/>
        <v/>
      </c>
      <c r="M768" s="98">
        <f t="shared" si="217"/>
        <v>0</v>
      </c>
      <c r="N768" s="97"/>
      <c r="O768" s="122"/>
      <c r="P768" s="97"/>
      <c r="Q768" s="122"/>
      <c r="R768" s="98">
        <f>SUMIFS('Shipments data'!L:L,'Shipments data'!F:F,'Supply planning data'!C768,'Shipments data'!A:A,'Supply planning data'!A768,'Shipments data'!Y:Y,'Supply planning data'!D768,'Shipments data'!O:O,"received", 'Shipments data'!N:N, "Public")</f>
        <v>0</v>
      </c>
      <c r="S768" s="98">
        <f>SUMIFS('Shipments data'!L:L,'Shipments data'!F:F,'Supply planning data'!C768,'Shipments data'!A:A,'Supply planning data'!A768,'Shipments data'!Y:Y,'Supply planning data'!D768,'Shipments data'!O:O,"ordered", 'Shipments data'!N:N, "Public")</f>
        <v>0</v>
      </c>
      <c r="T768" s="98">
        <f>IF(SUMIFS('Shipments data'!L:L,'Shipments data'!F:F,'Supply planning data'!C768,'Shipments data'!A:A,'Supply planning data'!A768,'Shipments data'!O:O,"received",'Shipments data'!Q:Q,"&lt;"&amp;'Supply planning data'!D783,'Shipments data'!AC:AC,"&lt;"&amp;'Supply planning data'!D783)-SUMIFS(M:M,D:D,"&lt;="&amp;D768,C:C,C768)+SUMIFS(N:N,D:D,"&lt;="&amp;D768,C:C,C768)+SUMIFS(P:P,D:D,"&lt;="&amp;D768,C:C,C768)&lt;0,0,SUMIFS('Shipments data'!L:L,'Shipments data'!F:F,'Supply planning data'!C768,'Shipments data'!A:A,'Supply planning data'!A768,'Shipments data'!O:O,"received",'Shipments data'!Q:Q,"&lt;"&amp;'Supply planning data'!D783,'Shipments data'!AC:AC,"&lt;"&amp;'Supply planning data'!D783)-SUMIFS(M:M,D:D,"&lt;="&amp;D768,C:C,C768)+SUMIFS(N:N,D:D,"&lt;="&amp;D768,C:C,C768)+SUMIFS(P:P,D:D,"&lt;="&amp;D768,C:C,C768))</f>
        <v>0</v>
      </c>
      <c r="U768" s="99">
        <f t="shared" si="224"/>
        <v>0</v>
      </c>
      <c r="V768" s="98">
        <f t="shared" si="232"/>
        <v>0</v>
      </c>
      <c r="W768" s="203" t="str">
        <f t="shared" si="230"/>
        <v/>
      </c>
      <c r="X768" s="98">
        <f t="shared" si="225"/>
        <v>0</v>
      </c>
      <c r="Y768" s="97"/>
      <c r="Z768" s="93"/>
      <c r="AA768" s="98">
        <f t="shared" si="218"/>
        <v>0</v>
      </c>
      <c r="AB768" s="233"/>
      <c r="AC768" s="98">
        <f>IF(SUMIFS('Shipments data'!L:L,'Shipments data'!F:F,'Supply planning data'!C768,'Shipments data'!A:A,'Supply planning data'!A768,'Shipments data'!O:O,"received",'Shipments data'!Q:Q,"&lt;"&amp;'Supply planning data'!D783,'Shipments data'!AC:AC,"&lt;"&amp;'Supply planning data'!D783)-SUMIFS(M:M,D:D,"&lt;="&amp;D768,C:C,C768)-SUMIFS(AA:AA,D:D,"&lt;="&amp;D768,C:C,C768)+SUMIFS(N:N,D:D,"&lt;="&amp;D768,C:C,C768)+SUMIFS(P:P,D:D,"&lt;="&amp;D768,C:C,C768)&lt;0,0,SUMIFS('Shipments data'!L:L,'Shipments data'!F:F,'Supply planning data'!C768,'Shipments data'!A:A,'Supply planning data'!A768,'Shipments data'!O:O,"received",'Shipments data'!Q:Q,"&lt;"&amp;'Supply planning data'!D783,'Shipments data'!AC:AC,"&lt;"&amp;'Supply planning data'!D783)-SUMIFS(M:M,D:D,"&lt;="&amp;D768,C:C,C768)-SUMIFS(AA:AA,D:D,"&lt;="&amp;D768,C:C,C768)+SUMIFS(N:N,D:D,"&lt;="&amp;D768,C:C,C768)+SUMIFS(P:P,D:D,"&lt;="&amp;D768,C:C,C768))</f>
        <v>0</v>
      </c>
      <c r="AD768" s="98">
        <f t="shared" si="226"/>
        <v>0</v>
      </c>
      <c r="AE768" s="98">
        <f t="shared" si="220"/>
        <v>0</v>
      </c>
      <c r="AF768" s="205" t="str">
        <f t="shared" si="229"/>
        <v/>
      </c>
      <c r="AG768" s="98">
        <f t="shared" si="227"/>
        <v>0</v>
      </c>
      <c r="AH768" s="97"/>
      <c r="AI768" s="311"/>
      <c r="AJ768" s="98">
        <f t="shared" si="219"/>
        <v>0</v>
      </c>
      <c r="AK768" s="233"/>
      <c r="AL768" s="98">
        <f>IF(SUMIFS('Shipments data'!L:L,'Shipments data'!F:F,'Supply planning data'!C768,'Shipments data'!A:A,'Supply planning data'!A768,'Shipments data'!O:O,"received",'Shipments data'!Q:Q,"&lt;"&amp;'Supply planning data'!D783,'Shipments data'!AC:AC,"&lt;"&amp;'Supply planning data'!D783)-SUMIFS(M:M,D:D,"&lt;="&amp;D768,C:C,C768)-SUMIFS(AJ:AJ,D:D,"&lt;="&amp;D768,C:C,C768)+SUMIFS(N:N,D:D,"&lt;="&amp;D768,C:C,C768)+SUMIFS(P:P,D:D,"&lt;="&amp;D768,C:C,C768)&lt;0,0,SUMIFS('Shipments data'!L:L,'Shipments data'!F:F,'Supply planning data'!C768,'Shipments data'!A:A,'Supply planning data'!A768,'Shipments data'!O:O,"received",'Shipments data'!Q:Q,"&lt;"&amp;'Supply planning data'!D783,'Shipments data'!AC:AC,"&lt;"&amp;'Supply planning data'!D783)-SUMIFS(M:M,D:D,"&lt;="&amp;D768,C:C,C768)-SUMIFS(AJ:AJ,D:D,"&lt;="&amp;D768,C:C,C768)+SUMIFS(N:N,D:D,"&lt;="&amp;D768,C:C,C768)+SUMIFS(P:P,D:D,"&lt;="&amp;D768,C:C,C768))</f>
        <v>0</v>
      </c>
      <c r="AM768" s="98">
        <f t="shared" si="228"/>
        <v>0</v>
      </c>
      <c r="AN768" s="98">
        <f t="shared" si="221"/>
        <v>0</v>
      </c>
      <c r="AO768" s="203" t="str">
        <f t="shared" si="231"/>
        <v/>
      </c>
    </row>
    <row r="769" spans="1:41" hidden="1" x14ac:dyDescent="0.25">
      <c r="A769" s="95" t="str">
        <f>Start!D$7</f>
        <v>Anyland</v>
      </c>
      <c r="B769" s="100" t="str">
        <f>VLOOKUP(A769,list!B:C,2,FALSE)</f>
        <v>ANY</v>
      </c>
      <c r="C769" s="90" t="str">
        <f>IF(Start!$C$31="","",Start!$C$31)</f>
        <v/>
      </c>
      <c r="D769" s="296">
        <f t="shared" si="222"/>
        <v>45717</v>
      </c>
      <c r="E769" s="92" t="str">
        <f>IFERROR(VLOOKUP(C769,Start!C$15:D$31,2,FALSE),"No")</f>
        <v>No</v>
      </c>
      <c r="F769" s="92">
        <f t="shared" si="223"/>
        <v>0</v>
      </c>
      <c r="G769" s="91"/>
      <c r="H769" s="97"/>
      <c r="I769" s="97"/>
      <c r="J769" s="98">
        <f t="shared" si="215"/>
        <v>0</v>
      </c>
      <c r="K769" s="97"/>
      <c r="L769" s="175" t="str">
        <f t="shared" si="216"/>
        <v/>
      </c>
      <c r="M769" s="98">
        <f t="shared" si="217"/>
        <v>0</v>
      </c>
      <c r="N769" s="97"/>
      <c r="O769" s="122"/>
      <c r="P769" s="97"/>
      <c r="Q769" s="122"/>
      <c r="R769" s="98">
        <f>SUMIFS('Shipments data'!L:L,'Shipments data'!F:F,'Supply planning data'!C769,'Shipments data'!A:A,'Supply planning data'!A769,'Shipments data'!Y:Y,'Supply planning data'!D769,'Shipments data'!O:O,"received", 'Shipments data'!N:N, "Public")</f>
        <v>0</v>
      </c>
      <c r="S769" s="98">
        <f>SUMIFS('Shipments data'!L:L,'Shipments data'!F:F,'Supply planning data'!C769,'Shipments data'!A:A,'Supply planning data'!A769,'Shipments data'!Y:Y,'Supply planning data'!D769,'Shipments data'!O:O,"ordered", 'Shipments data'!N:N, "Public")</f>
        <v>0</v>
      </c>
      <c r="T769" s="98">
        <f>IF(SUMIFS('Shipments data'!L:L,'Shipments data'!F:F,'Supply planning data'!C769,'Shipments data'!A:A,'Supply planning data'!A769,'Shipments data'!O:O,"received",'Shipments data'!Q:Q,"&lt;"&amp;'Supply planning data'!D784,'Shipments data'!AC:AC,"&lt;"&amp;'Supply planning data'!D784)-SUMIFS(M:M,D:D,"&lt;="&amp;D769,C:C,C769)+SUMIFS(N:N,D:D,"&lt;="&amp;D769,C:C,C769)+SUMIFS(P:P,D:D,"&lt;="&amp;D769,C:C,C769)&lt;0,0,SUMIFS('Shipments data'!L:L,'Shipments data'!F:F,'Supply planning data'!C769,'Shipments data'!A:A,'Supply planning data'!A769,'Shipments data'!O:O,"received",'Shipments data'!Q:Q,"&lt;"&amp;'Supply planning data'!D784,'Shipments data'!AC:AC,"&lt;"&amp;'Supply planning data'!D784)-SUMIFS(M:M,D:D,"&lt;="&amp;D769,C:C,C769)+SUMIFS(N:N,D:D,"&lt;="&amp;D769,C:C,C769)+SUMIFS(P:P,D:D,"&lt;="&amp;D769,C:C,C769))</f>
        <v>0</v>
      </c>
      <c r="U769" s="99">
        <f t="shared" si="224"/>
        <v>0</v>
      </c>
      <c r="V769" s="98">
        <f t="shared" si="232"/>
        <v>0</v>
      </c>
      <c r="W769" s="203" t="str">
        <f t="shared" si="230"/>
        <v/>
      </c>
      <c r="X769" s="98">
        <f t="shared" si="225"/>
        <v>0</v>
      </c>
      <c r="Y769" s="97"/>
      <c r="Z769" s="93"/>
      <c r="AA769" s="98">
        <f t="shared" si="218"/>
        <v>0</v>
      </c>
      <c r="AB769" s="233"/>
      <c r="AC769" s="98">
        <f>IF(SUMIFS('Shipments data'!L:L,'Shipments data'!F:F,'Supply planning data'!C769,'Shipments data'!A:A,'Supply planning data'!A769,'Shipments data'!O:O,"received",'Shipments data'!Q:Q,"&lt;"&amp;'Supply planning data'!D784,'Shipments data'!AC:AC,"&lt;"&amp;'Supply planning data'!D784)-SUMIFS(M:M,D:D,"&lt;="&amp;D769,C:C,C769)-SUMIFS(AA:AA,D:D,"&lt;="&amp;D769,C:C,C769)+SUMIFS(N:N,D:D,"&lt;="&amp;D769,C:C,C769)+SUMIFS(P:P,D:D,"&lt;="&amp;D769,C:C,C769)&lt;0,0,SUMIFS('Shipments data'!L:L,'Shipments data'!F:F,'Supply planning data'!C769,'Shipments data'!A:A,'Supply planning data'!A769,'Shipments data'!O:O,"received",'Shipments data'!Q:Q,"&lt;"&amp;'Supply planning data'!D784,'Shipments data'!AC:AC,"&lt;"&amp;'Supply planning data'!D784)-SUMIFS(M:M,D:D,"&lt;="&amp;D769,C:C,C769)-SUMIFS(AA:AA,D:D,"&lt;="&amp;D769,C:C,C769)+SUMIFS(N:N,D:D,"&lt;="&amp;D769,C:C,C769)+SUMIFS(P:P,D:D,"&lt;="&amp;D769,C:C,C769))</f>
        <v>0</v>
      </c>
      <c r="AD769" s="98">
        <f t="shared" si="226"/>
        <v>0</v>
      </c>
      <c r="AE769" s="98">
        <f t="shared" si="220"/>
        <v>0</v>
      </c>
      <c r="AF769" s="205" t="str">
        <f t="shared" si="229"/>
        <v/>
      </c>
      <c r="AG769" s="98">
        <f t="shared" si="227"/>
        <v>0</v>
      </c>
      <c r="AH769" s="97"/>
      <c r="AI769" s="311"/>
      <c r="AJ769" s="98">
        <f t="shared" si="219"/>
        <v>0</v>
      </c>
      <c r="AK769" s="233"/>
      <c r="AL769" s="98">
        <f>IF(SUMIFS('Shipments data'!L:L,'Shipments data'!F:F,'Supply planning data'!C769,'Shipments data'!A:A,'Supply planning data'!A769,'Shipments data'!O:O,"received",'Shipments data'!Q:Q,"&lt;"&amp;'Supply planning data'!D784,'Shipments data'!AC:AC,"&lt;"&amp;'Supply planning data'!D784)-SUMIFS(M:M,D:D,"&lt;="&amp;D769,C:C,C769)-SUMIFS(AJ:AJ,D:D,"&lt;="&amp;D769,C:C,C769)+SUMIFS(N:N,D:D,"&lt;="&amp;D769,C:C,C769)+SUMIFS(P:P,D:D,"&lt;="&amp;D769,C:C,C769)&lt;0,0,SUMIFS('Shipments data'!L:L,'Shipments data'!F:F,'Supply planning data'!C769,'Shipments data'!A:A,'Supply planning data'!A769,'Shipments data'!O:O,"received",'Shipments data'!Q:Q,"&lt;"&amp;'Supply planning data'!D784,'Shipments data'!AC:AC,"&lt;"&amp;'Supply planning data'!D784)-SUMIFS(M:M,D:D,"&lt;="&amp;D769,C:C,C769)-SUMIFS(AJ:AJ,D:D,"&lt;="&amp;D769,C:C,C769)+SUMIFS(N:N,D:D,"&lt;="&amp;D769,C:C,C769)+SUMIFS(P:P,D:D,"&lt;="&amp;D769,C:C,C769))</f>
        <v>0</v>
      </c>
      <c r="AM769" s="98">
        <f t="shared" si="228"/>
        <v>0</v>
      </c>
      <c r="AN769" s="98">
        <f t="shared" si="221"/>
        <v>0</v>
      </c>
      <c r="AO769" s="203" t="str">
        <f t="shared" si="231"/>
        <v/>
      </c>
    </row>
    <row r="770" spans="1:41" x14ac:dyDescent="0.25">
      <c r="A770" s="103" t="str">
        <f>Start!D$7</f>
        <v>Anyland</v>
      </c>
      <c r="B770" s="104" t="str">
        <f>VLOOKUP(A770,list!B:C,2,FALSE)</f>
        <v>ANY</v>
      </c>
      <c r="C770" s="104" t="str">
        <f>IF(Start!$C$17="","",Start!$C$17)</f>
        <v>AstraZeneca</v>
      </c>
      <c r="D770" s="298">
        <f t="shared" si="222"/>
        <v>45748</v>
      </c>
      <c r="E770" s="105" t="str">
        <f>IFERROR(VLOOKUP(C770,Start!C$15:D$31,2,FALSE),"No")</f>
        <v>Yes</v>
      </c>
      <c r="F770" s="105">
        <f t="shared" si="223"/>
        <v>0</v>
      </c>
      <c r="G770" s="106"/>
      <c r="H770" s="106"/>
      <c r="I770" s="106"/>
      <c r="J770" s="105">
        <f t="shared" si="215"/>
        <v>0</v>
      </c>
      <c r="K770" s="106"/>
      <c r="L770" s="177" t="str">
        <f t="shared" si="216"/>
        <v/>
      </c>
      <c r="M770" s="105">
        <f t="shared" si="217"/>
        <v>0</v>
      </c>
      <c r="N770" s="106"/>
      <c r="O770" s="123"/>
      <c r="P770" s="106"/>
      <c r="Q770" s="123"/>
      <c r="R770" s="105">
        <f>SUMIFS('Shipments data'!L:L,'Shipments data'!F:F,'Supply planning data'!C770,'Shipments data'!A:A,'Supply planning data'!A770,'Shipments data'!Y:Y,'Supply planning data'!D770,'Shipments data'!O:O,"received", 'Shipments data'!N:N, "Public")</f>
        <v>0</v>
      </c>
      <c r="S770" s="105">
        <f>SUMIFS('Shipments data'!L:L,'Shipments data'!F:F,'Supply planning data'!C770,'Shipments data'!A:A,'Supply planning data'!A770,'Shipments data'!Y:Y,'Supply planning data'!D770,'Shipments data'!O:O,"ordered", 'Shipments data'!N:N, "Public")</f>
        <v>0</v>
      </c>
      <c r="T770" s="105">
        <f>IF(SUMIFS('Shipments data'!L:L,'Shipments data'!F:F,'Supply planning data'!C770,'Shipments data'!A:A,'Supply planning data'!A770,'Shipments data'!O:O,"received",'Shipments data'!Q:Q,"&lt;"&amp;'Supply planning data'!D785,'Shipments data'!AC:AC,"&lt;"&amp;'Supply planning data'!D785)-SUMIFS(M:M,D:D,"&lt;="&amp;D770,C:C,C770)+SUMIFS(N:N,D:D,"&lt;="&amp;D770,C:C,C770)+SUMIFS(P:P,D:D,"&lt;="&amp;D770,C:C,C770)&lt;0,0,SUMIFS('Shipments data'!L:L,'Shipments data'!F:F,'Supply planning data'!C770,'Shipments data'!A:A,'Supply planning data'!A770,'Shipments data'!O:O,"received",'Shipments data'!Q:Q,"&lt;"&amp;'Supply planning data'!D785,'Shipments data'!AC:AC,"&lt;"&amp;'Supply planning data'!D785)-SUMIFS(M:M,D:D,"&lt;="&amp;D770,C:C,C770)+SUMIFS(N:N,D:D,"&lt;="&amp;D770,C:C,C770)+SUMIFS(P:P,D:D,"&lt;="&amp;D770,C:C,C770))</f>
        <v>0</v>
      </c>
      <c r="U770" s="108">
        <f t="shared" si="224"/>
        <v>0</v>
      </c>
      <c r="V770" s="105">
        <f t="shared" si="232"/>
        <v>0</v>
      </c>
      <c r="W770" s="206" t="str">
        <f t="shared" si="230"/>
        <v/>
      </c>
      <c r="X770" s="105">
        <f t="shared" si="225"/>
        <v>154701</v>
      </c>
      <c r="Y770" s="106"/>
      <c r="Z770" s="107"/>
      <c r="AA770" s="105">
        <f t="shared" si="218"/>
        <v>0</v>
      </c>
      <c r="AB770" s="234"/>
      <c r="AC770" s="105">
        <f>IF(SUMIFS('Shipments data'!L:L,'Shipments data'!F:F,'Supply planning data'!C770,'Shipments data'!A:A,'Supply planning data'!A770,'Shipments data'!O:O,"received",'Shipments data'!Q:Q,"&lt;"&amp;'Supply planning data'!D785,'Shipments data'!AC:AC,"&lt;"&amp;'Supply planning data'!D785)-SUMIFS(M:M,D:D,"&lt;="&amp;D770,C:C,C770)-SUMIFS(AA:AA,D:D,"&lt;="&amp;D770,C:C,C770)+SUMIFS(N:N,D:D,"&lt;="&amp;D770,C:C,C770)+SUMIFS(P:P,D:D,"&lt;="&amp;D770,C:C,C770)&lt;0,0,SUMIFS('Shipments data'!L:L,'Shipments data'!F:F,'Supply planning data'!C770,'Shipments data'!A:A,'Supply planning data'!A770,'Shipments data'!O:O,"received",'Shipments data'!Q:Q,"&lt;"&amp;'Supply planning data'!D785,'Shipments data'!AC:AC,"&lt;"&amp;'Supply planning data'!D785)-SUMIFS(M:M,D:D,"&lt;="&amp;D770,C:C,C770)-SUMIFS(AA:AA,D:D,"&lt;="&amp;D770,C:C,C770)+SUMIFS(N:N,D:D,"&lt;="&amp;D770,C:C,C770)+SUMIFS(P:P,D:D,"&lt;="&amp;D770,C:C,C770))</f>
        <v>0</v>
      </c>
      <c r="AD770" s="105">
        <f t="shared" si="226"/>
        <v>0</v>
      </c>
      <c r="AE770" s="105">
        <f t="shared" si="220"/>
        <v>154701</v>
      </c>
      <c r="AF770" s="206" t="str">
        <f t="shared" si="229"/>
        <v/>
      </c>
      <c r="AG770" s="105">
        <f t="shared" si="227"/>
        <v>0</v>
      </c>
      <c r="AH770" s="106"/>
      <c r="AI770" s="312"/>
      <c r="AJ770" s="105">
        <f t="shared" si="219"/>
        <v>0</v>
      </c>
      <c r="AK770" s="234"/>
      <c r="AL770" s="105">
        <f>IF(SUMIFS('Shipments data'!L:L,'Shipments data'!F:F,'Supply planning data'!C770,'Shipments data'!A:A,'Supply planning data'!A770,'Shipments data'!O:O,"received",'Shipments data'!Q:Q,"&lt;"&amp;'Supply planning data'!D785,'Shipments data'!AC:AC,"&lt;"&amp;'Supply planning data'!D785)-SUMIFS(M:M,D:D,"&lt;="&amp;D770,C:C,C770)-SUMIFS(AJ:AJ,D:D,"&lt;="&amp;D770,C:C,C770)+SUMIFS(N:N,D:D,"&lt;="&amp;D770,C:C,C770)+SUMIFS(P:P,D:D,"&lt;="&amp;D770,C:C,C770)&lt;0,0,SUMIFS('Shipments data'!L:L,'Shipments data'!F:F,'Supply planning data'!C770,'Shipments data'!A:A,'Supply planning data'!A770,'Shipments data'!O:O,"received",'Shipments data'!Q:Q,"&lt;"&amp;'Supply planning data'!D785,'Shipments data'!AC:AC,"&lt;"&amp;'Supply planning data'!D785)-SUMIFS(M:M,D:D,"&lt;="&amp;D770,C:C,C770)-SUMIFS(AJ:AJ,D:D,"&lt;="&amp;D770,C:C,C770)+SUMIFS(N:N,D:D,"&lt;="&amp;D770,C:C,C770)+SUMIFS(P:P,D:D,"&lt;="&amp;D770,C:C,C770))</f>
        <v>0</v>
      </c>
      <c r="AM770" s="105">
        <f t="shared" si="228"/>
        <v>0</v>
      </c>
      <c r="AN770" s="105">
        <f t="shared" si="221"/>
        <v>0</v>
      </c>
      <c r="AO770" s="206" t="str">
        <f t="shared" si="231"/>
        <v/>
      </c>
    </row>
    <row r="771" spans="1:41" x14ac:dyDescent="0.25">
      <c r="A771" s="103" t="str">
        <f>Start!D$7</f>
        <v>Anyland</v>
      </c>
      <c r="B771" s="109" t="str">
        <f>VLOOKUP(A771,list!B:C,2,FALSE)</f>
        <v>ANY</v>
      </c>
      <c r="C771" s="109" t="str">
        <f>IF(Start!$C$18="","",Start!$C$18)</f>
        <v>Jansen</v>
      </c>
      <c r="D771" s="298">
        <f t="shared" si="222"/>
        <v>45748</v>
      </c>
      <c r="E771" s="105" t="str">
        <f>IFERROR(VLOOKUP(C771,Start!C$15:D$31,2,FALSE),"No")</f>
        <v>Yes</v>
      </c>
      <c r="F771" s="105">
        <f t="shared" si="223"/>
        <v>1871200</v>
      </c>
      <c r="G771" s="106"/>
      <c r="H771" s="106"/>
      <c r="I771" s="106"/>
      <c r="J771" s="105">
        <f t="shared" si="215"/>
        <v>0</v>
      </c>
      <c r="K771" s="106"/>
      <c r="L771" s="177" t="str">
        <f t="shared" si="216"/>
        <v/>
      </c>
      <c r="M771" s="105">
        <f t="shared" si="217"/>
        <v>0</v>
      </c>
      <c r="N771" s="110"/>
      <c r="O771" s="124"/>
      <c r="P771" s="110"/>
      <c r="Q771" s="124"/>
      <c r="R771" s="111">
        <f>SUMIFS('Shipments data'!L:L,'Shipments data'!F:F,'Supply planning data'!C771,'Shipments data'!A:A,'Supply planning data'!A771,'Shipments data'!Y:Y,'Supply planning data'!D771,'Shipments data'!O:O,"received", 'Shipments data'!N:N, "Public")</f>
        <v>0</v>
      </c>
      <c r="S771" s="111">
        <f>SUMIFS('Shipments data'!L:L,'Shipments data'!F:F,'Supply planning data'!C771,'Shipments data'!A:A,'Supply planning data'!A771,'Shipments data'!Y:Y,'Supply planning data'!D771,'Shipments data'!O:O,"ordered", 'Shipments data'!N:N, "Public")</f>
        <v>0</v>
      </c>
      <c r="T771" s="111">
        <f>IF(SUMIFS('Shipments data'!L:L,'Shipments data'!F:F,'Supply planning data'!C771,'Shipments data'!A:A,'Supply planning data'!A771,'Shipments data'!O:O,"received",'Shipments data'!Q:Q,"&lt;"&amp;'Supply planning data'!D786,'Shipments data'!AC:AC,"&lt;"&amp;'Supply planning data'!D786)-SUMIFS(M:M,D:D,"&lt;="&amp;D771,C:C,C771)+SUMIFS(N:N,D:D,"&lt;="&amp;D771,C:C,C771)+SUMIFS(P:P,D:D,"&lt;="&amp;D771,C:C,C771)&lt;0,0,SUMIFS('Shipments data'!L:L,'Shipments data'!F:F,'Supply planning data'!C771,'Shipments data'!A:A,'Supply planning data'!A771,'Shipments data'!O:O,"received",'Shipments data'!Q:Q,"&lt;"&amp;'Supply planning data'!D786,'Shipments data'!AC:AC,"&lt;"&amp;'Supply planning data'!D786)-SUMIFS(M:M,D:D,"&lt;="&amp;D771,C:C,C771)+SUMIFS(N:N,D:D,"&lt;="&amp;D771,C:C,C771)+SUMIFS(P:P,D:D,"&lt;="&amp;D771,C:C,C771))</f>
        <v>387547</v>
      </c>
      <c r="U771" s="112">
        <f t="shared" si="224"/>
        <v>0</v>
      </c>
      <c r="V771" s="111">
        <f t="shared" si="232"/>
        <v>1871200</v>
      </c>
      <c r="W771" s="204" t="str">
        <f t="shared" si="230"/>
        <v/>
      </c>
      <c r="X771" s="111">
        <f t="shared" si="225"/>
        <v>1311200</v>
      </c>
      <c r="Y771" s="110"/>
      <c r="Z771" s="107"/>
      <c r="AA771" s="111">
        <f t="shared" si="218"/>
        <v>0</v>
      </c>
      <c r="AB771" s="235"/>
      <c r="AC771" s="111">
        <f>IF(SUMIFS('Shipments data'!L:L,'Shipments data'!F:F,'Supply planning data'!C771,'Shipments data'!A:A,'Supply planning data'!A771,'Shipments data'!O:O,"received",'Shipments data'!Q:Q,"&lt;"&amp;'Supply planning data'!D786,'Shipments data'!AC:AC,"&lt;"&amp;'Supply planning data'!D786)-SUMIFS(M:M,D:D,"&lt;="&amp;D771,C:C,C771)-SUMIFS(AA:AA,D:D,"&lt;="&amp;D771,C:C,C771)+SUMIFS(N:N,D:D,"&lt;="&amp;D771,C:C,C771)+SUMIFS(P:P,D:D,"&lt;="&amp;D771,C:C,C771)&lt;0,0,SUMIFS('Shipments data'!L:L,'Shipments data'!F:F,'Supply planning data'!C771,'Shipments data'!A:A,'Supply planning data'!A771,'Shipments data'!O:O,"received",'Shipments data'!Q:Q,"&lt;"&amp;'Supply planning data'!D786,'Shipments data'!AC:AC,"&lt;"&amp;'Supply planning data'!D786)-SUMIFS(M:M,D:D,"&lt;="&amp;D771,C:C,C771)-SUMIFS(AA:AA,D:D,"&lt;="&amp;D771,C:C,C771)+SUMIFS(N:N,D:D,"&lt;="&amp;D771,C:C,C771)+SUMIFS(P:P,D:D,"&lt;="&amp;D771,C:C,C771))</f>
        <v>0</v>
      </c>
      <c r="AD771" s="111">
        <f t="shared" si="226"/>
        <v>0</v>
      </c>
      <c r="AE771" s="111">
        <f t="shared" si="220"/>
        <v>1311200</v>
      </c>
      <c r="AF771" s="204" t="str">
        <f t="shared" si="229"/>
        <v/>
      </c>
      <c r="AG771" s="111">
        <f t="shared" si="227"/>
        <v>1871200</v>
      </c>
      <c r="AH771" s="110"/>
      <c r="AI771" s="313"/>
      <c r="AJ771" s="111">
        <f t="shared" si="219"/>
        <v>0</v>
      </c>
      <c r="AK771" s="235"/>
      <c r="AL771" s="111">
        <f>IF(SUMIFS('Shipments data'!L:L,'Shipments data'!F:F,'Supply planning data'!C771,'Shipments data'!A:A,'Supply planning data'!A771,'Shipments data'!O:O,"received",'Shipments data'!Q:Q,"&lt;"&amp;'Supply planning data'!D786,'Shipments data'!AC:AC,"&lt;"&amp;'Supply planning data'!D786)-SUMIFS(M:M,D:D,"&lt;="&amp;D771,C:C,C771)-SUMIFS(AJ:AJ,D:D,"&lt;="&amp;D771,C:C,C771)+SUMIFS(N:N,D:D,"&lt;="&amp;D771,C:C,C771)+SUMIFS(P:P,D:D,"&lt;="&amp;D771,C:C,C771)&lt;0,0,SUMIFS('Shipments data'!L:L,'Shipments data'!F:F,'Supply planning data'!C771,'Shipments data'!A:A,'Supply planning data'!A771,'Shipments data'!O:O,"received",'Shipments data'!Q:Q,"&lt;"&amp;'Supply planning data'!D786,'Shipments data'!AC:AC,"&lt;"&amp;'Supply planning data'!D786)-SUMIFS(M:M,D:D,"&lt;="&amp;D771,C:C,C771)-SUMIFS(AJ:AJ,D:D,"&lt;="&amp;D771,C:C,C771)+SUMIFS(N:N,D:D,"&lt;="&amp;D771,C:C,C771)+SUMIFS(P:P,D:D,"&lt;="&amp;D771,C:C,C771))</f>
        <v>387547</v>
      </c>
      <c r="AM771" s="111">
        <f t="shared" si="228"/>
        <v>0</v>
      </c>
      <c r="AN771" s="111">
        <f t="shared" si="221"/>
        <v>1871200</v>
      </c>
      <c r="AO771" s="204" t="str">
        <f t="shared" si="231"/>
        <v/>
      </c>
    </row>
    <row r="772" spans="1:41" x14ac:dyDescent="0.25">
      <c r="A772" s="103" t="str">
        <f>Start!D$7</f>
        <v>Anyland</v>
      </c>
      <c r="B772" s="109" t="str">
        <f>VLOOKUP(A772,list!B:C,2,FALSE)</f>
        <v>ANY</v>
      </c>
      <c r="C772" s="104" t="str">
        <f>IF(Start!$C$19="","",Start!$C$19)</f>
        <v>Moderna</v>
      </c>
      <c r="D772" s="298">
        <f t="shared" si="222"/>
        <v>45748</v>
      </c>
      <c r="E772" s="105" t="str">
        <f>IFERROR(VLOOKUP(C772,Start!C$15:D$31,2,FALSE),"No")</f>
        <v>No</v>
      </c>
      <c r="F772" s="105">
        <f t="shared" si="223"/>
        <v>0</v>
      </c>
      <c r="G772" s="106"/>
      <c r="H772" s="106"/>
      <c r="I772" s="106"/>
      <c r="J772" s="105">
        <f t="shared" si="215"/>
        <v>0</v>
      </c>
      <c r="K772" s="106"/>
      <c r="L772" s="177" t="str">
        <f t="shared" si="216"/>
        <v/>
      </c>
      <c r="M772" s="105">
        <f t="shared" si="217"/>
        <v>0</v>
      </c>
      <c r="N772" s="110"/>
      <c r="O772" s="124"/>
      <c r="P772" s="110"/>
      <c r="Q772" s="124"/>
      <c r="R772" s="111">
        <f>SUMIFS('Shipments data'!L:L,'Shipments data'!F:F,'Supply planning data'!C772,'Shipments data'!A:A,'Supply planning data'!A772,'Shipments data'!Y:Y,'Supply planning data'!D772,'Shipments data'!O:O,"received", 'Shipments data'!N:N, "Public")</f>
        <v>0</v>
      </c>
      <c r="S772" s="111">
        <f>SUMIFS('Shipments data'!L:L,'Shipments data'!F:F,'Supply planning data'!C772,'Shipments data'!A:A,'Supply planning data'!A772,'Shipments data'!Y:Y,'Supply planning data'!D772,'Shipments data'!O:O,"ordered", 'Shipments data'!N:N, "Public")</f>
        <v>0</v>
      </c>
      <c r="T772" s="111">
        <f>IF(SUMIFS('Shipments data'!L:L,'Shipments data'!F:F,'Supply planning data'!C772,'Shipments data'!A:A,'Supply planning data'!A772,'Shipments data'!O:O,"received",'Shipments data'!Q:Q,"&lt;"&amp;'Supply planning data'!D787,'Shipments data'!AC:AC,"&lt;"&amp;'Supply planning data'!D787)-SUMIFS(M:M,D:D,"&lt;="&amp;D772,C:C,C772)+SUMIFS(N:N,D:D,"&lt;="&amp;D772,C:C,C772)+SUMIFS(P:P,D:D,"&lt;="&amp;D772,C:C,C772)&lt;0,0,SUMIFS('Shipments data'!L:L,'Shipments data'!F:F,'Supply planning data'!C772,'Shipments data'!A:A,'Supply planning data'!A772,'Shipments data'!O:O,"received",'Shipments data'!Q:Q,"&lt;"&amp;'Supply planning data'!D787,'Shipments data'!AC:AC,"&lt;"&amp;'Supply planning data'!D787)-SUMIFS(M:M,D:D,"&lt;="&amp;D772,C:C,C772)+SUMIFS(N:N,D:D,"&lt;="&amp;D772,C:C,C772)+SUMIFS(P:P,D:D,"&lt;="&amp;D772,C:C,C772))</f>
        <v>0</v>
      </c>
      <c r="U772" s="112">
        <f t="shared" si="224"/>
        <v>0</v>
      </c>
      <c r="V772" s="111">
        <f t="shared" si="232"/>
        <v>0</v>
      </c>
      <c r="W772" s="204" t="str">
        <f t="shared" si="230"/>
        <v/>
      </c>
      <c r="X772" s="111">
        <f t="shared" si="225"/>
        <v>0</v>
      </c>
      <c r="Y772" s="110"/>
      <c r="Z772" s="107"/>
      <c r="AA772" s="111">
        <f t="shared" si="218"/>
        <v>0</v>
      </c>
      <c r="AB772" s="235"/>
      <c r="AC772" s="111">
        <f>IF(SUMIFS('Shipments data'!L:L,'Shipments data'!F:F,'Supply planning data'!C772,'Shipments data'!A:A,'Supply planning data'!A772,'Shipments data'!O:O,"received",'Shipments data'!Q:Q,"&lt;"&amp;'Supply planning data'!D787,'Shipments data'!AC:AC,"&lt;"&amp;'Supply planning data'!D787)-SUMIFS(M:M,D:D,"&lt;="&amp;D772,C:C,C772)-SUMIFS(AA:AA,D:D,"&lt;="&amp;D772,C:C,C772)+SUMIFS(N:N,D:D,"&lt;="&amp;D772,C:C,C772)+SUMIFS(P:P,D:D,"&lt;="&amp;D772,C:C,C772)&lt;0,0,SUMIFS('Shipments data'!L:L,'Shipments data'!F:F,'Supply planning data'!C772,'Shipments data'!A:A,'Supply planning data'!A772,'Shipments data'!O:O,"received",'Shipments data'!Q:Q,"&lt;"&amp;'Supply planning data'!D787,'Shipments data'!AC:AC,"&lt;"&amp;'Supply planning data'!D787)-SUMIFS(M:M,D:D,"&lt;="&amp;D772,C:C,C772)-SUMIFS(AA:AA,D:D,"&lt;="&amp;D772,C:C,C772)+SUMIFS(N:N,D:D,"&lt;="&amp;D772,C:C,C772)+SUMIFS(P:P,D:D,"&lt;="&amp;D772,C:C,C772))</f>
        <v>0</v>
      </c>
      <c r="AD772" s="111">
        <f t="shared" si="226"/>
        <v>0</v>
      </c>
      <c r="AE772" s="111">
        <f t="shared" si="220"/>
        <v>0</v>
      </c>
      <c r="AF772" s="204" t="str">
        <f t="shared" si="229"/>
        <v/>
      </c>
      <c r="AG772" s="111">
        <f t="shared" si="227"/>
        <v>0</v>
      </c>
      <c r="AH772" s="110"/>
      <c r="AI772" s="313"/>
      <c r="AJ772" s="111">
        <f t="shared" si="219"/>
        <v>0</v>
      </c>
      <c r="AK772" s="235"/>
      <c r="AL772" s="111">
        <f>IF(SUMIFS('Shipments data'!L:L,'Shipments data'!F:F,'Supply planning data'!C772,'Shipments data'!A:A,'Supply planning data'!A772,'Shipments data'!O:O,"received",'Shipments data'!Q:Q,"&lt;"&amp;'Supply planning data'!D787,'Shipments data'!AC:AC,"&lt;"&amp;'Supply planning data'!D787)-SUMIFS(M:M,D:D,"&lt;="&amp;D772,C:C,C772)-SUMIFS(AJ:AJ,D:D,"&lt;="&amp;D772,C:C,C772)+SUMIFS(N:N,D:D,"&lt;="&amp;D772,C:C,C772)+SUMIFS(P:P,D:D,"&lt;="&amp;D772,C:C,C772)&lt;0,0,SUMIFS('Shipments data'!L:L,'Shipments data'!F:F,'Supply planning data'!C772,'Shipments data'!A:A,'Supply planning data'!A772,'Shipments data'!O:O,"received",'Shipments data'!Q:Q,"&lt;"&amp;'Supply planning data'!D787,'Shipments data'!AC:AC,"&lt;"&amp;'Supply planning data'!D787)-SUMIFS(M:M,D:D,"&lt;="&amp;D772,C:C,C772)-SUMIFS(AJ:AJ,D:D,"&lt;="&amp;D772,C:C,C772)+SUMIFS(N:N,D:D,"&lt;="&amp;D772,C:C,C772)+SUMIFS(P:P,D:D,"&lt;="&amp;D772,C:C,C772))</f>
        <v>0</v>
      </c>
      <c r="AM772" s="111">
        <f t="shared" si="228"/>
        <v>0</v>
      </c>
      <c r="AN772" s="111">
        <f t="shared" si="221"/>
        <v>0</v>
      </c>
      <c r="AO772" s="204" t="str">
        <f t="shared" si="231"/>
        <v/>
      </c>
    </row>
    <row r="773" spans="1:41" x14ac:dyDescent="0.25">
      <c r="A773" s="103" t="str">
        <f>Start!D$7</f>
        <v>Anyland</v>
      </c>
      <c r="B773" s="109" t="str">
        <f>VLOOKUP(A773,list!B:C,2,FALSE)</f>
        <v>ANY</v>
      </c>
      <c r="C773" s="109" t="str">
        <f>IF(Start!$C$20="","",Start!$C$20)</f>
        <v>Pfizer</v>
      </c>
      <c r="D773" s="298">
        <f t="shared" si="222"/>
        <v>45748</v>
      </c>
      <c r="E773" s="105" t="str">
        <f>IFERROR(VLOOKUP(C773,Start!C$15:D$31,2,FALSE),"No")</f>
        <v>Yes</v>
      </c>
      <c r="F773" s="105">
        <f t="shared" si="223"/>
        <v>3000000</v>
      </c>
      <c r="G773" s="106"/>
      <c r="H773" s="106"/>
      <c r="I773" s="106"/>
      <c r="J773" s="105">
        <f t="shared" ref="J773:J836" si="233">SUM(G773:I773)</f>
        <v>0</v>
      </c>
      <c r="K773" s="106"/>
      <c r="L773" s="177" t="str">
        <f t="shared" ref="L773:L836" si="234">IFERROR(K773/J773, "")</f>
        <v/>
      </c>
      <c r="M773" s="105">
        <f t="shared" ref="M773:M836" si="235">SUM(J773,K773)</f>
        <v>0</v>
      </c>
      <c r="N773" s="110"/>
      <c r="O773" s="124"/>
      <c r="P773" s="110"/>
      <c r="Q773" s="124"/>
      <c r="R773" s="111">
        <f>SUMIFS('Shipments data'!L:L,'Shipments data'!F:F,'Supply planning data'!C773,'Shipments data'!A:A,'Supply planning data'!A773,'Shipments data'!Y:Y,'Supply planning data'!D773,'Shipments data'!O:O,"received", 'Shipments data'!N:N, "Public")</f>
        <v>0</v>
      </c>
      <c r="S773" s="111">
        <f>SUMIFS('Shipments data'!L:L,'Shipments data'!F:F,'Supply planning data'!C773,'Shipments data'!A:A,'Supply planning data'!A773,'Shipments data'!Y:Y,'Supply planning data'!D773,'Shipments data'!O:O,"ordered", 'Shipments data'!N:N, "Public")</f>
        <v>0</v>
      </c>
      <c r="T773" s="111">
        <f>IF(SUMIFS('Shipments data'!L:L,'Shipments data'!F:F,'Supply planning data'!C773,'Shipments data'!A:A,'Supply planning data'!A773,'Shipments data'!O:O,"received",'Shipments data'!Q:Q,"&lt;"&amp;'Supply planning data'!D788,'Shipments data'!AC:AC,"&lt;"&amp;'Supply planning data'!D788)-SUMIFS(M:M,D:D,"&lt;="&amp;D773,C:C,C773)+SUMIFS(N:N,D:D,"&lt;="&amp;D773,C:C,C773)+SUMIFS(P:P,D:D,"&lt;="&amp;D773,C:C,C773)&lt;0,0,SUMIFS('Shipments data'!L:L,'Shipments data'!F:F,'Supply planning data'!C773,'Shipments data'!A:A,'Supply planning data'!A773,'Shipments data'!O:O,"received",'Shipments data'!Q:Q,"&lt;"&amp;'Supply planning data'!D788,'Shipments data'!AC:AC,"&lt;"&amp;'Supply planning data'!D788)-SUMIFS(M:M,D:D,"&lt;="&amp;D773,C:C,C773)+SUMIFS(N:N,D:D,"&lt;="&amp;D773,C:C,C773)+SUMIFS(P:P,D:D,"&lt;="&amp;D773,C:C,C773))</f>
        <v>110538</v>
      </c>
      <c r="U773" s="112">
        <f t="shared" si="224"/>
        <v>0</v>
      </c>
      <c r="V773" s="111">
        <f t="shared" si="232"/>
        <v>3000000</v>
      </c>
      <c r="W773" s="204" t="str">
        <f t="shared" si="230"/>
        <v/>
      </c>
      <c r="X773" s="111">
        <f t="shared" si="225"/>
        <v>2440000</v>
      </c>
      <c r="Y773" s="110"/>
      <c r="Z773" s="107"/>
      <c r="AA773" s="111">
        <f t="shared" ref="AA773:AA836" si="236">IFERROR(Z773*Y773,0)+Y773</f>
        <v>0</v>
      </c>
      <c r="AB773" s="235"/>
      <c r="AC773" s="111">
        <f>IF(SUMIFS('Shipments data'!L:L,'Shipments data'!F:F,'Supply planning data'!C773,'Shipments data'!A:A,'Supply planning data'!A773,'Shipments data'!O:O,"received",'Shipments data'!Q:Q,"&lt;"&amp;'Supply planning data'!D788,'Shipments data'!AC:AC,"&lt;"&amp;'Supply planning data'!D788)-SUMIFS(M:M,D:D,"&lt;="&amp;D773,C:C,C773)-SUMIFS(AA:AA,D:D,"&lt;="&amp;D773,C:C,C773)+SUMIFS(N:N,D:D,"&lt;="&amp;D773,C:C,C773)+SUMIFS(P:P,D:D,"&lt;="&amp;D773,C:C,C773)&lt;0,0,SUMIFS('Shipments data'!L:L,'Shipments data'!F:F,'Supply planning data'!C773,'Shipments data'!A:A,'Supply planning data'!A773,'Shipments data'!O:O,"received",'Shipments data'!Q:Q,"&lt;"&amp;'Supply planning data'!D788,'Shipments data'!AC:AC,"&lt;"&amp;'Supply planning data'!D788)-SUMIFS(M:M,D:D,"&lt;="&amp;D773,C:C,C773)-SUMIFS(AA:AA,D:D,"&lt;="&amp;D773,C:C,C773)+SUMIFS(N:N,D:D,"&lt;="&amp;D773,C:C,C773)+SUMIFS(P:P,D:D,"&lt;="&amp;D773,C:C,C773))</f>
        <v>0</v>
      </c>
      <c r="AD773" s="111">
        <f t="shared" si="226"/>
        <v>0</v>
      </c>
      <c r="AE773" s="111">
        <f t="shared" si="220"/>
        <v>2440000</v>
      </c>
      <c r="AF773" s="204" t="str">
        <f t="shared" si="229"/>
        <v/>
      </c>
      <c r="AG773" s="111">
        <f t="shared" si="227"/>
        <v>3000000</v>
      </c>
      <c r="AH773" s="110"/>
      <c r="AI773" s="313"/>
      <c r="AJ773" s="111">
        <f t="shared" ref="AJ773:AJ836" si="237">IFERROR(AI773*AH773,0)+AH773</f>
        <v>0</v>
      </c>
      <c r="AK773" s="235"/>
      <c r="AL773" s="111">
        <f>IF(SUMIFS('Shipments data'!L:L,'Shipments data'!F:F,'Supply planning data'!C773,'Shipments data'!A:A,'Supply planning data'!A773,'Shipments data'!O:O,"received",'Shipments data'!Q:Q,"&lt;"&amp;'Supply planning data'!D788,'Shipments data'!AC:AC,"&lt;"&amp;'Supply planning data'!D788)-SUMIFS(M:M,D:D,"&lt;="&amp;D773,C:C,C773)-SUMIFS(AJ:AJ,D:D,"&lt;="&amp;D773,C:C,C773)+SUMIFS(N:N,D:D,"&lt;="&amp;D773,C:C,C773)+SUMIFS(P:P,D:D,"&lt;="&amp;D773,C:C,C773)&lt;0,0,SUMIFS('Shipments data'!L:L,'Shipments data'!F:F,'Supply planning data'!C773,'Shipments data'!A:A,'Supply planning data'!A773,'Shipments data'!O:O,"received",'Shipments data'!Q:Q,"&lt;"&amp;'Supply planning data'!D788,'Shipments data'!AC:AC,"&lt;"&amp;'Supply planning data'!D788)-SUMIFS(M:M,D:D,"&lt;="&amp;D773,C:C,C773)-SUMIFS(AJ:AJ,D:D,"&lt;="&amp;D773,C:C,C773)+SUMIFS(N:N,D:D,"&lt;="&amp;D773,C:C,C773)+SUMIFS(P:P,D:D,"&lt;="&amp;D773,C:C,C773))</f>
        <v>110538</v>
      </c>
      <c r="AM773" s="111">
        <f t="shared" si="228"/>
        <v>0</v>
      </c>
      <c r="AN773" s="111">
        <f t="shared" si="221"/>
        <v>3000000</v>
      </c>
      <c r="AO773" s="204" t="str">
        <f t="shared" si="231"/>
        <v/>
      </c>
    </row>
    <row r="774" spans="1:41" x14ac:dyDescent="0.25">
      <c r="A774" s="103" t="str">
        <f>Start!D$7</f>
        <v>Anyland</v>
      </c>
      <c r="B774" s="109" t="str">
        <f>VLOOKUP(A774,list!B:C,2,FALSE)</f>
        <v>ANY</v>
      </c>
      <c r="C774" s="104" t="str">
        <f>IF(Start!$C$21="","",Start!$C$21)</f>
        <v>Sinovac</v>
      </c>
      <c r="D774" s="298">
        <f t="shared" si="222"/>
        <v>45748</v>
      </c>
      <c r="E774" s="105" t="str">
        <f>IFERROR(VLOOKUP(C774,Start!C$15:D$31,2,FALSE),"No")</f>
        <v>No</v>
      </c>
      <c r="F774" s="105">
        <f t="shared" si="223"/>
        <v>0</v>
      </c>
      <c r="G774" s="106"/>
      <c r="H774" s="106"/>
      <c r="I774" s="106"/>
      <c r="J774" s="105">
        <f t="shared" si="233"/>
        <v>0</v>
      </c>
      <c r="K774" s="106"/>
      <c r="L774" s="177" t="str">
        <f t="shared" si="234"/>
        <v/>
      </c>
      <c r="M774" s="105">
        <f t="shared" si="235"/>
        <v>0</v>
      </c>
      <c r="N774" s="110"/>
      <c r="O774" s="124"/>
      <c r="P774" s="110"/>
      <c r="Q774" s="124"/>
      <c r="R774" s="111">
        <f>SUMIFS('Shipments data'!L:L,'Shipments data'!F:F,'Supply planning data'!C774,'Shipments data'!A:A,'Supply planning data'!A774,'Shipments data'!Y:Y,'Supply planning data'!D774,'Shipments data'!O:O,"received", 'Shipments data'!N:N, "Public")</f>
        <v>0</v>
      </c>
      <c r="S774" s="111">
        <f>SUMIFS('Shipments data'!L:L,'Shipments data'!F:F,'Supply planning data'!C774,'Shipments data'!A:A,'Supply planning data'!A774,'Shipments data'!Y:Y,'Supply planning data'!D774,'Shipments data'!O:O,"ordered", 'Shipments data'!N:N, "Public")</f>
        <v>0</v>
      </c>
      <c r="T774" s="111">
        <f>IF(SUMIFS('Shipments data'!L:L,'Shipments data'!F:F,'Supply planning data'!C774,'Shipments data'!A:A,'Supply planning data'!A774,'Shipments data'!O:O,"received",'Shipments data'!Q:Q,"&lt;"&amp;'Supply planning data'!D789,'Shipments data'!AC:AC,"&lt;"&amp;'Supply planning data'!D789)-SUMIFS(M:M,D:D,"&lt;="&amp;D774,C:C,C774)+SUMIFS(N:N,D:D,"&lt;="&amp;D774,C:C,C774)+SUMIFS(P:P,D:D,"&lt;="&amp;D774,C:C,C774)&lt;0,0,SUMIFS('Shipments data'!L:L,'Shipments data'!F:F,'Supply planning data'!C774,'Shipments data'!A:A,'Supply planning data'!A774,'Shipments data'!O:O,"received",'Shipments data'!Q:Q,"&lt;"&amp;'Supply planning data'!D789,'Shipments data'!AC:AC,"&lt;"&amp;'Supply planning data'!D789)-SUMIFS(M:M,D:D,"&lt;="&amp;D774,C:C,C774)+SUMIFS(N:N,D:D,"&lt;="&amp;D774,C:C,C774)+SUMIFS(P:P,D:D,"&lt;="&amp;D774,C:C,C774))</f>
        <v>0</v>
      </c>
      <c r="U774" s="112">
        <f t="shared" si="224"/>
        <v>0</v>
      </c>
      <c r="V774" s="111">
        <f t="shared" si="232"/>
        <v>0</v>
      </c>
      <c r="W774" s="204" t="str">
        <f t="shared" si="230"/>
        <v/>
      </c>
      <c r="X774" s="111">
        <f t="shared" si="225"/>
        <v>0</v>
      </c>
      <c r="Y774" s="110"/>
      <c r="Z774" s="107"/>
      <c r="AA774" s="111">
        <f t="shared" si="236"/>
        <v>0</v>
      </c>
      <c r="AB774" s="235"/>
      <c r="AC774" s="111">
        <f>IF(SUMIFS('Shipments data'!L:L,'Shipments data'!F:F,'Supply planning data'!C774,'Shipments data'!A:A,'Supply planning data'!A774,'Shipments data'!O:O,"received",'Shipments data'!Q:Q,"&lt;"&amp;'Supply planning data'!D789,'Shipments data'!AC:AC,"&lt;"&amp;'Supply planning data'!D789)-SUMIFS(M:M,D:D,"&lt;="&amp;D774,C:C,C774)-SUMIFS(AA:AA,D:D,"&lt;="&amp;D774,C:C,C774)+SUMIFS(N:N,D:D,"&lt;="&amp;D774,C:C,C774)+SUMIFS(P:P,D:D,"&lt;="&amp;D774,C:C,C774)&lt;0,0,SUMIFS('Shipments data'!L:L,'Shipments data'!F:F,'Supply planning data'!C774,'Shipments data'!A:A,'Supply planning data'!A774,'Shipments data'!O:O,"received",'Shipments data'!Q:Q,"&lt;"&amp;'Supply planning data'!D789,'Shipments data'!AC:AC,"&lt;"&amp;'Supply planning data'!D789)-SUMIFS(M:M,D:D,"&lt;="&amp;D774,C:C,C774)-SUMIFS(AA:AA,D:D,"&lt;="&amp;D774,C:C,C774)+SUMIFS(N:N,D:D,"&lt;="&amp;D774,C:C,C774)+SUMIFS(P:P,D:D,"&lt;="&amp;D774,C:C,C774))</f>
        <v>0</v>
      </c>
      <c r="AD774" s="111">
        <f t="shared" si="226"/>
        <v>0</v>
      </c>
      <c r="AE774" s="111">
        <f t="shared" ref="AE774:AE837" si="238">IF(X774+R774+S774+AB774+N774+P774-M774-AA774-U774&lt;0,0,X774+R774+S774+AB774+N774+P774-M774-AA774-U774)</f>
        <v>0</v>
      </c>
      <c r="AF774" s="204" t="str">
        <f t="shared" si="229"/>
        <v/>
      </c>
      <c r="AG774" s="111">
        <f t="shared" si="227"/>
        <v>0</v>
      </c>
      <c r="AH774" s="110"/>
      <c r="AI774" s="313"/>
      <c r="AJ774" s="111">
        <f t="shared" si="237"/>
        <v>0</v>
      </c>
      <c r="AK774" s="235"/>
      <c r="AL774" s="111">
        <f>IF(SUMIFS('Shipments data'!L:L,'Shipments data'!F:F,'Supply planning data'!C774,'Shipments data'!A:A,'Supply planning data'!A774,'Shipments data'!O:O,"received",'Shipments data'!Q:Q,"&lt;"&amp;'Supply planning data'!D789,'Shipments data'!AC:AC,"&lt;"&amp;'Supply planning data'!D789)-SUMIFS(M:M,D:D,"&lt;="&amp;D774,C:C,C774)-SUMIFS(AJ:AJ,D:D,"&lt;="&amp;D774,C:C,C774)+SUMIFS(N:N,D:D,"&lt;="&amp;D774,C:C,C774)+SUMIFS(P:P,D:D,"&lt;="&amp;D774,C:C,C774)&lt;0,0,SUMIFS('Shipments data'!L:L,'Shipments data'!F:F,'Supply planning data'!C774,'Shipments data'!A:A,'Supply planning data'!A774,'Shipments data'!O:O,"received",'Shipments data'!Q:Q,"&lt;"&amp;'Supply planning data'!D789,'Shipments data'!AC:AC,"&lt;"&amp;'Supply planning data'!D789)-SUMIFS(M:M,D:D,"&lt;="&amp;D774,C:C,C774)-SUMIFS(AJ:AJ,D:D,"&lt;="&amp;D774,C:C,C774)+SUMIFS(N:N,D:D,"&lt;="&amp;D774,C:C,C774)+SUMIFS(P:P,D:D,"&lt;="&amp;D774,C:C,C774))</f>
        <v>0</v>
      </c>
      <c r="AM774" s="111">
        <f t="shared" si="228"/>
        <v>0</v>
      </c>
      <c r="AN774" s="111">
        <f t="shared" ref="AN774:AN837" si="239">IF(AG774+$R774+$S774+AK774+$N774+$P774-$M774-AJ774-$AM774&lt;0,0,AG774+$R774+$S774+AK774+$N774+$P774-$M774-AJ774-$AM774)</f>
        <v>0</v>
      </c>
      <c r="AO774" s="204" t="str">
        <f t="shared" si="231"/>
        <v/>
      </c>
    </row>
    <row r="775" spans="1:41" hidden="1" x14ac:dyDescent="0.25">
      <c r="A775" s="103" t="str">
        <f>Start!D$7</f>
        <v>Anyland</v>
      </c>
      <c r="B775" s="109" t="str">
        <f>VLOOKUP(A775,list!B:C,2,FALSE)</f>
        <v>ANY</v>
      </c>
      <c r="C775" s="109" t="str">
        <f>IF(Start!$C$22="","",Start!$C$22)</f>
        <v/>
      </c>
      <c r="D775" s="298">
        <f t="shared" si="222"/>
        <v>45748</v>
      </c>
      <c r="E775" s="105" t="str">
        <f>IFERROR(VLOOKUP(C775,Start!C$15:D$31,2,FALSE),"No")</f>
        <v>No</v>
      </c>
      <c r="F775" s="105">
        <f t="shared" si="223"/>
        <v>0</v>
      </c>
      <c r="G775" s="106"/>
      <c r="H775" s="106"/>
      <c r="I775" s="106"/>
      <c r="J775" s="105">
        <f t="shared" si="233"/>
        <v>0</v>
      </c>
      <c r="K775" s="106"/>
      <c r="L775" s="177" t="str">
        <f t="shared" si="234"/>
        <v/>
      </c>
      <c r="M775" s="105">
        <f t="shared" si="235"/>
        <v>0</v>
      </c>
      <c r="N775" s="110"/>
      <c r="O775" s="124"/>
      <c r="P775" s="110"/>
      <c r="Q775" s="124"/>
      <c r="R775" s="111">
        <f>SUMIFS('Shipments data'!L:L,'Shipments data'!F:F,'Supply planning data'!C775,'Shipments data'!A:A,'Supply planning data'!A775,'Shipments data'!Y:Y,'Supply planning data'!D775,'Shipments data'!O:O,"received", 'Shipments data'!N:N, "Public")</f>
        <v>0</v>
      </c>
      <c r="S775" s="111">
        <f>SUMIFS('Shipments data'!L:L,'Shipments data'!F:F,'Supply planning data'!C775,'Shipments data'!A:A,'Supply planning data'!A775,'Shipments data'!Y:Y,'Supply planning data'!D775,'Shipments data'!O:O,"ordered", 'Shipments data'!N:N, "Public")</f>
        <v>0</v>
      </c>
      <c r="T775" s="111">
        <f>IF(SUMIFS('Shipments data'!L:L,'Shipments data'!F:F,'Supply planning data'!C775,'Shipments data'!A:A,'Supply planning data'!A775,'Shipments data'!O:O,"received",'Shipments data'!Q:Q,"&lt;"&amp;'Supply planning data'!D790,'Shipments data'!AC:AC,"&lt;"&amp;'Supply planning data'!D790)-SUMIFS(M:M,D:D,"&lt;="&amp;D775,C:C,C775)+SUMIFS(N:N,D:D,"&lt;="&amp;D775,C:C,C775)+SUMIFS(P:P,D:D,"&lt;="&amp;D775,C:C,C775)&lt;0,0,SUMIFS('Shipments data'!L:L,'Shipments data'!F:F,'Supply planning data'!C775,'Shipments data'!A:A,'Supply planning data'!A775,'Shipments data'!O:O,"received",'Shipments data'!Q:Q,"&lt;"&amp;'Supply planning data'!D790,'Shipments data'!AC:AC,"&lt;"&amp;'Supply planning data'!D790)-SUMIFS(M:M,D:D,"&lt;="&amp;D775,C:C,C775)+SUMIFS(N:N,D:D,"&lt;="&amp;D775,C:C,C775)+SUMIFS(P:P,D:D,"&lt;="&amp;D775,C:C,C775))</f>
        <v>0</v>
      </c>
      <c r="U775" s="112">
        <f t="shared" si="224"/>
        <v>0</v>
      </c>
      <c r="V775" s="111">
        <f t="shared" si="232"/>
        <v>0</v>
      </c>
      <c r="W775" s="204" t="str">
        <f t="shared" si="230"/>
        <v/>
      </c>
      <c r="X775" s="111">
        <f t="shared" si="225"/>
        <v>0</v>
      </c>
      <c r="Y775" s="110"/>
      <c r="Z775" s="107"/>
      <c r="AA775" s="111">
        <f t="shared" si="236"/>
        <v>0</v>
      </c>
      <c r="AB775" s="235"/>
      <c r="AC775" s="111">
        <f>IF(SUMIFS('Shipments data'!L:L,'Shipments data'!F:F,'Supply planning data'!C775,'Shipments data'!A:A,'Supply planning data'!A775,'Shipments data'!O:O,"received",'Shipments data'!Q:Q,"&lt;"&amp;'Supply planning data'!D790,'Shipments data'!AC:AC,"&lt;"&amp;'Supply planning data'!D790)-SUMIFS(M:M,D:D,"&lt;="&amp;D775,C:C,C775)-SUMIFS(AA:AA,D:D,"&lt;="&amp;D775,C:C,C775)+SUMIFS(N:N,D:D,"&lt;="&amp;D775,C:C,C775)+SUMIFS(P:P,D:D,"&lt;="&amp;D775,C:C,C775)&lt;0,0,SUMIFS('Shipments data'!L:L,'Shipments data'!F:F,'Supply planning data'!C775,'Shipments data'!A:A,'Supply planning data'!A775,'Shipments data'!O:O,"received",'Shipments data'!Q:Q,"&lt;"&amp;'Supply planning data'!D790,'Shipments data'!AC:AC,"&lt;"&amp;'Supply planning data'!D790)-SUMIFS(M:M,D:D,"&lt;="&amp;D775,C:C,C775)-SUMIFS(AA:AA,D:D,"&lt;="&amp;D775,C:C,C775)+SUMIFS(N:N,D:D,"&lt;="&amp;D775,C:C,C775)+SUMIFS(P:P,D:D,"&lt;="&amp;D775,C:C,C775))</f>
        <v>0</v>
      </c>
      <c r="AD775" s="111">
        <f t="shared" si="226"/>
        <v>0</v>
      </c>
      <c r="AE775" s="111">
        <f t="shared" si="238"/>
        <v>0</v>
      </c>
      <c r="AF775" s="204" t="str">
        <f t="shared" si="229"/>
        <v/>
      </c>
      <c r="AG775" s="111">
        <f t="shared" si="227"/>
        <v>0</v>
      </c>
      <c r="AH775" s="110"/>
      <c r="AI775" s="313"/>
      <c r="AJ775" s="111">
        <f t="shared" si="237"/>
        <v>0</v>
      </c>
      <c r="AK775" s="235"/>
      <c r="AL775" s="111">
        <f>IF(SUMIFS('Shipments data'!L:L,'Shipments data'!F:F,'Supply planning data'!C775,'Shipments data'!A:A,'Supply planning data'!A775,'Shipments data'!O:O,"received",'Shipments data'!Q:Q,"&lt;"&amp;'Supply planning data'!D790,'Shipments data'!AC:AC,"&lt;"&amp;'Supply planning data'!D790)-SUMIFS(M:M,D:D,"&lt;="&amp;D775,C:C,C775)-SUMIFS(AJ:AJ,D:D,"&lt;="&amp;D775,C:C,C775)+SUMIFS(N:N,D:D,"&lt;="&amp;D775,C:C,C775)+SUMIFS(P:P,D:D,"&lt;="&amp;D775,C:C,C775)&lt;0,0,SUMIFS('Shipments data'!L:L,'Shipments data'!F:F,'Supply planning data'!C775,'Shipments data'!A:A,'Supply planning data'!A775,'Shipments data'!O:O,"received",'Shipments data'!Q:Q,"&lt;"&amp;'Supply planning data'!D790,'Shipments data'!AC:AC,"&lt;"&amp;'Supply planning data'!D790)-SUMIFS(M:M,D:D,"&lt;="&amp;D775,C:C,C775)-SUMIFS(AJ:AJ,D:D,"&lt;="&amp;D775,C:C,C775)+SUMIFS(N:N,D:D,"&lt;="&amp;D775,C:C,C775)+SUMIFS(P:P,D:D,"&lt;="&amp;D775,C:C,C775))</f>
        <v>0</v>
      </c>
      <c r="AM775" s="111">
        <f t="shared" si="228"/>
        <v>0</v>
      </c>
      <c r="AN775" s="111">
        <f t="shared" si="239"/>
        <v>0</v>
      </c>
      <c r="AO775" s="204" t="str">
        <f t="shared" si="231"/>
        <v/>
      </c>
    </row>
    <row r="776" spans="1:41" hidden="1" x14ac:dyDescent="0.25">
      <c r="A776" s="103" t="str">
        <f>Start!D$7</f>
        <v>Anyland</v>
      </c>
      <c r="B776" s="109" t="str">
        <f>VLOOKUP(A776,list!B:C,2,FALSE)</f>
        <v>ANY</v>
      </c>
      <c r="C776" s="104" t="str">
        <f>IF(Start!$C$23="","",Start!$C$23)</f>
        <v/>
      </c>
      <c r="D776" s="298">
        <f t="shared" si="222"/>
        <v>45748</v>
      </c>
      <c r="E776" s="105" t="str">
        <f>IFERROR(VLOOKUP(C776,Start!C$15:D$31,2,FALSE),"No")</f>
        <v>No</v>
      </c>
      <c r="F776" s="105">
        <f t="shared" si="223"/>
        <v>0</v>
      </c>
      <c r="G776" s="106"/>
      <c r="H776" s="106"/>
      <c r="I776" s="106"/>
      <c r="J776" s="105">
        <f t="shared" si="233"/>
        <v>0</v>
      </c>
      <c r="K776" s="106"/>
      <c r="L776" s="177" t="str">
        <f t="shared" si="234"/>
        <v/>
      </c>
      <c r="M776" s="105">
        <f t="shared" si="235"/>
        <v>0</v>
      </c>
      <c r="N776" s="110"/>
      <c r="O776" s="124"/>
      <c r="P776" s="110"/>
      <c r="Q776" s="124"/>
      <c r="R776" s="111">
        <f>SUMIFS('Shipments data'!L:L,'Shipments data'!F:F,'Supply planning data'!C776,'Shipments data'!A:A,'Supply planning data'!A776,'Shipments data'!Y:Y,'Supply planning data'!D776,'Shipments data'!O:O,"received", 'Shipments data'!N:N, "Public")</f>
        <v>0</v>
      </c>
      <c r="S776" s="111">
        <f>SUMIFS('Shipments data'!L:L,'Shipments data'!F:F,'Supply planning data'!C776,'Shipments data'!A:A,'Supply planning data'!A776,'Shipments data'!Y:Y,'Supply planning data'!D776,'Shipments data'!O:O,"ordered", 'Shipments data'!N:N, "Public")</f>
        <v>0</v>
      </c>
      <c r="T776" s="111">
        <f>IF(SUMIFS('Shipments data'!L:L,'Shipments data'!F:F,'Supply planning data'!C776,'Shipments data'!A:A,'Supply planning data'!A776,'Shipments data'!O:O,"received",'Shipments data'!Q:Q,"&lt;"&amp;'Supply planning data'!D791,'Shipments data'!AC:AC,"&lt;"&amp;'Supply planning data'!D791)-SUMIFS(M:M,D:D,"&lt;="&amp;D776,C:C,C776)+SUMIFS(N:N,D:D,"&lt;="&amp;D776,C:C,C776)+SUMIFS(P:P,D:D,"&lt;="&amp;D776,C:C,C776)&lt;0,0,SUMIFS('Shipments data'!L:L,'Shipments data'!F:F,'Supply planning data'!C776,'Shipments data'!A:A,'Supply planning data'!A776,'Shipments data'!O:O,"received",'Shipments data'!Q:Q,"&lt;"&amp;'Supply planning data'!D791,'Shipments data'!AC:AC,"&lt;"&amp;'Supply planning data'!D791)-SUMIFS(M:M,D:D,"&lt;="&amp;D776,C:C,C776)+SUMIFS(N:N,D:D,"&lt;="&amp;D776,C:C,C776)+SUMIFS(P:P,D:D,"&lt;="&amp;D776,C:C,C776))</f>
        <v>0</v>
      </c>
      <c r="U776" s="112">
        <f t="shared" si="224"/>
        <v>0</v>
      </c>
      <c r="V776" s="111">
        <f t="shared" si="232"/>
        <v>0</v>
      </c>
      <c r="W776" s="204" t="str">
        <f t="shared" si="230"/>
        <v/>
      </c>
      <c r="X776" s="111">
        <f t="shared" si="225"/>
        <v>0</v>
      </c>
      <c r="Y776" s="110"/>
      <c r="Z776" s="107"/>
      <c r="AA776" s="111">
        <f t="shared" si="236"/>
        <v>0</v>
      </c>
      <c r="AB776" s="235"/>
      <c r="AC776" s="111">
        <f>IF(SUMIFS('Shipments data'!L:L,'Shipments data'!F:F,'Supply planning data'!C776,'Shipments data'!A:A,'Supply planning data'!A776,'Shipments data'!O:O,"received",'Shipments data'!Q:Q,"&lt;"&amp;'Supply planning data'!D791,'Shipments data'!AC:AC,"&lt;"&amp;'Supply planning data'!D791)-SUMIFS(M:M,D:D,"&lt;="&amp;D776,C:C,C776)-SUMIFS(AA:AA,D:D,"&lt;="&amp;D776,C:C,C776)+SUMIFS(N:N,D:D,"&lt;="&amp;D776,C:C,C776)+SUMIFS(P:P,D:D,"&lt;="&amp;D776,C:C,C776)&lt;0,0,SUMIFS('Shipments data'!L:L,'Shipments data'!F:F,'Supply planning data'!C776,'Shipments data'!A:A,'Supply planning data'!A776,'Shipments data'!O:O,"received",'Shipments data'!Q:Q,"&lt;"&amp;'Supply planning data'!D791,'Shipments data'!AC:AC,"&lt;"&amp;'Supply planning data'!D791)-SUMIFS(M:M,D:D,"&lt;="&amp;D776,C:C,C776)-SUMIFS(AA:AA,D:D,"&lt;="&amp;D776,C:C,C776)+SUMIFS(N:N,D:D,"&lt;="&amp;D776,C:C,C776)+SUMIFS(P:P,D:D,"&lt;="&amp;D776,C:C,C776))</f>
        <v>0</v>
      </c>
      <c r="AD776" s="111">
        <f t="shared" si="226"/>
        <v>0</v>
      </c>
      <c r="AE776" s="111">
        <f t="shared" si="238"/>
        <v>0</v>
      </c>
      <c r="AF776" s="204" t="str">
        <f t="shared" si="229"/>
        <v/>
      </c>
      <c r="AG776" s="111">
        <f t="shared" si="227"/>
        <v>0</v>
      </c>
      <c r="AH776" s="110"/>
      <c r="AI776" s="313"/>
      <c r="AJ776" s="111">
        <f t="shared" si="237"/>
        <v>0</v>
      </c>
      <c r="AK776" s="235"/>
      <c r="AL776" s="111">
        <f>IF(SUMIFS('Shipments data'!L:L,'Shipments data'!F:F,'Supply planning data'!C776,'Shipments data'!A:A,'Supply planning data'!A776,'Shipments data'!O:O,"received",'Shipments data'!Q:Q,"&lt;"&amp;'Supply planning data'!D791,'Shipments data'!AC:AC,"&lt;"&amp;'Supply planning data'!D791)-SUMIFS(M:M,D:D,"&lt;="&amp;D776,C:C,C776)-SUMIFS(AJ:AJ,D:D,"&lt;="&amp;D776,C:C,C776)+SUMIFS(N:N,D:D,"&lt;="&amp;D776,C:C,C776)+SUMIFS(P:P,D:D,"&lt;="&amp;D776,C:C,C776)&lt;0,0,SUMIFS('Shipments data'!L:L,'Shipments data'!F:F,'Supply planning data'!C776,'Shipments data'!A:A,'Supply planning data'!A776,'Shipments data'!O:O,"received",'Shipments data'!Q:Q,"&lt;"&amp;'Supply planning data'!D791,'Shipments data'!AC:AC,"&lt;"&amp;'Supply planning data'!D791)-SUMIFS(M:M,D:D,"&lt;="&amp;D776,C:C,C776)-SUMIFS(AJ:AJ,D:D,"&lt;="&amp;D776,C:C,C776)+SUMIFS(N:N,D:D,"&lt;="&amp;D776,C:C,C776)+SUMIFS(P:P,D:D,"&lt;="&amp;D776,C:C,C776))</f>
        <v>0</v>
      </c>
      <c r="AM776" s="111">
        <f t="shared" si="228"/>
        <v>0</v>
      </c>
      <c r="AN776" s="111">
        <f t="shared" si="239"/>
        <v>0</v>
      </c>
      <c r="AO776" s="204" t="str">
        <f t="shared" si="231"/>
        <v/>
      </c>
    </row>
    <row r="777" spans="1:41" hidden="1" x14ac:dyDescent="0.25">
      <c r="A777" s="103" t="str">
        <f>Start!D$7</f>
        <v>Anyland</v>
      </c>
      <c r="B777" s="109" t="str">
        <f>VLOOKUP(A777,list!B:C,2,FALSE)</f>
        <v>ANY</v>
      </c>
      <c r="C777" s="109" t="str">
        <f>IF(Start!$C$24="","",Start!$C$24)</f>
        <v/>
      </c>
      <c r="D777" s="298">
        <f t="shared" si="222"/>
        <v>45748</v>
      </c>
      <c r="E777" s="105" t="str">
        <f>IFERROR(VLOOKUP(C777,Start!C$15:D$31,2,FALSE),"No")</f>
        <v>No</v>
      </c>
      <c r="F777" s="105">
        <f t="shared" si="223"/>
        <v>0</v>
      </c>
      <c r="G777" s="106"/>
      <c r="H777" s="106"/>
      <c r="I777" s="106"/>
      <c r="J777" s="105">
        <f t="shared" si="233"/>
        <v>0</v>
      </c>
      <c r="K777" s="106"/>
      <c r="L777" s="177" t="str">
        <f t="shared" si="234"/>
        <v/>
      </c>
      <c r="M777" s="105">
        <f t="shared" si="235"/>
        <v>0</v>
      </c>
      <c r="N777" s="110"/>
      <c r="O777" s="124"/>
      <c r="P777" s="110"/>
      <c r="Q777" s="124"/>
      <c r="R777" s="111">
        <f>SUMIFS('Shipments data'!L:L,'Shipments data'!F:F,'Supply planning data'!C777,'Shipments data'!A:A,'Supply planning data'!A777,'Shipments data'!Y:Y,'Supply planning data'!D777,'Shipments data'!O:O,"received", 'Shipments data'!N:N, "Public")</f>
        <v>0</v>
      </c>
      <c r="S777" s="111">
        <f>SUMIFS('Shipments data'!L:L,'Shipments data'!F:F,'Supply planning data'!C777,'Shipments data'!A:A,'Supply planning data'!A777,'Shipments data'!Y:Y,'Supply planning data'!D777,'Shipments data'!O:O,"ordered", 'Shipments data'!N:N, "Public")</f>
        <v>0</v>
      </c>
      <c r="T777" s="111">
        <f>IF(SUMIFS('Shipments data'!L:L,'Shipments data'!F:F,'Supply planning data'!C777,'Shipments data'!A:A,'Supply planning data'!A777,'Shipments data'!O:O,"received",'Shipments data'!Q:Q,"&lt;"&amp;'Supply planning data'!D792,'Shipments data'!AC:AC,"&lt;"&amp;'Supply planning data'!D792)-SUMIFS(M:M,D:D,"&lt;="&amp;D777,C:C,C777)+SUMIFS(N:N,D:D,"&lt;="&amp;D777,C:C,C777)+SUMIFS(P:P,D:D,"&lt;="&amp;D777,C:C,C777)&lt;0,0,SUMIFS('Shipments data'!L:L,'Shipments data'!F:F,'Supply planning data'!C777,'Shipments data'!A:A,'Supply planning data'!A777,'Shipments data'!O:O,"received",'Shipments data'!Q:Q,"&lt;"&amp;'Supply planning data'!D792,'Shipments data'!AC:AC,"&lt;"&amp;'Supply planning data'!D792)-SUMIFS(M:M,D:D,"&lt;="&amp;D777,C:C,C777)+SUMIFS(N:N,D:D,"&lt;="&amp;D777,C:C,C777)+SUMIFS(P:P,D:D,"&lt;="&amp;D777,C:C,C777))</f>
        <v>0</v>
      </c>
      <c r="U777" s="112">
        <f t="shared" si="224"/>
        <v>0</v>
      </c>
      <c r="V777" s="111">
        <f t="shared" si="232"/>
        <v>0</v>
      </c>
      <c r="W777" s="204" t="str">
        <f t="shared" si="230"/>
        <v/>
      </c>
      <c r="X777" s="111">
        <f t="shared" si="225"/>
        <v>0</v>
      </c>
      <c r="Y777" s="110"/>
      <c r="Z777" s="107"/>
      <c r="AA777" s="111">
        <f t="shared" si="236"/>
        <v>0</v>
      </c>
      <c r="AB777" s="235"/>
      <c r="AC777" s="111">
        <f>IF(SUMIFS('Shipments data'!L:L,'Shipments data'!F:F,'Supply planning data'!C777,'Shipments data'!A:A,'Supply planning data'!A777,'Shipments data'!O:O,"received",'Shipments data'!Q:Q,"&lt;"&amp;'Supply planning data'!D792,'Shipments data'!AC:AC,"&lt;"&amp;'Supply planning data'!D792)-SUMIFS(M:M,D:D,"&lt;="&amp;D777,C:C,C777)-SUMIFS(AA:AA,D:D,"&lt;="&amp;D777,C:C,C777)+SUMIFS(N:N,D:D,"&lt;="&amp;D777,C:C,C777)+SUMIFS(P:P,D:D,"&lt;="&amp;D777,C:C,C777)&lt;0,0,SUMIFS('Shipments data'!L:L,'Shipments data'!F:F,'Supply planning data'!C777,'Shipments data'!A:A,'Supply planning data'!A777,'Shipments data'!O:O,"received",'Shipments data'!Q:Q,"&lt;"&amp;'Supply planning data'!D792,'Shipments data'!AC:AC,"&lt;"&amp;'Supply planning data'!D792)-SUMIFS(M:M,D:D,"&lt;="&amp;D777,C:C,C777)-SUMIFS(AA:AA,D:D,"&lt;="&amp;D777,C:C,C777)+SUMIFS(N:N,D:D,"&lt;="&amp;D777,C:C,C777)+SUMIFS(P:P,D:D,"&lt;="&amp;D777,C:C,C777))</f>
        <v>0</v>
      </c>
      <c r="AD777" s="111">
        <f t="shared" si="226"/>
        <v>0</v>
      </c>
      <c r="AE777" s="111">
        <f t="shared" si="238"/>
        <v>0</v>
      </c>
      <c r="AF777" s="204" t="str">
        <f t="shared" si="229"/>
        <v/>
      </c>
      <c r="AG777" s="111">
        <f t="shared" si="227"/>
        <v>0</v>
      </c>
      <c r="AH777" s="110"/>
      <c r="AI777" s="313"/>
      <c r="AJ777" s="111">
        <f t="shared" si="237"/>
        <v>0</v>
      </c>
      <c r="AK777" s="235"/>
      <c r="AL777" s="111">
        <f>IF(SUMIFS('Shipments data'!L:L,'Shipments data'!F:F,'Supply planning data'!C777,'Shipments data'!A:A,'Supply planning data'!A777,'Shipments data'!O:O,"received",'Shipments data'!Q:Q,"&lt;"&amp;'Supply planning data'!D792,'Shipments data'!AC:AC,"&lt;"&amp;'Supply planning data'!D792)-SUMIFS(M:M,D:D,"&lt;="&amp;D777,C:C,C777)-SUMIFS(AJ:AJ,D:D,"&lt;="&amp;D777,C:C,C777)+SUMIFS(N:N,D:D,"&lt;="&amp;D777,C:C,C777)+SUMIFS(P:P,D:D,"&lt;="&amp;D777,C:C,C777)&lt;0,0,SUMIFS('Shipments data'!L:L,'Shipments data'!F:F,'Supply planning data'!C777,'Shipments data'!A:A,'Supply planning data'!A777,'Shipments data'!O:O,"received",'Shipments data'!Q:Q,"&lt;"&amp;'Supply planning data'!D792,'Shipments data'!AC:AC,"&lt;"&amp;'Supply planning data'!D792)-SUMIFS(M:M,D:D,"&lt;="&amp;D777,C:C,C777)-SUMIFS(AJ:AJ,D:D,"&lt;="&amp;D777,C:C,C777)+SUMIFS(N:N,D:D,"&lt;="&amp;D777,C:C,C777)+SUMIFS(P:P,D:D,"&lt;="&amp;D777,C:C,C777))</f>
        <v>0</v>
      </c>
      <c r="AM777" s="111">
        <f t="shared" si="228"/>
        <v>0</v>
      </c>
      <c r="AN777" s="111">
        <f t="shared" si="239"/>
        <v>0</v>
      </c>
      <c r="AO777" s="204" t="str">
        <f t="shared" si="231"/>
        <v/>
      </c>
    </row>
    <row r="778" spans="1:41" hidden="1" x14ac:dyDescent="0.25">
      <c r="A778" s="103" t="str">
        <f>Start!D$7</f>
        <v>Anyland</v>
      </c>
      <c r="B778" s="109" t="str">
        <f>VLOOKUP(A778,list!B:C,2,FALSE)</f>
        <v>ANY</v>
      </c>
      <c r="C778" s="104" t="str">
        <f>IF(Start!$C$25="","",Start!$C$25)</f>
        <v/>
      </c>
      <c r="D778" s="298">
        <f t="shared" si="222"/>
        <v>45748</v>
      </c>
      <c r="E778" s="105" t="str">
        <f>IFERROR(VLOOKUP(C778,Start!C$15:D$31,2,FALSE),"No")</f>
        <v>No</v>
      </c>
      <c r="F778" s="105">
        <f t="shared" si="223"/>
        <v>0</v>
      </c>
      <c r="G778" s="106"/>
      <c r="H778" s="106"/>
      <c r="I778" s="106"/>
      <c r="J778" s="105">
        <f t="shared" si="233"/>
        <v>0</v>
      </c>
      <c r="K778" s="106"/>
      <c r="L778" s="177" t="str">
        <f t="shared" si="234"/>
        <v/>
      </c>
      <c r="M778" s="105">
        <f t="shared" si="235"/>
        <v>0</v>
      </c>
      <c r="N778" s="110"/>
      <c r="O778" s="124"/>
      <c r="P778" s="110"/>
      <c r="Q778" s="124"/>
      <c r="R778" s="111">
        <f>SUMIFS('Shipments data'!L:L,'Shipments data'!F:F,'Supply planning data'!C778,'Shipments data'!A:A,'Supply planning data'!A778,'Shipments data'!Y:Y,'Supply planning data'!D778,'Shipments data'!O:O,"received", 'Shipments data'!N:N, "Public")</f>
        <v>0</v>
      </c>
      <c r="S778" s="111">
        <f>SUMIFS('Shipments data'!L:L,'Shipments data'!F:F,'Supply planning data'!C778,'Shipments data'!A:A,'Supply planning data'!A778,'Shipments data'!Y:Y,'Supply planning data'!D778,'Shipments data'!O:O,"ordered", 'Shipments data'!N:N, "Public")</f>
        <v>0</v>
      </c>
      <c r="T778" s="111">
        <f>IF(SUMIFS('Shipments data'!L:L,'Shipments data'!F:F,'Supply planning data'!C778,'Shipments data'!A:A,'Supply planning data'!A778,'Shipments data'!O:O,"received",'Shipments data'!Q:Q,"&lt;"&amp;'Supply planning data'!D793,'Shipments data'!AC:AC,"&lt;"&amp;'Supply planning data'!D793)-SUMIFS(M:M,D:D,"&lt;="&amp;D778,C:C,C778)+SUMIFS(N:N,D:D,"&lt;="&amp;D778,C:C,C778)+SUMIFS(P:P,D:D,"&lt;="&amp;D778,C:C,C778)&lt;0,0,SUMIFS('Shipments data'!L:L,'Shipments data'!F:F,'Supply planning data'!C778,'Shipments data'!A:A,'Supply planning data'!A778,'Shipments data'!O:O,"received",'Shipments data'!Q:Q,"&lt;"&amp;'Supply planning data'!D793,'Shipments data'!AC:AC,"&lt;"&amp;'Supply planning data'!D793)-SUMIFS(M:M,D:D,"&lt;="&amp;D778,C:C,C778)+SUMIFS(N:N,D:D,"&lt;="&amp;D778,C:C,C778)+SUMIFS(P:P,D:D,"&lt;="&amp;D778,C:C,C778))</f>
        <v>0</v>
      </c>
      <c r="U778" s="112">
        <f t="shared" si="224"/>
        <v>0</v>
      </c>
      <c r="V778" s="111">
        <f t="shared" si="232"/>
        <v>0</v>
      </c>
      <c r="W778" s="204" t="str">
        <f t="shared" si="230"/>
        <v/>
      </c>
      <c r="X778" s="111">
        <f t="shared" si="225"/>
        <v>0</v>
      </c>
      <c r="Y778" s="110"/>
      <c r="Z778" s="107"/>
      <c r="AA778" s="111">
        <f t="shared" si="236"/>
        <v>0</v>
      </c>
      <c r="AB778" s="235"/>
      <c r="AC778" s="111">
        <f>IF(SUMIFS('Shipments data'!L:L,'Shipments data'!F:F,'Supply planning data'!C778,'Shipments data'!A:A,'Supply planning data'!A778,'Shipments data'!O:O,"received",'Shipments data'!Q:Q,"&lt;"&amp;'Supply planning data'!D793,'Shipments data'!AC:AC,"&lt;"&amp;'Supply planning data'!D793)-SUMIFS(M:M,D:D,"&lt;="&amp;D778,C:C,C778)-SUMIFS(AA:AA,D:D,"&lt;="&amp;D778,C:C,C778)+SUMIFS(N:N,D:D,"&lt;="&amp;D778,C:C,C778)+SUMIFS(P:P,D:D,"&lt;="&amp;D778,C:C,C778)&lt;0,0,SUMIFS('Shipments data'!L:L,'Shipments data'!F:F,'Supply planning data'!C778,'Shipments data'!A:A,'Supply planning data'!A778,'Shipments data'!O:O,"received",'Shipments data'!Q:Q,"&lt;"&amp;'Supply planning data'!D793,'Shipments data'!AC:AC,"&lt;"&amp;'Supply planning data'!D793)-SUMIFS(M:M,D:D,"&lt;="&amp;D778,C:C,C778)-SUMIFS(AA:AA,D:D,"&lt;="&amp;D778,C:C,C778)+SUMIFS(N:N,D:D,"&lt;="&amp;D778,C:C,C778)+SUMIFS(P:P,D:D,"&lt;="&amp;D778,C:C,C778))</f>
        <v>0</v>
      </c>
      <c r="AD778" s="111">
        <f t="shared" si="226"/>
        <v>0</v>
      </c>
      <c r="AE778" s="111">
        <f t="shared" si="238"/>
        <v>0</v>
      </c>
      <c r="AF778" s="204" t="str">
        <f t="shared" si="229"/>
        <v/>
      </c>
      <c r="AG778" s="111">
        <f t="shared" si="227"/>
        <v>0</v>
      </c>
      <c r="AH778" s="110"/>
      <c r="AI778" s="313"/>
      <c r="AJ778" s="111">
        <f t="shared" si="237"/>
        <v>0</v>
      </c>
      <c r="AK778" s="235"/>
      <c r="AL778" s="111">
        <f>IF(SUMIFS('Shipments data'!L:L,'Shipments data'!F:F,'Supply planning data'!C778,'Shipments data'!A:A,'Supply planning data'!A778,'Shipments data'!O:O,"received",'Shipments data'!Q:Q,"&lt;"&amp;'Supply planning data'!D793,'Shipments data'!AC:AC,"&lt;"&amp;'Supply planning data'!D793)-SUMIFS(M:M,D:D,"&lt;="&amp;D778,C:C,C778)-SUMIFS(AJ:AJ,D:D,"&lt;="&amp;D778,C:C,C778)+SUMIFS(N:N,D:D,"&lt;="&amp;D778,C:C,C778)+SUMIFS(P:P,D:D,"&lt;="&amp;D778,C:C,C778)&lt;0,0,SUMIFS('Shipments data'!L:L,'Shipments data'!F:F,'Supply planning data'!C778,'Shipments data'!A:A,'Supply planning data'!A778,'Shipments data'!O:O,"received",'Shipments data'!Q:Q,"&lt;"&amp;'Supply planning data'!D793,'Shipments data'!AC:AC,"&lt;"&amp;'Supply planning data'!D793)-SUMIFS(M:M,D:D,"&lt;="&amp;D778,C:C,C778)-SUMIFS(AJ:AJ,D:D,"&lt;="&amp;D778,C:C,C778)+SUMIFS(N:N,D:D,"&lt;="&amp;D778,C:C,C778)+SUMIFS(P:P,D:D,"&lt;="&amp;D778,C:C,C778))</f>
        <v>0</v>
      </c>
      <c r="AM778" s="111">
        <f t="shared" si="228"/>
        <v>0</v>
      </c>
      <c r="AN778" s="111">
        <f t="shared" si="239"/>
        <v>0</v>
      </c>
      <c r="AO778" s="204" t="str">
        <f t="shared" si="231"/>
        <v/>
      </c>
    </row>
    <row r="779" spans="1:41" hidden="1" x14ac:dyDescent="0.25">
      <c r="A779" s="103" t="str">
        <f>Start!D$7</f>
        <v>Anyland</v>
      </c>
      <c r="B779" s="109" t="str">
        <f>VLOOKUP(A779,list!B:C,2,FALSE)</f>
        <v>ANY</v>
      </c>
      <c r="C779" s="109" t="str">
        <f>IF(Start!$C$26="","",Start!$C$26)</f>
        <v/>
      </c>
      <c r="D779" s="298">
        <f t="shared" si="222"/>
        <v>45748</v>
      </c>
      <c r="E779" s="105" t="str">
        <f>IFERROR(VLOOKUP(C779,Start!C$15:D$31,2,FALSE),"No")</f>
        <v>No</v>
      </c>
      <c r="F779" s="105">
        <f t="shared" si="223"/>
        <v>0</v>
      </c>
      <c r="G779" s="106"/>
      <c r="H779" s="106"/>
      <c r="I779" s="106"/>
      <c r="J779" s="105">
        <f t="shared" si="233"/>
        <v>0</v>
      </c>
      <c r="K779" s="106"/>
      <c r="L779" s="177" t="str">
        <f t="shared" si="234"/>
        <v/>
      </c>
      <c r="M779" s="105">
        <f t="shared" si="235"/>
        <v>0</v>
      </c>
      <c r="N779" s="110"/>
      <c r="O779" s="124"/>
      <c r="P779" s="110"/>
      <c r="Q779" s="124"/>
      <c r="R779" s="111">
        <f>SUMIFS('Shipments data'!L:L,'Shipments data'!F:F,'Supply planning data'!C779,'Shipments data'!A:A,'Supply planning data'!A779,'Shipments data'!Y:Y,'Supply planning data'!D779,'Shipments data'!O:O,"received", 'Shipments data'!N:N, "Public")</f>
        <v>0</v>
      </c>
      <c r="S779" s="111">
        <f>SUMIFS('Shipments data'!L:L,'Shipments data'!F:F,'Supply planning data'!C779,'Shipments data'!A:A,'Supply planning data'!A779,'Shipments data'!Y:Y,'Supply planning data'!D779,'Shipments data'!O:O,"ordered", 'Shipments data'!N:N, "Public")</f>
        <v>0</v>
      </c>
      <c r="T779" s="111">
        <f>IF(SUMIFS('Shipments data'!L:L,'Shipments data'!F:F,'Supply planning data'!C779,'Shipments data'!A:A,'Supply planning data'!A779,'Shipments data'!O:O,"received",'Shipments data'!Q:Q,"&lt;"&amp;'Supply planning data'!D794,'Shipments data'!AC:AC,"&lt;"&amp;'Supply planning data'!D794)-SUMIFS(M:M,D:D,"&lt;="&amp;D779,C:C,C779)+SUMIFS(N:N,D:D,"&lt;="&amp;D779,C:C,C779)+SUMIFS(P:P,D:D,"&lt;="&amp;D779,C:C,C779)&lt;0,0,SUMIFS('Shipments data'!L:L,'Shipments data'!F:F,'Supply planning data'!C779,'Shipments data'!A:A,'Supply planning data'!A779,'Shipments data'!O:O,"received",'Shipments data'!Q:Q,"&lt;"&amp;'Supply planning data'!D794,'Shipments data'!AC:AC,"&lt;"&amp;'Supply planning data'!D794)-SUMIFS(M:M,D:D,"&lt;="&amp;D779,C:C,C779)+SUMIFS(N:N,D:D,"&lt;="&amp;D779,C:C,C779)+SUMIFS(P:P,D:D,"&lt;="&amp;D779,C:C,C779))</f>
        <v>0</v>
      </c>
      <c r="U779" s="112">
        <f t="shared" si="224"/>
        <v>0</v>
      </c>
      <c r="V779" s="111">
        <f t="shared" si="232"/>
        <v>0</v>
      </c>
      <c r="W779" s="204" t="str">
        <f t="shared" si="230"/>
        <v/>
      </c>
      <c r="X779" s="111">
        <f t="shared" si="225"/>
        <v>0</v>
      </c>
      <c r="Y779" s="110"/>
      <c r="Z779" s="107"/>
      <c r="AA779" s="111">
        <f t="shared" si="236"/>
        <v>0</v>
      </c>
      <c r="AB779" s="235"/>
      <c r="AC779" s="111">
        <f>IF(SUMIFS('Shipments data'!L:L,'Shipments data'!F:F,'Supply planning data'!C779,'Shipments data'!A:A,'Supply planning data'!A779,'Shipments data'!O:O,"received",'Shipments data'!Q:Q,"&lt;"&amp;'Supply planning data'!D794,'Shipments data'!AC:AC,"&lt;"&amp;'Supply planning data'!D794)-SUMIFS(M:M,D:D,"&lt;="&amp;D779,C:C,C779)-SUMIFS(AA:AA,D:D,"&lt;="&amp;D779,C:C,C779)+SUMIFS(N:N,D:D,"&lt;="&amp;D779,C:C,C779)+SUMIFS(P:P,D:D,"&lt;="&amp;D779,C:C,C779)&lt;0,0,SUMIFS('Shipments data'!L:L,'Shipments data'!F:F,'Supply planning data'!C779,'Shipments data'!A:A,'Supply planning data'!A779,'Shipments data'!O:O,"received",'Shipments data'!Q:Q,"&lt;"&amp;'Supply planning data'!D794,'Shipments data'!AC:AC,"&lt;"&amp;'Supply planning data'!D794)-SUMIFS(M:M,D:D,"&lt;="&amp;D779,C:C,C779)-SUMIFS(AA:AA,D:D,"&lt;="&amp;D779,C:C,C779)+SUMIFS(N:N,D:D,"&lt;="&amp;D779,C:C,C779)+SUMIFS(P:P,D:D,"&lt;="&amp;D779,C:C,C779))</f>
        <v>0</v>
      </c>
      <c r="AD779" s="111">
        <f t="shared" si="226"/>
        <v>0</v>
      </c>
      <c r="AE779" s="111">
        <f t="shared" si="238"/>
        <v>0</v>
      </c>
      <c r="AF779" s="204" t="str">
        <f t="shared" si="229"/>
        <v/>
      </c>
      <c r="AG779" s="111">
        <f t="shared" si="227"/>
        <v>0</v>
      </c>
      <c r="AH779" s="110"/>
      <c r="AI779" s="313"/>
      <c r="AJ779" s="111">
        <f t="shared" si="237"/>
        <v>0</v>
      </c>
      <c r="AK779" s="235"/>
      <c r="AL779" s="111">
        <f>IF(SUMIFS('Shipments data'!L:L,'Shipments data'!F:F,'Supply planning data'!C779,'Shipments data'!A:A,'Supply planning data'!A779,'Shipments data'!O:O,"received",'Shipments data'!Q:Q,"&lt;"&amp;'Supply planning data'!D794,'Shipments data'!AC:AC,"&lt;"&amp;'Supply planning data'!D794)-SUMIFS(M:M,D:D,"&lt;="&amp;D779,C:C,C779)-SUMIFS(AJ:AJ,D:D,"&lt;="&amp;D779,C:C,C779)+SUMIFS(N:N,D:D,"&lt;="&amp;D779,C:C,C779)+SUMIFS(P:P,D:D,"&lt;="&amp;D779,C:C,C779)&lt;0,0,SUMIFS('Shipments data'!L:L,'Shipments data'!F:F,'Supply planning data'!C779,'Shipments data'!A:A,'Supply planning data'!A779,'Shipments data'!O:O,"received",'Shipments data'!Q:Q,"&lt;"&amp;'Supply planning data'!D794,'Shipments data'!AC:AC,"&lt;"&amp;'Supply planning data'!D794)-SUMIFS(M:M,D:D,"&lt;="&amp;D779,C:C,C779)-SUMIFS(AJ:AJ,D:D,"&lt;="&amp;D779,C:C,C779)+SUMIFS(N:N,D:D,"&lt;="&amp;D779,C:C,C779)+SUMIFS(P:P,D:D,"&lt;="&amp;D779,C:C,C779))</f>
        <v>0</v>
      </c>
      <c r="AM779" s="111">
        <f t="shared" si="228"/>
        <v>0</v>
      </c>
      <c r="AN779" s="111">
        <f t="shared" si="239"/>
        <v>0</v>
      </c>
      <c r="AO779" s="204" t="str">
        <f t="shared" si="231"/>
        <v/>
      </c>
    </row>
    <row r="780" spans="1:41" hidden="1" x14ac:dyDescent="0.25">
      <c r="A780" s="103" t="str">
        <f>Start!D$7</f>
        <v>Anyland</v>
      </c>
      <c r="B780" s="109" t="str">
        <f>VLOOKUP(A780,list!B:C,2,FALSE)</f>
        <v>ANY</v>
      </c>
      <c r="C780" s="104" t="str">
        <f>IF(Start!$C$27="","",Start!$C$27)</f>
        <v/>
      </c>
      <c r="D780" s="298">
        <f t="shared" si="222"/>
        <v>45748</v>
      </c>
      <c r="E780" s="105" t="str">
        <f>IFERROR(VLOOKUP(C780,Start!C$15:D$31,2,FALSE),"No")</f>
        <v>No</v>
      </c>
      <c r="F780" s="105">
        <f t="shared" si="223"/>
        <v>0</v>
      </c>
      <c r="G780" s="106"/>
      <c r="H780" s="106"/>
      <c r="I780" s="106"/>
      <c r="J780" s="105">
        <f t="shared" si="233"/>
        <v>0</v>
      </c>
      <c r="K780" s="106"/>
      <c r="L780" s="177" t="str">
        <f t="shared" si="234"/>
        <v/>
      </c>
      <c r="M780" s="105">
        <f t="shared" si="235"/>
        <v>0</v>
      </c>
      <c r="N780" s="110"/>
      <c r="O780" s="124"/>
      <c r="P780" s="110"/>
      <c r="Q780" s="124"/>
      <c r="R780" s="111">
        <f>SUMIFS('Shipments data'!L:L,'Shipments data'!F:F,'Supply planning data'!C780,'Shipments data'!A:A,'Supply planning data'!A780,'Shipments data'!Y:Y,'Supply planning data'!D780,'Shipments data'!O:O,"received", 'Shipments data'!N:N, "Public")</f>
        <v>0</v>
      </c>
      <c r="S780" s="111">
        <f>SUMIFS('Shipments data'!L:L,'Shipments data'!F:F,'Supply planning data'!C780,'Shipments data'!A:A,'Supply planning data'!A780,'Shipments data'!Y:Y,'Supply planning data'!D780,'Shipments data'!O:O,"ordered", 'Shipments data'!N:N, "Public")</f>
        <v>0</v>
      </c>
      <c r="T780" s="111">
        <f>IF(SUMIFS('Shipments data'!L:L,'Shipments data'!F:F,'Supply planning data'!C780,'Shipments data'!A:A,'Supply planning data'!A780,'Shipments data'!O:O,"received",'Shipments data'!Q:Q,"&lt;"&amp;'Supply planning data'!D795,'Shipments data'!AC:AC,"&lt;"&amp;'Supply planning data'!D795)-SUMIFS(M:M,D:D,"&lt;="&amp;D780,C:C,C780)+SUMIFS(N:N,D:D,"&lt;="&amp;D780,C:C,C780)+SUMIFS(P:P,D:D,"&lt;="&amp;D780,C:C,C780)&lt;0,0,SUMIFS('Shipments data'!L:L,'Shipments data'!F:F,'Supply planning data'!C780,'Shipments data'!A:A,'Supply planning data'!A780,'Shipments data'!O:O,"received",'Shipments data'!Q:Q,"&lt;"&amp;'Supply planning data'!D795,'Shipments data'!AC:AC,"&lt;"&amp;'Supply planning data'!D795)-SUMIFS(M:M,D:D,"&lt;="&amp;D780,C:C,C780)+SUMIFS(N:N,D:D,"&lt;="&amp;D780,C:C,C780)+SUMIFS(P:P,D:D,"&lt;="&amp;D780,C:C,C780))</f>
        <v>0</v>
      </c>
      <c r="U780" s="112">
        <f t="shared" si="224"/>
        <v>0</v>
      </c>
      <c r="V780" s="111">
        <f t="shared" si="232"/>
        <v>0</v>
      </c>
      <c r="W780" s="204" t="str">
        <f t="shared" si="230"/>
        <v/>
      </c>
      <c r="X780" s="111">
        <f t="shared" si="225"/>
        <v>0</v>
      </c>
      <c r="Y780" s="110"/>
      <c r="Z780" s="107"/>
      <c r="AA780" s="111">
        <f t="shared" si="236"/>
        <v>0</v>
      </c>
      <c r="AB780" s="235"/>
      <c r="AC780" s="111">
        <f>IF(SUMIFS('Shipments data'!L:L,'Shipments data'!F:F,'Supply planning data'!C780,'Shipments data'!A:A,'Supply planning data'!A780,'Shipments data'!O:O,"received",'Shipments data'!Q:Q,"&lt;"&amp;'Supply planning data'!D795,'Shipments data'!AC:AC,"&lt;"&amp;'Supply planning data'!D795)-SUMIFS(M:M,D:D,"&lt;="&amp;D780,C:C,C780)-SUMIFS(AA:AA,D:D,"&lt;="&amp;D780,C:C,C780)+SUMIFS(N:N,D:D,"&lt;="&amp;D780,C:C,C780)+SUMIFS(P:P,D:D,"&lt;="&amp;D780,C:C,C780)&lt;0,0,SUMIFS('Shipments data'!L:L,'Shipments data'!F:F,'Supply planning data'!C780,'Shipments data'!A:A,'Supply planning data'!A780,'Shipments data'!O:O,"received",'Shipments data'!Q:Q,"&lt;"&amp;'Supply planning data'!D795,'Shipments data'!AC:AC,"&lt;"&amp;'Supply planning data'!D795)-SUMIFS(M:M,D:D,"&lt;="&amp;D780,C:C,C780)-SUMIFS(AA:AA,D:D,"&lt;="&amp;D780,C:C,C780)+SUMIFS(N:N,D:D,"&lt;="&amp;D780,C:C,C780)+SUMIFS(P:P,D:D,"&lt;="&amp;D780,C:C,C780))</f>
        <v>0</v>
      </c>
      <c r="AD780" s="111">
        <f t="shared" si="226"/>
        <v>0</v>
      </c>
      <c r="AE780" s="111">
        <f t="shared" si="238"/>
        <v>0</v>
      </c>
      <c r="AF780" s="204" t="str">
        <f t="shared" si="229"/>
        <v/>
      </c>
      <c r="AG780" s="111">
        <f t="shared" si="227"/>
        <v>0</v>
      </c>
      <c r="AH780" s="110"/>
      <c r="AI780" s="313"/>
      <c r="AJ780" s="111">
        <f t="shared" si="237"/>
        <v>0</v>
      </c>
      <c r="AK780" s="235"/>
      <c r="AL780" s="111">
        <f>IF(SUMIFS('Shipments data'!L:L,'Shipments data'!F:F,'Supply planning data'!C780,'Shipments data'!A:A,'Supply planning data'!A780,'Shipments data'!O:O,"received",'Shipments data'!Q:Q,"&lt;"&amp;'Supply planning data'!D795,'Shipments data'!AC:AC,"&lt;"&amp;'Supply planning data'!D795)-SUMIFS(M:M,D:D,"&lt;="&amp;D780,C:C,C780)-SUMIFS(AJ:AJ,D:D,"&lt;="&amp;D780,C:C,C780)+SUMIFS(N:N,D:D,"&lt;="&amp;D780,C:C,C780)+SUMIFS(P:P,D:D,"&lt;="&amp;D780,C:C,C780)&lt;0,0,SUMIFS('Shipments data'!L:L,'Shipments data'!F:F,'Supply planning data'!C780,'Shipments data'!A:A,'Supply planning data'!A780,'Shipments data'!O:O,"received",'Shipments data'!Q:Q,"&lt;"&amp;'Supply planning data'!D795,'Shipments data'!AC:AC,"&lt;"&amp;'Supply planning data'!D795)-SUMIFS(M:M,D:D,"&lt;="&amp;D780,C:C,C780)-SUMIFS(AJ:AJ,D:D,"&lt;="&amp;D780,C:C,C780)+SUMIFS(N:N,D:D,"&lt;="&amp;D780,C:C,C780)+SUMIFS(P:P,D:D,"&lt;="&amp;D780,C:C,C780))</f>
        <v>0</v>
      </c>
      <c r="AM780" s="111">
        <f t="shared" si="228"/>
        <v>0</v>
      </c>
      <c r="AN780" s="111">
        <f t="shared" si="239"/>
        <v>0</v>
      </c>
      <c r="AO780" s="204" t="str">
        <f t="shared" si="231"/>
        <v/>
      </c>
    </row>
    <row r="781" spans="1:41" hidden="1" x14ac:dyDescent="0.25">
      <c r="A781" s="103" t="str">
        <f>Start!D$7</f>
        <v>Anyland</v>
      </c>
      <c r="B781" s="109" t="str">
        <f>VLOOKUP(A781,list!B:C,2,FALSE)</f>
        <v>ANY</v>
      </c>
      <c r="C781" s="109" t="str">
        <f>IF(Start!$C$28="","",Start!$C$28)</f>
        <v/>
      </c>
      <c r="D781" s="298">
        <f t="shared" si="222"/>
        <v>45748</v>
      </c>
      <c r="E781" s="105" t="str">
        <f>IFERROR(VLOOKUP(C781,Start!C$15:D$31,2,FALSE),"No")</f>
        <v>No</v>
      </c>
      <c r="F781" s="105">
        <f t="shared" si="223"/>
        <v>0</v>
      </c>
      <c r="G781" s="106"/>
      <c r="H781" s="106"/>
      <c r="I781" s="106"/>
      <c r="J781" s="105">
        <f t="shared" si="233"/>
        <v>0</v>
      </c>
      <c r="K781" s="106"/>
      <c r="L781" s="177" t="str">
        <f t="shared" si="234"/>
        <v/>
      </c>
      <c r="M781" s="105">
        <f t="shared" si="235"/>
        <v>0</v>
      </c>
      <c r="N781" s="110"/>
      <c r="O781" s="124"/>
      <c r="P781" s="110"/>
      <c r="Q781" s="124"/>
      <c r="R781" s="111">
        <f>SUMIFS('Shipments data'!L:L,'Shipments data'!F:F,'Supply planning data'!C781,'Shipments data'!A:A,'Supply planning data'!A781,'Shipments data'!Y:Y,'Supply planning data'!D781,'Shipments data'!O:O,"received", 'Shipments data'!N:N, "Public")</f>
        <v>0</v>
      </c>
      <c r="S781" s="111">
        <f>SUMIFS('Shipments data'!L:L,'Shipments data'!F:F,'Supply planning data'!C781,'Shipments data'!A:A,'Supply planning data'!A781,'Shipments data'!Y:Y,'Supply planning data'!D781,'Shipments data'!O:O,"ordered", 'Shipments data'!N:N, "Public")</f>
        <v>0</v>
      </c>
      <c r="T781" s="111">
        <f>IF(SUMIFS('Shipments data'!L:L,'Shipments data'!F:F,'Supply planning data'!C781,'Shipments data'!A:A,'Supply planning data'!A781,'Shipments data'!O:O,"received",'Shipments data'!Q:Q,"&lt;"&amp;'Supply planning data'!D796,'Shipments data'!AC:AC,"&lt;"&amp;'Supply planning data'!D796)-SUMIFS(M:M,D:D,"&lt;="&amp;D781,C:C,C781)+SUMIFS(N:N,D:D,"&lt;="&amp;D781,C:C,C781)+SUMIFS(P:P,D:D,"&lt;="&amp;D781,C:C,C781)&lt;0,0,SUMIFS('Shipments data'!L:L,'Shipments data'!F:F,'Supply planning data'!C781,'Shipments data'!A:A,'Supply planning data'!A781,'Shipments data'!O:O,"received",'Shipments data'!Q:Q,"&lt;"&amp;'Supply planning data'!D796,'Shipments data'!AC:AC,"&lt;"&amp;'Supply planning data'!D796)-SUMIFS(M:M,D:D,"&lt;="&amp;D781,C:C,C781)+SUMIFS(N:N,D:D,"&lt;="&amp;D781,C:C,C781)+SUMIFS(P:P,D:D,"&lt;="&amp;D781,C:C,C781))</f>
        <v>0</v>
      </c>
      <c r="U781" s="112">
        <f t="shared" si="224"/>
        <v>0</v>
      </c>
      <c r="V781" s="111">
        <f t="shared" si="232"/>
        <v>0</v>
      </c>
      <c r="W781" s="204" t="str">
        <f t="shared" si="230"/>
        <v/>
      </c>
      <c r="X781" s="111">
        <f t="shared" si="225"/>
        <v>0</v>
      </c>
      <c r="Y781" s="110"/>
      <c r="Z781" s="107"/>
      <c r="AA781" s="111">
        <f t="shared" si="236"/>
        <v>0</v>
      </c>
      <c r="AB781" s="235"/>
      <c r="AC781" s="111">
        <f>IF(SUMIFS('Shipments data'!L:L,'Shipments data'!F:F,'Supply planning data'!C781,'Shipments data'!A:A,'Supply planning data'!A781,'Shipments data'!O:O,"received",'Shipments data'!Q:Q,"&lt;"&amp;'Supply planning data'!D796,'Shipments data'!AC:AC,"&lt;"&amp;'Supply planning data'!D796)-SUMIFS(M:M,D:D,"&lt;="&amp;D781,C:C,C781)-SUMIFS(AA:AA,D:D,"&lt;="&amp;D781,C:C,C781)+SUMIFS(N:N,D:D,"&lt;="&amp;D781,C:C,C781)+SUMIFS(P:P,D:D,"&lt;="&amp;D781,C:C,C781)&lt;0,0,SUMIFS('Shipments data'!L:L,'Shipments data'!F:F,'Supply planning data'!C781,'Shipments data'!A:A,'Supply planning data'!A781,'Shipments data'!O:O,"received",'Shipments data'!Q:Q,"&lt;"&amp;'Supply planning data'!D796,'Shipments data'!AC:AC,"&lt;"&amp;'Supply planning data'!D796)-SUMIFS(M:M,D:D,"&lt;="&amp;D781,C:C,C781)-SUMIFS(AA:AA,D:D,"&lt;="&amp;D781,C:C,C781)+SUMIFS(N:N,D:D,"&lt;="&amp;D781,C:C,C781)+SUMIFS(P:P,D:D,"&lt;="&amp;D781,C:C,C781))</f>
        <v>0</v>
      </c>
      <c r="AD781" s="111">
        <f t="shared" si="226"/>
        <v>0</v>
      </c>
      <c r="AE781" s="111">
        <f t="shared" si="238"/>
        <v>0</v>
      </c>
      <c r="AF781" s="204" t="str">
        <f t="shared" si="229"/>
        <v/>
      </c>
      <c r="AG781" s="111">
        <f t="shared" si="227"/>
        <v>0</v>
      </c>
      <c r="AH781" s="110"/>
      <c r="AI781" s="313"/>
      <c r="AJ781" s="111">
        <f t="shared" si="237"/>
        <v>0</v>
      </c>
      <c r="AK781" s="235"/>
      <c r="AL781" s="111">
        <f>IF(SUMIFS('Shipments data'!L:L,'Shipments data'!F:F,'Supply planning data'!C781,'Shipments data'!A:A,'Supply planning data'!A781,'Shipments data'!O:O,"received",'Shipments data'!Q:Q,"&lt;"&amp;'Supply planning data'!D796,'Shipments data'!AC:AC,"&lt;"&amp;'Supply planning data'!D796)-SUMIFS(M:M,D:D,"&lt;="&amp;D781,C:C,C781)-SUMIFS(AJ:AJ,D:D,"&lt;="&amp;D781,C:C,C781)+SUMIFS(N:N,D:D,"&lt;="&amp;D781,C:C,C781)+SUMIFS(P:P,D:D,"&lt;="&amp;D781,C:C,C781)&lt;0,0,SUMIFS('Shipments data'!L:L,'Shipments data'!F:F,'Supply planning data'!C781,'Shipments data'!A:A,'Supply planning data'!A781,'Shipments data'!O:O,"received",'Shipments data'!Q:Q,"&lt;"&amp;'Supply planning data'!D796,'Shipments data'!AC:AC,"&lt;"&amp;'Supply planning data'!D796)-SUMIFS(M:M,D:D,"&lt;="&amp;D781,C:C,C781)-SUMIFS(AJ:AJ,D:D,"&lt;="&amp;D781,C:C,C781)+SUMIFS(N:N,D:D,"&lt;="&amp;D781,C:C,C781)+SUMIFS(P:P,D:D,"&lt;="&amp;D781,C:C,C781))</f>
        <v>0</v>
      </c>
      <c r="AM781" s="111">
        <f t="shared" si="228"/>
        <v>0</v>
      </c>
      <c r="AN781" s="111">
        <f t="shared" si="239"/>
        <v>0</v>
      </c>
      <c r="AO781" s="204" t="str">
        <f t="shared" si="231"/>
        <v/>
      </c>
    </row>
    <row r="782" spans="1:41" hidden="1" x14ac:dyDescent="0.25">
      <c r="A782" s="103" t="str">
        <f>Start!D$7</f>
        <v>Anyland</v>
      </c>
      <c r="B782" s="109" t="str">
        <f>VLOOKUP(A782,list!B:C,2,FALSE)</f>
        <v>ANY</v>
      </c>
      <c r="C782" s="104" t="str">
        <f>IF(Start!$C$29="","",Start!$C$29)</f>
        <v/>
      </c>
      <c r="D782" s="298">
        <f t="shared" si="222"/>
        <v>45748</v>
      </c>
      <c r="E782" s="105" t="str">
        <f>IFERROR(VLOOKUP(C782,Start!C$15:D$31,2,FALSE),"No")</f>
        <v>No</v>
      </c>
      <c r="F782" s="105">
        <f t="shared" si="223"/>
        <v>0</v>
      </c>
      <c r="G782" s="106"/>
      <c r="H782" s="106"/>
      <c r="I782" s="106"/>
      <c r="J782" s="105">
        <f t="shared" si="233"/>
        <v>0</v>
      </c>
      <c r="K782" s="106"/>
      <c r="L782" s="177" t="str">
        <f t="shared" si="234"/>
        <v/>
      </c>
      <c r="M782" s="105">
        <f t="shared" si="235"/>
        <v>0</v>
      </c>
      <c r="N782" s="110"/>
      <c r="O782" s="124"/>
      <c r="P782" s="110"/>
      <c r="Q782" s="124"/>
      <c r="R782" s="111">
        <f>SUMIFS('Shipments data'!L:L,'Shipments data'!F:F,'Supply planning data'!C782,'Shipments data'!A:A,'Supply planning data'!A782,'Shipments data'!Y:Y,'Supply planning data'!D782,'Shipments data'!O:O,"received", 'Shipments data'!N:N, "Public")</f>
        <v>0</v>
      </c>
      <c r="S782" s="111">
        <f>SUMIFS('Shipments data'!L:L,'Shipments data'!F:F,'Supply planning data'!C782,'Shipments data'!A:A,'Supply planning data'!A782,'Shipments data'!Y:Y,'Supply planning data'!D782,'Shipments data'!O:O,"ordered", 'Shipments data'!N:N, "Public")</f>
        <v>0</v>
      </c>
      <c r="T782" s="111">
        <f>IF(SUMIFS('Shipments data'!L:L,'Shipments data'!F:F,'Supply planning data'!C782,'Shipments data'!A:A,'Supply planning data'!A782,'Shipments data'!O:O,"received",'Shipments data'!Q:Q,"&lt;"&amp;'Supply planning data'!D797,'Shipments data'!AC:AC,"&lt;"&amp;'Supply planning data'!D797)-SUMIFS(M:M,D:D,"&lt;="&amp;D782,C:C,C782)+SUMIFS(N:N,D:D,"&lt;="&amp;D782,C:C,C782)+SUMIFS(P:P,D:D,"&lt;="&amp;D782,C:C,C782)&lt;0,0,SUMIFS('Shipments data'!L:L,'Shipments data'!F:F,'Supply planning data'!C782,'Shipments data'!A:A,'Supply planning data'!A782,'Shipments data'!O:O,"received",'Shipments data'!Q:Q,"&lt;"&amp;'Supply planning data'!D797,'Shipments data'!AC:AC,"&lt;"&amp;'Supply planning data'!D797)-SUMIFS(M:M,D:D,"&lt;="&amp;D782,C:C,C782)+SUMIFS(N:N,D:D,"&lt;="&amp;D782,C:C,C782)+SUMIFS(P:P,D:D,"&lt;="&amp;D782,C:C,C782))</f>
        <v>0</v>
      </c>
      <c r="U782" s="112">
        <f t="shared" si="224"/>
        <v>0</v>
      </c>
      <c r="V782" s="111">
        <f t="shared" si="232"/>
        <v>0</v>
      </c>
      <c r="W782" s="204" t="str">
        <f t="shared" si="230"/>
        <v/>
      </c>
      <c r="X782" s="111">
        <f t="shared" si="225"/>
        <v>0</v>
      </c>
      <c r="Y782" s="110"/>
      <c r="Z782" s="107"/>
      <c r="AA782" s="111">
        <f t="shared" si="236"/>
        <v>0</v>
      </c>
      <c r="AB782" s="235"/>
      <c r="AC782" s="111">
        <f>IF(SUMIFS('Shipments data'!L:L,'Shipments data'!F:F,'Supply planning data'!C782,'Shipments data'!A:A,'Supply planning data'!A782,'Shipments data'!O:O,"received",'Shipments data'!Q:Q,"&lt;"&amp;'Supply planning data'!D797,'Shipments data'!AC:AC,"&lt;"&amp;'Supply planning data'!D797)-SUMIFS(M:M,D:D,"&lt;="&amp;D782,C:C,C782)-SUMIFS(AA:AA,D:D,"&lt;="&amp;D782,C:C,C782)+SUMIFS(N:N,D:D,"&lt;="&amp;D782,C:C,C782)+SUMIFS(P:P,D:D,"&lt;="&amp;D782,C:C,C782)&lt;0,0,SUMIFS('Shipments data'!L:L,'Shipments data'!F:F,'Supply planning data'!C782,'Shipments data'!A:A,'Supply planning data'!A782,'Shipments data'!O:O,"received",'Shipments data'!Q:Q,"&lt;"&amp;'Supply planning data'!D797,'Shipments data'!AC:AC,"&lt;"&amp;'Supply planning data'!D797)-SUMIFS(M:M,D:D,"&lt;="&amp;D782,C:C,C782)-SUMIFS(AA:AA,D:D,"&lt;="&amp;D782,C:C,C782)+SUMIFS(N:N,D:D,"&lt;="&amp;D782,C:C,C782)+SUMIFS(P:P,D:D,"&lt;="&amp;D782,C:C,C782))</f>
        <v>0</v>
      </c>
      <c r="AD782" s="111">
        <f t="shared" si="226"/>
        <v>0</v>
      </c>
      <c r="AE782" s="111">
        <f t="shared" si="238"/>
        <v>0</v>
      </c>
      <c r="AF782" s="204" t="str">
        <f t="shared" si="229"/>
        <v/>
      </c>
      <c r="AG782" s="111">
        <f t="shared" si="227"/>
        <v>0</v>
      </c>
      <c r="AH782" s="110"/>
      <c r="AI782" s="313"/>
      <c r="AJ782" s="111">
        <f t="shared" si="237"/>
        <v>0</v>
      </c>
      <c r="AK782" s="235"/>
      <c r="AL782" s="111">
        <f>IF(SUMIFS('Shipments data'!L:L,'Shipments data'!F:F,'Supply planning data'!C782,'Shipments data'!A:A,'Supply planning data'!A782,'Shipments data'!O:O,"received",'Shipments data'!Q:Q,"&lt;"&amp;'Supply planning data'!D797,'Shipments data'!AC:AC,"&lt;"&amp;'Supply planning data'!D797)-SUMIFS(M:M,D:D,"&lt;="&amp;D782,C:C,C782)-SUMIFS(AJ:AJ,D:D,"&lt;="&amp;D782,C:C,C782)+SUMIFS(N:N,D:D,"&lt;="&amp;D782,C:C,C782)+SUMIFS(P:P,D:D,"&lt;="&amp;D782,C:C,C782)&lt;0,0,SUMIFS('Shipments data'!L:L,'Shipments data'!F:F,'Supply planning data'!C782,'Shipments data'!A:A,'Supply planning data'!A782,'Shipments data'!O:O,"received",'Shipments data'!Q:Q,"&lt;"&amp;'Supply planning data'!D797,'Shipments data'!AC:AC,"&lt;"&amp;'Supply planning data'!D797)-SUMIFS(M:M,D:D,"&lt;="&amp;D782,C:C,C782)-SUMIFS(AJ:AJ,D:D,"&lt;="&amp;D782,C:C,C782)+SUMIFS(N:N,D:D,"&lt;="&amp;D782,C:C,C782)+SUMIFS(P:P,D:D,"&lt;="&amp;D782,C:C,C782))</f>
        <v>0</v>
      </c>
      <c r="AM782" s="111">
        <f t="shared" si="228"/>
        <v>0</v>
      </c>
      <c r="AN782" s="111">
        <f t="shared" si="239"/>
        <v>0</v>
      </c>
      <c r="AO782" s="204" t="str">
        <f t="shared" si="231"/>
        <v/>
      </c>
    </row>
    <row r="783" spans="1:41" hidden="1" x14ac:dyDescent="0.25">
      <c r="A783" s="103" t="str">
        <f>Start!D$7</f>
        <v>Anyland</v>
      </c>
      <c r="B783" s="109" t="str">
        <f>VLOOKUP(A783,list!B:C,2,FALSE)</f>
        <v>ANY</v>
      </c>
      <c r="C783" s="109" t="str">
        <f>IF(Start!$C$30="","",Start!$C$30)</f>
        <v/>
      </c>
      <c r="D783" s="298">
        <f t="shared" si="222"/>
        <v>45748</v>
      </c>
      <c r="E783" s="105" t="str">
        <f>IFERROR(VLOOKUP(C783,Start!C$15:D$31,2,FALSE),"No")</f>
        <v>No</v>
      </c>
      <c r="F783" s="105">
        <f t="shared" si="223"/>
        <v>0</v>
      </c>
      <c r="G783" s="106"/>
      <c r="H783" s="106"/>
      <c r="I783" s="106"/>
      <c r="J783" s="105">
        <f t="shared" si="233"/>
        <v>0</v>
      </c>
      <c r="K783" s="106"/>
      <c r="L783" s="177" t="str">
        <f t="shared" si="234"/>
        <v/>
      </c>
      <c r="M783" s="105">
        <f t="shared" si="235"/>
        <v>0</v>
      </c>
      <c r="N783" s="110"/>
      <c r="O783" s="124"/>
      <c r="P783" s="110"/>
      <c r="Q783" s="124"/>
      <c r="R783" s="111">
        <f>SUMIFS('Shipments data'!L:L,'Shipments data'!F:F,'Supply planning data'!C783,'Shipments data'!A:A,'Supply planning data'!A783,'Shipments data'!Y:Y,'Supply planning data'!D783,'Shipments data'!O:O,"received", 'Shipments data'!N:N, "Public")</f>
        <v>0</v>
      </c>
      <c r="S783" s="111">
        <f>SUMIFS('Shipments data'!L:L,'Shipments data'!F:F,'Supply planning data'!C783,'Shipments data'!A:A,'Supply planning data'!A783,'Shipments data'!Y:Y,'Supply planning data'!D783,'Shipments data'!O:O,"ordered", 'Shipments data'!N:N, "Public")</f>
        <v>0</v>
      </c>
      <c r="T783" s="111">
        <f>IF(SUMIFS('Shipments data'!L:L,'Shipments data'!F:F,'Supply planning data'!C783,'Shipments data'!A:A,'Supply planning data'!A783,'Shipments data'!O:O,"received",'Shipments data'!Q:Q,"&lt;"&amp;'Supply planning data'!D798,'Shipments data'!AC:AC,"&lt;"&amp;'Supply planning data'!D798)-SUMIFS(M:M,D:D,"&lt;="&amp;D783,C:C,C783)+SUMIFS(N:N,D:D,"&lt;="&amp;D783,C:C,C783)+SUMIFS(P:P,D:D,"&lt;="&amp;D783,C:C,C783)&lt;0,0,SUMIFS('Shipments data'!L:L,'Shipments data'!F:F,'Supply planning data'!C783,'Shipments data'!A:A,'Supply planning data'!A783,'Shipments data'!O:O,"received",'Shipments data'!Q:Q,"&lt;"&amp;'Supply planning data'!D798,'Shipments data'!AC:AC,"&lt;"&amp;'Supply planning data'!D798)-SUMIFS(M:M,D:D,"&lt;="&amp;D783,C:C,C783)+SUMIFS(N:N,D:D,"&lt;="&amp;D783,C:C,C783)+SUMIFS(P:P,D:D,"&lt;="&amp;D783,C:C,C783))</f>
        <v>0</v>
      </c>
      <c r="U783" s="112">
        <f t="shared" si="224"/>
        <v>0</v>
      </c>
      <c r="V783" s="111">
        <f t="shared" si="232"/>
        <v>0</v>
      </c>
      <c r="W783" s="204" t="str">
        <f t="shared" si="230"/>
        <v/>
      </c>
      <c r="X783" s="111">
        <f t="shared" si="225"/>
        <v>0</v>
      </c>
      <c r="Y783" s="110"/>
      <c r="Z783" s="107"/>
      <c r="AA783" s="111">
        <f t="shared" si="236"/>
        <v>0</v>
      </c>
      <c r="AB783" s="235"/>
      <c r="AC783" s="111">
        <f>IF(SUMIFS('Shipments data'!L:L,'Shipments data'!F:F,'Supply planning data'!C783,'Shipments data'!A:A,'Supply planning data'!A783,'Shipments data'!O:O,"received",'Shipments data'!Q:Q,"&lt;"&amp;'Supply planning data'!D798,'Shipments data'!AC:AC,"&lt;"&amp;'Supply planning data'!D798)-SUMIFS(M:M,D:D,"&lt;="&amp;D783,C:C,C783)-SUMIFS(AA:AA,D:D,"&lt;="&amp;D783,C:C,C783)+SUMIFS(N:N,D:D,"&lt;="&amp;D783,C:C,C783)+SUMIFS(P:P,D:D,"&lt;="&amp;D783,C:C,C783)&lt;0,0,SUMIFS('Shipments data'!L:L,'Shipments data'!F:F,'Supply planning data'!C783,'Shipments data'!A:A,'Supply planning data'!A783,'Shipments data'!O:O,"received",'Shipments data'!Q:Q,"&lt;"&amp;'Supply planning data'!D798,'Shipments data'!AC:AC,"&lt;"&amp;'Supply planning data'!D798)-SUMIFS(M:M,D:D,"&lt;="&amp;D783,C:C,C783)-SUMIFS(AA:AA,D:D,"&lt;="&amp;D783,C:C,C783)+SUMIFS(N:N,D:D,"&lt;="&amp;D783,C:C,C783)+SUMIFS(P:P,D:D,"&lt;="&amp;D783,C:C,C783))</f>
        <v>0</v>
      </c>
      <c r="AD783" s="111">
        <f t="shared" si="226"/>
        <v>0</v>
      </c>
      <c r="AE783" s="111">
        <f t="shared" si="238"/>
        <v>0</v>
      </c>
      <c r="AF783" s="204" t="str">
        <f t="shared" si="229"/>
        <v/>
      </c>
      <c r="AG783" s="111">
        <f t="shared" si="227"/>
        <v>0</v>
      </c>
      <c r="AH783" s="110"/>
      <c r="AI783" s="313"/>
      <c r="AJ783" s="111">
        <f t="shared" si="237"/>
        <v>0</v>
      </c>
      <c r="AK783" s="235"/>
      <c r="AL783" s="111">
        <f>IF(SUMIFS('Shipments data'!L:L,'Shipments data'!F:F,'Supply planning data'!C783,'Shipments data'!A:A,'Supply planning data'!A783,'Shipments data'!O:O,"received",'Shipments data'!Q:Q,"&lt;"&amp;'Supply planning data'!D798,'Shipments data'!AC:AC,"&lt;"&amp;'Supply planning data'!D798)-SUMIFS(M:M,D:D,"&lt;="&amp;D783,C:C,C783)-SUMIFS(AJ:AJ,D:D,"&lt;="&amp;D783,C:C,C783)+SUMIFS(N:N,D:D,"&lt;="&amp;D783,C:C,C783)+SUMIFS(P:P,D:D,"&lt;="&amp;D783,C:C,C783)&lt;0,0,SUMIFS('Shipments data'!L:L,'Shipments data'!F:F,'Supply planning data'!C783,'Shipments data'!A:A,'Supply planning data'!A783,'Shipments data'!O:O,"received",'Shipments data'!Q:Q,"&lt;"&amp;'Supply planning data'!D798,'Shipments data'!AC:AC,"&lt;"&amp;'Supply planning data'!D798)-SUMIFS(M:M,D:D,"&lt;="&amp;D783,C:C,C783)-SUMIFS(AJ:AJ,D:D,"&lt;="&amp;D783,C:C,C783)+SUMIFS(N:N,D:D,"&lt;="&amp;D783,C:C,C783)+SUMIFS(P:P,D:D,"&lt;="&amp;D783,C:C,C783))</f>
        <v>0</v>
      </c>
      <c r="AM783" s="111">
        <f t="shared" si="228"/>
        <v>0</v>
      </c>
      <c r="AN783" s="111">
        <f t="shared" si="239"/>
        <v>0</v>
      </c>
      <c r="AO783" s="204" t="str">
        <f t="shared" si="231"/>
        <v/>
      </c>
    </row>
    <row r="784" spans="1:41" hidden="1" x14ac:dyDescent="0.25">
      <c r="A784" s="113" t="str">
        <f>Start!D$7</f>
        <v>Anyland</v>
      </c>
      <c r="B784" s="114" t="str">
        <f>VLOOKUP(A784,list!B:C,2,FALSE)</f>
        <v>ANY</v>
      </c>
      <c r="C784" s="104" t="str">
        <f>IF(Start!$C$31="","",Start!$C$31)</f>
        <v/>
      </c>
      <c r="D784" s="298">
        <f t="shared" si="222"/>
        <v>45748</v>
      </c>
      <c r="E784" s="105" t="str">
        <f>IFERROR(VLOOKUP(C784,Start!C$15:D$31,2,FALSE),"No")</f>
        <v>No</v>
      </c>
      <c r="F784" s="105">
        <f t="shared" si="223"/>
        <v>0</v>
      </c>
      <c r="G784" s="106"/>
      <c r="H784" s="106"/>
      <c r="I784" s="106"/>
      <c r="J784" s="105">
        <f t="shared" si="233"/>
        <v>0</v>
      </c>
      <c r="K784" s="106"/>
      <c r="L784" s="177" t="str">
        <f t="shared" si="234"/>
        <v/>
      </c>
      <c r="M784" s="105">
        <f t="shared" si="235"/>
        <v>0</v>
      </c>
      <c r="N784" s="110"/>
      <c r="O784" s="124"/>
      <c r="P784" s="110"/>
      <c r="Q784" s="124"/>
      <c r="R784" s="111">
        <f>SUMIFS('Shipments data'!L:L,'Shipments data'!F:F,'Supply planning data'!C784,'Shipments data'!A:A,'Supply planning data'!A784,'Shipments data'!Y:Y,'Supply planning data'!D784,'Shipments data'!O:O,"received", 'Shipments data'!N:N, "Public")</f>
        <v>0</v>
      </c>
      <c r="S784" s="111">
        <f>SUMIFS('Shipments data'!L:L,'Shipments data'!F:F,'Supply planning data'!C784,'Shipments data'!A:A,'Supply planning data'!A784,'Shipments data'!Y:Y,'Supply planning data'!D784,'Shipments data'!O:O,"ordered", 'Shipments data'!N:N, "Public")</f>
        <v>0</v>
      </c>
      <c r="T784" s="111">
        <f>IF(SUMIFS('Shipments data'!L:L,'Shipments data'!F:F,'Supply planning data'!C784,'Shipments data'!A:A,'Supply planning data'!A784,'Shipments data'!O:O,"received",'Shipments data'!Q:Q,"&lt;"&amp;'Supply planning data'!D799,'Shipments data'!AC:AC,"&lt;"&amp;'Supply planning data'!D799)-SUMIFS(M:M,D:D,"&lt;="&amp;D784,C:C,C784)+SUMIFS(N:N,D:D,"&lt;="&amp;D784,C:C,C784)+SUMIFS(P:P,D:D,"&lt;="&amp;D784,C:C,C784)&lt;0,0,SUMIFS('Shipments data'!L:L,'Shipments data'!F:F,'Supply planning data'!C784,'Shipments data'!A:A,'Supply planning data'!A784,'Shipments data'!O:O,"received",'Shipments data'!Q:Q,"&lt;"&amp;'Supply planning data'!D799,'Shipments data'!AC:AC,"&lt;"&amp;'Supply planning data'!D799)-SUMIFS(M:M,D:D,"&lt;="&amp;D784,C:C,C784)+SUMIFS(N:N,D:D,"&lt;="&amp;D784,C:C,C784)+SUMIFS(P:P,D:D,"&lt;="&amp;D784,C:C,C784))</f>
        <v>0</v>
      </c>
      <c r="U784" s="112">
        <f t="shared" si="224"/>
        <v>0</v>
      </c>
      <c r="V784" s="111">
        <f t="shared" si="232"/>
        <v>0</v>
      </c>
      <c r="W784" s="204" t="str">
        <f t="shared" si="230"/>
        <v/>
      </c>
      <c r="X784" s="111">
        <f t="shared" si="225"/>
        <v>0</v>
      </c>
      <c r="Y784" s="110"/>
      <c r="Z784" s="107"/>
      <c r="AA784" s="111">
        <f t="shared" si="236"/>
        <v>0</v>
      </c>
      <c r="AB784" s="235"/>
      <c r="AC784" s="111">
        <f>IF(SUMIFS('Shipments data'!L:L,'Shipments data'!F:F,'Supply planning data'!C784,'Shipments data'!A:A,'Supply planning data'!A784,'Shipments data'!O:O,"received",'Shipments data'!Q:Q,"&lt;"&amp;'Supply planning data'!D799,'Shipments data'!AC:AC,"&lt;"&amp;'Supply planning data'!D799)-SUMIFS(M:M,D:D,"&lt;="&amp;D784,C:C,C784)-SUMIFS(AA:AA,D:D,"&lt;="&amp;D784,C:C,C784)+SUMIFS(N:N,D:D,"&lt;="&amp;D784,C:C,C784)+SUMIFS(P:P,D:D,"&lt;="&amp;D784,C:C,C784)&lt;0,0,SUMIFS('Shipments data'!L:L,'Shipments data'!F:F,'Supply planning data'!C784,'Shipments data'!A:A,'Supply planning data'!A784,'Shipments data'!O:O,"received",'Shipments data'!Q:Q,"&lt;"&amp;'Supply planning data'!D799,'Shipments data'!AC:AC,"&lt;"&amp;'Supply planning data'!D799)-SUMIFS(M:M,D:D,"&lt;="&amp;D784,C:C,C784)-SUMIFS(AA:AA,D:D,"&lt;="&amp;D784,C:C,C784)+SUMIFS(N:N,D:D,"&lt;="&amp;D784,C:C,C784)+SUMIFS(P:P,D:D,"&lt;="&amp;D784,C:C,C784))</f>
        <v>0</v>
      </c>
      <c r="AD784" s="111">
        <f t="shared" si="226"/>
        <v>0</v>
      </c>
      <c r="AE784" s="111">
        <f t="shared" si="238"/>
        <v>0</v>
      </c>
      <c r="AF784" s="204" t="str">
        <f t="shared" si="229"/>
        <v/>
      </c>
      <c r="AG784" s="111">
        <f t="shared" si="227"/>
        <v>0</v>
      </c>
      <c r="AH784" s="110"/>
      <c r="AI784" s="313"/>
      <c r="AJ784" s="111">
        <f t="shared" si="237"/>
        <v>0</v>
      </c>
      <c r="AK784" s="235"/>
      <c r="AL784" s="111">
        <f>IF(SUMIFS('Shipments data'!L:L,'Shipments data'!F:F,'Supply planning data'!C784,'Shipments data'!A:A,'Supply planning data'!A784,'Shipments data'!O:O,"received",'Shipments data'!Q:Q,"&lt;"&amp;'Supply planning data'!D799,'Shipments data'!AC:AC,"&lt;"&amp;'Supply planning data'!D799)-SUMIFS(M:M,D:D,"&lt;="&amp;D784,C:C,C784)-SUMIFS(AJ:AJ,D:D,"&lt;="&amp;D784,C:C,C784)+SUMIFS(N:N,D:D,"&lt;="&amp;D784,C:C,C784)+SUMIFS(P:P,D:D,"&lt;="&amp;D784,C:C,C784)&lt;0,0,SUMIFS('Shipments data'!L:L,'Shipments data'!F:F,'Supply planning data'!C784,'Shipments data'!A:A,'Supply planning data'!A784,'Shipments data'!O:O,"received",'Shipments data'!Q:Q,"&lt;"&amp;'Supply planning data'!D799,'Shipments data'!AC:AC,"&lt;"&amp;'Supply planning data'!D799)-SUMIFS(M:M,D:D,"&lt;="&amp;D784,C:C,C784)-SUMIFS(AJ:AJ,D:D,"&lt;="&amp;D784,C:C,C784)+SUMIFS(N:N,D:D,"&lt;="&amp;D784,C:C,C784)+SUMIFS(P:P,D:D,"&lt;="&amp;D784,C:C,C784))</f>
        <v>0</v>
      </c>
      <c r="AM784" s="111">
        <f t="shared" si="228"/>
        <v>0</v>
      </c>
      <c r="AN784" s="111">
        <f t="shared" si="239"/>
        <v>0</v>
      </c>
      <c r="AO784" s="204" t="str">
        <f t="shared" si="231"/>
        <v/>
      </c>
    </row>
    <row r="785" spans="1:41" x14ac:dyDescent="0.25">
      <c r="A785" s="89" t="str">
        <f>Start!D$7</f>
        <v>Anyland</v>
      </c>
      <c r="B785" s="90" t="str">
        <f>VLOOKUP(A785,list!B:C,2,FALSE)</f>
        <v>ANY</v>
      </c>
      <c r="C785" s="90" t="str">
        <f>IF(Start!$C$17="","",Start!$C$17)</f>
        <v>AstraZeneca</v>
      </c>
      <c r="D785" s="296">
        <f t="shared" si="222"/>
        <v>45778</v>
      </c>
      <c r="E785" s="92" t="str">
        <f>IFERROR(VLOOKUP(C785,Start!C$15:D$31,2,FALSE),"No")</f>
        <v>Yes</v>
      </c>
      <c r="F785" s="92">
        <f t="shared" si="223"/>
        <v>0</v>
      </c>
      <c r="G785" s="91"/>
      <c r="H785" s="91"/>
      <c r="I785" s="91"/>
      <c r="J785" s="92">
        <f t="shared" si="233"/>
        <v>0</v>
      </c>
      <c r="K785" s="91"/>
      <c r="L785" s="174" t="str">
        <f t="shared" si="234"/>
        <v/>
      </c>
      <c r="M785" s="92">
        <f t="shared" si="235"/>
        <v>0</v>
      </c>
      <c r="N785" s="91"/>
      <c r="O785" s="121"/>
      <c r="P785" s="91"/>
      <c r="Q785" s="121"/>
      <c r="R785" s="92">
        <f>SUMIFS('Shipments data'!L:L,'Shipments data'!F:F,'Supply planning data'!C785,'Shipments data'!A:A,'Supply planning data'!A785,'Shipments data'!Y:Y,'Supply planning data'!D785,'Shipments data'!O:O,"received", 'Shipments data'!N:N, "Public")</f>
        <v>0</v>
      </c>
      <c r="S785" s="92">
        <f>SUMIFS('Shipments data'!L:L,'Shipments data'!F:F,'Supply planning data'!C785,'Shipments data'!A:A,'Supply planning data'!A785,'Shipments data'!Y:Y,'Supply planning data'!D785,'Shipments data'!O:O,"ordered", 'Shipments data'!N:N, "Public")</f>
        <v>0</v>
      </c>
      <c r="T785" s="92">
        <f>IF(SUMIFS('Shipments data'!L:L,'Shipments data'!F:F,'Supply planning data'!C785,'Shipments data'!A:A,'Supply planning data'!A785,'Shipments data'!O:O,"received",'Shipments data'!Q:Q,"&lt;"&amp;'Supply planning data'!D800,'Shipments data'!AC:AC,"&lt;"&amp;'Supply planning data'!D800)-SUMIFS(M:M,D:D,"&lt;="&amp;D785,C:C,C785)+SUMIFS(N:N,D:D,"&lt;="&amp;D785,C:C,C785)+SUMIFS(P:P,D:D,"&lt;="&amp;D785,C:C,C785)&lt;0,0,SUMIFS('Shipments data'!L:L,'Shipments data'!F:F,'Supply planning data'!C785,'Shipments data'!A:A,'Supply planning data'!A785,'Shipments data'!O:O,"received",'Shipments data'!Q:Q,"&lt;"&amp;'Supply planning data'!D800,'Shipments data'!AC:AC,"&lt;"&amp;'Supply planning data'!D800)-SUMIFS(M:M,D:D,"&lt;="&amp;D785,C:C,C785)+SUMIFS(N:N,D:D,"&lt;="&amp;D785,C:C,C785)+SUMIFS(P:P,D:D,"&lt;="&amp;D785,C:C,C785))</f>
        <v>0</v>
      </c>
      <c r="U785" s="94">
        <f t="shared" si="224"/>
        <v>0</v>
      </c>
      <c r="V785" s="92">
        <f t="shared" si="232"/>
        <v>0</v>
      </c>
      <c r="W785" s="205" t="str">
        <f t="shared" si="230"/>
        <v/>
      </c>
      <c r="X785" s="92">
        <f t="shared" si="225"/>
        <v>154701</v>
      </c>
      <c r="Y785" s="91"/>
      <c r="Z785" s="93"/>
      <c r="AA785" s="92">
        <f t="shared" si="236"/>
        <v>0</v>
      </c>
      <c r="AB785" s="232"/>
      <c r="AC785" s="92">
        <f>IF(SUMIFS('Shipments data'!L:L,'Shipments data'!F:F,'Supply planning data'!C785,'Shipments data'!A:A,'Supply planning data'!A785,'Shipments data'!O:O,"received",'Shipments data'!Q:Q,"&lt;"&amp;'Supply planning data'!D800,'Shipments data'!AC:AC,"&lt;"&amp;'Supply planning data'!D800)-SUMIFS(M:M,D:D,"&lt;="&amp;D785,C:C,C785)-SUMIFS(AA:AA,D:D,"&lt;="&amp;D785,C:C,C785)+SUMIFS(N:N,D:D,"&lt;="&amp;D785,C:C,C785)+SUMIFS(P:P,D:D,"&lt;="&amp;D785,C:C,C785)&lt;0,0,SUMIFS('Shipments data'!L:L,'Shipments data'!F:F,'Supply planning data'!C785,'Shipments data'!A:A,'Supply planning data'!A785,'Shipments data'!O:O,"received",'Shipments data'!Q:Q,"&lt;"&amp;'Supply planning data'!D800,'Shipments data'!AC:AC,"&lt;"&amp;'Supply planning data'!D800)-SUMIFS(M:M,D:D,"&lt;="&amp;D785,C:C,C785)-SUMIFS(AA:AA,D:D,"&lt;="&amp;D785,C:C,C785)+SUMIFS(N:N,D:D,"&lt;="&amp;D785,C:C,C785)+SUMIFS(P:P,D:D,"&lt;="&amp;D785,C:C,C785))</f>
        <v>0</v>
      </c>
      <c r="AD785" s="92">
        <f t="shared" si="226"/>
        <v>0</v>
      </c>
      <c r="AE785" s="92">
        <f t="shared" si="238"/>
        <v>154701</v>
      </c>
      <c r="AF785" s="205" t="str">
        <f t="shared" si="229"/>
        <v/>
      </c>
      <c r="AG785" s="92">
        <f t="shared" si="227"/>
        <v>0</v>
      </c>
      <c r="AH785" s="91"/>
      <c r="AI785" s="310"/>
      <c r="AJ785" s="92">
        <f t="shared" si="237"/>
        <v>0</v>
      </c>
      <c r="AK785" s="232"/>
      <c r="AL785" s="92">
        <f>IF(SUMIFS('Shipments data'!L:L,'Shipments data'!F:F,'Supply planning data'!C785,'Shipments data'!A:A,'Supply planning data'!A785,'Shipments data'!O:O,"received",'Shipments data'!Q:Q,"&lt;"&amp;'Supply planning data'!D800,'Shipments data'!AC:AC,"&lt;"&amp;'Supply planning data'!D800)-SUMIFS(M:M,D:D,"&lt;="&amp;D785,C:C,C785)-SUMIFS(AJ:AJ,D:D,"&lt;="&amp;D785,C:C,C785)+SUMIFS(N:N,D:D,"&lt;="&amp;D785,C:C,C785)+SUMIFS(P:P,D:D,"&lt;="&amp;D785,C:C,C785)&lt;0,0,SUMIFS('Shipments data'!L:L,'Shipments data'!F:F,'Supply planning data'!C785,'Shipments data'!A:A,'Supply planning data'!A785,'Shipments data'!O:O,"received",'Shipments data'!Q:Q,"&lt;"&amp;'Supply planning data'!D800,'Shipments data'!AC:AC,"&lt;"&amp;'Supply planning data'!D800)-SUMIFS(M:M,D:D,"&lt;="&amp;D785,C:C,C785)-SUMIFS(AJ:AJ,D:D,"&lt;="&amp;D785,C:C,C785)+SUMIFS(N:N,D:D,"&lt;="&amp;D785,C:C,C785)+SUMIFS(P:P,D:D,"&lt;="&amp;D785,C:C,C785))</f>
        <v>0</v>
      </c>
      <c r="AM785" s="92">
        <f t="shared" si="228"/>
        <v>0</v>
      </c>
      <c r="AN785" s="92">
        <f t="shared" si="239"/>
        <v>0</v>
      </c>
      <c r="AO785" s="205" t="str">
        <f t="shared" si="231"/>
        <v/>
      </c>
    </row>
    <row r="786" spans="1:41" x14ac:dyDescent="0.25">
      <c r="A786" s="95" t="str">
        <f>Start!D$7</f>
        <v>Anyland</v>
      </c>
      <c r="B786" s="96" t="str">
        <f>VLOOKUP(A786,list!B:C,2,FALSE)</f>
        <v>ANY</v>
      </c>
      <c r="C786" s="90" t="str">
        <f>IF(Start!$C$18="","",Start!$C$18)</f>
        <v>Jansen</v>
      </c>
      <c r="D786" s="296">
        <f t="shared" si="222"/>
        <v>45778</v>
      </c>
      <c r="E786" s="92" t="str">
        <f>IFERROR(VLOOKUP(C786,Start!C$15:D$31,2,FALSE),"No")</f>
        <v>Yes</v>
      </c>
      <c r="F786" s="92">
        <f t="shared" si="223"/>
        <v>1871200</v>
      </c>
      <c r="G786" s="91"/>
      <c r="H786" s="97"/>
      <c r="I786" s="97"/>
      <c r="J786" s="98">
        <f t="shared" si="233"/>
        <v>0</v>
      </c>
      <c r="K786" s="97"/>
      <c r="L786" s="175" t="str">
        <f t="shared" si="234"/>
        <v/>
      </c>
      <c r="M786" s="98">
        <f t="shared" si="235"/>
        <v>0</v>
      </c>
      <c r="N786" s="97"/>
      <c r="O786" s="122"/>
      <c r="P786" s="97"/>
      <c r="Q786" s="122"/>
      <c r="R786" s="98">
        <f>SUMIFS('Shipments data'!L:L,'Shipments data'!F:F,'Supply planning data'!C786,'Shipments data'!A:A,'Supply planning data'!A786,'Shipments data'!Y:Y,'Supply planning data'!D786,'Shipments data'!O:O,"received", 'Shipments data'!N:N, "Public")</f>
        <v>0</v>
      </c>
      <c r="S786" s="98">
        <f>SUMIFS('Shipments data'!L:L,'Shipments data'!F:F,'Supply planning data'!C786,'Shipments data'!A:A,'Supply planning data'!A786,'Shipments data'!Y:Y,'Supply planning data'!D786,'Shipments data'!O:O,"ordered", 'Shipments data'!N:N, "Public")</f>
        <v>0</v>
      </c>
      <c r="T786" s="98">
        <f>IF(SUMIFS('Shipments data'!L:L,'Shipments data'!F:F,'Supply planning data'!C786,'Shipments data'!A:A,'Supply planning data'!A786,'Shipments data'!O:O,"received",'Shipments data'!Q:Q,"&lt;"&amp;'Supply planning data'!D801,'Shipments data'!AC:AC,"&lt;"&amp;'Supply planning data'!D801)-SUMIFS(M:M,D:D,"&lt;="&amp;D786,C:C,C786)+SUMIFS(N:N,D:D,"&lt;="&amp;D786,C:C,C786)+SUMIFS(P:P,D:D,"&lt;="&amp;D786,C:C,C786)&lt;0,0,SUMIFS('Shipments data'!L:L,'Shipments data'!F:F,'Supply planning data'!C786,'Shipments data'!A:A,'Supply planning data'!A786,'Shipments data'!O:O,"received",'Shipments data'!Q:Q,"&lt;"&amp;'Supply planning data'!D801,'Shipments data'!AC:AC,"&lt;"&amp;'Supply planning data'!D801)-SUMIFS(M:M,D:D,"&lt;="&amp;D786,C:C,C786)+SUMIFS(N:N,D:D,"&lt;="&amp;D786,C:C,C786)+SUMIFS(P:P,D:D,"&lt;="&amp;D786,C:C,C786))</f>
        <v>387547</v>
      </c>
      <c r="U786" s="99">
        <f t="shared" si="224"/>
        <v>0</v>
      </c>
      <c r="V786" s="98">
        <f t="shared" si="232"/>
        <v>1871200</v>
      </c>
      <c r="W786" s="203" t="str">
        <f t="shared" si="230"/>
        <v/>
      </c>
      <c r="X786" s="98">
        <f t="shared" si="225"/>
        <v>1311200</v>
      </c>
      <c r="Y786" s="97"/>
      <c r="Z786" s="93"/>
      <c r="AA786" s="98">
        <f t="shared" si="236"/>
        <v>0</v>
      </c>
      <c r="AB786" s="233"/>
      <c r="AC786" s="98">
        <f>IF(SUMIFS('Shipments data'!L:L,'Shipments data'!F:F,'Supply planning data'!C786,'Shipments data'!A:A,'Supply planning data'!A786,'Shipments data'!O:O,"received",'Shipments data'!Q:Q,"&lt;"&amp;'Supply planning data'!D801,'Shipments data'!AC:AC,"&lt;"&amp;'Supply planning data'!D801)-SUMIFS(M:M,D:D,"&lt;="&amp;D786,C:C,C786)-SUMIFS(AA:AA,D:D,"&lt;="&amp;D786,C:C,C786)+SUMIFS(N:N,D:D,"&lt;="&amp;D786,C:C,C786)+SUMIFS(P:P,D:D,"&lt;="&amp;D786,C:C,C786)&lt;0,0,SUMIFS('Shipments data'!L:L,'Shipments data'!F:F,'Supply planning data'!C786,'Shipments data'!A:A,'Supply planning data'!A786,'Shipments data'!O:O,"received",'Shipments data'!Q:Q,"&lt;"&amp;'Supply planning data'!D801,'Shipments data'!AC:AC,"&lt;"&amp;'Supply planning data'!D801)-SUMIFS(M:M,D:D,"&lt;="&amp;D786,C:C,C786)-SUMIFS(AA:AA,D:D,"&lt;="&amp;D786,C:C,C786)+SUMIFS(N:N,D:D,"&lt;="&amp;D786,C:C,C786)+SUMIFS(P:P,D:D,"&lt;="&amp;D786,C:C,C786))</f>
        <v>0</v>
      </c>
      <c r="AD786" s="98">
        <f t="shared" si="226"/>
        <v>0</v>
      </c>
      <c r="AE786" s="98">
        <f t="shared" si="238"/>
        <v>1311200</v>
      </c>
      <c r="AF786" s="205" t="str">
        <f t="shared" si="229"/>
        <v/>
      </c>
      <c r="AG786" s="98">
        <f t="shared" si="227"/>
        <v>1871200</v>
      </c>
      <c r="AH786" s="97"/>
      <c r="AI786" s="311"/>
      <c r="AJ786" s="98">
        <f t="shared" si="237"/>
        <v>0</v>
      </c>
      <c r="AK786" s="233"/>
      <c r="AL786" s="98">
        <f>IF(SUMIFS('Shipments data'!L:L,'Shipments data'!F:F,'Supply planning data'!C786,'Shipments data'!A:A,'Supply planning data'!A786,'Shipments data'!O:O,"received",'Shipments data'!Q:Q,"&lt;"&amp;'Supply planning data'!D801,'Shipments data'!AC:AC,"&lt;"&amp;'Supply planning data'!D801)-SUMIFS(M:M,D:D,"&lt;="&amp;D786,C:C,C786)-SUMIFS(AJ:AJ,D:D,"&lt;="&amp;D786,C:C,C786)+SUMIFS(N:N,D:D,"&lt;="&amp;D786,C:C,C786)+SUMIFS(P:P,D:D,"&lt;="&amp;D786,C:C,C786)&lt;0,0,SUMIFS('Shipments data'!L:L,'Shipments data'!F:F,'Supply planning data'!C786,'Shipments data'!A:A,'Supply planning data'!A786,'Shipments data'!O:O,"received",'Shipments data'!Q:Q,"&lt;"&amp;'Supply planning data'!D801,'Shipments data'!AC:AC,"&lt;"&amp;'Supply planning data'!D801)-SUMIFS(M:M,D:D,"&lt;="&amp;D786,C:C,C786)-SUMIFS(AJ:AJ,D:D,"&lt;="&amp;D786,C:C,C786)+SUMIFS(N:N,D:D,"&lt;="&amp;D786,C:C,C786)+SUMIFS(P:P,D:D,"&lt;="&amp;D786,C:C,C786))</f>
        <v>387547</v>
      </c>
      <c r="AM786" s="98">
        <f t="shared" si="228"/>
        <v>0</v>
      </c>
      <c r="AN786" s="98">
        <f t="shared" si="239"/>
        <v>1871200</v>
      </c>
      <c r="AO786" s="203" t="str">
        <f t="shared" si="231"/>
        <v/>
      </c>
    </row>
    <row r="787" spans="1:41" x14ac:dyDescent="0.25">
      <c r="A787" s="95" t="str">
        <f>Start!D$7</f>
        <v>Anyland</v>
      </c>
      <c r="B787" s="96" t="str">
        <f>VLOOKUP(A787,list!B:C,2,FALSE)</f>
        <v>ANY</v>
      </c>
      <c r="C787" s="90" t="str">
        <f>IF(Start!$C$19="","",Start!$C$19)</f>
        <v>Moderna</v>
      </c>
      <c r="D787" s="296">
        <f t="shared" si="222"/>
        <v>45778</v>
      </c>
      <c r="E787" s="92" t="str">
        <f>IFERROR(VLOOKUP(C787,Start!C$15:D$31,2,FALSE),"No")</f>
        <v>No</v>
      </c>
      <c r="F787" s="92">
        <f t="shared" si="223"/>
        <v>0</v>
      </c>
      <c r="G787" s="91"/>
      <c r="H787" s="97"/>
      <c r="I787" s="97"/>
      <c r="J787" s="98">
        <f t="shared" si="233"/>
        <v>0</v>
      </c>
      <c r="K787" s="97"/>
      <c r="L787" s="175" t="str">
        <f t="shared" si="234"/>
        <v/>
      </c>
      <c r="M787" s="98">
        <f t="shared" si="235"/>
        <v>0</v>
      </c>
      <c r="N787" s="97"/>
      <c r="O787" s="122"/>
      <c r="P787" s="97"/>
      <c r="Q787" s="122"/>
      <c r="R787" s="98">
        <f>SUMIFS('Shipments data'!L:L,'Shipments data'!F:F,'Supply planning data'!C787,'Shipments data'!A:A,'Supply planning data'!A787,'Shipments data'!Y:Y,'Supply planning data'!D787,'Shipments data'!O:O,"received", 'Shipments data'!N:N, "Public")</f>
        <v>0</v>
      </c>
      <c r="S787" s="98">
        <f>SUMIFS('Shipments data'!L:L,'Shipments data'!F:F,'Supply planning data'!C787,'Shipments data'!A:A,'Supply planning data'!A787,'Shipments data'!Y:Y,'Supply planning data'!D787,'Shipments data'!O:O,"ordered", 'Shipments data'!N:N, "Public")</f>
        <v>0</v>
      </c>
      <c r="T787" s="98">
        <f>IF(SUMIFS('Shipments data'!L:L,'Shipments data'!F:F,'Supply planning data'!C787,'Shipments data'!A:A,'Supply planning data'!A787,'Shipments data'!O:O,"received",'Shipments data'!Q:Q,"&lt;"&amp;'Supply planning data'!D802,'Shipments data'!AC:AC,"&lt;"&amp;'Supply planning data'!D802)-SUMIFS(M:M,D:D,"&lt;="&amp;D787,C:C,C787)+SUMIFS(N:N,D:D,"&lt;="&amp;D787,C:C,C787)+SUMIFS(P:P,D:D,"&lt;="&amp;D787,C:C,C787)&lt;0,0,SUMIFS('Shipments data'!L:L,'Shipments data'!F:F,'Supply planning data'!C787,'Shipments data'!A:A,'Supply planning data'!A787,'Shipments data'!O:O,"received",'Shipments data'!Q:Q,"&lt;"&amp;'Supply planning data'!D802,'Shipments data'!AC:AC,"&lt;"&amp;'Supply planning data'!D802)-SUMIFS(M:M,D:D,"&lt;="&amp;D787,C:C,C787)+SUMIFS(N:N,D:D,"&lt;="&amp;D787,C:C,C787)+SUMIFS(P:P,D:D,"&lt;="&amp;D787,C:C,C787))</f>
        <v>0</v>
      </c>
      <c r="U787" s="99">
        <f t="shared" si="224"/>
        <v>0</v>
      </c>
      <c r="V787" s="98">
        <f t="shared" si="232"/>
        <v>0</v>
      </c>
      <c r="W787" s="203" t="str">
        <f t="shared" si="230"/>
        <v/>
      </c>
      <c r="X787" s="98">
        <f t="shared" si="225"/>
        <v>0</v>
      </c>
      <c r="Y787" s="97"/>
      <c r="Z787" s="93"/>
      <c r="AA787" s="98">
        <f t="shared" si="236"/>
        <v>0</v>
      </c>
      <c r="AB787" s="233"/>
      <c r="AC787" s="98">
        <f>IF(SUMIFS('Shipments data'!L:L,'Shipments data'!F:F,'Supply planning data'!C787,'Shipments data'!A:A,'Supply planning data'!A787,'Shipments data'!O:O,"received",'Shipments data'!Q:Q,"&lt;"&amp;'Supply planning data'!D802,'Shipments data'!AC:AC,"&lt;"&amp;'Supply planning data'!D802)-SUMIFS(M:M,D:D,"&lt;="&amp;D787,C:C,C787)-SUMIFS(AA:AA,D:D,"&lt;="&amp;D787,C:C,C787)+SUMIFS(N:N,D:D,"&lt;="&amp;D787,C:C,C787)+SUMIFS(P:P,D:D,"&lt;="&amp;D787,C:C,C787)&lt;0,0,SUMIFS('Shipments data'!L:L,'Shipments data'!F:F,'Supply planning data'!C787,'Shipments data'!A:A,'Supply planning data'!A787,'Shipments data'!O:O,"received",'Shipments data'!Q:Q,"&lt;"&amp;'Supply planning data'!D802,'Shipments data'!AC:AC,"&lt;"&amp;'Supply planning data'!D802)-SUMIFS(M:M,D:D,"&lt;="&amp;D787,C:C,C787)-SUMIFS(AA:AA,D:D,"&lt;="&amp;D787,C:C,C787)+SUMIFS(N:N,D:D,"&lt;="&amp;D787,C:C,C787)+SUMIFS(P:P,D:D,"&lt;="&amp;D787,C:C,C787))</f>
        <v>0</v>
      </c>
      <c r="AD787" s="98">
        <f t="shared" si="226"/>
        <v>0</v>
      </c>
      <c r="AE787" s="98">
        <f t="shared" si="238"/>
        <v>0</v>
      </c>
      <c r="AF787" s="205" t="str">
        <f t="shared" si="229"/>
        <v/>
      </c>
      <c r="AG787" s="98">
        <f t="shared" si="227"/>
        <v>0</v>
      </c>
      <c r="AH787" s="97"/>
      <c r="AI787" s="311"/>
      <c r="AJ787" s="98">
        <f t="shared" si="237"/>
        <v>0</v>
      </c>
      <c r="AK787" s="233"/>
      <c r="AL787" s="98">
        <f>IF(SUMIFS('Shipments data'!L:L,'Shipments data'!F:F,'Supply planning data'!C787,'Shipments data'!A:A,'Supply planning data'!A787,'Shipments data'!O:O,"received",'Shipments data'!Q:Q,"&lt;"&amp;'Supply planning data'!D802,'Shipments data'!AC:AC,"&lt;"&amp;'Supply planning data'!D802)-SUMIFS(M:M,D:D,"&lt;="&amp;D787,C:C,C787)-SUMIFS(AJ:AJ,D:D,"&lt;="&amp;D787,C:C,C787)+SUMIFS(N:N,D:D,"&lt;="&amp;D787,C:C,C787)+SUMIFS(P:P,D:D,"&lt;="&amp;D787,C:C,C787)&lt;0,0,SUMIFS('Shipments data'!L:L,'Shipments data'!F:F,'Supply planning data'!C787,'Shipments data'!A:A,'Supply planning data'!A787,'Shipments data'!O:O,"received",'Shipments data'!Q:Q,"&lt;"&amp;'Supply planning data'!D802,'Shipments data'!AC:AC,"&lt;"&amp;'Supply planning data'!D802)-SUMIFS(M:M,D:D,"&lt;="&amp;D787,C:C,C787)-SUMIFS(AJ:AJ,D:D,"&lt;="&amp;D787,C:C,C787)+SUMIFS(N:N,D:D,"&lt;="&amp;D787,C:C,C787)+SUMIFS(P:P,D:D,"&lt;="&amp;D787,C:C,C787))</f>
        <v>0</v>
      </c>
      <c r="AM787" s="98">
        <f t="shared" si="228"/>
        <v>0</v>
      </c>
      <c r="AN787" s="98">
        <f t="shared" si="239"/>
        <v>0</v>
      </c>
      <c r="AO787" s="203" t="str">
        <f t="shared" si="231"/>
        <v/>
      </c>
    </row>
    <row r="788" spans="1:41" x14ac:dyDescent="0.25">
      <c r="A788" s="95" t="str">
        <f>Start!D$7</f>
        <v>Anyland</v>
      </c>
      <c r="B788" s="96" t="str">
        <f>VLOOKUP(A788,list!B:C,2,FALSE)</f>
        <v>ANY</v>
      </c>
      <c r="C788" s="90" t="str">
        <f>IF(Start!$C$20="","",Start!$C$20)</f>
        <v>Pfizer</v>
      </c>
      <c r="D788" s="296">
        <f t="shared" ref="D788:D851" si="240">DATE(YEAR(D773),MONTH(D773)+1,1)</f>
        <v>45778</v>
      </c>
      <c r="E788" s="92" t="str">
        <f>IFERROR(VLOOKUP(C788,Start!C$15:D$31,2,FALSE),"No")</f>
        <v>Yes</v>
      </c>
      <c r="F788" s="92">
        <f t="shared" ref="F788:F851" si="241">V773</f>
        <v>3000000</v>
      </c>
      <c r="G788" s="91"/>
      <c r="H788" s="97"/>
      <c r="I788" s="97"/>
      <c r="J788" s="98">
        <f t="shared" si="233"/>
        <v>0</v>
      </c>
      <c r="K788" s="97"/>
      <c r="L788" s="175" t="str">
        <f t="shared" si="234"/>
        <v/>
      </c>
      <c r="M788" s="98">
        <f t="shared" si="235"/>
        <v>0</v>
      </c>
      <c r="N788" s="97"/>
      <c r="O788" s="122"/>
      <c r="P788" s="97"/>
      <c r="Q788" s="122"/>
      <c r="R788" s="98">
        <f>SUMIFS('Shipments data'!L:L,'Shipments data'!F:F,'Supply planning data'!C788,'Shipments data'!A:A,'Supply planning data'!A788,'Shipments data'!Y:Y,'Supply planning data'!D788,'Shipments data'!O:O,"received", 'Shipments data'!N:N, "Public")</f>
        <v>0</v>
      </c>
      <c r="S788" s="98">
        <f>SUMIFS('Shipments data'!L:L,'Shipments data'!F:F,'Supply planning data'!C788,'Shipments data'!A:A,'Supply planning data'!A788,'Shipments data'!Y:Y,'Supply planning data'!D788,'Shipments data'!O:O,"ordered", 'Shipments data'!N:N, "Public")</f>
        <v>0</v>
      </c>
      <c r="T788" s="98">
        <f>IF(SUMIFS('Shipments data'!L:L,'Shipments data'!F:F,'Supply planning data'!C788,'Shipments data'!A:A,'Supply planning data'!A788,'Shipments data'!O:O,"received",'Shipments data'!Q:Q,"&lt;"&amp;'Supply planning data'!D803,'Shipments data'!AC:AC,"&lt;"&amp;'Supply planning data'!D803)-SUMIFS(M:M,D:D,"&lt;="&amp;D788,C:C,C788)+SUMIFS(N:N,D:D,"&lt;="&amp;D788,C:C,C788)+SUMIFS(P:P,D:D,"&lt;="&amp;D788,C:C,C788)&lt;0,0,SUMIFS('Shipments data'!L:L,'Shipments data'!F:F,'Supply planning data'!C788,'Shipments data'!A:A,'Supply planning data'!A788,'Shipments data'!O:O,"received",'Shipments data'!Q:Q,"&lt;"&amp;'Supply planning data'!D803,'Shipments data'!AC:AC,"&lt;"&amp;'Supply planning data'!D803)-SUMIFS(M:M,D:D,"&lt;="&amp;D788,C:C,C788)+SUMIFS(N:N,D:D,"&lt;="&amp;D788,C:C,C788)+SUMIFS(P:P,D:D,"&lt;="&amp;D788,C:C,C788))</f>
        <v>110538</v>
      </c>
      <c r="U788" s="99">
        <f t="shared" ref="U788:U851" si="242">IF(T788-T773&lt;0,0,T788-T773)</f>
        <v>0</v>
      </c>
      <c r="V788" s="98">
        <f t="shared" si="232"/>
        <v>3000000</v>
      </c>
      <c r="W788" s="203" t="str">
        <f t="shared" si="230"/>
        <v/>
      </c>
      <c r="X788" s="98">
        <f t="shared" ref="X788:X851" si="243">AE773</f>
        <v>2440000</v>
      </c>
      <c r="Y788" s="97"/>
      <c r="Z788" s="93"/>
      <c r="AA788" s="98">
        <f t="shared" si="236"/>
        <v>0</v>
      </c>
      <c r="AB788" s="233"/>
      <c r="AC788" s="98">
        <f>IF(SUMIFS('Shipments data'!L:L,'Shipments data'!F:F,'Supply planning data'!C788,'Shipments data'!A:A,'Supply planning data'!A788,'Shipments data'!O:O,"received",'Shipments data'!Q:Q,"&lt;"&amp;'Supply planning data'!D803,'Shipments data'!AC:AC,"&lt;"&amp;'Supply planning data'!D803)-SUMIFS(M:M,D:D,"&lt;="&amp;D788,C:C,C788)-SUMIFS(AA:AA,D:D,"&lt;="&amp;D788,C:C,C788)+SUMIFS(N:N,D:D,"&lt;="&amp;D788,C:C,C788)+SUMIFS(P:P,D:D,"&lt;="&amp;D788,C:C,C788)&lt;0,0,SUMIFS('Shipments data'!L:L,'Shipments data'!F:F,'Supply planning data'!C788,'Shipments data'!A:A,'Supply planning data'!A788,'Shipments data'!O:O,"received",'Shipments data'!Q:Q,"&lt;"&amp;'Supply planning data'!D803,'Shipments data'!AC:AC,"&lt;"&amp;'Supply planning data'!D803)-SUMIFS(M:M,D:D,"&lt;="&amp;D788,C:C,C788)-SUMIFS(AA:AA,D:D,"&lt;="&amp;D788,C:C,C788)+SUMIFS(N:N,D:D,"&lt;="&amp;D788,C:C,C788)+SUMIFS(P:P,D:D,"&lt;="&amp;D788,C:C,C788))</f>
        <v>0</v>
      </c>
      <c r="AD788" s="98">
        <f t="shared" ref="AD788:AD851" si="244">IF(AC788-AC773&lt;0,0,AC788-AC773)</f>
        <v>0</v>
      </c>
      <c r="AE788" s="98">
        <f t="shared" si="238"/>
        <v>2440000</v>
      </c>
      <c r="AF788" s="205" t="str">
        <f t="shared" si="229"/>
        <v/>
      </c>
      <c r="AG788" s="98">
        <f t="shared" ref="AG788:AG851" si="245">AN773</f>
        <v>3000000</v>
      </c>
      <c r="AH788" s="97"/>
      <c r="AI788" s="311"/>
      <c r="AJ788" s="98">
        <f t="shared" si="237"/>
        <v>0</v>
      </c>
      <c r="AK788" s="233"/>
      <c r="AL788" s="98">
        <f>IF(SUMIFS('Shipments data'!L:L,'Shipments data'!F:F,'Supply planning data'!C788,'Shipments data'!A:A,'Supply planning data'!A788,'Shipments data'!O:O,"received",'Shipments data'!Q:Q,"&lt;"&amp;'Supply planning data'!D803,'Shipments data'!AC:AC,"&lt;"&amp;'Supply planning data'!D803)-SUMIFS(M:M,D:D,"&lt;="&amp;D788,C:C,C788)-SUMIFS(AJ:AJ,D:D,"&lt;="&amp;D788,C:C,C788)+SUMIFS(N:N,D:D,"&lt;="&amp;D788,C:C,C788)+SUMIFS(P:P,D:D,"&lt;="&amp;D788,C:C,C788)&lt;0,0,SUMIFS('Shipments data'!L:L,'Shipments data'!F:F,'Supply planning data'!C788,'Shipments data'!A:A,'Supply planning data'!A788,'Shipments data'!O:O,"received",'Shipments data'!Q:Q,"&lt;"&amp;'Supply planning data'!D803,'Shipments data'!AC:AC,"&lt;"&amp;'Supply planning data'!D803)-SUMIFS(M:M,D:D,"&lt;="&amp;D788,C:C,C788)-SUMIFS(AJ:AJ,D:D,"&lt;="&amp;D788,C:C,C788)+SUMIFS(N:N,D:D,"&lt;="&amp;D788,C:C,C788)+SUMIFS(P:P,D:D,"&lt;="&amp;D788,C:C,C788))</f>
        <v>110538</v>
      </c>
      <c r="AM788" s="98">
        <f t="shared" ref="AM788:AM851" si="246">IF(AL788-AL773&lt;0,0,AL788-AL773)</f>
        <v>0</v>
      </c>
      <c r="AN788" s="98">
        <f t="shared" si="239"/>
        <v>3000000</v>
      </c>
      <c r="AO788" s="203" t="str">
        <f t="shared" si="231"/>
        <v/>
      </c>
    </row>
    <row r="789" spans="1:41" x14ac:dyDescent="0.25">
      <c r="A789" s="95" t="str">
        <f>Start!D$7</f>
        <v>Anyland</v>
      </c>
      <c r="B789" s="96" t="str">
        <f>VLOOKUP(A789,list!B:C,2,FALSE)</f>
        <v>ANY</v>
      </c>
      <c r="C789" s="90" t="str">
        <f>IF(Start!$C$21="","",Start!$C$21)</f>
        <v>Sinovac</v>
      </c>
      <c r="D789" s="296">
        <f t="shared" si="240"/>
        <v>45778</v>
      </c>
      <c r="E789" s="92" t="str">
        <f>IFERROR(VLOOKUP(C789,Start!C$15:D$31,2,FALSE),"No")</f>
        <v>No</v>
      </c>
      <c r="F789" s="92">
        <f t="shared" si="241"/>
        <v>0</v>
      </c>
      <c r="G789" s="91"/>
      <c r="H789" s="97"/>
      <c r="I789" s="97"/>
      <c r="J789" s="98">
        <f t="shared" si="233"/>
        <v>0</v>
      </c>
      <c r="K789" s="97"/>
      <c r="L789" s="175" t="str">
        <f t="shared" si="234"/>
        <v/>
      </c>
      <c r="M789" s="98">
        <f t="shared" si="235"/>
        <v>0</v>
      </c>
      <c r="N789" s="97"/>
      <c r="O789" s="122"/>
      <c r="P789" s="97"/>
      <c r="Q789" s="122"/>
      <c r="R789" s="98">
        <f>SUMIFS('Shipments data'!L:L,'Shipments data'!F:F,'Supply planning data'!C789,'Shipments data'!A:A,'Supply planning data'!A789,'Shipments data'!Y:Y,'Supply planning data'!D789,'Shipments data'!O:O,"received", 'Shipments data'!N:N, "Public")</f>
        <v>0</v>
      </c>
      <c r="S789" s="98">
        <f>SUMIFS('Shipments data'!L:L,'Shipments data'!F:F,'Supply planning data'!C789,'Shipments data'!A:A,'Supply planning data'!A789,'Shipments data'!Y:Y,'Supply planning data'!D789,'Shipments data'!O:O,"ordered", 'Shipments data'!N:N, "Public")</f>
        <v>0</v>
      </c>
      <c r="T789" s="98">
        <f>IF(SUMIFS('Shipments data'!L:L,'Shipments data'!F:F,'Supply planning data'!C789,'Shipments data'!A:A,'Supply planning data'!A789,'Shipments data'!O:O,"received",'Shipments data'!Q:Q,"&lt;"&amp;'Supply planning data'!D804,'Shipments data'!AC:AC,"&lt;"&amp;'Supply planning data'!D804)-SUMIFS(M:M,D:D,"&lt;="&amp;D789,C:C,C789)+SUMIFS(N:N,D:D,"&lt;="&amp;D789,C:C,C789)+SUMIFS(P:P,D:D,"&lt;="&amp;D789,C:C,C789)&lt;0,0,SUMIFS('Shipments data'!L:L,'Shipments data'!F:F,'Supply planning data'!C789,'Shipments data'!A:A,'Supply planning data'!A789,'Shipments data'!O:O,"received",'Shipments data'!Q:Q,"&lt;"&amp;'Supply planning data'!D804,'Shipments data'!AC:AC,"&lt;"&amp;'Supply planning data'!D804)-SUMIFS(M:M,D:D,"&lt;="&amp;D789,C:C,C789)+SUMIFS(N:N,D:D,"&lt;="&amp;D789,C:C,C789)+SUMIFS(P:P,D:D,"&lt;="&amp;D789,C:C,C789))</f>
        <v>0</v>
      </c>
      <c r="U789" s="99">
        <f t="shared" si="242"/>
        <v>0</v>
      </c>
      <c r="V789" s="98">
        <f t="shared" si="232"/>
        <v>0</v>
      </c>
      <c r="W789" s="203" t="str">
        <f t="shared" si="230"/>
        <v/>
      </c>
      <c r="X789" s="98">
        <f t="shared" si="243"/>
        <v>0</v>
      </c>
      <c r="Y789" s="97"/>
      <c r="Z789" s="93"/>
      <c r="AA789" s="98">
        <f t="shared" si="236"/>
        <v>0</v>
      </c>
      <c r="AB789" s="233"/>
      <c r="AC789" s="98">
        <f>IF(SUMIFS('Shipments data'!L:L,'Shipments data'!F:F,'Supply planning data'!C789,'Shipments data'!A:A,'Supply planning data'!A789,'Shipments data'!O:O,"received",'Shipments data'!Q:Q,"&lt;"&amp;'Supply planning data'!D804,'Shipments data'!AC:AC,"&lt;"&amp;'Supply planning data'!D804)-SUMIFS(M:M,D:D,"&lt;="&amp;D789,C:C,C789)-SUMIFS(AA:AA,D:D,"&lt;="&amp;D789,C:C,C789)+SUMIFS(N:N,D:D,"&lt;="&amp;D789,C:C,C789)+SUMIFS(P:P,D:D,"&lt;="&amp;D789,C:C,C789)&lt;0,0,SUMIFS('Shipments data'!L:L,'Shipments data'!F:F,'Supply planning data'!C789,'Shipments data'!A:A,'Supply planning data'!A789,'Shipments data'!O:O,"received",'Shipments data'!Q:Q,"&lt;"&amp;'Supply planning data'!D804,'Shipments data'!AC:AC,"&lt;"&amp;'Supply planning data'!D804)-SUMIFS(M:M,D:D,"&lt;="&amp;D789,C:C,C789)-SUMIFS(AA:AA,D:D,"&lt;="&amp;D789,C:C,C789)+SUMIFS(N:N,D:D,"&lt;="&amp;D789,C:C,C789)+SUMIFS(P:P,D:D,"&lt;="&amp;D789,C:C,C789))</f>
        <v>0</v>
      </c>
      <c r="AD789" s="98">
        <f t="shared" si="244"/>
        <v>0</v>
      </c>
      <c r="AE789" s="98">
        <f t="shared" si="238"/>
        <v>0</v>
      </c>
      <c r="AF789" s="205" t="str">
        <f t="shared" si="229"/>
        <v/>
      </c>
      <c r="AG789" s="98">
        <f t="shared" si="245"/>
        <v>0</v>
      </c>
      <c r="AH789" s="97"/>
      <c r="AI789" s="311"/>
      <c r="AJ789" s="98">
        <f t="shared" si="237"/>
        <v>0</v>
      </c>
      <c r="AK789" s="233"/>
      <c r="AL789" s="98">
        <f>IF(SUMIFS('Shipments data'!L:L,'Shipments data'!F:F,'Supply planning data'!C789,'Shipments data'!A:A,'Supply planning data'!A789,'Shipments data'!O:O,"received",'Shipments data'!Q:Q,"&lt;"&amp;'Supply planning data'!D804,'Shipments data'!AC:AC,"&lt;"&amp;'Supply planning data'!D804)-SUMIFS(M:M,D:D,"&lt;="&amp;D789,C:C,C789)-SUMIFS(AJ:AJ,D:D,"&lt;="&amp;D789,C:C,C789)+SUMIFS(N:N,D:D,"&lt;="&amp;D789,C:C,C789)+SUMIFS(P:P,D:D,"&lt;="&amp;D789,C:C,C789)&lt;0,0,SUMIFS('Shipments data'!L:L,'Shipments data'!F:F,'Supply planning data'!C789,'Shipments data'!A:A,'Supply planning data'!A789,'Shipments data'!O:O,"received",'Shipments data'!Q:Q,"&lt;"&amp;'Supply planning data'!D804,'Shipments data'!AC:AC,"&lt;"&amp;'Supply planning data'!D804)-SUMIFS(M:M,D:D,"&lt;="&amp;D789,C:C,C789)-SUMIFS(AJ:AJ,D:D,"&lt;="&amp;D789,C:C,C789)+SUMIFS(N:N,D:D,"&lt;="&amp;D789,C:C,C789)+SUMIFS(P:P,D:D,"&lt;="&amp;D789,C:C,C789))</f>
        <v>0</v>
      </c>
      <c r="AM789" s="98">
        <f t="shared" si="246"/>
        <v>0</v>
      </c>
      <c r="AN789" s="98">
        <f t="shared" si="239"/>
        <v>0</v>
      </c>
      <c r="AO789" s="203" t="str">
        <f t="shared" si="231"/>
        <v/>
      </c>
    </row>
    <row r="790" spans="1:41" hidden="1" x14ac:dyDescent="0.25">
      <c r="A790" s="95" t="str">
        <f>Start!D$7</f>
        <v>Anyland</v>
      </c>
      <c r="B790" s="96" t="str">
        <f>VLOOKUP(A790,list!B:C,2,FALSE)</f>
        <v>ANY</v>
      </c>
      <c r="C790" s="90" t="str">
        <f>IF(Start!$C$22="","",Start!$C$22)</f>
        <v/>
      </c>
      <c r="D790" s="296">
        <f t="shared" si="240"/>
        <v>45778</v>
      </c>
      <c r="E790" s="92" t="str">
        <f>IFERROR(VLOOKUP(C790,Start!C$15:D$31,2,FALSE),"No")</f>
        <v>No</v>
      </c>
      <c r="F790" s="92">
        <f t="shared" si="241"/>
        <v>0</v>
      </c>
      <c r="G790" s="91"/>
      <c r="H790" s="97"/>
      <c r="I790" s="97"/>
      <c r="J790" s="98">
        <f t="shared" si="233"/>
        <v>0</v>
      </c>
      <c r="K790" s="97"/>
      <c r="L790" s="175" t="str">
        <f t="shared" si="234"/>
        <v/>
      </c>
      <c r="M790" s="98">
        <f t="shared" si="235"/>
        <v>0</v>
      </c>
      <c r="N790" s="97"/>
      <c r="O790" s="122"/>
      <c r="P790" s="97"/>
      <c r="Q790" s="122"/>
      <c r="R790" s="98">
        <f>SUMIFS('Shipments data'!L:L,'Shipments data'!F:F,'Supply planning data'!C790,'Shipments data'!A:A,'Supply planning data'!A790,'Shipments data'!Y:Y,'Supply planning data'!D790,'Shipments data'!O:O,"received", 'Shipments data'!N:N, "Public")</f>
        <v>0</v>
      </c>
      <c r="S790" s="98">
        <f>SUMIFS('Shipments data'!L:L,'Shipments data'!F:F,'Supply planning data'!C790,'Shipments data'!A:A,'Supply planning data'!A790,'Shipments data'!Y:Y,'Supply planning data'!D790,'Shipments data'!O:O,"ordered", 'Shipments data'!N:N, "Public")</f>
        <v>0</v>
      </c>
      <c r="T790" s="98">
        <f>IF(SUMIFS('Shipments data'!L:L,'Shipments data'!F:F,'Supply planning data'!C790,'Shipments data'!A:A,'Supply planning data'!A790,'Shipments data'!O:O,"received",'Shipments data'!Q:Q,"&lt;"&amp;'Supply planning data'!D805,'Shipments data'!AC:AC,"&lt;"&amp;'Supply planning data'!D805)-SUMIFS(M:M,D:D,"&lt;="&amp;D790,C:C,C790)+SUMIFS(N:N,D:D,"&lt;="&amp;D790,C:C,C790)+SUMIFS(P:P,D:D,"&lt;="&amp;D790,C:C,C790)&lt;0,0,SUMIFS('Shipments data'!L:L,'Shipments data'!F:F,'Supply planning data'!C790,'Shipments data'!A:A,'Supply planning data'!A790,'Shipments data'!O:O,"received",'Shipments data'!Q:Q,"&lt;"&amp;'Supply planning data'!D805,'Shipments data'!AC:AC,"&lt;"&amp;'Supply planning data'!D805)-SUMIFS(M:M,D:D,"&lt;="&amp;D790,C:C,C790)+SUMIFS(N:N,D:D,"&lt;="&amp;D790,C:C,C790)+SUMIFS(P:P,D:D,"&lt;="&amp;D790,C:C,C790))</f>
        <v>0</v>
      </c>
      <c r="U790" s="99">
        <f t="shared" si="242"/>
        <v>0</v>
      </c>
      <c r="V790" s="98">
        <f t="shared" si="232"/>
        <v>0</v>
      </c>
      <c r="W790" s="203" t="str">
        <f t="shared" si="230"/>
        <v/>
      </c>
      <c r="X790" s="98">
        <f t="shared" si="243"/>
        <v>0</v>
      </c>
      <c r="Y790" s="97"/>
      <c r="Z790" s="93"/>
      <c r="AA790" s="98">
        <f t="shared" si="236"/>
        <v>0</v>
      </c>
      <c r="AB790" s="233"/>
      <c r="AC790" s="98">
        <f>IF(SUMIFS('Shipments data'!L:L,'Shipments data'!F:F,'Supply planning data'!C790,'Shipments data'!A:A,'Supply planning data'!A790,'Shipments data'!O:O,"received",'Shipments data'!Q:Q,"&lt;"&amp;'Supply planning data'!D805,'Shipments data'!AC:AC,"&lt;"&amp;'Supply planning data'!D805)-SUMIFS(M:M,D:D,"&lt;="&amp;D790,C:C,C790)-SUMIFS(AA:AA,D:D,"&lt;="&amp;D790,C:C,C790)+SUMIFS(N:N,D:D,"&lt;="&amp;D790,C:C,C790)+SUMIFS(P:P,D:D,"&lt;="&amp;D790,C:C,C790)&lt;0,0,SUMIFS('Shipments data'!L:L,'Shipments data'!F:F,'Supply planning data'!C790,'Shipments data'!A:A,'Supply planning data'!A790,'Shipments data'!O:O,"received",'Shipments data'!Q:Q,"&lt;"&amp;'Supply planning data'!D805,'Shipments data'!AC:AC,"&lt;"&amp;'Supply planning data'!D805)-SUMIFS(M:M,D:D,"&lt;="&amp;D790,C:C,C790)-SUMIFS(AA:AA,D:D,"&lt;="&amp;D790,C:C,C790)+SUMIFS(N:N,D:D,"&lt;="&amp;D790,C:C,C790)+SUMIFS(P:P,D:D,"&lt;="&amp;D790,C:C,C790))</f>
        <v>0</v>
      </c>
      <c r="AD790" s="98">
        <f t="shared" si="244"/>
        <v>0</v>
      </c>
      <c r="AE790" s="98">
        <f t="shared" si="238"/>
        <v>0</v>
      </c>
      <c r="AF790" s="205" t="str">
        <f t="shared" si="229"/>
        <v/>
      </c>
      <c r="AG790" s="98">
        <f t="shared" si="245"/>
        <v>0</v>
      </c>
      <c r="AH790" s="97"/>
      <c r="AI790" s="311"/>
      <c r="AJ790" s="98">
        <f t="shared" si="237"/>
        <v>0</v>
      </c>
      <c r="AK790" s="233"/>
      <c r="AL790" s="98">
        <f>IF(SUMIFS('Shipments data'!L:L,'Shipments data'!F:F,'Supply planning data'!C790,'Shipments data'!A:A,'Supply planning data'!A790,'Shipments data'!O:O,"received",'Shipments data'!Q:Q,"&lt;"&amp;'Supply planning data'!D805,'Shipments data'!AC:AC,"&lt;"&amp;'Supply planning data'!D805)-SUMIFS(M:M,D:D,"&lt;="&amp;D790,C:C,C790)-SUMIFS(AJ:AJ,D:D,"&lt;="&amp;D790,C:C,C790)+SUMIFS(N:N,D:D,"&lt;="&amp;D790,C:C,C790)+SUMIFS(P:P,D:D,"&lt;="&amp;D790,C:C,C790)&lt;0,0,SUMIFS('Shipments data'!L:L,'Shipments data'!F:F,'Supply planning data'!C790,'Shipments data'!A:A,'Supply planning data'!A790,'Shipments data'!O:O,"received",'Shipments data'!Q:Q,"&lt;"&amp;'Supply planning data'!D805,'Shipments data'!AC:AC,"&lt;"&amp;'Supply planning data'!D805)-SUMIFS(M:M,D:D,"&lt;="&amp;D790,C:C,C790)-SUMIFS(AJ:AJ,D:D,"&lt;="&amp;D790,C:C,C790)+SUMIFS(N:N,D:D,"&lt;="&amp;D790,C:C,C790)+SUMIFS(P:P,D:D,"&lt;="&amp;D790,C:C,C790))</f>
        <v>0</v>
      </c>
      <c r="AM790" s="98">
        <f t="shared" si="246"/>
        <v>0</v>
      </c>
      <c r="AN790" s="98">
        <f t="shared" si="239"/>
        <v>0</v>
      </c>
      <c r="AO790" s="203" t="str">
        <f t="shared" si="231"/>
        <v/>
      </c>
    </row>
    <row r="791" spans="1:41" hidden="1" x14ac:dyDescent="0.25">
      <c r="A791" s="95" t="str">
        <f>Start!D$7</f>
        <v>Anyland</v>
      </c>
      <c r="B791" s="96" t="str">
        <f>VLOOKUP(A791,list!B:C,2,FALSE)</f>
        <v>ANY</v>
      </c>
      <c r="C791" s="90" t="str">
        <f>IF(Start!$C$23="","",Start!$C$23)</f>
        <v/>
      </c>
      <c r="D791" s="296">
        <f t="shared" si="240"/>
        <v>45778</v>
      </c>
      <c r="E791" s="92" t="str">
        <f>IFERROR(VLOOKUP(C791,Start!C$15:D$31,2,FALSE),"No")</f>
        <v>No</v>
      </c>
      <c r="F791" s="92">
        <f t="shared" si="241"/>
        <v>0</v>
      </c>
      <c r="G791" s="91"/>
      <c r="H791" s="97"/>
      <c r="I791" s="97"/>
      <c r="J791" s="98">
        <f t="shared" si="233"/>
        <v>0</v>
      </c>
      <c r="K791" s="97"/>
      <c r="L791" s="175" t="str">
        <f t="shared" si="234"/>
        <v/>
      </c>
      <c r="M791" s="98">
        <f t="shared" si="235"/>
        <v>0</v>
      </c>
      <c r="N791" s="97"/>
      <c r="O791" s="122"/>
      <c r="P791" s="97"/>
      <c r="Q791" s="122"/>
      <c r="R791" s="98">
        <f>SUMIFS('Shipments data'!L:L,'Shipments data'!F:F,'Supply planning data'!C791,'Shipments data'!A:A,'Supply planning data'!A791,'Shipments data'!Y:Y,'Supply planning data'!D791,'Shipments data'!O:O,"received", 'Shipments data'!N:N, "Public")</f>
        <v>0</v>
      </c>
      <c r="S791" s="98">
        <f>SUMIFS('Shipments data'!L:L,'Shipments data'!F:F,'Supply planning data'!C791,'Shipments data'!A:A,'Supply planning data'!A791,'Shipments data'!Y:Y,'Supply planning data'!D791,'Shipments data'!O:O,"ordered", 'Shipments data'!N:N, "Public")</f>
        <v>0</v>
      </c>
      <c r="T791" s="98">
        <f>IF(SUMIFS('Shipments data'!L:L,'Shipments data'!F:F,'Supply planning data'!C791,'Shipments data'!A:A,'Supply planning data'!A791,'Shipments data'!O:O,"received",'Shipments data'!Q:Q,"&lt;"&amp;'Supply planning data'!D806,'Shipments data'!AC:AC,"&lt;"&amp;'Supply planning data'!D806)-SUMIFS(M:M,D:D,"&lt;="&amp;D791,C:C,C791)+SUMIFS(N:N,D:D,"&lt;="&amp;D791,C:C,C791)+SUMIFS(P:P,D:D,"&lt;="&amp;D791,C:C,C791)&lt;0,0,SUMIFS('Shipments data'!L:L,'Shipments data'!F:F,'Supply planning data'!C791,'Shipments data'!A:A,'Supply planning data'!A791,'Shipments data'!O:O,"received",'Shipments data'!Q:Q,"&lt;"&amp;'Supply planning data'!D806,'Shipments data'!AC:AC,"&lt;"&amp;'Supply planning data'!D806)-SUMIFS(M:M,D:D,"&lt;="&amp;D791,C:C,C791)+SUMIFS(N:N,D:D,"&lt;="&amp;D791,C:C,C791)+SUMIFS(P:P,D:D,"&lt;="&amp;D791,C:C,C791))</f>
        <v>0</v>
      </c>
      <c r="U791" s="99">
        <f t="shared" si="242"/>
        <v>0</v>
      </c>
      <c r="V791" s="98">
        <f t="shared" si="232"/>
        <v>0</v>
      </c>
      <c r="W791" s="203" t="str">
        <f t="shared" si="230"/>
        <v/>
      </c>
      <c r="X791" s="98">
        <f t="shared" si="243"/>
        <v>0</v>
      </c>
      <c r="Y791" s="97"/>
      <c r="Z791" s="93"/>
      <c r="AA791" s="98">
        <f t="shared" si="236"/>
        <v>0</v>
      </c>
      <c r="AB791" s="233"/>
      <c r="AC791" s="98">
        <f>IF(SUMIFS('Shipments data'!L:L,'Shipments data'!F:F,'Supply planning data'!C791,'Shipments data'!A:A,'Supply planning data'!A791,'Shipments data'!O:O,"received",'Shipments data'!Q:Q,"&lt;"&amp;'Supply planning data'!D806,'Shipments data'!AC:AC,"&lt;"&amp;'Supply planning data'!D806)-SUMIFS(M:M,D:D,"&lt;="&amp;D791,C:C,C791)-SUMIFS(AA:AA,D:D,"&lt;="&amp;D791,C:C,C791)+SUMIFS(N:N,D:D,"&lt;="&amp;D791,C:C,C791)+SUMIFS(P:P,D:D,"&lt;="&amp;D791,C:C,C791)&lt;0,0,SUMIFS('Shipments data'!L:L,'Shipments data'!F:F,'Supply planning data'!C791,'Shipments data'!A:A,'Supply planning data'!A791,'Shipments data'!O:O,"received",'Shipments data'!Q:Q,"&lt;"&amp;'Supply planning data'!D806,'Shipments data'!AC:AC,"&lt;"&amp;'Supply planning data'!D806)-SUMIFS(M:M,D:D,"&lt;="&amp;D791,C:C,C791)-SUMIFS(AA:AA,D:D,"&lt;="&amp;D791,C:C,C791)+SUMIFS(N:N,D:D,"&lt;="&amp;D791,C:C,C791)+SUMIFS(P:P,D:D,"&lt;="&amp;D791,C:C,C791))</f>
        <v>0</v>
      </c>
      <c r="AD791" s="98">
        <f t="shared" si="244"/>
        <v>0</v>
      </c>
      <c r="AE791" s="98">
        <f t="shared" si="238"/>
        <v>0</v>
      </c>
      <c r="AF791" s="205" t="str">
        <f t="shared" si="229"/>
        <v/>
      </c>
      <c r="AG791" s="98">
        <f t="shared" si="245"/>
        <v>0</v>
      </c>
      <c r="AH791" s="97"/>
      <c r="AI791" s="311"/>
      <c r="AJ791" s="98">
        <f t="shared" si="237"/>
        <v>0</v>
      </c>
      <c r="AK791" s="233"/>
      <c r="AL791" s="98">
        <f>IF(SUMIFS('Shipments data'!L:L,'Shipments data'!F:F,'Supply planning data'!C791,'Shipments data'!A:A,'Supply planning data'!A791,'Shipments data'!O:O,"received",'Shipments data'!Q:Q,"&lt;"&amp;'Supply planning data'!D806,'Shipments data'!AC:AC,"&lt;"&amp;'Supply planning data'!D806)-SUMIFS(M:M,D:D,"&lt;="&amp;D791,C:C,C791)-SUMIFS(AJ:AJ,D:D,"&lt;="&amp;D791,C:C,C791)+SUMIFS(N:N,D:D,"&lt;="&amp;D791,C:C,C791)+SUMIFS(P:P,D:D,"&lt;="&amp;D791,C:C,C791)&lt;0,0,SUMIFS('Shipments data'!L:L,'Shipments data'!F:F,'Supply planning data'!C791,'Shipments data'!A:A,'Supply planning data'!A791,'Shipments data'!O:O,"received",'Shipments data'!Q:Q,"&lt;"&amp;'Supply planning data'!D806,'Shipments data'!AC:AC,"&lt;"&amp;'Supply planning data'!D806)-SUMIFS(M:M,D:D,"&lt;="&amp;D791,C:C,C791)-SUMIFS(AJ:AJ,D:D,"&lt;="&amp;D791,C:C,C791)+SUMIFS(N:N,D:D,"&lt;="&amp;D791,C:C,C791)+SUMIFS(P:P,D:D,"&lt;="&amp;D791,C:C,C791))</f>
        <v>0</v>
      </c>
      <c r="AM791" s="98">
        <f t="shared" si="246"/>
        <v>0</v>
      </c>
      <c r="AN791" s="98">
        <f t="shared" si="239"/>
        <v>0</v>
      </c>
      <c r="AO791" s="203" t="str">
        <f t="shared" si="231"/>
        <v/>
      </c>
    </row>
    <row r="792" spans="1:41" hidden="1" x14ac:dyDescent="0.25">
      <c r="A792" s="95" t="str">
        <f>Start!D$7</f>
        <v>Anyland</v>
      </c>
      <c r="B792" s="96" t="str">
        <f>VLOOKUP(A792,list!B:C,2,FALSE)</f>
        <v>ANY</v>
      </c>
      <c r="C792" s="90" t="str">
        <f>IF(Start!$C$24="","",Start!$C$24)</f>
        <v/>
      </c>
      <c r="D792" s="296">
        <f t="shared" si="240"/>
        <v>45778</v>
      </c>
      <c r="E792" s="92" t="str">
        <f>IFERROR(VLOOKUP(C792,Start!C$15:D$31,2,FALSE),"No")</f>
        <v>No</v>
      </c>
      <c r="F792" s="92">
        <f t="shared" si="241"/>
        <v>0</v>
      </c>
      <c r="G792" s="91"/>
      <c r="H792" s="97"/>
      <c r="I792" s="97"/>
      <c r="J792" s="98">
        <f t="shared" si="233"/>
        <v>0</v>
      </c>
      <c r="K792" s="97"/>
      <c r="L792" s="175" t="str">
        <f t="shared" si="234"/>
        <v/>
      </c>
      <c r="M792" s="98">
        <f t="shared" si="235"/>
        <v>0</v>
      </c>
      <c r="N792" s="97"/>
      <c r="O792" s="122"/>
      <c r="P792" s="97"/>
      <c r="Q792" s="122"/>
      <c r="R792" s="98">
        <f>SUMIFS('Shipments data'!L:L,'Shipments data'!F:F,'Supply planning data'!C792,'Shipments data'!A:A,'Supply planning data'!A792,'Shipments data'!Y:Y,'Supply planning data'!D792,'Shipments data'!O:O,"received", 'Shipments data'!N:N, "Public")</f>
        <v>0</v>
      </c>
      <c r="S792" s="98">
        <f>SUMIFS('Shipments data'!L:L,'Shipments data'!F:F,'Supply planning data'!C792,'Shipments data'!A:A,'Supply planning data'!A792,'Shipments data'!Y:Y,'Supply planning data'!D792,'Shipments data'!O:O,"ordered", 'Shipments data'!N:N, "Public")</f>
        <v>0</v>
      </c>
      <c r="T792" s="98">
        <f>IF(SUMIFS('Shipments data'!L:L,'Shipments data'!F:F,'Supply planning data'!C792,'Shipments data'!A:A,'Supply planning data'!A792,'Shipments data'!O:O,"received",'Shipments data'!Q:Q,"&lt;"&amp;'Supply planning data'!D807,'Shipments data'!AC:AC,"&lt;"&amp;'Supply planning data'!D807)-SUMIFS(M:M,D:D,"&lt;="&amp;D792,C:C,C792)+SUMIFS(N:N,D:D,"&lt;="&amp;D792,C:C,C792)+SUMIFS(P:P,D:D,"&lt;="&amp;D792,C:C,C792)&lt;0,0,SUMIFS('Shipments data'!L:L,'Shipments data'!F:F,'Supply planning data'!C792,'Shipments data'!A:A,'Supply planning data'!A792,'Shipments data'!O:O,"received",'Shipments data'!Q:Q,"&lt;"&amp;'Supply planning data'!D807,'Shipments data'!AC:AC,"&lt;"&amp;'Supply planning data'!D807)-SUMIFS(M:M,D:D,"&lt;="&amp;D792,C:C,C792)+SUMIFS(N:N,D:D,"&lt;="&amp;D792,C:C,C792)+SUMIFS(P:P,D:D,"&lt;="&amp;D792,C:C,C792))</f>
        <v>0</v>
      </c>
      <c r="U792" s="99">
        <f t="shared" si="242"/>
        <v>0</v>
      </c>
      <c r="V792" s="98">
        <f t="shared" si="232"/>
        <v>0</v>
      </c>
      <c r="W792" s="203" t="str">
        <f t="shared" si="230"/>
        <v/>
      </c>
      <c r="X792" s="98">
        <f t="shared" si="243"/>
        <v>0</v>
      </c>
      <c r="Y792" s="97"/>
      <c r="Z792" s="93"/>
      <c r="AA792" s="98">
        <f t="shared" si="236"/>
        <v>0</v>
      </c>
      <c r="AB792" s="233"/>
      <c r="AC792" s="98">
        <f>IF(SUMIFS('Shipments data'!L:L,'Shipments data'!F:F,'Supply planning data'!C792,'Shipments data'!A:A,'Supply planning data'!A792,'Shipments data'!O:O,"received",'Shipments data'!Q:Q,"&lt;"&amp;'Supply planning data'!D807,'Shipments data'!AC:AC,"&lt;"&amp;'Supply planning data'!D807)-SUMIFS(M:M,D:D,"&lt;="&amp;D792,C:C,C792)-SUMIFS(AA:AA,D:D,"&lt;="&amp;D792,C:C,C792)+SUMIFS(N:N,D:D,"&lt;="&amp;D792,C:C,C792)+SUMIFS(P:P,D:D,"&lt;="&amp;D792,C:C,C792)&lt;0,0,SUMIFS('Shipments data'!L:L,'Shipments data'!F:F,'Supply planning data'!C792,'Shipments data'!A:A,'Supply planning data'!A792,'Shipments data'!O:O,"received",'Shipments data'!Q:Q,"&lt;"&amp;'Supply planning data'!D807,'Shipments data'!AC:AC,"&lt;"&amp;'Supply planning data'!D807)-SUMIFS(M:M,D:D,"&lt;="&amp;D792,C:C,C792)-SUMIFS(AA:AA,D:D,"&lt;="&amp;D792,C:C,C792)+SUMIFS(N:N,D:D,"&lt;="&amp;D792,C:C,C792)+SUMIFS(P:P,D:D,"&lt;="&amp;D792,C:C,C792))</f>
        <v>0</v>
      </c>
      <c r="AD792" s="98">
        <f t="shared" si="244"/>
        <v>0</v>
      </c>
      <c r="AE792" s="98">
        <f t="shared" si="238"/>
        <v>0</v>
      </c>
      <c r="AF792" s="205" t="str">
        <f t="shared" si="229"/>
        <v/>
      </c>
      <c r="AG792" s="98">
        <f t="shared" si="245"/>
        <v>0</v>
      </c>
      <c r="AH792" s="97"/>
      <c r="AI792" s="311"/>
      <c r="AJ792" s="98">
        <f t="shared" si="237"/>
        <v>0</v>
      </c>
      <c r="AK792" s="233"/>
      <c r="AL792" s="98">
        <f>IF(SUMIFS('Shipments data'!L:L,'Shipments data'!F:F,'Supply planning data'!C792,'Shipments data'!A:A,'Supply planning data'!A792,'Shipments data'!O:O,"received",'Shipments data'!Q:Q,"&lt;"&amp;'Supply planning data'!D807,'Shipments data'!AC:AC,"&lt;"&amp;'Supply planning data'!D807)-SUMIFS(M:M,D:D,"&lt;="&amp;D792,C:C,C792)-SUMIFS(AJ:AJ,D:D,"&lt;="&amp;D792,C:C,C792)+SUMIFS(N:N,D:D,"&lt;="&amp;D792,C:C,C792)+SUMIFS(P:P,D:D,"&lt;="&amp;D792,C:C,C792)&lt;0,0,SUMIFS('Shipments data'!L:L,'Shipments data'!F:F,'Supply planning data'!C792,'Shipments data'!A:A,'Supply planning data'!A792,'Shipments data'!O:O,"received",'Shipments data'!Q:Q,"&lt;"&amp;'Supply planning data'!D807,'Shipments data'!AC:AC,"&lt;"&amp;'Supply planning data'!D807)-SUMIFS(M:M,D:D,"&lt;="&amp;D792,C:C,C792)-SUMIFS(AJ:AJ,D:D,"&lt;="&amp;D792,C:C,C792)+SUMIFS(N:N,D:D,"&lt;="&amp;D792,C:C,C792)+SUMIFS(P:P,D:D,"&lt;="&amp;D792,C:C,C792))</f>
        <v>0</v>
      </c>
      <c r="AM792" s="98">
        <f t="shared" si="246"/>
        <v>0</v>
      </c>
      <c r="AN792" s="98">
        <f t="shared" si="239"/>
        <v>0</v>
      </c>
      <c r="AO792" s="203" t="str">
        <f t="shared" si="231"/>
        <v/>
      </c>
    </row>
    <row r="793" spans="1:41" hidden="1" x14ac:dyDescent="0.25">
      <c r="A793" s="95" t="str">
        <f>Start!D$7</f>
        <v>Anyland</v>
      </c>
      <c r="B793" s="96" t="str">
        <f>VLOOKUP(A793,list!B:C,2,FALSE)</f>
        <v>ANY</v>
      </c>
      <c r="C793" s="90" t="str">
        <f>IF(Start!$C$25="","",Start!$C$25)</f>
        <v/>
      </c>
      <c r="D793" s="296">
        <f t="shared" si="240"/>
        <v>45778</v>
      </c>
      <c r="E793" s="92" t="str">
        <f>IFERROR(VLOOKUP(C793,Start!C$15:D$31,2,FALSE),"No")</f>
        <v>No</v>
      </c>
      <c r="F793" s="92">
        <f t="shared" si="241"/>
        <v>0</v>
      </c>
      <c r="G793" s="91"/>
      <c r="H793" s="97"/>
      <c r="I793" s="97"/>
      <c r="J793" s="98">
        <f t="shared" si="233"/>
        <v>0</v>
      </c>
      <c r="K793" s="97"/>
      <c r="L793" s="175" t="str">
        <f t="shared" si="234"/>
        <v/>
      </c>
      <c r="M793" s="98">
        <f t="shared" si="235"/>
        <v>0</v>
      </c>
      <c r="N793" s="97"/>
      <c r="O793" s="122"/>
      <c r="P793" s="97"/>
      <c r="Q793" s="122"/>
      <c r="R793" s="98">
        <f>SUMIFS('Shipments data'!L:L,'Shipments data'!F:F,'Supply planning data'!C793,'Shipments data'!A:A,'Supply planning data'!A793,'Shipments data'!Y:Y,'Supply planning data'!D793,'Shipments data'!O:O,"received", 'Shipments data'!N:N, "Public")</f>
        <v>0</v>
      </c>
      <c r="S793" s="98">
        <f>SUMIFS('Shipments data'!L:L,'Shipments data'!F:F,'Supply planning data'!C793,'Shipments data'!A:A,'Supply planning data'!A793,'Shipments data'!Y:Y,'Supply planning data'!D793,'Shipments data'!O:O,"ordered", 'Shipments data'!N:N, "Public")</f>
        <v>0</v>
      </c>
      <c r="T793" s="98">
        <f>IF(SUMIFS('Shipments data'!L:L,'Shipments data'!F:F,'Supply planning data'!C793,'Shipments data'!A:A,'Supply planning data'!A793,'Shipments data'!O:O,"received",'Shipments data'!Q:Q,"&lt;"&amp;'Supply planning data'!D808,'Shipments data'!AC:AC,"&lt;"&amp;'Supply planning data'!D808)-SUMIFS(M:M,D:D,"&lt;="&amp;D793,C:C,C793)+SUMIFS(N:N,D:D,"&lt;="&amp;D793,C:C,C793)+SUMIFS(P:P,D:D,"&lt;="&amp;D793,C:C,C793)&lt;0,0,SUMIFS('Shipments data'!L:L,'Shipments data'!F:F,'Supply planning data'!C793,'Shipments data'!A:A,'Supply planning data'!A793,'Shipments data'!O:O,"received",'Shipments data'!Q:Q,"&lt;"&amp;'Supply planning data'!D808,'Shipments data'!AC:AC,"&lt;"&amp;'Supply planning data'!D808)-SUMIFS(M:M,D:D,"&lt;="&amp;D793,C:C,C793)+SUMIFS(N:N,D:D,"&lt;="&amp;D793,C:C,C793)+SUMIFS(P:P,D:D,"&lt;="&amp;D793,C:C,C793))</f>
        <v>0</v>
      </c>
      <c r="U793" s="99">
        <f t="shared" si="242"/>
        <v>0</v>
      </c>
      <c r="V793" s="98">
        <f t="shared" si="232"/>
        <v>0</v>
      </c>
      <c r="W793" s="203" t="str">
        <f t="shared" si="230"/>
        <v/>
      </c>
      <c r="X793" s="98">
        <f t="shared" si="243"/>
        <v>0</v>
      </c>
      <c r="Y793" s="97"/>
      <c r="Z793" s="93"/>
      <c r="AA793" s="98">
        <f t="shared" si="236"/>
        <v>0</v>
      </c>
      <c r="AB793" s="233"/>
      <c r="AC793" s="98">
        <f>IF(SUMIFS('Shipments data'!L:L,'Shipments data'!F:F,'Supply planning data'!C793,'Shipments data'!A:A,'Supply planning data'!A793,'Shipments data'!O:O,"received",'Shipments data'!Q:Q,"&lt;"&amp;'Supply planning data'!D808,'Shipments data'!AC:AC,"&lt;"&amp;'Supply planning data'!D808)-SUMIFS(M:M,D:D,"&lt;="&amp;D793,C:C,C793)-SUMIFS(AA:AA,D:D,"&lt;="&amp;D793,C:C,C793)+SUMIFS(N:N,D:D,"&lt;="&amp;D793,C:C,C793)+SUMIFS(P:P,D:D,"&lt;="&amp;D793,C:C,C793)&lt;0,0,SUMIFS('Shipments data'!L:L,'Shipments data'!F:F,'Supply planning data'!C793,'Shipments data'!A:A,'Supply planning data'!A793,'Shipments data'!O:O,"received",'Shipments data'!Q:Q,"&lt;"&amp;'Supply planning data'!D808,'Shipments data'!AC:AC,"&lt;"&amp;'Supply planning data'!D808)-SUMIFS(M:M,D:D,"&lt;="&amp;D793,C:C,C793)-SUMIFS(AA:AA,D:D,"&lt;="&amp;D793,C:C,C793)+SUMIFS(N:N,D:D,"&lt;="&amp;D793,C:C,C793)+SUMIFS(P:P,D:D,"&lt;="&amp;D793,C:C,C793))</f>
        <v>0</v>
      </c>
      <c r="AD793" s="98">
        <f t="shared" si="244"/>
        <v>0</v>
      </c>
      <c r="AE793" s="98">
        <f t="shared" si="238"/>
        <v>0</v>
      </c>
      <c r="AF793" s="205" t="str">
        <f t="shared" si="229"/>
        <v/>
      </c>
      <c r="AG793" s="98">
        <f t="shared" si="245"/>
        <v>0</v>
      </c>
      <c r="AH793" s="97"/>
      <c r="AI793" s="311"/>
      <c r="AJ793" s="98">
        <f t="shared" si="237"/>
        <v>0</v>
      </c>
      <c r="AK793" s="233"/>
      <c r="AL793" s="98">
        <f>IF(SUMIFS('Shipments data'!L:L,'Shipments data'!F:F,'Supply planning data'!C793,'Shipments data'!A:A,'Supply planning data'!A793,'Shipments data'!O:O,"received",'Shipments data'!Q:Q,"&lt;"&amp;'Supply planning data'!D808,'Shipments data'!AC:AC,"&lt;"&amp;'Supply planning data'!D808)-SUMIFS(M:M,D:D,"&lt;="&amp;D793,C:C,C793)-SUMIFS(AJ:AJ,D:D,"&lt;="&amp;D793,C:C,C793)+SUMIFS(N:N,D:D,"&lt;="&amp;D793,C:C,C793)+SUMIFS(P:P,D:D,"&lt;="&amp;D793,C:C,C793)&lt;0,0,SUMIFS('Shipments data'!L:L,'Shipments data'!F:F,'Supply planning data'!C793,'Shipments data'!A:A,'Supply planning data'!A793,'Shipments data'!O:O,"received",'Shipments data'!Q:Q,"&lt;"&amp;'Supply planning data'!D808,'Shipments data'!AC:AC,"&lt;"&amp;'Supply planning data'!D808)-SUMIFS(M:M,D:D,"&lt;="&amp;D793,C:C,C793)-SUMIFS(AJ:AJ,D:D,"&lt;="&amp;D793,C:C,C793)+SUMIFS(N:N,D:D,"&lt;="&amp;D793,C:C,C793)+SUMIFS(P:P,D:D,"&lt;="&amp;D793,C:C,C793))</f>
        <v>0</v>
      </c>
      <c r="AM793" s="98">
        <f t="shared" si="246"/>
        <v>0</v>
      </c>
      <c r="AN793" s="98">
        <f t="shared" si="239"/>
        <v>0</v>
      </c>
      <c r="AO793" s="203" t="str">
        <f t="shared" si="231"/>
        <v/>
      </c>
    </row>
    <row r="794" spans="1:41" hidden="1" x14ac:dyDescent="0.25">
      <c r="A794" s="95" t="str">
        <f>Start!D$7</f>
        <v>Anyland</v>
      </c>
      <c r="B794" s="96" t="str">
        <f>VLOOKUP(A794,list!B:C,2,FALSE)</f>
        <v>ANY</v>
      </c>
      <c r="C794" s="90" t="str">
        <f>IF(Start!$C$26="","",Start!$C$26)</f>
        <v/>
      </c>
      <c r="D794" s="296">
        <f t="shared" si="240"/>
        <v>45778</v>
      </c>
      <c r="E794" s="92" t="str">
        <f>IFERROR(VLOOKUP(C794,Start!C$15:D$31,2,FALSE),"No")</f>
        <v>No</v>
      </c>
      <c r="F794" s="92">
        <f t="shared" si="241"/>
        <v>0</v>
      </c>
      <c r="G794" s="91"/>
      <c r="H794" s="97"/>
      <c r="I794" s="97"/>
      <c r="J794" s="98">
        <f t="shared" si="233"/>
        <v>0</v>
      </c>
      <c r="K794" s="97"/>
      <c r="L794" s="175" t="str">
        <f t="shared" si="234"/>
        <v/>
      </c>
      <c r="M794" s="98">
        <f t="shared" si="235"/>
        <v>0</v>
      </c>
      <c r="N794" s="97"/>
      <c r="O794" s="122"/>
      <c r="P794" s="97"/>
      <c r="Q794" s="122"/>
      <c r="R794" s="98">
        <f>SUMIFS('Shipments data'!L:L,'Shipments data'!F:F,'Supply planning data'!C794,'Shipments data'!A:A,'Supply planning data'!A794,'Shipments data'!Y:Y,'Supply planning data'!D794,'Shipments data'!O:O,"received", 'Shipments data'!N:N, "Public")</f>
        <v>0</v>
      </c>
      <c r="S794" s="98">
        <f>SUMIFS('Shipments data'!L:L,'Shipments data'!F:F,'Supply planning data'!C794,'Shipments data'!A:A,'Supply planning data'!A794,'Shipments data'!Y:Y,'Supply planning data'!D794,'Shipments data'!O:O,"ordered", 'Shipments data'!N:N, "Public")</f>
        <v>0</v>
      </c>
      <c r="T794" s="98">
        <f>IF(SUMIFS('Shipments data'!L:L,'Shipments data'!F:F,'Supply planning data'!C794,'Shipments data'!A:A,'Supply planning data'!A794,'Shipments data'!O:O,"received",'Shipments data'!Q:Q,"&lt;"&amp;'Supply planning data'!D809,'Shipments data'!AC:AC,"&lt;"&amp;'Supply planning data'!D809)-SUMIFS(M:M,D:D,"&lt;="&amp;D794,C:C,C794)+SUMIFS(N:N,D:D,"&lt;="&amp;D794,C:C,C794)+SUMIFS(P:P,D:D,"&lt;="&amp;D794,C:C,C794)&lt;0,0,SUMIFS('Shipments data'!L:L,'Shipments data'!F:F,'Supply planning data'!C794,'Shipments data'!A:A,'Supply planning data'!A794,'Shipments data'!O:O,"received",'Shipments data'!Q:Q,"&lt;"&amp;'Supply planning data'!D809,'Shipments data'!AC:AC,"&lt;"&amp;'Supply planning data'!D809)-SUMIFS(M:M,D:D,"&lt;="&amp;D794,C:C,C794)+SUMIFS(N:N,D:D,"&lt;="&amp;D794,C:C,C794)+SUMIFS(P:P,D:D,"&lt;="&amp;D794,C:C,C794))</f>
        <v>0</v>
      </c>
      <c r="U794" s="99">
        <f t="shared" si="242"/>
        <v>0</v>
      </c>
      <c r="V794" s="98">
        <f t="shared" si="232"/>
        <v>0</v>
      </c>
      <c r="W794" s="203" t="str">
        <f t="shared" si="230"/>
        <v/>
      </c>
      <c r="X794" s="98">
        <f t="shared" si="243"/>
        <v>0</v>
      </c>
      <c r="Y794" s="97"/>
      <c r="Z794" s="93"/>
      <c r="AA794" s="98">
        <f t="shared" si="236"/>
        <v>0</v>
      </c>
      <c r="AB794" s="233"/>
      <c r="AC794" s="98">
        <f>IF(SUMIFS('Shipments data'!L:L,'Shipments data'!F:F,'Supply planning data'!C794,'Shipments data'!A:A,'Supply planning data'!A794,'Shipments data'!O:O,"received",'Shipments data'!Q:Q,"&lt;"&amp;'Supply planning data'!D809,'Shipments data'!AC:AC,"&lt;"&amp;'Supply planning data'!D809)-SUMIFS(M:M,D:D,"&lt;="&amp;D794,C:C,C794)-SUMIFS(AA:AA,D:D,"&lt;="&amp;D794,C:C,C794)+SUMIFS(N:N,D:D,"&lt;="&amp;D794,C:C,C794)+SUMIFS(P:P,D:D,"&lt;="&amp;D794,C:C,C794)&lt;0,0,SUMIFS('Shipments data'!L:L,'Shipments data'!F:F,'Supply planning data'!C794,'Shipments data'!A:A,'Supply planning data'!A794,'Shipments data'!O:O,"received",'Shipments data'!Q:Q,"&lt;"&amp;'Supply planning data'!D809,'Shipments data'!AC:AC,"&lt;"&amp;'Supply planning data'!D809)-SUMIFS(M:M,D:D,"&lt;="&amp;D794,C:C,C794)-SUMIFS(AA:AA,D:D,"&lt;="&amp;D794,C:C,C794)+SUMIFS(N:N,D:D,"&lt;="&amp;D794,C:C,C794)+SUMIFS(P:P,D:D,"&lt;="&amp;D794,C:C,C794))</f>
        <v>0</v>
      </c>
      <c r="AD794" s="98">
        <f t="shared" si="244"/>
        <v>0</v>
      </c>
      <c r="AE794" s="98">
        <f t="shared" si="238"/>
        <v>0</v>
      </c>
      <c r="AF794" s="205" t="str">
        <f t="shared" si="229"/>
        <v/>
      </c>
      <c r="AG794" s="98">
        <f t="shared" si="245"/>
        <v>0</v>
      </c>
      <c r="AH794" s="97"/>
      <c r="AI794" s="311"/>
      <c r="AJ794" s="98">
        <f t="shared" si="237"/>
        <v>0</v>
      </c>
      <c r="AK794" s="233"/>
      <c r="AL794" s="98">
        <f>IF(SUMIFS('Shipments data'!L:L,'Shipments data'!F:F,'Supply planning data'!C794,'Shipments data'!A:A,'Supply planning data'!A794,'Shipments data'!O:O,"received",'Shipments data'!Q:Q,"&lt;"&amp;'Supply planning data'!D809,'Shipments data'!AC:AC,"&lt;"&amp;'Supply planning data'!D809)-SUMIFS(M:M,D:D,"&lt;="&amp;D794,C:C,C794)-SUMIFS(AJ:AJ,D:D,"&lt;="&amp;D794,C:C,C794)+SUMIFS(N:N,D:D,"&lt;="&amp;D794,C:C,C794)+SUMIFS(P:P,D:D,"&lt;="&amp;D794,C:C,C794)&lt;0,0,SUMIFS('Shipments data'!L:L,'Shipments data'!F:F,'Supply planning data'!C794,'Shipments data'!A:A,'Supply planning data'!A794,'Shipments data'!O:O,"received",'Shipments data'!Q:Q,"&lt;"&amp;'Supply planning data'!D809,'Shipments data'!AC:AC,"&lt;"&amp;'Supply planning data'!D809)-SUMIFS(M:M,D:D,"&lt;="&amp;D794,C:C,C794)-SUMIFS(AJ:AJ,D:D,"&lt;="&amp;D794,C:C,C794)+SUMIFS(N:N,D:D,"&lt;="&amp;D794,C:C,C794)+SUMIFS(P:P,D:D,"&lt;="&amp;D794,C:C,C794))</f>
        <v>0</v>
      </c>
      <c r="AM794" s="98">
        <f t="shared" si="246"/>
        <v>0</v>
      </c>
      <c r="AN794" s="98">
        <f t="shared" si="239"/>
        <v>0</v>
      </c>
      <c r="AO794" s="203" t="str">
        <f t="shared" si="231"/>
        <v/>
      </c>
    </row>
    <row r="795" spans="1:41" hidden="1" x14ac:dyDescent="0.25">
      <c r="A795" s="95" t="str">
        <f>Start!D$7</f>
        <v>Anyland</v>
      </c>
      <c r="B795" s="96" t="str">
        <f>VLOOKUP(A795,list!B:C,2,FALSE)</f>
        <v>ANY</v>
      </c>
      <c r="C795" s="90" t="str">
        <f>IF(Start!$C$27="","",Start!$C$27)</f>
        <v/>
      </c>
      <c r="D795" s="296">
        <f t="shared" si="240"/>
        <v>45778</v>
      </c>
      <c r="E795" s="115" t="str">
        <f>IFERROR(VLOOKUP(C795,Start!C$15:D$31,2,FALSE),"No")</f>
        <v>No</v>
      </c>
      <c r="F795" s="115">
        <f t="shared" si="241"/>
        <v>0</v>
      </c>
      <c r="G795" s="116"/>
      <c r="H795" s="117"/>
      <c r="I795" s="117"/>
      <c r="J795" s="118">
        <f t="shared" si="233"/>
        <v>0</v>
      </c>
      <c r="K795" s="117"/>
      <c r="L795" s="178" t="str">
        <f t="shared" si="234"/>
        <v/>
      </c>
      <c r="M795" s="118">
        <f t="shared" si="235"/>
        <v>0</v>
      </c>
      <c r="N795" s="117"/>
      <c r="O795" s="125"/>
      <c r="P795" s="117"/>
      <c r="Q795" s="125"/>
      <c r="R795" s="118">
        <f>SUMIFS('Shipments data'!L:L,'Shipments data'!F:F,'Supply planning data'!C795,'Shipments data'!A:A,'Supply planning data'!A795,'Shipments data'!Y:Y,'Supply planning data'!D795,'Shipments data'!O:O,"received", 'Shipments data'!N:N, "Public")</f>
        <v>0</v>
      </c>
      <c r="S795" s="118">
        <f>SUMIFS('Shipments data'!L:L,'Shipments data'!F:F,'Supply planning data'!C795,'Shipments data'!A:A,'Supply planning data'!A795,'Shipments data'!Y:Y,'Supply planning data'!D795,'Shipments data'!O:O,"ordered", 'Shipments data'!N:N, "Public")</f>
        <v>0</v>
      </c>
      <c r="T795" s="118">
        <f>IF(SUMIFS('Shipments data'!L:L,'Shipments data'!F:F,'Supply planning data'!C795,'Shipments data'!A:A,'Supply planning data'!A795,'Shipments data'!O:O,"received",'Shipments data'!Q:Q,"&lt;"&amp;'Supply planning data'!D810,'Shipments data'!AC:AC,"&lt;"&amp;'Supply planning data'!D810)-SUMIFS(M:M,D:D,"&lt;="&amp;D795,C:C,C795)+SUMIFS(N:N,D:D,"&lt;="&amp;D795,C:C,C795)+SUMIFS(P:P,D:D,"&lt;="&amp;D795,C:C,C795)&lt;0,0,SUMIFS('Shipments data'!L:L,'Shipments data'!F:F,'Supply planning data'!C795,'Shipments data'!A:A,'Supply planning data'!A795,'Shipments data'!O:O,"received",'Shipments data'!Q:Q,"&lt;"&amp;'Supply planning data'!D810,'Shipments data'!AC:AC,"&lt;"&amp;'Supply planning data'!D810)-SUMIFS(M:M,D:D,"&lt;="&amp;D795,C:C,C795)+SUMIFS(N:N,D:D,"&lt;="&amp;D795,C:C,C795)+SUMIFS(P:P,D:D,"&lt;="&amp;D795,C:C,C795))</f>
        <v>0</v>
      </c>
      <c r="U795" s="120">
        <f t="shared" si="242"/>
        <v>0</v>
      </c>
      <c r="V795" s="118">
        <f t="shared" si="232"/>
        <v>0</v>
      </c>
      <c r="W795" s="207" t="str">
        <f t="shared" si="230"/>
        <v/>
      </c>
      <c r="X795" s="118">
        <f t="shared" si="243"/>
        <v>0</v>
      </c>
      <c r="Y795" s="117"/>
      <c r="Z795" s="119"/>
      <c r="AA795" s="118">
        <f t="shared" si="236"/>
        <v>0</v>
      </c>
      <c r="AB795" s="236"/>
      <c r="AC795" s="118">
        <f>IF(SUMIFS('Shipments data'!L:L,'Shipments data'!F:F,'Supply planning data'!C795,'Shipments data'!A:A,'Supply planning data'!A795,'Shipments data'!O:O,"received",'Shipments data'!Q:Q,"&lt;"&amp;'Supply planning data'!D810,'Shipments data'!AC:AC,"&lt;"&amp;'Supply planning data'!D810)-SUMIFS(M:M,D:D,"&lt;="&amp;D795,C:C,C795)-SUMIFS(AA:AA,D:D,"&lt;="&amp;D795,C:C,C795)+SUMIFS(N:N,D:D,"&lt;="&amp;D795,C:C,C795)+SUMIFS(P:P,D:D,"&lt;="&amp;D795,C:C,C795)&lt;0,0,SUMIFS('Shipments data'!L:L,'Shipments data'!F:F,'Supply planning data'!C795,'Shipments data'!A:A,'Supply planning data'!A795,'Shipments data'!O:O,"received",'Shipments data'!Q:Q,"&lt;"&amp;'Supply planning data'!D810,'Shipments data'!AC:AC,"&lt;"&amp;'Supply planning data'!D810)-SUMIFS(M:M,D:D,"&lt;="&amp;D795,C:C,C795)-SUMIFS(AA:AA,D:D,"&lt;="&amp;D795,C:C,C795)+SUMIFS(N:N,D:D,"&lt;="&amp;D795,C:C,C795)+SUMIFS(P:P,D:D,"&lt;="&amp;D795,C:C,C795))</f>
        <v>0</v>
      </c>
      <c r="AD795" s="118">
        <f t="shared" si="244"/>
        <v>0</v>
      </c>
      <c r="AE795" s="118">
        <f t="shared" si="238"/>
        <v>0</v>
      </c>
      <c r="AF795" s="205" t="str">
        <f t="shared" si="229"/>
        <v/>
      </c>
      <c r="AG795" s="118">
        <f t="shared" si="245"/>
        <v>0</v>
      </c>
      <c r="AH795" s="117"/>
      <c r="AI795" s="314"/>
      <c r="AJ795" s="118">
        <f t="shared" si="237"/>
        <v>0</v>
      </c>
      <c r="AK795" s="236"/>
      <c r="AL795" s="118">
        <f>IF(SUMIFS('Shipments data'!L:L,'Shipments data'!F:F,'Supply planning data'!C795,'Shipments data'!A:A,'Supply planning data'!A795,'Shipments data'!O:O,"received",'Shipments data'!Q:Q,"&lt;"&amp;'Supply planning data'!D810,'Shipments data'!AC:AC,"&lt;"&amp;'Supply planning data'!D810)-SUMIFS(M:M,D:D,"&lt;="&amp;D795,C:C,C795)-SUMIFS(AJ:AJ,D:D,"&lt;="&amp;D795,C:C,C795)+SUMIFS(N:N,D:D,"&lt;="&amp;D795,C:C,C795)+SUMIFS(P:P,D:D,"&lt;="&amp;D795,C:C,C795)&lt;0,0,SUMIFS('Shipments data'!L:L,'Shipments data'!F:F,'Supply planning data'!C795,'Shipments data'!A:A,'Supply planning data'!A795,'Shipments data'!O:O,"received",'Shipments data'!Q:Q,"&lt;"&amp;'Supply planning data'!D810,'Shipments data'!AC:AC,"&lt;"&amp;'Supply planning data'!D810)-SUMIFS(M:M,D:D,"&lt;="&amp;D795,C:C,C795)-SUMIFS(AJ:AJ,D:D,"&lt;="&amp;D795,C:C,C795)+SUMIFS(N:N,D:D,"&lt;="&amp;D795,C:C,C795)+SUMIFS(P:P,D:D,"&lt;="&amp;D795,C:C,C795))</f>
        <v>0</v>
      </c>
      <c r="AM795" s="118">
        <f t="shared" si="246"/>
        <v>0</v>
      </c>
      <c r="AN795" s="118">
        <f t="shared" si="239"/>
        <v>0</v>
      </c>
      <c r="AO795" s="203" t="str">
        <f t="shared" si="231"/>
        <v/>
      </c>
    </row>
    <row r="796" spans="1:41" hidden="1" x14ac:dyDescent="0.25">
      <c r="A796" s="95" t="str">
        <f>Start!D$7</f>
        <v>Anyland</v>
      </c>
      <c r="B796" s="96" t="str">
        <f>VLOOKUP(A796,list!B:C,2,FALSE)</f>
        <v>ANY</v>
      </c>
      <c r="C796" s="90" t="str">
        <f>IF(Start!$C$28="","",Start!$C$28)</f>
        <v/>
      </c>
      <c r="D796" s="296">
        <f t="shared" si="240"/>
        <v>45778</v>
      </c>
      <c r="E796" s="92" t="str">
        <f>IFERROR(VLOOKUP(C796,Start!C$15:D$31,2,FALSE),"No")</f>
        <v>No</v>
      </c>
      <c r="F796" s="92">
        <f t="shared" si="241"/>
        <v>0</v>
      </c>
      <c r="G796" s="91"/>
      <c r="H796" s="97"/>
      <c r="I796" s="97"/>
      <c r="J796" s="98">
        <f t="shared" si="233"/>
        <v>0</v>
      </c>
      <c r="K796" s="97"/>
      <c r="L796" s="175" t="str">
        <f t="shared" si="234"/>
        <v/>
      </c>
      <c r="M796" s="98">
        <f t="shared" si="235"/>
        <v>0</v>
      </c>
      <c r="N796" s="97"/>
      <c r="O796" s="122"/>
      <c r="P796" s="97"/>
      <c r="Q796" s="122"/>
      <c r="R796" s="98">
        <f>SUMIFS('Shipments data'!L:L,'Shipments data'!F:F,'Supply planning data'!C796,'Shipments data'!A:A,'Supply planning data'!A796,'Shipments data'!Y:Y,'Supply planning data'!D796,'Shipments data'!O:O,"received", 'Shipments data'!N:N, "Public")</f>
        <v>0</v>
      </c>
      <c r="S796" s="98">
        <f>SUMIFS('Shipments data'!L:L,'Shipments data'!F:F,'Supply planning data'!C796,'Shipments data'!A:A,'Supply planning data'!A796,'Shipments data'!Y:Y,'Supply planning data'!D796,'Shipments data'!O:O,"ordered", 'Shipments data'!N:N, "Public")</f>
        <v>0</v>
      </c>
      <c r="T796" s="98">
        <f>IF(SUMIFS('Shipments data'!L:L,'Shipments data'!F:F,'Supply planning data'!C796,'Shipments data'!A:A,'Supply planning data'!A796,'Shipments data'!O:O,"received",'Shipments data'!Q:Q,"&lt;"&amp;'Supply planning data'!D811,'Shipments data'!AC:AC,"&lt;"&amp;'Supply planning data'!D811)-SUMIFS(M:M,D:D,"&lt;="&amp;D796,C:C,C796)+SUMIFS(N:N,D:D,"&lt;="&amp;D796,C:C,C796)+SUMIFS(P:P,D:D,"&lt;="&amp;D796,C:C,C796)&lt;0,0,SUMIFS('Shipments data'!L:L,'Shipments data'!F:F,'Supply planning data'!C796,'Shipments data'!A:A,'Supply planning data'!A796,'Shipments data'!O:O,"received",'Shipments data'!Q:Q,"&lt;"&amp;'Supply planning data'!D811,'Shipments data'!AC:AC,"&lt;"&amp;'Supply planning data'!D811)-SUMIFS(M:M,D:D,"&lt;="&amp;D796,C:C,C796)+SUMIFS(N:N,D:D,"&lt;="&amp;D796,C:C,C796)+SUMIFS(P:P,D:D,"&lt;="&amp;D796,C:C,C796))</f>
        <v>0</v>
      </c>
      <c r="U796" s="99">
        <f t="shared" si="242"/>
        <v>0</v>
      </c>
      <c r="V796" s="98">
        <f t="shared" si="232"/>
        <v>0</v>
      </c>
      <c r="W796" s="203" t="str">
        <f t="shared" si="230"/>
        <v/>
      </c>
      <c r="X796" s="98">
        <f t="shared" si="243"/>
        <v>0</v>
      </c>
      <c r="Y796" s="97"/>
      <c r="Z796" s="93"/>
      <c r="AA796" s="98">
        <f t="shared" si="236"/>
        <v>0</v>
      </c>
      <c r="AB796" s="233"/>
      <c r="AC796" s="98">
        <f>IF(SUMIFS('Shipments data'!L:L,'Shipments data'!F:F,'Supply planning data'!C796,'Shipments data'!A:A,'Supply planning data'!A796,'Shipments data'!O:O,"received",'Shipments data'!Q:Q,"&lt;"&amp;'Supply planning data'!D811,'Shipments data'!AC:AC,"&lt;"&amp;'Supply planning data'!D811)-SUMIFS(M:M,D:D,"&lt;="&amp;D796,C:C,C796)-SUMIFS(AA:AA,D:D,"&lt;="&amp;D796,C:C,C796)+SUMIFS(N:N,D:D,"&lt;="&amp;D796,C:C,C796)+SUMIFS(P:P,D:D,"&lt;="&amp;D796,C:C,C796)&lt;0,0,SUMIFS('Shipments data'!L:L,'Shipments data'!F:F,'Supply planning data'!C796,'Shipments data'!A:A,'Supply planning data'!A796,'Shipments data'!O:O,"received",'Shipments data'!Q:Q,"&lt;"&amp;'Supply planning data'!D811,'Shipments data'!AC:AC,"&lt;"&amp;'Supply planning data'!D811)-SUMIFS(M:M,D:D,"&lt;="&amp;D796,C:C,C796)-SUMIFS(AA:AA,D:D,"&lt;="&amp;D796,C:C,C796)+SUMIFS(N:N,D:D,"&lt;="&amp;D796,C:C,C796)+SUMIFS(P:P,D:D,"&lt;="&amp;D796,C:C,C796))</f>
        <v>0</v>
      </c>
      <c r="AD796" s="98">
        <f t="shared" si="244"/>
        <v>0</v>
      </c>
      <c r="AE796" s="98">
        <f t="shared" si="238"/>
        <v>0</v>
      </c>
      <c r="AF796" s="205" t="str">
        <f t="shared" si="229"/>
        <v/>
      </c>
      <c r="AG796" s="98">
        <f t="shared" si="245"/>
        <v>0</v>
      </c>
      <c r="AH796" s="97"/>
      <c r="AI796" s="311"/>
      <c r="AJ796" s="98">
        <f t="shared" si="237"/>
        <v>0</v>
      </c>
      <c r="AK796" s="233"/>
      <c r="AL796" s="98">
        <f>IF(SUMIFS('Shipments data'!L:L,'Shipments data'!F:F,'Supply planning data'!C796,'Shipments data'!A:A,'Supply planning data'!A796,'Shipments data'!O:O,"received",'Shipments data'!Q:Q,"&lt;"&amp;'Supply planning data'!D811,'Shipments data'!AC:AC,"&lt;"&amp;'Supply planning data'!D811)-SUMIFS(M:M,D:D,"&lt;="&amp;D796,C:C,C796)-SUMIFS(AJ:AJ,D:D,"&lt;="&amp;D796,C:C,C796)+SUMIFS(N:N,D:D,"&lt;="&amp;D796,C:C,C796)+SUMIFS(P:P,D:D,"&lt;="&amp;D796,C:C,C796)&lt;0,0,SUMIFS('Shipments data'!L:L,'Shipments data'!F:F,'Supply planning data'!C796,'Shipments data'!A:A,'Supply planning data'!A796,'Shipments data'!O:O,"received",'Shipments data'!Q:Q,"&lt;"&amp;'Supply planning data'!D811,'Shipments data'!AC:AC,"&lt;"&amp;'Supply planning data'!D811)-SUMIFS(M:M,D:D,"&lt;="&amp;D796,C:C,C796)-SUMIFS(AJ:AJ,D:D,"&lt;="&amp;D796,C:C,C796)+SUMIFS(N:N,D:D,"&lt;="&amp;D796,C:C,C796)+SUMIFS(P:P,D:D,"&lt;="&amp;D796,C:C,C796))</f>
        <v>0</v>
      </c>
      <c r="AM796" s="98">
        <f t="shared" si="246"/>
        <v>0</v>
      </c>
      <c r="AN796" s="98">
        <f t="shared" si="239"/>
        <v>0</v>
      </c>
      <c r="AO796" s="203" t="str">
        <f t="shared" si="231"/>
        <v/>
      </c>
    </row>
    <row r="797" spans="1:41" hidden="1" x14ac:dyDescent="0.25">
      <c r="A797" s="95" t="str">
        <f>Start!D$7</f>
        <v>Anyland</v>
      </c>
      <c r="B797" s="96" t="str">
        <f>VLOOKUP(A797,list!B:C,2,FALSE)</f>
        <v>ANY</v>
      </c>
      <c r="C797" s="90" t="str">
        <f>IF(Start!$C$29="","",Start!$C$29)</f>
        <v/>
      </c>
      <c r="D797" s="296">
        <f t="shared" si="240"/>
        <v>45778</v>
      </c>
      <c r="E797" s="92" t="str">
        <f>IFERROR(VLOOKUP(C797,Start!C$15:D$31,2,FALSE),"No")</f>
        <v>No</v>
      </c>
      <c r="F797" s="92">
        <f t="shared" si="241"/>
        <v>0</v>
      </c>
      <c r="G797" s="91"/>
      <c r="H797" s="97"/>
      <c r="I797" s="97"/>
      <c r="J797" s="98">
        <f t="shared" si="233"/>
        <v>0</v>
      </c>
      <c r="K797" s="97"/>
      <c r="L797" s="175" t="str">
        <f t="shared" si="234"/>
        <v/>
      </c>
      <c r="M797" s="98">
        <f t="shared" si="235"/>
        <v>0</v>
      </c>
      <c r="N797" s="97"/>
      <c r="O797" s="122"/>
      <c r="P797" s="97"/>
      <c r="Q797" s="122"/>
      <c r="R797" s="98">
        <f>SUMIFS('Shipments data'!L:L,'Shipments data'!F:F,'Supply planning data'!C797,'Shipments data'!A:A,'Supply planning data'!A797,'Shipments data'!Y:Y,'Supply planning data'!D797,'Shipments data'!O:O,"received", 'Shipments data'!N:N, "Public")</f>
        <v>0</v>
      </c>
      <c r="S797" s="98">
        <f>SUMIFS('Shipments data'!L:L,'Shipments data'!F:F,'Supply planning data'!C797,'Shipments data'!A:A,'Supply planning data'!A797,'Shipments data'!Y:Y,'Supply planning data'!D797,'Shipments data'!O:O,"ordered", 'Shipments data'!N:N, "Public")</f>
        <v>0</v>
      </c>
      <c r="T797" s="98">
        <f>IF(SUMIFS('Shipments data'!L:L,'Shipments data'!F:F,'Supply planning data'!C797,'Shipments data'!A:A,'Supply planning data'!A797,'Shipments data'!O:O,"received",'Shipments data'!Q:Q,"&lt;"&amp;'Supply planning data'!D812,'Shipments data'!AC:AC,"&lt;"&amp;'Supply planning data'!D812)-SUMIFS(M:M,D:D,"&lt;="&amp;D797,C:C,C797)+SUMIFS(N:N,D:D,"&lt;="&amp;D797,C:C,C797)+SUMIFS(P:P,D:D,"&lt;="&amp;D797,C:C,C797)&lt;0,0,SUMIFS('Shipments data'!L:L,'Shipments data'!F:F,'Supply planning data'!C797,'Shipments data'!A:A,'Supply planning data'!A797,'Shipments data'!O:O,"received",'Shipments data'!Q:Q,"&lt;"&amp;'Supply planning data'!D812,'Shipments data'!AC:AC,"&lt;"&amp;'Supply planning data'!D812)-SUMIFS(M:M,D:D,"&lt;="&amp;D797,C:C,C797)+SUMIFS(N:N,D:D,"&lt;="&amp;D797,C:C,C797)+SUMIFS(P:P,D:D,"&lt;="&amp;D797,C:C,C797))</f>
        <v>0</v>
      </c>
      <c r="U797" s="99">
        <f t="shared" si="242"/>
        <v>0</v>
      </c>
      <c r="V797" s="98">
        <f t="shared" si="232"/>
        <v>0</v>
      </c>
      <c r="W797" s="203" t="str">
        <f t="shared" si="230"/>
        <v/>
      </c>
      <c r="X797" s="98">
        <f t="shared" si="243"/>
        <v>0</v>
      </c>
      <c r="Y797" s="97"/>
      <c r="Z797" s="93"/>
      <c r="AA797" s="98">
        <f t="shared" si="236"/>
        <v>0</v>
      </c>
      <c r="AB797" s="233"/>
      <c r="AC797" s="98">
        <f>IF(SUMIFS('Shipments data'!L:L,'Shipments data'!F:F,'Supply planning data'!C797,'Shipments data'!A:A,'Supply planning data'!A797,'Shipments data'!O:O,"received",'Shipments data'!Q:Q,"&lt;"&amp;'Supply planning data'!D812,'Shipments data'!AC:AC,"&lt;"&amp;'Supply planning data'!D812)-SUMIFS(M:M,D:D,"&lt;="&amp;D797,C:C,C797)-SUMIFS(AA:AA,D:D,"&lt;="&amp;D797,C:C,C797)+SUMIFS(N:N,D:D,"&lt;="&amp;D797,C:C,C797)+SUMIFS(P:P,D:D,"&lt;="&amp;D797,C:C,C797)&lt;0,0,SUMIFS('Shipments data'!L:L,'Shipments data'!F:F,'Supply planning data'!C797,'Shipments data'!A:A,'Supply planning data'!A797,'Shipments data'!O:O,"received",'Shipments data'!Q:Q,"&lt;"&amp;'Supply planning data'!D812,'Shipments data'!AC:AC,"&lt;"&amp;'Supply planning data'!D812)-SUMIFS(M:M,D:D,"&lt;="&amp;D797,C:C,C797)-SUMIFS(AA:AA,D:D,"&lt;="&amp;D797,C:C,C797)+SUMIFS(N:N,D:D,"&lt;="&amp;D797,C:C,C797)+SUMIFS(P:P,D:D,"&lt;="&amp;D797,C:C,C797))</f>
        <v>0</v>
      </c>
      <c r="AD797" s="98">
        <f t="shared" si="244"/>
        <v>0</v>
      </c>
      <c r="AE797" s="98">
        <f t="shared" si="238"/>
        <v>0</v>
      </c>
      <c r="AF797" s="205" t="str">
        <f t="shared" si="229"/>
        <v/>
      </c>
      <c r="AG797" s="98">
        <f t="shared" si="245"/>
        <v>0</v>
      </c>
      <c r="AH797" s="97"/>
      <c r="AI797" s="311"/>
      <c r="AJ797" s="98">
        <f t="shared" si="237"/>
        <v>0</v>
      </c>
      <c r="AK797" s="233"/>
      <c r="AL797" s="98">
        <f>IF(SUMIFS('Shipments data'!L:L,'Shipments data'!F:F,'Supply planning data'!C797,'Shipments data'!A:A,'Supply planning data'!A797,'Shipments data'!O:O,"received",'Shipments data'!Q:Q,"&lt;"&amp;'Supply planning data'!D812,'Shipments data'!AC:AC,"&lt;"&amp;'Supply planning data'!D812)-SUMIFS(M:M,D:D,"&lt;="&amp;D797,C:C,C797)-SUMIFS(AJ:AJ,D:D,"&lt;="&amp;D797,C:C,C797)+SUMIFS(N:N,D:D,"&lt;="&amp;D797,C:C,C797)+SUMIFS(P:P,D:D,"&lt;="&amp;D797,C:C,C797)&lt;0,0,SUMIFS('Shipments data'!L:L,'Shipments data'!F:F,'Supply planning data'!C797,'Shipments data'!A:A,'Supply planning data'!A797,'Shipments data'!O:O,"received",'Shipments data'!Q:Q,"&lt;"&amp;'Supply planning data'!D812,'Shipments data'!AC:AC,"&lt;"&amp;'Supply planning data'!D812)-SUMIFS(M:M,D:D,"&lt;="&amp;D797,C:C,C797)-SUMIFS(AJ:AJ,D:D,"&lt;="&amp;D797,C:C,C797)+SUMIFS(N:N,D:D,"&lt;="&amp;D797,C:C,C797)+SUMIFS(P:P,D:D,"&lt;="&amp;D797,C:C,C797))</f>
        <v>0</v>
      </c>
      <c r="AM797" s="98">
        <f t="shared" si="246"/>
        <v>0</v>
      </c>
      <c r="AN797" s="98">
        <f t="shared" si="239"/>
        <v>0</v>
      </c>
      <c r="AO797" s="203" t="str">
        <f t="shared" si="231"/>
        <v/>
      </c>
    </row>
    <row r="798" spans="1:41" hidden="1" x14ac:dyDescent="0.25">
      <c r="A798" s="95" t="str">
        <f>Start!D$7</f>
        <v>Anyland</v>
      </c>
      <c r="B798" s="96" t="str">
        <f>VLOOKUP(A798,list!B:C,2,FALSE)</f>
        <v>ANY</v>
      </c>
      <c r="C798" s="90" t="str">
        <f>IF(Start!$C$30="","",Start!$C$30)</f>
        <v/>
      </c>
      <c r="D798" s="296">
        <f t="shared" si="240"/>
        <v>45778</v>
      </c>
      <c r="E798" s="92" t="str">
        <f>IFERROR(VLOOKUP(C798,Start!C$15:D$31,2,FALSE),"No")</f>
        <v>No</v>
      </c>
      <c r="F798" s="92">
        <f t="shared" si="241"/>
        <v>0</v>
      </c>
      <c r="G798" s="91"/>
      <c r="H798" s="97"/>
      <c r="I798" s="97"/>
      <c r="J798" s="98">
        <f t="shared" si="233"/>
        <v>0</v>
      </c>
      <c r="K798" s="97"/>
      <c r="L798" s="175" t="str">
        <f t="shared" si="234"/>
        <v/>
      </c>
      <c r="M798" s="98">
        <f t="shared" si="235"/>
        <v>0</v>
      </c>
      <c r="N798" s="97"/>
      <c r="O798" s="122"/>
      <c r="P798" s="97"/>
      <c r="Q798" s="122"/>
      <c r="R798" s="98">
        <f>SUMIFS('Shipments data'!L:L,'Shipments data'!F:F,'Supply planning data'!C798,'Shipments data'!A:A,'Supply planning data'!A798,'Shipments data'!Y:Y,'Supply planning data'!D798,'Shipments data'!O:O,"received", 'Shipments data'!N:N, "Public")</f>
        <v>0</v>
      </c>
      <c r="S798" s="98">
        <f>SUMIFS('Shipments data'!L:L,'Shipments data'!F:F,'Supply planning data'!C798,'Shipments data'!A:A,'Supply planning data'!A798,'Shipments data'!Y:Y,'Supply planning data'!D798,'Shipments data'!O:O,"ordered", 'Shipments data'!N:N, "Public")</f>
        <v>0</v>
      </c>
      <c r="T798" s="98">
        <f>IF(SUMIFS('Shipments data'!L:L,'Shipments data'!F:F,'Supply planning data'!C798,'Shipments data'!A:A,'Supply planning data'!A798,'Shipments data'!O:O,"received",'Shipments data'!Q:Q,"&lt;"&amp;'Supply planning data'!D813,'Shipments data'!AC:AC,"&lt;"&amp;'Supply planning data'!D813)-SUMIFS(M:M,D:D,"&lt;="&amp;D798,C:C,C798)+SUMIFS(N:N,D:D,"&lt;="&amp;D798,C:C,C798)+SUMIFS(P:P,D:D,"&lt;="&amp;D798,C:C,C798)&lt;0,0,SUMIFS('Shipments data'!L:L,'Shipments data'!F:F,'Supply planning data'!C798,'Shipments data'!A:A,'Supply planning data'!A798,'Shipments data'!O:O,"received",'Shipments data'!Q:Q,"&lt;"&amp;'Supply planning data'!D813,'Shipments data'!AC:AC,"&lt;"&amp;'Supply planning data'!D813)-SUMIFS(M:M,D:D,"&lt;="&amp;D798,C:C,C798)+SUMIFS(N:N,D:D,"&lt;="&amp;D798,C:C,C798)+SUMIFS(P:P,D:D,"&lt;="&amp;D798,C:C,C798))</f>
        <v>0</v>
      </c>
      <c r="U798" s="99">
        <f t="shared" si="242"/>
        <v>0</v>
      </c>
      <c r="V798" s="98">
        <f t="shared" si="232"/>
        <v>0</v>
      </c>
      <c r="W798" s="203" t="str">
        <f t="shared" si="230"/>
        <v/>
      </c>
      <c r="X798" s="98">
        <f t="shared" si="243"/>
        <v>0</v>
      </c>
      <c r="Y798" s="97"/>
      <c r="Z798" s="93"/>
      <c r="AA798" s="98">
        <f t="shared" si="236"/>
        <v>0</v>
      </c>
      <c r="AB798" s="233"/>
      <c r="AC798" s="98">
        <f>IF(SUMIFS('Shipments data'!L:L,'Shipments data'!F:F,'Supply planning data'!C798,'Shipments data'!A:A,'Supply planning data'!A798,'Shipments data'!O:O,"received",'Shipments data'!Q:Q,"&lt;"&amp;'Supply planning data'!D813,'Shipments data'!AC:AC,"&lt;"&amp;'Supply planning data'!D813)-SUMIFS(M:M,D:D,"&lt;="&amp;D798,C:C,C798)-SUMIFS(AA:AA,D:D,"&lt;="&amp;D798,C:C,C798)+SUMIFS(N:N,D:D,"&lt;="&amp;D798,C:C,C798)+SUMIFS(P:P,D:D,"&lt;="&amp;D798,C:C,C798)&lt;0,0,SUMIFS('Shipments data'!L:L,'Shipments data'!F:F,'Supply planning data'!C798,'Shipments data'!A:A,'Supply planning data'!A798,'Shipments data'!O:O,"received",'Shipments data'!Q:Q,"&lt;"&amp;'Supply planning data'!D813,'Shipments data'!AC:AC,"&lt;"&amp;'Supply planning data'!D813)-SUMIFS(M:M,D:D,"&lt;="&amp;D798,C:C,C798)-SUMIFS(AA:AA,D:D,"&lt;="&amp;D798,C:C,C798)+SUMIFS(N:N,D:D,"&lt;="&amp;D798,C:C,C798)+SUMIFS(P:P,D:D,"&lt;="&amp;D798,C:C,C798))</f>
        <v>0</v>
      </c>
      <c r="AD798" s="98">
        <f t="shared" si="244"/>
        <v>0</v>
      </c>
      <c r="AE798" s="98">
        <f t="shared" si="238"/>
        <v>0</v>
      </c>
      <c r="AF798" s="205" t="str">
        <f t="shared" si="229"/>
        <v/>
      </c>
      <c r="AG798" s="98">
        <f t="shared" si="245"/>
        <v>0</v>
      </c>
      <c r="AH798" s="97"/>
      <c r="AI798" s="311"/>
      <c r="AJ798" s="98">
        <f t="shared" si="237"/>
        <v>0</v>
      </c>
      <c r="AK798" s="233"/>
      <c r="AL798" s="98">
        <f>IF(SUMIFS('Shipments data'!L:L,'Shipments data'!F:F,'Supply planning data'!C798,'Shipments data'!A:A,'Supply planning data'!A798,'Shipments data'!O:O,"received",'Shipments data'!Q:Q,"&lt;"&amp;'Supply planning data'!D813,'Shipments data'!AC:AC,"&lt;"&amp;'Supply planning data'!D813)-SUMIFS(M:M,D:D,"&lt;="&amp;D798,C:C,C798)-SUMIFS(AJ:AJ,D:D,"&lt;="&amp;D798,C:C,C798)+SUMIFS(N:N,D:D,"&lt;="&amp;D798,C:C,C798)+SUMIFS(P:P,D:D,"&lt;="&amp;D798,C:C,C798)&lt;0,0,SUMIFS('Shipments data'!L:L,'Shipments data'!F:F,'Supply planning data'!C798,'Shipments data'!A:A,'Supply planning data'!A798,'Shipments data'!O:O,"received",'Shipments data'!Q:Q,"&lt;"&amp;'Supply planning data'!D813,'Shipments data'!AC:AC,"&lt;"&amp;'Supply planning data'!D813)-SUMIFS(M:M,D:D,"&lt;="&amp;D798,C:C,C798)-SUMIFS(AJ:AJ,D:D,"&lt;="&amp;D798,C:C,C798)+SUMIFS(N:N,D:D,"&lt;="&amp;D798,C:C,C798)+SUMIFS(P:P,D:D,"&lt;="&amp;D798,C:C,C798))</f>
        <v>0</v>
      </c>
      <c r="AM798" s="98">
        <f t="shared" si="246"/>
        <v>0</v>
      </c>
      <c r="AN798" s="98">
        <f t="shared" si="239"/>
        <v>0</v>
      </c>
      <c r="AO798" s="203" t="str">
        <f t="shared" si="231"/>
        <v/>
      </c>
    </row>
    <row r="799" spans="1:41" hidden="1" x14ac:dyDescent="0.25">
      <c r="A799" s="95" t="str">
        <f>Start!D$7</f>
        <v>Anyland</v>
      </c>
      <c r="B799" s="100" t="str">
        <f>VLOOKUP(A799,list!B:C,2,FALSE)</f>
        <v>ANY</v>
      </c>
      <c r="C799" s="90" t="str">
        <f>IF(Start!$C$31="","",Start!$C$31)</f>
        <v/>
      </c>
      <c r="D799" s="296">
        <f t="shared" si="240"/>
        <v>45778</v>
      </c>
      <c r="E799" s="92" t="str">
        <f>IFERROR(VLOOKUP(C799,Start!C$15:D$31,2,FALSE),"No")</f>
        <v>No</v>
      </c>
      <c r="F799" s="92">
        <f t="shared" si="241"/>
        <v>0</v>
      </c>
      <c r="G799" s="91"/>
      <c r="H799" s="97"/>
      <c r="I799" s="97"/>
      <c r="J799" s="98">
        <f t="shared" si="233"/>
        <v>0</v>
      </c>
      <c r="K799" s="97"/>
      <c r="L799" s="175" t="str">
        <f t="shared" si="234"/>
        <v/>
      </c>
      <c r="M799" s="98">
        <f t="shared" si="235"/>
        <v>0</v>
      </c>
      <c r="N799" s="97"/>
      <c r="O799" s="122"/>
      <c r="P799" s="97"/>
      <c r="Q799" s="122"/>
      <c r="R799" s="98">
        <f>SUMIFS('Shipments data'!L:L,'Shipments data'!F:F,'Supply planning data'!C799,'Shipments data'!A:A,'Supply planning data'!A799,'Shipments data'!Y:Y,'Supply planning data'!D799,'Shipments data'!O:O,"received", 'Shipments data'!N:N, "Public")</f>
        <v>0</v>
      </c>
      <c r="S799" s="98">
        <f>SUMIFS('Shipments data'!L:L,'Shipments data'!F:F,'Supply planning data'!C799,'Shipments data'!A:A,'Supply planning data'!A799,'Shipments data'!Y:Y,'Supply planning data'!D799,'Shipments data'!O:O,"ordered", 'Shipments data'!N:N, "Public")</f>
        <v>0</v>
      </c>
      <c r="T799" s="98">
        <f>IF(SUMIFS('Shipments data'!L:L,'Shipments data'!F:F,'Supply planning data'!C799,'Shipments data'!A:A,'Supply planning data'!A799,'Shipments data'!O:O,"received",'Shipments data'!Q:Q,"&lt;"&amp;'Supply planning data'!D814,'Shipments data'!AC:AC,"&lt;"&amp;'Supply planning data'!D814)-SUMIFS(M:M,D:D,"&lt;="&amp;D799,C:C,C799)+SUMIFS(N:N,D:D,"&lt;="&amp;D799,C:C,C799)+SUMIFS(P:P,D:D,"&lt;="&amp;D799,C:C,C799)&lt;0,0,SUMIFS('Shipments data'!L:L,'Shipments data'!F:F,'Supply planning data'!C799,'Shipments data'!A:A,'Supply planning data'!A799,'Shipments data'!O:O,"received",'Shipments data'!Q:Q,"&lt;"&amp;'Supply planning data'!D814,'Shipments data'!AC:AC,"&lt;"&amp;'Supply planning data'!D814)-SUMIFS(M:M,D:D,"&lt;="&amp;D799,C:C,C799)+SUMIFS(N:N,D:D,"&lt;="&amp;D799,C:C,C799)+SUMIFS(P:P,D:D,"&lt;="&amp;D799,C:C,C799))</f>
        <v>0</v>
      </c>
      <c r="U799" s="99">
        <f t="shared" si="242"/>
        <v>0</v>
      </c>
      <c r="V799" s="98">
        <f t="shared" si="232"/>
        <v>0</v>
      </c>
      <c r="W799" s="203" t="str">
        <f t="shared" si="230"/>
        <v/>
      </c>
      <c r="X799" s="98">
        <f t="shared" si="243"/>
        <v>0</v>
      </c>
      <c r="Y799" s="97"/>
      <c r="Z799" s="93"/>
      <c r="AA799" s="98">
        <f t="shared" si="236"/>
        <v>0</v>
      </c>
      <c r="AB799" s="233"/>
      <c r="AC799" s="98">
        <f>IF(SUMIFS('Shipments data'!L:L,'Shipments data'!F:F,'Supply planning data'!C799,'Shipments data'!A:A,'Supply planning data'!A799,'Shipments data'!O:O,"received",'Shipments data'!Q:Q,"&lt;"&amp;'Supply planning data'!D814,'Shipments data'!AC:AC,"&lt;"&amp;'Supply planning data'!D814)-SUMIFS(M:M,D:D,"&lt;="&amp;D799,C:C,C799)-SUMIFS(AA:AA,D:D,"&lt;="&amp;D799,C:C,C799)+SUMIFS(N:N,D:D,"&lt;="&amp;D799,C:C,C799)+SUMIFS(P:P,D:D,"&lt;="&amp;D799,C:C,C799)&lt;0,0,SUMIFS('Shipments data'!L:L,'Shipments data'!F:F,'Supply planning data'!C799,'Shipments data'!A:A,'Supply planning data'!A799,'Shipments data'!O:O,"received",'Shipments data'!Q:Q,"&lt;"&amp;'Supply planning data'!D814,'Shipments data'!AC:AC,"&lt;"&amp;'Supply planning data'!D814)-SUMIFS(M:M,D:D,"&lt;="&amp;D799,C:C,C799)-SUMIFS(AA:AA,D:D,"&lt;="&amp;D799,C:C,C799)+SUMIFS(N:N,D:D,"&lt;="&amp;D799,C:C,C799)+SUMIFS(P:P,D:D,"&lt;="&amp;D799,C:C,C799))</f>
        <v>0</v>
      </c>
      <c r="AD799" s="98">
        <f t="shared" si="244"/>
        <v>0</v>
      </c>
      <c r="AE799" s="98">
        <f t="shared" si="238"/>
        <v>0</v>
      </c>
      <c r="AF799" s="205" t="str">
        <f t="shared" ref="AF799:AF862" si="247">IF(M799+AA799&lt;=0,"",IFERROR(AE799/(SUM(M799,M829,M814,AA799,AA829,AA814)/3),""))</f>
        <v/>
      </c>
      <c r="AG799" s="98">
        <f t="shared" si="245"/>
        <v>0</v>
      </c>
      <c r="AH799" s="97"/>
      <c r="AI799" s="311"/>
      <c r="AJ799" s="98">
        <f t="shared" si="237"/>
        <v>0</v>
      </c>
      <c r="AK799" s="233"/>
      <c r="AL799" s="98">
        <f>IF(SUMIFS('Shipments data'!L:L,'Shipments data'!F:F,'Supply planning data'!C799,'Shipments data'!A:A,'Supply planning data'!A799,'Shipments data'!O:O,"received",'Shipments data'!Q:Q,"&lt;"&amp;'Supply planning data'!D814,'Shipments data'!AC:AC,"&lt;"&amp;'Supply planning data'!D814)-SUMIFS(M:M,D:D,"&lt;="&amp;D799,C:C,C799)-SUMIFS(AJ:AJ,D:D,"&lt;="&amp;D799,C:C,C799)+SUMIFS(N:N,D:D,"&lt;="&amp;D799,C:C,C799)+SUMIFS(P:P,D:D,"&lt;="&amp;D799,C:C,C799)&lt;0,0,SUMIFS('Shipments data'!L:L,'Shipments data'!F:F,'Supply planning data'!C799,'Shipments data'!A:A,'Supply planning data'!A799,'Shipments data'!O:O,"received",'Shipments data'!Q:Q,"&lt;"&amp;'Supply planning data'!D814,'Shipments data'!AC:AC,"&lt;"&amp;'Supply planning data'!D814)-SUMIFS(M:M,D:D,"&lt;="&amp;D799,C:C,C799)-SUMIFS(AJ:AJ,D:D,"&lt;="&amp;D799,C:C,C799)+SUMIFS(N:N,D:D,"&lt;="&amp;D799,C:C,C799)+SUMIFS(P:P,D:D,"&lt;="&amp;D799,C:C,C799))</f>
        <v>0</v>
      </c>
      <c r="AM799" s="98">
        <f t="shared" si="246"/>
        <v>0</v>
      </c>
      <c r="AN799" s="98">
        <f t="shared" si="239"/>
        <v>0</v>
      </c>
      <c r="AO799" s="203" t="str">
        <f t="shared" si="231"/>
        <v/>
      </c>
    </row>
    <row r="800" spans="1:41" x14ac:dyDescent="0.25">
      <c r="A800" s="103" t="str">
        <f>Start!D$7</f>
        <v>Anyland</v>
      </c>
      <c r="B800" s="104" t="str">
        <f>VLOOKUP(A800,list!B:C,2,FALSE)</f>
        <v>ANY</v>
      </c>
      <c r="C800" s="104" t="str">
        <f>IF(Start!$C$17="","",Start!$C$17)</f>
        <v>AstraZeneca</v>
      </c>
      <c r="D800" s="298">
        <f t="shared" si="240"/>
        <v>45809</v>
      </c>
      <c r="E800" s="105" t="str">
        <f>IFERROR(VLOOKUP(C800,Start!C$15:D$31,2,FALSE),"No")</f>
        <v>Yes</v>
      </c>
      <c r="F800" s="105">
        <f t="shared" si="241"/>
        <v>0</v>
      </c>
      <c r="G800" s="106"/>
      <c r="H800" s="106"/>
      <c r="I800" s="106"/>
      <c r="J800" s="105">
        <f t="shared" si="233"/>
        <v>0</v>
      </c>
      <c r="K800" s="106"/>
      <c r="L800" s="177" t="str">
        <f t="shared" si="234"/>
        <v/>
      </c>
      <c r="M800" s="105">
        <f t="shared" si="235"/>
        <v>0</v>
      </c>
      <c r="N800" s="106"/>
      <c r="O800" s="123"/>
      <c r="P800" s="106"/>
      <c r="Q800" s="123"/>
      <c r="R800" s="105">
        <f>SUMIFS('Shipments data'!L:L,'Shipments data'!F:F,'Supply planning data'!C800,'Shipments data'!A:A,'Supply planning data'!A800,'Shipments data'!Y:Y,'Supply planning data'!D800,'Shipments data'!O:O,"received", 'Shipments data'!N:N, "Public")</f>
        <v>0</v>
      </c>
      <c r="S800" s="105">
        <f>SUMIFS('Shipments data'!L:L,'Shipments data'!F:F,'Supply planning data'!C800,'Shipments data'!A:A,'Supply planning data'!A800,'Shipments data'!Y:Y,'Supply planning data'!D800,'Shipments data'!O:O,"ordered", 'Shipments data'!N:N, "Public")</f>
        <v>0</v>
      </c>
      <c r="T800" s="105">
        <f>IF(SUMIFS('Shipments data'!L:L,'Shipments data'!F:F,'Supply planning data'!C800,'Shipments data'!A:A,'Supply planning data'!A800,'Shipments data'!O:O,"received",'Shipments data'!Q:Q,"&lt;"&amp;'Supply planning data'!D815,'Shipments data'!AC:AC,"&lt;"&amp;'Supply planning data'!D815)-SUMIFS(M:M,D:D,"&lt;="&amp;D800,C:C,C800)+SUMIFS(N:N,D:D,"&lt;="&amp;D800,C:C,C800)+SUMIFS(P:P,D:D,"&lt;="&amp;D800,C:C,C800)&lt;0,0,SUMIFS('Shipments data'!L:L,'Shipments data'!F:F,'Supply planning data'!C800,'Shipments data'!A:A,'Supply planning data'!A800,'Shipments data'!O:O,"received",'Shipments data'!Q:Q,"&lt;"&amp;'Supply planning data'!D815,'Shipments data'!AC:AC,"&lt;"&amp;'Supply planning data'!D815)-SUMIFS(M:M,D:D,"&lt;="&amp;D800,C:C,C800)+SUMIFS(N:N,D:D,"&lt;="&amp;D800,C:C,C800)+SUMIFS(P:P,D:D,"&lt;="&amp;D800,C:C,C800))</f>
        <v>0</v>
      </c>
      <c r="U800" s="108">
        <f t="shared" si="242"/>
        <v>0</v>
      </c>
      <c r="V800" s="105">
        <f t="shared" si="232"/>
        <v>0</v>
      </c>
      <c r="W800" s="206" t="str">
        <f t="shared" si="230"/>
        <v/>
      </c>
      <c r="X800" s="105">
        <f t="shared" si="243"/>
        <v>154701</v>
      </c>
      <c r="Y800" s="106"/>
      <c r="Z800" s="107"/>
      <c r="AA800" s="105">
        <f t="shared" si="236"/>
        <v>0</v>
      </c>
      <c r="AB800" s="234"/>
      <c r="AC800" s="105">
        <f>IF(SUMIFS('Shipments data'!L:L,'Shipments data'!F:F,'Supply planning data'!C800,'Shipments data'!A:A,'Supply planning data'!A800,'Shipments data'!O:O,"received",'Shipments data'!Q:Q,"&lt;"&amp;'Supply planning data'!D815,'Shipments data'!AC:AC,"&lt;"&amp;'Supply planning data'!D815)-SUMIFS(M:M,D:D,"&lt;="&amp;D800,C:C,C800)-SUMIFS(AA:AA,D:D,"&lt;="&amp;D800,C:C,C800)+SUMIFS(N:N,D:D,"&lt;="&amp;D800,C:C,C800)+SUMIFS(P:P,D:D,"&lt;="&amp;D800,C:C,C800)&lt;0,0,SUMIFS('Shipments data'!L:L,'Shipments data'!F:F,'Supply planning data'!C800,'Shipments data'!A:A,'Supply planning data'!A800,'Shipments data'!O:O,"received",'Shipments data'!Q:Q,"&lt;"&amp;'Supply planning data'!D815,'Shipments data'!AC:AC,"&lt;"&amp;'Supply planning data'!D815)-SUMIFS(M:M,D:D,"&lt;="&amp;D800,C:C,C800)-SUMIFS(AA:AA,D:D,"&lt;="&amp;D800,C:C,C800)+SUMIFS(N:N,D:D,"&lt;="&amp;D800,C:C,C800)+SUMIFS(P:P,D:D,"&lt;="&amp;D800,C:C,C800))</f>
        <v>0</v>
      </c>
      <c r="AD800" s="105">
        <f t="shared" si="244"/>
        <v>0</v>
      </c>
      <c r="AE800" s="105">
        <f t="shared" si="238"/>
        <v>154701</v>
      </c>
      <c r="AF800" s="206" t="str">
        <f t="shared" si="247"/>
        <v/>
      </c>
      <c r="AG800" s="105">
        <f t="shared" si="245"/>
        <v>0</v>
      </c>
      <c r="AH800" s="106"/>
      <c r="AI800" s="312"/>
      <c r="AJ800" s="105">
        <f t="shared" si="237"/>
        <v>0</v>
      </c>
      <c r="AK800" s="234"/>
      <c r="AL800" s="105">
        <f>IF(SUMIFS('Shipments data'!L:L,'Shipments data'!F:F,'Supply planning data'!C800,'Shipments data'!A:A,'Supply planning data'!A800,'Shipments data'!O:O,"received",'Shipments data'!Q:Q,"&lt;"&amp;'Supply planning data'!D815,'Shipments data'!AC:AC,"&lt;"&amp;'Supply planning data'!D815)-SUMIFS(M:M,D:D,"&lt;="&amp;D800,C:C,C800)-SUMIFS(AJ:AJ,D:D,"&lt;="&amp;D800,C:C,C800)+SUMIFS(N:N,D:D,"&lt;="&amp;D800,C:C,C800)+SUMIFS(P:P,D:D,"&lt;="&amp;D800,C:C,C800)&lt;0,0,SUMIFS('Shipments data'!L:L,'Shipments data'!F:F,'Supply planning data'!C800,'Shipments data'!A:A,'Supply planning data'!A800,'Shipments data'!O:O,"received",'Shipments data'!Q:Q,"&lt;"&amp;'Supply planning data'!D815,'Shipments data'!AC:AC,"&lt;"&amp;'Supply planning data'!D815)-SUMIFS(M:M,D:D,"&lt;="&amp;D800,C:C,C800)-SUMIFS(AJ:AJ,D:D,"&lt;="&amp;D800,C:C,C800)+SUMIFS(N:N,D:D,"&lt;="&amp;D800,C:C,C800)+SUMIFS(P:P,D:D,"&lt;="&amp;D800,C:C,C800))</f>
        <v>0</v>
      </c>
      <c r="AM800" s="105">
        <f t="shared" si="246"/>
        <v>0</v>
      </c>
      <c r="AN800" s="105">
        <f t="shared" si="239"/>
        <v>0</v>
      </c>
      <c r="AO800" s="206" t="str">
        <f t="shared" si="231"/>
        <v/>
      </c>
    </row>
    <row r="801" spans="1:41" x14ac:dyDescent="0.25">
      <c r="A801" s="103" t="str">
        <f>Start!D$7</f>
        <v>Anyland</v>
      </c>
      <c r="B801" s="109" t="str">
        <f>VLOOKUP(A801,list!B:C,2,FALSE)</f>
        <v>ANY</v>
      </c>
      <c r="C801" s="109" t="str">
        <f>IF(Start!$C$18="","",Start!$C$18)</f>
        <v>Jansen</v>
      </c>
      <c r="D801" s="298">
        <f t="shared" si="240"/>
        <v>45809</v>
      </c>
      <c r="E801" s="105" t="str">
        <f>IFERROR(VLOOKUP(C801,Start!C$15:D$31,2,FALSE),"No")</f>
        <v>Yes</v>
      </c>
      <c r="F801" s="105">
        <f t="shared" si="241"/>
        <v>1871200</v>
      </c>
      <c r="G801" s="106"/>
      <c r="H801" s="106"/>
      <c r="I801" s="106"/>
      <c r="J801" s="105">
        <f t="shared" si="233"/>
        <v>0</v>
      </c>
      <c r="K801" s="106"/>
      <c r="L801" s="177" t="str">
        <f t="shared" si="234"/>
        <v/>
      </c>
      <c r="M801" s="105">
        <f t="shared" si="235"/>
        <v>0</v>
      </c>
      <c r="N801" s="110"/>
      <c r="O801" s="124"/>
      <c r="P801" s="110"/>
      <c r="Q801" s="124"/>
      <c r="R801" s="111">
        <f>SUMIFS('Shipments data'!L:L,'Shipments data'!F:F,'Supply planning data'!C801,'Shipments data'!A:A,'Supply planning data'!A801,'Shipments data'!Y:Y,'Supply planning data'!D801,'Shipments data'!O:O,"received", 'Shipments data'!N:N, "Public")</f>
        <v>0</v>
      </c>
      <c r="S801" s="111">
        <f>SUMIFS('Shipments data'!L:L,'Shipments data'!F:F,'Supply planning data'!C801,'Shipments data'!A:A,'Supply planning data'!A801,'Shipments data'!Y:Y,'Supply planning data'!D801,'Shipments data'!O:O,"ordered", 'Shipments data'!N:N, "Public")</f>
        <v>0</v>
      </c>
      <c r="T801" s="111">
        <f>IF(SUMIFS('Shipments data'!L:L,'Shipments data'!F:F,'Supply planning data'!C801,'Shipments data'!A:A,'Supply planning data'!A801,'Shipments data'!O:O,"received",'Shipments data'!Q:Q,"&lt;"&amp;'Supply planning data'!D816,'Shipments data'!AC:AC,"&lt;"&amp;'Supply planning data'!D816)-SUMIFS(M:M,D:D,"&lt;="&amp;D801,C:C,C801)+SUMIFS(N:N,D:D,"&lt;="&amp;D801,C:C,C801)+SUMIFS(P:P,D:D,"&lt;="&amp;D801,C:C,C801)&lt;0,0,SUMIFS('Shipments data'!L:L,'Shipments data'!F:F,'Supply planning data'!C801,'Shipments data'!A:A,'Supply planning data'!A801,'Shipments data'!O:O,"received",'Shipments data'!Q:Q,"&lt;"&amp;'Supply planning data'!D816,'Shipments data'!AC:AC,"&lt;"&amp;'Supply planning data'!D816)-SUMIFS(M:M,D:D,"&lt;="&amp;D801,C:C,C801)+SUMIFS(N:N,D:D,"&lt;="&amp;D801,C:C,C801)+SUMIFS(P:P,D:D,"&lt;="&amp;D801,C:C,C801))</f>
        <v>387547</v>
      </c>
      <c r="U801" s="112">
        <f t="shared" si="242"/>
        <v>0</v>
      </c>
      <c r="V801" s="111">
        <f t="shared" si="232"/>
        <v>1871200</v>
      </c>
      <c r="W801" s="204" t="str">
        <f t="shared" si="230"/>
        <v/>
      </c>
      <c r="X801" s="111">
        <f t="shared" si="243"/>
        <v>1311200</v>
      </c>
      <c r="Y801" s="110"/>
      <c r="Z801" s="107"/>
      <c r="AA801" s="111">
        <f t="shared" si="236"/>
        <v>0</v>
      </c>
      <c r="AB801" s="235"/>
      <c r="AC801" s="111">
        <f>IF(SUMIFS('Shipments data'!L:L,'Shipments data'!F:F,'Supply planning data'!C801,'Shipments data'!A:A,'Supply planning data'!A801,'Shipments data'!O:O,"received",'Shipments data'!Q:Q,"&lt;"&amp;'Supply planning data'!D816,'Shipments data'!AC:AC,"&lt;"&amp;'Supply planning data'!D816)-SUMIFS(M:M,D:D,"&lt;="&amp;D801,C:C,C801)-SUMIFS(AA:AA,D:D,"&lt;="&amp;D801,C:C,C801)+SUMIFS(N:N,D:D,"&lt;="&amp;D801,C:C,C801)+SUMIFS(P:P,D:D,"&lt;="&amp;D801,C:C,C801)&lt;0,0,SUMIFS('Shipments data'!L:L,'Shipments data'!F:F,'Supply planning data'!C801,'Shipments data'!A:A,'Supply planning data'!A801,'Shipments data'!O:O,"received",'Shipments data'!Q:Q,"&lt;"&amp;'Supply planning data'!D816,'Shipments data'!AC:AC,"&lt;"&amp;'Supply planning data'!D816)-SUMIFS(M:M,D:D,"&lt;="&amp;D801,C:C,C801)-SUMIFS(AA:AA,D:D,"&lt;="&amp;D801,C:C,C801)+SUMIFS(N:N,D:D,"&lt;="&amp;D801,C:C,C801)+SUMIFS(P:P,D:D,"&lt;="&amp;D801,C:C,C801))</f>
        <v>0</v>
      </c>
      <c r="AD801" s="111">
        <f t="shared" si="244"/>
        <v>0</v>
      </c>
      <c r="AE801" s="111">
        <f t="shared" si="238"/>
        <v>1311200</v>
      </c>
      <c r="AF801" s="204" t="str">
        <f t="shared" si="247"/>
        <v/>
      </c>
      <c r="AG801" s="111">
        <f t="shared" si="245"/>
        <v>1871200</v>
      </c>
      <c r="AH801" s="110"/>
      <c r="AI801" s="313"/>
      <c r="AJ801" s="111">
        <f t="shared" si="237"/>
        <v>0</v>
      </c>
      <c r="AK801" s="235"/>
      <c r="AL801" s="111">
        <f>IF(SUMIFS('Shipments data'!L:L,'Shipments data'!F:F,'Supply planning data'!C801,'Shipments data'!A:A,'Supply planning data'!A801,'Shipments data'!O:O,"received",'Shipments data'!Q:Q,"&lt;"&amp;'Supply planning data'!D816,'Shipments data'!AC:AC,"&lt;"&amp;'Supply planning data'!D816)-SUMIFS(M:M,D:D,"&lt;="&amp;D801,C:C,C801)-SUMIFS(AJ:AJ,D:D,"&lt;="&amp;D801,C:C,C801)+SUMIFS(N:N,D:D,"&lt;="&amp;D801,C:C,C801)+SUMIFS(P:P,D:D,"&lt;="&amp;D801,C:C,C801)&lt;0,0,SUMIFS('Shipments data'!L:L,'Shipments data'!F:F,'Supply planning data'!C801,'Shipments data'!A:A,'Supply planning data'!A801,'Shipments data'!O:O,"received",'Shipments data'!Q:Q,"&lt;"&amp;'Supply planning data'!D816,'Shipments data'!AC:AC,"&lt;"&amp;'Supply planning data'!D816)-SUMIFS(M:M,D:D,"&lt;="&amp;D801,C:C,C801)-SUMIFS(AJ:AJ,D:D,"&lt;="&amp;D801,C:C,C801)+SUMIFS(N:N,D:D,"&lt;="&amp;D801,C:C,C801)+SUMIFS(P:P,D:D,"&lt;="&amp;D801,C:C,C801))</f>
        <v>387547</v>
      </c>
      <c r="AM801" s="111">
        <f t="shared" si="246"/>
        <v>0</v>
      </c>
      <c r="AN801" s="111">
        <f t="shared" si="239"/>
        <v>1871200</v>
      </c>
      <c r="AO801" s="204" t="str">
        <f t="shared" si="231"/>
        <v/>
      </c>
    </row>
    <row r="802" spans="1:41" x14ac:dyDescent="0.25">
      <c r="A802" s="103" t="str">
        <f>Start!D$7</f>
        <v>Anyland</v>
      </c>
      <c r="B802" s="109" t="str">
        <f>VLOOKUP(A802,list!B:C,2,FALSE)</f>
        <v>ANY</v>
      </c>
      <c r="C802" s="104" t="str">
        <f>IF(Start!$C$19="","",Start!$C$19)</f>
        <v>Moderna</v>
      </c>
      <c r="D802" s="298">
        <f t="shared" si="240"/>
        <v>45809</v>
      </c>
      <c r="E802" s="105" t="str">
        <f>IFERROR(VLOOKUP(C802,Start!C$15:D$31,2,FALSE),"No")</f>
        <v>No</v>
      </c>
      <c r="F802" s="105">
        <f t="shared" si="241"/>
        <v>0</v>
      </c>
      <c r="G802" s="106"/>
      <c r="H802" s="106"/>
      <c r="I802" s="106"/>
      <c r="J802" s="105">
        <f t="shared" si="233"/>
        <v>0</v>
      </c>
      <c r="K802" s="106"/>
      <c r="L802" s="177" t="str">
        <f t="shared" si="234"/>
        <v/>
      </c>
      <c r="M802" s="105">
        <f t="shared" si="235"/>
        <v>0</v>
      </c>
      <c r="N802" s="110"/>
      <c r="O802" s="124"/>
      <c r="P802" s="110"/>
      <c r="Q802" s="124"/>
      <c r="R802" s="111">
        <f>SUMIFS('Shipments data'!L:L,'Shipments data'!F:F,'Supply planning data'!C802,'Shipments data'!A:A,'Supply planning data'!A802,'Shipments data'!Y:Y,'Supply planning data'!D802,'Shipments data'!O:O,"received", 'Shipments data'!N:N, "Public")</f>
        <v>0</v>
      </c>
      <c r="S802" s="111">
        <f>SUMIFS('Shipments data'!L:L,'Shipments data'!F:F,'Supply planning data'!C802,'Shipments data'!A:A,'Supply planning data'!A802,'Shipments data'!Y:Y,'Supply planning data'!D802,'Shipments data'!O:O,"ordered", 'Shipments data'!N:N, "Public")</f>
        <v>0</v>
      </c>
      <c r="T802" s="111">
        <f>IF(SUMIFS('Shipments data'!L:L,'Shipments data'!F:F,'Supply planning data'!C802,'Shipments data'!A:A,'Supply planning data'!A802,'Shipments data'!O:O,"received",'Shipments data'!Q:Q,"&lt;"&amp;'Supply planning data'!D817,'Shipments data'!AC:AC,"&lt;"&amp;'Supply planning data'!D817)-SUMIFS(M:M,D:D,"&lt;="&amp;D802,C:C,C802)+SUMIFS(N:N,D:D,"&lt;="&amp;D802,C:C,C802)+SUMIFS(P:P,D:D,"&lt;="&amp;D802,C:C,C802)&lt;0,0,SUMIFS('Shipments data'!L:L,'Shipments data'!F:F,'Supply planning data'!C802,'Shipments data'!A:A,'Supply planning data'!A802,'Shipments data'!O:O,"received",'Shipments data'!Q:Q,"&lt;"&amp;'Supply planning data'!D817,'Shipments data'!AC:AC,"&lt;"&amp;'Supply planning data'!D817)-SUMIFS(M:M,D:D,"&lt;="&amp;D802,C:C,C802)+SUMIFS(N:N,D:D,"&lt;="&amp;D802,C:C,C802)+SUMIFS(P:P,D:D,"&lt;="&amp;D802,C:C,C802))</f>
        <v>0</v>
      </c>
      <c r="U802" s="112">
        <f t="shared" si="242"/>
        <v>0</v>
      </c>
      <c r="V802" s="111">
        <f t="shared" si="232"/>
        <v>0</v>
      </c>
      <c r="W802" s="204" t="str">
        <f t="shared" si="230"/>
        <v/>
      </c>
      <c r="X802" s="111">
        <f t="shared" si="243"/>
        <v>0</v>
      </c>
      <c r="Y802" s="110"/>
      <c r="Z802" s="107"/>
      <c r="AA802" s="111">
        <f t="shared" si="236"/>
        <v>0</v>
      </c>
      <c r="AB802" s="235"/>
      <c r="AC802" s="111">
        <f>IF(SUMIFS('Shipments data'!L:L,'Shipments data'!F:F,'Supply planning data'!C802,'Shipments data'!A:A,'Supply planning data'!A802,'Shipments data'!O:O,"received",'Shipments data'!Q:Q,"&lt;"&amp;'Supply planning data'!D817,'Shipments data'!AC:AC,"&lt;"&amp;'Supply planning data'!D817)-SUMIFS(M:M,D:D,"&lt;="&amp;D802,C:C,C802)-SUMIFS(AA:AA,D:D,"&lt;="&amp;D802,C:C,C802)+SUMIFS(N:N,D:D,"&lt;="&amp;D802,C:C,C802)+SUMIFS(P:P,D:D,"&lt;="&amp;D802,C:C,C802)&lt;0,0,SUMIFS('Shipments data'!L:L,'Shipments data'!F:F,'Supply planning data'!C802,'Shipments data'!A:A,'Supply planning data'!A802,'Shipments data'!O:O,"received",'Shipments data'!Q:Q,"&lt;"&amp;'Supply planning data'!D817,'Shipments data'!AC:AC,"&lt;"&amp;'Supply planning data'!D817)-SUMIFS(M:M,D:D,"&lt;="&amp;D802,C:C,C802)-SUMIFS(AA:AA,D:D,"&lt;="&amp;D802,C:C,C802)+SUMIFS(N:N,D:D,"&lt;="&amp;D802,C:C,C802)+SUMIFS(P:P,D:D,"&lt;="&amp;D802,C:C,C802))</f>
        <v>0</v>
      </c>
      <c r="AD802" s="111">
        <f t="shared" si="244"/>
        <v>0</v>
      </c>
      <c r="AE802" s="111">
        <f t="shared" si="238"/>
        <v>0</v>
      </c>
      <c r="AF802" s="204" t="str">
        <f t="shared" si="247"/>
        <v/>
      </c>
      <c r="AG802" s="111">
        <f t="shared" si="245"/>
        <v>0</v>
      </c>
      <c r="AH802" s="110"/>
      <c r="AI802" s="313"/>
      <c r="AJ802" s="111">
        <f t="shared" si="237"/>
        <v>0</v>
      </c>
      <c r="AK802" s="235"/>
      <c r="AL802" s="111">
        <f>IF(SUMIFS('Shipments data'!L:L,'Shipments data'!F:F,'Supply planning data'!C802,'Shipments data'!A:A,'Supply planning data'!A802,'Shipments data'!O:O,"received",'Shipments data'!Q:Q,"&lt;"&amp;'Supply planning data'!D817,'Shipments data'!AC:AC,"&lt;"&amp;'Supply planning data'!D817)-SUMIFS(M:M,D:D,"&lt;="&amp;D802,C:C,C802)-SUMIFS(AJ:AJ,D:D,"&lt;="&amp;D802,C:C,C802)+SUMIFS(N:N,D:D,"&lt;="&amp;D802,C:C,C802)+SUMIFS(P:P,D:D,"&lt;="&amp;D802,C:C,C802)&lt;0,0,SUMIFS('Shipments data'!L:L,'Shipments data'!F:F,'Supply planning data'!C802,'Shipments data'!A:A,'Supply planning data'!A802,'Shipments data'!O:O,"received",'Shipments data'!Q:Q,"&lt;"&amp;'Supply planning data'!D817,'Shipments data'!AC:AC,"&lt;"&amp;'Supply planning data'!D817)-SUMIFS(M:M,D:D,"&lt;="&amp;D802,C:C,C802)-SUMIFS(AJ:AJ,D:D,"&lt;="&amp;D802,C:C,C802)+SUMIFS(N:N,D:D,"&lt;="&amp;D802,C:C,C802)+SUMIFS(P:P,D:D,"&lt;="&amp;D802,C:C,C802))</f>
        <v>0</v>
      </c>
      <c r="AM802" s="111">
        <f t="shared" si="246"/>
        <v>0</v>
      </c>
      <c r="AN802" s="111">
        <f t="shared" si="239"/>
        <v>0</v>
      </c>
      <c r="AO802" s="204" t="str">
        <f t="shared" si="231"/>
        <v/>
      </c>
    </row>
    <row r="803" spans="1:41" x14ac:dyDescent="0.25">
      <c r="A803" s="103" t="str">
        <f>Start!D$7</f>
        <v>Anyland</v>
      </c>
      <c r="B803" s="109" t="str">
        <f>VLOOKUP(A803,list!B:C,2,FALSE)</f>
        <v>ANY</v>
      </c>
      <c r="C803" s="109" t="str">
        <f>IF(Start!$C$20="","",Start!$C$20)</f>
        <v>Pfizer</v>
      </c>
      <c r="D803" s="298">
        <f t="shared" si="240"/>
        <v>45809</v>
      </c>
      <c r="E803" s="105" t="str">
        <f>IFERROR(VLOOKUP(C803,Start!C$15:D$31,2,FALSE),"No")</f>
        <v>Yes</v>
      </c>
      <c r="F803" s="105">
        <f t="shared" si="241"/>
        <v>3000000</v>
      </c>
      <c r="G803" s="106"/>
      <c r="H803" s="106"/>
      <c r="I803" s="106"/>
      <c r="J803" s="105">
        <f t="shared" si="233"/>
        <v>0</v>
      </c>
      <c r="K803" s="106"/>
      <c r="L803" s="177" t="str">
        <f t="shared" si="234"/>
        <v/>
      </c>
      <c r="M803" s="105">
        <f t="shared" si="235"/>
        <v>0</v>
      </c>
      <c r="N803" s="110"/>
      <c r="O803" s="124"/>
      <c r="P803" s="110"/>
      <c r="Q803" s="124"/>
      <c r="R803" s="111">
        <f>SUMIFS('Shipments data'!L:L,'Shipments data'!F:F,'Supply planning data'!C803,'Shipments data'!A:A,'Supply planning data'!A803,'Shipments data'!Y:Y,'Supply planning data'!D803,'Shipments data'!O:O,"received", 'Shipments data'!N:N, "Public")</f>
        <v>0</v>
      </c>
      <c r="S803" s="111">
        <f>SUMIFS('Shipments data'!L:L,'Shipments data'!F:F,'Supply planning data'!C803,'Shipments data'!A:A,'Supply planning data'!A803,'Shipments data'!Y:Y,'Supply planning data'!D803,'Shipments data'!O:O,"ordered", 'Shipments data'!N:N, "Public")</f>
        <v>0</v>
      </c>
      <c r="T803" s="111">
        <f>IF(SUMIFS('Shipments data'!L:L,'Shipments data'!F:F,'Supply planning data'!C803,'Shipments data'!A:A,'Supply planning data'!A803,'Shipments data'!O:O,"received",'Shipments data'!Q:Q,"&lt;"&amp;'Supply planning data'!D818,'Shipments data'!AC:AC,"&lt;"&amp;'Supply planning data'!D818)-SUMIFS(M:M,D:D,"&lt;="&amp;D803,C:C,C803)+SUMIFS(N:N,D:D,"&lt;="&amp;D803,C:C,C803)+SUMIFS(P:P,D:D,"&lt;="&amp;D803,C:C,C803)&lt;0,0,SUMIFS('Shipments data'!L:L,'Shipments data'!F:F,'Supply planning data'!C803,'Shipments data'!A:A,'Supply planning data'!A803,'Shipments data'!O:O,"received",'Shipments data'!Q:Q,"&lt;"&amp;'Supply planning data'!D818,'Shipments data'!AC:AC,"&lt;"&amp;'Supply planning data'!D818)-SUMIFS(M:M,D:D,"&lt;="&amp;D803,C:C,C803)+SUMIFS(N:N,D:D,"&lt;="&amp;D803,C:C,C803)+SUMIFS(P:P,D:D,"&lt;="&amp;D803,C:C,C803))</f>
        <v>110538</v>
      </c>
      <c r="U803" s="112">
        <f t="shared" si="242"/>
        <v>0</v>
      </c>
      <c r="V803" s="111">
        <f t="shared" si="232"/>
        <v>3000000</v>
      </c>
      <c r="W803" s="204" t="str">
        <f t="shared" si="230"/>
        <v/>
      </c>
      <c r="X803" s="111">
        <f t="shared" si="243"/>
        <v>2440000</v>
      </c>
      <c r="Y803" s="110"/>
      <c r="Z803" s="107"/>
      <c r="AA803" s="111">
        <f t="shared" si="236"/>
        <v>0</v>
      </c>
      <c r="AB803" s="235"/>
      <c r="AC803" s="111">
        <f>IF(SUMIFS('Shipments data'!L:L,'Shipments data'!F:F,'Supply planning data'!C803,'Shipments data'!A:A,'Supply planning data'!A803,'Shipments data'!O:O,"received",'Shipments data'!Q:Q,"&lt;"&amp;'Supply planning data'!D818,'Shipments data'!AC:AC,"&lt;"&amp;'Supply planning data'!D818)-SUMIFS(M:M,D:D,"&lt;="&amp;D803,C:C,C803)-SUMIFS(AA:AA,D:D,"&lt;="&amp;D803,C:C,C803)+SUMIFS(N:N,D:D,"&lt;="&amp;D803,C:C,C803)+SUMIFS(P:P,D:D,"&lt;="&amp;D803,C:C,C803)&lt;0,0,SUMIFS('Shipments data'!L:L,'Shipments data'!F:F,'Supply planning data'!C803,'Shipments data'!A:A,'Supply planning data'!A803,'Shipments data'!O:O,"received",'Shipments data'!Q:Q,"&lt;"&amp;'Supply planning data'!D818,'Shipments data'!AC:AC,"&lt;"&amp;'Supply planning data'!D818)-SUMIFS(M:M,D:D,"&lt;="&amp;D803,C:C,C803)-SUMIFS(AA:AA,D:D,"&lt;="&amp;D803,C:C,C803)+SUMIFS(N:N,D:D,"&lt;="&amp;D803,C:C,C803)+SUMIFS(P:P,D:D,"&lt;="&amp;D803,C:C,C803))</f>
        <v>0</v>
      </c>
      <c r="AD803" s="111">
        <f t="shared" si="244"/>
        <v>0</v>
      </c>
      <c r="AE803" s="111">
        <f t="shared" si="238"/>
        <v>2440000</v>
      </c>
      <c r="AF803" s="204" t="str">
        <f t="shared" si="247"/>
        <v/>
      </c>
      <c r="AG803" s="111">
        <f t="shared" si="245"/>
        <v>3000000</v>
      </c>
      <c r="AH803" s="110"/>
      <c r="AI803" s="313"/>
      <c r="AJ803" s="111">
        <f t="shared" si="237"/>
        <v>0</v>
      </c>
      <c r="AK803" s="235"/>
      <c r="AL803" s="111">
        <f>IF(SUMIFS('Shipments data'!L:L,'Shipments data'!F:F,'Supply planning data'!C803,'Shipments data'!A:A,'Supply planning data'!A803,'Shipments data'!O:O,"received",'Shipments data'!Q:Q,"&lt;"&amp;'Supply planning data'!D818,'Shipments data'!AC:AC,"&lt;"&amp;'Supply planning data'!D818)-SUMIFS(M:M,D:D,"&lt;="&amp;D803,C:C,C803)-SUMIFS(AJ:AJ,D:D,"&lt;="&amp;D803,C:C,C803)+SUMIFS(N:N,D:D,"&lt;="&amp;D803,C:C,C803)+SUMIFS(P:P,D:D,"&lt;="&amp;D803,C:C,C803)&lt;0,0,SUMIFS('Shipments data'!L:L,'Shipments data'!F:F,'Supply planning data'!C803,'Shipments data'!A:A,'Supply planning data'!A803,'Shipments data'!O:O,"received",'Shipments data'!Q:Q,"&lt;"&amp;'Supply planning data'!D818,'Shipments data'!AC:AC,"&lt;"&amp;'Supply planning data'!D818)-SUMIFS(M:M,D:D,"&lt;="&amp;D803,C:C,C803)-SUMIFS(AJ:AJ,D:D,"&lt;="&amp;D803,C:C,C803)+SUMIFS(N:N,D:D,"&lt;="&amp;D803,C:C,C803)+SUMIFS(P:P,D:D,"&lt;="&amp;D803,C:C,C803))</f>
        <v>110538</v>
      </c>
      <c r="AM803" s="111">
        <f t="shared" si="246"/>
        <v>0</v>
      </c>
      <c r="AN803" s="111">
        <f t="shared" si="239"/>
        <v>3000000</v>
      </c>
      <c r="AO803" s="204" t="str">
        <f t="shared" si="231"/>
        <v/>
      </c>
    </row>
    <row r="804" spans="1:41" x14ac:dyDescent="0.25">
      <c r="A804" s="103" t="str">
        <f>Start!D$7</f>
        <v>Anyland</v>
      </c>
      <c r="B804" s="109" t="str">
        <f>VLOOKUP(A804,list!B:C,2,FALSE)</f>
        <v>ANY</v>
      </c>
      <c r="C804" s="104" t="str">
        <f>IF(Start!$C$21="","",Start!$C$21)</f>
        <v>Sinovac</v>
      </c>
      <c r="D804" s="298">
        <f t="shared" si="240"/>
        <v>45809</v>
      </c>
      <c r="E804" s="105" t="str">
        <f>IFERROR(VLOOKUP(C804,Start!C$15:D$31,2,FALSE),"No")</f>
        <v>No</v>
      </c>
      <c r="F804" s="105">
        <f t="shared" si="241"/>
        <v>0</v>
      </c>
      <c r="G804" s="106"/>
      <c r="H804" s="106"/>
      <c r="I804" s="106"/>
      <c r="J804" s="105">
        <f t="shared" si="233"/>
        <v>0</v>
      </c>
      <c r="K804" s="106"/>
      <c r="L804" s="177" t="str">
        <f t="shared" si="234"/>
        <v/>
      </c>
      <c r="M804" s="105">
        <f t="shared" si="235"/>
        <v>0</v>
      </c>
      <c r="N804" s="110"/>
      <c r="O804" s="124"/>
      <c r="P804" s="110"/>
      <c r="Q804" s="124"/>
      <c r="R804" s="111">
        <f>SUMIFS('Shipments data'!L:L,'Shipments data'!F:F,'Supply planning data'!C804,'Shipments data'!A:A,'Supply planning data'!A804,'Shipments data'!Y:Y,'Supply planning data'!D804,'Shipments data'!O:O,"received", 'Shipments data'!N:N, "Public")</f>
        <v>0</v>
      </c>
      <c r="S804" s="111">
        <f>SUMIFS('Shipments data'!L:L,'Shipments data'!F:F,'Supply planning data'!C804,'Shipments data'!A:A,'Supply planning data'!A804,'Shipments data'!Y:Y,'Supply planning data'!D804,'Shipments data'!O:O,"ordered", 'Shipments data'!N:N, "Public")</f>
        <v>0</v>
      </c>
      <c r="T804" s="111">
        <f>IF(SUMIFS('Shipments data'!L:L,'Shipments data'!F:F,'Supply planning data'!C804,'Shipments data'!A:A,'Supply planning data'!A804,'Shipments data'!O:O,"received",'Shipments data'!Q:Q,"&lt;"&amp;'Supply planning data'!D819,'Shipments data'!AC:AC,"&lt;"&amp;'Supply planning data'!D819)-SUMIFS(M:M,D:D,"&lt;="&amp;D804,C:C,C804)+SUMIFS(N:N,D:D,"&lt;="&amp;D804,C:C,C804)+SUMIFS(P:P,D:D,"&lt;="&amp;D804,C:C,C804)&lt;0,0,SUMIFS('Shipments data'!L:L,'Shipments data'!F:F,'Supply planning data'!C804,'Shipments data'!A:A,'Supply planning data'!A804,'Shipments data'!O:O,"received",'Shipments data'!Q:Q,"&lt;"&amp;'Supply planning data'!D819,'Shipments data'!AC:AC,"&lt;"&amp;'Supply planning data'!D819)-SUMIFS(M:M,D:D,"&lt;="&amp;D804,C:C,C804)+SUMIFS(N:N,D:D,"&lt;="&amp;D804,C:C,C804)+SUMIFS(P:P,D:D,"&lt;="&amp;D804,C:C,C804))</f>
        <v>0</v>
      </c>
      <c r="U804" s="112">
        <f t="shared" si="242"/>
        <v>0</v>
      </c>
      <c r="V804" s="111">
        <f t="shared" si="232"/>
        <v>0</v>
      </c>
      <c r="W804" s="204" t="str">
        <f t="shared" ref="W804:W867" si="248">IF(M804&lt;=0,"",IFERROR(V804/(SUM(M804,M789,M774)/3),""))</f>
        <v/>
      </c>
      <c r="X804" s="111">
        <f t="shared" si="243"/>
        <v>0</v>
      </c>
      <c r="Y804" s="110"/>
      <c r="Z804" s="107"/>
      <c r="AA804" s="111">
        <f t="shared" si="236"/>
        <v>0</v>
      </c>
      <c r="AB804" s="235"/>
      <c r="AC804" s="111">
        <f>IF(SUMIFS('Shipments data'!L:L,'Shipments data'!F:F,'Supply planning data'!C804,'Shipments data'!A:A,'Supply planning data'!A804,'Shipments data'!O:O,"received",'Shipments data'!Q:Q,"&lt;"&amp;'Supply planning data'!D819,'Shipments data'!AC:AC,"&lt;"&amp;'Supply planning data'!D819)-SUMIFS(M:M,D:D,"&lt;="&amp;D804,C:C,C804)-SUMIFS(AA:AA,D:D,"&lt;="&amp;D804,C:C,C804)+SUMIFS(N:N,D:D,"&lt;="&amp;D804,C:C,C804)+SUMIFS(P:P,D:D,"&lt;="&amp;D804,C:C,C804)&lt;0,0,SUMIFS('Shipments data'!L:L,'Shipments data'!F:F,'Supply planning data'!C804,'Shipments data'!A:A,'Supply planning data'!A804,'Shipments data'!O:O,"received",'Shipments data'!Q:Q,"&lt;"&amp;'Supply planning data'!D819,'Shipments data'!AC:AC,"&lt;"&amp;'Supply planning data'!D819)-SUMIFS(M:M,D:D,"&lt;="&amp;D804,C:C,C804)-SUMIFS(AA:AA,D:D,"&lt;="&amp;D804,C:C,C804)+SUMIFS(N:N,D:D,"&lt;="&amp;D804,C:C,C804)+SUMIFS(P:P,D:D,"&lt;="&amp;D804,C:C,C804))</f>
        <v>0</v>
      </c>
      <c r="AD804" s="111">
        <f t="shared" si="244"/>
        <v>0</v>
      </c>
      <c r="AE804" s="111">
        <f t="shared" si="238"/>
        <v>0</v>
      </c>
      <c r="AF804" s="204" t="str">
        <f t="shared" si="247"/>
        <v/>
      </c>
      <c r="AG804" s="111">
        <f t="shared" si="245"/>
        <v>0</v>
      </c>
      <c r="AH804" s="110"/>
      <c r="AI804" s="313"/>
      <c r="AJ804" s="111">
        <f t="shared" si="237"/>
        <v>0</v>
      </c>
      <c r="AK804" s="235"/>
      <c r="AL804" s="111">
        <f>IF(SUMIFS('Shipments data'!L:L,'Shipments data'!F:F,'Supply planning data'!C804,'Shipments data'!A:A,'Supply planning data'!A804,'Shipments data'!O:O,"received",'Shipments data'!Q:Q,"&lt;"&amp;'Supply planning data'!D819,'Shipments data'!AC:AC,"&lt;"&amp;'Supply planning data'!D819)-SUMIFS(M:M,D:D,"&lt;="&amp;D804,C:C,C804)-SUMIFS(AJ:AJ,D:D,"&lt;="&amp;D804,C:C,C804)+SUMIFS(N:N,D:D,"&lt;="&amp;D804,C:C,C804)+SUMIFS(P:P,D:D,"&lt;="&amp;D804,C:C,C804)&lt;0,0,SUMIFS('Shipments data'!L:L,'Shipments data'!F:F,'Supply planning data'!C804,'Shipments data'!A:A,'Supply planning data'!A804,'Shipments data'!O:O,"received",'Shipments data'!Q:Q,"&lt;"&amp;'Supply planning data'!D819,'Shipments data'!AC:AC,"&lt;"&amp;'Supply planning data'!D819)-SUMIFS(M:M,D:D,"&lt;="&amp;D804,C:C,C804)-SUMIFS(AJ:AJ,D:D,"&lt;="&amp;D804,C:C,C804)+SUMIFS(N:N,D:D,"&lt;="&amp;D804,C:C,C804)+SUMIFS(P:P,D:D,"&lt;="&amp;D804,C:C,C804))</f>
        <v>0</v>
      </c>
      <c r="AM804" s="111">
        <f t="shared" si="246"/>
        <v>0</v>
      </c>
      <c r="AN804" s="111">
        <f t="shared" si="239"/>
        <v>0</v>
      </c>
      <c r="AO804" s="204" t="str">
        <f t="shared" ref="AO804:AO867" si="249">IF(M804+AJ804&lt;=0,"",IFERROR(AN804/(SUM(M804,M834,M819,AJ804,AJ834,AJ819)/3),""))</f>
        <v/>
      </c>
    </row>
    <row r="805" spans="1:41" hidden="1" x14ac:dyDescent="0.25">
      <c r="A805" s="103" t="str">
        <f>Start!D$7</f>
        <v>Anyland</v>
      </c>
      <c r="B805" s="109" t="str">
        <f>VLOOKUP(A805,list!B:C,2,FALSE)</f>
        <v>ANY</v>
      </c>
      <c r="C805" s="109" t="str">
        <f>IF(Start!$C$22="","",Start!$C$22)</f>
        <v/>
      </c>
      <c r="D805" s="298">
        <f t="shared" si="240"/>
        <v>45809</v>
      </c>
      <c r="E805" s="105" t="str">
        <f>IFERROR(VLOOKUP(C805,Start!C$15:D$31,2,FALSE),"No")</f>
        <v>No</v>
      </c>
      <c r="F805" s="105">
        <f t="shared" si="241"/>
        <v>0</v>
      </c>
      <c r="G805" s="106"/>
      <c r="H805" s="106"/>
      <c r="I805" s="106"/>
      <c r="J805" s="105">
        <f t="shared" si="233"/>
        <v>0</v>
      </c>
      <c r="K805" s="106"/>
      <c r="L805" s="177" t="str">
        <f t="shared" si="234"/>
        <v/>
      </c>
      <c r="M805" s="105">
        <f t="shared" si="235"/>
        <v>0</v>
      </c>
      <c r="N805" s="110"/>
      <c r="O805" s="124"/>
      <c r="P805" s="110"/>
      <c r="Q805" s="124"/>
      <c r="R805" s="111">
        <f>SUMIFS('Shipments data'!L:L,'Shipments data'!F:F,'Supply planning data'!C805,'Shipments data'!A:A,'Supply planning data'!A805,'Shipments data'!Y:Y,'Supply planning data'!D805,'Shipments data'!O:O,"received", 'Shipments data'!N:N, "Public")</f>
        <v>0</v>
      </c>
      <c r="S805" s="111">
        <f>SUMIFS('Shipments data'!L:L,'Shipments data'!F:F,'Supply planning data'!C805,'Shipments data'!A:A,'Supply planning data'!A805,'Shipments data'!Y:Y,'Supply planning data'!D805,'Shipments data'!O:O,"ordered", 'Shipments data'!N:N, "Public")</f>
        <v>0</v>
      </c>
      <c r="T805" s="111">
        <f>IF(SUMIFS('Shipments data'!L:L,'Shipments data'!F:F,'Supply planning data'!C805,'Shipments data'!A:A,'Supply planning data'!A805,'Shipments data'!O:O,"received",'Shipments data'!Q:Q,"&lt;"&amp;'Supply planning data'!D820,'Shipments data'!AC:AC,"&lt;"&amp;'Supply planning data'!D820)-SUMIFS(M:M,D:D,"&lt;="&amp;D805,C:C,C805)+SUMIFS(N:N,D:D,"&lt;="&amp;D805,C:C,C805)+SUMIFS(P:P,D:D,"&lt;="&amp;D805,C:C,C805)&lt;0,0,SUMIFS('Shipments data'!L:L,'Shipments data'!F:F,'Supply planning data'!C805,'Shipments data'!A:A,'Supply planning data'!A805,'Shipments data'!O:O,"received",'Shipments data'!Q:Q,"&lt;"&amp;'Supply planning data'!D820,'Shipments data'!AC:AC,"&lt;"&amp;'Supply planning data'!D820)-SUMIFS(M:M,D:D,"&lt;="&amp;D805,C:C,C805)+SUMIFS(N:N,D:D,"&lt;="&amp;D805,C:C,C805)+SUMIFS(P:P,D:D,"&lt;="&amp;D805,C:C,C805))</f>
        <v>0</v>
      </c>
      <c r="U805" s="112">
        <f t="shared" si="242"/>
        <v>0</v>
      </c>
      <c r="V805" s="111">
        <f t="shared" si="232"/>
        <v>0</v>
      </c>
      <c r="W805" s="204" t="str">
        <f t="shared" si="248"/>
        <v/>
      </c>
      <c r="X805" s="111">
        <f t="shared" si="243"/>
        <v>0</v>
      </c>
      <c r="Y805" s="110"/>
      <c r="Z805" s="107"/>
      <c r="AA805" s="111">
        <f t="shared" si="236"/>
        <v>0</v>
      </c>
      <c r="AB805" s="235"/>
      <c r="AC805" s="111">
        <f>IF(SUMIFS('Shipments data'!L:L,'Shipments data'!F:F,'Supply planning data'!C805,'Shipments data'!A:A,'Supply planning data'!A805,'Shipments data'!O:O,"received",'Shipments data'!Q:Q,"&lt;"&amp;'Supply planning data'!D820,'Shipments data'!AC:AC,"&lt;"&amp;'Supply planning data'!D820)-SUMIFS(M:M,D:D,"&lt;="&amp;D805,C:C,C805)-SUMIFS(AA:AA,D:D,"&lt;="&amp;D805,C:C,C805)+SUMIFS(N:N,D:D,"&lt;="&amp;D805,C:C,C805)+SUMIFS(P:P,D:D,"&lt;="&amp;D805,C:C,C805)&lt;0,0,SUMIFS('Shipments data'!L:L,'Shipments data'!F:F,'Supply planning data'!C805,'Shipments data'!A:A,'Supply planning data'!A805,'Shipments data'!O:O,"received",'Shipments data'!Q:Q,"&lt;"&amp;'Supply planning data'!D820,'Shipments data'!AC:AC,"&lt;"&amp;'Supply planning data'!D820)-SUMIFS(M:M,D:D,"&lt;="&amp;D805,C:C,C805)-SUMIFS(AA:AA,D:D,"&lt;="&amp;D805,C:C,C805)+SUMIFS(N:N,D:D,"&lt;="&amp;D805,C:C,C805)+SUMIFS(P:P,D:D,"&lt;="&amp;D805,C:C,C805))</f>
        <v>0</v>
      </c>
      <c r="AD805" s="111">
        <f t="shared" si="244"/>
        <v>0</v>
      </c>
      <c r="AE805" s="111">
        <f t="shared" si="238"/>
        <v>0</v>
      </c>
      <c r="AF805" s="204" t="str">
        <f t="shared" si="247"/>
        <v/>
      </c>
      <c r="AG805" s="111">
        <f t="shared" si="245"/>
        <v>0</v>
      </c>
      <c r="AH805" s="110"/>
      <c r="AI805" s="313"/>
      <c r="AJ805" s="111">
        <f t="shared" si="237"/>
        <v>0</v>
      </c>
      <c r="AK805" s="235"/>
      <c r="AL805" s="111">
        <f>IF(SUMIFS('Shipments data'!L:L,'Shipments data'!F:F,'Supply planning data'!C805,'Shipments data'!A:A,'Supply planning data'!A805,'Shipments data'!O:O,"received",'Shipments data'!Q:Q,"&lt;"&amp;'Supply planning data'!D820,'Shipments data'!AC:AC,"&lt;"&amp;'Supply planning data'!D820)-SUMIFS(M:M,D:D,"&lt;="&amp;D805,C:C,C805)-SUMIFS(AJ:AJ,D:D,"&lt;="&amp;D805,C:C,C805)+SUMIFS(N:N,D:D,"&lt;="&amp;D805,C:C,C805)+SUMIFS(P:P,D:D,"&lt;="&amp;D805,C:C,C805)&lt;0,0,SUMIFS('Shipments data'!L:L,'Shipments data'!F:F,'Supply planning data'!C805,'Shipments data'!A:A,'Supply planning data'!A805,'Shipments data'!O:O,"received",'Shipments data'!Q:Q,"&lt;"&amp;'Supply planning data'!D820,'Shipments data'!AC:AC,"&lt;"&amp;'Supply planning data'!D820)-SUMIFS(M:M,D:D,"&lt;="&amp;D805,C:C,C805)-SUMIFS(AJ:AJ,D:D,"&lt;="&amp;D805,C:C,C805)+SUMIFS(N:N,D:D,"&lt;="&amp;D805,C:C,C805)+SUMIFS(P:P,D:D,"&lt;="&amp;D805,C:C,C805))</f>
        <v>0</v>
      </c>
      <c r="AM805" s="111">
        <f t="shared" si="246"/>
        <v>0</v>
      </c>
      <c r="AN805" s="111">
        <f t="shared" si="239"/>
        <v>0</v>
      </c>
      <c r="AO805" s="204" t="str">
        <f t="shared" si="249"/>
        <v/>
      </c>
    </row>
    <row r="806" spans="1:41" hidden="1" x14ac:dyDescent="0.25">
      <c r="A806" s="103" t="str">
        <f>Start!D$7</f>
        <v>Anyland</v>
      </c>
      <c r="B806" s="109" t="str">
        <f>VLOOKUP(A806,list!B:C,2,FALSE)</f>
        <v>ANY</v>
      </c>
      <c r="C806" s="104" t="str">
        <f>IF(Start!$C$23="","",Start!$C$23)</f>
        <v/>
      </c>
      <c r="D806" s="298">
        <f t="shared" si="240"/>
        <v>45809</v>
      </c>
      <c r="E806" s="105" t="str">
        <f>IFERROR(VLOOKUP(C806,Start!C$15:D$31,2,FALSE),"No")</f>
        <v>No</v>
      </c>
      <c r="F806" s="105">
        <f t="shared" si="241"/>
        <v>0</v>
      </c>
      <c r="G806" s="106"/>
      <c r="H806" s="106"/>
      <c r="I806" s="106"/>
      <c r="J806" s="105">
        <f t="shared" si="233"/>
        <v>0</v>
      </c>
      <c r="K806" s="106"/>
      <c r="L806" s="177" t="str">
        <f t="shared" si="234"/>
        <v/>
      </c>
      <c r="M806" s="105">
        <f t="shared" si="235"/>
        <v>0</v>
      </c>
      <c r="N806" s="110"/>
      <c r="O806" s="124"/>
      <c r="P806" s="110"/>
      <c r="Q806" s="124"/>
      <c r="R806" s="111">
        <f>SUMIFS('Shipments data'!L:L,'Shipments data'!F:F,'Supply planning data'!C806,'Shipments data'!A:A,'Supply planning data'!A806,'Shipments data'!Y:Y,'Supply planning data'!D806,'Shipments data'!O:O,"received", 'Shipments data'!N:N, "Public")</f>
        <v>0</v>
      </c>
      <c r="S806" s="111">
        <f>SUMIFS('Shipments data'!L:L,'Shipments data'!F:F,'Supply planning data'!C806,'Shipments data'!A:A,'Supply planning data'!A806,'Shipments data'!Y:Y,'Supply planning data'!D806,'Shipments data'!O:O,"ordered", 'Shipments data'!N:N, "Public")</f>
        <v>0</v>
      </c>
      <c r="T806" s="111">
        <f>IF(SUMIFS('Shipments data'!L:L,'Shipments data'!F:F,'Supply planning data'!C806,'Shipments data'!A:A,'Supply planning data'!A806,'Shipments data'!O:O,"received",'Shipments data'!Q:Q,"&lt;"&amp;'Supply planning data'!D821,'Shipments data'!AC:AC,"&lt;"&amp;'Supply planning data'!D821)-SUMIFS(M:M,D:D,"&lt;="&amp;D806,C:C,C806)+SUMIFS(N:N,D:D,"&lt;="&amp;D806,C:C,C806)+SUMIFS(P:P,D:D,"&lt;="&amp;D806,C:C,C806)&lt;0,0,SUMIFS('Shipments data'!L:L,'Shipments data'!F:F,'Supply planning data'!C806,'Shipments data'!A:A,'Supply planning data'!A806,'Shipments data'!O:O,"received",'Shipments data'!Q:Q,"&lt;"&amp;'Supply planning data'!D821,'Shipments data'!AC:AC,"&lt;"&amp;'Supply planning data'!D821)-SUMIFS(M:M,D:D,"&lt;="&amp;D806,C:C,C806)+SUMIFS(N:N,D:D,"&lt;="&amp;D806,C:C,C806)+SUMIFS(P:P,D:D,"&lt;="&amp;D806,C:C,C806))</f>
        <v>0</v>
      </c>
      <c r="U806" s="112">
        <f t="shared" si="242"/>
        <v>0</v>
      </c>
      <c r="V806" s="111">
        <f t="shared" si="232"/>
        <v>0</v>
      </c>
      <c r="W806" s="204" t="str">
        <f t="shared" si="248"/>
        <v/>
      </c>
      <c r="X806" s="111">
        <f t="shared" si="243"/>
        <v>0</v>
      </c>
      <c r="Y806" s="110"/>
      <c r="Z806" s="107"/>
      <c r="AA806" s="111">
        <f t="shared" si="236"/>
        <v>0</v>
      </c>
      <c r="AB806" s="235"/>
      <c r="AC806" s="111">
        <f>IF(SUMIFS('Shipments data'!L:L,'Shipments data'!F:F,'Supply planning data'!C806,'Shipments data'!A:A,'Supply planning data'!A806,'Shipments data'!O:O,"received",'Shipments data'!Q:Q,"&lt;"&amp;'Supply planning data'!D821,'Shipments data'!AC:AC,"&lt;"&amp;'Supply planning data'!D821)-SUMIFS(M:M,D:D,"&lt;="&amp;D806,C:C,C806)-SUMIFS(AA:AA,D:D,"&lt;="&amp;D806,C:C,C806)+SUMIFS(N:N,D:D,"&lt;="&amp;D806,C:C,C806)+SUMIFS(P:P,D:D,"&lt;="&amp;D806,C:C,C806)&lt;0,0,SUMIFS('Shipments data'!L:L,'Shipments data'!F:F,'Supply planning data'!C806,'Shipments data'!A:A,'Supply planning data'!A806,'Shipments data'!O:O,"received",'Shipments data'!Q:Q,"&lt;"&amp;'Supply planning data'!D821,'Shipments data'!AC:AC,"&lt;"&amp;'Supply planning data'!D821)-SUMIFS(M:M,D:D,"&lt;="&amp;D806,C:C,C806)-SUMIFS(AA:AA,D:D,"&lt;="&amp;D806,C:C,C806)+SUMIFS(N:N,D:D,"&lt;="&amp;D806,C:C,C806)+SUMIFS(P:P,D:D,"&lt;="&amp;D806,C:C,C806))</f>
        <v>0</v>
      </c>
      <c r="AD806" s="111">
        <f t="shared" si="244"/>
        <v>0</v>
      </c>
      <c r="AE806" s="111">
        <f t="shared" si="238"/>
        <v>0</v>
      </c>
      <c r="AF806" s="204" t="str">
        <f t="shared" si="247"/>
        <v/>
      </c>
      <c r="AG806" s="111">
        <f t="shared" si="245"/>
        <v>0</v>
      </c>
      <c r="AH806" s="110"/>
      <c r="AI806" s="313"/>
      <c r="AJ806" s="111">
        <f t="shared" si="237"/>
        <v>0</v>
      </c>
      <c r="AK806" s="235"/>
      <c r="AL806" s="111">
        <f>IF(SUMIFS('Shipments data'!L:L,'Shipments data'!F:F,'Supply planning data'!C806,'Shipments data'!A:A,'Supply planning data'!A806,'Shipments data'!O:O,"received",'Shipments data'!Q:Q,"&lt;"&amp;'Supply planning data'!D821,'Shipments data'!AC:AC,"&lt;"&amp;'Supply planning data'!D821)-SUMIFS(M:M,D:D,"&lt;="&amp;D806,C:C,C806)-SUMIFS(AJ:AJ,D:D,"&lt;="&amp;D806,C:C,C806)+SUMIFS(N:N,D:D,"&lt;="&amp;D806,C:C,C806)+SUMIFS(P:P,D:D,"&lt;="&amp;D806,C:C,C806)&lt;0,0,SUMIFS('Shipments data'!L:L,'Shipments data'!F:F,'Supply planning data'!C806,'Shipments data'!A:A,'Supply planning data'!A806,'Shipments data'!O:O,"received",'Shipments data'!Q:Q,"&lt;"&amp;'Supply planning data'!D821,'Shipments data'!AC:AC,"&lt;"&amp;'Supply planning data'!D821)-SUMIFS(M:M,D:D,"&lt;="&amp;D806,C:C,C806)-SUMIFS(AJ:AJ,D:D,"&lt;="&amp;D806,C:C,C806)+SUMIFS(N:N,D:D,"&lt;="&amp;D806,C:C,C806)+SUMIFS(P:P,D:D,"&lt;="&amp;D806,C:C,C806))</f>
        <v>0</v>
      </c>
      <c r="AM806" s="111">
        <f t="shared" si="246"/>
        <v>0</v>
      </c>
      <c r="AN806" s="111">
        <f t="shared" si="239"/>
        <v>0</v>
      </c>
      <c r="AO806" s="204" t="str">
        <f t="shared" si="249"/>
        <v/>
      </c>
    </row>
    <row r="807" spans="1:41" hidden="1" x14ac:dyDescent="0.25">
      <c r="A807" s="103" t="str">
        <f>Start!D$7</f>
        <v>Anyland</v>
      </c>
      <c r="B807" s="109" t="str">
        <f>VLOOKUP(A807,list!B:C,2,FALSE)</f>
        <v>ANY</v>
      </c>
      <c r="C807" s="109" t="str">
        <f>IF(Start!$C$24="","",Start!$C$24)</f>
        <v/>
      </c>
      <c r="D807" s="298">
        <f t="shared" si="240"/>
        <v>45809</v>
      </c>
      <c r="E807" s="105" t="str">
        <f>IFERROR(VLOOKUP(C807,Start!C$15:D$31,2,FALSE),"No")</f>
        <v>No</v>
      </c>
      <c r="F807" s="105">
        <f t="shared" si="241"/>
        <v>0</v>
      </c>
      <c r="G807" s="106"/>
      <c r="H807" s="106"/>
      <c r="I807" s="106"/>
      <c r="J807" s="105">
        <f t="shared" si="233"/>
        <v>0</v>
      </c>
      <c r="K807" s="106"/>
      <c r="L807" s="177" t="str">
        <f t="shared" si="234"/>
        <v/>
      </c>
      <c r="M807" s="105">
        <f t="shared" si="235"/>
        <v>0</v>
      </c>
      <c r="N807" s="110"/>
      <c r="O807" s="124"/>
      <c r="P807" s="110"/>
      <c r="Q807" s="124"/>
      <c r="R807" s="111">
        <f>SUMIFS('Shipments data'!L:L,'Shipments data'!F:F,'Supply planning data'!C807,'Shipments data'!A:A,'Supply planning data'!A807,'Shipments data'!Y:Y,'Supply planning data'!D807,'Shipments data'!O:O,"received", 'Shipments data'!N:N, "Public")</f>
        <v>0</v>
      </c>
      <c r="S807" s="111">
        <f>SUMIFS('Shipments data'!L:L,'Shipments data'!F:F,'Supply planning data'!C807,'Shipments data'!A:A,'Supply planning data'!A807,'Shipments data'!Y:Y,'Supply planning data'!D807,'Shipments data'!O:O,"ordered", 'Shipments data'!N:N, "Public")</f>
        <v>0</v>
      </c>
      <c r="T807" s="111">
        <f>IF(SUMIFS('Shipments data'!L:L,'Shipments data'!F:F,'Supply planning data'!C807,'Shipments data'!A:A,'Supply planning data'!A807,'Shipments data'!O:O,"received",'Shipments data'!Q:Q,"&lt;"&amp;'Supply planning data'!D822,'Shipments data'!AC:AC,"&lt;"&amp;'Supply planning data'!D822)-SUMIFS(M:M,D:D,"&lt;="&amp;D807,C:C,C807)+SUMIFS(N:N,D:D,"&lt;="&amp;D807,C:C,C807)+SUMIFS(P:P,D:D,"&lt;="&amp;D807,C:C,C807)&lt;0,0,SUMIFS('Shipments data'!L:L,'Shipments data'!F:F,'Supply planning data'!C807,'Shipments data'!A:A,'Supply planning data'!A807,'Shipments data'!O:O,"received",'Shipments data'!Q:Q,"&lt;"&amp;'Supply planning data'!D822,'Shipments data'!AC:AC,"&lt;"&amp;'Supply planning data'!D822)-SUMIFS(M:M,D:D,"&lt;="&amp;D807,C:C,C807)+SUMIFS(N:N,D:D,"&lt;="&amp;D807,C:C,C807)+SUMIFS(P:P,D:D,"&lt;="&amp;D807,C:C,C807))</f>
        <v>0</v>
      </c>
      <c r="U807" s="112">
        <f t="shared" si="242"/>
        <v>0</v>
      </c>
      <c r="V807" s="111">
        <f t="shared" si="232"/>
        <v>0</v>
      </c>
      <c r="W807" s="204" t="str">
        <f t="shared" si="248"/>
        <v/>
      </c>
      <c r="X807" s="111">
        <f t="shared" si="243"/>
        <v>0</v>
      </c>
      <c r="Y807" s="110"/>
      <c r="Z807" s="107"/>
      <c r="AA807" s="111">
        <f t="shared" si="236"/>
        <v>0</v>
      </c>
      <c r="AB807" s="235"/>
      <c r="AC807" s="111">
        <f>IF(SUMIFS('Shipments data'!L:L,'Shipments data'!F:F,'Supply planning data'!C807,'Shipments data'!A:A,'Supply planning data'!A807,'Shipments data'!O:O,"received",'Shipments data'!Q:Q,"&lt;"&amp;'Supply planning data'!D822,'Shipments data'!AC:AC,"&lt;"&amp;'Supply planning data'!D822)-SUMIFS(M:M,D:D,"&lt;="&amp;D807,C:C,C807)-SUMIFS(AA:AA,D:D,"&lt;="&amp;D807,C:C,C807)+SUMIFS(N:N,D:D,"&lt;="&amp;D807,C:C,C807)+SUMIFS(P:P,D:D,"&lt;="&amp;D807,C:C,C807)&lt;0,0,SUMIFS('Shipments data'!L:L,'Shipments data'!F:F,'Supply planning data'!C807,'Shipments data'!A:A,'Supply planning data'!A807,'Shipments data'!O:O,"received",'Shipments data'!Q:Q,"&lt;"&amp;'Supply planning data'!D822,'Shipments data'!AC:AC,"&lt;"&amp;'Supply planning data'!D822)-SUMIFS(M:M,D:D,"&lt;="&amp;D807,C:C,C807)-SUMIFS(AA:AA,D:D,"&lt;="&amp;D807,C:C,C807)+SUMIFS(N:N,D:D,"&lt;="&amp;D807,C:C,C807)+SUMIFS(P:P,D:D,"&lt;="&amp;D807,C:C,C807))</f>
        <v>0</v>
      </c>
      <c r="AD807" s="111">
        <f t="shared" si="244"/>
        <v>0</v>
      </c>
      <c r="AE807" s="111">
        <f t="shared" si="238"/>
        <v>0</v>
      </c>
      <c r="AF807" s="204" t="str">
        <f t="shared" si="247"/>
        <v/>
      </c>
      <c r="AG807" s="111">
        <f t="shared" si="245"/>
        <v>0</v>
      </c>
      <c r="AH807" s="110"/>
      <c r="AI807" s="313"/>
      <c r="AJ807" s="111">
        <f t="shared" si="237"/>
        <v>0</v>
      </c>
      <c r="AK807" s="235"/>
      <c r="AL807" s="111">
        <f>IF(SUMIFS('Shipments data'!L:L,'Shipments data'!F:F,'Supply planning data'!C807,'Shipments data'!A:A,'Supply planning data'!A807,'Shipments data'!O:O,"received",'Shipments data'!Q:Q,"&lt;"&amp;'Supply planning data'!D822,'Shipments data'!AC:AC,"&lt;"&amp;'Supply planning data'!D822)-SUMIFS(M:M,D:D,"&lt;="&amp;D807,C:C,C807)-SUMIFS(AJ:AJ,D:D,"&lt;="&amp;D807,C:C,C807)+SUMIFS(N:N,D:D,"&lt;="&amp;D807,C:C,C807)+SUMIFS(P:P,D:D,"&lt;="&amp;D807,C:C,C807)&lt;0,0,SUMIFS('Shipments data'!L:L,'Shipments data'!F:F,'Supply planning data'!C807,'Shipments data'!A:A,'Supply planning data'!A807,'Shipments data'!O:O,"received",'Shipments data'!Q:Q,"&lt;"&amp;'Supply planning data'!D822,'Shipments data'!AC:AC,"&lt;"&amp;'Supply planning data'!D822)-SUMIFS(M:M,D:D,"&lt;="&amp;D807,C:C,C807)-SUMIFS(AJ:AJ,D:D,"&lt;="&amp;D807,C:C,C807)+SUMIFS(N:N,D:D,"&lt;="&amp;D807,C:C,C807)+SUMIFS(P:P,D:D,"&lt;="&amp;D807,C:C,C807))</f>
        <v>0</v>
      </c>
      <c r="AM807" s="111">
        <f t="shared" si="246"/>
        <v>0</v>
      </c>
      <c r="AN807" s="111">
        <f t="shared" si="239"/>
        <v>0</v>
      </c>
      <c r="AO807" s="204" t="str">
        <f t="shared" si="249"/>
        <v/>
      </c>
    </row>
    <row r="808" spans="1:41" hidden="1" x14ac:dyDescent="0.25">
      <c r="A808" s="103" t="str">
        <f>Start!D$7</f>
        <v>Anyland</v>
      </c>
      <c r="B808" s="109" t="str">
        <f>VLOOKUP(A808,list!B:C,2,FALSE)</f>
        <v>ANY</v>
      </c>
      <c r="C808" s="104" t="str">
        <f>IF(Start!$C$25="","",Start!$C$25)</f>
        <v/>
      </c>
      <c r="D808" s="298">
        <f t="shared" si="240"/>
        <v>45809</v>
      </c>
      <c r="E808" s="105" t="str">
        <f>IFERROR(VLOOKUP(C808,Start!C$15:D$31,2,FALSE),"No")</f>
        <v>No</v>
      </c>
      <c r="F808" s="105">
        <f t="shared" si="241"/>
        <v>0</v>
      </c>
      <c r="G808" s="106"/>
      <c r="H808" s="106"/>
      <c r="I808" s="106"/>
      <c r="J808" s="105">
        <f t="shared" si="233"/>
        <v>0</v>
      </c>
      <c r="K808" s="106"/>
      <c r="L808" s="177" t="str">
        <f t="shared" si="234"/>
        <v/>
      </c>
      <c r="M808" s="105">
        <f t="shared" si="235"/>
        <v>0</v>
      </c>
      <c r="N808" s="110"/>
      <c r="O808" s="124"/>
      <c r="P808" s="110"/>
      <c r="Q808" s="124"/>
      <c r="R808" s="111">
        <f>SUMIFS('Shipments data'!L:L,'Shipments data'!F:F,'Supply planning data'!C808,'Shipments data'!A:A,'Supply planning data'!A808,'Shipments data'!Y:Y,'Supply planning data'!D808,'Shipments data'!O:O,"received", 'Shipments data'!N:N, "Public")</f>
        <v>0</v>
      </c>
      <c r="S808" s="111">
        <f>SUMIFS('Shipments data'!L:L,'Shipments data'!F:F,'Supply planning data'!C808,'Shipments data'!A:A,'Supply planning data'!A808,'Shipments data'!Y:Y,'Supply planning data'!D808,'Shipments data'!O:O,"ordered", 'Shipments data'!N:N, "Public")</f>
        <v>0</v>
      </c>
      <c r="T808" s="111">
        <f>IF(SUMIFS('Shipments data'!L:L,'Shipments data'!F:F,'Supply planning data'!C808,'Shipments data'!A:A,'Supply planning data'!A808,'Shipments data'!O:O,"received",'Shipments data'!Q:Q,"&lt;"&amp;'Supply planning data'!D823,'Shipments data'!AC:AC,"&lt;"&amp;'Supply planning data'!D823)-SUMIFS(M:M,D:D,"&lt;="&amp;D808,C:C,C808)+SUMIFS(N:N,D:D,"&lt;="&amp;D808,C:C,C808)+SUMIFS(P:P,D:D,"&lt;="&amp;D808,C:C,C808)&lt;0,0,SUMIFS('Shipments data'!L:L,'Shipments data'!F:F,'Supply planning data'!C808,'Shipments data'!A:A,'Supply planning data'!A808,'Shipments data'!O:O,"received",'Shipments data'!Q:Q,"&lt;"&amp;'Supply planning data'!D823,'Shipments data'!AC:AC,"&lt;"&amp;'Supply planning data'!D823)-SUMIFS(M:M,D:D,"&lt;="&amp;D808,C:C,C808)+SUMIFS(N:N,D:D,"&lt;="&amp;D808,C:C,C808)+SUMIFS(P:P,D:D,"&lt;="&amp;D808,C:C,C808))</f>
        <v>0</v>
      </c>
      <c r="U808" s="112">
        <f t="shared" si="242"/>
        <v>0</v>
      </c>
      <c r="V808" s="111">
        <f t="shared" si="232"/>
        <v>0</v>
      </c>
      <c r="W808" s="204" t="str">
        <f t="shared" si="248"/>
        <v/>
      </c>
      <c r="X808" s="111">
        <f t="shared" si="243"/>
        <v>0</v>
      </c>
      <c r="Y808" s="110"/>
      <c r="Z808" s="107"/>
      <c r="AA808" s="111">
        <f t="shared" si="236"/>
        <v>0</v>
      </c>
      <c r="AB808" s="235"/>
      <c r="AC808" s="111">
        <f>IF(SUMIFS('Shipments data'!L:L,'Shipments data'!F:F,'Supply planning data'!C808,'Shipments data'!A:A,'Supply planning data'!A808,'Shipments data'!O:O,"received",'Shipments data'!Q:Q,"&lt;"&amp;'Supply planning data'!D823,'Shipments data'!AC:AC,"&lt;"&amp;'Supply planning data'!D823)-SUMIFS(M:M,D:D,"&lt;="&amp;D808,C:C,C808)-SUMIFS(AA:AA,D:D,"&lt;="&amp;D808,C:C,C808)+SUMIFS(N:N,D:D,"&lt;="&amp;D808,C:C,C808)+SUMIFS(P:P,D:D,"&lt;="&amp;D808,C:C,C808)&lt;0,0,SUMIFS('Shipments data'!L:L,'Shipments data'!F:F,'Supply planning data'!C808,'Shipments data'!A:A,'Supply planning data'!A808,'Shipments data'!O:O,"received",'Shipments data'!Q:Q,"&lt;"&amp;'Supply planning data'!D823,'Shipments data'!AC:AC,"&lt;"&amp;'Supply planning data'!D823)-SUMIFS(M:M,D:D,"&lt;="&amp;D808,C:C,C808)-SUMIFS(AA:AA,D:D,"&lt;="&amp;D808,C:C,C808)+SUMIFS(N:N,D:D,"&lt;="&amp;D808,C:C,C808)+SUMIFS(P:P,D:D,"&lt;="&amp;D808,C:C,C808))</f>
        <v>0</v>
      </c>
      <c r="AD808" s="111">
        <f t="shared" si="244"/>
        <v>0</v>
      </c>
      <c r="AE808" s="111">
        <f t="shared" si="238"/>
        <v>0</v>
      </c>
      <c r="AF808" s="204" t="str">
        <f t="shared" si="247"/>
        <v/>
      </c>
      <c r="AG808" s="111">
        <f t="shared" si="245"/>
        <v>0</v>
      </c>
      <c r="AH808" s="110"/>
      <c r="AI808" s="313"/>
      <c r="AJ808" s="111">
        <f t="shared" si="237"/>
        <v>0</v>
      </c>
      <c r="AK808" s="235"/>
      <c r="AL808" s="111">
        <f>IF(SUMIFS('Shipments data'!L:L,'Shipments data'!F:F,'Supply planning data'!C808,'Shipments data'!A:A,'Supply planning data'!A808,'Shipments data'!O:O,"received",'Shipments data'!Q:Q,"&lt;"&amp;'Supply planning data'!D823,'Shipments data'!AC:AC,"&lt;"&amp;'Supply planning data'!D823)-SUMIFS(M:M,D:D,"&lt;="&amp;D808,C:C,C808)-SUMIFS(AJ:AJ,D:D,"&lt;="&amp;D808,C:C,C808)+SUMIFS(N:N,D:D,"&lt;="&amp;D808,C:C,C808)+SUMIFS(P:P,D:D,"&lt;="&amp;D808,C:C,C808)&lt;0,0,SUMIFS('Shipments data'!L:L,'Shipments data'!F:F,'Supply planning data'!C808,'Shipments data'!A:A,'Supply planning data'!A808,'Shipments data'!O:O,"received",'Shipments data'!Q:Q,"&lt;"&amp;'Supply planning data'!D823,'Shipments data'!AC:AC,"&lt;"&amp;'Supply planning data'!D823)-SUMIFS(M:M,D:D,"&lt;="&amp;D808,C:C,C808)-SUMIFS(AJ:AJ,D:D,"&lt;="&amp;D808,C:C,C808)+SUMIFS(N:N,D:D,"&lt;="&amp;D808,C:C,C808)+SUMIFS(P:P,D:D,"&lt;="&amp;D808,C:C,C808))</f>
        <v>0</v>
      </c>
      <c r="AM808" s="111">
        <f t="shared" si="246"/>
        <v>0</v>
      </c>
      <c r="AN808" s="111">
        <f t="shared" si="239"/>
        <v>0</v>
      </c>
      <c r="AO808" s="204" t="str">
        <f t="shared" si="249"/>
        <v/>
      </c>
    </row>
    <row r="809" spans="1:41" hidden="1" x14ac:dyDescent="0.25">
      <c r="A809" s="103" t="str">
        <f>Start!D$7</f>
        <v>Anyland</v>
      </c>
      <c r="B809" s="109" t="str">
        <f>VLOOKUP(A809,list!B:C,2,FALSE)</f>
        <v>ANY</v>
      </c>
      <c r="C809" s="109" t="str">
        <f>IF(Start!$C$26="","",Start!$C$26)</f>
        <v/>
      </c>
      <c r="D809" s="298">
        <f t="shared" si="240"/>
        <v>45809</v>
      </c>
      <c r="E809" s="105" t="str">
        <f>IFERROR(VLOOKUP(C809,Start!C$15:D$31,2,FALSE),"No")</f>
        <v>No</v>
      </c>
      <c r="F809" s="105">
        <f t="shared" si="241"/>
        <v>0</v>
      </c>
      <c r="G809" s="106"/>
      <c r="H809" s="106"/>
      <c r="I809" s="106"/>
      <c r="J809" s="105">
        <f t="shared" si="233"/>
        <v>0</v>
      </c>
      <c r="K809" s="106"/>
      <c r="L809" s="177" t="str">
        <f t="shared" si="234"/>
        <v/>
      </c>
      <c r="M809" s="105">
        <f t="shared" si="235"/>
        <v>0</v>
      </c>
      <c r="N809" s="110"/>
      <c r="O809" s="124"/>
      <c r="P809" s="110"/>
      <c r="Q809" s="124"/>
      <c r="R809" s="111">
        <f>SUMIFS('Shipments data'!L:L,'Shipments data'!F:F,'Supply planning data'!C809,'Shipments data'!A:A,'Supply planning data'!A809,'Shipments data'!Y:Y,'Supply planning data'!D809,'Shipments data'!O:O,"received", 'Shipments data'!N:N, "Public")</f>
        <v>0</v>
      </c>
      <c r="S809" s="111">
        <f>SUMIFS('Shipments data'!L:L,'Shipments data'!F:F,'Supply planning data'!C809,'Shipments data'!A:A,'Supply planning data'!A809,'Shipments data'!Y:Y,'Supply planning data'!D809,'Shipments data'!O:O,"ordered", 'Shipments data'!N:N, "Public")</f>
        <v>0</v>
      </c>
      <c r="T809" s="111">
        <f>IF(SUMIFS('Shipments data'!L:L,'Shipments data'!F:F,'Supply planning data'!C809,'Shipments data'!A:A,'Supply planning data'!A809,'Shipments data'!O:O,"received",'Shipments data'!Q:Q,"&lt;"&amp;'Supply planning data'!D824,'Shipments data'!AC:AC,"&lt;"&amp;'Supply planning data'!D824)-SUMIFS(M:M,D:D,"&lt;="&amp;D809,C:C,C809)+SUMIFS(N:N,D:D,"&lt;="&amp;D809,C:C,C809)+SUMIFS(P:P,D:D,"&lt;="&amp;D809,C:C,C809)&lt;0,0,SUMIFS('Shipments data'!L:L,'Shipments data'!F:F,'Supply planning data'!C809,'Shipments data'!A:A,'Supply planning data'!A809,'Shipments data'!O:O,"received",'Shipments data'!Q:Q,"&lt;"&amp;'Supply planning data'!D824,'Shipments data'!AC:AC,"&lt;"&amp;'Supply planning data'!D824)-SUMIFS(M:M,D:D,"&lt;="&amp;D809,C:C,C809)+SUMIFS(N:N,D:D,"&lt;="&amp;D809,C:C,C809)+SUMIFS(P:P,D:D,"&lt;="&amp;D809,C:C,C809))</f>
        <v>0</v>
      </c>
      <c r="U809" s="112">
        <f t="shared" si="242"/>
        <v>0</v>
      </c>
      <c r="V809" s="111">
        <f t="shared" si="232"/>
        <v>0</v>
      </c>
      <c r="W809" s="204" t="str">
        <f t="shared" si="248"/>
        <v/>
      </c>
      <c r="X809" s="111">
        <f t="shared" si="243"/>
        <v>0</v>
      </c>
      <c r="Y809" s="110"/>
      <c r="Z809" s="107"/>
      <c r="AA809" s="111">
        <f t="shared" si="236"/>
        <v>0</v>
      </c>
      <c r="AB809" s="235"/>
      <c r="AC809" s="111">
        <f>IF(SUMIFS('Shipments data'!L:L,'Shipments data'!F:F,'Supply planning data'!C809,'Shipments data'!A:A,'Supply planning data'!A809,'Shipments data'!O:O,"received",'Shipments data'!Q:Q,"&lt;"&amp;'Supply planning data'!D824,'Shipments data'!AC:AC,"&lt;"&amp;'Supply planning data'!D824)-SUMIFS(M:M,D:D,"&lt;="&amp;D809,C:C,C809)-SUMIFS(AA:AA,D:D,"&lt;="&amp;D809,C:C,C809)+SUMIFS(N:N,D:D,"&lt;="&amp;D809,C:C,C809)+SUMIFS(P:P,D:D,"&lt;="&amp;D809,C:C,C809)&lt;0,0,SUMIFS('Shipments data'!L:L,'Shipments data'!F:F,'Supply planning data'!C809,'Shipments data'!A:A,'Supply planning data'!A809,'Shipments data'!O:O,"received",'Shipments data'!Q:Q,"&lt;"&amp;'Supply planning data'!D824,'Shipments data'!AC:AC,"&lt;"&amp;'Supply planning data'!D824)-SUMIFS(M:M,D:D,"&lt;="&amp;D809,C:C,C809)-SUMIFS(AA:AA,D:D,"&lt;="&amp;D809,C:C,C809)+SUMIFS(N:N,D:D,"&lt;="&amp;D809,C:C,C809)+SUMIFS(P:P,D:D,"&lt;="&amp;D809,C:C,C809))</f>
        <v>0</v>
      </c>
      <c r="AD809" s="111">
        <f t="shared" si="244"/>
        <v>0</v>
      </c>
      <c r="AE809" s="111">
        <f t="shared" si="238"/>
        <v>0</v>
      </c>
      <c r="AF809" s="204" t="str">
        <f t="shared" si="247"/>
        <v/>
      </c>
      <c r="AG809" s="111">
        <f t="shared" si="245"/>
        <v>0</v>
      </c>
      <c r="AH809" s="110"/>
      <c r="AI809" s="313"/>
      <c r="AJ809" s="111">
        <f t="shared" si="237"/>
        <v>0</v>
      </c>
      <c r="AK809" s="235"/>
      <c r="AL809" s="111">
        <f>IF(SUMIFS('Shipments data'!L:L,'Shipments data'!F:F,'Supply planning data'!C809,'Shipments data'!A:A,'Supply planning data'!A809,'Shipments data'!O:O,"received",'Shipments data'!Q:Q,"&lt;"&amp;'Supply planning data'!D824,'Shipments data'!AC:AC,"&lt;"&amp;'Supply planning data'!D824)-SUMIFS(M:M,D:D,"&lt;="&amp;D809,C:C,C809)-SUMIFS(AJ:AJ,D:D,"&lt;="&amp;D809,C:C,C809)+SUMIFS(N:N,D:D,"&lt;="&amp;D809,C:C,C809)+SUMIFS(P:P,D:D,"&lt;="&amp;D809,C:C,C809)&lt;0,0,SUMIFS('Shipments data'!L:L,'Shipments data'!F:F,'Supply planning data'!C809,'Shipments data'!A:A,'Supply planning data'!A809,'Shipments data'!O:O,"received",'Shipments data'!Q:Q,"&lt;"&amp;'Supply planning data'!D824,'Shipments data'!AC:AC,"&lt;"&amp;'Supply planning data'!D824)-SUMIFS(M:M,D:D,"&lt;="&amp;D809,C:C,C809)-SUMIFS(AJ:AJ,D:D,"&lt;="&amp;D809,C:C,C809)+SUMIFS(N:N,D:D,"&lt;="&amp;D809,C:C,C809)+SUMIFS(P:P,D:D,"&lt;="&amp;D809,C:C,C809))</f>
        <v>0</v>
      </c>
      <c r="AM809" s="111">
        <f t="shared" si="246"/>
        <v>0</v>
      </c>
      <c r="AN809" s="111">
        <f t="shared" si="239"/>
        <v>0</v>
      </c>
      <c r="AO809" s="204" t="str">
        <f t="shared" si="249"/>
        <v/>
      </c>
    </row>
    <row r="810" spans="1:41" hidden="1" x14ac:dyDescent="0.25">
      <c r="A810" s="103" t="str">
        <f>Start!D$7</f>
        <v>Anyland</v>
      </c>
      <c r="B810" s="109" t="str">
        <f>VLOOKUP(A810,list!B:C,2,FALSE)</f>
        <v>ANY</v>
      </c>
      <c r="C810" s="104" t="str">
        <f>IF(Start!$C$27="","",Start!$C$27)</f>
        <v/>
      </c>
      <c r="D810" s="298">
        <f t="shared" si="240"/>
        <v>45809</v>
      </c>
      <c r="E810" s="105" t="str">
        <f>IFERROR(VLOOKUP(C810,Start!C$15:D$31,2,FALSE),"No")</f>
        <v>No</v>
      </c>
      <c r="F810" s="105">
        <f t="shared" si="241"/>
        <v>0</v>
      </c>
      <c r="G810" s="106"/>
      <c r="H810" s="106"/>
      <c r="I810" s="106"/>
      <c r="J810" s="105">
        <f t="shared" si="233"/>
        <v>0</v>
      </c>
      <c r="K810" s="106"/>
      <c r="L810" s="177" t="str">
        <f t="shared" si="234"/>
        <v/>
      </c>
      <c r="M810" s="105">
        <f t="shared" si="235"/>
        <v>0</v>
      </c>
      <c r="N810" s="110"/>
      <c r="O810" s="124"/>
      <c r="P810" s="110"/>
      <c r="Q810" s="124"/>
      <c r="R810" s="111">
        <f>SUMIFS('Shipments data'!L:L,'Shipments data'!F:F,'Supply planning data'!C810,'Shipments data'!A:A,'Supply planning data'!A810,'Shipments data'!Y:Y,'Supply planning data'!D810,'Shipments data'!O:O,"received", 'Shipments data'!N:N, "Public")</f>
        <v>0</v>
      </c>
      <c r="S810" s="111">
        <f>SUMIFS('Shipments data'!L:L,'Shipments data'!F:F,'Supply planning data'!C810,'Shipments data'!A:A,'Supply planning data'!A810,'Shipments data'!Y:Y,'Supply planning data'!D810,'Shipments data'!O:O,"ordered", 'Shipments data'!N:N, "Public")</f>
        <v>0</v>
      </c>
      <c r="T810" s="111">
        <f>IF(SUMIFS('Shipments data'!L:L,'Shipments data'!F:F,'Supply planning data'!C810,'Shipments data'!A:A,'Supply planning data'!A810,'Shipments data'!O:O,"received",'Shipments data'!Q:Q,"&lt;"&amp;'Supply planning data'!D825,'Shipments data'!AC:AC,"&lt;"&amp;'Supply planning data'!D825)-SUMIFS(M:M,D:D,"&lt;="&amp;D810,C:C,C810)+SUMIFS(N:N,D:D,"&lt;="&amp;D810,C:C,C810)+SUMIFS(P:P,D:D,"&lt;="&amp;D810,C:C,C810)&lt;0,0,SUMIFS('Shipments data'!L:L,'Shipments data'!F:F,'Supply planning data'!C810,'Shipments data'!A:A,'Supply planning data'!A810,'Shipments data'!O:O,"received",'Shipments data'!Q:Q,"&lt;"&amp;'Supply planning data'!D825,'Shipments data'!AC:AC,"&lt;"&amp;'Supply planning data'!D825)-SUMIFS(M:M,D:D,"&lt;="&amp;D810,C:C,C810)+SUMIFS(N:N,D:D,"&lt;="&amp;D810,C:C,C810)+SUMIFS(P:P,D:D,"&lt;="&amp;D810,C:C,C810))</f>
        <v>0</v>
      </c>
      <c r="U810" s="112">
        <f t="shared" si="242"/>
        <v>0</v>
      </c>
      <c r="V810" s="111">
        <f t="shared" si="232"/>
        <v>0</v>
      </c>
      <c r="W810" s="204" t="str">
        <f t="shared" si="248"/>
        <v/>
      </c>
      <c r="X810" s="111">
        <f t="shared" si="243"/>
        <v>0</v>
      </c>
      <c r="Y810" s="110"/>
      <c r="Z810" s="107"/>
      <c r="AA810" s="111">
        <f t="shared" si="236"/>
        <v>0</v>
      </c>
      <c r="AB810" s="235"/>
      <c r="AC810" s="111">
        <f>IF(SUMIFS('Shipments data'!L:L,'Shipments data'!F:F,'Supply planning data'!C810,'Shipments data'!A:A,'Supply planning data'!A810,'Shipments data'!O:O,"received",'Shipments data'!Q:Q,"&lt;"&amp;'Supply planning data'!D825,'Shipments data'!AC:AC,"&lt;"&amp;'Supply planning data'!D825)-SUMIFS(M:M,D:D,"&lt;="&amp;D810,C:C,C810)-SUMIFS(AA:AA,D:D,"&lt;="&amp;D810,C:C,C810)+SUMIFS(N:N,D:D,"&lt;="&amp;D810,C:C,C810)+SUMIFS(P:P,D:D,"&lt;="&amp;D810,C:C,C810)&lt;0,0,SUMIFS('Shipments data'!L:L,'Shipments data'!F:F,'Supply planning data'!C810,'Shipments data'!A:A,'Supply planning data'!A810,'Shipments data'!O:O,"received",'Shipments data'!Q:Q,"&lt;"&amp;'Supply planning data'!D825,'Shipments data'!AC:AC,"&lt;"&amp;'Supply planning data'!D825)-SUMIFS(M:M,D:D,"&lt;="&amp;D810,C:C,C810)-SUMIFS(AA:AA,D:D,"&lt;="&amp;D810,C:C,C810)+SUMIFS(N:N,D:D,"&lt;="&amp;D810,C:C,C810)+SUMIFS(P:P,D:D,"&lt;="&amp;D810,C:C,C810))</f>
        <v>0</v>
      </c>
      <c r="AD810" s="111">
        <f t="shared" si="244"/>
        <v>0</v>
      </c>
      <c r="AE810" s="111">
        <f t="shared" si="238"/>
        <v>0</v>
      </c>
      <c r="AF810" s="204" t="str">
        <f t="shared" si="247"/>
        <v/>
      </c>
      <c r="AG810" s="111">
        <f t="shared" si="245"/>
        <v>0</v>
      </c>
      <c r="AH810" s="110"/>
      <c r="AI810" s="313"/>
      <c r="AJ810" s="111">
        <f t="shared" si="237"/>
        <v>0</v>
      </c>
      <c r="AK810" s="235"/>
      <c r="AL810" s="111">
        <f>IF(SUMIFS('Shipments data'!L:L,'Shipments data'!F:F,'Supply planning data'!C810,'Shipments data'!A:A,'Supply planning data'!A810,'Shipments data'!O:O,"received",'Shipments data'!Q:Q,"&lt;"&amp;'Supply planning data'!D825,'Shipments data'!AC:AC,"&lt;"&amp;'Supply planning data'!D825)-SUMIFS(M:M,D:D,"&lt;="&amp;D810,C:C,C810)-SUMIFS(AJ:AJ,D:D,"&lt;="&amp;D810,C:C,C810)+SUMIFS(N:N,D:D,"&lt;="&amp;D810,C:C,C810)+SUMIFS(P:P,D:D,"&lt;="&amp;D810,C:C,C810)&lt;0,0,SUMIFS('Shipments data'!L:L,'Shipments data'!F:F,'Supply planning data'!C810,'Shipments data'!A:A,'Supply planning data'!A810,'Shipments data'!O:O,"received",'Shipments data'!Q:Q,"&lt;"&amp;'Supply planning data'!D825,'Shipments data'!AC:AC,"&lt;"&amp;'Supply planning data'!D825)-SUMIFS(M:M,D:D,"&lt;="&amp;D810,C:C,C810)-SUMIFS(AJ:AJ,D:D,"&lt;="&amp;D810,C:C,C810)+SUMIFS(N:N,D:D,"&lt;="&amp;D810,C:C,C810)+SUMIFS(P:P,D:D,"&lt;="&amp;D810,C:C,C810))</f>
        <v>0</v>
      </c>
      <c r="AM810" s="111">
        <f t="shared" si="246"/>
        <v>0</v>
      </c>
      <c r="AN810" s="111">
        <f t="shared" si="239"/>
        <v>0</v>
      </c>
      <c r="AO810" s="204" t="str">
        <f t="shared" si="249"/>
        <v/>
      </c>
    </row>
    <row r="811" spans="1:41" hidden="1" x14ac:dyDescent="0.25">
      <c r="A811" s="103" t="str">
        <f>Start!D$7</f>
        <v>Anyland</v>
      </c>
      <c r="B811" s="109" t="str">
        <f>VLOOKUP(A811,list!B:C,2,FALSE)</f>
        <v>ANY</v>
      </c>
      <c r="C811" s="109" t="str">
        <f>IF(Start!$C$28="","",Start!$C$28)</f>
        <v/>
      </c>
      <c r="D811" s="298">
        <f t="shared" si="240"/>
        <v>45809</v>
      </c>
      <c r="E811" s="105" t="str">
        <f>IFERROR(VLOOKUP(C811,Start!C$15:D$31,2,FALSE),"No")</f>
        <v>No</v>
      </c>
      <c r="F811" s="105">
        <f t="shared" si="241"/>
        <v>0</v>
      </c>
      <c r="G811" s="106"/>
      <c r="H811" s="106"/>
      <c r="I811" s="106"/>
      <c r="J811" s="105">
        <f t="shared" si="233"/>
        <v>0</v>
      </c>
      <c r="K811" s="106"/>
      <c r="L811" s="177" t="str">
        <f t="shared" si="234"/>
        <v/>
      </c>
      <c r="M811" s="105">
        <f t="shared" si="235"/>
        <v>0</v>
      </c>
      <c r="N811" s="110"/>
      <c r="O811" s="124"/>
      <c r="P811" s="110"/>
      <c r="Q811" s="124"/>
      <c r="R811" s="111">
        <f>SUMIFS('Shipments data'!L:L,'Shipments data'!F:F,'Supply planning data'!C811,'Shipments data'!A:A,'Supply planning data'!A811,'Shipments data'!Y:Y,'Supply planning data'!D811,'Shipments data'!O:O,"received", 'Shipments data'!N:N, "Public")</f>
        <v>0</v>
      </c>
      <c r="S811" s="111">
        <f>SUMIFS('Shipments data'!L:L,'Shipments data'!F:F,'Supply planning data'!C811,'Shipments data'!A:A,'Supply planning data'!A811,'Shipments data'!Y:Y,'Supply planning data'!D811,'Shipments data'!O:O,"ordered", 'Shipments data'!N:N, "Public")</f>
        <v>0</v>
      </c>
      <c r="T811" s="111">
        <f>IF(SUMIFS('Shipments data'!L:L,'Shipments data'!F:F,'Supply planning data'!C811,'Shipments data'!A:A,'Supply planning data'!A811,'Shipments data'!O:O,"received",'Shipments data'!Q:Q,"&lt;"&amp;'Supply planning data'!D826,'Shipments data'!AC:AC,"&lt;"&amp;'Supply planning data'!D826)-SUMIFS(M:M,D:D,"&lt;="&amp;D811,C:C,C811)+SUMIFS(N:N,D:D,"&lt;="&amp;D811,C:C,C811)+SUMIFS(P:P,D:D,"&lt;="&amp;D811,C:C,C811)&lt;0,0,SUMIFS('Shipments data'!L:L,'Shipments data'!F:F,'Supply planning data'!C811,'Shipments data'!A:A,'Supply planning data'!A811,'Shipments data'!O:O,"received",'Shipments data'!Q:Q,"&lt;"&amp;'Supply planning data'!D826,'Shipments data'!AC:AC,"&lt;"&amp;'Supply planning data'!D826)-SUMIFS(M:M,D:D,"&lt;="&amp;D811,C:C,C811)+SUMIFS(N:N,D:D,"&lt;="&amp;D811,C:C,C811)+SUMIFS(P:P,D:D,"&lt;="&amp;D811,C:C,C811))</f>
        <v>0</v>
      </c>
      <c r="U811" s="112">
        <f t="shared" si="242"/>
        <v>0</v>
      </c>
      <c r="V811" s="111">
        <f t="shared" si="232"/>
        <v>0</v>
      </c>
      <c r="W811" s="204" t="str">
        <f t="shared" si="248"/>
        <v/>
      </c>
      <c r="X811" s="111">
        <f t="shared" si="243"/>
        <v>0</v>
      </c>
      <c r="Y811" s="110"/>
      <c r="Z811" s="107"/>
      <c r="AA811" s="111">
        <f t="shared" si="236"/>
        <v>0</v>
      </c>
      <c r="AB811" s="235"/>
      <c r="AC811" s="111">
        <f>IF(SUMIFS('Shipments data'!L:L,'Shipments data'!F:F,'Supply planning data'!C811,'Shipments data'!A:A,'Supply planning data'!A811,'Shipments data'!O:O,"received",'Shipments data'!Q:Q,"&lt;"&amp;'Supply planning data'!D826,'Shipments data'!AC:AC,"&lt;"&amp;'Supply planning data'!D826)-SUMIFS(M:M,D:D,"&lt;="&amp;D811,C:C,C811)-SUMIFS(AA:AA,D:D,"&lt;="&amp;D811,C:C,C811)+SUMIFS(N:N,D:D,"&lt;="&amp;D811,C:C,C811)+SUMIFS(P:P,D:D,"&lt;="&amp;D811,C:C,C811)&lt;0,0,SUMIFS('Shipments data'!L:L,'Shipments data'!F:F,'Supply planning data'!C811,'Shipments data'!A:A,'Supply planning data'!A811,'Shipments data'!O:O,"received",'Shipments data'!Q:Q,"&lt;"&amp;'Supply planning data'!D826,'Shipments data'!AC:AC,"&lt;"&amp;'Supply planning data'!D826)-SUMIFS(M:M,D:D,"&lt;="&amp;D811,C:C,C811)-SUMIFS(AA:AA,D:D,"&lt;="&amp;D811,C:C,C811)+SUMIFS(N:N,D:D,"&lt;="&amp;D811,C:C,C811)+SUMIFS(P:P,D:D,"&lt;="&amp;D811,C:C,C811))</f>
        <v>0</v>
      </c>
      <c r="AD811" s="111">
        <f t="shared" si="244"/>
        <v>0</v>
      </c>
      <c r="AE811" s="111">
        <f t="shared" si="238"/>
        <v>0</v>
      </c>
      <c r="AF811" s="204" t="str">
        <f t="shared" si="247"/>
        <v/>
      </c>
      <c r="AG811" s="111">
        <f t="shared" si="245"/>
        <v>0</v>
      </c>
      <c r="AH811" s="110"/>
      <c r="AI811" s="313"/>
      <c r="AJ811" s="111">
        <f t="shared" si="237"/>
        <v>0</v>
      </c>
      <c r="AK811" s="235"/>
      <c r="AL811" s="111">
        <f>IF(SUMIFS('Shipments data'!L:L,'Shipments data'!F:F,'Supply planning data'!C811,'Shipments data'!A:A,'Supply planning data'!A811,'Shipments data'!O:O,"received",'Shipments data'!Q:Q,"&lt;"&amp;'Supply planning data'!D826,'Shipments data'!AC:AC,"&lt;"&amp;'Supply planning data'!D826)-SUMIFS(M:M,D:D,"&lt;="&amp;D811,C:C,C811)-SUMIFS(AJ:AJ,D:D,"&lt;="&amp;D811,C:C,C811)+SUMIFS(N:N,D:D,"&lt;="&amp;D811,C:C,C811)+SUMIFS(P:P,D:D,"&lt;="&amp;D811,C:C,C811)&lt;0,0,SUMIFS('Shipments data'!L:L,'Shipments data'!F:F,'Supply planning data'!C811,'Shipments data'!A:A,'Supply planning data'!A811,'Shipments data'!O:O,"received",'Shipments data'!Q:Q,"&lt;"&amp;'Supply planning data'!D826,'Shipments data'!AC:AC,"&lt;"&amp;'Supply planning data'!D826)-SUMIFS(M:M,D:D,"&lt;="&amp;D811,C:C,C811)-SUMIFS(AJ:AJ,D:D,"&lt;="&amp;D811,C:C,C811)+SUMIFS(N:N,D:D,"&lt;="&amp;D811,C:C,C811)+SUMIFS(P:P,D:D,"&lt;="&amp;D811,C:C,C811))</f>
        <v>0</v>
      </c>
      <c r="AM811" s="111">
        <f t="shared" si="246"/>
        <v>0</v>
      </c>
      <c r="AN811" s="111">
        <f t="shared" si="239"/>
        <v>0</v>
      </c>
      <c r="AO811" s="204" t="str">
        <f t="shared" si="249"/>
        <v/>
      </c>
    </row>
    <row r="812" spans="1:41" hidden="1" x14ac:dyDescent="0.25">
      <c r="A812" s="103" t="str">
        <f>Start!D$7</f>
        <v>Anyland</v>
      </c>
      <c r="B812" s="109" t="str">
        <f>VLOOKUP(A812,list!B:C,2,FALSE)</f>
        <v>ANY</v>
      </c>
      <c r="C812" s="104" t="str">
        <f>IF(Start!$C$29="","",Start!$C$29)</f>
        <v/>
      </c>
      <c r="D812" s="298">
        <f t="shared" si="240"/>
        <v>45809</v>
      </c>
      <c r="E812" s="105" t="str">
        <f>IFERROR(VLOOKUP(C812,Start!C$15:D$31,2,FALSE),"No")</f>
        <v>No</v>
      </c>
      <c r="F812" s="105">
        <f t="shared" si="241"/>
        <v>0</v>
      </c>
      <c r="G812" s="106"/>
      <c r="H812" s="106"/>
      <c r="I812" s="106"/>
      <c r="J812" s="105">
        <f t="shared" si="233"/>
        <v>0</v>
      </c>
      <c r="K812" s="106"/>
      <c r="L812" s="177" t="str">
        <f t="shared" si="234"/>
        <v/>
      </c>
      <c r="M812" s="105">
        <f t="shared" si="235"/>
        <v>0</v>
      </c>
      <c r="N812" s="110"/>
      <c r="O812" s="124"/>
      <c r="P812" s="110"/>
      <c r="Q812" s="124"/>
      <c r="R812" s="111">
        <f>SUMIFS('Shipments data'!L:L,'Shipments data'!F:F,'Supply planning data'!C812,'Shipments data'!A:A,'Supply planning data'!A812,'Shipments data'!Y:Y,'Supply planning data'!D812,'Shipments data'!O:O,"received", 'Shipments data'!N:N, "Public")</f>
        <v>0</v>
      </c>
      <c r="S812" s="111">
        <f>SUMIFS('Shipments data'!L:L,'Shipments data'!F:F,'Supply planning data'!C812,'Shipments data'!A:A,'Supply planning data'!A812,'Shipments data'!Y:Y,'Supply planning data'!D812,'Shipments data'!O:O,"ordered", 'Shipments data'!N:N, "Public")</f>
        <v>0</v>
      </c>
      <c r="T812" s="111">
        <f>IF(SUMIFS('Shipments data'!L:L,'Shipments data'!F:F,'Supply planning data'!C812,'Shipments data'!A:A,'Supply planning data'!A812,'Shipments data'!O:O,"received",'Shipments data'!Q:Q,"&lt;"&amp;'Supply planning data'!D827,'Shipments data'!AC:AC,"&lt;"&amp;'Supply planning data'!D827)-SUMIFS(M:M,D:D,"&lt;="&amp;D812,C:C,C812)+SUMIFS(N:N,D:D,"&lt;="&amp;D812,C:C,C812)+SUMIFS(P:P,D:D,"&lt;="&amp;D812,C:C,C812)&lt;0,0,SUMIFS('Shipments data'!L:L,'Shipments data'!F:F,'Supply planning data'!C812,'Shipments data'!A:A,'Supply planning data'!A812,'Shipments data'!O:O,"received",'Shipments data'!Q:Q,"&lt;"&amp;'Supply planning data'!D827,'Shipments data'!AC:AC,"&lt;"&amp;'Supply planning data'!D827)-SUMIFS(M:M,D:D,"&lt;="&amp;D812,C:C,C812)+SUMIFS(N:N,D:D,"&lt;="&amp;D812,C:C,C812)+SUMIFS(P:P,D:D,"&lt;="&amp;D812,C:C,C812))</f>
        <v>0</v>
      </c>
      <c r="U812" s="112">
        <f t="shared" si="242"/>
        <v>0</v>
      </c>
      <c r="V812" s="111">
        <f t="shared" si="232"/>
        <v>0</v>
      </c>
      <c r="W812" s="204" t="str">
        <f t="shared" si="248"/>
        <v/>
      </c>
      <c r="X812" s="111">
        <f t="shared" si="243"/>
        <v>0</v>
      </c>
      <c r="Y812" s="110"/>
      <c r="Z812" s="107"/>
      <c r="AA812" s="111">
        <f t="shared" si="236"/>
        <v>0</v>
      </c>
      <c r="AB812" s="235"/>
      <c r="AC812" s="111">
        <f>IF(SUMIFS('Shipments data'!L:L,'Shipments data'!F:F,'Supply planning data'!C812,'Shipments data'!A:A,'Supply planning data'!A812,'Shipments data'!O:O,"received",'Shipments data'!Q:Q,"&lt;"&amp;'Supply planning data'!D827,'Shipments data'!AC:AC,"&lt;"&amp;'Supply planning data'!D827)-SUMIFS(M:M,D:D,"&lt;="&amp;D812,C:C,C812)-SUMIFS(AA:AA,D:D,"&lt;="&amp;D812,C:C,C812)+SUMIFS(N:N,D:D,"&lt;="&amp;D812,C:C,C812)+SUMIFS(P:P,D:D,"&lt;="&amp;D812,C:C,C812)&lt;0,0,SUMIFS('Shipments data'!L:L,'Shipments data'!F:F,'Supply planning data'!C812,'Shipments data'!A:A,'Supply planning data'!A812,'Shipments data'!O:O,"received",'Shipments data'!Q:Q,"&lt;"&amp;'Supply planning data'!D827,'Shipments data'!AC:AC,"&lt;"&amp;'Supply planning data'!D827)-SUMIFS(M:M,D:D,"&lt;="&amp;D812,C:C,C812)-SUMIFS(AA:AA,D:D,"&lt;="&amp;D812,C:C,C812)+SUMIFS(N:N,D:D,"&lt;="&amp;D812,C:C,C812)+SUMIFS(P:P,D:D,"&lt;="&amp;D812,C:C,C812))</f>
        <v>0</v>
      </c>
      <c r="AD812" s="111">
        <f t="shared" si="244"/>
        <v>0</v>
      </c>
      <c r="AE812" s="111">
        <f t="shared" si="238"/>
        <v>0</v>
      </c>
      <c r="AF812" s="204" t="str">
        <f t="shared" si="247"/>
        <v/>
      </c>
      <c r="AG812" s="111">
        <f t="shared" si="245"/>
        <v>0</v>
      </c>
      <c r="AH812" s="110"/>
      <c r="AI812" s="313"/>
      <c r="AJ812" s="111">
        <f t="shared" si="237"/>
        <v>0</v>
      </c>
      <c r="AK812" s="235"/>
      <c r="AL812" s="111">
        <f>IF(SUMIFS('Shipments data'!L:L,'Shipments data'!F:F,'Supply planning data'!C812,'Shipments data'!A:A,'Supply planning data'!A812,'Shipments data'!O:O,"received",'Shipments data'!Q:Q,"&lt;"&amp;'Supply planning data'!D827,'Shipments data'!AC:AC,"&lt;"&amp;'Supply planning data'!D827)-SUMIFS(M:M,D:D,"&lt;="&amp;D812,C:C,C812)-SUMIFS(AJ:AJ,D:D,"&lt;="&amp;D812,C:C,C812)+SUMIFS(N:N,D:D,"&lt;="&amp;D812,C:C,C812)+SUMIFS(P:P,D:D,"&lt;="&amp;D812,C:C,C812)&lt;0,0,SUMIFS('Shipments data'!L:L,'Shipments data'!F:F,'Supply planning data'!C812,'Shipments data'!A:A,'Supply planning data'!A812,'Shipments data'!O:O,"received",'Shipments data'!Q:Q,"&lt;"&amp;'Supply planning data'!D827,'Shipments data'!AC:AC,"&lt;"&amp;'Supply planning data'!D827)-SUMIFS(M:M,D:D,"&lt;="&amp;D812,C:C,C812)-SUMIFS(AJ:AJ,D:D,"&lt;="&amp;D812,C:C,C812)+SUMIFS(N:N,D:D,"&lt;="&amp;D812,C:C,C812)+SUMIFS(P:P,D:D,"&lt;="&amp;D812,C:C,C812))</f>
        <v>0</v>
      </c>
      <c r="AM812" s="111">
        <f t="shared" si="246"/>
        <v>0</v>
      </c>
      <c r="AN812" s="111">
        <f t="shared" si="239"/>
        <v>0</v>
      </c>
      <c r="AO812" s="204" t="str">
        <f t="shared" si="249"/>
        <v/>
      </c>
    </row>
    <row r="813" spans="1:41" hidden="1" x14ac:dyDescent="0.25">
      <c r="A813" s="103" t="str">
        <f>Start!D$7</f>
        <v>Anyland</v>
      </c>
      <c r="B813" s="109" t="str">
        <f>VLOOKUP(A813,list!B:C,2,FALSE)</f>
        <v>ANY</v>
      </c>
      <c r="C813" s="109" t="str">
        <f>IF(Start!$C$30="","",Start!$C$30)</f>
        <v/>
      </c>
      <c r="D813" s="298">
        <f t="shared" si="240"/>
        <v>45809</v>
      </c>
      <c r="E813" s="105" t="str">
        <f>IFERROR(VLOOKUP(C813,Start!C$15:D$31,2,FALSE),"No")</f>
        <v>No</v>
      </c>
      <c r="F813" s="105">
        <f t="shared" si="241"/>
        <v>0</v>
      </c>
      <c r="G813" s="106"/>
      <c r="H813" s="106"/>
      <c r="I813" s="106"/>
      <c r="J813" s="105">
        <f t="shared" si="233"/>
        <v>0</v>
      </c>
      <c r="K813" s="106"/>
      <c r="L813" s="177" t="str">
        <f t="shared" si="234"/>
        <v/>
      </c>
      <c r="M813" s="105">
        <f t="shared" si="235"/>
        <v>0</v>
      </c>
      <c r="N813" s="110"/>
      <c r="O813" s="124"/>
      <c r="P813" s="110"/>
      <c r="Q813" s="124"/>
      <c r="R813" s="111">
        <f>SUMIFS('Shipments data'!L:L,'Shipments data'!F:F,'Supply planning data'!C813,'Shipments data'!A:A,'Supply planning data'!A813,'Shipments data'!Y:Y,'Supply planning data'!D813,'Shipments data'!O:O,"received", 'Shipments data'!N:N, "Public")</f>
        <v>0</v>
      </c>
      <c r="S813" s="111">
        <f>SUMIFS('Shipments data'!L:L,'Shipments data'!F:F,'Supply planning data'!C813,'Shipments data'!A:A,'Supply planning data'!A813,'Shipments data'!Y:Y,'Supply planning data'!D813,'Shipments data'!O:O,"ordered", 'Shipments data'!N:N, "Public")</f>
        <v>0</v>
      </c>
      <c r="T813" s="111">
        <f>IF(SUMIFS('Shipments data'!L:L,'Shipments data'!F:F,'Supply planning data'!C813,'Shipments data'!A:A,'Supply planning data'!A813,'Shipments data'!O:O,"received",'Shipments data'!Q:Q,"&lt;"&amp;'Supply planning data'!D828,'Shipments data'!AC:AC,"&lt;"&amp;'Supply planning data'!D828)-SUMIFS(M:M,D:D,"&lt;="&amp;D813,C:C,C813)+SUMIFS(N:N,D:D,"&lt;="&amp;D813,C:C,C813)+SUMIFS(P:P,D:D,"&lt;="&amp;D813,C:C,C813)&lt;0,0,SUMIFS('Shipments data'!L:L,'Shipments data'!F:F,'Supply planning data'!C813,'Shipments data'!A:A,'Supply planning data'!A813,'Shipments data'!O:O,"received",'Shipments data'!Q:Q,"&lt;"&amp;'Supply planning data'!D828,'Shipments data'!AC:AC,"&lt;"&amp;'Supply planning data'!D828)-SUMIFS(M:M,D:D,"&lt;="&amp;D813,C:C,C813)+SUMIFS(N:N,D:D,"&lt;="&amp;D813,C:C,C813)+SUMIFS(P:P,D:D,"&lt;="&amp;D813,C:C,C813))</f>
        <v>0</v>
      </c>
      <c r="U813" s="112">
        <f t="shared" si="242"/>
        <v>0</v>
      </c>
      <c r="V813" s="111">
        <f t="shared" si="232"/>
        <v>0</v>
      </c>
      <c r="W813" s="204" t="str">
        <f t="shared" si="248"/>
        <v/>
      </c>
      <c r="X813" s="111">
        <f t="shared" si="243"/>
        <v>0</v>
      </c>
      <c r="Y813" s="110"/>
      <c r="Z813" s="107"/>
      <c r="AA813" s="111">
        <f t="shared" si="236"/>
        <v>0</v>
      </c>
      <c r="AB813" s="235"/>
      <c r="AC813" s="111">
        <f>IF(SUMIFS('Shipments data'!L:L,'Shipments data'!F:F,'Supply planning data'!C813,'Shipments data'!A:A,'Supply planning data'!A813,'Shipments data'!O:O,"received",'Shipments data'!Q:Q,"&lt;"&amp;'Supply planning data'!D828,'Shipments data'!AC:AC,"&lt;"&amp;'Supply planning data'!D828)-SUMIFS(M:M,D:D,"&lt;="&amp;D813,C:C,C813)-SUMIFS(AA:AA,D:D,"&lt;="&amp;D813,C:C,C813)+SUMIFS(N:N,D:D,"&lt;="&amp;D813,C:C,C813)+SUMIFS(P:P,D:D,"&lt;="&amp;D813,C:C,C813)&lt;0,0,SUMIFS('Shipments data'!L:L,'Shipments data'!F:F,'Supply planning data'!C813,'Shipments data'!A:A,'Supply planning data'!A813,'Shipments data'!O:O,"received",'Shipments data'!Q:Q,"&lt;"&amp;'Supply planning data'!D828,'Shipments data'!AC:AC,"&lt;"&amp;'Supply planning data'!D828)-SUMIFS(M:M,D:D,"&lt;="&amp;D813,C:C,C813)-SUMIFS(AA:AA,D:D,"&lt;="&amp;D813,C:C,C813)+SUMIFS(N:N,D:D,"&lt;="&amp;D813,C:C,C813)+SUMIFS(P:P,D:D,"&lt;="&amp;D813,C:C,C813))</f>
        <v>0</v>
      </c>
      <c r="AD813" s="111">
        <f t="shared" si="244"/>
        <v>0</v>
      </c>
      <c r="AE813" s="111">
        <f t="shared" si="238"/>
        <v>0</v>
      </c>
      <c r="AF813" s="204" t="str">
        <f t="shared" si="247"/>
        <v/>
      </c>
      <c r="AG813" s="111">
        <f t="shared" si="245"/>
        <v>0</v>
      </c>
      <c r="AH813" s="110"/>
      <c r="AI813" s="313"/>
      <c r="AJ813" s="111">
        <f t="shared" si="237"/>
        <v>0</v>
      </c>
      <c r="AK813" s="235"/>
      <c r="AL813" s="111">
        <f>IF(SUMIFS('Shipments data'!L:L,'Shipments data'!F:F,'Supply planning data'!C813,'Shipments data'!A:A,'Supply planning data'!A813,'Shipments data'!O:O,"received",'Shipments data'!Q:Q,"&lt;"&amp;'Supply planning data'!D828,'Shipments data'!AC:AC,"&lt;"&amp;'Supply planning data'!D828)-SUMIFS(M:M,D:D,"&lt;="&amp;D813,C:C,C813)-SUMIFS(AJ:AJ,D:D,"&lt;="&amp;D813,C:C,C813)+SUMIFS(N:N,D:D,"&lt;="&amp;D813,C:C,C813)+SUMIFS(P:P,D:D,"&lt;="&amp;D813,C:C,C813)&lt;0,0,SUMIFS('Shipments data'!L:L,'Shipments data'!F:F,'Supply planning data'!C813,'Shipments data'!A:A,'Supply planning data'!A813,'Shipments data'!O:O,"received",'Shipments data'!Q:Q,"&lt;"&amp;'Supply planning data'!D828,'Shipments data'!AC:AC,"&lt;"&amp;'Supply planning data'!D828)-SUMIFS(M:M,D:D,"&lt;="&amp;D813,C:C,C813)-SUMIFS(AJ:AJ,D:D,"&lt;="&amp;D813,C:C,C813)+SUMIFS(N:N,D:D,"&lt;="&amp;D813,C:C,C813)+SUMIFS(P:P,D:D,"&lt;="&amp;D813,C:C,C813))</f>
        <v>0</v>
      </c>
      <c r="AM813" s="111">
        <f t="shared" si="246"/>
        <v>0</v>
      </c>
      <c r="AN813" s="111">
        <f t="shared" si="239"/>
        <v>0</v>
      </c>
      <c r="AO813" s="204" t="str">
        <f t="shared" si="249"/>
        <v/>
      </c>
    </row>
    <row r="814" spans="1:41" hidden="1" x14ac:dyDescent="0.25">
      <c r="A814" s="113" t="str">
        <f>Start!D$7</f>
        <v>Anyland</v>
      </c>
      <c r="B814" s="114" t="str">
        <f>VLOOKUP(A814,list!B:C,2,FALSE)</f>
        <v>ANY</v>
      </c>
      <c r="C814" s="104" t="str">
        <f>IF(Start!$C$31="","",Start!$C$31)</f>
        <v/>
      </c>
      <c r="D814" s="298">
        <f t="shared" si="240"/>
        <v>45809</v>
      </c>
      <c r="E814" s="105" t="str">
        <f>IFERROR(VLOOKUP(C814,Start!C$15:D$31,2,FALSE),"No")</f>
        <v>No</v>
      </c>
      <c r="F814" s="105">
        <f t="shared" si="241"/>
        <v>0</v>
      </c>
      <c r="G814" s="106"/>
      <c r="H814" s="106"/>
      <c r="I814" s="106"/>
      <c r="J814" s="105">
        <f t="shared" si="233"/>
        <v>0</v>
      </c>
      <c r="K814" s="106"/>
      <c r="L814" s="177" t="str">
        <f t="shared" si="234"/>
        <v/>
      </c>
      <c r="M814" s="105">
        <f t="shared" si="235"/>
        <v>0</v>
      </c>
      <c r="N814" s="110"/>
      <c r="O814" s="124"/>
      <c r="P814" s="110"/>
      <c r="Q814" s="124"/>
      <c r="R814" s="111">
        <f>SUMIFS('Shipments data'!L:L,'Shipments data'!F:F,'Supply planning data'!C814,'Shipments data'!A:A,'Supply planning data'!A814,'Shipments data'!Y:Y,'Supply planning data'!D814,'Shipments data'!O:O,"received", 'Shipments data'!N:N, "Public")</f>
        <v>0</v>
      </c>
      <c r="S814" s="111">
        <f>SUMIFS('Shipments data'!L:L,'Shipments data'!F:F,'Supply planning data'!C814,'Shipments data'!A:A,'Supply planning data'!A814,'Shipments data'!Y:Y,'Supply planning data'!D814,'Shipments data'!O:O,"ordered", 'Shipments data'!N:N, "Public")</f>
        <v>0</v>
      </c>
      <c r="T814" s="111">
        <f>IF(SUMIFS('Shipments data'!L:L,'Shipments data'!F:F,'Supply planning data'!C814,'Shipments data'!A:A,'Supply planning data'!A814,'Shipments data'!O:O,"received",'Shipments data'!Q:Q,"&lt;"&amp;'Supply planning data'!D829,'Shipments data'!AC:AC,"&lt;"&amp;'Supply planning data'!D829)-SUMIFS(M:M,D:D,"&lt;="&amp;D814,C:C,C814)+SUMIFS(N:N,D:D,"&lt;="&amp;D814,C:C,C814)+SUMIFS(P:P,D:D,"&lt;="&amp;D814,C:C,C814)&lt;0,0,SUMIFS('Shipments data'!L:L,'Shipments data'!F:F,'Supply planning data'!C814,'Shipments data'!A:A,'Supply planning data'!A814,'Shipments data'!O:O,"received",'Shipments data'!Q:Q,"&lt;"&amp;'Supply planning data'!D829,'Shipments data'!AC:AC,"&lt;"&amp;'Supply planning data'!D829)-SUMIFS(M:M,D:D,"&lt;="&amp;D814,C:C,C814)+SUMIFS(N:N,D:D,"&lt;="&amp;D814,C:C,C814)+SUMIFS(P:P,D:D,"&lt;="&amp;D814,C:C,C814))</f>
        <v>0</v>
      </c>
      <c r="U814" s="112">
        <f t="shared" si="242"/>
        <v>0</v>
      </c>
      <c r="V814" s="111">
        <f t="shared" si="232"/>
        <v>0</v>
      </c>
      <c r="W814" s="204" t="str">
        <f t="shared" si="248"/>
        <v/>
      </c>
      <c r="X814" s="111">
        <f t="shared" si="243"/>
        <v>0</v>
      </c>
      <c r="Y814" s="110"/>
      <c r="Z814" s="107"/>
      <c r="AA814" s="111">
        <f t="shared" si="236"/>
        <v>0</v>
      </c>
      <c r="AB814" s="235"/>
      <c r="AC814" s="111">
        <f>IF(SUMIFS('Shipments data'!L:L,'Shipments data'!F:F,'Supply planning data'!C814,'Shipments data'!A:A,'Supply planning data'!A814,'Shipments data'!O:O,"received",'Shipments data'!Q:Q,"&lt;"&amp;'Supply planning data'!D829,'Shipments data'!AC:AC,"&lt;"&amp;'Supply planning data'!D829)-SUMIFS(M:M,D:D,"&lt;="&amp;D814,C:C,C814)-SUMIFS(AA:AA,D:D,"&lt;="&amp;D814,C:C,C814)+SUMIFS(N:N,D:D,"&lt;="&amp;D814,C:C,C814)+SUMIFS(P:P,D:D,"&lt;="&amp;D814,C:C,C814)&lt;0,0,SUMIFS('Shipments data'!L:L,'Shipments data'!F:F,'Supply planning data'!C814,'Shipments data'!A:A,'Supply planning data'!A814,'Shipments data'!O:O,"received",'Shipments data'!Q:Q,"&lt;"&amp;'Supply planning data'!D829,'Shipments data'!AC:AC,"&lt;"&amp;'Supply planning data'!D829)-SUMIFS(M:M,D:D,"&lt;="&amp;D814,C:C,C814)-SUMIFS(AA:AA,D:D,"&lt;="&amp;D814,C:C,C814)+SUMIFS(N:N,D:D,"&lt;="&amp;D814,C:C,C814)+SUMIFS(P:P,D:D,"&lt;="&amp;D814,C:C,C814))</f>
        <v>0</v>
      </c>
      <c r="AD814" s="111">
        <f t="shared" si="244"/>
        <v>0</v>
      </c>
      <c r="AE814" s="111">
        <f t="shared" si="238"/>
        <v>0</v>
      </c>
      <c r="AF814" s="204" t="str">
        <f t="shared" si="247"/>
        <v/>
      </c>
      <c r="AG814" s="111">
        <f t="shared" si="245"/>
        <v>0</v>
      </c>
      <c r="AH814" s="110"/>
      <c r="AI814" s="313"/>
      <c r="AJ814" s="111">
        <f t="shared" si="237"/>
        <v>0</v>
      </c>
      <c r="AK814" s="235"/>
      <c r="AL814" s="111">
        <f>IF(SUMIFS('Shipments data'!L:L,'Shipments data'!F:F,'Supply planning data'!C814,'Shipments data'!A:A,'Supply planning data'!A814,'Shipments data'!O:O,"received",'Shipments data'!Q:Q,"&lt;"&amp;'Supply planning data'!D829,'Shipments data'!AC:AC,"&lt;"&amp;'Supply planning data'!D829)-SUMIFS(M:M,D:D,"&lt;="&amp;D814,C:C,C814)-SUMIFS(AJ:AJ,D:D,"&lt;="&amp;D814,C:C,C814)+SUMIFS(N:N,D:D,"&lt;="&amp;D814,C:C,C814)+SUMIFS(P:P,D:D,"&lt;="&amp;D814,C:C,C814)&lt;0,0,SUMIFS('Shipments data'!L:L,'Shipments data'!F:F,'Supply planning data'!C814,'Shipments data'!A:A,'Supply planning data'!A814,'Shipments data'!O:O,"received",'Shipments data'!Q:Q,"&lt;"&amp;'Supply planning data'!D829,'Shipments data'!AC:AC,"&lt;"&amp;'Supply planning data'!D829)-SUMIFS(M:M,D:D,"&lt;="&amp;D814,C:C,C814)-SUMIFS(AJ:AJ,D:D,"&lt;="&amp;D814,C:C,C814)+SUMIFS(N:N,D:D,"&lt;="&amp;D814,C:C,C814)+SUMIFS(P:P,D:D,"&lt;="&amp;D814,C:C,C814))</f>
        <v>0</v>
      </c>
      <c r="AM814" s="111">
        <f t="shared" si="246"/>
        <v>0</v>
      </c>
      <c r="AN814" s="111">
        <f t="shared" si="239"/>
        <v>0</v>
      </c>
      <c r="AO814" s="204" t="str">
        <f t="shared" si="249"/>
        <v/>
      </c>
    </row>
    <row r="815" spans="1:41" x14ac:dyDescent="0.25">
      <c r="A815" s="89" t="str">
        <f>Start!D$7</f>
        <v>Anyland</v>
      </c>
      <c r="B815" s="90" t="str">
        <f>VLOOKUP(A815,list!B:C,2,FALSE)</f>
        <v>ANY</v>
      </c>
      <c r="C815" s="90" t="str">
        <f>IF(Start!$C$17="","",Start!$C$17)</f>
        <v>AstraZeneca</v>
      </c>
      <c r="D815" s="296">
        <f t="shared" si="240"/>
        <v>45839</v>
      </c>
      <c r="E815" s="92" t="str">
        <f>IFERROR(VLOOKUP(C815,Start!C$15:D$31,2,FALSE),"No")</f>
        <v>Yes</v>
      </c>
      <c r="F815" s="92">
        <f t="shared" si="241"/>
        <v>0</v>
      </c>
      <c r="G815" s="91"/>
      <c r="H815" s="91"/>
      <c r="I815" s="91"/>
      <c r="J815" s="92">
        <f t="shared" si="233"/>
        <v>0</v>
      </c>
      <c r="K815" s="91"/>
      <c r="L815" s="174" t="str">
        <f t="shared" si="234"/>
        <v/>
      </c>
      <c r="M815" s="92">
        <f t="shared" si="235"/>
        <v>0</v>
      </c>
      <c r="N815" s="91"/>
      <c r="O815" s="121"/>
      <c r="P815" s="91"/>
      <c r="Q815" s="121"/>
      <c r="R815" s="92">
        <f>SUMIFS('Shipments data'!L:L,'Shipments data'!F:F,'Supply planning data'!C815,'Shipments data'!A:A,'Supply planning data'!A815,'Shipments data'!Y:Y,'Supply planning data'!D815,'Shipments data'!O:O,"received", 'Shipments data'!N:N, "Public")</f>
        <v>0</v>
      </c>
      <c r="S815" s="92">
        <f>SUMIFS('Shipments data'!L:L,'Shipments data'!F:F,'Supply planning data'!C815,'Shipments data'!A:A,'Supply planning data'!A815,'Shipments data'!Y:Y,'Supply planning data'!D815,'Shipments data'!O:O,"ordered", 'Shipments data'!N:N, "Public")</f>
        <v>0</v>
      </c>
      <c r="T815" s="92">
        <f>IF(SUMIFS('Shipments data'!L:L,'Shipments data'!F:F,'Supply planning data'!C815,'Shipments data'!A:A,'Supply planning data'!A815,'Shipments data'!O:O,"received",'Shipments data'!Q:Q,"&lt;"&amp;'Supply planning data'!D830,'Shipments data'!AC:AC,"&lt;"&amp;'Supply planning data'!D830)-SUMIFS(M:M,D:D,"&lt;="&amp;D815,C:C,C815)+SUMIFS(N:N,D:D,"&lt;="&amp;D815,C:C,C815)+SUMIFS(P:P,D:D,"&lt;="&amp;D815,C:C,C815)&lt;0,0,SUMIFS('Shipments data'!L:L,'Shipments data'!F:F,'Supply planning data'!C815,'Shipments data'!A:A,'Supply planning data'!A815,'Shipments data'!O:O,"received",'Shipments data'!Q:Q,"&lt;"&amp;'Supply planning data'!D830,'Shipments data'!AC:AC,"&lt;"&amp;'Supply planning data'!D830)-SUMIFS(M:M,D:D,"&lt;="&amp;D815,C:C,C815)+SUMIFS(N:N,D:D,"&lt;="&amp;D815,C:C,C815)+SUMIFS(P:P,D:D,"&lt;="&amp;D815,C:C,C815))</f>
        <v>0</v>
      </c>
      <c r="U815" s="94">
        <f t="shared" si="242"/>
        <v>0</v>
      </c>
      <c r="V815" s="92">
        <f t="shared" si="232"/>
        <v>0</v>
      </c>
      <c r="W815" s="205" t="str">
        <f t="shared" si="248"/>
        <v/>
      </c>
      <c r="X815" s="92">
        <f t="shared" si="243"/>
        <v>154701</v>
      </c>
      <c r="Y815" s="91"/>
      <c r="Z815" s="93"/>
      <c r="AA815" s="92">
        <f t="shared" si="236"/>
        <v>0</v>
      </c>
      <c r="AB815" s="232"/>
      <c r="AC815" s="92">
        <f>IF(SUMIFS('Shipments data'!L:L,'Shipments data'!F:F,'Supply planning data'!C815,'Shipments data'!A:A,'Supply planning data'!A815,'Shipments data'!O:O,"received",'Shipments data'!Q:Q,"&lt;"&amp;'Supply planning data'!D830,'Shipments data'!AC:AC,"&lt;"&amp;'Supply planning data'!D830)-SUMIFS(M:M,D:D,"&lt;="&amp;D815,C:C,C815)-SUMIFS(AA:AA,D:D,"&lt;="&amp;D815,C:C,C815)+SUMIFS(N:N,D:D,"&lt;="&amp;D815,C:C,C815)+SUMIFS(P:P,D:D,"&lt;="&amp;D815,C:C,C815)&lt;0,0,SUMIFS('Shipments data'!L:L,'Shipments data'!F:F,'Supply planning data'!C815,'Shipments data'!A:A,'Supply planning data'!A815,'Shipments data'!O:O,"received",'Shipments data'!Q:Q,"&lt;"&amp;'Supply planning data'!D830,'Shipments data'!AC:AC,"&lt;"&amp;'Supply planning data'!D830)-SUMIFS(M:M,D:D,"&lt;="&amp;D815,C:C,C815)-SUMIFS(AA:AA,D:D,"&lt;="&amp;D815,C:C,C815)+SUMIFS(N:N,D:D,"&lt;="&amp;D815,C:C,C815)+SUMIFS(P:P,D:D,"&lt;="&amp;D815,C:C,C815))</f>
        <v>0</v>
      </c>
      <c r="AD815" s="92">
        <f t="shared" si="244"/>
        <v>0</v>
      </c>
      <c r="AE815" s="92">
        <f t="shared" si="238"/>
        <v>154701</v>
      </c>
      <c r="AF815" s="205" t="str">
        <f t="shared" si="247"/>
        <v/>
      </c>
      <c r="AG815" s="92">
        <f t="shared" si="245"/>
        <v>0</v>
      </c>
      <c r="AH815" s="91"/>
      <c r="AI815" s="310"/>
      <c r="AJ815" s="92">
        <f t="shared" si="237"/>
        <v>0</v>
      </c>
      <c r="AK815" s="232"/>
      <c r="AL815" s="92">
        <f>IF(SUMIFS('Shipments data'!L:L,'Shipments data'!F:F,'Supply planning data'!C815,'Shipments data'!A:A,'Supply planning data'!A815,'Shipments data'!O:O,"received",'Shipments data'!Q:Q,"&lt;"&amp;'Supply planning data'!D830,'Shipments data'!AC:AC,"&lt;"&amp;'Supply planning data'!D830)-SUMIFS(M:M,D:D,"&lt;="&amp;D815,C:C,C815)-SUMIFS(AJ:AJ,D:D,"&lt;="&amp;D815,C:C,C815)+SUMIFS(N:N,D:D,"&lt;="&amp;D815,C:C,C815)+SUMIFS(P:P,D:D,"&lt;="&amp;D815,C:C,C815)&lt;0,0,SUMIFS('Shipments data'!L:L,'Shipments data'!F:F,'Supply planning data'!C815,'Shipments data'!A:A,'Supply planning data'!A815,'Shipments data'!O:O,"received",'Shipments data'!Q:Q,"&lt;"&amp;'Supply planning data'!D830,'Shipments data'!AC:AC,"&lt;"&amp;'Supply planning data'!D830)-SUMIFS(M:M,D:D,"&lt;="&amp;D815,C:C,C815)-SUMIFS(AJ:AJ,D:D,"&lt;="&amp;D815,C:C,C815)+SUMIFS(N:N,D:D,"&lt;="&amp;D815,C:C,C815)+SUMIFS(P:P,D:D,"&lt;="&amp;D815,C:C,C815))</f>
        <v>0</v>
      </c>
      <c r="AM815" s="92">
        <f t="shared" si="246"/>
        <v>0</v>
      </c>
      <c r="AN815" s="92">
        <f t="shared" si="239"/>
        <v>0</v>
      </c>
      <c r="AO815" s="205" t="str">
        <f t="shared" si="249"/>
        <v/>
      </c>
    </row>
    <row r="816" spans="1:41" x14ac:dyDescent="0.25">
      <c r="A816" s="95" t="str">
        <f>Start!D$7</f>
        <v>Anyland</v>
      </c>
      <c r="B816" s="96" t="str">
        <f>VLOOKUP(A816,list!B:C,2,FALSE)</f>
        <v>ANY</v>
      </c>
      <c r="C816" s="90" t="str">
        <f>IF(Start!$C$18="","",Start!$C$18)</f>
        <v>Jansen</v>
      </c>
      <c r="D816" s="296">
        <f t="shared" si="240"/>
        <v>45839</v>
      </c>
      <c r="E816" s="92" t="str">
        <f>IFERROR(VLOOKUP(C816,Start!C$15:D$31,2,FALSE),"No")</f>
        <v>Yes</v>
      </c>
      <c r="F816" s="92">
        <f t="shared" si="241"/>
        <v>1871200</v>
      </c>
      <c r="G816" s="91"/>
      <c r="H816" s="97"/>
      <c r="I816" s="97"/>
      <c r="J816" s="98">
        <f t="shared" si="233"/>
        <v>0</v>
      </c>
      <c r="K816" s="97"/>
      <c r="L816" s="175" t="str">
        <f t="shared" si="234"/>
        <v/>
      </c>
      <c r="M816" s="98">
        <f t="shared" si="235"/>
        <v>0</v>
      </c>
      <c r="N816" s="97"/>
      <c r="O816" s="122"/>
      <c r="P816" s="97"/>
      <c r="Q816" s="122"/>
      <c r="R816" s="98">
        <f>SUMIFS('Shipments data'!L:L,'Shipments data'!F:F,'Supply planning data'!C816,'Shipments data'!A:A,'Supply planning data'!A816,'Shipments data'!Y:Y,'Supply planning data'!D816,'Shipments data'!O:O,"received", 'Shipments data'!N:N, "Public")</f>
        <v>0</v>
      </c>
      <c r="S816" s="98">
        <f>SUMIFS('Shipments data'!L:L,'Shipments data'!F:F,'Supply planning data'!C816,'Shipments data'!A:A,'Supply planning data'!A816,'Shipments data'!Y:Y,'Supply planning data'!D816,'Shipments data'!O:O,"ordered", 'Shipments data'!N:N, "Public")</f>
        <v>0</v>
      </c>
      <c r="T816" s="98">
        <f>IF(SUMIFS('Shipments data'!L:L,'Shipments data'!F:F,'Supply planning data'!C816,'Shipments data'!A:A,'Supply planning data'!A816,'Shipments data'!O:O,"received",'Shipments data'!Q:Q,"&lt;"&amp;'Supply planning data'!D831,'Shipments data'!AC:AC,"&lt;"&amp;'Supply planning data'!D831)-SUMIFS(M:M,D:D,"&lt;="&amp;D816,C:C,C816)+SUMIFS(N:N,D:D,"&lt;="&amp;D816,C:C,C816)+SUMIFS(P:P,D:D,"&lt;="&amp;D816,C:C,C816)&lt;0,0,SUMIFS('Shipments data'!L:L,'Shipments data'!F:F,'Supply planning data'!C816,'Shipments data'!A:A,'Supply planning data'!A816,'Shipments data'!O:O,"received",'Shipments data'!Q:Q,"&lt;"&amp;'Supply planning data'!D831,'Shipments data'!AC:AC,"&lt;"&amp;'Supply planning data'!D831)-SUMIFS(M:M,D:D,"&lt;="&amp;D816,C:C,C816)+SUMIFS(N:N,D:D,"&lt;="&amp;D816,C:C,C816)+SUMIFS(P:P,D:D,"&lt;="&amp;D816,C:C,C816))</f>
        <v>387547</v>
      </c>
      <c r="U816" s="99">
        <f t="shared" si="242"/>
        <v>0</v>
      </c>
      <c r="V816" s="98">
        <f t="shared" si="232"/>
        <v>1871200</v>
      </c>
      <c r="W816" s="203" t="str">
        <f t="shared" si="248"/>
        <v/>
      </c>
      <c r="X816" s="98">
        <f t="shared" si="243"/>
        <v>1311200</v>
      </c>
      <c r="Y816" s="97"/>
      <c r="Z816" s="93"/>
      <c r="AA816" s="98">
        <f t="shared" si="236"/>
        <v>0</v>
      </c>
      <c r="AB816" s="233"/>
      <c r="AC816" s="98">
        <f>IF(SUMIFS('Shipments data'!L:L,'Shipments data'!F:F,'Supply planning data'!C816,'Shipments data'!A:A,'Supply planning data'!A816,'Shipments data'!O:O,"received",'Shipments data'!Q:Q,"&lt;"&amp;'Supply planning data'!D831,'Shipments data'!AC:AC,"&lt;"&amp;'Supply planning data'!D831)-SUMIFS(M:M,D:D,"&lt;="&amp;D816,C:C,C816)-SUMIFS(AA:AA,D:D,"&lt;="&amp;D816,C:C,C816)+SUMIFS(N:N,D:D,"&lt;="&amp;D816,C:C,C816)+SUMIFS(P:P,D:D,"&lt;="&amp;D816,C:C,C816)&lt;0,0,SUMIFS('Shipments data'!L:L,'Shipments data'!F:F,'Supply planning data'!C816,'Shipments data'!A:A,'Supply planning data'!A816,'Shipments data'!O:O,"received",'Shipments data'!Q:Q,"&lt;"&amp;'Supply planning data'!D831,'Shipments data'!AC:AC,"&lt;"&amp;'Supply planning data'!D831)-SUMIFS(M:M,D:D,"&lt;="&amp;D816,C:C,C816)-SUMIFS(AA:AA,D:D,"&lt;="&amp;D816,C:C,C816)+SUMIFS(N:N,D:D,"&lt;="&amp;D816,C:C,C816)+SUMIFS(P:P,D:D,"&lt;="&amp;D816,C:C,C816))</f>
        <v>0</v>
      </c>
      <c r="AD816" s="98">
        <f t="shared" si="244"/>
        <v>0</v>
      </c>
      <c r="AE816" s="98">
        <f t="shared" si="238"/>
        <v>1311200</v>
      </c>
      <c r="AF816" s="205" t="str">
        <f t="shared" si="247"/>
        <v/>
      </c>
      <c r="AG816" s="98">
        <f t="shared" si="245"/>
        <v>1871200</v>
      </c>
      <c r="AH816" s="97"/>
      <c r="AI816" s="311"/>
      <c r="AJ816" s="98">
        <f t="shared" si="237"/>
        <v>0</v>
      </c>
      <c r="AK816" s="233"/>
      <c r="AL816" s="98">
        <f>IF(SUMIFS('Shipments data'!L:L,'Shipments data'!F:F,'Supply planning data'!C816,'Shipments data'!A:A,'Supply planning data'!A816,'Shipments data'!O:O,"received",'Shipments data'!Q:Q,"&lt;"&amp;'Supply planning data'!D831,'Shipments data'!AC:AC,"&lt;"&amp;'Supply planning data'!D831)-SUMIFS(M:M,D:D,"&lt;="&amp;D816,C:C,C816)-SUMIFS(AJ:AJ,D:D,"&lt;="&amp;D816,C:C,C816)+SUMIFS(N:N,D:D,"&lt;="&amp;D816,C:C,C816)+SUMIFS(P:P,D:D,"&lt;="&amp;D816,C:C,C816)&lt;0,0,SUMIFS('Shipments data'!L:L,'Shipments data'!F:F,'Supply planning data'!C816,'Shipments data'!A:A,'Supply planning data'!A816,'Shipments data'!O:O,"received",'Shipments data'!Q:Q,"&lt;"&amp;'Supply planning data'!D831,'Shipments data'!AC:AC,"&lt;"&amp;'Supply planning data'!D831)-SUMIFS(M:M,D:D,"&lt;="&amp;D816,C:C,C816)-SUMIFS(AJ:AJ,D:D,"&lt;="&amp;D816,C:C,C816)+SUMIFS(N:N,D:D,"&lt;="&amp;D816,C:C,C816)+SUMIFS(P:P,D:D,"&lt;="&amp;D816,C:C,C816))</f>
        <v>387547</v>
      </c>
      <c r="AM816" s="98">
        <f t="shared" si="246"/>
        <v>0</v>
      </c>
      <c r="AN816" s="98">
        <f t="shared" si="239"/>
        <v>1871200</v>
      </c>
      <c r="AO816" s="203" t="str">
        <f t="shared" si="249"/>
        <v/>
      </c>
    </row>
    <row r="817" spans="1:41" x14ac:dyDescent="0.25">
      <c r="A817" s="95" t="str">
        <f>Start!D$7</f>
        <v>Anyland</v>
      </c>
      <c r="B817" s="96" t="str">
        <f>VLOOKUP(A817,list!B:C,2,FALSE)</f>
        <v>ANY</v>
      </c>
      <c r="C817" s="90" t="str">
        <f>IF(Start!$C$19="","",Start!$C$19)</f>
        <v>Moderna</v>
      </c>
      <c r="D817" s="296">
        <f t="shared" si="240"/>
        <v>45839</v>
      </c>
      <c r="E817" s="92" t="str">
        <f>IFERROR(VLOOKUP(C817,Start!C$15:D$31,2,FALSE),"No")</f>
        <v>No</v>
      </c>
      <c r="F817" s="92">
        <f t="shared" si="241"/>
        <v>0</v>
      </c>
      <c r="G817" s="91"/>
      <c r="H817" s="97"/>
      <c r="I817" s="97"/>
      <c r="J817" s="98">
        <f t="shared" si="233"/>
        <v>0</v>
      </c>
      <c r="K817" s="97"/>
      <c r="L817" s="175" t="str">
        <f t="shared" si="234"/>
        <v/>
      </c>
      <c r="M817" s="98">
        <f t="shared" si="235"/>
        <v>0</v>
      </c>
      <c r="N817" s="97"/>
      <c r="O817" s="122"/>
      <c r="P817" s="97"/>
      <c r="Q817" s="122"/>
      <c r="R817" s="98">
        <f>SUMIFS('Shipments data'!L:L,'Shipments data'!F:F,'Supply planning data'!C817,'Shipments data'!A:A,'Supply planning data'!A817,'Shipments data'!Y:Y,'Supply planning data'!D817,'Shipments data'!O:O,"received", 'Shipments data'!N:N, "Public")</f>
        <v>0</v>
      </c>
      <c r="S817" s="98">
        <f>SUMIFS('Shipments data'!L:L,'Shipments data'!F:F,'Supply planning data'!C817,'Shipments data'!A:A,'Supply planning data'!A817,'Shipments data'!Y:Y,'Supply planning data'!D817,'Shipments data'!O:O,"ordered", 'Shipments data'!N:N, "Public")</f>
        <v>0</v>
      </c>
      <c r="T817" s="98">
        <f>IF(SUMIFS('Shipments data'!L:L,'Shipments data'!F:F,'Supply planning data'!C817,'Shipments data'!A:A,'Supply planning data'!A817,'Shipments data'!O:O,"received",'Shipments data'!Q:Q,"&lt;"&amp;'Supply planning data'!D832,'Shipments data'!AC:AC,"&lt;"&amp;'Supply planning data'!D832)-SUMIFS(M:M,D:D,"&lt;="&amp;D817,C:C,C817)+SUMIFS(N:N,D:D,"&lt;="&amp;D817,C:C,C817)+SUMIFS(P:P,D:D,"&lt;="&amp;D817,C:C,C817)&lt;0,0,SUMIFS('Shipments data'!L:L,'Shipments data'!F:F,'Supply planning data'!C817,'Shipments data'!A:A,'Supply planning data'!A817,'Shipments data'!O:O,"received",'Shipments data'!Q:Q,"&lt;"&amp;'Supply planning data'!D832,'Shipments data'!AC:AC,"&lt;"&amp;'Supply planning data'!D832)-SUMIFS(M:M,D:D,"&lt;="&amp;D817,C:C,C817)+SUMIFS(N:N,D:D,"&lt;="&amp;D817,C:C,C817)+SUMIFS(P:P,D:D,"&lt;="&amp;D817,C:C,C817))</f>
        <v>0</v>
      </c>
      <c r="U817" s="99">
        <f t="shared" si="242"/>
        <v>0</v>
      </c>
      <c r="V817" s="98">
        <f t="shared" si="232"/>
        <v>0</v>
      </c>
      <c r="W817" s="203" t="str">
        <f t="shared" si="248"/>
        <v/>
      </c>
      <c r="X817" s="98">
        <f t="shared" si="243"/>
        <v>0</v>
      </c>
      <c r="Y817" s="97"/>
      <c r="Z817" s="93"/>
      <c r="AA817" s="98">
        <f t="shared" si="236"/>
        <v>0</v>
      </c>
      <c r="AB817" s="233"/>
      <c r="AC817" s="98">
        <f>IF(SUMIFS('Shipments data'!L:L,'Shipments data'!F:F,'Supply planning data'!C817,'Shipments data'!A:A,'Supply planning data'!A817,'Shipments data'!O:O,"received",'Shipments data'!Q:Q,"&lt;"&amp;'Supply planning data'!D832,'Shipments data'!AC:AC,"&lt;"&amp;'Supply planning data'!D832)-SUMIFS(M:M,D:D,"&lt;="&amp;D817,C:C,C817)-SUMIFS(AA:AA,D:D,"&lt;="&amp;D817,C:C,C817)+SUMIFS(N:N,D:D,"&lt;="&amp;D817,C:C,C817)+SUMIFS(P:P,D:D,"&lt;="&amp;D817,C:C,C817)&lt;0,0,SUMIFS('Shipments data'!L:L,'Shipments data'!F:F,'Supply planning data'!C817,'Shipments data'!A:A,'Supply planning data'!A817,'Shipments data'!O:O,"received",'Shipments data'!Q:Q,"&lt;"&amp;'Supply planning data'!D832,'Shipments data'!AC:AC,"&lt;"&amp;'Supply planning data'!D832)-SUMIFS(M:M,D:D,"&lt;="&amp;D817,C:C,C817)-SUMIFS(AA:AA,D:D,"&lt;="&amp;D817,C:C,C817)+SUMIFS(N:N,D:D,"&lt;="&amp;D817,C:C,C817)+SUMIFS(P:P,D:D,"&lt;="&amp;D817,C:C,C817))</f>
        <v>0</v>
      </c>
      <c r="AD817" s="98">
        <f t="shared" si="244"/>
        <v>0</v>
      </c>
      <c r="AE817" s="98">
        <f t="shared" si="238"/>
        <v>0</v>
      </c>
      <c r="AF817" s="205" t="str">
        <f t="shared" si="247"/>
        <v/>
      </c>
      <c r="AG817" s="98">
        <f t="shared" si="245"/>
        <v>0</v>
      </c>
      <c r="AH817" s="97"/>
      <c r="AI817" s="311"/>
      <c r="AJ817" s="98">
        <f t="shared" si="237"/>
        <v>0</v>
      </c>
      <c r="AK817" s="233"/>
      <c r="AL817" s="98">
        <f>IF(SUMIFS('Shipments data'!L:L,'Shipments data'!F:F,'Supply planning data'!C817,'Shipments data'!A:A,'Supply planning data'!A817,'Shipments data'!O:O,"received",'Shipments data'!Q:Q,"&lt;"&amp;'Supply planning data'!D832,'Shipments data'!AC:AC,"&lt;"&amp;'Supply planning data'!D832)-SUMIFS(M:M,D:D,"&lt;="&amp;D817,C:C,C817)-SUMIFS(AJ:AJ,D:D,"&lt;="&amp;D817,C:C,C817)+SUMIFS(N:N,D:D,"&lt;="&amp;D817,C:C,C817)+SUMIFS(P:P,D:D,"&lt;="&amp;D817,C:C,C817)&lt;0,0,SUMIFS('Shipments data'!L:L,'Shipments data'!F:F,'Supply planning data'!C817,'Shipments data'!A:A,'Supply planning data'!A817,'Shipments data'!O:O,"received",'Shipments data'!Q:Q,"&lt;"&amp;'Supply planning data'!D832,'Shipments data'!AC:AC,"&lt;"&amp;'Supply planning data'!D832)-SUMIFS(M:M,D:D,"&lt;="&amp;D817,C:C,C817)-SUMIFS(AJ:AJ,D:D,"&lt;="&amp;D817,C:C,C817)+SUMIFS(N:N,D:D,"&lt;="&amp;D817,C:C,C817)+SUMIFS(P:P,D:D,"&lt;="&amp;D817,C:C,C817))</f>
        <v>0</v>
      </c>
      <c r="AM817" s="98">
        <f t="shared" si="246"/>
        <v>0</v>
      </c>
      <c r="AN817" s="98">
        <f t="shared" si="239"/>
        <v>0</v>
      </c>
      <c r="AO817" s="203" t="str">
        <f t="shared" si="249"/>
        <v/>
      </c>
    </row>
    <row r="818" spans="1:41" x14ac:dyDescent="0.25">
      <c r="A818" s="95" t="str">
        <f>Start!D$7</f>
        <v>Anyland</v>
      </c>
      <c r="B818" s="96" t="str">
        <f>VLOOKUP(A818,list!B:C,2,FALSE)</f>
        <v>ANY</v>
      </c>
      <c r="C818" s="90" t="str">
        <f>IF(Start!$C$20="","",Start!$C$20)</f>
        <v>Pfizer</v>
      </c>
      <c r="D818" s="296">
        <f t="shared" si="240"/>
        <v>45839</v>
      </c>
      <c r="E818" s="92" t="str">
        <f>IFERROR(VLOOKUP(C818,Start!C$15:D$31,2,FALSE),"No")</f>
        <v>Yes</v>
      </c>
      <c r="F818" s="92">
        <f t="shared" si="241"/>
        <v>3000000</v>
      </c>
      <c r="G818" s="91"/>
      <c r="H818" s="97"/>
      <c r="I818" s="97"/>
      <c r="J818" s="98">
        <f t="shared" si="233"/>
        <v>0</v>
      </c>
      <c r="K818" s="97"/>
      <c r="L818" s="175" t="str">
        <f t="shared" si="234"/>
        <v/>
      </c>
      <c r="M818" s="98">
        <f t="shared" si="235"/>
        <v>0</v>
      </c>
      <c r="N818" s="97"/>
      <c r="O818" s="122"/>
      <c r="P818" s="97"/>
      <c r="Q818" s="122"/>
      <c r="R818" s="98">
        <f>SUMIFS('Shipments data'!L:L,'Shipments data'!F:F,'Supply planning data'!C818,'Shipments data'!A:A,'Supply planning data'!A818,'Shipments data'!Y:Y,'Supply planning data'!D818,'Shipments data'!O:O,"received", 'Shipments data'!N:N, "Public")</f>
        <v>0</v>
      </c>
      <c r="S818" s="98">
        <f>SUMIFS('Shipments data'!L:L,'Shipments data'!F:F,'Supply planning data'!C818,'Shipments data'!A:A,'Supply planning data'!A818,'Shipments data'!Y:Y,'Supply planning data'!D818,'Shipments data'!O:O,"ordered", 'Shipments data'!N:N, "Public")</f>
        <v>0</v>
      </c>
      <c r="T818" s="98">
        <f>IF(SUMIFS('Shipments data'!L:L,'Shipments data'!F:F,'Supply planning data'!C818,'Shipments data'!A:A,'Supply planning data'!A818,'Shipments data'!O:O,"received",'Shipments data'!Q:Q,"&lt;"&amp;'Supply planning data'!D833,'Shipments data'!AC:AC,"&lt;"&amp;'Supply planning data'!D833)-SUMIFS(M:M,D:D,"&lt;="&amp;D818,C:C,C818)+SUMIFS(N:N,D:D,"&lt;="&amp;D818,C:C,C818)+SUMIFS(P:P,D:D,"&lt;="&amp;D818,C:C,C818)&lt;0,0,SUMIFS('Shipments data'!L:L,'Shipments data'!F:F,'Supply planning data'!C818,'Shipments data'!A:A,'Supply planning data'!A818,'Shipments data'!O:O,"received",'Shipments data'!Q:Q,"&lt;"&amp;'Supply planning data'!D833,'Shipments data'!AC:AC,"&lt;"&amp;'Supply planning data'!D833)-SUMIFS(M:M,D:D,"&lt;="&amp;D818,C:C,C818)+SUMIFS(N:N,D:D,"&lt;="&amp;D818,C:C,C818)+SUMIFS(P:P,D:D,"&lt;="&amp;D818,C:C,C818))</f>
        <v>110538</v>
      </c>
      <c r="U818" s="99">
        <f t="shared" si="242"/>
        <v>0</v>
      </c>
      <c r="V818" s="98">
        <f t="shared" si="232"/>
        <v>3000000</v>
      </c>
      <c r="W818" s="203" t="str">
        <f t="shared" si="248"/>
        <v/>
      </c>
      <c r="X818" s="98">
        <f t="shared" si="243"/>
        <v>2440000</v>
      </c>
      <c r="Y818" s="97"/>
      <c r="Z818" s="93"/>
      <c r="AA818" s="98">
        <f t="shared" si="236"/>
        <v>0</v>
      </c>
      <c r="AB818" s="233"/>
      <c r="AC818" s="98">
        <f>IF(SUMIFS('Shipments data'!L:L,'Shipments data'!F:F,'Supply planning data'!C818,'Shipments data'!A:A,'Supply planning data'!A818,'Shipments data'!O:O,"received",'Shipments data'!Q:Q,"&lt;"&amp;'Supply planning data'!D833,'Shipments data'!AC:AC,"&lt;"&amp;'Supply planning data'!D833)-SUMIFS(M:M,D:D,"&lt;="&amp;D818,C:C,C818)-SUMIFS(AA:AA,D:D,"&lt;="&amp;D818,C:C,C818)+SUMIFS(N:N,D:D,"&lt;="&amp;D818,C:C,C818)+SUMIFS(P:P,D:D,"&lt;="&amp;D818,C:C,C818)&lt;0,0,SUMIFS('Shipments data'!L:L,'Shipments data'!F:F,'Supply planning data'!C818,'Shipments data'!A:A,'Supply planning data'!A818,'Shipments data'!O:O,"received",'Shipments data'!Q:Q,"&lt;"&amp;'Supply planning data'!D833,'Shipments data'!AC:AC,"&lt;"&amp;'Supply planning data'!D833)-SUMIFS(M:M,D:D,"&lt;="&amp;D818,C:C,C818)-SUMIFS(AA:AA,D:D,"&lt;="&amp;D818,C:C,C818)+SUMIFS(N:N,D:D,"&lt;="&amp;D818,C:C,C818)+SUMIFS(P:P,D:D,"&lt;="&amp;D818,C:C,C818))</f>
        <v>0</v>
      </c>
      <c r="AD818" s="98">
        <f t="shared" si="244"/>
        <v>0</v>
      </c>
      <c r="AE818" s="98">
        <f t="shared" si="238"/>
        <v>2440000</v>
      </c>
      <c r="AF818" s="205" t="str">
        <f t="shared" si="247"/>
        <v/>
      </c>
      <c r="AG818" s="98">
        <f t="shared" si="245"/>
        <v>3000000</v>
      </c>
      <c r="AH818" s="97"/>
      <c r="AI818" s="311"/>
      <c r="AJ818" s="98">
        <f t="shared" si="237"/>
        <v>0</v>
      </c>
      <c r="AK818" s="233"/>
      <c r="AL818" s="98">
        <f>IF(SUMIFS('Shipments data'!L:L,'Shipments data'!F:F,'Supply planning data'!C818,'Shipments data'!A:A,'Supply planning data'!A818,'Shipments data'!O:O,"received",'Shipments data'!Q:Q,"&lt;"&amp;'Supply planning data'!D833,'Shipments data'!AC:AC,"&lt;"&amp;'Supply planning data'!D833)-SUMIFS(M:M,D:D,"&lt;="&amp;D818,C:C,C818)-SUMIFS(AJ:AJ,D:D,"&lt;="&amp;D818,C:C,C818)+SUMIFS(N:N,D:D,"&lt;="&amp;D818,C:C,C818)+SUMIFS(P:P,D:D,"&lt;="&amp;D818,C:C,C818)&lt;0,0,SUMIFS('Shipments data'!L:L,'Shipments data'!F:F,'Supply planning data'!C818,'Shipments data'!A:A,'Supply planning data'!A818,'Shipments data'!O:O,"received",'Shipments data'!Q:Q,"&lt;"&amp;'Supply planning data'!D833,'Shipments data'!AC:AC,"&lt;"&amp;'Supply planning data'!D833)-SUMIFS(M:M,D:D,"&lt;="&amp;D818,C:C,C818)-SUMIFS(AJ:AJ,D:D,"&lt;="&amp;D818,C:C,C818)+SUMIFS(N:N,D:D,"&lt;="&amp;D818,C:C,C818)+SUMIFS(P:P,D:D,"&lt;="&amp;D818,C:C,C818))</f>
        <v>110538</v>
      </c>
      <c r="AM818" s="98">
        <f t="shared" si="246"/>
        <v>0</v>
      </c>
      <c r="AN818" s="98">
        <f t="shared" si="239"/>
        <v>3000000</v>
      </c>
      <c r="AO818" s="203" t="str">
        <f t="shared" si="249"/>
        <v/>
      </c>
    </row>
    <row r="819" spans="1:41" x14ac:dyDescent="0.25">
      <c r="A819" s="95" t="str">
        <f>Start!D$7</f>
        <v>Anyland</v>
      </c>
      <c r="B819" s="96" t="str">
        <f>VLOOKUP(A819,list!B:C,2,FALSE)</f>
        <v>ANY</v>
      </c>
      <c r="C819" s="90" t="str">
        <f>IF(Start!$C$21="","",Start!$C$21)</f>
        <v>Sinovac</v>
      </c>
      <c r="D819" s="296">
        <f t="shared" si="240"/>
        <v>45839</v>
      </c>
      <c r="E819" s="92" t="str">
        <f>IFERROR(VLOOKUP(C819,Start!C$15:D$31,2,FALSE),"No")</f>
        <v>No</v>
      </c>
      <c r="F819" s="92">
        <f t="shared" si="241"/>
        <v>0</v>
      </c>
      <c r="G819" s="91"/>
      <c r="H819" s="97"/>
      <c r="I819" s="97"/>
      <c r="J819" s="98">
        <f t="shared" si="233"/>
        <v>0</v>
      </c>
      <c r="K819" s="97"/>
      <c r="L819" s="175" t="str">
        <f t="shared" si="234"/>
        <v/>
      </c>
      <c r="M819" s="98">
        <f t="shared" si="235"/>
        <v>0</v>
      </c>
      <c r="N819" s="97"/>
      <c r="O819" s="122"/>
      <c r="P819" s="97"/>
      <c r="Q819" s="122"/>
      <c r="R819" s="98">
        <f>SUMIFS('Shipments data'!L:L,'Shipments data'!F:F,'Supply planning data'!C819,'Shipments data'!A:A,'Supply planning data'!A819,'Shipments data'!Y:Y,'Supply planning data'!D819,'Shipments data'!O:O,"received", 'Shipments data'!N:N, "Public")</f>
        <v>0</v>
      </c>
      <c r="S819" s="98">
        <f>SUMIFS('Shipments data'!L:L,'Shipments data'!F:F,'Supply planning data'!C819,'Shipments data'!A:A,'Supply planning data'!A819,'Shipments data'!Y:Y,'Supply planning data'!D819,'Shipments data'!O:O,"ordered", 'Shipments data'!N:N, "Public")</f>
        <v>0</v>
      </c>
      <c r="T819" s="98">
        <f>IF(SUMIFS('Shipments data'!L:L,'Shipments data'!F:F,'Supply planning data'!C819,'Shipments data'!A:A,'Supply planning data'!A819,'Shipments data'!O:O,"received",'Shipments data'!Q:Q,"&lt;"&amp;'Supply planning data'!D834,'Shipments data'!AC:AC,"&lt;"&amp;'Supply planning data'!D834)-SUMIFS(M:M,D:D,"&lt;="&amp;D819,C:C,C819)+SUMIFS(N:N,D:D,"&lt;="&amp;D819,C:C,C819)+SUMIFS(P:P,D:D,"&lt;="&amp;D819,C:C,C819)&lt;0,0,SUMIFS('Shipments data'!L:L,'Shipments data'!F:F,'Supply planning data'!C819,'Shipments data'!A:A,'Supply planning data'!A819,'Shipments data'!O:O,"received",'Shipments data'!Q:Q,"&lt;"&amp;'Supply planning data'!D834,'Shipments data'!AC:AC,"&lt;"&amp;'Supply planning data'!D834)-SUMIFS(M:M,D:D,"&lt;="&amp;D819,C:C,C819)+SUMIFS(N:N,D:D,"&lt;="&amp;D819,C:C,C819)+SUMIFS(P:P,D:D,"&lt;="&amp;D819,C:C,C819))</f>
        <v>0</v>
      </c>
      <c r="U819" s="99">
        <f t="shared" si="242"/>
        <v>0</v>
      </c>
      <c r="V819" s="98">
        <f t="shared" ref="V819:V882" si="250">IF(F819-M819+N819+P819+R819+S819-U819&lt;0,0,F819-M819+N819+P819+R819+S819-U819)</f>
        <v>0</v>
      </c>
      <c r="W819" s="203" t="str">
        <f t="shared" si="248"/>
        <v/>
      </c>
      <c r="X819" s="98">
        <f t="shared" si="243"/>
        <v>0</v>
      </c>
      <c r="Y819" s="97"/>
      <c r="Z819" s="93"/>
      <c r="AA819" s="98">
        <f t="shared" si="236"/>
        <v>0</v>
      </c>
      <c r="AB819" s="233"/>
      <c r="AC819" s="98">
        <f>IF(SUMIFS('Shipments data'!L:L,'Shipments data'!F:F,'Supply planning data'!C819,'Shipments data'!A:A,'Supply planning data'!A819,'Shipments data'!O:O,"received",'Shipments data'!Q:Q,"&lt;"&amp;'Supply planning data'!D834,'Shipments data'!AC:AC,"&lt;"&amp;'Supply planning data'!D834)-SUMIFS(M:M,D:D,"&lt;="&amp;D819,C:C,C819)-SUMIFS(AA:AA,D:D,"&lt;="&amp;D819,C:C,C819)+SUMIFS(N:N,D:D,"&lt;="&amp;D819,C:C,C819)+SUMIFS(P:P,D:D,"&lt;="&amp;D819,C:C,C819)&lt;0,0,SUMIFS('Shipments data'!L:L,'Shipments data'!F:F,'Supply planning data'!C819,'Shipments data'!A:A,'Supply planning data'!A819,'Shipments data'!O:O,"received",'Shipments data'!Q:Q,"&lt;"&amp;'Supply planning data'!D834,'Shipments data'!AC:AC,"&lt;"&amp;'Supply planning data'!D834)-SUMIFS(M:M,D:D,"&lt;="&amp;D819,C:C,C819)-SUMIFS(AA:AA,D:D,"&lt;="&amp;D819,C:C,C819)+SUMIFS(N:N,D:D,"&lt;="&amp;D819,C:C,C819)+SUMIFS(P:P,D:D,"&lt;="&amp;D819,C:C,C819))</f>
        <v>0</v>
      </c>
      <c r="AD819" s="98">
        <f t="shared" si="244"/>
        <v>0</v>
      </c>
      <c r="AE819" s="98">
        <f t="shared" si="238"/>
        <v>0</v>
      </c>
      <c r="AF819" s="205" t="str">
        <f t="shared" si="247"/>
        <v/>
      </c>
      <c r="AG819" s="98">
        <f t="shared" si="245"/>
        <v>0</v>
      </c>
      <c r="AH819" s="97"/>
      <c r="AI819" s="311"/>
      <c r="AJ819" s="98">
        <f t="shared" si="237"/>
        <v>0</v>
      </c>
      <c r="AK819" s="233"/>
      <c r="AL819" s="98">
        <f>IF(SUMIFS('Shipments data'!L:L,'Shipments data'!F:F,'Supply planning data'!C819,'Shipments data'!A:A,'Supply planning data'!A819,'Shipments data'!O:O,"received",'Shipments data'!Q:Q,"&lt;"&amp;'Supply planning data'!D834,'Shipments data'!AC:AC,"&lt;"&amp;'Supply planning data'!D834)-SUMIFS(M:M,D:D,"&lt;="&amp;D819,C:C,C819)-SUMIFS(AJ:AJ,D:D,"&lt;="&amp;D819,C:C,C819)+SUMIFS(N:N,D:D,"&lt;="&amp;D819,C:C,C819)+SUMIFS(P:P,D:D,"&lt;="&amp;D819,C:C,C819)&lt;0,0,SUMIFS('Shipments data'!L:L,'Shipments data'!F:F,'Supply planning data'!C819,'Shipments data'!A:A,'Supply planning data'!A819,'Shipments data'!O:O,"received",'Shipments data'!Q:Q,"&lt;"&amp;'Supply planning data'!D834,'Shipments data'!AC:AC,"&lt;"&amp;'Supply planning data'!D834)-SUMIFS(M:M,D:D,"&lt;="&amp;D819,C:C,C819)-SUMIFS(AJ:AJ,D:D,"&lt;="&amp;D819,C:C,C819)+SUMIFS(N:N,D:D,"&lt;="&amp;D819,C:C,C819)+SUMIFS(P:P,D:D,"&lt;="&amp;D819,C:C,C819))</f>
        <v>0</v>
      </c>
      <c r="AM819" s="98">
        <f t="shared" si="246"/>
        <v>0</v>
      </c>
      <c r="AN819" s="98">
        <f t="shared" si="239"/>
        <v>0</v>
      </c>
      <c r="AO819" s="203" t="str">
        <f t="shared" si="249"/>
        <v/>
      </c>
    </row>
    <row r="820" spans="1:41" hidden="1" x14ac:dyDescent="0.25">
      <c r="A820" s="95" t="str">
        <f>Start!D$7</f>
        <v>Anyland</v>
      </c>
      <c r="B820" s="96" t="str">
        <f>VLOOKUP(A820,list!B:C,2,FALSE)</f>
        <v>ANY</v>
      </c>
      <c r="C820" s="90" t="str">
        <f>IF(Start!$C$22="","",Start!$C$22)</f>
        <v/>
      </c>
      <c r="D820" s="296">
        <f t="shared" si="240"/>
        <v>45839</v>
      </c>
      <c r="E820" s="92" t="str">
        <f>IFERROR(VLOOKUP(C820,Start!C$15:D$31,2,FALSE),"No")</f>
        <v>No</v>
      </c>
      <c r="F820" s="92">
        <f t="shared" si="241"/>
        <v>0</v>
      </c>
      <c r="G820" s="91"/>
      <c r="H820" s="97"/>
      <c r="I820" s="97"/>
      <c r="J820" s="98">
        <f t="shared" si="233"/>
        <v>0</v>
      </c>
      <c r="K820" s="97"/>
      <c r="L820" s="175" t="str">
        <f t="shared" si="234"/>
        <v/>
      </c>
      <c r="M820" s="98">
        <f t="shared" si="235"/>
        <v>0</v>
      </c>
      <c r="N820" s="97"/>
      <c r="O820" s="122"/>
      <c r="P820" s="97"/>
      <c r="Q820" s="122"/>
      <c r="R820" s="98">
        <f>SUMIFS('Shipments data'!L:L,'Shipments data'!F:F,'Supply planning data'!C820,'Shipments data'!A:A,'Supply planning data'!A820,'Shipments data'!Y:Y,'Supply planning data'!D820,'Shipments data'!O:O,"received", 'Shipments data'!N:N, "Public")</f>
        <v>0</v>
      </c>
      <c r="S820" s="98">
        <f>SUMIFS('Shipments data'!L:L,'Shipments data'!F:F,'Supply planning data'!C820,'Shipments data'!A:A,'Supply planning data'!A820,'Shipments data'!Y:Y,'Supply planning data'!D820,'Shipments data'!O:O,"ordered", 'Shipments data'!N:N, "Public")</f>
        <v>0</v>
      </c>
      <c r="T820" s="98">
        <f>IF(SUMIFS('Shipments data'!L:L,'Shipments data'!F:F,'Supply planning data'!C820,'Shipments data'!A:A,'Supply planning data'!A820,'Shipments data'!O:O,"received",'Shipments data'!Q:Q,"&lt;"&amp;'Supply planning data'!D835,'Shipments data'!AC:AC,"&lt;"&amp;'Supply planning data'!D835)-SUMIFS(M:M,D:D,"&lt;="&amp;D820,C:C,C820)+SUMIFS(N:N,D:D,"&lt;="&amp;D820,C:C,C820)+SUMIFS(P:P,D:D,"&lt;="&amp;D820,C:C,C820)&lt;0,0,SUMIFS('Shipments data'!L:L,'Shipments data'!F:F,'Supply planning data'!C820,'Shipments data'!A:A,'Supply planning data'!A820,'Shipments data'!O:O,"received",'Shipments data'!Q:Q,"&lt;"&amp;'Supply planning data'!D835,'Shipments data'!AC:AC,"&lt;"&amp;'Supply planning data'!D835)-SUMIFS(M:M,D:D,"&lt;="&amp;D820,C:C,C820)+SUMIFS(N:N,D:D,"&lt;="&amp;D820,C:C,C820)+SUMIFS(P:P,D:D,"&lt;="&amp;D820,C:C,C820))</f>
        <v>0</v>
      </c>
      <c r="U820" s="99">
        <f t="shared" si="242"/>
        <v>0</v>
      </c>
      <c r="V820" s="98">
        <f t="shared" si="250"/>
        <v>0</v>
      </c>
      <c r="W820" s="203" t="str">
        <f t="shared" si="248"/>
        <v/>
      </c>
      <c r="X820" s="98">
        <f t="shared" si="243"/>
        <v>0</v>
      </c>
      <c r="Y820" s="97"/>
      <c r="Z820" s="93"/>
      <c r="AA820" s="98">
        <f t="shared" si="236"/>
        <v>0</v>
      </c>
      <c r="AB820" s="233"/>
      <c r="AC820" s="98">
        <f>IF(SUMIFS('Shipments data'!L:L,'Shipments data'!F:F,'Supply planning data'!C820,'Shipments data'!A:A,'Supply planning data'!A820,'Shipments data'!O:O,"received",'Shipments data'!Q:Q,"&lt;"&amp;'Supply planning data'!D835,'Shipments data'!AC:AC,"&lt;"&amp;'Supply planning data'!D835)-SUMIFS(M:M,D:D,"&lt;="&amp;D820,C:C,C820)-SUMIFS(AA:AA,D:D,"&lt;="&amp;D820,C:C,C820)+SUMIFS(N:N,D:D,"&lt;="&amp;D820,C:C,C820)+SUMIFS(P:P,D:D,"&lt;="&amp;D820,C:C,C820)&lt;0,0,SUMIFS('Shipments data'!L:L,'Shipments data'!F:F,'Supply planning data'!C820,'Shipments data'!A:A,'Supply planning data'!A820,'Shipments data'!O:O,"received",'Shipments data'!Q:Q,"&lt;"&amp;'Supply planning data'!D835,'Shipments data'!AC:AC,"&lt;"&amp;'Supply planning data'!D835)-SUMIFS(M:M,D:D,"&lt;="&amp;D820,C:C,C820)-SUMIFS(AA:AA,D:D,"&lt;="&amp;D820,C:C,C820)+SUMIFS(N:N,D:D,"&lt;="&amp;D820,C:C,C820)+SUMIFS(P:P,D:D,"&lt;="&amp;D820,C:C,C820))</f>
        <v>0</v>
      </c>
      <c r="AD820" s="98">
        <f t="shared" si="244"/>
        <v>0</v>
      </c>
      <c r="AE820" s="98">
        <f t="shared" si="238"/>
        <v>0</v>
      </c>
      <c r="AF820" s="205" t="str">
        <f t="shared" si="247"/>
        <v/>
      </c>
      <c r="AG820" s="98">
        <f t="shared" si="245"/>
        <v>0</v>
      </c>
      <c r="AH820" s="97"/>
      <c r="AI820" s="311"/>
      <c r="AJ820" s="98">
        <f t="shared" si="237"/>
        <v>0</v>
      </c>
      <c r="AK820" s="233"/>
      <c r="AL820" s="98">
        <f>IF(SUMIFS('Shipments data'!L:L,'Shipments data'!F:F,'Supply planning data'!C820,'Shipments data'!A:A,'Supply planning data'!A820,'Shipments data'!O:O,"received",'Shipments data'!Q:Q,"&lt;"&amp;'Supply planning data'!D835,'Shipments data'!AC:AC,"&lt;"&amp;'Supply planning data'!D835)-SUMIFS(M:M,D:D,"&lt;="&amp;D820,C:C,C820)-SUMIFS(AJ:AJ,D:D,"&lt;="&amp;D820,C:C,C820)+SUMIFS(N:N,D:D,"&lt;="&amp;D820,C:C,C820)+SUMIFS(P:P,D:D,"&lt;="&amp;D820,C:C,C820)&lt;0,0,SUMIFS('Shipments data'!L:L,'Shipments data'!F:F,'Supply planning data'!C820,'Shipments data'!A:A,'Supply planning data'!A820,'Shipments data'!O:O,"received",'Shipments data'!Q:Q,"&lt;"&amp;'Supply planning data'!D835,'Shipments data'!AC:AC,"&lt;"&amp;'Supply planning data'!D835)-SUMIFS(M:M,D:D,"&lt;="&amp;D820,C:C,C820)-SUMIFS(AJ:AJ,D:D,"&lt;="&amp;D820,C:C,C820)+SUMIFS(N:N,D:D,"&lt;="&amp;D820,C:C,C820)+SUMIFS(P:P,D:D,"&lt;="&amp;D820,C:C,C820))</f>
        <v>0</v>
      </c>
      <c r="AM820" s="98">
        <f t="shared" si="246"/>
        <v>0</v>
      </c>
      <c r="AN820" s="98">
        <f t="shared" si="239"/>
        <v>0</v>
      </c>
      <c r="AO820" s="203" t="str">
        <f t="shared" si="249"/>
        <v/>
      </c>
    </row>
    <row r="821" spans="1:41" hidden="1" x14ac:dyDescent="0.25">
      <c r="A821" s="95" t="str">
        <f>Start!D$7</f>
        <v>Anyland</v>
      </c>
      <c r="B821" s="96" t="str">
        <f>VLOOKUP(A821,list!B:C,2,FALSE)</f>
        <v>ANY</v>
      </c>
      <c r="C821" s="90" t="str">
        <f>IF(Start!$C$23="","",Start!$C$23)</f>
        <v/>
      </c>
      <c r="D821" s="296">
        <f t="shared" si="240"/>
        <v>45839</v>
      </c>
      <c r="E821" s="92" t="str">
        <f>IFERROR(VLOOKUP(C821,Start!C$15:D$31,2,FALSE),"No")</f>
        <v>No</v>
      </c>
      <c r="F821" s="92">
        <f t="shared" si="241"/>
        <v>0</v>
      </c>
      <c r="G821" s="91"/>
      <c r="H821" s="97"/>
      <c r="I821" s="97"/>
      <c r="J821" s="98">
        <f t="shared" si="233"/>
        <v>0</v>
      </c>
      <c r="K821" s="97"/>
      <c r="L821" s="175" t="str">
        <f t="shared" si="234"/>
        <v/>
      </c>
      <c r="M821" s="98">
        <f t="shared" si="235"/>
        <v>0</v>
      </c>
      <c r="N821" s="97"/>
      <c r="O821" s="122"/>
      <c r="P821" s="97"/>
      <c r="Q821" s="122"/>
      <c r="R821" s="98">
        <f>SUMIFS('Shipments data'!L:L,'Shipments data'!F:F,'Supply planning data'!C821,'Shipments data'!A:A,'Supply planning data'!A821,'Shipments data'!Y:Y,'Supply planning data'!D821,'Shipments data'!O:O,"received", 'Shipments data'!N:N, "Public")</f>
        <v>0</v>
      </c>
      <c r="S821" s="98">
        <f>SUMIFS('Shipments data'!L:L,'Shipments data'!F:F,'Supply planning data'!C821,'Shipments data'!A:A,'Supply planning data'!A821,'Shipments data'!Y:Y,'Supply planning data'!D821,'Shipments data'!O:O,"ordered", 'Shipments data'!N:N, "Public")</f>
        <v>0</v>
      </c>
      <c r="T821" s="98">
        <f>IF(SUMIFS('Shipments data'!L:L,'Shipments data'!F:F,'Supply planning data'!C821,'Shipments data'!A:A,'Supply planning data'!A821,'Shipments data'!O:O,"received",'Shipments data'!Q:Q,"&lt;"&amp;'Supply planning data'!D836,'Shipments data'!AC:AC,"&lt;"&amp;'Supply planning data'!D836)-SUMIFS(M:M,D:D,"&lt;="&amp;D821,C:C,C821)+SUMIFS(N:N,D:D,"&lt;="&amp;D821,C:C,C821)+SUMIFS(P:P,D:D,"&lt;="&amp;D821,C:C,C821)&lt;0,0,SUMIFS('Shipments data'!L:L,'Shipments data'!F:F,'Supply planning data'!C821,'Shipments data'!A:A,'Supply planning data'!A821,'Shipments data'!O:O,"received",'Shipments data'!Q:Q,"&lt;"&amp;'Supply planning data'!D836,'Shipments data'!AC:AC,"&lt;"&amp;'Supply planning data'!D836)-SUMIFS(M:M,D:D,"&lt;="&amp;D821,C:C,C821)+SUMIFS(N:N,D:D,"&lt;="&amp;D821,C:C,C821)+SUMIFS(P:P,D:D,"&lt;="&amp;D821,C:C,C821))</f>
        <v>0</v>
      </c>
      <c r="U821" s="99">
        <f t="shared" si="242"/>
        <v>0</v>
      </c>
      <c r="V821" s="98">
        <f t="shared" si="250"/>
        <v>0</v>
      </c>
      <c r="W821" s="203" t="str">
        <f t="shared" si="248"/>
        <v/>
      </c>
      <c r="X821" s="98">
        <f t="shared" si="243"/>
        <v>0</v>
      </c>
      <c r="Y821" s="97"/>
      <c r="Z821" s="93"/>
      <c r="AA821" s="98">
        <f t="shared" si="236"/>
        <v>0</v>
      </c>
      <c r="AB821" s="233"/>
      <c r="AC821" s="98">
        <f>IF(SUMIFS('Shipments data'!L:L,'Shipments data'!F:F,'Supply planning data'!C821,'Shipments data'!A:A,'Supply planning data'!A821,'Shipments data'!O:O,"received",'Shipments data'!Q:Q,"&lt;"&amp;'Supply planning data'!D836,'Shipments data'!AC:AC,"&lt;"&amp;'Supply planning data'!D836)-SUMIFS(M:M,D:D,"&lt;="&amp;D821,C:C,C821)-SUMIFS(AA:AA,D:D,"&lt;="&amp;D821,C:C,C821)+SUMIFS(N:N,D:D,"&lt;="&amp;D821,C:C,C821)+SUMIFS(P:P,D:D,"&lt;="&amp;D821,C:C,C821)&lt;0,0,SUMIFS('Shipments data'!L:L,'Shipments data'!F:F,'Supply planning data'!C821,'Shipments data'!A:A,'Supply planning data'!A821,'Shipments data'!O:O,"received",'Shipments data'!Q:Q,"&lt;"&amp;'Supply planning data'!D836,'Shipments data'!AC:AC,"&lt;"&amp;'Supply planning data'!D836)-SUMIFS(M:M,D:D,"&lt;="&amp;D821,C:C,C821)-SUMIFS(AA:AA,D:D,"&lt;="&amp;D821,C:C,C821)+SUMIFS(N:N,D:D,"&lt;="&amp;D821,C:C,C821)+SUMIFS(P:P,D:D,"&lt;="&amp;D821,C:C,C821))</f>
        <v>0</v>
      </c>
      <c r="AD821" s="98">
        <f t="shared" si="244"/>
        <v>0</v>
      </c>
      <c r="AE821" s="98">
        <f t="shared" si="238"/>
        <v>0</v>
      </c>
      <c r="AF821" s="205" t="str">
        <f t="shared" si="247"/>
        <v/>
      </c>
      <c r="AG821" s="98">
        <f t="shared" si="245"/>
        <v>0</v>
      </c>
      <c r="AH821" s="97"/>
      <c r="AI821" s="311"/>
      <c r="AJ821" s="98">
        <f t="shared" si="237"/>
        <v>0</v>
      </c>
      <c r="AK821" s="233"/>
      <c r="AL821" s="98">
        <f>IF(SUMIFS('Shipments data'!L:L,'Shipments data'!F:F,'Supply planning data'!C821,'Shipments data'!A:A,'Supply planning data'!A821,'Shipments data'!O:O,"received",'Shipments data'!Q:Q,"&lt;"&amp;'Supply planning data'!D836,'Shipments data'!AC:AC,"&lt;"&amp;'Supply planning data'!D836)-SUMIFS(M:M,D:D,"&lt;="&amp;D821,C:C,C821)-SUMIFS(AJ:AJ,D:D,"&lt;="&amp;D821,C:C,C821)+SUMIFS(N:N,D:D,"&lt;="&amp;D821,C:C,C821)+SUMIFS(P:P,D:D,"&lt;="&amp;D821,C:C,C821)&lt;0,0,SUMIFS('Shipments data'!L:L,'Shipments data'!F:F,'Supply planning data'!C821,'Shipments data'!A:A,'Supply planning data'!A821,'Shipments data'!O:O,"received",'Shipments data'!Q:Q,"&lt;"&amp;'Supply planning data'!D836,'Shipments data'!AC:AC,"&lt;"&amp;'Supply planning data'!D836)-SUMIFS(M:M,D:D,"&lt;="&amp;D821,C:C,C821)-SUMIFS(AJ:AJ,D:D,"&lt;="&amp;D821,C:C,C821)+SUMIFS(N:N,D:D,"&lt;="&amp;D821,C:C,C821)+SUMIFS(P:P,D:D,"&lt;="&amp;D821,C:C,C821))</f>
        <v>0</v>
      </c>
      <c r="AM821" s="98">
        <f t="shared" si="246"/>
        <v>0</v>
      </c>
      <c r="AN821" s="98">
        <f t="shared" si="239"/>
        <v>0</v>
      </c>
      <c r="AO821" s="203" t="str">
        <f t="shared" si="249"/>
        <v/>
      </c>
    </row>
    <row r="822" spans="1:41" hidden="1" x14ac:dyDescent="0.25">
      <c r="A822" s="95" t="str">
        <f>Start!D$7</f>
        <v>Anyland</v>
      </c>
      <c r="B822" s="96" t="str">
        <f>VLOOKUP(A822,list!B:C,2,FALSE)</f>
        <v>ANY</v>
      </c>
      <c r="C822" s="90" t="str">
        <f>IF(Start!$C$24="","",Start!$C$24)</f>
        <v/>
      </c>
      <c r="D822" s="296">
        <f t="shared" si="240"/>
        <v>45839</v>
      </c>
      <c r="E822" s="92" t="str">
        <f>IFERROR(VLOOKUP(C822,Start!C$15:D$31,2,FALSE),"No")</f>
        <v>No</v>
      </c>
      <c r="F822" s="92">
        <f t="shared" si="241"/>
        <v>0</v>
      </c>
      <c r="G822" s="91"/>
      <c r="H822" s="97"/>
      <c r="I822" s="97"/>
      <c r="J822" s="98">
        <f t="shared" si="233"/>
        <v>0</v>
      </c>
      <c r="K822" s="97"/>
      <c r="L822" s="175" t="str">
        <f t="shared" si="234"/>
        <v/>
      </c>
      <c r="M822" s="98">
        <f t="shared" si="235"/>
        <v>0</v>
      </c>
      <c r="N822" s="97"/>
      <c r="O822" s="122"/>
      <c r="P822" s="97"/>
      <c r="Q822" s="122"/>
      <c r="R822" s="98">
        <f>SUMIFS('Shipments data'!L:L,'Shipments data'!F:F,'Supply planning data'!C822,'Shipments data'!A:A,'Supply planning data'!A822,'Shipments data'!Y:Y,'Supply planning data'!D822,'Shipments data'!O:O,"received", 'Shipments data'!N:N, "Public")</f>
        <v>0</v>
      </c>
      <c r="S822" s="98">
        <f>SUMIFS('Shipments data'!L:L,'Shipments data'!F:F,'Supply planning data'!C822,'Shipments data'!A:A,'Supply planning data'!A822,'Shipments data'!Y:Y,'Supply planning data'!D822,'Shipments data'!O:O,"ordered", 'Shipments data'!N:N, "Public")</f>
        <v>0</v>
      </c>
      <c r="T822" s="98">
        <f>IF(SUMIFS('Shipments data'!L:L,'Shipments data'!F:F,'Supply planning data'!C822,'Shipments data'!A:A,'Supply planning data'!A822,'Shipments data'!O:O,"received",'Shipments data'!Q:Q,"&lt;"&amp;'Supply planning data'!D837,'Shipments data'!AC:AC,"&lt;"&amp;'Supply planning data'!D837)-SUMIFS(M:M,D:D,"&lt;="&amp;D822,C:C,C822)+SUMIFS(N:N,D:D,"&lt;="&amp;D822,C:C,C822)+SUMIFS(P:P,D:D,"&lt;="&amp;D822,C:C,C822)&lt;0,0,SUMIFS('Shipments data'!L:L,'Shipments data'!F:F,'Supply planning data'!C822,'Shipments data'!A:A,'Supply planning data'!A822,'Shipments data'!O:O,"received",'Shipments data'!Q:Q,"&lt;"&amp;'Supply planning data'!D837,'Shipments data'!AC:AC,"&lt;"&amp;'Supply planning data'!D837)-SUMIFS(M:M,D:D,"&lt;="&amp;D822,C:C,C822)+SUMIFS(N:N,D:D,"&lt;="&amp;D822,C:C,C822)+SUMIFS(P:P,D:D,"&lt;="&amp;D822,C:C,C822))</f>
        <v>0</v>
      </c>
      <c r="U822" s="99">
        <f t="shared" si="242"/>
        <v>0</v>
      </c>
      <c r="V822" s="98">
        <f t="shared" si="250"/>
        <v>0</v>
      </c>
      <c r="W822" s="203" t="str">
        <f t="shared" si="248"/>
        <v/>
      </c>
      <c r="X822" s="98">
        <f t="shared" si="243"/>
        <v>0</v>
      </c>
      <c r="Y822" s="97"/>
      <c r="Z822" s="93"/>
      <c r="AA822" s="98">
        <f t="shared" si="236"/>
        <v>0</v>
      </c>
      <c r="AB822" s="233"/>
      <c r="AC822" s="98">
        <f>IF(SUMIFS('Shipments data'!L:L,'Shipments data'!F:F,'Supply planning data'!C822,'Shipments data'!A:A,'Supply planning data'!A822,'Shipments data'!O:O,"received",'Shipments data'!Q:Q,"&lt;"&amp;'Supply planning data'!D837,'Shipments data'!AC:AC,"&lt;"&amp;'Supply planning data'!D837)-SUMIFS(M:M,D:D,"&lt;="&amp;D822,C:C,C822)-SUMIFS(AA:AA,D:D,"&lt;="&amp;D822,C:C,C822)+SUMIFS(N:N,D:D,"&lt;="&amp;D822,C:C,C822)+SUMIFS(P:P,D:D,"&lt;="&amp;D822,C:C,C822)&lt;0,0,SUMIFS('Shipments data'!L:L,'Shipments data'!F:F,'Supply planning data'!C822,'Shipments data'!A:A,'Supply planning data'!A822,'Shipments data'!O:O,"received",'Shipments data'!Q:Q,"&lt;"&amp;'Supply planning data'!D837,'Shipments data'!AC:AC,"&lt;"&amp;'Supply planning data'!D837)-SUMIFS(M:M,D:D,"&lt;="&amp;D822,C:C,C822)-SUMIFS(AA:AA,D:D,"&lt;="&amp;D822,C:C,C822)+SUMIFS(N:N,D:D,"&lt;="&amp;D822,C:C,C822)+SUMIFS(P:P,D:D,"&lt;="&amp;D822,C:C,C822))</f>
        <v>0</v>
      </c>
      <c r="AD822" s="98">
        <f t="shared" si="244"/>
        <v>0</v>
      </c>
      <c r="AE822" s="98">
        <f t="shared" si="238"/>
        <v>0</v>
      </c>
      <c r="AF822" s="205" t="str">
        <f t="shared" si="247"/>
        <v/>
      </c>
      <c r="AG822" s="98">
        <f t="shared" si="245"/>
        <v>0</v>
      </c>
      <c r="AH822" s="97"/>
      <c r="AI822" s="311"/>
      <c r="AJ822" s="98">
        <f t="shared" si="237"/>
        <v>0</v>
      </c>
      <c r="AK822" s="233"/>
      <c r="AL822" s="98">
        <f>IF(SUMIFS('Shipments data'!L:L,'Shipments data'!F:F,'Supply planning data'!C822,'Shipments data'!A:A,'Supply planning data'!A822,'Shipments data'!O:O,"received",'Shipments data'!Q:Q,"&lt;"&amp;'Supply planning data'!D837,'Shipments data'!AC:AC,"&lt;"&amp;'Supply planning data'!D837)-SUMIFS(M:M,D:D,"&lt;="&amp;D822,C:C,C822)-SUMIFS(AJ:AJ,D:D,"&lt;="&amp;D822,C:C,C822)+SUMIFS(N:N,D:D,"&lt;="&amp;D822,C:C,C822)+SUMIFS(P:P,D:D,"&lt;="&amp;D822,C:C,C822)&lt;0,0,SUMIFS('Shipments data'!L:L,'Shipments data'!F:F,'Supply planning data'!C822,'Shipments data'!A:A,'Supply planning data'!A822,'Shipments data'!O:O,"received",'Shipments data'!Q:Q,"&lt;"&amp;'Supply planning data'!D837,'Shipments data'!AC:AC,"&lt;"&amp;'Supply planning data'!D837)-SUMIFS(M:M,D:D,"&lt;="&amp;D822,C:C,C822)-SUMIFS(AJ:AJ,D:D,"&lt;="&amp;D822,C:C,C822)+SUMIFS(N:N,D:D,"&lt;="&amp;D822,C:C,C822)+SUMIFS(P:P,D:D,"&lt;="&amp;D822,C:C,C822))</f>
        <v>0</v>
      </c>
      <c r="AM822" s="98">
        <f t="shared" si="246"/>
        <v>0</v>
      </c>
      <c r="AN822" s="98">
        <f t="shared" si="239"/>
        <v>0</v>
      </c>
      <c r="AO822" s="203" t="str">
        <f t="shared" si="249"/>
        <v/>
      </c>
    </row>
    <row r="823" spans="1:41" hidden="1" x14ac:dyDescent="0.25">
      <c r="A823" s="95" t="str">
        <f>Start!D$7</f>
        <v>Anyland</v>
      </c>
      <c r="B823" s="96" t="str">
        <f>VLOOKUP(A823,list!B:C,2,FALSE)</f>
        <v>ANY</v>
      </c>
      <c r="C823" s="90" t="str">
        <f>IF(Start!$C$25="","",Start!$C$25)</f>
        <v/>
      </c>
      <c r="D823" s="296">
        <f t="shared" si="240"/>
        <v>45839</v>
      </c>
      <c r="E823" s="92" t="str">
        <f>IFERROR(VLOOKUP(C823,Start!C$15:D$31,2,FALSE),"No")</f>
        <v>No</v>
      </c>
      <c r="F823" s="92">
        <f t="shared" si="241"/>
        <v>0</v>
      </c>
      <c r="G823" s="91"/>
      <c r="H823" s="97"/>
      <c r="I823" s="97"/>
      <c r="J823" s="98">
        <f t="shared" si="233"/>
        <v>0</v>
      </c>
      <c r="K823" s="97"/>
      <c r="L823" s="175" t="str">
        <f t="shared" si="234"/>
        <v/>
      </c>
      <c r="M823" s="98">
        <f t="shared" si="235"/>
        <v>0</v>
      </c>
      <c r="N823" s="97"/>
      <c r="O823" s="122"/>
      <c r="P823" s="97"/>
      <c r="Q823" s="122"/>
      <c r="R823" s="98">
        <f>SUMIFS('Shipments data'!L:L,'Shipments data'!F:F,'Supply planning data'!C823,'Shipments data'!A:A,'Supply planning data'!A823,'Shipments data'!Y:Y,'Supply planning data'!D823,'Shipments data'!O:O,"received", 'Shipments data'!N:N, "Public")</f>
        <v>0</v>
      </c>
      <c r="S823" s="98">
        <f>SUMIFS('Shipments data'!L:L,'Shipments data'!F:F,'Supply planning data'!C823,'Shipments data'!A:A,'Supply planning data'!A823,'Shipments data'!Y:Y,'Supply planning data'!D823,'Shipments data'!O:O,"ordered", 'Shipments data'!N:N, "Public")</f>
        <v>0</v>
      </c>
      <c r="T823" s="98">
        <f>IF(SUMIFS('Shipments data'!L:L,'Shipments data'!F:F,'Supply planning data'!C823,'Shipments data'!A:A,'Supply planning data'!A823,'Shipments data'!O:O,"received",'Shipments data'!Q:Q,"&lt;"&amp;'Supply planning data'!D838,'Shipments data'!AC:AC,"&lt;"&amp;'Supply planning data'!D838)-SUMIFS(M:M,D:D,"&lt;="&amp;D823,C:C,C823)+SUMIFS(N:N,D:D,"&lt;="&amp;D823,C:C,C823)+SUMIFS(P:P,D:D,"&lt;="&amp;D823,C:C,C823)&lt;0,0,SUMIFS('Shipments data'!L:L,'Shipments data'!F:F,'Supply planning data'!C823,'Shipments data'!A:A,'Supply planning data'!A823,'Shipments data'!O:O,"received",'Shipments data'!Q:Q,"&lt;"&amp;'Supply planning data'!D838,'Shipments data'!AC:AC,"&lt;"&amp;'Supply planning data'!D838)-SUMIFS(M:M,D:D,"&lt;="&amp;D823,C:C,C823)+SUMIFS(N:N,D:D,"&lt;="&amp;D823,C:C,C823)+SUMIFS(P:P,D:D,"&lt;="&amp;D823,C:C,C823))</f>
        <v>0</v>
      </c>
      <c r="U823" s="99">
        <f t="shared" si="242"/>
        <v>0</v>
      </c>
      <c r="V823" s="98">
        <f t="shared" si="250"/>
        <v>0</v>
      </c>
      <c r="W823" s="203" t="str">
        <f t="shared" si="248"/>
        <v/>
      </c>
      <c r="X823" s="98">
        <f t="shared" si="243"/>
        <v>0</v>
      </c>
      <c r="Y823" s="97"/>
      <c r="Z823" s="93"/>
      <c r="AA823" s="98">
        <f t="shared" si="236"/>
        <v>0</v>
      </c>
      <c r="AB823" s="233"/>
      <c r="AC823" s="98">
        <f>IF(SUMIFS('Shipments data'!L:L,'Shipments data'!F:F,'Supply planning data'!C823,'Shipments data'!A:A,'Supply planning data'!A823,'Shipments data'!O:O,"received",'Shipments data'!Q:Q,"&lt;"&amp;'Supply planning data'!D838,'Shipments data'!AC:AC,"&lt;"&amp;'Supply planning data'!D838)-SUMIFS(M:M,D:D,"&lt;="&amp;D823,C:C,C823)-SUMIFS(AA:AA,D:D,"&lt;="&amp;D823,C:C,C823)+SUMIFS(N:N,D:D,"&lt;="&amp;D823,C:C,C823)+SUMIFS(P:P,D:D,"&lt;="&amp;D823,C:C,C823)&lt;0,0,SUMIFS('Shipments data'!L:L,'Shipments data'!F:F,'Supply planning data'!C823,'Shipments data'!A:A,'Supply planning data'!A823,'Shipments data'!O:O,"received",'Shipments data'!Q:Q,"&lt;"&amp;'Supply planning data'!D838,'Shipments data'!AC:AC,"&lt;"&amp;'Supply planning data'!D838)-SUMIFS(M:M,D:D,"&lt;="&amp;D823,C:C,C823)-SUMIFS(AA:AA,D:D,"&lt;="&amp;D823,C:C,C823)+SUMIFS(N:N,D:D,"&lt;="&amp;D823,C:C,C823)+SUMIFS(P:P,D:D,"&lt;="&amp;D823,C:C,C823))</f>
        <v>0</v>
      </c>
      <c r="AD823" s="98">
        <f t="shared" si="244"/>
        <v>0</v>
      </c>
      <c r="AE823" s="98">
        <f t="shared" si="238"/>
        <v>0</v>
      </c>
      <c r="AF823" s="205" t="str">
        <f t="shared" si="247"/>
        <v/>
      </c>
      <c r="AG823" s="98">
        <f t="shared" si="245"/>
        <v>0</v>
      </c>
      <c r="AH823" s="97"/>
      <c r="AI823" s="311"/>
      <c r="AJ823" s="98">
        <f t="shared" si="237"/>
        <v>0</v>
      </c>
      <c r="AK823" s="233"/>
      <c r="AL823" s="98">
        <f>IF(SUMIFS('Shipments data'!L:L,'Shipments data'!F:F,'Supply planning data'!C823,'Shipments data'!A:A,'Supply planning data'!A823,'Shipments data'!O:O,"received",'Shipments data'!Q:Q,"&lt;"&amp;'Supply planning data'!D838,'Shipments data'!AC:AC,"&lt;"&amp;'Supply planning data'!D838)-SUMIFS(M:M,D:D,"&lt;="&amp;D823,C:C,C823)-SUMIFS(AJ:AJ,D:D,"&lt;="&amp;D823,C:C,C823)+SUMIFS(N:N,D:D,"&lt;="&amp;D823,C:C,C823)+SUMIFS(P:P,D:D,"&lt;="&amp;D823,C:C,C823)&lt;0,0,SUMIFS('Shipments data'!L:L,'Shipments data'!F:F,'Supply planning data'!C823,'Shipments data'!A:A,'Supply planning data'!A823,'Shipments data'!O:O,"received",'Shipments data'!Q:Q,"&lt;"&amp;'Supply planning data'!D838,'Shipments data'!AC:AC,"&lt;"&amp;'Supply planning data'!D838)-SUMIFS(M:M,D:D,"&lt;="&amp;D823,C:C,C823)-SUMIFS(AJ:AJ,D:D,"&lt;="&amp;D823,C:C,C823)+SUMIFS(N:N,D:D,"&lt;="&amp;D823,C:C,C823)+SUMIFS(P:P,D:D,"&lt;="&amp;D823,C:C,C823))</f>
        <v>0</v>
      </c>
      <c r="AM823" s="98">
        <f t="shared" si="246"/>
        <v>0</v>
      </c>
      <c r="AN823" s="98">
        <f t="shared" si="239"/>
        <v>0</v>
      </c>
      <c r="AO823" s="203" t="str">
        <f t="shared" si="249"/>
        <v/>
      </c>
    </row>
    <row r="824" spans="1:41" hidden="1" x14ac:dyDescent="0.25">
      <c r="A824" s="95" t="str">
        <f>Start!D$7</f>
        <v>Anyland</v>
      </c>
      <c r="B824" s="96" t="str">
        <f>VLOOKUP(A824,list!B:C,2,FALSE)</f>
        <v>ANY</v>
      </c>
      <c r="C824" s="90" t="str">
        <f>IF(Start!$C$26="","",Start!$C$26)</f>
        <v/>
      </c>
      <c r="D824" s="296">
        <f t="shared" si="240"/>
        <v>45839</v>
      </c>
      <c r="E824" s="92" t="str">
        <f>IFERROR(VLOOKUP(C824,Start!C$15:D$31,2,FALSE),"No")</f>
        <v>No</v>
      </c>
      <c r="F824" s="92">
        <f t="shared" si="241"/>
        <v>0</v>
      </c>
      <c r="G824" s="91"/>
      <c r="H824" s="97"/>
      <c r="I824" s="97"/>
      <c r="J824" s="98">
        <f t="shared" si="233"/>
        <v>0</v>
      </c>
      <c r="K824" s="97"/>
      <c r="L824" s="175" t="str">
        <f t="shared" si="234"/>
        <v/>
      </c>
      <c r="M824" s="98">
        <f t="shared" si="235"/>
        <v>0</v>
      </c>
      <c r="N824" s="97"/>
      <c r="O824" s="122"/>
      <c r="P824" s="97"/>
      <c r="Q824" s="122"/>
      <c r="R824" s="98">
        <f>SUMIFS('Shipments data'!L:L,'Shipments data'!F:F,'Supply planning data'!C824,'Shipments data'!A:A,'Supply planning data'!A824,'Shipments data'!Y:Y,'Supply planning data'!D824,'Shipments data'!O:O,"received", 'Shipments data'!N:N, "Public")</f>
        <v>0</v>
      </c>
      <c r="S824" s="98">
        <f>SUMIFS('Shipments data'!L:L,'Shipments data'!F:F,'Supply planning data'!C824,'Shipments data'!A:A,'Supply planning data'!A824,'Shipments data'!Y:Y,'Supply planning data'!D824,'Shipments data'!O:O,"ordered", 'Shipments data'!N:N, "Public")</f>
        <v>0</v>
      </c>
      <c r="T824" s="98">
        <f>IF(SUMIFS('Shipments data'!L:L,'Shipments data'!F:F,'Supply planning data'!C824,'Shipments data'!A:A,'Supply planning data'!A824,'Shipments data'!O:O,"received",'Shipments data'!Q:Q,"&lt;"&amp;'Supply planning data'!D839,'Shipments data'!AC:AC,"&lt;"&amp;'Supply planning data'!D839)-SUMIFS(M:M,D:D,"&lt;="&amp;D824,C:C,C824)+SUMIFS(N:N,D:D,"&lt;="&amp;D824,C:C,C824)+SUMIFS(P:P,D:D,"&lt;="&amp;D824,C:C,C824)&lt;0,0,SUMIFS('Shipments data'!L:L,'Shipments data'!F:F,'Supply planning data'!C824,'Shipments data'!A:A,'Supply planning data'!A824,'Shipments data'!O:O,"received",'Shipments data'!Q:Q,"&lt;"&amp;'Supply planning data'!D839,'Shipments data'!AC:AC,"&lt;"&amp;'Supply planning data'!D839)-SUMIFS(M:M,D:D,"&lt;="&amp;D824,C:C,C824)+SUMIFS(N:N,D:D,"&lt;="&amp;D824,C:C,C824)+SUMIFS(P:P,D:D,"&lt;="&amp;D824,C:C,C824))</f>
        <v>0</v>
      </c>
      <c r="U824" s="99">
        <f t="shared" si="242"/>
        <v>0</v>
      </c>
      <c r="V824" s="98">
        <f t="shared" si="250"/>
        <v>0</v>
      </c>
      <c r="W824" s="203" t="str">
        <f t="shared" si="248"/>
        <v/>
      </c>
      <c r="X824" s="98">
        <f t="shared" si="243"/>
        <v>0</v>
      </c>
      <c r="Y824" s="97"/>
      <c r="Z824" s="93"/>
      <c r="AA824" s="98">
        <f t="shared" si="236"/>
        <v>0</v>
      </c>
      <c r="AB824" s="233"/>
      <c r="AC824" s="98">
        <f>IF(SUMIFS('Shipments data'!L:L,'Shipments data'!F:F,'Supply planning data'!C824,'Shipments data'!A:A,'Supply planning data'!A824,'Shipments data'!O:O,"received",'Shipments data'!Q:Q,"&lt;"&amp;'Supply planning data'!D839,'Shipments data'!AC:AC,"&lt;"&amp;'Supply planning data'!D839)-SUMIFS(M:M,D:D,"&lt;="&amp;D824,C:C,C824)-SUMIFS(AA:AA,D:D,"&lt;="&amp;D824,C:C,C824)+SUMIFS(N:N,D:D,"&lt;="&amp;D824,C:C,C824)+SUMIFS(P:P,D:D,"&lt;="&amp;D824,C:C,C824)&lt;0,0,SUMIFS('Shipments data'!L:L,'Shipments data'!F:F,'Supply planning data'!C824,'Shipments data'!A:A,'Supply planning data'!A824,'Shipments data'!O:O,"received",'Shipments data'!Q:Q,"&lt;"&amp;'Supply planning data'!D839,'Shipments data'!AC:AC,"&lt;"&amp;'Supply planning data'!D839)-SUMIFS(M:M,D:D,"&lt;="&amp;D824,C:C,C824)-SUMIFS(AA:AA,D:D,"&lt;="&amp;D824,C:C,C824)+SUMIFS(N:N,D:D,"&lt;="&amp;D824,C:C,C824)+SUMIFS(P:P,D:D,"&lt;="&amp;D824,C:C,C824))</f>
        <v>0</v>
      </c>
      <c r="AD824" s="98">
        <f t="shared" si="244"/>
        <v>0</v>
      </c>
      <c r="AE824" s="98">
        <f t="shared" si="238"/>
        <v>0</v>
      </c>
      <c r="AF824" s="205" t="str">
        <f t="shared" si="247"/>
        <v/>
      </c>
      <c r="AG824" s="98">
        <f t="shared" si="245"/>
        <v>0</v>
      </c>
      <c r="AH824" s="97"/>
      <c r="AI824" s="311"/>
      <c r="AJ824" s="98">
        <f t="shared" si="237"/>
        <v>0</v>
      </c>
      <c r="AK824" s="233"/>
      <c r="AL824" s="98">
        <f>IF(SUMIFS('Shipments data'!L:L,'Shipments data'!F:F,'Supply planning data'!C824,'Shipments data'!A:A,'Supply planning data'!A824,'Shipments data'!O:O,"received",'Shipments data'!Q:Q,"&lt;"&amp;'Supply planning data'!D839,'Shipments data'!AC:AC,"&lt;"&amp;'Supply planning data'!D839)-SUMIFS(M:M,D:D,"&lt;="&amp;D824,C:C,C824)-SUMIFS(AJ:AJ,D:D,"&lt;="&amp;D824,C:C,C824)+SUMIFS(N:N,D:D,"&lt;="&amp;D824,C:C,C824)+SUMIFS(P:P,D:D,"&lt;="&amp;D824,C:C,C824)&lt;0,0,SUMIFS('Shipments data'!L:L,'Shipments data'!F:F,'Supply planning data'!C824,'Shipments data'!A:A,'Supply planning data'!A824,'Shipments data'!O:O,"received",'Shipments data'!Q:Q,"&lt;"&amp;'Supply planning data'!D839,'Shipments data'!AC:AC,"&lt;"&amp;'Supply planning data'!D839)-SUMIFS(M:M,D:D,"&lt;="&amp;D824,C:C,C824)-SUMIFS(AJ:AJ,D:D,"&lt;="&amp;D824,C:C,C824)+SUMIFS(N:N,D:D,"&lt;="&amp;D824,C:C,C824)+SUMIFS(P:P,D:D,"&lt;="&amp;D824,C:C,C824))</f>
        <v>0</v>
      </c>
      <c r="AM824" s="98">
        <f t="shared" si="246"/>
        <v>0</v>
      </c>
      <c r="AN824" s="98">
        <f t="shared" si="239"/>
        <v>0</v>
      </c>
      <c r="AO824" s="203" t="str">
        <f t="shared" si="249"/>
        <v/>
      </c>
    </row>
    <row r="825" spans="1:41" hidden="1" x14ac:dyDescent="0.25">
      <c r="A825" s="95" t="str">
        <f>Start!D$7</f>
        <v>Anyland</v>
      </c>
      <c r="B825" s="96" t="str">
        <f>VLOOKUP(A825,list!B:C,2,FALSE)</f>
        <v>ANY</v>
      </c>
      <c r="C825" s="90" t="str">
        <f>IF(Start!$C$27="","",Start!$C$27)</f>
        <v/>
      </c>
      <c r="D825" s="296">
        <f t="shared" si="240"/>
        <v>45839</v>
      </c>
      <c r="E825" s="92" t="str">
        <f>IFERROR(VLOOKUP(C825,Start!C$15:D$31,2,FALSE),"No")</f>
        <v>No</v>
      </c>
      <c r="F825" s="92">
        <f t="shared" si="241"/>
        <v>0</v>
      </c>
      <c r="G825" s="91"/>
      <c r="H825" s="97"/>
      <c r="I825" s="97"/>
      <c r="J825" s="98">
        <f t="shared" si="233"/>
        <v>0</v>
      </c>
      <c r="K825" s="97"/>
      <c r="L825" s="175" t="str">
        <f t="shared" si="234"/>
        <v/>
      </c>
      <c r="M825" s="98">
        <f t="shared" si="235"/>
        <v>0</v>
      </c>
      <c r="N825" s="97"/>
      <c r="O825" s="122"/>
      <c r="P825" s="97"/>
      <c r="Q825" s="122"/>
      <c r="R825" s="98">
        <f>SUMIFS('Shipments data'!L:L,'Shipments data'!F:F,'Supply planning data'!C825,'Shipments data'!A:A,'Supply planning data'!A825,'Shipments data'!Y:Y,'Supply planning data'!D825,'Shipments data'!O:O,"received", 'Shipments data'!N:N, "Public")</f>
        <v>0</v>
      </c>
      <c r="S825" s="98">
        <f>SUMIFS('Shipments data'!L:L,'Shipments data'!F:F,'Supply planning data'!C825,'Shipments data'!A:A,'Supply planning data'!A825,'Shipments data'!Y:Y,'Supply planning data'!D825,'Shipments data'!O:O,"ordered", 'Shipments data'!N:N, "Public")</f>
        <v>0</v>
      </c>
      <c r="T825" s="98">
        <f>IF(SUMIFS('Shipments data'!L:L,'Shipments data'!F:F,'Supply planning data'!C825,'Shipments data'!A:A,'Supply planning data'!A825,'Shipments data'!O:O,"received",'Shipments data'!Q:Q,"&lt;"&amp;'Supply planning data'!D840,'Shipments data'!AC:AC,"&lt;"&amp;'Supply planning data'!D840)-SUMIFS(M:M,D:D,"&lt;="&amp;D825,C:C,C825)+SUMIFS(N:N,D:D,"&lt;="&amp;D825,C:C,C825)+SUMIFS(P:P,D:D,"&lt;="&amp;D825,C:C,C825)&lt;0,0,SUMIFS('Shipments data'!L:L,'Shipments data'!F:F,'Supply planning data'!C825,'Shipments data'!A:A,'Supply planning data'!A825,'Shipments data'!O:O,"received",'Shipments data'!Q:Q,"&lt;"&amp;'Supply planning data'!D840,'Shipments data'!AC:AC,"&lt;"&amp;'Supply planning data'!D840)-SUMIFS(M:M,D:D,"&lt;="&amp;D825,C:C,C825)+SUMIFS(N:N,D:D,"&lt;="&amp;D825,C:C,C825)+SUMIFS(P:P,D:D,"&lt;="&amp;D825,C:C,C825))</f>
        <v>0</v>
      </c>
      <c r="U825" s="99">
        <f t="shared" si="242"/>
        <v>0</v>
      </c>
      <c r="V825" s="98">
        <f t="shared" si="250"/>
        <v>0</v>
      </c>
      <c r="W825" s="203" t="str">
        <f t="shared" si="248"/>
        <v/>
      </c>
      <c r="X825" s="98">
        <f t="shared" si="243"/>
        <v>0</v>
      </c>
      <c r="Y825" s="97"/>
      <c r="Z825" s="93"/>
      <c r="AA825" s="98">
        <f t="shared" si="236"/>
        <v>0</v>
      </c>
      <c r="AB825" s="233"/>
      <c r="AC825" s="98">
        <f>IF(SUMIFS('Shipments data'!L:L,'Shipments data'!F:F,'Supply planning data'!C825,'Shipments data'!A:A,'Supply planning data'!A825,'Shipments data'!O:O,"received",'Shipments data'!Q:Q,"&lt;"&amp;'Supply planning data'!D840,'Shipments data'!AC:AC,"&lt;"&amp;'Supply planning data'!D840)-SUMIFS(M:M,D:D,"&lt;="&amp;D825,C:C,C825)-SUMIFS(AA:AA,D:D,"&lt;="&amp;D825,C:C,C825)+SUMIFS(N:N,D:D,"&lt;="&amp;D825,C:C,C825)+SUMIFS(P:P,D:D,"&lt;="&amp;D825,C:C,C825)&lt;0,0,SUMIFS('Shipments data'!L:L,'Shipments data'!F:F,'Supply planning data'!C825,'Shipments data'!A:A,'Supply planning data'!A825,'Shipments data'!O:O,"received",'Shipments data'!Q:Q,"&lt;"&amp;'Supply planning data'!D840,'Shipments data'!AC:AC,"&lt;"&amp;'Supply planning data'!D840)-SUMIFS(M:M,D:D,"&lt;="&amp;D825,C:C,C825)-SUMIFS(AA:AA,D:D,"&lt;="&amp;D825,C:C,C825)+SUMIFS(N:N,D:D,"&lt;="&amp;D825,C:C,C825)+SUMIFS(P:P,D:D,"&lt;="&amp;D825,C:C,C825))</f>
        <v>0</v>
      </c>
      <c r="AD825" s="98">
        <f t="shared" si="244"/>
        <v>0</v>
      </c>
      <c r="AE825" s="98">
        <f t="shared" si="238"/>
        <v>0</v>
      </c>
      <c r="AF825" s="205" t="str">
        <f t="shared" si="247"/>
        <v/>
      </c>
      <c r="AG825" s="98">
        <f t="shared" si="245"/>
        <v>0</v>
      </c>
      <c r="AH825" s="97"/>
      <c r="AI825" s="311"/>
      <c r="AJ825" s="98">
        <f t="shared" si="237"/>
        <v>0</v>
      </c>
      <c r="AK825" s="233"/>
      <c r="AL825" s="98">
        <f>IF(SUMIFS('Shipments data'!L:L,'Shipments data'!F:F,'Supply planning data'!C825,'Shipments data'!A:A,'Supply planning data'!A825,'Shipments data'!O:O,"received",'Shipments data'!Q:Q,"&lt;"&amp;'Supply planning data'!D840,'Shipments data'!AC:AC,"&lt;"&amp;'Supply planning data'!D840)-SUMIFS(M:M,D:D,"&lt;="&amp;D825,C:C,C825)-SUMIFS(AJ:AJ,D:D,"&lt;="&amp;D825,C:C,C825)+SUMIFS(N:N,D:D,"&lt;="&amp;D825,C:C,C825)+SUMIFS(P:P,D:D,"&lt;="&amp;D825,C:C,C825)&lt;0,0,SUMIFS('Shipments data'!L:L,'Shipments data'!F:F,'Supply planning data'!C825,'Shipments data'!A:A,'Supply planning data'!A825,'Shipments data'!O:O,"received",'Shipments data'!Q:Q,"&lt;"&amp;'Supply planning data'!D840,'Shipments data'!AC:AC,"&lt;"&amp;'Supply planning data'!D840)-SUMIFS(M:M,D:D,"&lt;="&amp;D825,C:C,C825)-SUMIFS(AJ:AJ,D:D,"&lt;="&amp;D825,C:C,C825)+SUMIFS(N:N,D:D,"&lt;="&amp;D825,C:C,C825)+SUMIFS(P:P,D:D,"&lt;="&amp;D825,C:C,C825))</f>
        <v>0</v>
      </c>
      <c r="AM825" s="98">
        <f t="shared" si="246"/>
        <v>0</v>
      </c>
      <c r="AN825" s="98">
        <f t="shared" si="239"/>
        <v>0</v>
      </c>
      <c r="AO825" s="203" t="str">
        <f t="shared" si="249"/>
        <v/>
      </c>
    </row>
    <row r="826" spans="1:41" hidden="1" x14ac:dyDescent="0.25">
      <c r="A826" s="95" t="str">
        <f>Start!D$7</f>
        <v>Anyland</v>
      </c>
      <c r="B826" s="96" t="str">
        <f>VLOOKUP(A826,list!B:C,2,FALSE)</f>
        <v>ANY</v>
      </c>
      <c r="C826" s="90" t="str">
        <f>IF(Start!$C$28="","",Start!$C$28)</f>
        <v/>
      </c>
      <c r="D826" s="296">
        <f t="shared" si="240"/>
        <v>45839</v>
      </c>
      <c r="E826" s="92" t="str">
        <f>IFERROR(VLOOKUP(C826,Start!C$15:D$31,2,FALSE),"No")</f>
        <v>No</v>
      </c>
      <c r="F826" s="92">
        <f t="shared" si="241"/>
        <v>0</v>
      </c>
      <c r="G826" s="91"/>
      <c r="H826" s="97"/>
      <c r="I826" s="97"/>
      <c r="J826" s="98">
        <f t="shared" si="233"/>
        <v>0</v>
      </c>
      <c r="K826" s="97"/>
      <c r="L826" s="175" t="str">
        <f t="shared" si="234"/>
        <v/>
      </c>
      <c r="M826" s="98">
        <f t="shared" si="235"/>
        <v>0</v>
      </c>
      <c r="N826" s="97"/>
      <c r="O826" s="122"/>
      <c r="P826" s="97"/>
      <c r="Q826" s="122"/>
      <c r="R826" s="98">
        <f>SUMIFS('Shipments data'!L:L,'Shipments data'!F:F,'Supply planning data'!C826,'Shipments data'!A:A,'Supply planning data'!A826,'Shipments data'!Y:Y,'Supply planning data'!D826,'Shipments data'!O:O,"received", 'Shipments data'!N:N, "Public")</f>
        <v>0</v>
      </c>
      <c r="S826" s="98">
        <f>SUMIFS('Shipments data'!L:L,'Shipments data'!F:F,'Supply planning data'!C826,'Shipments data'!A:A,'Supply planning data'!A826,'Shipments data'!Y:Y,'Supply planning data'!D826,'Shipments data'!O:O,"ordered", 'Shipments data'!N:N, "Public")</f>
        <v>0</v>
      </c>
      <c r="T826" s="98">
        <f>IF(SUMIFS('Shipments data'!L:L,'Shipments data'!F:F,'Supply planning data'!C826,'Shipments data'!A:A,'Supply planning data'!A826,'Shipments data'!O:O,"received",'Shipments data'!Q:Q,"&lt;"&amp;'Supply planning data'!D841,'Shipments data'!AC:AC,"&lt;"&amp;'Supply planning data'!D841)-SUMIFS(M:M,D:D,"&lt;="&amp;D826,C:C,C826)+SUMIFS(N:N,D:D,"&lt;="&amp;D826,C:C,C826)+SUMIFS(P:P,D:D,"&lt;="&amp;D826,C:C,C826)&lt;0,0,SUMIFS('Shipments data'!L:L,'Shipments data'!F:F,'Supply planning data'!C826,'Shipments data'!A:A,'Supply planning data'!A826,'Shipments data'!O:O,"received",'Shipments data'!Q:Q,"&lt;"&amp;'Supply planning data'!D841,'Shipments data'!AC:AC,"&lt;"&amp;'Supply planning data'!D841)-SUMIFS(M:M,D:D,"&lt;="&amp;D826,C:C,C826)+SUMIFS(N:N,D:D,"&lt;="&amp;D826,C:C,C826)+SUMIFS(P:P,D:D,"&lt;="&amp;D826,C:C,C826))</f>
        <v>0</v>
      </c>
      <c r="U826" s="99">
        <f t="shared" si="242"/>
        <v>0</v>
      </c>
      <c r="V826" s="98">
        <f t="shared" si="250"/>
        <v>0</v>
      </c>
      <c r="W826" s="203" t="str">
        <f t="shared" si="248"/>
        <v/>
      </c>
      <c r="X826" s="98">
        <f t="shared" si="243"/>
        <v>0</v>
      </c>
      <c r="Y826" s="97"/>
      <c r="Z826" s="93"/>
      <c r="AA826" s="98">
        <f t="shared" si="236"/>
        <v>0</v>
      </c>
      <c r="AB826" s="233"/>
      <c r="AC826" s="98">
        <f>IF(SUMIFS('Shipments data'!L:L,'Shipments data'!F:F,'Supply planning data'!C826,'Shipments data'!A:A,'Supply planning data'!A826,'Shipments data'!O:O,"received",'Shipments data'!Q:Q,"&lt;"&amp;'Supply planning data'!D841,'Shipments data'!AC:AC,"&lt;"&amp;'Supply planning data'!D841)-SUMIFS(M:M,D:D,"&lt;="&amp;D826,C:C,C826)-SUMIFS(AA:AA,D:D,"&lt;="&amp;D826,C:C,C826)+SUMIFS(N:N,D:D,"&lt;="&amp;D826,C:C,C826)+SUMIFS(P:P,D:D,"&lt;="&amp;D826,C:C,C826)&lt;0,0,SUMIFS('Shipments data'!L:L,'Shipments data'!F:F,'Supply planning data'!C826,'Shipments data'!A:A,'Supply planning data'!A826,'Shipments data'!O:O,"received",'Shipments data'!Q:Q,"&lt;"&amp;'Supply planning data'!D841,'Shipments data'!AC:AC,"&lt;"&amp;'Supply planning data'!D841)-SUMIFS(M:M,D:D,"&lt;="&amp;D826,C:C,C826)-SUMIFS(AA:AA,D:D,"&lt;="&amp;D826,C:C,C826)+SUMIFS(N:N,D:D,"&lt;="&amp;D826,C:C,C826)+SUMIFS(P:P,D:D,"&lt;="&amp;D826,C:C,C826))</f>
        <v>0</v>
      </c>
      <c r="AD826" s="98">
        <f t="shared" si="244"/>
        <v>0</v>
      </c>
      <c r="AE826" s="98">
        <f t="shared" si="238"/>
        <v>0</v>
      </c>
      <c r="AF826" s="205" t="str">
        <f t="shared" si="247"/>
        <v/>
      </c>
      <c r="AG826" s="98">
        <f t="shared" si="245"/>
        <v>0</v>
      </c>
      <c r="AH826" s="97"/>
      <c r="AI826" s="311"/>
      <c r="AJ826" s="98">
        <f t="shared" si="237"/>
        <v>0</v>
      </c>
      <c r="AK826" s="233"/>
      <c r="AL826" s="98">
        <f>IF(SUMIFS('Shipments data'!L:L,'Shipments data'!F:F,'Supply planning data'!C826,'Shipments data'!A:A,'Supply planning data'!A826,'Shipments data'!O:O,"received",'Shipments data'!Q:Q,"&lt;"&amp;'Supply planning data'!D841,'Shipments data'!AC:AC,"&lt;"&amp;'Supply planning data'!D841)-SUMIFS(M:M,D:D,"&lt;="&amp;D826,C:C,C826)-SUMIFS(AJ:AJ,D:D,"&lt;="&amp;D826,C:C,C826)+SUMIFS(N:N,D:D,"&lt;="&amp;D826,C:C,C826)+SUMIFS(P:P,D:D,"&lt;="&amp;D826,C:C,C826)&lt;0,0,SUMIFS('Shipments data'!L:L,'Shipments data'!F:F,'Supply planning data'!C826,'Shipments data'!A:A,'Supply planning data'!A826,'Shipments data'!O:O,"received",'Shipments data'!Q:Q,"&lt;"&amp;'Supply planning data'!D841,'Shipments data'!AC:AC,"&lt;"&amp;'Supply planning data'!D841)-SUMIFS(M:M,D:D,"&lt;="&amp;D826,C:C,C826)-SUMIFS(AJ:AJ,D:D,"&lt;="&amp;D826,C:C,C826)+SUMIFS(N:N,D:D,"&lt;="&amp;D826,C:C,C826)+SUMIFS(P:P,D:D,"&lt;="&amp;D826,C:C,C826))</f>
        <v>0</v>
      </c>
      <c r="AM826" s="98">
        <f t="shared" si="246"/>
        <v>0</v>
      </c>
      <c r="AN826" s="98">
        <f t="shared" si="239"/>
        <v>0</v>
      </c>
      <c r="AO826" s="203" t="str">
        <f t="shared" si="249"/>
        <v/>
      </c>
    </row>
    <row r="827" spans="1:41" hidden="1" x14ac:dyDescent="0.25">
      <c r="A827" s="95" t="str">
        <f>Start!D$7</f>
        <v>Anyland</v>
      </c>
      <c r="B827" s="96" t="str">
        <f>VLOOKUP(A827,list!B:C,2,FALSE)</f>
        <v>ANY</v>
      </c>
      <c r="C827" s="90" t="str">
        <f>IF(Start!$C$29="","",Start!$C$29)</f>
        <v/>
      </c>
      <c r="D827" s="296">
        <f t="shared" si="240"/>
        <v>45839</v>
      </c>
      <c r="E827" s="92" t="str">
        <f>IFERROR(VLOOKUP(C827,Start!C$15:D$31,2,FALSE),"No")</f>
        <v>No</v>
      </c>
      <c r="F827" s="92">
        <f t="shared" si="241"/>
        <v>0</v>
      </c>
      <c r="G827" s="91"/>
      <c r="H827" s="97"/>
      <c r="I827" s="97"/>
      <c r="J827" s="98">
        <f t="shared" si="233"/>
        <v>0</v>
      </c>
      <c r="K827" s="97"/>
      <c r="L827" s="175" t="str">
        <f t="shared" si="234"/>
        <v/>
      </c>
      <c r="M827" s="98">
        <f t="shared" si="235"/>
        <v>0</v>
      </c>
      <c r="N827" s="97"/>
      <c r="O827" s="122"/>
      <c r="P827" s="97"/>
      <c r="Q827" s="122"/>
      <c r="R827" s="98">
        <f>SUMIFS('Shipments data'!L:L,'Shipments data'!F:F,'Supply planning data'!C827,'Shipments data'!A:A,'Supply planning data'!A827,'Shipments data'!Y:Y,'Supply planning data'!D827,'Shipments data'!O:O,"received", 'Shipments data'!N:N, "Public")</f>
        <v>0</v>
      </c>
      <c r="S827" s="98">
        <f>SUMIFS('Shipments data'!L:L,'Shipments data'!F:F,'Supply planning data'!C827,'Shipments data'!A:A,'Supply planning data'!A827,'Shipments data'!Y:Y,'Supply planning data'!D827,'Shipments data'!O:O,"ordered", 'Shipments data'!N:N, "Public")</f>
        <v>0</v>
      </c>
      <c r="T827" s="98">
        <f>IF(SUMIFS('Shipments data'!L:L,'Shipments data'!F:F,'Supply planning data'!C827,'Shipments data'!A:A,'Supply planning data'!A827,'Shipments data'!O:O,"received",'Shipments data'!Q:Q,"&lt;"&amp;'Supply planning data'!D842,'Shipments data'!AC:AC,"&lt;"&amp;'Supply planning data'!D842)-SUMIFS(M:M,D:D,"&lt;="&amp;D827,C:C,C827)+SUMIFS(N:N,D:D,"&lt;="&amp;D827,C:C,C827)+SUMIFS(P:P,D:D,"&lt;="&amp;D827,C:C,C827)&lt;0,0,SUMIFS('Shipments data'!L:L,'Shipments data'!F:F,'Supply planning data'!C827,'Shipments data'!A:A,'Supply planning data'!A827,'Shipments data'!O:O,"received",'Shipments data'!Q:Q,"&lt;"&amp;'Supply planning data'!D842,'Shipments data'!AC:AC,"&lt;"&amp;'Supply planning data'!D842)-SUMIFS(M:M,D:D,"&lt;="&amp;D827,C:C,C827)+SUMIFS(N:N,D:D,"&lt;="&amp;D827,C:C,C827)+SUMIFS(P:P,D:D,"&lt;="&amp;D827,C:C,C827))</f>
        <v>0</v>
      </c>
      <c r="U827" s="99">
        <f t="shared" si="242"/>
        <v>0</v>
      </c>
      <c r="V827" s="98">
        <f t="shared" si="250"/>
        <v>0</v>
      </c>
      <c r="W827" s="203" t="str">
        <f t="shared" si="248"/>
        <v/>
      </c>
      <c r="X827" s="98">
        <f t="shared" si="243"/>
        <v>0</v>
      </c>
      <c r="Y827" s="97"/>
      <c r="Z827" s="93"/>
      <c r="AA827" s="98">
        <f t="shared" si="236"/>
        <v>0</v>
      </c>
      <c r="AB827" s="233"/>
      <c r="AC827" s="98">
        <f>IF(SUMIFS('Shipments data'!L:L,'Shipments data'!F:F,'Supply planning data'!C827,'Shipments data'!A:A,'Supply planning data'!A827,'Shipments data'!O:O,"received",'Shipments data'!Q:Q,"&lt;"&amp;'Supply planning data'!D842,'Shipments data'!AC:AC,"&lt;"&amp;'Supply planning data'!D842)-SUMIFS(M:M,D:D,"&lt;="&amp;D827,C:C,C827)-SUMIFS(AA:AA,D:D,"&lt;="&amp;D827,C:C,C827)+SUMIFS(N:N,D:D,"&lt;="&amp;D827,C:C,C827)+SUMIFS(P:P,D:D,"&lt;="&amp;D827,C:C,C827)&lt;0,0,SUMIFS('Shipments data'!L:L,'Shipments data'!F:F,'Supply planning data'!C827,'Shipments data'!A:A,'Supply planning data'!A827,'Shipments data'!O:O,"received",'Shipments data'!Q:Q,"&lt;"&amp;'Supply planning data'!D842,'Shipments data'!AC:AC,"&lt;"&amp;'Supply planning data'!D842)-SUMIFS(M:M,D:D,"&lt;="&amp;D827,C:C,C827)-SUMIFS(AA:AA,D:D,"&lt;="&amp;D827,C:C,C827)+SUMIFS(N:N,D:D,"&lt;="&amp;D827,C:C,C827)+SUMIFS(P:P,D:D,"&lt;="&amp;D827,C:C,C827))</f>
        <v>0</v>
      </c>
      <c r="AD827" s="98">
        <f t="shared" si="244"/>
        <v>0</v>
      </c>
      <c r="AE827" s="98">
        <f t="shared" si="238"/>
        <v>0</v>
      </c>
      <c r="AF827" s="205" t="str">
        <f t="shared" si="247"/>
        <v/>
      </c>
      <c r="AG827" s="98">
        <f t="shared" si="245"/>
        <v>0</v>
      </c>
      <c r="AH827" s="97"/>
      <c r="AI827" s="311"/>
      <c r="AJ827" s="98">
        <f t="shared" si="237"/>
        <v>0</v>
      </c>
      <c r="AK827" s="233"/>
      <c r="AL827" s="98">
        <f>IF(SUMIFS('Shipments data'!L:L,'Shipments data'!F:F,'Supply planning data'!C827,'Shipments data'!A:A,'Supply planning data'!A827,'Shipments data'!O:O,"received",'Shipments data'!Q:Q,"&lt;"&amp;'Supply planning data'!D842,'Shipments data'!AC:AC,"&lt;"&amp;'Supply planning data'!D842)-SUMIFS(M:M,D:D,"&lt;="&amp;D827,C:C,C827)-SUMIFS(AJ:AJ,D:D,"&lt;="&amp;D827,C:C,C827)+SUMIFS(N:N,D:D,"&lt;="&amp;D827,C:C,C827)+SUMIFS(P:P,D:D,"&lt;="&amp;D827,C:C,C827)&lt;0,0,SUMIFS('Shipments data'!L:L,'Shipments data'!F:F,'Supply planning data'!C827,'Shipments data'!A:A,'Supply planning data'!A827,'Shipments data'!O:O,"received",'Shipments data'!Q:Q,"&lt;"&amp;'Supply planning data'!D842,'Shipments data'!AC:AC,"&lt;"&amp;'Supply planning data'!D842)-SUMIFS(M:M,D:D,"&lt;="&amp;D827,C:C,C827)-SUMIFS(AJ:AJ,D:D,"&lt;="&amp;D827,C:C,C827)+SUMIFS(N:N,D:D,"&lt;="&amp;D827,C:C,C827)+SUMIFS(P:P,D:D,"&lt;="&amp;D827,C:C,C827))</f>
        <v>0</v>
      </c>
      <c r="AM827" s="98">
        <f t="shared" si="246"/>
        <v>0</v>
      </c>
      <c r="AN827" s="98">
        <f t="shared" si="239"/>
        <v>0</v>
      </c>
      <c r="AO827" s="203" t="str">
        <f t="shared" si="249"/>
        <v/>
      </c>
    </row>
    <row r="828" spans="1:41" hidden="1" x14ac:dyDescent="0.25">
      <c r="A828" s="95" t="str">
        <f>Start!D$7</f>
        <v>Anyland</v>
      </c>
      <c r="B828" s="96" t="str">
        <f>VLOOKUP(A828,list!B:C,2,FALSE)</f>
        <v>ANY</v>
      </c>
      <c r="C828" s="90" t="str">
        <f>IF(Start!$C$30="","",Start!$C$30)</f>
        <v/>
      </c>
      <c r="D828" s="296">
        <f t="shared" si="240"/>
        <v>45839</v>
      </c>
      <c r="E828" s="92" t="str">
        <f>IFERROR(VLOOKUP(C828,Start!C$15:D$31,2,FALSE),"No")</f>
        <v>No</v>
      </c>
      <c r="F828" s="92">
        <f t="shared" si="241"/>
        <v>0</v>
      </c>
      <c r="G828" s="91"/>
      <c r="H828" s="97"/>
      <c r="I828" s="97"/>
      <c r="J828" s="98">
        <f t="shared" si="233"/>
        <v>0</v>
      </c>
      <c r="K828" s="97"/>
      <c r="L828" s="175" t="str">
        <f t="shared" si="234"/>
        <v/>
      </c>
      <c r="M828" s="98">
        <f t="shared" si="235"/>
        <v>0</v>
      </c>
      <c r="N828" s="97"/>
      <c r="O828" s="122"/>
      <c r="P828" s="97"/>
      <c r="Q828" s="122"/>
      <c r="R828" s="98">
        <f>SUMIFS('Shipments data'!L:L,'Shipments data'!F:F,'Supply planning data'!C828,'Shipments data'!A:A,'Supply planning data'!A828,'Shipments data'!Y:Y,'Supply planning data'!D828,'Shipments data'!O:O,"received", 'Shipments data'!N:N, "Public")</f>
        <v>0</v>
      </c>
      <c r="S828" s="98">
        <f>SUMIFS('Shipments data'!L:L,'Shipments data'!F:F,'Supply planning data'!C828,'Shipments data'!A:A,'Supply planning data'!A828,'Shipments data'!Y:Y,'Supply planning data'!D828,'Shipments data'!O:O,"ordered", 'Shipments data'!N:N, "Public")</f>
        <v>0</v>
      </c>
      <c r="T828" s="98">
        <f>IF(SUMIFS('Shipments data'!L:L,'Shipments data'!F:F,'Supply planning data'!C828,'Shipments data'!A:A,'Supply planning data'!A828,'Shipments data'!O:O,"received",'Shipments data'!Q:Q,"&lt;"&amp;'Supply planning data'!D843,'Shipments data'!AC:AC,"&lt;"&amp;'Supply planning data'!D843)-SUMIFS(M:M,D:D,"&lt;="&amp;D828,C:C,C828)+SUMIFS(N:N,D:D,"&lt;="&amp;D828,C:C,C828)+SUMIFS(P:P,D:D,"&lt;="&amp;D828,C:C,C828)&lt;0,0,SUMIFS('Shipments data'!L:L,'Shipments data'!F:F,'Supply planning data'!C828,'Shipments data'!A:A,'Supply planning data'!A828,'Shipments data'!O:O,"received",'Shipments data'!Q:Q,"&lt;"&amp;'Supply planning data'!D843,'Shipments data'!AC:AC,"&lt;"&amp;'Supply planning data'!D843)-SUMIFS(M:M,D:D,"&lt;="&amp;D828,C:C,C828)+SUMIFS(N:N,D:D,"&lt;="&amp;D828,C:C,C828)+SUMIFS(P:P,D:D,"&lt;="&amp;D828,C:C,C828))</f>
        <v>0</v>
      </c>
      <c r="U828" s="99">
        <f t="shared" si="242"/>
        <v>0</v>
      </c>
      <c r="V828" s="98">
        <f t="shared" si="250"/>
        <v>0</v>
      </c>
      <c r="W828" s="203" t="str">
        <f t="shared" si="248"/>
        <v/>
      </c>
      <c r="X828" s="98">
        <f t="shared" si="243"/>
        <v>0</v>
      </c>
      <c r="Y828" s="97"/>
      <c r="Z828" s="93"/>
      <c r="AA828" s="98">
        <f t="shared" si="236"/>
        <v>0</v>
      </c>
      <c r="AB828" s="233"/>
      <c r="AC828" s="98">
        <f>IF(SUMIFS('Shipments data'!L:L,'Shipments data'!F:F,'Supply planning data'!C828,'Shipments data'!A:A,'Supply planning data'!A828,'Shipments data'!O:O,"received",'Shipments data'!Q:Q,"&lt;"&amp;'Supply planning data'!D843,'Shipments data'!AC:AC,"&lt;"&amp;'Supply planning data'!D843)-SUMIFS(M:M,D:D,"&lt;="&amp;D828,C:C,C828)-SUMIFS(AA:AA,D:D,"&lt;="&amp;D828,C:C,C828)+SUMIFS(N:N,D:D,"&lt;="&amp;D828,C:C,C828)+SUMIFS(P:P,D:D,"&lt;="&amp;D828,C:C,C828)&lt;0,0,SUMIFS('Shipments data'!L:L,'Shipments data'!F:F,'Supply planning data'!C828,'Shipments data'!A:A,'Supply planning data'!A828,'Shipments data'!O:O,"received",'Shipments data'!Q:Q,"&lt;"&amp;'Supply planning data'!D843,'Shipments data'!AC:AC,"&lt;"&amp;'Supply planning data'!D843)-SUMIFS(M:M,D:D,"&lt;="&amp;D828,C:C,C828)-SUMIFS(AA:AA,D:D,"&lt;="&amp;D828,C:C,C828)+SUMIFS(N:N,D:D,"&lt;="&amp;D828,C:C,C828)+SUMIFS(P:P,D:D,"&lt;="&amp;D828,C:C,C828))</f>
        <v>0</v>
      </c>
      <c r="AD828" s="98">
        <f t="shared" si="244"/>
        <v>0</v>
      </c>
      <c r="AE828" s="98">
        <f t="shared" si="238"/>
        <v>0</v>
      </c>
      <c r="AF828" s="205" t="str">
        <f t="shared" si="247"/>
        <v/>
      </c>
      <c r="AG828" s="98">
        <f t="shared" si="245"/>
        <v>0</v>
      </c>
      <c r="AH828" s="97"/>
      <c r="AI828" s="311"/>
      <c r="AJ828" s="98">
        <f t="shared" si="237"/>
        <v>0</v>
      </c>
      <c r="AK828" s="233"/>
      <c r="AL828" s="98">
        <f>IF(SUMIFS('Shipments data'!L:L,'Shipments data'!F:F,'Supply planning data'!C828,'Shipments data'!A:A,'Supply planning data'!A828,'Shipments data'!O:O,"received",'Shipments data'!Q:Q,"&lt;"&amp;'Supply planning data'!D843,'Shipments data'!AC:AC,"&lt;"&amp;'Supply planning data'!D843)-SUMIFS(M:M,D:D,"&lt;="&amp;D828,C:C,C828)-SUMIFS(AJ:AJ,D:D,"&lt;="&amp;D828,C:C,C828)+SUMIFS(N:N,D:D,"&lt;="&amp;D828,C:C,C828)+SUMIFS(P:P,D:D,"&lt;="&amp;D828,C:C,C828)&lt;0,0,SUMIFS('Shipments data'!L:L,'Shipments data'!F:F,'Supply planning data'!C828,'Shipments data'!A:A,'Supply planning data'!A828,'Shipments data'!O:O,"received",'Shipments data'!Q:Q,"&lt;"&amp;'Supply planning data'!D843,'Shipments data'!AC:AC,"&lt;"&amp;'Supply planning data'!D843)-SUMIFS(M:M,D:D,"&lt;="&amp;D828,C:C,C828)-SUMIFS(AJ:AJ,D:D,"&lt;="&amp;D828,C:C,C828)+SUMIFS(N:N,D:D,"&lt;="&amp;D828,C:C,C828)+SUMIFS(P:P,D:D,"&lt;="&amp;D828,C:C,C828))</f>
        <v>0</v>
      </c>
      <c r="AM828" s="98">
        <f t="shared" si="246"/>
        <v>0</v>
      </c>
      <c r="AN828" s="98">
        <f t="shared" si="239"/>
        <v>0</v>
      </c>
      <c r="AO828" s="203" t="str">
        <f t="shared" si="249"/>
        <v/>
      </c>
    </row>
    <row r="829" spans="1:41" hidden="1" x14ac:dyDescent="0.25">
      <c r="A829" s="95" t="str">
        <f>Start!D$7</f>
        <v>Anyland</v>
      </c>
      <c r="B829" s="100" t="str">
        <f>VLOOKUP(A829,list!B:C,2,FALSE)</f>
        <v>ANY</v>
      </c>
      <c r="C829" s="90" t="str">
        <f>IF(Start!$C$31="","",Start!$C$31)</f>
        <v/>
      </c>
      <c r="D829" s="296">
        <f t="shared" si="240"/>
        <v>45839</v>
      </c>
      <c r="E829" s="92" t="str">
        <f>IFERROR(VLOOKUP(C829,Start!C$15:D$31,2,FALSE),"No")</f>
        <v>No</v>
      </c>
      <c r="F829" s="92">
        <f t="shared" si="241"/>
        <v>0</v>
      </c>
      <c r="G829" s="91"/>
      <c r="H829" s="97"/>
      <c r="I829" s="97"/>
      <c r="J829" s="98">
        <f t="shared" si="233"/>
        <v>0</v>
      </c>
      <c r="K829" s="97"/>
      <c r="L829" s="175" t="str">
        <f t="shared" si="234"/>
        <v/>
      </c>
      <c r="M829" s="98">
        <f t="shared" si="235"/>
        <v>0</v>
      </c>
      <c r="N829" s="97"/>
      <c r="O829" s="122"/>
      <c r="P829" s="97"/>
      <c r="Q829" s="122"/>
      <c r="R829" s="98">
        <f>SUMIFS('Shipments data'!L:L,'Shipments data'!F:F,'Supply planning data'!C829,'Shipments data'!A:A,'Supply planning data'!A829,'Shipments data'!Y:Y,'Supply planning data'!D829,'Shipments data'!O:O,"received", 'Shipments data'!N:N, "Public")</f>
        <v>0</v>
      </c>
      <c r="S829" s="98">
        <f>SUMIFS('Shipments data'!L:L,'Shipments data'!F:F,'Supply planning data'!C829,'Shipments data'!A:A,'Supply planning data'!A829,'Shipments data'!Y:Y,'Supply planning data'!D829,'Shipments data'!O:O,"ordered", 'Shipments data'!N:N, "Public")</f>
        <v>0</v>
      </c>
      <c r="T829" s="98">
        <f>IF(SUMIFS('Shipments data'!L:L,'Shipments data'!F:F,'Supply planning data'!C829,'Shipments data'!A:A,'Supply planning data'!A829,'Shipments data'!O:O,"received",'Shipments data'!Q:Q,"&lt;"&amp;'Supply planning data'!D844,'Shipments data'!AC:AC,"&lt;"&amp;'Supply planning data'!D844)-SUMIFS(M:M,D:D,"&lt;="&amp;D829,C:C,C829)+SUMIFS(N:N,D:D,"&lt;="&amp;D829,C:C,C829)+SUMIFS(P:P,D:D,"&lt;="&amp;D829,C:C,C829)&lt;0,0,SUMIFS('Shipments data'!L:L,'Shipments data'!F:F,'Supply planning data'!C829,'Shipments data'!A:A,'Supply planning data'!A829,'Shipments data'!O:O,"received",'Shipments data'!Q:Q,"&lt;"&amp;'Supply planning data'!D844,'Shipments data'!AC:AC,"&lt;"&amp;'Supply planning data'!D844)-SUMIFS(M:M,D:D,"&lt;="&amp;D829,C:C,C829)+SUMIFS(N:N,D:D,"&lt;="&amp;D829,C:C,C829)+SUMIFS(P:P,D:D,"&lt;="&amp;D829,C:C,C829))</f>
        <v>0</v>
      </c>
      <c r="U829" s="99">
        <f t="shared" si="242"/>
        <v>0</v>
      </c>
      <c r="V829" s="98">
        <f t="shared" si="250"/>
        <v>0</v>
      </c>
      <c r="W829" s="203" t="str">
        <f t="shared" si="248"/>
        <v/>
      </c>
      <c r="X829" s="98">
        <f t="shared" si="243"/>
        <v>0</v>
      </c>
      <c r="Y829" s="97"/>
      <c r="Z829" s="93"/>
      <c r="AA829" s="98">
        <f t="shared" si="236"/>
        <v>0</v>
      </c>
      <c r="AB829" s="233"/>
      <c r="AC829" s="98">
        <f>IF(SUMIFS('Shipments data'!L:L,'Shipments data'!F:F,'Supply planning data'!C829,'Shipments data'!A:A,'Supply planning data'!A829,'Shipments data'!O:O,"received",'Shipments data'!Q:Q,"&lt;"&amp;'Supply planning data'!D844,'Shipments data'!AC:AC,"&lt;"&amp;'Supply planning data'!D844)-SUMIFS(M:M,D:D,"&lt;="&amp;D829,C:C,C829)-SUMIFS(AA:AA,D:D,"&lt;="&amp;D829,C:C,C829)+SUMIFS(N:N,D:D,"&lt;="&amp;D829,C:C,C829)+SUMIFS(P:P,D:D,"&lt;="&amp;D829,C:C,C829)&lt;0,0,SUMIFS('Shipments data'!L:L,'Shipments data'!F:F,'Supply planning data'!C829,'Shipments data'!A:A,'Supply planning data'!A829,'Shipments data'!O:O,"received",'Shipments data'!Q:Q,"&lt;"&amp;'Supply planning data'!D844,'Shipments data'!AC:AC,"&lt;"&amp;'Supply planning data'!D844)-SUMIFS(M:M,D:D,"&lt;="&amp;D829,C:C,C829)-SUMIFS(AA:AA,D:D,"&lt;="&amp;D829,C:C,C829)+SUMIFS(N:N,D:D,"&lt;="&amp;D829,C:C,C829)+SUMIFS(P:P,D:D,"&lt;="&amp;D829,C:C,C829))</f>
        <v>0</v>
      </c>
      <c r="AD829" s="98">
        <f t="shared" si="244"/>
        <v>0</v>
      </c>
      <c r="AE829" s="98">
        <f t="shared" si="238"/>
        <v>0</v>
      </c>
      <c r="AF829" s="205" t="str">
        <f t="shared" si="247"/>
        <v/>
      </c>
      <c r="AG829" s="98">
        <f t="shared" si="245"/>
        <v>0</v>
      </c>
      <c r="AH829" s="97"/>
      <c r="AI829" s="311"/>
      <c r="AJ829" s="98">
        <f t="shared" si="237"/>
        <v>0</v>
      </c>
      <c r="AK829" s="233"/>
      <c r="AL829" s="98">
        <f>IF(SUMIFS('Shipments data'!L:L,'Shipments data'!F:F,'Supply planning data'!C829,'Shipments data'!A:A,'Supply planning data'!A829,'Shipments data'!O:O,"received",'Shipments data'!Q:Q,"&lt;"&amp;'Supply planning data'!D844,'Shipments data'!AC:AC,"&lt;"&amp;'Supply planning data'!D844)-SUMIFS(M:M,D:D,"&lt;="&amp;D829,C:C,C829)-SUMIFS(AJ:AJ,D:D,"&lt;="&amp;D829,C:C,C829)+SUMIFS(N:N,D:D,"&lt;="&amp;D829,C:C,C829)+SUMIFS(P:P,D:D,"&lt;="&amp;D829,C:C,C829)&lt;0,0,SUMIFS('Shipments data'!L:L,'Shipments data'!F:F,'Supply planning data'!C829,'Shipments data'!A:A,'Supply planning data'!A829,'Shipments data'!O:O,"received",'Shipments data'!Q:Q,"&lt;"&amp;'Supply planning data'!D844,'Shipments data'!AC:AC,"&lt;"&amp;'Supply planning data'!D844)-SUMIFS(M:M,D:D,"&lt;="&amp;D829,C:C,C829)-SUMIFS(AJ:AJ,D:D,"&lt;="&amp;D829,C:C,C829)+SUMIFS(N:N,D:D,"&lt;="&amp;D829,C:C,C829)+SUMIFS(P:P,D:D,"&lt;="&amp;D829,C:C,C829))</f>
        <v>0</v>
      </c>
      <c r="AM829" s="98">
        <f t="shared" si="246"/>
        <v>0</v>
      </c>
      <c r="AN829" s="98">
        <f t="shared" si="239"/>
        <v>0</v>
      </c>
      <c r="AO829" s="203" t="str">
        <f t="shared" si="249"/>
        <v/>
      </c>
    </row>
    <row r="830" spans="1:41" x14ac:dyDescent="0.25">
      <c r="A830" s="103" t="str">
        <f>Start!D$7</f>
        <v>Anyland</v>
      </c>
      <c r="B830" s="104" t="str">
        <f>VLOOKUP(A830,list!B:C,2,FALSE)</f>
        <v>ANY</v>
      </c>
      <c r="C830" s="104" t="str">
        <f>IF(Start!$C$17="","",Start!$C$17)</f>
        <v>AstraZeneca</v>
      </c>
      <c r="D830" s="298">
        <f t="shared" si="240"/>
        <v>45870</v>
      </c>
      <c r="E830" s="105" t="str">
        <f>IFERROR(VLOOKUP(C830,Start!C$15:D$31,2,FALSE),"No")</f>
        <v>Yes</v>
      </c>
      <c r="F830" s="105">
        <f t="shared" si="241"/>
        <v>0</v>
      </c>
      <c r="G830" s="106"/>
      <c r="H830" s="106"/>
      <c r="I830" s="106"/>
      <c r="J830" s="105">
        <f t="shared" si="233"/>
        <v>0</v>
      </c>
      <c r="K830" s="106"/>
      <c r="L830" s="177" t="str">
        <f t="shared" si="234"/>
        <v/>
      </c>
      <c r="M830" s="105">
        <f t="shared" si="235"/>
        <v>0</v>
      </c>
      <c r="N830" s="106"/>
      <c r="O830" s="123"/>
      <c r="P830" s="106"/>
      <c r="Q830" s="123"/>
      <c r="R830" s="105">
        <f>SUMIFS('Shipments data'!L:L,'Shipments data'!F:F,'Supply planning data'!C830,'Shipments data'!A:A,'Supply planning data'!A830,'Shipments data'!Y:Y,'Supply planning data'!D830,'Shipments data'!O:O,"received", 'Shipments data'!N:N, "Public")</f>
        <v>0</v>
      </c>
      <c r="S830" s="105">
        <f>SUMIFS('Shipments data'!L:L,'Shipments data'!F:F,'Supply planning data'!C830,'Shipments data'!A:A,'Supply planning data'!A830,'Shipments data'!Y:Y,'Supply planning data'!D830,'Shipments data'!O:O,"ordered", 'Shipments data'!N:N, "Public")</f>
        <v>0</v>
      </c>
      <c r="T830" s="105">
        <f>IF(SUMIFS('Shipments data'!L:L,'Shipments data'!F:F,'Supply planning data'!C830,'Shipments data'!A:A,'Supply planning data'!A830,'Shipments data'!O:O,"received",'Shipments data'!Q:Q,"&lt;"&amp;'Supply planning data'!D845,'Shipments data'!AC:AC,"&lt;"&amp;'Supply planning data'!D845)-SUMIFS(M:M,D:D,"&lt;="&amp;D830,C:C,C830)+SUMIFS(N:N,D:D,"&lt;="&amp;D830,C:C,C830)+SUMIFS(P:P,D:D,"&lt;="&amp;D830,C:C,C830)&lt;0,0,SUMIFS('Shipments data'!L:L,'Shipments data'!F:F,'Supply planning data'!C830,'Shipments data'!A:A,'Supply planning data'!A830,'Shipments data'!O:O,"received",'Shipments data'!Q:Q,"&lt;"&amp;'Supply planning data'!D845,'Shipments data'!AC:AC,"&lt;"&amp;'Supply planning data'!D845)-SUMIFS(M:M,D:D,"&lt;="&amp;D830,C:C,C830)+SUMIFS(N:N,D:D,"&lt;="&amp;D830,C:C,C830)+SUMIFS(P:P,D:D,"&lt;="&amp;D830,C:C,C830))</f>
        <v>0</v>
      </c>
      <c r="U830" s="108">
        <f t="shared" si="242"/>
        <v>0</v>
      </c>
      <c r="V830" s="105">
        <f t="shared" si="250"/>
        <v>0</v>
      </c>
      <c r="W830" s="206" t="str">
        <f t="shared" si="248"/>
        <v/>
      </c>
      <c r="X830" s="105">
        <f t="shared" si="243"/>
        <v>154701</v>
      </c>
      <c r="Y830" s="106"/>
      <c r="Z830" s="107"/>
      <c r="AA830" s="105">
        <f t="shared" si="236"/>
        <v>0</v>
      </c>
      <c r="AB830" s="234"/>
      <c r="AC830" s="105">
        <f>IF(SUMIFS('Shipments data'!L:L,'Shipments data'!F:F,'Supply planning data'!C830,'Shipments data'!A:A,'Supply planning data'!A830,'Shipments data'!O:O,"received",'Shipments data'!Q:Q,"&lt;"&amp;'Supply planning data'!D845,'Shipments data'!AC:AC,"&lt;"&amp;'Supply planning data'!D845)-SUMIFS(M:M,D:D,"&lt;="&amp;D830,C:C,C830)-SUMIFS(AA:AA,D:D,"&lt;="&amp;D830,C:C,C830)+SUMIFS(N:N,D:D,"&lt;="&amp;D830,C:C,C830)+SUMIFS(P:P,D:D,"&lt;="&amp;D830,C:C,C830)&lt;0,0,SUMIFS('Shipments data'!L:L,'Shipments data'!F:F,'Supply planning data'!C830,'Shipments data'!A:A,'Supply planning data'!A830,'Shipments data'!O:O,"received",'Shipments data'!Q:Q,"&lt;"&amp;'Supply planning data'!D845,'Shipments data'!AC:AC,"&lt;"&amp;'Supply planning data'!D845)-SUMIFS(M:M,D:D,"&lt;="&amp;D830,C:C,C830)-SUMIFS(AA:AA,D:D,"&lt;="&amp;D830,C:C,C830)+SUMIFS(N:N,D:D,"&lt;="&amp;D830,C:C,C830)+SUMIFS(P:P,D:D,"&lt;="&amp;D830,C:C,C830))</f>
        <v>0</v>
      </c>
      <c r="AD830" s="105">
        <f t="shared" si="244"/>
        <v>0</v>
      </c>
      <c r="AE830" s="105">
        <f t="shared" si="238"/>
        <v>154701</v>
      </c>
      <c r="AF830" s="206" t="str">
        <f t="shared" si="247"/>
        <v/>
      </c>
      <c r="AG830" s="105">
        <f t="shared" si="245"/>
        <v>0</v>
      </c>
      <c r="AH830" s="106"/>
      <c r="AI830" s="312"/>
      <c r="AJ830" s="105">
        <f t="shared" si="237"/>
        <v>0</v>
      </c>
      <c r="AK830" s="234"/>
      <c r="AL830" s="105">
        <f>IF(SUMIFS('Shipments data'!L:L,'Shipments data'!F:F,'Supply planning data'!C830,'Shipments data'!A:A,'Supply planning data'!A830,'Shipments data'!O:O,"received",'Shipments data'!Q:Q,"&lt;"&amp;'Supply planning data'!D845,'Shipments data'!AC:AC,"&lt;"&amp;'Supply planning data'!D845)-SUMIFS(M:M,D:D,"&lt;="&amp;D830,C:C,C830)-SUMIFS(AJ:AJ,D:D,"&lt;="&amp;D830,C:C,C830)+SUMIFS(N:N,D:D,"&lt;="&amp;D830,C:C,C830)+SUMIFS(P:P,D:D,"&lt;="&amp;D830,C:C,C830)&lt;0,0,SUMIFS('Shipments data'!L:L,'Shipments data'!F:F,'Supply planning data'!C830,'Shipments data'!A:A,'Supply planning data'!A830,'Shipments data'!O:O,"received",'Shipments data'!Q:Q,"&lt;"&amp;'Supply planning data'!D845,'Shipments data'!AC:AC,"&lt;"&amp;'Supply planning data'!D845)-SUMIFS(M:M,D:D,"&lt;="&amp;D830,C:C,C830)-SUMIFS(AJ:AJ,D:D,"&lt;="&amp;D830,C:C,C830)+SUMIFS(N:N,D:D,"&lt;="&amp;D830,C:C,C830)+SUMIFS(P:P,D:D,"&lt;="&amp;D830,C:C,C830))</f>
        <v>0</v>
      </c>
      <c r="AM830" s="105">
        <f t="shared" si="246"/>
        <v>0</v>
      </c>
      <c r="AN830" s="105">
        <f t="shared" si="239"/>
        <v>0</v>
      </c>
      <c r="AO830" s="206" t="str">
        <f t="shared" si="249"/>
        <v/>
      </c>
    </row>
    <row r="831" spans="1:41" x14ac:dyDescent="0.25">
      <c r="A831" s="103" t="str">
        <f>Start!D$7</f>
        <v>Anyland</v>
      </c>
      <c r="B831" s="109" t="str">
        <f>VLOOKUP(A831,list!B:C,2,FALSE)</f>
        <v>ANY</v>
      </c>
      <c r="C831" s="109" t="str">
        <f>IF(Start!$C$18="","",Start!$C$18)</f>
        <v>Jansen</v>
      </c>
      <c r="D831" s="298">
        <f t="shared" si="240"/>
        <v>45870</v>
      </c>
      <c r="E831" s="105" t="str">
        <f>IFERROR(VLOOKUP(C831,Start!C$15:D$31,2,FALSE),"No")</f>
        <v>Yes</v>
      </c>
      <c r="F831" s="105">
        <f t="shared" si="241"/>
        <v>1871200</v>
      </c>
      <c r="G831" s="106"/>
      <c r="H831" s="106"/>
      <c r="I831" s="106"/>
      <c r="J831" s="105">
        <f t="shared" si="233"/>
        <v>0</v>
      </c>
      <c r="K831" s="106"/>
      <c r="L831" s="177" t="str">
        <f t="shared" si="234"/>
        <v/>
      </c>
      <c r="M831" s="105">
        <f t="shared" si="235"/>
        <v>0</v>
      </c>
      <c r="N831" s="110"/>
      <c r="O831" s="124"/>
      <c r="P831" s="110"/>
      <c r="Q831" s="124"/>
      <c r="R831" s="111">
        <f>SUMIFS('Shipments data'!L:L,'Shipments data'!F:F,'Supply planning data'!C831,'Shipments data'!A:A,'Supply planning data'!A831,'Shipments data'!Y:Y,'Supply planning data'!D831,'Shipments data'!O:O,"received", 'Shipments data'!N:N, "Public")</f>
        <v>0</v>
      </c>
      <c r="S831" s="111">
        <f>SUMIFS('Shipments data'!L:L,'Shipments data'!F:F,'Supply planning data'!C831,'Shipments data'!A:A,'Supply planning data'!A831,'Shipments data'!Y:Y,'Supply planning data'!D831,'Shipments data'!O:O,"ordered", 'Shipments data'!N:N, "Public")</f>
        <v>0</v>
      </c>
      <c r="T831" s="111">
        <f>IF(SUMIFS('Shipments data'!L:L,'Shipments data'!F:F,'Supply planning data'!C831,'Shipments data'!A:A,'Supply planning data'!A831,'Shipments data'!O:O,"received",'Shipments data'!Q:Q,"&lt;"&amp;'Supply planning data'!D846,'Shipments data'!AC:AC,"&lt;"&amp;'Supply planning data'!D846)-SUMIFS(M:M,D:D,"&lt;="&amp;D831,C:C,C831)+SUMIFS(N:N,D:D,"&lt;="&amp;D831,C:C,C831)+SUMIFS(P:P,D:D,"&lt;="&amp;D831,C:C,C831)&lt;0,0,SUMIFS('Shipments data'!L:L,'Shipments data'!F:F,'Supply planning data'!C831,'Shipments data'!A:A,'Supply planning data'!A831,'Shipments data'!O:O,"received",'Shipments data'!Q:Q,"&lt;"&amp;'Supply planning data'!D846,'Shipments data'!AC:AC,"&lt;"&amp;'Supply planning data'!D846)-SUMIFS(M:M,D:D,"&lt;="&amp;D831,C:C,C831)+SUMIFS(N:N,D:D,"&lt;="&amp;D831,C:C,C831)+SUMIFS(P:P,D:D,"&lt;="&amp;D831,C:C,C831))</f>
        <v>387547</v>
      </c>
      <c r="U831" s="112">
        <f t="shared" si="242"/>
        <v>0</v>
      </c>
      <c r="V831" s="111">
        <f t="shared" si="250"/>
        <v>1871200</v>
      </c>
      <c r="W831" s="204" t="str">
        <f t="shared" si="248"/>
        <v/>
      </c>
      <c r="X831" s="111">
        <f t="shared" si="243"/>
        <v>1311200</v>
      </c>
      <c r="Y831" s="110"/>
      <c r="Z831" s="107"/>
      <c r="AA831" s="111">
        <f t="shared" si="236"/>
        <v>0</v>
      </c>
      <c r="AB831" s="235"/>
      <c r="AC831" s="111">
        <f>IF(SUMIFS('Shipments data'!L:L,'Shipments data'!F:F,'Supply planning data'!C831,'Shipments data'!A:A,'Supply planning data'!A831,'Shipments data'!O:O,"received",'Shipments data'!Q:Q,"&lt;"&amp;'Supply planning data'!D846,'Shipments data'!AC:AC,"&lt;"&amp;'Supply planning data'!D846)-SUMIFS(M:M,D:D,"&lt;="&amp;D831,C:C,C831)-SUMIFS(AA:AA,D:D,"&lt;="&amp;D831,C:C,C831)+SUMIFS(N:N,D:D,"&lt;="&amp;D831,C:C,C831)+SUMIFS(P:P,D:D,"&lt;="&amp;D831,C:C,C831)&lt;0,0,SUMIFS('Shipments data'!L:L,'Shipments data'!F:F,'Supply planning data'!C831,'Shipments data'!A:A,'Supply planning data'!A831,'Shipments data'!O:O,"received",'Shipments data'!Q:Q,"&lt;"&amp;'Supply planning data'!D846,'Shipments data'!AC:AC,"&lt;"&amp;'Supply planning data'!D846)-SUMIFS(M:M,D:D,"&lt;="&amp;D831,C:C,C831)-SUMIFS(AA:AA,D:D,"&lt;="&amp;D831,C:C,C831)+SUMIFS(N:N,D:D,"&lt;="&amp;D831,C:C,C831)+SUMIFS(P:P,D:D,"&lt;="&amp;D831,C:C,C831))</f>
        <v>0</v>
      </c>
      <c r="AD831" s="111">
        <f t="shared" si="244"/>
        <v>0</v>
      </c>
      <c r="AE831" s="111">
        <f t="shared" si="238"/>
        <v>1311200</v>
      </c>
      <c r="AF831" s="204" t="str">
        <f t="shared" si="247"/>
        <v/>
      </c>
      <c r="AG831" s="111">
        <f t="shared" si="245"/>
        <v>1871200</v>
      </c>
      <c r="AH831" s="110"/>
      <c r="AI831" s="313"/>
      <c r="AJ831" s="111">
        <f t="shared" si="237"/>
        <v>0</v>
      </c>
      <c r="AK831" s="235"/>
      <c r="AL831" s="111">
        <f>IF(SUMIFS('Shipments data'!L:L,'Shipments data'!F:F,'Supply planning data'!C831,'Shipments data'!A:A,'Supply planning data'!A831,'Shipments data'!O:O,"received",'Shipments data'!Q:Q,"&lt;"&amp;'Supply planning data'!D846,'Shipments data'!AC:AC,"&lt;"&amp;'Supply planning data'!D846)-SUMIFS(M:M,D:D,"&lt;="&amp;D831,C:C,C831)-SUMIFS(AJ:AJ,D:D,"&lt;="&amp;D831,C:C,C831)+SUMIFS(N:N,D:D,"&lt;="&amp;D831,C:C,C831)+SUMIFS(P:P,D:D,"&lt;="&amp;D831,C:C,C831)&lt;0,0,SUMIFS('Shipments data'!L:L,'Shipments data'!F:F,'Supply planning data'!C831,'Shipments data'!A:A,'Supply planning data'!A831,'Shipments data'!O:O,"received",'Shipments data'!Q:Q,"&lt;"&amp;'Supply planning data'!D846,'Shipments data'!AC:AC,"&lt;"&amp;'Supply planning data'!D846)-SUMIFS(M:M,D:D,"&lt;="&amp;D831,C:C,C831)-SUMIFS(AJ:AJ,D:D,"&lt;="&amp;D831,C:C,C831)+SUMIFS(N:N,D:D,"&lt;="&amp;D831,C:C,C831)+SUMIFS(P:P,D:D,"&lt;="&amp;D831,C:C,C831))</f>
        <v>387547</v>
      </c>
      <c r="AM831" s="111">
        <f t="shared" si="246"/>
        <v>0</v>
      </c>
      <c r="AN831" s="111">
        <f t="shared" si="239"/>
        <v>1871200</v>
      </c>
      <c r="AO831" s="204" t="str">
        <f t="shared" si="249"/>
        <v/>
      </c>
    </row>
    <row r="832" spans="1:41" x14ac:dyDescent="0.25">
      <c r="A832" s="103" t="str">
        <f>Start!D$7</f>
        <v>Anyland</v>
      </c>
      <c r="B832" s="109" t="str">
        <f>VLOOKUP(A832,list!B:C,2,FALSE)</f>
        <v>ANY</v>
      </c>
      <c r="C832" s="104" t="str">
        <f>IF(Start!$C$19="","",Start!$C$19)</f>
        <v>Moderna</v>
      </c>
      <c r="D832" s="298">
        <f t="shared" si="240"/>
        <v>45870</v>
      </c>
      <c r="E832" s="105" t="str">
        <f>IFERROR(VLOOKUP(C832,Start!C$15:D$31,2,FALSE),"No")</f>
        <v>No</v>
      </c>
      <c r="F832" s="105">
        <f t="shared" si="241"/>
        <v>0</v>
      </c>
      <c r="G832" s="106"/>
      <c r="H832" s="106"/>
      <c r="I832" s="106"/>
      <c r="J832" s="105">
        <f t="shared" si="233"/>
        <v>0</v>
      </c>
      <c r="K832" s="106"/>
      <c r="L832" s="177" t="str">
        <f t="shared" si="234"/>
        <v/>
      </c>
      <c r="M832" s="105">
        <f t="shared" si="235"/>
        <v>0</v>
      </c>
      <c r="N832" s="110"/>
      <c r="O832" s="124"/>
      <c r="P832" s="110"/>
      <c r="Q832" s="124"/>
      <c r="R832" s="111">
        <f>SUMIFS('Shipments data'!L:L,'Shipments data'!F:F,'Supply planning data'!C832,'Shipments data'!A:A,'Supply planning data'!A832,'Shipments data'!Y:Y,'Supply planning data'!D832,'Shipments data'!O:O,"received", 'Shipments data'!N:N, "Public")</f>
        <v>0</v>
      </c>
      <c r="S832" s="111">
        <f>SUMIFS('Shipments data'!L:L,'Shipments data'!F:F,'Supply planning data'!C832,'Shipments data'!A:A,'Supply planning data'!A832,'Shipments data'!Y:Y,'Supply planning data'!D832,'Shipments data'!O:O,"ordered", 'Shipments data'!N:N, "Public")</f>
        <v>0</v>
      </c>
      <c r="T832" s="111">
        <f>IF(SUMIFS('Shipments data'!L:L,'Shipments data'!F:F,'Supply planning data'!C832,'Shipments data'!A:A,'Supply planning data'!A832,'Shipments data'!O:O,"received",'Shipments data'!Q:Q,"&lt;"&amp;'Supply planning data'!D847,'Shipments data'!AC:AC,"&lt;"&amp;'Supply planning data'!D847)-SUMIFS(M:M,D:D,"&lt;="&amp;D832,C:C,C832)+SUMIFS(N:N,D:D,"&lt;="&amp;D832,C:C,C832)+SUMIFS(P:P,D:D,"&lt;="&amp;D832,C:C,C832)&lt;0,0,SUMIFS('Shipments data'!L:L,'Shipments data'!F:F,'Supply planning data'!C832,'Shipments data'!A:A,'Supply planning data'!A832,'Shipments data'!O:O,"received",'Shipments data'!Q:Q,"&lt;"&amp;'Supply planning data'!D847,'Shipments data'!AC:AC,"&lt;"&amp;'Supply planning data'!D847)-SUMIFS(M:M,D:D,"&lt;="&amp;D832,C:C,C832)+SUMIFS(N:N,D:D,"&lt;="&amp;D832,C:C,C832)+SUMIFS(P:P,D:D,"&lt;="&amp;D832,C:C,C832))</f>
        <v>0</v>
      </c>
      <c r="U832" s="112">
        <f t="shared" si="242"/>
        <v>0</v>
      </c>
      <c r="V832" s="111">
        <f t="shared" si="250"/>
        <v>0</v>
      </c>
      <c r="W832" s="204" t="str">
        <f t="shared" si="248"/>
        <v/>
      </c>
      <c r="X832" s="111">
        <f t="shared" si="243"/>
        <v>0</v>
      </c>
      <c r="Y832" s="110"/>
      <c r="Z832" s="107"/>
      <c r="AA832" s="111">
        <f t="shared" si="236"/>
        <v>0</v>
      </c>
      <c r="AB832" s="235"/>
      <c r="AC832" s="111">
        <f>IF(SUMIFS('Shipments data'!L:L,'Shipments data'!F:F,'Supply planning data'!C832,'Shipments data'!A:A,'Supply planning data'!A832,'Shipments data'!O:O,"received",'Shipments data'!Q:Q,"&lt;"&amp;'Supply planning data'!D847,'Shipments data'!AC:AC,"&lt;"&amp;'Supply planning data'!D847)-SUMIFS(M:M,D:D,"&lt;="&amp;D832,C:C,C832)-SUMIFS(AA:AA,D:D,"&lt;="&amp;D832,C:C,C832)+SUMIFS(N:N,D:D,"&lt;="&amp;D832,C:C,C832)+SUMIFS(P:P,D:D,"&lt;="&amp;D832,C:C,C832)&lt;0,0,SUMIFS('Shipments data'!L:L,'Shipments data'!F:F,'Supply planning data'!C832,'Shipments data'!A:A,'Supply planning data'!A832,'Shipments data'!O:O,"received",'Shipments data'!Q:Q,"&lt;"&amp;'Supply planning data'!D847,'Shipments data'!AC:AC,"&lt;"&amp;'Supply planning data'!D847)-SUMIFS(M:M,D:D,"&lt;="&amp;D832,C:C,C832)-SUMIFS(AA:AA,D:D,"&lt;="&amp;D832,C:C,C832)+SUMIFS(N:N,D:D,"&lt;="&amp;D832,C:C,C832)+SUMIFS(P:P,D:D,"&lt;="&amp;D832,C:C,C832))</f>
        <v>0</v>
      </c>
      <c r="AD832" s="111">
        <f t="shared" si="244"/>
        <v>0</v>
      </c>
      <c r="AE832" s="111">
        <f t="shared" si="238"/>
        <v>0</v>
      </c>
      <c r="AF832" s="204" t="str">
        <f t="shared" si="247"/>
        <v/>
      </c>
      <c r="AG832" s="111">
        <f t="shared" si="245"/>
        <v>0</v>
      </c>
      <c r="AH832" s="110"/>
      <c r="AI832" s="313"/>
      <c r="AJ832" s="111">
        <f t="shared" si="237"/>
        <v>0</v>
      </c>
      <c r="AK832" s="235"/>
      <c r="AL832" s="111">
        <f>IF(SUMIFS('Shipments data'!L:L,'Shipments data'!F:F,'Supply planning data'!C832,'Shipments data'!A:A,'Supply planning data'!A832,'Shipments data'!O:O,"received",'Shipments data'!Q:Q,"&lt;"&amp;'Supply planning data'!D847,'Shipments data'!AC:AC,"&lt;"&amp;'Supply planning data'!D847)-SUMIFS(M:M,D:D,"&lt;="&amp;D832,C:C,C832)-SUMIFS(AJ:AJ,D:D,"&lt;="&amp;D832,C:C,C832)+SUMIFS(N:N,D:D,"&lt;="&amp;D832,C:C,C832)+SUMIFS(P:P,D:D,"&lt;="&amp;D832,C:C,C832)&lt;0,0,SUMIFS('Shipments data'!L:L,'Shipments data'!F:F,'Supply planning data'!C832,'Shipments data'!A:A,'Supply planning data'!A832,'Shipments data'!O:O,"received",'Shipments data'!Q:Q,"&lt;"&amp;'Supply planning data'!D847,'Shipments data'!AC:AC,"&lt;"&amp;'Supply planning data'!D847)-SUMIFS(M:M,D:D,"&lt;="&amp;D832,C:C,C832)-SUMIFS(AJ:AJ,D:D,"&lt;="&amp;D832,C:C,C832)+SUMIFS(N:N,D:D,"&lt;="&amp;D832,C:C,C832)+SUMIFS(P:P,D:D,"&lt;="&amp;D832,C:C,C832))</f>
        <v>0</v>
      </c>
      <c r="AM832" s="111">
        <f t="shared" si="246"/>
        <v>0</v>
      </c>
      <c r="AN832" s="111">
        <f t="shared" si="239"/>
        <v>0</v>
      </c>
      <c r="AO832" s="204" t="str">
        <f t="shared" si="249"/>
        <v/>
      </c>
    </row>
    <row r="833" spans="1:41" x14ac:dyDescent="0.25">
      <c r="A833" s="103" t="str">
        <f>Start!D$7</f>
        <v>Anyland</v>
      </c>
      <c r="B833" s="109" t="str">
        <f>VLOOKUP(A833,list!B:C,2,FALSE)</f>
        <v>ANY</v>
      </c>
      <c r="C833" s="109" t="str">
        <f>IF(Start!$C$20="","",Start!$C$20)</f>
        <v>Pfizer</v>
      </c>
      <c r="D833" s="298">
        <f t="shared" si="240"/>
        <v>45870</v>
      </c>
      <c r="E833" s="105" t="str">
        <f>IFERROR(VLOOKUP(C833,Start!C$15:D$31,2,FALSE),"No")</f>
        <v>Yes</v>
      </c>
      <c r="F833" s="105">
        <f t="shared" si="241"/>
        <v>3000000</v>
      </c>
      <c r="G833" s="106"/>
      <c r="H833" s="106"/>
      <c r="I833" s="106"/>
      <c r="J833" s="105">
        <f t="shared" si="233"/>
        <v>0</v>
      </c>
      <c r="K833" s="106"/>
      <c r="L833" s="177" t="str">
        <f t="shared" si="234"/>
        <v/>
      </c>
      <c r="M833" s="105">
        <f t="shared" si="235"/>
        <v>0</v>
      </c>
      <c r="N833" s="110"/>
      <c r="O833" s="124"/>
      <c r="P833" s="110"/>
      <c r="Q833" s="124"/>
      <c r="R833" s="111">
        <f>SUMIFS('Shipments data'!L:L,'Shipments data'!F:F,'Supply planning data'!C833,'Shipments data'!A:A,'Supply planning data'!A833,'Shipments data'!Y:Y,'Supply planning data'!D833,'Shipments data'!O:O,"received", 'Shipments data'!N:N, "Public")</f>
        <v>0</v>
      </c>
      <c r="S833" s="111">
        <f>SUMIFS('Shipments data'!L:L,'Shipments data'!F:F,'Supply planning data'!C833,'Shipments data'!A:A,'Supply planning data'!A833,'Shipments data'!Y:Y,'Supply planning data'!D833,'Shipments data'!O:O,"ordered", 'Shipments data'!N:N, "Public")</f>
        <v>0</v>
      </c>
      <c r="T833" s="111">
        <f>IF(SUMIFS('Shipments data'!L:L,'Shipments data'!F:F,'Supply planning data'!C833,'Shipments data'!A:A,'Supply planning data'!A833,'Shipments data'!O:O,"received",'Shipments data'!Q:Q,"&lt;"&amp;'Supply planning data'!D848,'Shipments data'!AC:AC,"&lt;"&amp;'Supply planning data'!D848)-SUMIFS(M:M,D:D,"&lt;="&amp;D833,C:C,C833)+SUMIFS(N:N,D:D,"&lt;="&amp;D833,C:C,C833)+SUMIFS(P:P,D:D,"&lt;="&amp;D833,C:C,C833)&lt;0,0,SUMIFS('Shipments data'!L:L,'Shipments data'!F:F,'Supply planning data'!C833,'Shipments data'!A:A,'Supply planning data'!A833,'Shipments data'!O:O,"received",'Shipments data'!Q:Q,"&lt;"&amp;'Supply planning data'!D848,'Shipments data'!AC:AC,"&lt;"&amp;'Supply planning data'!D848)-SUMIFS(M:M,D:D,"&lt;="&amp;D833,C:C,C833)+SUMIFS(N:N,D:D,"&lt;="&amp;D833,C:C,C833)+SUMIFS(P:P,D:D,"&lt;="&amp;D833,C:C,C833))</f>
        <v>110538</v>
      </c>
      <c r="U833" s="112">
        <f t="shared" si="242"/>
        <v>0</v>
      </c>
      <c r="V833" s="111">
        <f t="shared" si="250"/>
        <v>3000000</v>
      </c>
      <c r="W833" s="204" t="str">
        <f t="shared" si="248"/>
        <v/>
      </c>
      <c r="X833" s="111">
        <f t="shared" si="243"/>
        <v>2440000</v>
      </c>
      <c r="Y833" s="110"/>
      <c r="Z833" s="107"/>
      <c r="AA833" s="111">
        <f t="shared" si="236"/>
        <v>0</v>
      </c>
      <c r="AB833" s="235"/>
      <c r="AC833" s="111">
        <f>IF(SUMIFS('Shipments data'!L:L,'Shipments data'!F:F,'Supply planning data'!C833,'Shipments data'!A:A,'Supply planning data'!A833,'Shipments data'!O:O,"received",'Shipments data'!Q:Q,"&lt;"&amp;'Supply planning data'!D848,'Shipments data'!AC:AC,"&lt;"&amp;'Supply planning data'!D848)-SUMIFS(M:M,D:D,"&lt;="&amp;D833,C:C,C833)-SUMIFS(AA:AA,D:D,"&lt;="&amp;D833,C:C,C833)+SUMIFS(N:N,D:D,"&lt;="&amp;D833,C:C,C833)+SUMIFS(P:P,D:D,"&lt;="&amp;D833,C:C,C833)&lt;0,0,SUMIFS('Shipments data'!L:L,'Shipments data'!F:F,'Supply planning data'!C833,'Shipments data'!A:A,'Supply planning data'!A833,'Shipments data'!O:O,"received",'Shipments data'!Q:Q,"&lt;"&amp;'Supply planning data'!D848,'Shipments data'!AC:AC,"&lt;"&amp;'Supply planning data'!D848)-SUMIFS(M:M,D:D,"&lt;="&amp;D833,C:C,C833)-SUMIFS(AA:AA,D:D,"&lt;="&amp;D833,C:C,C833)+SUMIFS(N:N,D:D,"&lt;="&amp;D833,C:C,C833)+SUMIFS(P:P,D:D,"&lt;="&amp;D833,C:C,C833))</f>
        <v>0</v>
      </c>
      <c r="AD833" s="111">
        <f t="shared" si="244"/>
        <v>0</v>
      </c>
      <c r="AE833" s="111">
        <f t="shared" si="238"/>
        <v>2440000</v>
      </c>
      <c r="AF833" s="204" t="str">
        <f t="shared" si="247"/>
        <v/>
      </c>
      <c r="AG833" s="111">
        <f t="shared" si="245"/>
        <v>3000000</v>
      </c>
      <c r="AH833" s="110"/>
      <c r="AI833" s="313"/>
      <c r="AJ833" s="111">
        <f t="shared" si="237"/>
        <v>0</v>
      </c>
      <c r="AK833" s="235"/>
      <c r="AL833" s="111">
        <f>IF(SUMIFS('Shipments data'!L:L,'Shipments data'!F:F,'Supply planning data'!C833,'Shipments data'!A:A,'Supply planning data'!A833,'Shipments data'!O:O,"received",'Shipments data'!Q:Q,"&lt;"&amp;'Supply planning data'!D848,'Shipments data'!AC:AC,"&lt;"&amp;'Supply planning data'!D848)-SUMIFS(M:M,D:D,"&lt;="&amp;D833,C:C,C833)-SUMIFS(AJ:AJ,D:D,"&lt;="&amp;D833,C:C,C833)+SUMIFS(N:N,D:D,"&lt;="&amp;D833,C:C,C833)+SUMIFS(P:P,D:D,"&lt;="&amp;D833,C:C,C833)&lt;0,0,SUMIFS('Shipments data'!L:L,'Shipments data'!F:F,'Supply planning data'!C833,'Shipments data'!A:A,'Supply planning data'!A833,'Shipments data'!O:O,"received",'Shipments data'!Q:Q,"&lt;"&amp;'Supply planning data'!D848,'Shipments data'!AC:AC,"&lt;"&amp;'Supply planning data'!D848)-SUMIFS(M:M,D:D,"&lt;="&amp;D833,C:C,C833)-SUMIFS(AJ:AJ,D:D,"&lt;="&amp;D833,C:C,C833)+SUMIFS(N:N,D:D,"&lt;="&amp;D833,C:C,C833)+SUMIFS(P:P,D:D,"&lt;="&amp;D833,C:C,C833))</f>
        <v>110538</v>
      </c>
      <c r="AM833" s="111">
        <f t="shared" si="246"/>
        <v>0</v>
      </c>
      <c r="AN833" s="111">
        <f t="shared" si="239"/>
        <v>3000000</v>
      </c>
      <c r="AO833" s="204" t="str">
        <f t="shared" si="249"/>
        <v/>
      </c>
    </row>
    <row r="834" spans="1:41" x14ac:dyDescent="0.25">
      <c r="A834" s="103" t="str">
        <f>Start!D$7</f>
        <v>Anyland</v>
      </c>
      <c r="B834" s="109" t="str">
        <f>VLOOKUP(A834,list!B:C,2,FALSE)</f>
        <v>ANY</v>
      </c>
      <c r="C834" s="104" t="str">
        <f>IF(Start!$C$21="","",Start!$C$21)</f>
        <v>Sinovac</v>
      </c>
      <c r="D834" s="298">
        <f t="shared" si="240"/>
        <v>45870</v>
      </c>
      <c r="E834" s="105" t="str">
        <f>IFERROR(VLOOKUP(C834,Start!C$15:D$31,2,FALSE),"No")</f>
        <v>No</v>
      </c>
      <c r="F834" s="105">
        <f t="shared" si="241"/>
        <v>0</v>
      </c>
      <c r="G834" s="106"/>
      <c r="H834" s="106"/>
      <c r="I834" s="106"/>
      <c r="J834" s="105">
        <f t="shared" si="233"/>
        <v>0</v>
      </c>
      <c r="K834" s="106"/>
      <c r="L834" s="177" t="str">
        <f t="shared" si="234"/>
        <v/>
      </c>
      <c r="M834" s="105">
        <f t="shared" si="235"/>
        <v>0</v>
      </c>
      <c r="N834" s="110"/>
      <c r="O834" s="124"/>
      <c r="P834" s="110"/>
      <c r="Q834" s="124"/>
      <c r="R834" s="111">
        <f>SUMIFS('Shipments data'!L:L,'Shipments data'!F:F,'Supply planning data'!C834,'Shipments data'!A:A,'Supply planning data'!A834,'Shipments data'!Y:Y,'Supply planning data'!D834,'Shipments data'!O:O,"received", 'Shipments data'!N:N, "Public")</f>
        <v>0</v>
      </c>
      <c r="S834" s="111">
        <f>SUMIFS('Shipments data'!L:L,'Shipments data'!F:F,'Supply planning data'!C834,'Shipments data'!A:A,'Supply planning data'!A834,'Shipments data'!Y:Y,'Supply planning data'!D834,'Shipments data'!O:O,"ordered", 'Shipments data'!N:N, "Public")</f>
        <v>0</v>
      </c>
      <c r="T834" s="111">
        <f>IF(SUMIFS('Shipments data'!L:L,'Shipments data'!F:F,'Supply planning data'!C834,'Shipments data'!A:A,'Supply planning data'!A834,'Shipments data'!O:O,"received",'Shipments data'!Q:Q,"&lt;"&amp;'Supply planning data'!D849,'Shipments data'!AC:AC,"&lt;"&amp;'Supply planning data'!D849)-SUMIFS(M:M,D:D,"&lt;="&amp;D834,C:C,C834)+SUMIFS(N:N,D:D,"&lt;="&amp;D834,C:C,C834)+SUMIFS(P:P,D:D,"&lt;="&amp;D834,C:C,C834)&lt;0,0,SUMIFS('Shipments data'!L:L,'Shipments data'!F:F,'Supply planning data'!C834,'Shipments data'!A:A,'Supply planning data'!A834,'Shipments data'!O:O,"received",'Shipments data'!Q:Q,"&lt;"&amp;'Supply planning data'!D849,'Shipments data'!AC:AC,"&lt;"&amp;'Supply planning data'!D849)-SUMIFS(M:M,D:D,"&lt;="&amp;D834,C:C,C834)+SUMIFS(N:N,D:D,"&lt;="&amp;D834,C:C,C834)+SUMIFS(P:P,D:D,"&lt;="&amp;D834,C:C,C834))</f>
        <v>0</v>
      </c>
      <c r="U834" s="112">
        <f t="shared" si="242"/>
        <v>0</v>
      </c>
      <c r="V834" s="111">
        <f t="shared" si="250"/>
        <v>0</v>
      </c>
      <c r="W834" s="204" t="str">
        <f t="shared" si="248"/>
        <v/>
      </c>
      <c r="X834" s="111">
        <f t="shared" si="243"/>
        <v>0</v>
      </c>
      <c r="Y834" s="110"/>
      <c r="Z834" s="107"/>
      <c r="AA834" s="111">
        <f t="shared" si="236"/>
        <v>0</v>
      </c>
      <c r="AB834" s="235"/>
      <c r="AC834" s="111">
        <f>IF(SUMIFS('Shipments data'!L:L,'Shipments data'!F:F,'Supply planning data'!C834,'Shipments data'!A:A,'Supply planning data'!A834,'Shipments data'!O:O,"received",'Shipments data'!Q:Q,"&lt;"&amp;'Supply planning data'!D849,'Shipments data'!AC:AC,"&lt;"&amp;'Supply planning data'!D849)-SUMIFS(M:M,D:D,"&lt;="&amp;D834,C:C,C834)-SUMIFS(AA:AA,D:D,"&lt;="&amp;D834,C:C,C834)+SUMIFS(N:N,D:D,"&lt;="&amp;D834,C:C,C834)+SUMIFS(P:P,D:D,"&lt;="&amp;D834,C:C,C834)&lt;0,0,SUMIFS('Shipments data'!L:L,'Shipments data'!F:F,'Supply planning data'!C834,'Shipments data'!A:A,'Supply planning data'!A834,'Shipments data'!O:O,"received",'Shipments data'!Q:Q,"&lt;"&amp;'Supply planning data'!D849,'Shipments data'!AC:AC,"&lt;"&amp;'Supply planning data'!D849)-SUMIFS(M:M,D:D,"&lt;="&amp;D834,C:C,C834)-SUMIFS(AA:AA,D:D,"&lt;="&amp;D834,C:C,C834)+SUMIFS(N:N,D:D,"&lt;="&amp;D834,C:C,C834)+SUMIFS(P:P,D:D,"&lt;="&amp;D834,C:C,C834))</f>
        <v>0</v>
      </c>
      <c r="AD834" s="111">
        <f t="shared" si="244"/>
        <v>0</v>
      </c>
      <c r="AE834" s="111">
        <f t="shared" si="238"/>
        <v>0</v>
      </c>
      <c r="AF834" s="204" t="str">
        <f t="shared" si="247"/>
        <v/>
      </c>
      <c r="AG834" s="111">
        <f t="shared" si="245"/>
        <v>0</v>
      </c>
      <c r="AH834" s="110"/>
      <c r="AI834" s="313"/>
      <c r="AJ834" s="111">
        <f t="shared" si="237"/>
        <v>0</v>
      </c>
      <c r="AK834" s="235"/>
      <c r="AL834" s="111">
        <f>IF(SUMIFS('Shipments data'!L:L,'Shipments data'!F:F,'Supply planning data'!C834,'Shipments data'!A:A,'Supply planning data'!A834,'Shipments data'!O:O,"received",'Shipments data'!Q:Q,"&lt;"&amp;'Supply planning data'!D849,'Shipments data'!AC:AC,"&lt;"&amp;'Supply planning data'!D849)-SUMIFS(M:M,D:D,"&lt;="&amp;D834,C:C,C834)-SUMIFS(AJ:AJ,D:D,"&lt;="&amp;D834,C:C,C834)+SUMIFS(N:N,D:D,"&lt;="&amp;D834,C:C,C834)+SUMIFS(P:P,D:D,"&lt;="&amp;D834,C:C,C834)&lt;0,0,SUMIFS('Shipments data'!L:L,'Shipments data'!F:F,'Supply planning data'!C834,'Shipments data'!A:A,'Supply planning data'!A834,'Shipments data'!O:O,"received",'Shipments data'!Q:Q,"&lt;"&amp;'Supply planning data'!D849,'Shipments data'!AC:AC,"&lt;"&amp;'Supply planning data'!D849)-SUMIFS(M:M,D:D,"&lt;="&amp;D834,C:C,C834)-SUMIFS(AJ:AJ,D:D,"&lt;="&amp;D834,C:C,C834)+SUMIFS(N:N,D:D,"&lt;="&amp;D834,C:C,C834)+SUMIFS(P:P,D:D,"&lt;="&amp;D834,C:C,C834))</f>
        <v>0</v>
      </c>
      <c r="AM834" s="111">
        <f t="shared" si="246"/>
        <v>0</v>
      </c>
      <c r="AN834" s="111">
        <f t="shared" si="239"/>
        <v>0</v>
      </c>
      <c r="AO834" s="204" t="str">
        <f t="shared" si="249"/>
        <v/>
      </c>
    </row>
    <row r="835" spans="1:41" hidden="1" x14ac:dyDescent="0.25">
      <c r="A835" s="103" t="str">
        <f>Start!D$7</f>
        <v>Anyland</v>
      </c>
      <c r="B835" s="109" t="str">
        <f>VLOOKUP(A835,list!B:C,2,FALSE)</f>
        <v>ANY</v>
      </c>
      <c r="C835" s="109" t="str">
        <f>IF(Start!$C$22="","",Start!$C$22)</f>
        <v/>
      </c>
      <c r="D835" s="298">
        <f t="shared" si="240"/>
        <v>45870</v>
      </c>
      <c r="E835" s="105" t="str">
        <f>IFERROR(VLOOKUP(C835,Start!C$15:D$31,2,FALSE),"No")</f>
        <v>No</v>
      </c>
      <c r="F835" s="105">
        <f t="shared" si="241"/>
        <v>0</v>
      </c>
      <c r="G835" s="106"/>
      <c r="H835" s="106"/>
      <c r="I835" s="106"/>
      <c r="J835" s="105">
        <f t="shared" si="233"/>
        <v>0</v>
      </c>
      <c r="K835" s="106"/>
      <c r="L835" s="177" t="str">
        <f t="shared" si="234"/>
        <v/>
      </c>
      <c r="M835" s="105">
        <f t="shared" si="235"/>
        <v>0</v>
      </c>
      <c r="N835" s="110"/>
      <c r="O835" s="124"/>
      <c r="P835" s="110"/>
      <c r="Q835" s="124"/>
      <c r="R835" s="111">
        <f>SUMIFS('Shipments data'!L:L,'Shipments data'!F:F,'Supply planning data'!C835,'Shipments data'!A:A,'Supply planning data'!A835,'Shipments data'!Y:Y,'Supply planning data'!D835,'Shipments data'!O:O,"received", 'Shipments data'!N:N, "Public")</f>
        <v>0</v>
      </c>
      <c r="S835" s="111">
        <f>SUMIFS('Shipments data'!L:L,'Shipments data'!F:F,'Supply planning data'!C835,'Shipments data'!A:A,'Supply planning data'!A835,'Shipments data'!Y:Y,'Supply planning data'!D835,'Shipments data'!O:O,"ordered", 'Shipments data'!N:N, "Public")</f>
        <v>0</v>
      </c>
      <c r="T835" s="111">
        <f>IF(SUMIFS('Shipments data'!L:L,'Shipments data'!F:F,'Supply planning data'!C835,'Shipments data'!A:A,'Supply planning data'!A835,'Shipments data'!O:O,"received",'Shipments data'!Q:Q,"&lt;"&amp;'Supply planning data'!D850,'Shipments data'!AC:AC,"&lt;"&amp;'Supply planning data'!D850)-SUMIFS(M:M,D:D,"&lt;="&amp;D835,C:C,C835)+SUMIFS(N:N,D:D,"&lt;="&amp;D835,C:C,C835)+SUMIFS(P:P,D:D,"&lt;="&amp;D835,C:C,C835)&lt;0,0,SUMIFS('Shipments data'!L:L,'Shipments data'!F:F,'Supply planning data'!C835,'Shipments data'!A:A,'Supply planning data'!A835,'Shipments data'!O:O,"received",'Shipments data'!Q:Q,"&lt;"&amp;'Supply planning data'!D850,'Shipments data'!AC:AC,"&lt;"&amp;'Supply planning data'!D850)-SUMIFS(M:M,D:D,"&lt;="&amp;D835,C:C,C835)+SUMIFS(N:N,D:D,"&lt;="&amp;D835,C:C,C835)+SUMIFS(P:P,D:D,"&lt;="&amp;D835,C:C,C835))</f>
        <v>0</v>
      </c>
      <c r="U835" s="112">
        <f t="shared" si="242"/>
        <v>0</v>
      </c>
      <c r="V835" s="111">
        <f t="shared" si="250"/>
        <v>0</v>
      </c>
      <c r="W835" s="204" t="str">
        <f t="shared" si="248"/>
        <v/>
      </c>
      <c r="X835" s="111">
        <f t="shared" si="243"/>
        <v>0</v>
      </c>
      <c r="Y835" s="110"/>
      <c r="Z835" s="107"/>
      <c r="AA835" s="111">
        <f t="shared" si="236"/>
        <v>0</v>
      </c>
      <c r="AB835" s="235"/>
      <c r="AC835" s="111">
        <f>IF(SUMIFS('Shipments data'!L:L,'Shipments data'!F:F,'Supply planning data'!C835,'Shipments data'!A:A,'Supply planning data'!A835,'Shipments data'!O:O,"received",'Shipments data'!Q:Q,"&lt;"&amp;'Supply planning data'!D850,'Shipments data'!AC:AC,"&lt;"&amp;'Supply planning data'!D850)-SUMIFS(M:M,D:D,"&lt;="&amp;D835,C:C,C835)-SUMIFS(AA:AA,D:D,"&lt;="&amp;D835,C:C,C835)+SUMIFS(N:N,D:D,"&lt;="&amp;D835,C:C,C835)+SUMIFS(P:P,D:D,"&lt;="&amp;D835,C:C,C835)&lt;0,0,SUMIFS('Shipments data'!L:L,'Shipments data'!F:F,'Supply planning data'!C835,'Shipments data'!A:A,'Supply planning data'!A835,'Shipments data'!O:O,"received",'Shipments data'!Q:Q,"&lt;"&amp;'Supply planning data'!D850,'Shipments data'!AC:AC,"&lt;"&amp;'Supply planning data'!D850)-SUMIFS(M:M,D:D,"&lt;="&amp;D835,C:C,C835)-SUMIFS(AA:AA,D:D,"&lt;="&amp;D835,C:C,C835)+SUMIFS(N:N,D:D,"&lt;="&amp;D835,C:C,C835)+SUMIFS(P:P,D:D,"&lt;="&amp;D835,C:C,C835))</f>
        <v>0</v>
      </c>
      <c r="AD835" s="111">
        <f t="shared" si="244"/>
        <v>0</v>
      </c>
      <c r="AE835" s="111">
        <f t="shared" si="238"/>
        <v>0</v>
      </c>
      <c r="AF835" s="204" t="str">
        <f t="shared" si="247"/>
        <v/>
      </c>
      <c r="AG835" s="111">
        <f t="shared" si="245"/>
        <v>0</v>
      </c>
      <c r="AH835" s="110"/>
      <c r="AI835" s="313"/>
      <c r="AJ835" s="111">
        <f t="shared" si="237"/>
        <v>0</v>
      </c>
      <c r="AK835" s="235"/>
      <c r="AL835" s="111">
        <f>IF(SUMIFS('Shipments data'!L:L,'Shipments data'!F:F,'Supply planning data'!C835,'Shipments data'!A:A,'Supply planning data'!A835,'Shipments data'!O:O,"received",'Shipments data'!Q:Q,"&lt;"&amp;'Supply planning data'!D850,'Shipments data'!AC:AC,"&lt;"&amp;'Supply planning data'!D850)-SUMIFS(M:M,D:D,"&lt;="&amp;D835,C:C,C835)-SUMIFS(AJ:AJ,D:D,"&lt;="&amp;D835,C:C,C835)+SUMIFS(N:N,D:D,"&lt;="&amp;D835,C:C,C835)+SUMIFS(P:P,D:D,"&lt;="&amp;D835,C:C,C835)&lt;0,0,SUMIFS('Shipments data'!L:L,'Shipments data'!F:F,'Supply planning data'!C835,'Shipments data'!A:A,'Supply planning data'!A835,'Shipments data'!O:O,"received",'Shipments data'!Q:Q,"&lt;"&amp;'Supply planning data'!D850,'Shipments data'!AC:AC,"&lt;"&amp;'Supply planning data'!D850)-SUMIFS(M:M,D:D,"&lt;="&amp;D835,C:C,C835)-SUMIFS(AJ:AJ,D:D,"&lt;="&amp;D835,C:C,C835)+SUMIFS(N:N,D:D,"&lt;="&amp;D835,C:C,C835)+SUMIFS(P:P,D:D,"&lt;="&amp;D835,C:C,C835))</f>
        <v>0</v>
      </c>
      <c r="AM835" s="111">
        <f t="shared" si="246"/>
        <v>0</v>
      </c>
      <c r="AN835" s="111">
        <f t="shared" si="239"/>
        <v>0</v>
      </c>
      <c r="AO835" s="204" t="str">
        <f t="shared" si="249"/>
        <v/>
      </c>
    </row>
    <row r="836" spans="1:41" hidden="1" x14ac:dyDescent="0.25">
      <c r="A836" s="103" t="str">
        <f>Start!D$7</f>
        <v>Anyland</v>
      </c>
      <c r="B836" s="109" t="str">
        <f>VLOOKUP(A836,list!B:C,2,FALSE)</f>
        <v>ANY</v>
      </c>
      <c r="C836" s="104" t="str">
        <f>IF(Start!$C$23="","",Start!$C$23)</f>
        <v/>
      </c>
      <c r="D836" s="298">
        <f t="shared" si="240"/>
        <v>45870</v>
      </c>
      <c r="E836" s="105" t="str">
        <f>IFERROR(VLOOKUP(C836,Start!C$15:D$31,2,FALSE),"No")</f>
        <v>No</v>
      </c>
      <c r="F836" s="105">
        <f t="shared" si="241"/>
        <v>0</v>
      </c>
      <c r="G836" s="106"/>
      <c r="H836" s="106"/>
      <c r="I836" s="106"/>
      <c r="J836" s="105">
        <f t="shared" si="233"/>
        <v>0</v>
      </c>
      <c r="K836" s="106"/>
      <c r="L836" s="177" t="str">
        <f t="shared" si="234"/>
        <v/>
      </c>
      <c r="M836" s="105">
        <f t="shared" si="235"/>
        <v>0</v>
      </c>
      <c r="N836" s="110"/>
      <c r="O836" s="124"/>
      <c r="P836" s="110"/>
      <c r="Q836" s="124"/>
      <c r="R836" s="111">
        <f>SUMIFS('Shipments data'!L:L,'Shipments data'!F:F,'Supply planning data'!C836,'Shipments data'!A:A,'Supply planning data'!A836,'Shipments data'!Y:Y,'Supply planning data'!D836,'Shipments data'!O:O,"received", 'Shipments data'!N:N, "Public")</f>
        <v>0</v>
      </c>
      <c r="S836" s="111">
        <f>SUMIFS('Shipments data'!L:L,'Shipments data'!F:F,'Supply planning data'!C836,'Shipments data'!A:A,'Supply planning data'!A836,'Shipments data'!Y:Y,'Supply planning data'!D836,'Shipments data'!O:O,"ordered", 'Shipments data'!N:N, "Public")</f>
        <v>0</v>
      </c>
      <c r="T836" s="111">
        <f>IF(SUMIFS('Shipments data'!L:L,'Shipments data'!F:F,'Supply planning data'!C836,'Shipments data'!A:A,'Supply planning data'!A836,'Shipments data'!O:O,"received",'Shipments data'!Q:Q,"&lt;"&amp;'Supply planning data'!D851,'Shipments data'!AC:AC,"&lt;"&amp;'Supply planning data'!D851)-SUMIFS(M:M,D:D,"&lt;="&amp;D836,C:C,C836)+SUMIFS(N:N,D:D,"&lt;="&amp;D836,C:C,C836)+SUMIFS(P:P,D:D,"&lt;="&amp;D836,C:C,C836)&lt;0,0,SUMIFS('Shipments data'!L:L,'Shipments data'!F:F,'Supply planning data'!C836,'Shipments data'!A:A,'Supply planning data'!A836,'Shipments data'!O:O,"received",'Shipments data'!Q:Q,"&lt;"&amp;'Supply planning data'!D851,'Shipments data'!AC:AC,"&lt;"&amp;'Supply planning data'!D851)-SUMIFS(M:M,D:D,"&lt;="&amp;D836,C:C,C836)+SUMIFS(N:N,D:D,"&lt;="&amp;D836,C:C,C836)+SUMIFS(P:P,D:D,"&lt;="&amp;D836,C:C,C836))</f>
        <v>0</v>
      </c>
      <c r="U836" s="112">
        <f t="shared" si="242"/>
        <v>0</v>
      </c>
      <c r="V836" s="111">
        <f t="shared" si="250"/>
        <v>0</v>
      </c>
      <c r="W836" s="204" t="str">
        <f t="shared" si="248"/>
        <v/>
      </c>
      <c r="X836" s="111">
        <f t="shared" si="243"/>
        <v>0</v>
      </c>
      <c r="Y836" s="110"/>
      <c r="Z836" s="107"/>
      <c r="AA836" s="111">
        <f t="shared" si="236"/>
        <v>0</v>
      </c>
      <c r="AB836" s="235"/>
      <c r="AC836" s="111">
        <f>IF(SUMIFS('Shipments data'!L:L,'Shipments data'!F:F,'Supply planning data'!C836,'Shipments data'!A:A,'Supply planning data'!A836,'Shipments data'!O:O,"received",'Shipments data'!Q:Q,"&lt;"&amp;'Supply planning data'!D851,'Shipments data'!AC:AC,"&lt;"&amp;'Supply planning data'!D851)-SUMIFS(M:M,D:D,"&lt;="&amp;D836,C:C,C836)-SUMIFS(AA:AA,D:D,"&lt;="&amp;D836,C:C,C836)+SUMIFS(N:N,D:D,"&lt;="&amp;D836,C:C,C836)+SUMIFS(P:P,D:D,"&lt;="&amp;D836,C:C,C836)&lt;0,0,SUMIFS('Shipments data'!L:L,'Shipments data'!F:F,'Supply planning data'!C836,'Shipments data'!A:A,'Supply planning data'!A836,'Shipments data'!O:O,"received",'Shipments data'!Q:Q,"&lt;"&amp;'Supply planning data'!D851,'Shipments data'!AC:AC,"&lt;"&amp;'Supply planning data'!D851)-SUMIFS(M:M,D:D,"&lt;="&amp;D836,C:C,C836)-SUMIFS(AA:AA,D:D,"&lt;="&amp;D836,C:C,C836)+SUMIFS(N:N,D:D,"&lt;="&amp;D836,C:C,C836)+SUMIFS(P:P,D:D,"&lt;="&amp;D836,C:C,C836))</f>
        <v>0</v>
      </c>
      <c r="AD836" s="111">
        <f t="shared" si="244"/>
        <v>0</v>
      </c>
      <c r="AE836" s="111">
        <f t="shared" si="238"/>
        <v>0</v>
      </c>
      <c r="AF836" s="204" t="str">
        <f t="shared" si="247"/>
        <v/>
      </c>
      <c r="AG836" s="111">
        <f t="shared" si="245"/>
        <v>0</v>
      </c>
      <c r="AH836" s="110"/>
      <c r="AI836" s="313"/>
      <c r="AJ836" s="111">
        <f t="shared" si="237"/>
        <v>0</v>
      </c>
      <c r="AK836" s="235"/>
      <c r="AL836" s="111">
        <f>IF(SUMIFS('Shipments data'!L:L,'Shipments data'!F:F,'Supply planning data'!C836,'Shipments data'!A:A,'Supply planning data'!A836,'Shipments data'!O:O,"received",'Shipments data'!Q:Q,"&lt;"&amp;'Supply planning data'!D851,'Shipments data'!AC:AC,"&lt;"&amp;'Supply planning data'!D851)-SUMIFS(M:M,D:D,"&lt;="&amp;D836,C:C,C836)-SUMIFS(AJ:AJ,D:D,"&lt;="&amp;D836,C:C,C836)+SUMIFS(N:N,D:D,"&lt;="&amp;D836,C:C,C836)+SUMIFS(P:P,D:D,"&lt;="&amp;D836,C:C,C836)&lt;0,0,SUMIFS('Shipments data'!L:L,'Shipments data'!F:F,'Supply planning data'!C836,'Shipments data'!A:A,'Supply planning data'!A836,'Shipments data'!O:O,"received",'Shipments data'!Q:Q,"&lt;"&amp;'Supply planning data'!D851,'Shipments data'!AC:AC,"&lt;"&amp;'Supply planning data'!D851)-SUMIFS(M:M,D:D,"&lt;="&amp;D836,C:C,C836)-SUMIFS(AJ:AJ,D:D,"&lt;="&amp;D836,C:C,C836)+SUMIFS(N:N,D:D,"&lt;="&amp;D836,C:C,C836)+SUMIFS(P:P,D:D,"&lt;="&amp;D836,C:C,C836))</f>
        <v>0</v>
      </c>
      <c r="AM836" s="111">
        <f t="shared" si="246"/>
        <v>0</v>
      </c>
      <c r="AN836" s="111">
        <f t="shared" si="239"/>
        <v>0</v>
      </c>
      <c r="AO836" s="204" t="str">
        <f t="shared" si="249"/>
        <v/>
      </c>
    </row>
    <row r="837" spans="1:41" hidden="1" x14ac:dyDescent="0.25">
      <c r="A837" s="103" t="str">
        <f>Start!D$7</f>
        <v>Anyland</v>
      </c>
      <c r="B837" s="109" t="str">
        <f>VLOOKUP(A837,list!B:C,2,FALSE)</f>
        <v>ANY</v>
      </c>
      <c r="C837" s="109" t="str">
        <f>IF(Start!$C$24="","",Start!$C$24)</f>
        <v/>
      </c>
      <c r="D837" s="298">
        <f t="shared" si="240"/>
        <v>45870</v>
      </c>
      <c r="E837" s="105" t="str">
        <f>IFERROR(VLOOKUP(C837,Start!C$15:D$31,2,FALSE),"No")</f>
        <v>No</v>
      </c>
      <c r="F837" s="105">
        <f t="shared" si="241"/>
        <v>0</v>
      </c>
      <c r="G837" s="106"/>
      <c r="H837" s="106"/>
      <c r="I837" s="106"/>
      <c r="J837" s="105">
        <f t="shared" ref="J837:J900" si="251">SUM(G837:I837)</f>
        <v>0</v>
      </c>
      <c r="K837" s="106"/>
      <c r="L837" s="177" t="str">
        <f t="shared" ref="L837:L900" si="252">IFERROR(K837/J837, "")</f>
        <v/>
      </c>
      <c r="M837" s="105">
        <f t="shared" ref="M837:M904" si="253">SUM(J837,K837)</f>
        <v>0</v>
      </c>
      <c r="N837" s="110"/>
      <c r="O837" s="124"/>
      <c r="P837" s="110"/>
      <c r="Q837" s="124"/>
      <c r="R837" s="111">
        <f>SUMIFS('Shipments data'!L:L,'Shipments data'!F:F,'Supply planning data'!C837,'Shipments data'!A:A,'Supply planning data'!A837,'Shipments data'!Y:Y,'Supply planning data'!D837,'Shipments data'!O:O,"received", 'Shipments data'!N:N, "Public")</f>
        <v>0</v>
      </c>
      <c r="S837" s="111">
        <f>SUMIFS('Shipments data'!L:L,'Shipments data'!F:F,'Supply planning data'!C837,'Shipments data'!A:A,'Supply planning data'!A837,'Shipments data'!Y:Y,'Supply planning data'!D837,'Shipments data'!O:O,"ordered", 'Shipments data'!N:N, "Public")</f>
        <v>0</v>
      </c>
      <c r="T837" s="111">
        <f>IF(SUMIFS('Shipments data'!L:L,'Shipments data'!F:F,'Supply planning data'!C837,'Shipments data'!A:A,'Supply planning data'!A837,'Shipments data'!O:O,"received",'Shipments data'!Q:Q,"&lt;"&amp;'Supply planning data'!D852,'Shipments data'!AC:AC,"&lt;"&amp;'Supply planning data'!D852)-SUMIFS(M:M,D:D,"&lt;="&amp;D837,C:C,C837)+SUMIFS(N:N,D:D,"&lt;="&amp;D837,C:C,C837)+SUMIFS(P:P,D:D,"&lt;="&amp;D837,C:C,C837)&lt;0,0,SUMIFS('Shipments data'!L:L,'Shipments data'!F:F,'Supply planning data'!C837,'Shipments data'!A:A,'Supply planning data'!A837,'Shipments data'!O:O,"received",'Shipments data'!Q:Q,"&lt;"&amp;'Supply planning data'!D852,'Shipments data'!AC:AC,"&lt;"&amp;'Supply planning data'!D852)-SUMIFS(M:M,D:D,"&lt;="&amp;D837,C:C,C837)+SUMIFS(N:N,D:D,"&lt;="&amp;D837,C:C,C837)+SUMIFS(P:P,D:D,"&lt;="&amp;D837,C:C,C837))</f>
        <v>0</v>
      </c>
      <c r="U837" s="112">
        <f t="shared" si="242"/>
        <v>0</v>
      </c>
      <c r="V837" s="111">
        <f t="shared" si="250"/>
        <v>0</v>
      </c>
      <c r="W837" s="204" t="str">
        <f t="shared" si="248"/>
        <v/>
      </c>
      <c r="X837" s="111">
        <f t="shared" si="243"/>
        <v>0</v>
      </c>
      <c r="Y837" s="110"/>
      <c r="Z837" s="107"/>
      <c r="AA837" s="111">
        <f t="shared" ref="AA837:AA900" si="254">IFERROR(Z837*Y837,0)+Y837</f>
        <v>0</v>
      </c>
      <c r="AB837" s="235"/>
      <c r="AC837" s="111">
        <f>IF(SUMIFS('Shipments data'!L:L,'Shipments data'!F:F,'Supply planning data'!C837,'Shipments data'!A:A,'Supply planning data'!A837,'Shipments data'!O:O,"received",'Shipments data'!Q:Q,"&lt;"&amp;'Supply planning data'!D852,'Shipments data'!AC:AC,"&lt;"&amp;'Supply planning data'!D852)-SUMIFS(M:M,D:D,"&lt;="&amp;D837,C:C,C837)-SUMIFS(AA:AA,D:D,"&lt;="&amp;D837,C:C,C837)+SUMIFS(N:N,D:D,"&lt;="&amp;D837,C:C,C837)+SUMIFS(P:P,D:D,"&lt;="&amp;D837,C:C,C837)&lt;0,0,SUMIFS('Shipments data'!L:L,'Shipments data'!F:F,'Supply planning data'!C837,'Shipments data'!A:A,'Supply planning data'!A837,'Shipments data'!O:O,"received",'Shipments data'!Q:Q,"&lt;"&amp;'Supply planning data'!D852,'Shipments data'!AC:AC,"&lt;"&amp;'Supply planning data'!D852)-SUMIFS(M:M,D:D,"&lt;="&amp;D837,C:C,C837)-SUMIFS(AA:AA,D:D,"&lt;="&amp;D837,C:C,C837)+SUMIFS(N:N,D:D,"&lt;="&amp;D837,C:C,C837)+SUMIFS(P:P,D:D,"&lt;="&amp;D837,C:C,C837))</f>
        <v>0</v>
      </c>
      <c r="AD837" s="111">
        <f t="shared" si="244"/>
        <v>0</v>
      </c>
      <c r="AE837" s="111">
        <f t="shared" si="238"/>
        <v>0</v>
      </c>
      <c r="AF837" s="204" t="str">
        <f t="shared" si="247"/>
        <v/>
      </c>
      <c r="AG837" s="111">
        <f t="shared" si="245"/>
        <v>0</v>
      </c>
      <c r="AH837" s="110"/>
      <c r="AI837" s="313"/>
      <c r="AJ837" s="111">
        <f t="shared" ref="AJ837:AJ900" si="255">IFERROR(AI837*AH837,0)+AH837</f>
        <v>0</v>
      </c>
      <c r="AK837" s="235"/>
      <c r="AL837" s="111">
        <f>IF(SUMIFS('Shipments data'!L:L,'Shipments data'!F:F,'Supply planning data'!C837,'Shipments data'!A:A,'Supply planning data'!A837,'Shipments data'!O:O,"received",'Shipments data'!Q:Q,"&lt;"&amp;'Supply planning data'!D852,'Shipments data'!AC:AC,"&lt;"&amp;'Supply planning data'!D852)-SUMIFS(M:M,D:D,"&lt;="&amp;D837,C:C,C837)-SUMIFS(AJ:AJ,D:D,"&lt;="&amp;D837,C:C,C837)+SUMIFS(N:N,D:D,"&lt;="&amp;D837,C:C,C837)+SUMIFS(P:P,D:D,"&lt;="&amp;D837,C:C,C837)&lt;0,0,SUMIFS('Shipments data'!L:L,'Shipments data'!F:F,'Supply planning data'!C837,'Shipments data'!A:A,'Supply planning data'!A837,'Shipments data'!O:O,"received",'Shipments data'!Q:Q,"&lt;"&amp;'Supply planning data'!D852,'Shipments data'!AC:AC,"&lt;"&amp;'Supply planning data'!D852)-SUMIFS(M:M,D:D,"&lt;="&amp;D837,C:C,C837)-SUMIFS(AJ:AJ,D:D,"&lt;="&amp;D837,C:C,C837)+SUMIFS(N:N,D:D,"&lt;="&amp;D837,C:C,C837)+SUMIFS(P:P,D:D,"&lt;="&amp;D837,C:C,C837))</f>
        <v>0</v>
      </c>
      <c r="AM837" s="111">
        <f t="shared" si="246"/>
        <v>0</v>
      </c>
      <c r="AN837" s="111">
        <f t="shared" si="239"/>
        <v>0</v>
      </c>
      <c r="AO837" s="204" t="str">
        <f t="shared" si="249"/>
        <v/>
      </c>
    </row>
    <row r="838" spans="1:41" hidden="1" x14ac:dyDescent="0.25">
      <c r="A838" s="103" t="str">
        <f>Start!D$7</f>
        <v>Anyland</v>
      </c>
      <c r="B838" s="109" t="str">
        <f>VLOOKUP(A838,list!B:C,2,FALSE)</f>
        <v>ANY</v>
      </c>
      <c r="C838" s="104" t="str">
        <f>IF(Start!$C$25="","",Start!$C$25)</f>
        <v/>
      </c>
      <c r="D838" s="298">
        <f t="shared" si="240"/>
        <v>45870</v>
      </c>
      <c r="E838" s="105" t="str">
        <f>IFERROR(VLOOKUP(C838,Start!C$15:D$31,2,FALSE),"No")</f>
        <v>No</v>
      </c>
      <c r="F838" s="105">
        <f t="shared" si="241"/>
        <v>0</v>
      </c>
      <c r="G838" s="106"/>
      <c r="H838" s="106"/>
      <c r="I838" s="106"/>
      <c r="J838" s="105">
        <f t="shared" si="251"/>
        <v>0</v>
      </c>
      <c r="K838" s="106"/>
      <c r="L838" s="177" t="str">
        <f t="shared" si="252"/>
        <v/>
      </c>
      <c r="M838" s="105">
        <f t="shared" si="253"/>
        <v>0</v>
      </c>
      <c r="N838" s="110"/>
      <c r="O838" s="124"/>
      <c r="P838" s="110"/>
      <c r="Q838" s="124"/>
      <c r="R838" s="111">
        <f>SUMIFS('Shipments data'!L:L,'Shipments data'!F:F,'Supply planning data'!C838,'Shipments data'!A:A,'Supply planning data'!A838,'Shipments data'!Y:Y,'Supply planning data'!D838,'Shipments data'!O:O,"received", 'Shipments data'!N:N, "Public")</f>
        <v>0</v>
      </c>
      <c r="S838" s="111">
        <f>SUMIFS('Shipments data'!L:L,'Shipments data'!F:F,'Supply planning data'!C838,'Shipments data'!A:A,'Supply planning data'!A838,'Shipments data'!Y:Y,'Supply planning data'!D838,'Shipments data'!O:O,"ordered", 'Shipments data'!N:N, "Public")</f>
        <v>0</v>
      </c>
      <c r="T838" s="111">
        <f>IF(SUMIFS('Shipments data'!L:L,'Shipments data'!F:F,'Supply planning data'!C838,'Shipments data'!A:A,'Supply planning data'!A838,'Shipments data'!O:O,"received",'Shipments data'!Q:Q,"&lt;"&amp;'Supply planning data'!D853,'Shipments data'!AC:AC,"&lt;"&amp;'Supply planning data'!D853)-SUMIFS(M:M,D:D,"&lt;="&amp;D838,C:C,C838)+SUMIFS(N:N,D:D,"&lt;="&amp;D838,C:C,C838)+SUMIFS(P:P,D:D,"&lt;="&amp;D838,C:C,C838)&lt;0,0,SUMIFS('Shipments data'!L:L,'Shipments data'!F:F,'Supply planning data'!C838,'Shipments data'!A:A,'Supply planning data'!A838,'Shipments data'!O:O,"received",'Shipments data'!Q:Q,"&lt;"&amp;'Supply planning data'!D853,'Shipments data'!AC:AC,"&lt;"&amp;'Supply planning data'!D853)-SUMIFS(M:M,D:D,"&lt;="&amp;D838,C:C,C838)+SUMIFS(N:N,D:D,"&lt;="&amp;D838,C:C,C838)+SUMIFS(P:P,D:D,"&lt;="&amp;D838,C:C,C838))</f>
        <v>0</v>
      </c>
      <c r="U838" s="112">
        <f t="shared" si="242"/>
        <v>0</v>
      </c>
      <c r="V838" s="111">
        <f t="shared" si="250"/>
        <v>0</v>
      </c>
      <c r="W838" s="204" t="str">
        <f t="shared" si="248"/>
        <v/>
      </c>
      <c r="X838" s="111">
        <f t="shared" si="243"/>
        <v>0</v>
      </c>
      <c r="Y838" s="110"/>
      <c r="Z838" s="107"/>
      <c r="AA838" s="111">
        <f t="shared" si="254"/>
        <v>0</v>
      </c>
      <c r="AB838" s="235"/>
      <c r="AC838" s="111">
        <f>IF(SUMIFS('Shipments data'!L:L,'Shipments data'!F:F,'Supply planning data'!C838,'Shipments data'!A:A,'Supply planning data'!A838,'Shipments data'!O:O,"received",'Shipments data'!Q:Q,"&lt;"&amp;'Supply planning data'!D853,'Shipments data'!AC:AC,"&lt;"&amp;'Supply planning data'!D853)-SUMIFS(M:M,D:D,"&lt;="&amp;D838,C:C,C838)-SUMIFS(AA:AA,D:D,"&lt;="&amp;D838,C:C,C838)+SUMIFS(N:N,D:D,"&lt;="&amp;D838,C:C,C838)+SUMIFS(P:P,D:D,"&lt;="&amp;D838,C:C,C838)&lt;0,0,SUMIFS('Shipments data'!L:L,'Shipments data'!F:F,'Supply planning data'!C838,'Shipments data'!A:A,'Supply planning data'!A838,'Shipments data'!O:O,"received",'Shipments data'!Q:Q,"&lt;"&amp;'Supply planning data'!D853,'Shipments data'!AC:AC,"&lt;"&amp;'Supply planning data'!D853)-SUMIFS(M:M,D:D,"&lt;="&amp;D838,C:C,C838)-SUMIFS(AA:AA,D:D,"&lt;="&amp;D838,C:C,C838)+SUMIFS(N:N,D:D,"&lt;="&amp;D838,C:C,C838)+SUMIFS(P:P,D:D,"&lt;="&amp;D838,C:C,C838))</f>
        <v>0</v>
      </c>
      <c r="AD838" s="111">
        <f t="shared" si="244"/>
        <v>0</v>
      </c>
      <c r="AE838" s="111">
        <f t="shared" ref="AE838:AE904" si="256">IF(X838+R838+S838+AB838+N838+P838-M838-AA838-U838&lt;0,0,X838+R838+S838+AB838+N838+P838-M838-AA838-U838)</f>
        <v>0</v>
      </c>
      <c r="AF838" s="204" t="str">
        <f t="shared" si="247"/>
        <v/>
      </c>
      <c r="AG838" s="111">
        <f t="shared" si="245"/>
        <v>0</v>
      </c>
      <c r="AH838" s="110"/>
      <c r="AI838" s="313"/>
      <c r="AJ838" s="111">
        <f t="shared" si="255"/>
        <v>0</v>
      </c>
      <c r="AK838" s="235"/>
      <c r="AL838" s="111">
        <f>IF(SUMIFS('Shipments data'!L:L,'Shipments data'!F:F,'Supply planning data'!C838,'Shipments data'!A:A,'Supply planning data'!A838,'Shipments data'!O:O,"received",'Shipments data'!Q:Q,"&lt;"&amp;'Supply planning data'!D853,'Shipments data'!AC:AC,"&lt;"&amp;'Supply planning data'!D853)-SUMIFS(M:M,D:D,"&lt;="&amp;D838,C:C,C838)-SUMIFS(AJ:AJ,D:D,"&lt;="&amp;D838,C:C,C838)+SUMIFS(N:N,D:D,"&lt;="&amp;D838,C:C,C838)+SUMIFS(P:P,D:D,"&lt;="&amp;D838,C:C,C838)&lt;0,0,SUMIFS('Shipments data'!L:L,'Shipments data'!F:F,'Supply planning data'!C838,'Shipments data'!A:A,'Supply planning data'!A838,'Shipments data'!O:O,"received",'Shipments data'!Q:Q,"&lt;"&amp;'Supply planning data'!D853,'Shipments data'!AC:AC,"&lt;"&amp;'Supply planning data'!D853)-SUMIFS(M:M,D:D,"&lt;="&amp;D838,C:C,C838)-SUMIFS(AJ:AJ,D:D,"&lt;="&amp;D838,C:C,C838)+SUMIFS(N:N,D:D,"&lt;="&amp;D838,C:C,C838)+SUMIFS(P:P,D:D,"&lt;="&amp;D838,C:C,C838))</f>
        <v>0</v>
      </c>
      <c r="AM838" s="111">
        <f t="shared" si="246"/>
        <v>0</v>
      </c>
      <c r="AN838" s="111">
        <f t="shared" ref="AN838:AN901" si="257">IF(AG838+$R838+$S838+AK838+$N838+$P838-$M838-AJ838-$AM838&lt;0,0,AG838+$R838+$S838+AK838+$N838+$P838-$M838-AJ838-$AM838)</f>
        <v>0</v>
      </c>
      <c r="AO838" s="204" t="str">
        <f t="shared" si="249"/>
        <v/>
      </c>
    </row>
    <row r="839" spans="1:41" hidden="1" x14ac:dyDescent="0.25">
      <c r="A839" s="103" t="str">
        <f>Start!D$7</f>
        <v>Anyland</v>
      </c>
      <c r="B839" s="109" t="str">
        <f>VLOOKUP(A839,list!B:C,2,FALSE)</f>
        <v>ANY</v>
      </c>
      <c r="C839" s="109" t="str">
        <f>IF(Start!$C$26="","",Start!$C$26)</f>
        <v/>
      </c>
      <c r="D839" s="298">
        <f t="shared" si="240"/>
        <v>45870</v>
      </c>
      <c r="E839" s="105" t="str">
        <f>IFERROR(VLOOKUP(C839,Start!C$15:D$31,2,FALSE),"No")</f>
        <v>No</v>
      </c>
      <c r="F839" s="105">
        <f t="shared" si="241"/>
        <v>0</v>
      </c>
      <c r="G839" s="106"/>
      <c r="H839" s="106"/>
      <c r="I839" s="106"/>
      <c r="J839" s="105">
        <f t="shared" si="251"/>
        <v>0</v>
      </c>
      <c r="K839" s="106"/>
      <c r="L839" s="177" t="str">
        <f t="shared" si="252"/>
        <v/>
      </c>
      <c r="M839" s="105">
        <f t="shared" si="253"/>
        <v>0</v>
      </c>
      <c r="N839" s="110"/>
      <c r="O839" s="124"/>
      <c r="P839" s="110"/>
      <c r="Q839" s="124"/>
      <c r="R839" s="111">
        <f>SUMIFS('Shipments data'!L:L,'Shipments data'!F:F,'Supply planning data'!C839,'Shipments data'!A:A,'Supply planning data'!A839,'Shipments data'!Y:Y,'Supply planning data'!D839,'Shipments data'!O:O,"received", 'Shipments data'!N:N, "Public")</f>
        <v>0</v>
      </c>
      <c r="S839" s="111">
        <f>SUMIFS('Shipments data'!L:L,'Shipments data'!F:F,'Supply planning data'!C839,'Shipments data'!A:A,'Supply planning data'!A839,'Shipments data'!Y:Y,'Supply planning data'!D839,'Shipments data'!O:O,"ordered", 'Shipments data'!N:N, "Public")</f>
        <v>0</v>
      </c>
      <c r="T839" s="111">
        <f>IF(SUMIFS('Shipments data'!L:L,'Shipments data'!F:F,'Supply planning data'!C839,'Shipments data'!A:A,'Supply planning data'!A839,'Shipments data'!O:O,"received",'Shipments data'!Q:Q,"&lt;"&amp;'Supply planning data'!D854,'Shipments data'!AC:AC,"&lt;"&amp;'Supply planning data'!D854)-SUMIFS(M:M,D:D,"&lt;="&amp;D839,C:C,C839)+SUMIFS(N:N,D:D,"&lt;="&amp;D839,C:C,C839)+SUMIFS(P:P,D:D,"&lt;="&amp;D839,C:C,C839)&lt;0,0,SUMIFS('Shipments data'!L:L,'Shipments data'!F:F,'Supply planning data'!C839,'Shipments data'!A:A,'Supply planning data'!A839,'Shipments data'!O:O,"received",'Shipments data'!Q:Q,"&lt;"&amp;'Supply planning data'!D854,'Shipments data'!AC:AC,"&lt;"&amp;'Supply planning data'!D854)-SUMIFS(M:M,D:D,"&lt;="&amp;D839,C:C,C839)+SUMIFS(N:N,D:D,"&lt;="&amp;D839,C:C,C839)+SUMIFS(P:P,D:D,"&lt;="&amp;D839,C:C,C839))</f>
        <v>0</v>
      </c>
      <c r="U839" s="112">
        <f t="shared" si="242"/>
        <v>0</v>
      </c>
      <c r="V839" s="111">
        <f t="shared" si="250"/>
        <v>0</v>
      </c>
      <c r="W839" s="204" t="str">
        <f t="shared" si="248"/>
        <v/>
      </c>
      <c r="X839" s="111">
        <f t="shared" si="243"/>
        <v>0</v>
      </c>
      <c r="Y839" s="110"/>
      <c r="Z839" s="107"/>
      <c r="AA839" s="111">
        <f t="shared" si="254"/>
        <v>0</v>
      </c>
      <c r="AB839" s="235"/>
      <c r="AC839" s="111">
        <f>IF(SUMIFS('Shipments data'!L:L,'Shipments data'!F:F,'Supply planning data'!C839,'Shipments data'!A:A,'Supply planning data'!A839,'Shipments data'!O:O,"received",'Shipments data'!Q:Q,"&lt;"&amp;'Supply planning data'!D854,'Shipments data'!AC:AC,"&lt;"&amp;'Supply planning data'!D854)-SUMIFS(M:M,D:D,"&lt;="&amp;D839,C:C,C839)-SUMIFS(AA:AA,D:D,"&lt;="&amp;D839,C:C,C839)+SUMIFS(N:N,D:D,"&lt;="&amp;D839,C:C,C839)+SUMIFS(P:P,D:D,"&lt;="&amp;D839,C:C,C839)&lt;0,0,SUMIFS('Shipments data'!L:L,'Shipments data'!F:F,'Supply planning data'!C839,'Shipments data'!A:A,'Supply planning data'!A839,'Shipments data'!O:O,"received",'Shipments data'!Q:Q,"&lt;"&amp;'Supply planning data'!D854,'Shipments data'!AC:AC,"&lt;"&amp;'Supply planning data'!D854)-SUMIFS(M:M,D:D,"&lt;="&amp;D839,C:C,C839)-SUMIFS(AA:AA,D:D,"&lt;="&amp;D839,C:C,C839)+SUMIFS(N:N,D:D,"&lt;="&amp;D839,C:C,C839)+SUMIFS(P:P,D:D,"&lt;="&amp;D839,C:C,C839))</f>
        <v>0</v>
      </c>
      <c r="AD839" s="111">
        <f t="shared" si="244"/>
        <v>0</v>
      </c>
      <c r="AE839" s="111">
        <f t="shared" si="256"/>
        <v>0</v>
      </c>
      <c r="AF839" s="204" t="str">
        <f t="shared" si="247"/>
        <v/>
      </c>
      <c r="AG839" s="111">
        <f t="shared" si="245"/>
        <v>0</v>
      </c>
      <c r="AH839" s="110"/>
      <c r="AI839" s="313"/>
      <c r="AJ839" s="111">
        <f t="shared" si="255"/>
        <v>0</v>
      </c>
      <c r="AK839" s="235"/>
      <c r="AL839" s="111">
        <f>IF(SUMIFS('Shipments data'!L:L,'Shipments data'!F:F,'Supply planning data'!C839,'Shipments data'!A:A,'Supply planning data'!A839,'Shipments data'!O:O,"received",'Shipments data'!Q:Q,"&lt;"&amp;'Supply planning data'!D854,'Shipments data'!AC:AC,"&lt;"&amp;'Supply planning data'!D854)-SUMIFS(M:M,D:D,"&lt;="&amp;D839,C:C,C839)-SUMIFS(AJ:AJ,D:D,"&lt;="&amp;D839,C:C,C839)+SUMIFS(N:N,D:D,"&lt;="&amp;D839,C:C,C839)+SUMIFS(P:P,D:D,"&lt;="&amp;D839,C:C,C839)&lt;0,0,SUMIFS('Shipments data'!L:L,'Shipments data'!F:F,'Supply planning data'!C839,'Shipments data'!A:A,'Supply planning data'!A839,'Shipments data'!O:O,"received",'Shipments data'!Q:Q,"&lt;"&amp;'Supply planning data'!D854,'Shipments data'!AC:AC,"&lt;"&amp;'Supply planning data'!D854)-SUMIFS(M:M,D:D,"&lt;="&amp;D839,C:C,C839)-SUMIFS(AJ:AJ,D:D,"&lt;="&amp;D839,C:C,C839)+SUMIFS(N:N,D:D,"&lt;="&amp;D839,C:C,C839)+SUMIFS(P:P,D:D,"&lt;="&amp;D839,C:C,C839))</f>
        <v>0</v>
      </c>
      <c r="AM839" s="111">
        <f t="shared" si="246"/>
        <v>0</v>
      </c>
      <c r="AN839" s="111">
        <f t="shared" si="257"/>
        <v>0</v>
      </c>
      <c r="AO839" s="204" t="str">
        <f t="shared" si="249"/>
        <v/>
      </c>
    </row>
    <row r="840" spans="1:41" hidden="1" x14ac:dyDescent="0.25">
      <c r="A840" s="103" t="str">
        <f>Start!D$7</f>
        <v>Anyland</v>
      </c>
      <c r="B840" s="109" t="str">
        <f>VLOOKUP(A840,list!B:C,2,FALSE)</f>
        <v>ANY</v>
      </c>
      <c r="C840" s="104" t="str">
        <f>IF(Start!$C$27="","",Start!$C$27)</f>
        <v/>
      </c>
      <c r="D840" s="298">
        <f t="shared" si="240"/>
        <v>45870</v>
      </c>
      <c r="E840" s="105" t="str">
        <f>IFERROR(VLOOKUP(C840,Start!C$15:D$31,2,FALSE),"No")</f>
        <v>No</v>
      </c>
      <c r="F840" s="105">
        <f t="shared" si="241"/>
        <v>0</v>
      </c>
      <c r="G840" s="106"/>
      <c r="H840" s="106"/>
      <c r="I840" s="106"/>
      <c r="J840" s="105">
        <f t="shared" si="251"/>
        <v>0</v>
      </c>
      <c r="K840" s="106"/>
      <c r="L840" s="177" t="str">
        <f t="shared" si="252"/>
        <v/>
      </c>
      <c r="M840" s="105">
        <f t="shared" si="253"/>
        <v>0</v>
      </c>
      <c r="N840" s="110"/>
      <c r="O840" s="124"/>
      <c r="P840" s="110"/>
      <c r="Q840" s="124"/>
      <c r="R840" s="111">
        <f>SUMIFS('Shipments data'!L:L,'Shipments data'!F:F,'Supply planning data'!C840,'Shipments data'!A:A,'Supply planning data'!A840,'Shipments data'!Y:Y,'Supply planning data'!D840,'Shipments data'!O:O,"received", 'Shipments data'!N:N, "Public")</f>
        <v>0</v>
      </c>
      <c r="S840" s="111">
        <f>SUMIFS('Shipments data'!L:L,'Shipments data'!F:F,'Supply planning data'!C840,'Shipments data'!A:A,'Supply planning data'!A840,'Shipments data'!Y:Y,'Supply planning data'!D840,'Shipments data'!O:O,"ordered", 'Shipments data'!N:N, "Public")</f>
        <v>0</v>
      </c>
      <c r="T840" s="111">
        <f>IF(SUMIFS('Shipments data'!L:L,'Shipments data'!F:F,'Supply planning data'!C840,'Shipments data'!A:A,'Supply planning data'!A840,'Shipments data'!O:O,"received",'Shipments data'!Q:Q,"&lt;"&amp;'Supply planning data'!D855,'Shipments data'!AC:AC,"&lt;"&amp;'Supply planning data'!D855)-SUMIFS(M:M,D:D,"&lt;="&amp;D840,C:C,C840)+SUMIFS(N:N,D:D,"&lt;="&amp;D840,C:C,C840)+SUMIFS(P:P,D:D,"&lt;="&amp;D840,C:C,C840)&lt;0,0,SUMIFS('Shipments data'!L:L,'Shipments data'!F:F,'Supply planning data'!C840,'Shipments data'!A:A,'Supply planning data'!A840,'Shipments data'!O:O,"received",'Shipments data'!Q:Q,"&lt;"&amp;'Supply planning data'!D855,'Shipments data'!AC:AC,"&lt;"&amp;'Supply planning data'!D855)-SUMIFS(M:M,D:D,"&lt;="&amp;D840,C:C,C840)+SUMIFS(N:N,D:D,"&lt;="&amp;D840,C:C,C840)+SUMIFS(P:P,D:D,"&lt;="&amp;D840,C:C,C840))</f>
        <v>0</v>
      </c>
      <c r="U840" s="112">
        <f t="shared" si="242"/>
        <v>0</v>
      </c>
      <c r="V840" s="111">
        <f t="shared" si="250"/>
        <v>0</v>
      </c>
      <c r="W840" s="204" t="str">
        <f t="shared" si="248"/>
        <v/>
      </c>
      <c r="X840" s="111">
        <f t="shared" si="243"/>
        <v>0</v>
      </c>
      <c r="Y840" s="110"/>
      <c r="Z840" s="107"/>
      <c r="AA840" s="111">
        <f t="shared" si="254"/>
        <v>0</v>
      </c>
      <c r="AB840" s="235"/>
      <c r="AC840" s="111">
        <f>IF(SUMIFS('Shipments data'!L:L,'Shipments data'!F:F,'Supply planning data'!C840,'Shipments data'!A:A,'Supply planning data'!A840,'Shipments data'!O:O,"received",'Shipments data'!Q:Q,"&lt;"&amp;'Supply planning data'!D855,'Shipments data'!AC:AC,"&lt;"&amp;'Supply planning data'!D855)-SUMIFS(M:M,D:D,"&lt;="&amp;D840,C:C,C840)-SUMIFS(AA:AA,D:D,"&lt;="&amp;D840,C:C,C840)+SUMIFS(N:N,D:D,"&lt;="&amp;D840,C:C,C840)+SUMIFS(P:P,D:D,"&lt;="&amp;D840,C:C,C840)&lt;0,0,SUMIFS('Shipments data'!L:L,'Shipments data'!F:F,'Supply planning data'!C840,'Shipments data'!A:A,'Supply planning data'!A840,'Shipments data'!O:O,"received",'Shipments data'!Q:Q,"&lt;"&amp;'Supply planning data'!D855,'Shipments data'!AC:AC,"&lt;"&amp;'Supply planning data'!D855)-SUMIFS(M:M,D:D,"&lt;="&amp;D840,C:C,C840)-SUMIFS(AA:AA,D:D,"&lt;="&amp;D840,C:C,C840)+SUMIFS(N:N,D:D,"&lt;="&amp;D840,C:C,C840)+SUMIFS(P:P,D:D,"&lt;="&amp;D840,C:C,C840))</f>
        <v>0</v>
      </c>
      <c r="AD840" s="111">
        <f t="shared" si="244"/>
        <v>0</v>
      </c>
      <c r="AE840" s="111">
        <f t="shared" si="256"/>
        <v>0</v>
      </c>
      <c r="AF840" s="204" t="str">
        <f t="shared" si="247"/>
        <v/>
      </c>
      <c r="AG840" s="111">
        <f t="shared" si="245"/>
        <v>0</v>
      </c>
      <c r="AH840" s="110"/>
      <c r="AI840" s="313"/>
      <c r="AJ840" s="111">
        <f t="shared" si="255"/>
        <v>0</v>
      </c>
      <c r="AK840" s="235"/>
      <c r="AL840" s="111">
        <f>IF(SUMIFS('Shipments data'!L:L,'Shipments data'!F:F,'Supply planning data'!C840,'Shipments data'!A:A,'Supply planning data'!A840,'Shipments data'!O:O,"received",'Shipments data'!Q:Q,"&lt;"&amp;'Supply planning data'!D855,'Shipments data'!AC:AC,"&lt;"&amp;'Supply planning data'!D855)-SUMIFS(M:M,D:D,"&lt;="&amp;D840,C:C,C840)-SUMIFS(AJ:AJ,D:D,"&lt;="&amp;D840,C:C,C840)+SUMIFS(N:N,D:D,"&lt;="&amp;D840,C:C,C840)+SUMIFS(P:P,D:D,"&lt;="&amp;D840,C:C,C840)&lt;0,0,SUMIFS('Shipments data'!L:L,'Shipments data'!F:F,'Supply planning data'!C840,'Shipments data'!A:A,'Supply planning data'!A840,'Shipments data'!O:O,"received",'Shipments data'!Q:Q,"&lt;"&amp;'Supply planning data'!D855,'Shipments data'!AC:AC,"&lt;"&amp;'Supply planning data'!D855)-SUMIFS(M:M,D:D,"&lt;="&amp;D840,C:C,C840)-SUMIFS(AJ:AJ,D:D,"&lt;="&amp;D840,C:C,C840)+SUMIFS(N:N,D:D,"&lt;="&amp;D840,C:C,C840)+SUMIFS(P:P,D:D,"&lt;="&amp;D840,C:C,C840))</f>
        <v>0</v>
      </c>
      <c r="AM840" s="111">
        <f t="shared" si="246"/>
        <v>0</v>
      </c>
      <c r="AN840" s="111">
        <f t="shared" si="257"/>
        <v>0</v>
      </c>
      <c r="AO840" s="204" t="str">
        <f t="shared" si="249"/>
        <v/>
      </c>
    </row>
    <row r="841" spans="1:41" hidden="1" x14ac:dyDescent="0.25">
      <c r="A841" s="103" t="str">
        <f>Start!D$7</f>
        <v>Anyland</v>
      </c>
      <c r="B841" s="109" t="str">
        <f>VLOOKUP(A841,list!B:C,2,FALSE)</f>
        <v>ANY</v>
      </c>
      <c r="C841" s="109" t="str">
        <f>IF(Start!$C$28="","",Start!$C$28)</f>
        <v/>
      </c>
      <c r="D841" s="298">
        <f t="shared" si="240"/>
        <v>45870</v>
      </c>
      <c r="E841" s="105" t="str">
        <f>IFERROR(VLOOKUP(C841,Start!C$15:D$31,2,FALSE),"No")</f>
        <v>No</v>
      </c>
      <c r="F841" s="105">
        <f t="shared" si="241"/>
        <v>0</v>
      </c>
      <c r="G841" s="106"/>
      <c r="H841" s="106"/>
      <c r="I841" s="106"/>
      <c r="J841" s="105">
        <f t="shared" si="251"/>
        <v>0</v>
      </c>
      <c r="K841" s="106"/>
      <c r="L841" s="177" t="str">
        <f t="shared" si="252"/>
        <v/>
      </c>
      <c r="M841" s="105">
        <f t="shared" si="253"/>
        <v>0</v>
      </c>
      <c r="N841" s="110"/>
      <c r="O841" s="124"/>
      <c r="P841" s="110"/>
      <c r="Q841" s="124"/>
      <c r="R841" s="111">
        <f>SUMIFS('Shipments data'!L:L,'Shipments data'!F:F,'Supply planning data'!C841,'Shipments data'!A:A,'Supply planning data'!A841,'Shipments data'!Y:Y,'Supply planning data'!D841,'Shipments data'!O:O,"received", 'Shipments data'!N:N, "Public")</f>
        <v>0</v>
      </c>
      <c r="S841" s="111">
        <f>SUMIFS('Shipments data'!L:L,'Shipments data'!F:F,'Supply planning data'!C841,'Shipments data'!A:A,'Supply planning data'!A841,'Shipments data'!Y:Y,'Supply planning data'!D841,'Shipments data'!O:O,"ordered", 'Shipments data'!N:N, "Public")</f>
        <v>0</v>
      </c>
      <c r="T841" s="111">
        <f>IF(SUMIFS('Shipments data'!L:L,'Shipments data'!F:F,'Supply planning data'!C841,'Shipments data'!A:A,'Supply planning data'!A841,'Shipments data'!O:O,"received",'Shipments data'!Q:Q,"&lt;"&amp;'Supply planning data'!D856,'Shipments data'!AC:AC,"&lt;"&amp;'Supply planning data'!D856)-SUMIFS(M:M,D:D,"&lt;="&amp;D841,C:C,C841)+SUMIFS(N:N,D:D,"&lt;="&amp;D841,C:C,C841)+SUMIFS(P:P,D:D,"&lt;="&amp;D841,C:C,C841)&lt;0,0,SUMIFS('Shipments data'!L:L,'Shipments data'!F:F,'Supply planning data'!C841,'Shipments data'!A:A,'Supply planning data'!A841,'Shipments data'!O:O,"received",'Shipments data'!Q:Q,"&lt;"&amp;'Supply planning data'!D856,'Shipments data'!AC:AC,"&lt;"&amp;'Supply planning data'!D856)-SUMIFS(M:M,D:D,"&lt;="&amp;D841,C:C,C841)+SUMIFS(N:N,D:D,"&lt;="&amp;D841,C:C,C841)+SUMIFS(P:P,D:D,"&lt;="&amp;D841,C:C,C841))</f>
        <v>0</v>
      </c>
      <c r="U841" s="112">
        <f t="shared" si="242"/>
        <v>0</v>
      </c>
      <c r="V841" s="111">
        <f t="shared" si="250"/>
        <v>0</v>
      </c>
      <c r="W841" s="204" t="str">
        <f t="shared" si="248"/>
        <v/>
      </c>
      <c r="X841" s="111">
        <f t="shared" si="243"/>
        <v>0</v>
      </c>
      <c r="Y841" s="110"/>
      <c r="Z841" s="107"/>
      <c r="AA841" s="111">
        <f t="shared" si="254"/>
        <v>0</v>
      </c>
      <c r="AB841" s="235"/>
      <c r="AC841" s="111">
        <f>IF(SUMIFS('Shipments data'!L:L,'Shipments data'!F:F,'Supply planning data'!C841,'Shipments data'!A:A,'Supply planning data'!A841,'Shipments data'!O:O,"received",'Shipments data'!Q:Q,"&lt;"&amp;'Supply planning data'!D856,'Shipments data'!AC:AC,"&lt;"&amp;'Supply planning data'!D856)-SUMIFS(M:M,D:D,"&lt;="&amp;D841,C:C,C841)-SUMIFS(AA:AA,D:D,"&lt;="&amp;D841,C:C,C841)+SUMIFS(N:N,D:D,"&lt;="&amp;D841,C:C,C841)+SUMIFS(P:P,D:D,"&lt;="&amp;D841,C:C,C841)&lt;0,0,SUMIFS('Shipments data'!L:L,'Shipments data'!F:F,'Supply planning data'!C841,'Shipments data'!A:A,'Supply planning data'!A841,'Shipments data'!O:O,"received",'Shipments data'!Q:Q,"&lt;"&amp;'Supply planning data'!D856,'Shipments data'!AC:AC,"&lt;"&amp;'Supply planning data'!D856)-SUMIFS(M:M,D:D,"&lt;="&amp;D841,C:C,C841)-SUMIFS(AA:AA,D:D,"&lt;="&amp;D841,C:C,C841)+SUMIFS(N:N,D:D,"&lt;="&amp;D841,C:C,C841)+SUMIFS(P:P,D:D,"&lt;="&amp;D841,C:C,C841))</f>
        <v>0</v>
      </c>
      <c r="AD841" s="111">
        <f t="shared" si="244"/>
        <v>0</v>
      </c>
      <c r="AE841" s="111">
        <f t="shared" si="256"/>
        <v>0</v>
      </c>
      <c r="AF841" s="204" t="str">
        <f t="shared" si="247"/>
        <v/>
      </c>
      <c r="AG841" s="111">
        <f t="shared" si="245"/>
        <v>0</v>
      </c>
      <c r="AH841" s="110"/>
      <c r="AI841" s="313"/>
      <c r="AJ841" s="111">
        <f t="shared" si="255"/>
        <v>0</v>
      </c>
      <c r="AK841" s="235"/>
      <c r="AL841" s="111">
        <f>IF(SUMIFS('Shipments data'!L:L,'Shipments data'!F:F,'Supply planning data'!C841,'Shipments data'!A:A,'Supply planning data'!A841,'Shipments data'!O:O,"received",'Shipments data'!Q:Q,"&lt;"&amp;'Supply planning data'!D856,'Shipments data'!AC:AC,"&lt;"&amp;'Supply planning data'!D856)-SUMIFS(M:M,D:D,"&lt;="&amp;D841,C:C,C841)-SUMIFS(AJ:AJ,D:D,"&lt;="&amp;D841,C:C,C841)+SUMIFS(N:N,D:D,"&lt;="&amp;D841,C:C,C841)+SUMIFS(P:P,D:D,"&lt;="&amp;D841,C:C,C841)&lt;0,0,SUMIFS('Shipments data'!L:L,'Shipments data'!F:F,'Supply planning data'!C841,'Shipments data'!A:A,'Supply planning data'!A841,'Shipments data'!O:O,"received",'Shipments data'!Q:Q,"&lt;"&amp;'Supply planning data'!D856,'Shipments data'!AC:AC,"&lt;"&amp;'Supply planning data'!D856)-SUMIFS(M:M,D:D,"&lt;="&amp;D841,C:C,C841)-SUMIFS(AJ:AJ,D:D,"&lt;="&amp;D841,C:C,C841)+SUMIFS(N:N,D:D,"&lt;="&amp;D841,C:C,C841)+SUMIFS(P:P,D:D,"&lt;="&amp;D841,C:C,C841))</f>
        <v>0</v>
      </c>
      <c r="AM841" s="111">
        <f t="shared" si="246"/>
        <v>0</v>
      </c>
      <c r="AN841" s="111">
        <f t="shared" si="257"/>
        <v>0</v>
      </c>
      <c r="AO841" s="204" t="str">
        <f t="shared" si="249"/>
        <v/>
      </c>
    </row>
    <row r="842" spans="1:41" hidden="1" x14ac:dyDescent="0.25">
      <c r="A842" s="103" t="str">
        <f>Start!D$7</f>
        <v>Anyland</v>
      </c>
      <c r="B842" s="109" t="str">
        <f>VLOOKUP(A842,list!B:C,2,FALSE)</f>
        <v>ANY</v>
      </c>
      <c r="C842" s="104" t="str">
        <f>IF(Start!$C$29="","",Start!$C$29)</f>
        <v/>
      </c>
      <c r="D842" s="298">
        <f t="shared" si="240"/>
        <v>45870</v>
      </c>
      <c r="E842" s="105" t="str">
        <f>IFERROR(VLOOKUP(C842,Start!C$15:D$31,2,FALSE),"No")</f>
        <v>No</v>
      </c>
      <c r="F842" s="105">
        <f t="shared" si="241"/>
        <v>0</v>
      </c>
      <c r="G842" s="106"/>
      <c r="H842" s="106"/>
      <c r="I842" s="106"/>
      <c r="J842" s="105">
        <f t="shared" si="251"/>
        <v>0</v>
      </c>
      <c r="K842" s="106"/>
      <c r="L842" s="177" t="str">
        <f t="shared" si="252"/>
        <v/>
      </c>
      <c r="M842" s="105">
        <f t="shared" si="253"/>
        <v>0</v>
      </c>
      <c r="N842" s="110"/>
      <c r="O842" s="124"/>
      <c r="P842" s="110"/>
      <c r="Q842" s="124"/>
      <c r="R842" s="111">
        <f>SUMIFS('Shipments data'!L:L,'Shipments data'!F:F,'Supply planning data'!C842,'Shipments data'!A:A,'Supply planning data'!A842,'Shipments data'!Y:Y,'Supply planning data'!D842,'Shipments data'!O:O,"received", 'Shipments data'!N:N, "Public")</f>
        <v>0</v>
      </c>
      <c r="S842" s="111">
        <f>SUMIFS('Shipments data'!L:L,'Shipments data'!F:F,'Supply planning data'!C842,'Shipments data'!A:A,'Supply planning data'!A842,'Shipments data'!Y:Y,'Supply planning data'!D842,'Shipments data'!O:O,"ordered", 'Shipments data'!N:N, "Public")</f>
        <v>0</v>
      </c>
      <c r="T842" s="111">
        <f>IF(SUMIFS('Shipments data'!L:L,'Shipments data'!F:F,'Supply planning data'!C842,'Shipments data'!A:A,'Supply planning data'!A842,'Shipments data'!O:O,"received",'Shipments data'!Q:Q,"&lt;"&amp;'Supply planning data'!D857,'Shipments data'!AC:AC,"&lt;"&amp;'Supply planning data'!D857)-SUMIFS(M:M,D:D,"&lt;="&amp;D842,C:C,C842)+SUMIFS(N:N,D:D,"&lt;="&amp;D842,C:C,C842)+SUMIFS(P:P,D:D,"&lt;="&amp;D842,C:C,C842)&lt;0,0,SUMIFS('Shipments data'!L:L,'Shipments data'!F:F,'Supply planning data'!C842,'Shipments data'!A:A,'Supply planning data'!A842,'Shipments data'!O:O,"received",'Shipments data'!Q:Q,"&lt;"&amp;'Supply planning data'!D857,'Shipments data'!AC:AC,"&lt;"&amp;'Supply planning data'!D857)-SUMIFS(M:M,D:D,"&lt;="&amp;D842,C:C,C842)+SUMIFS(N:N,D:D,"&lt;="&amp;D842,C:C,C842)+SUMIFS(P:P,D:D,"&lt;="&amp;D842,C:C,C842))</f>
        <v>0</v>
      </c>
      <c r="U842" s="112">
        <f t="shared" si="242"/>
        <v>0</v>
      </c>
      <c r="V842" s="111">
        <f t="shared" si="250"/>
        <v>0</v>
      </c>
      <c r="W842" s="204" t="str">
        <f t="shared" si="248"/>
        <v/>
      </c>
      <c r="X842" s="111">
        <f t="shared" si="243"/>
        <v>0</v>
      </c>
      <c r="Y842" s="110"/>
      <c r="Z842" s="107"/>
      <c r="AA842" s="111">
        <f t="shared" si="254"/>
        <v>0</v>
      </c>
      <c r="AB842" s="235"/>
      <c r="AC842" s="111">
        <f>IF(SUMIFS('Shipments data'!L:L,'Shipments data'!F:F,'Supply planning data'!C842,'Shipments data'!A:A,'Supply planning data'!A842,'Shipments data'!O:O,"received",'Shipments data'!Q:Q,"&lt;"&amp;'Supply planning data'!D857,'Shipments data'!AC:AC,"&lt;"&amp;'Supply planning data'!D857)-SUMIFS(M:M,D:D,"&lt;="&amp;D842,C:C,C842)-SUMIFS(AA:AA,D:D,"&lt;="&amp;D842,C:C,C842)+SUMIFS(N:N,D:D,"&lt;="&amp;D842,C:C,C842)+SUMIFS(P:P,D:D,"&lt;="&amp;D842,C:C,C842)&lt;0,0,SUMIFS('Shipments data'!L:L,'Shipments data'!F:F,'Supply planning data'!C842,'Shipments data'!A:A,'Supply planning data'!A842,'Shipments data'!O:O,"received",'Shipments data'!Q:Q,"&lt;"&amp;'Supply planning data'!D857,'Shipments data'!AC:AC,"&lt;"&amp;'Supply planning data'!D857)-SUMIFS(M:M,D:D,"&lt;="&amp;D842,C:C,C842)-SUMIFS(AA:AA,D:D,"&lt;="&amp;D842,C:C,C842)+SUMIFS(N:N,D:D,"&lt;="&amp;D842,C:C,C842)+SUMIFS(P:P,D:D,"&lt;="&amp;D842,C:C,C842))</f>
        <v>0</v>
      </c>
      <c r="AD842" s="111">
        <f t="shared" si="244"/>
        <v>0</v>
      </c>
      <c r="AE842" s="111">
        <f t="shared" si="256"/>
        <v>0</v>
      </c>
      <c r="AF842" s="204" t="str">
        <f t="shared" si="247"/>
        <v/>
      </c>
      <c r="AG842" s="111">
        <f t="shared" si="245"/>
        <v>0</v>
      </c>
      <c r="AH842" s="110"/>
      <c r="AI842" s="313"/>
      <c r="AJ842" s="111">
        <f t="shared" si="255"/>
        <v>0</v>
      </c>
      <c r="AK842" s="235"/>
      <c r="AL842" s="111">
        <f>IF(SUMIFS('Shipments data'!L:L,'Shipments data'!F:F,'Supply planning data'!C842,'Shipments data'!A:A,'Supply planning data'!A842,'Shipments data'!O:O,"received",'Shipments data'!Q:Q,"&lt;"&amp;'Supply planning data'!D857,'Shipments data'!AC:AC,"&lt;"&amp;'Supply planning data'!D857)-SUMIFS(M:M,D:D,"&lt;="&amp;D842,C:C,C842)-SUMIFS(AJ:AJ,D:D,"&lt;="&amp;D842,C:C,C842)+SUMIFS(N:N,D:D,"&lt;="&amp;D842,C:C,C842)+SUMIFS(P:P,D:D,"&lt;="&amp;D842,C:C,C842)&lt;0,0,SUMIFS('Shipments data'!L:L,'Shipments data'!F:F,'Supply planning data'!C842,'Shipments data'!A:A,'Supply planning data'!A842,'Shipments data'!O:O,"received",'Shipments data'!Q:Q,"&lt;"&amp;'Supply planning data'!D857,'Shipments data'!AC:AC,"&lt;"&amp;'Supply planning data'!D857)-SUMIFS(M:M,D:D,"&lt;="&amp;D842,C:C,C842)-SUMIFS(AJ:AJ,D:D,"&lt;="&amp;D842,C:C,C842)+SUMIFS(N:N,D:D,"&lt;="&amp;D842,C:C,C842)+SUMIFS(P:P,D:D,"&lt;="&amp;D842,C:C,C842))</f>
        <v>0</v>
      </c>
      <c r="AM842" s="111">
        <f t="shared" si="246"/>
        <v>0</v>
      </c>
      <c r="AN842" s="111">
        <f t="shared" si="257"/>
        <v>0</v>
      </c>
      <c r="AO842" s="204" t="str">
        <f t="shared" si="249"/>
        <v/>
      </c>
    </row>
    <row r="843" spans="1:41" hidden="1" x14ac:dyDescent="0.25">
      <c r="A843" s="103" t="str">
        <f>Start!D$7</f>
        <v>Anyland</v>
      </c>
      <c r="B843" s="109" t="str">
        <f>VLOOKUP(A843,list!B:C,2,FALSE)</f>
        <v>ANY</v>
      </c>
      <c r="C843" s="109" t="str">
        <f>IF(Start!$C$30="","",Start!$C$30)</f>
        <v/>
      </c>
      <c r="D843" s="298">
        <f t="shared" si="240"/>
        <v>45870</v>
      </c>
      <c r="E843" s="105" t="str">
        <f>IFERROR(VLOOKUP(C843,Start!C$15:D$31,2,FALSE),"No")</f>
        <v>No</v>
      </c>
      <c r="F843" s="105">
        <f t="shared" si="241"/>
        <v>0</v>
      </c>
      <c r="G843" s="106"/>
      <c r="H843" s="106"/>
      <c r="I843" s="106"/>
      <c r="J843" s="105">
        <f t="shared" si="251"/>
        <v>0</v>
      </c>
      <c r="K843" s="106"/>
      <c r="L843" s="177" t="str">
        <f t="shared" si="252"/>
        <v/>
      </c>
      <c r="M843" s="105">
        <f t="shared" si="253"/>
        <v>0</v>
      </c>
      <c r="N843" s="110"/>
      <c r="O843" s="124"/>
      <c r="P843" s="110"/>
      <c r="Q843" s="124"/>
      <c r="R843" s="111">
        <f>SUMIFS('Shipments data'!L:L,'Shipments data'!F:F,'Supply planning data'!C843,'Shipments data'!A:A,'Supply planning data'!A843,'Shipments data'!Y:Y,'Supply planning data'!D843,'Shipments data'!O:O,"received", 'Shipments data'!N:N, "Public")</f>
        <v>0</v>
      </c>
      <c r="S843" s="111">
        <f>SUMIFS('Shipments data'!L:L,'Shipments data'!F:F,'Supply planning data'!C843,'Shipments data'!A:A,'Supply planning data'!A843,'Shipments data'!Y:Y,'Supply planning data'!D843,'Shipments data'!O:O,"ordered", 'Shipments data'!N:N, "Public")</f>
        <v>0</v>
      </c>
      <c r="T843" s="111">
        <f>IF(SUMIFS('Shipments data'!L:L,'Shipments data'!F:F,'Supply planning data'!C843,'Shipments data'!A:A,'Supply planning data'!A843,'Shipments data'!O:O,"received",'Shipments data'!Q:Q,"&lt;"&amp;'Supply planning data'!D858,'Shipments data'!AC:AC,"&lt;"&amp;'Supply planning data'!D858)-SUMIFS(M:M,D:D,"&lt;="&amp;D843,C:C,C843)+SUMIFS(N:N,D:D,"&lt;="&amp;D843,C:C,C843)+SUMIFS(P:P,D:D,"&lt;="&amp;D843,C:C,C843)&lt;0,0,SUMIFS('Shipments data'!L:L,'Shipments data'!F:F,'Supply planning data'!C843,'Shipments data'!A:A,'Supply planning data'!A843,'Shipments data'!O:O,"received",'Shipments data'!Q:Q,"&lt;"&amp;'Supply planning data'!D858,'Shipments data'!AC:AC,"&lt;"&amp;'Supply planning data'!D858)-SUMIFS(M:M,D:D,"&lt;="&amp;D843,C:C,C843)+SUMIFS(N:N,D:D,"&lt;="&amp;D843,C:C,C843)+SUMIFS(P:P,D:D,"&lt;="&amp;D843,C:C,C843))</f>
        <v>0</v>
      </c>
      <c r="U843" s="112">
        <f t="shared" si="242"/>
        <v>0</v>
      </c>
      <c r="V843" s="111">
        <f t="shared" si="250"/>
        <v>0</v>
      </c>
      <c r="W843" s="204" t="str">
        <f t="shared" si="248"/>
        <v/>
      </c>
      <c r="X843" s="111">
        <f t="shared" si="243"/>
        <v>0</v>
      </c>
      <c r="Y843" s="110"/>
      <c r="Z843" s="107"/>
      <c r="AA843" s="111">
        <f t="shared" si="254"/>
        <v>0</v>
      </c>
      <c r="AB843" s="235"/>
      <c r="AC843" s="111">
        <f>IF(SUMIFS('Shipments data'!L:L,'Shipments data'!F:F,'Supply planning data'!C843,'Shipments data'!A:A,'Supply planning data'!A843,'Shipments data'!O:O,"received",'Shipments data'!Q:Q,"&lt;"&amp;'Supply planning data'!D858,'Shipments data'!AC:AC,"&lt;"&amp;'Supply planning data'!D858)-SUMIFS(M:M,D:D,"&lt;="&amp;D843,C:C,C843)-SUMIFS(AA:AA,D:D,"&lt;="&amp;D843,C:C,C843)+SUMIFS(N:N,D:D,"&lt;="&amp;D843,C:C,C843)+SUMIFS(P:P,D:D,"&lt;="&amp;D843,C:C,C843)&lt;0,0,SUMIFS('Shipments data'!L:L,'Shipments data'!F:F,'Supply planning data'!C843,'Shipments data'!A:A,'Supply planning data'!A843,'Shipments data'!O:O,"received",'Shipments data'!Q:Q,"&lt;"&amp;'Supply planning data'!D858,'Shipments data'!AC:AC,"&lt;"&amp;'Supply planning data'!D858)-SUMIFS(M:M,D:D,"&lt;="&amp;D843,C:C,C843)-SUMIFS(AA:AA,D:D,"&lt;="&amp;D843,C:C,C843)+SUMIFS(N:N,D:D,"&lt;="&amp;D843,C:C,C843)+SUMIFS(P:P,D:D,"&lt;="&amp;D843,C:C,C843))</f>
        <v>0</v>
      </c>
      <c r="AD843" s="111">
        <f t="shared" si="244"/>
        <v>0</v>
      </c>
      <c r="AE843" s="111">
        <f t="shared" si="256"/>
        <v>0</v>
      </c>
      <c r="AF843" s="204" t="str">
        <f t="shared" si="247"/>
        <v/>
      </c>
      <c r="AG843" s="111">
        <f t="shared" si="245"/>
        <v>0</v>
      </c>
      <c r="AH843" s="110"/>
      <c r="AI843" s="313"/>
      <c r="AJ843" s="111">
        <f t="shared" si="255"/>
        <v>0</v>
      </c>
      <c r="AK843" s="235"/>
      <c r="AL843" s="111">
        <f>IF(SUMIFS('Shipments data'!L:L,'Shipments data'!F:F,'Supply planning data'!C843,'Shipments data'!A:A,'Supply planning data'!A843,'Shipments data'!O:O,"received",'Shipments data'!Q:Q,"&lt;"&amp;'Supply planning data'!D858,'Shipments data'!AC:AC,"&lt;"&amp;'Supply planning data'!D858)-SUMIFS(M:M,D:D,"&lt;="&amp;D843,C:C,C843)-SUMIFS(AJ:AJ,D:D,"&lt;="&amp;D843,C:C,C843)+SUMIFS(N:N,D:D,"&lt;="&amp;D843,C:C,C843)+SUMIFS(P:P,D:D,"&lt;="&amp;D843,C:C,C843)&lt;0,0,SUMIFS('Shipments data'!L:L,'Shipments data'!F:F,'Supply planning data'!C843,'Shipments data'!A:A,'Supply planning data'!A843,'Shipments data'!O:O,"received",'Shipments data'!Q:Q,"&lt;"&amp;'Supply planning data'!D858,'Shipments data'!AC:AC,"&lt;"&amp;'Supply planning data'!D858)-SUMIFS(M:M,D:D,"&lt;="&amp;D843,C:C,C843)-SUMIFS(AJ:AJ,D:D,"&lt;="&amp;D843,C:C,C843)+SUMIFS(N:N,D:D,"&lt;="&amp;D843,C:C,C843)+SUMIFS(P:P,D:D,"&lt;="&amp;D843,C:C,C843))</f>
        <v>0</v>
      </c>
      <c r="AM843" s="111">
        <f t="shared" si="246"/>
        <v>0</v>
      </c>
      <c r="AN843" s="111">
        <f t="shared" si="257"/>
        <v>0</v>
      </c>
      <c r="AO843" s="204" t="str">
        <f t="shared" si="249"/>
        <v/>
      </c>
    </row>
    <row r="844" spans="1:41" hidden="1" x14ac:dyDescent="0.25">
      <c r="A844" s="113" t="str">
        <f>Start!D$7</f>
        <v>Anyland</v>
      </c>
      <c r="B844" s="114" t="str">
        <f>VLOOKUP(A844,list!B:C,2,FALSE)</f>
        <v>ANY</v>
      </c>
      <c r="C844" s="104" t="str">
        <f>IF(Start!$C$31="","",Start!$C$31)</f>
        <v/>
      </c>
      <c r="D844" s="298">
        <f t="shared" si="240"/>
        <v>45870</v>
      </c>
      <c r="E844" s="105" t="str">
        <f>IFERROR(VLOOKUP(C844,Start!C$15:D$31,2,FALSE),"No")</f>
        <v>No</v>
      </c>
      <c r="F844" s="105">
        <f t="shared" si="241"/>
        <v>0</v>
      </c>
      <c r="G844" s="106"/>
      <c r="H844" s="106"/>
      <c r="I844" s="106"/>
      <c r="J844" s="105">
        <f t="shared" si="251"/>
        <v>0</v>
      </c>
      <c r="K844" s="106"/>
      <c r="L844" s="177" t="str">
        <f t="shared" si="252"/>
        <v/>
      </c>
      <c r="M844" s="105">
        <f t="shared" si="253"/>
        <v>0</v>
      </c>
      <c r="N844" s="110"/>
      <c r="O844" s="124"/>
      <c r="P844" s="110"/>
      <c r="Q844" s="124"/>
      <c r="R844" s="111">
        <f>SUMIFS('Shipments data'!L:L,'Shipments data'!F:F,'Supply planning data'!C844,'Shipments data'!A:A,'Supply planning data'!A844,'Shipments data'!Y:Y,'Supply planning data'!D844,'Shipments data'!O:O,"received", 'Shipments data'!N:N, "Public")</f>
        <v>0</v>
      </c>
      <c r="S844" s="111">
        <f>SUMIFS('Shipments data'!L:L,'Shipments data'!F:F,'Supply planning data'!C844,'Shipments data'!A:A,'Supply planning data'!A844,'Shipments data'!Y:Y,'Supply planning data'!D844,'Shipments data'!O:O,"ordered", 'Shipments data'!N:N, "Public")</f>
        <v>0</v>
      </c>
      <c r="T844" s="111">
        <f>IF(SUMIFS('Shipments data'!L:L,'Shipments data'!F:F,'Supply planning data'!C844,'Shipments data'!A:A,'Supply planning data'!A844,'Shipments data'!O:O,"received",'Shipments data'!Q:Q,"&lt;"&amp;'Supply planning data'!D859,'Shipments data'!AC:AC,"&lt;"&amp;'Supply planning data'!D859)-SUMIFS(M:M,D:D,"&lt;="&amp;D844,C:C,C844)+SUMIFS(N:N,D:D,"&lt;="&amp;D844,C:C,C844)+SUMIFS(P:P,D:D,"&lt;="&amp;D844,C:C,C844)&lt;0,0,SUMIFS('Shipments data'!L:L,'Shipments data'!F:F,'Supply planning data'!C844,'Shipments data'!A:A,'Supply planning data'!A844,'Shipments data'!O:O,"received",'Shipments data'!Q:Q,"&lt;"&amp;'Supply planning data'!D859,'Shipments data'!AC:AC,"&lt;"&amp;'Supply planning data'!D859)-SUMIFS(M:M,D:D,"&lt;="&amp;D844,C:C,C844)+SUMIFS(N:N,D:D,"&lt;="&amp;D844,C:C,C844)+SUMIFS(P:P,D:D,"&lt;="&amp;D844,C:C,C844))</f>
        <v>0</v>
      </c>
      <c r="U844" s="112">
        <f t="shared" si="242"/>
        <v>0</v>
      </c>
      <c r="V844" s="111">
        <f t="shared" si="250"/>
        <v>0</v>
      </c>
      <c r="W844" s="204" t="str">
        <f t="shared" si="248"/>
        <v/>
      </c>
      <c r="X844" s="111">
        <f t="shared" si="243"/>
        <v>0</v>
      </c>
      <c r="Y844" s="110"/>
      <c r="Z844" s="107"/>
      <c r="AA844" s="111">
        <f t="shared" si="254"/>
        <v>0</v>
      </c>
      <c r="AB844" s="235"/>
      <c r="AC844" s="111">
        <f>IF(SUMIFS('Shipments data'!L:L,'Shipments data'!F:F,'Supply planning data'!C844,'Shipments data'!A:A,'Supply planning data'!A844,'Shipments data'!O:O,"received",'Shipments data'!Q:Q,"&lt;"&amp;'Supply planning data'!D859,'Shipments data'!AC:AC,"&lt;"&amp;'Supply planning data'!D859)-SUMIFS(M:M,D:D,"&lt;="&amp;D844,C:C,C844)-SUMIFS(AA:AA,D:D,"&lt;="&amp;D844,C:C,C844)+SUMIFS(N:N,D:D,"&lt;="&amp;D844,C:C,C844)+SUMIFS(P:P,D:D,"&lt;="&amp;D844,C:C,C844)&lt;0,0,SUMIFS('Shipments data'!L:L,'Shipments data'!F:F,'Supply planning data'!C844,'Shipments data'!A:A,'Supply planning data'!A844,'Shipments data'!O:O,"received",'Shipments data'!Q:Q,"&lt;"&amp;'Supply planning data'!D859,'Shipments data'!AC:AC,"&lt;"&amp;'Supply planning data'!D859)-SUMIFS(M:M,D:D,"&lt;="&amp;D844,C:C,C844)-SUMIFS(AA:AA,D:D,"&lt;="&amp;D844,C:C,C844)+SUMIFS(N:N,D:D,"&lt;="&amp;D844,C:C,C844)+SUMIFS(P:P,D:D,"&lt;="&amp;D844,C:C,C844))</f>
        <v>0</v>
      </c>
      <c r="AD844" s="111">
        <f t="shared" si="244"/>
        <v>0</v>
      </c>
      <c r="AE844" s="111">
        <f t="shared" si="256"/>
        <v>0</v>
      </c>
      <c r="AF844" s="204" t="str">
        <f t="shared" si="247"/>
        <v/>
      </c>
      <c r="AG844" s="111">
        <f t="shared" si="245"/>
        <v>0</v>
      </c>
      <c r="AH844" s="110"/>
      <c r="AI844" s="313"/>
      <c r="AJ844" s="111">
        <f t="shared" si="255"/>
        <v>0</v>
      </c>
      <c r="AK844" s="235"/>
      <c r="AL844" s="111">
        <f>IF(SUMIFS('Shipments data'!L:L,'Shipments data'!F:F,'Supply planning data'!C844,'Shipments data'!A:A,'Supply planning data'!A844,'Shipments data'!O:O,"received",'Shipments data'!Q:Q,"&lt;"&amp;'Supply planning data'!D859,'Shipments data'!AC:AC,"&lt;"&amp;'Supply planning data'!D859)-SUMIFS(M:M,D:D,"&lt;="&amp;D844,C:C,C844)-SUMIFS(AJ:AJ,D:D,"&lt;="&amp;D844,C:C,C844)+SUMIFS(N:N,D:D,"&lt;="&amp;D844,C:C,C844)+SUMIFS(P:P,D:D,"&lt;="&amp;D844,C:C,C844)&lt;0,0,SUMIFS('Shipments data'!L:L,'Shipments data'!F:F,'Supply planning data'!C844,'Shipments data'!A:A,'Supply planning data'!A844,'Shipments data'!O:O,"received",'Shipments data'!Q:Q,"&lt;"&amp;'Supply planning data'!D859,'Shipments data'!AC:AC,"&lt;"&amp;'Supply planning data'!D859)-SUMIFS(M:M,D:D,"&lt;="&amp;D844,C:C,C844)-SUMIFS(AJ:AJ,D:D,"&lt;="&amp;D844,C:C,C844)+SUMIFS(N:N,D:D,"&lt;="&amp;D844,C:C,C844)+SUMIFS(P:P,D:D,"&lt;="&amp;D844,C:C,C844))</f>
        <v>0</v>
      </c>
      <c r="AM844" s="111">
        <f t="shared" si="246"/>
        <v>0</v>
      </c>
      <c r="AN844" s="111">
        <f t="shared" si="257"/>
        <v>0</v>
      </c>
      <c r="AO844" s="204" t="str">
        <f t="shared" si="249"/>
        <v/>
      </c>
    </row>
    <row r="845" spans="1:41" x14ac:dyDescent="0.25">
      <c r="A845" s="89" t="str">
        <f>Start!D$7</f>
        <v>Anyland</v>
      </c>
      <c r="B845" s="90" t="str">
        <f>VLOOKUP(A845,list!B:C,2,FALSE)</f>
        <v>ANY</v>
      </c>
      <c r="C845" s="90" t="str">
        <f>IF(Start!$C$17="","",Start!$C$17)</f>
        <v>AstraZeneca</v>
      </c>
      <c r="D845" s="296">
        <f t="shared" si="240"/>
        <v>45901</v>
      </c>
      <c r="E845" s="92" t="str">
        <f>IFERROR(VLOOKUP(C845,Start!C$15:D$31,2,FALSE),"No")</f>
        <v>Yes</v>
      </c>
      <c r="F845" s="92">
        <f t="shared" si="241"/>
        <v>0</v>
      </c>
      <c r="G845" s="91"/>
      <c r="H845" s="91"/>
      <c r="I845" s="91"/>
      <c r="J845" s="92">
        <f t="shared" si="251"/>
        <v>0</v>
      </c>
      <c r="K845" s="91"/>
      <c r="L845" s="174" t="str">
        <f t="shared" si="252"/>
        <v/>
      </c>
      <c r="M845" s="92">
        <f t="shared" si="253"/>
        <v>0</v>
      </c>
      <c r="N845" s="91"/>
      <c r="O845" s="121"/>
      <c r="P845" s="91"/>
      <c r="Q845" s="121"/>
      <c r="R845" s="92">
        <f>SUMIFS('Shipments data'!L:L,'Shipments data'!F:F,'Supply planning data'!C845,'Shipments data'!A:A,'Supply planning data'!A845,'Shipments data'!Y:Y,'Supply planning data'!D845,'Shipments data'!O:O,"received", 'Shipments data'!N:N, "Public")</f>
        <v>0</v>
      </c>
      <c r="S845" s="92">
        <f>SUMIFS('Shipments data'!L:L,'Shipments data'!F:F,'Supply planning data'!C845,'Shipments data'!A:A,'Supply planning data'!A845,'Shipments data'!Y:Y,'Supply planning data'!D845,'Shipments data'!O:O,"ordered", 'Shipments data'!N:N, "Public")</f>
        <v>0</v>
      </c>
      <c r="T845" s="92">
        <f>IF(SUMIFS('Shipments data'!L:L,'Shipments data'!F:F,'Supply planning data'!C845,'Shipments data'!A:A,'Supply planning data'!A845,'Shipments data'!O:O,"received",'Shipments data'!Q:Q,"&lt;"&amp;'Supply planning data'!D860,'Shipments data'!AC:AC,"&lt;"&amp;'Supply planning data'!D860)-SUMIFS(M:M,D:D,"&lt;="&amp;D845,C:C,C845)+SUMIFS(N:N,D:D,"&lt;="&amp;D845,C:C,C845)+SUMIFS(P:P,D:D,"&lt;="&amp;D845,C:C,C845)&lt;0,0,SUMIFS('Shipments data'!L:L,'Shipments data'!F:F,'Supply planning data'!C845,'Shipments data'!A:A,'Supply planning data'!A845,'Shipments data'!O:O,"received",'Shipments data'!Q:Q,"&lt;"&amp;'Supply planning data'!D860,'Shipments data'!AC:AC,"&lt;"&amp;'Supply planning data'!D860)-SUMIFS(M:M,D:D,"&lt;="&amp;D845,C:C,C845)+SUMIFS(N:N,D:D,"&lt;="&amp;D845,C:C,C845)+SUMIFS(P:P,D:D,"&lt;="&amp;D845,C:C,C845))</f>
        <v>0</v>
      </c>
      <c r="U845" s="94">
        <f t="shared" si="242"/>
        <v>0</v>
      </c>
      <c r="V845" s="92">
        <f t="shared" si="250"/>
        <v>0</v>
      </c>
      <c r="W845" s="205" t="str">
        <f t="shared" si="248"/>
        <v/>
      </c>
      <c r="X845" s="92">
        <f t="shared" si="243"/>
        <v>154701</v>
      </c>
      <c r="Y845" s="91"/>
      <c r="Z845" s="93"/>
      <c r="AA845" s="92">
        <f t="shared" si="254"/>
        <v>0</v>
      </c>
      <c r="AB845" s="232"/>
      <c r="AC845" s="92">
        <f>IF(SUMIFS('Shipments data'!L:L,'Shipments data'!F:F,'Supply planning data'!C845,'Shipments data'!A:A,'Supply planning data'!A845,'Shipments data'!O:O,"received",'Shipments data'!Q:Q,"&lt;"&amp;'Supply planning data'!D860,'Shipments data'!AC:AC,"&lt;"&amp;'Supply planning data'!D860)-SUMIFS(M:M,D:D,"&lt;="&amp;D845,C:C,C845)-SUMIFS(AA:AA,D:D,"&lt;="&amp;D845,C:C,C845)+SUMIFS(N:N,D:D,"&lt;="&amp;D845,C:C,C845)+SUMIFS(P:P,D:D,"&lt;="&amp;D845,C:C,C845)&lt;0,0,SUMIFS('Shipments data'!L:L,'Shipments data'!F:F,'Supply planning data'!C845,'Shipments data'!A:A,'Supply planning data'!A845,'Shipments data'!O:O,"received",'Shipments data'!Q:Q,"&lt;"&amp;'Supply planning data'!D860,'Shipments data'!AC:AC,"&lt;"&amp;'Supply planning data'!D860)-SUMIFS(M:M,D:D,"&lt;="&amp;D845,C:C,C845)-SUMIFS(AA:AA,D:D,"&lt;="&amp;D845,C:C,C845)+SUMIFS(N:N,D:D,"&lt;="&amp;D845,C:C,C845)+SUMIFS(P:P,D:D,"&lt;="&amp;D845,C:C,C845))</f>
        <v>0</v>
      </c>
      <c r="AD845" s="92">
        <f t="shared" si="244"/>
        <v>0</v>
      </c>
      <c r="AE845" s="92">
        <f t="shared" si="256"/>
        <v>154701</v>
      </c>
      <c r="AF845" s="205" t="str">
        <f t="shared" si="247"/>
        <v/>
      </c>
      <c r="AG845" s="92">
        <f t="shared" si="245"/>
        <v>0</v>
      </c>
      <c r="AH845" s="91"/>
      <c r="AI845" s="310"/>
      <c r="AJ845" s="92">
        <f t="shared" si="255"/>
        <v>0</v>
      </c>
      <c r="AK845" s="232"/>
      <c r="AL845" s="92">
        <f>IF(SUMIFS('Shipments data'!L:L,'Shipments data'!F:F,'Supply planning data'!C845,'Shipments data'!A:A,'Supply planning data'!A845,'Shipments data'!O:O,"received",'Shipments data'!Q:Q,"&lt;"&amp;'Supply planning data'!D860,'Shipments data'!AC:AC,"&lt;"&amp;'Supply planning data'!D860)-SUMIFS(M:M,D:D,"&lt;="&amp;D845,C:C,C845)-SUMIFS(AJ:AJ,D:D,"&lt;="&amp;D845,C:C,C845)+SUMIFS(N:N,D:D,"&lt;="&amp;D845,C:C,C845)+SUMIFS(P:P,D:D,"&lt;="&amp;D845,C:C,C845)&lt;0,0,SUMIFS('Shipments data'!L:L,'Shipments data'!F:F,'Supply planning data'!C845,'Shipments data'!A:A,'Supply planning data'!A845,'Shipments data'!O:O,"received",'Shipments data'!Q:Q,"&lt;"&amp;'Supply planning data'!D860,'Shipments data'!AC:AC,"&lt;"&amp;'Supply planning data'!D860)-SUMIFS(M:M,D:D,"&lt;="&amp;D845,C:C,C845)-SUMIFS(AJ:AJ,D:D,"&lt;="&amp;D845,C:C,C845)+SUMIFS(N:N,D:D,"&lt;="&amp;D845,C:C,C845)+SUMIFS(P:P,D:D,"&lt;="&amp;D845,C:C,C845))</f>
        <v>0</v>
      </c>
      <c r="AM845" s="92">
        <f t="shared" si="246"/>
        <v>0</v>
      </c>
      <c r="AN845" s="92">
        <f t="shared" si="257"/>
        <v>0</v>
      </c>
      <c r="AO845" s="205" t="str">
        <f t="shared" si="249"/>
        <v/>
      </c>
    </row>
    <row r="846" spans="1:41" x14ac:dyDescent="0.25">
      <c r="A846" s="95" t="str">
        <f>Start!D$7</f>
        <v>Anyland</v>
      </c>
      <c r="B846" s="96" t="str">
        <f>VLOOKUP(A846,list!B:C,2,FALSE)</f>
        <v>ANY</v>
      </c>
      <c r="C846" s="90" t="str">
        <f>IF(Start!$C$18="","",Start!$C$18)</f>
        <v>Jansen</v>
      </c>
      <c r="D846" s="296">
        <f t="shared" si="240"/>
        <v>45901</v>
      </c>
      <c r="E846" s="92" t="str">
        <f>IFERROR(VLOOKUP(C846,Start!C$15:D$31,2,FALSE),"No")</f>
        <v>Yes</v>
      </c>
      <c r="F846" s="92">
        <f t="shared" si="241"/>
        <v>1871200</v>
      </c>
      <c r="G846" s="91"/>
      <c r="H846" s="97"/>
      <c r="I846" s="97"/>
      <c r="J846" s="98">
        <f t="shared" si="251"/>
        <v>0</v>
      </c>
      <c r="K846" s="97"/>
      <c r="L846" s="175" t="str">
        <f t="shared" si="252"/>
        <v/>
      </c>
      <c r="M846" s="98">
        <f t="shared" si="253"/>
        <v>0</v>
      </c>
      <c r="N846" s="97"/>
      <c r="O846" s="122"/>
      <c r="P846" s="97"/>
      <c r="Q846" s="122"/>
      <c r="R846" s="98">
        <f>SUMIFS('Shipments data'!L:L,'Shipments data'!F:F,'Supply planning data'!C846,'Shipments data'!A:A,'Supply planning data'!A846,'Shipments data'!Y:Y,'Supply planning data'!D846,'Shipments data'!O:O,"received", 'Shipments data'!N:N, "Public")</f>
        <v>0</v>
      </c>
      <c r="S846" s="98">
        <f>SUMIFS('Shipments data'!L:L,'Shipments data'!F:F,'Supply planning data'!C846,'Shipments data'!A:A,'Supply planning data'!A846,'Shipments data'!Y:Y,'Supply planning data'!D846,'Shipments data'!O:O,"ordered", 'Shipments data'!N:N, "Public")</f>
        <v>0</v>
      </c>
      <c r="T846" s="98">
        <f>IF(SUMIFS('Shipments data'!L:L,'Shipments data'!F:F,'Supply planning data'!C846,'Shipments data'!A:A,'Supply planning data'!A846,'Shipments data'!O:O,"received",'Shipments data'!Q:Q,"&lt;"&amp;'Supply planning data'!D861,'Shipments data'!AC:AC,"&lt;"&amp;'Supply planning data'!D861)-SUMIFS(M:M,D:D,"&lt;="&amp;D846,C:C,C846)+SUMIFS(N:N,D:D,"&lt;="&amp;D846,C:C,C846)+SUMIFS(P:P,D:D,"&lt;="&amp;D846,C:C,C846)&lt;0,0,SUMIFS('Shipments data'!L:L,'Shipments data'!F:F,'Supply planning data'!C846,'Shipments data'!A:A,'Supply planning data'!A846,'Shipments data'!O:O,"received",'Shipments data'!Q:Q,"&lt;"&amp;'Supply planning data'!D861,'Shipments data'!AC:AC,"&lt;"&amp;'Supply planning data'!D861)-SUMIFS(M:M,D:D,"&lt;="&amp;D846,C:C,C846)+SUMIFS(N:N,D:D,"&lt;="&amp;D846,C:C,C846)+SUMIFS(P:P,D:D,"&lt;="&amp;D846,C:C,C846))</f>
        <v>387547</v>
      </c>
      <c r="U846" s="99">
        <f t="shared" si="242"/>
        <v>0</v>
      </c>
      <c r="V846" s="98">
        <f t="shared" si="250"/>
        <v>1871200</v>
      </c>
      <c r="W846" s="203" t="str">
        <f t="shared" si="248"/>
        <v/>
      </c>
      <c r="X846" s="98">
        <f t="shared" si="243"/>
        <v>1311200</v>
      </c>
      <c r="Y846" s="97"/>
      <c r="Z846" s="93"/>
      <c r="AA846" s="98">
        <f t="shared" si="254"/>
        <v>0</v>
      </c>
      <c r="AB846" s="233"/>
      <c r="AC846" s="98">
        <f>IF(SUMIFS('Shipments data'!L:L,'Shipments data'!F:F,'Supply planning data'!C846,'Shipments data'!A:A,'Supply planning data'!A846,'Shipments data'!O:O,"received",'Shipments data'!Q:Q,"&lt;"&amp;'Supply planning data'!D861,'Shipments data'!AC:AC,"&lt;"&amp;'Supply planning data'!D861)-SUMIFS(M:M,D:D,"&lt;="&amp;D846,C:C,C846)-SUMIFS(AA:AA,D:D,"&lt;="&amp;D846,C:C,C846)+SUMIFS(N:N,D:D,"&lt;="&amp;D846,C:C,C846)+SUMIFS(P:P,D:D,"&lt;="&amp;D846,C:C,C846)&lt;0,0,SUMIFS('Shipments data'!L:L,'Shipments data'!F:F,'Supply planning data'!C846,'Shipments data'!A:A,'Supply planning data'!A846,'Shipments data'!O:O,"received",'Shipments data'!Q:Q,"&lt;"&amp;'Supply planning data'!D861,'Shipments data'!AC:AC,"&lt;"&amp;'Supply planning data'!D861)-SUMIFS(M:M,D:D,"&lt;="&amp;D846,C:C,C846)-SUMIFS(AA:AA,D:D,"&lt;="&amp;D846,C:C,C846)+SUMIFS(N:N,D:D,"&lt;="&amp;D846,C:C,C846)+SUMIFS(P:P,D:D,"&lt;="&amp;D846,C:C,C846))</f>
        <v>0</v>
      </c>
      <c r="AD846" s="98">
        <f t="shared" si="244"/>
        <v>0</v>
      </c>
      <c r="AE846" s="98">
        <f t="shared" si="256"/>
        <v>1311200</v>
      </c>
      <c r="AF846" s="205" t="str">
        <f t="shared" si="247"/>
        <v/>
      </c>
      <c r="AG846" s="98">
        <f t="shared" si="245"/>
        <v>1871200</v>
      </c>
      <c r="AH846" s="97"/>
      <c r="AI846" s="311"/>
      <c r="AJ846" s="98">
        <f t="shared" si="255"/>
        <v>0</v>
      </c>
      <c r="AK846" s="233"/>
      <c r="AL846" s="98">
        <f>IF(SUMIFS('Shipments data'!L:L,'Shipments data'!F:F,'Supply planning data'!C846,'Shipments data'!A:A,'Supply planning data'!A846,'Shipments data'!O:O,"received",'Shipments data'!Q:Q,"&lt;"&amp;'Supply planning data'!D861,'Shipments data'!AC:AC,"&lt;"&amp;'Supply planning data'!D861)-SUMIFS(M:M,D:D,"&lt;="&amp;D846,C:C,C846)-SUMIFS(AJ:AJ,D:D,"&lt;="&amp;D846,C:C,C846)+SUMIFS(N:N,D:D,"&lt;="&amp;D846,C:C,C846)+SUMIFS(P:P,D:D,"&lt;="&amp;D846,C:C,C846)&lt;0,0,SUMIFS('Shipments data'!L:L,'Shipments data'!F:F,'Supply planning data'!C846,'Shipments data'!A:A,'Supply planning data'!A846,'Shipments data'!O:O,"received",'Shipments data'!Q:Q,"&lt;"&amp;'Supply planning data'!D861,'Shipments data'!AC:AC,"&lt;"&amp;'Supply planning data'!D861)-SUMIFS(M:M,D:D,"&lt;="&amp;D846,C:C,C846)-SUMIFS(AJ:AJ,D:D,"&lt;="&amp;D846,C:C,C846)+SUMIFS(N:N,D:D,"&lt;="&amp;D846,C:C,C846)+SUMIFS(P:P,D:D,"&lt;="&amp;D846,C:C,C846))</f>
        <v>387547</v>
      </c>
      <c r="AM846" s="98">
        <f t="shared" si="246"/>
        <v>0</v>
      </c>
      <c r="AN846" s="98">
        <f t="shared" si="257"/>
        <v>1871200</v>
      </c>
      <c r="AO846" s="203" t="str">
        <f t="shared" si="249"/>
        <v/>
      </c>
    </row>
    <row r="847" spans="1:41" x14ac:dyDescent="0.25">
      <c r="A847" s="95" t="str">
        <f>Start!D$7</f>
        <v>Anyland</v>
      </c>
      <c r="B847" s="96" t="str">
        <f>VLOOKUP(A847,list!B:C,2,FALSE)</f>
        <v>ANY</v>
      </c>
      <c r="C847" s="90" t="str">
        <f>IF(Start!$C$19="","",Start!$C$19)</f>
        <v>Moderna</v>
      </c>
      <c r="D847" s="296">
        <f t="shared" si="240"/>
        <v>45901</v>
      </c>
      <c r="E847" s="92" t="str">
        <f>IFERROR(VLOOKUP(C847,Start!C$15:D$31,2,FALSE),"No")</f>
        <v>No</v>
      </c>
      <c r="F847" s="92">
        <f t="shared" si="241"/>
        <v>0</v>
      </c>
      <c r="G847" s="91"/>
      <c r="H847" s="97"/>
      <c r="I847" s="97"/>
      <c r="J847" s="98">
        <f t="shared" si="251"/>
        <v>0</v>
      </c>
      <c r="K847" s="97"/>
      <c r="L847" s="175" t="str">
        <f t="shared" si="252"/>
        <v/>
      </c>
      <c r="M847" s="98">
        <f t="shared" si="253"/>
        <v>0</v>
      </c>
      <c r="N847" s="97"/>
      <c r="O847" s="122"/>
      <c r="P847" s="97"/>
      <c r="Q847" s="122"/>
      <c r="R847" s="98">
        <f>SUMIFS('Shipments data'!L:L,'Shipments data'!F:F,'Supply planning data'!C847,'Shipments data'!A:A,'Supply planning data'!A847,'Shipments data'!Y:Y,'Supply planning data'!D847,'Shipments data'!O:O,"received", 'Shipments data'!N:N, "Public")</f>
        <v>0</v>
      </c>
      <c r="S847" s="98">
        <f>SUMIFS('Shipments data'!L:L,'Shipments data'!F:F,'Supply planning data'!C847,'Shipments data'!A:A,'Supply planning data'!A847,'Shipments data'!Y:Y,'Supply planning data'!D847,'Shipments data'!O:O,"ordered", 'Shipments data'!N:N, "Public")</f>
        <v>0</v>
      </c>
      <c r="T847" s="98">
        <f>IF(SUMIFS('Shipments data'!L:L,'Shipments data'!F:F,'Supply planning data'!C847,'Shipments data'!A:A,'Supply planning data'!A847,'Shipments data'!O:O,"received",'Shipments data'!Q:Q,"&lt;"&amp;'Supply planning data'!D862,'Shipments data'!AC:AC,"&lt;"&amp;'Supply planning data'!D862)-SUMIFS(M:M,D:D,"&lt;="&amp;D847,C:C,C847)+SUMIFS(N:N,D:D,"&lt;="&amp;D847,C:C,C847)+SUMIFS(P:P,D:D,"&lt;="&amp;D847,C:C,C847)&lt;0,0,SUMIFS('Shipments data'!L:L,'Shipments data'!F:F,'Supply planning data'!C847,'Shipments data'!A:A,'Supply planning data'!A847,'Shipments data'!O:O,"received",'Shipments data'!Q:Q,"&lt;"&amp;'Supply planning data'!D862,'Shipments data'!AC:AC,"&lt;"&amp;'Supply planning data'!D862)-SUMIFS(M:M,D:D,"&lt;="&amp;D847,C:C,C847)+SUMIFS(N:N,D:D,"&lt;="&amp;D847,C:C,C847)+SUMIFS(P:P,D:D,"&lt;="&amp;D847,C:C,C847))</f>
        <v>0</v>
      </c>
      <c r="U847" s="99">
        <f t="shared" si="242"/>
        <v>0</v>
      </c>
      <c r="V847" s="98">
        <f t="shared" si="250"/>
        <v>0</v>
      </c>
      <c r="W847" s="203" t="str">
        <f t="shared" si="248"/>
        <v/>
      </c>
      <c r="X847" s="98">
        <f t="shared" si="243"/>
        <v>0</v>
      </c>
      <c r="Y847" s="97"/>
      <c r="Z847" s="93"/>
      <c r="AA847" s="98">
        <f t="shared" si="254"/>
        <v>0</v>
      </c>
      <c r="AB847" s="233"/>
      <c r="AC847" s="98">
        <f>IF(SUMIFS('Shipments data'!L:L,'Shipments data'!F:F,'Supply planning data'!C847,'Shipments data'!A:A,'Supply planning data'!A847,'Shipments data'!O:O,"received",'Shipments data'!Q:Q,"&lt;"&amp;'Supply planning data'!D862,'Shipments data'!AC:AC,"&lt;"&amp;'Supply planning data'!D862)-SUMIFS(M:M,D:D,"&lt;="&amp;D847,C:C,C847)-SUMIFS(AA:AA,D:D,"&lt;="&amp;D847,C:C,C847)+SUMIFS(N:N,D:D,"&lt;="&amp;D847,C:C,C847)+SUMIFS(P:P,D:D,"&lt;="&amp;D847,C:C,C847)&lt;0,0,SUMIFS('Shipments data'!L:L,'Shipments data'!F:F,'Supply planning data'!C847,'Shipments data'!A:A,'Supply planning data'!A847,'Shipments data'!O:O,"received",'Shipments data'!Q:Q,"&lt;"&amp;'Supply planning data'!D862,'Shipments data'!AC:AC,"&lt;"&amp;'Supply planning data'!D862)-SUMIFS(M:M,D:D,"&lt;="&amp;D847,C:C,C847)-SUMIFS(AA:AA,D:D,"&lt;="&amp;D847,C:C,C847)+SUMIFS(N:N,D:D,"&lt;="&amp;D847,C:C,C847)+SUMIFS(P:P,D:D,"&lt;="&amp;D847,C:C,C847))</f>
        <v>0</v>
      </c>
      <c r="AD847" s="98">
        <f t="shared" si="244"/>
        <v>0</v>
      </c>
      <c r="AE847" s="98">
        <f t="shared" si="256"/>
        <v>0</v>
      </c>
      <c r="AF847" s="205" t="str">
        <f t="shared" si="247"/>
        <v/>
      </c>
      <c r="AG847" s="98">
        <f t="shared" si="245"/>
        <v>0</v>
      </c>
      <c r="AH847" s="97"/>
      <c r="AI847" s="311"/>
      <c r="AJ847" s="98">
        <f t="shared" si="255"/>
        <v>0</v>
      </c>
      <c r="AK847" s="233"/>
      <c r="AL847" s="98">
        <f>IF(SUMIFS('Shipments data'!L:L,'Shipments data'!F:F,'Supply planning data'!C847,'Shipments data'!A:A,'Supply planning data'!A847,'Shipments data'!O:O,"received",'Shipments data'!Q:Q,"&lt;"&amp;'Supply planning data'!D862,'Shipments data'!AC:AC,"&lt;"&amp;'Supply planning data'!D862)-SUMIFS(M:M,D:D,"&lt;="&amp;D847,C:C,C847)-SUMIFS(AJ:AJ,D:D,"&lt;="&amp;D847,C:C,C847)+SUMIFS(N:N,D:D,"&lt;="&amp;D847,C:C,C847)+SUMIFS(P:P,D:D,"&lt;="&amp;D847,C:C,C847)&lt;0,0,SUMIFS('Shipments data'!L:L,'Shipments data'!F:F,'Supply planning data'!C847,'Shipments data'!A:A,'Supply planning data'!A847,'Shipments data'!O:O,"received",'Shipments data'!Q:Q,"&lt;"&amp;'Supply planning data'!D862,'Shipments data'!AC:AC,"&lt;"&amp;'Supply planning data'!D862)-SUMIFS(M:M,D:D,"&lt;="&amp;D847,C:C,C847)-SUMIFS(AJ:AJ,D:D,"&lt;="&amp;D847,C:C,C847)+SUMIFS(N:N,D:D,"&lt;="&amp;D847,C:C,C847)+SUMIFS(P:P,D:D,"&lt;="&amp;D847,C:C,C847))</f>
        <v>0</v>
      </c>
      <c r="AM847" s="98">
        <f t="shared" si="246"/>
        <v>0</v>
      </c>
      <c r="AN847" s="98">
        <f t="shared" si="257"/>
        <v>0</v>
      </c>
      <c r="AO847" s="203" t="str">
        <f t="shared" si="249"/>
        <v/>
      </c>
    </row>
    <row r="848" spans="1:41" x14ac:dyDescent="0.25">
      <c r="A848" s="95" t="str">
        <f>Start!D$7</f>
        <v>Anyland</v>
      </c>
      <c r="B848" s="96" t="str">
        <f>VLOOKUP(A848,list!B:C,2,FALSE)</f>
        <v>ANY</v>
      </c>
      <c r="C848" s="90" t="str">
        <f>IF(Start!$C$20="","",Start!$C$20)</f>
        <v>Pfizer</v>
      </c>
      <c r="D848" s="296">
        <f t="shared" si="240"/>
        <v>45901</v>
      </c>
      <c r="E848" s="92" t="str">
        <f>IFERROR(VLOOKUP(C848,Start!C$15:D$31,2,FALSE),"No")</f>
        <v>Yes</v>
      </c>
      <c r="F848" s="92">
        <f t="shared" si="241"/>
        <v>3000000</v>
      </c>
      <c r="G848" s="91"/>
      <c r="H848" s="97"/>
      <c r="I848" s="97"/>
      <c r="J848" s="98">
        <f t="shared" si="251"/>
        <v>0</v>
      </c>
      <c r="K848" s="97"/>
      <c r="L848" s="175" t="str">
        <f t="shared" si="252"/>
        <v/>
      </c>
      <c r="M848" s="98">
        <f t="shared" si="253"/>
        <v>0</v>
      </c>
      <c r="N848" s="97"/>
      <c r="O848" s="122"/>
      <c r="P848" s="97"/>
      <c r="Q848" s="122"/>
      <c r="R848" s="98">
        <f>SUMIFS('Shipments data'!L:L,'Shipments data'!F:F,'Supply planning data'!C848,'Shipments data'!A:A,'Supply planning data'!A848,'Shipments data'!Y:Y,'Supply planning data'!D848,'Shipments data'!O:O,"received", 'Shipments data'!N:N, "Public")</f>
        <v>0</v>
      </c>
      <c r="S848" s="98">
        <f>SUMIFS('Shipments data'!L:L,'Shipments data'!F:F,'Supply planning data'!C848,'Shipments data'!A:A,'Supply planning data'!A848,'Shipments data'!Y:Y,'Supply planning data'!D848,'Shipments data'!O:O,"ordered", 'Shipments data'!N:N, "Public")</f>
        <v>0</v>
      </c>
      <c r="T848" s="98">
        <f>IF(SUMIFS('Shipments data'!L:L,'Shipments data'!F:F,'Supply planning data'!C848,'Shipments data'!A:A,'Supply planning data'!A848,'Shipments data'!O:O,"received",'Shipments data'!Q:Q,"&lt;"&amp;'Supply planning data'!D863,'Shipments data'!AC:AC,"&lt;"&amp;'Supply planning data'!D863)-SUMIFS(M:M,D:D,"&lt;="&amp;D848,C:C,C848)+SUMIFS(N:N,D:D,"&lt;="&amp;D848,C:C,C848)+SUMIFS(P:P,D:D,"&lt;="&amp;D848,C:C,C848)&lt;0,0,SUMIFS('Shipments data'!L:L,'Shipments data'!F:F,'Supply planning data'!C848,'Shipments data'!A:A,'Supply planning data'!A848,'Shipments data'!O:O,"received",'Shipments data'!Q:Q,"&lt;"&amp;'Supply planning data'!D863,'Shipments data'!AC:AC,"&lt;"&amp;'Supply planning data'!D863)-SUMIFS(M:M,D:D,"&lt;="&amp;D848,C:C,C848)+SUMIFS(N:N,D:D,"&lt;="&amp;D848,C:C,C848)+SUMIFS(P:P,D:D,"&lt;="&amp;D848,C:C,C848))</f>
        <v>110538</v>
      </c>
      <c r="U848" s="99">
        <f t="shared" si="242"/>
        <v>0</v>
      </c>
      <c r="V848" s="98">
        <f t="shared" si="250"/>
        <v>3000000</v>
      </c>
      <c r="W848" s="203" t="str">
        <f t="shared" si="248"/>
        <v/>
      </c>
      <c r="X848" s="98">
        <f t="shared" si="243"/>
        <v>2440000</v>
      </c>
      <c r="Y848" s="97"/>
      <c r="Z848" s="93"/>
      <c r="AA848" s="98">
        <f t="shared" si="254"/>
        <v>0</v>
      </c>
      <c r="AB848" s="233"/>
      <c r="AC848" s="98">
        <f>IF(SUMIFS('Shipments data'!L:L,'Shipments data'!F:F,'Supply planning data'!C848,'Shipments data'!A:A,'Supply planning data'!A848,'Shipments data'!O:O,"received",'Shipments data'!Q:Q,"&lt;"&amp;'Supply planning data'!D863,'Shipments data'!AC:AC,"&lt;"&amp;'Supply planning data'!D863)-SUMIFS(M:M,D:D,"&lt;="&amp;D848,C:C,C848)-SUMIFS(AA:AA,D:D,"&lt;="&amp;D848,C:C,C848)+SUMIFS(N:N,D:D,"&lt;="&amp;D848,C:C,C848)+SUMIFS(P:P,D:D,"&lt;="&amp;D848,C:C,C848)&lt;0,0,SUMIFS('Shipments data'!L:L,'Shipments data'!F:F,'Supply planning data'!C848,'Shipments data'!A:A,'Supply planning data'!A848,'Shipments data'!O:O,"received",'Shipments data'!Q:Q,"&lt;"&amp;'Supply planning data'!D863,'Shipments data'!AC:AC,"&lt;"&amp;'Supply planning data'!D863)-SUMIFS(M:M,D:D,"&lt;="&amp;D848,C:C,C848)-SUMIFS(AA:AA,D:D,"&lt;="&amp;D848,C:C,C848)+SUMIFS(N:N,D:D,"&lt;="&amp;D848,C:C,C848)+SUMIFS(P:P,D:D,"&lt;="&amp;D848,C:C,C848))</f>
        <v>0</v>
      </c>
      <c r="AD848" s="98">
        <f t="shared" si="244"/>
        <v>0</v>
      </c>
      <c r="AE848" s="98">
        <f t="shared" si="256"/>
        <v>2440000</v>
      </c>
      <c r="AF848" s="205" t="str">
        <f t="shared" si="247"/>
        <v/>
      </c>
      <c r="AG848" s="98">
        <f t="shared" si="245"/>
        <v>3000000</v>
      </c>
      <c r="AH848" s="97"/>
      <c r="AI848" s="311"/>
      <c r="AJ848" s="98">
        <f t="shared" si="255"/>
        <v>0</v>
      </c>
      <c r="AK848" s="233"/>
      <c r="AL848" s="98">
        <f>IF(SUMIFS('Shipments data'!L:L,'Shipments data'!F:F,'Supply planning data'!C848,'Shipments data'!A:A,'Supply planning data'!A848,'Shipments data'!O:O,"received",'Shipments data'!Q:Q,"&lt;"&amp;'Supply planning data'!D863,'Shipments data'!AC:AC,"&lt;"&amp;'Supply planning data'!D863)-SUMIFS(M:M,D:D,"&lt;="&amp;D848,C:C,C848)-SUMIFS(AJ:AJ,D:D,"&lt;="&amp;D848,C:C,C848)+SUMIFS(N:N,D:D,"&lt;="&amp;D848,C:C,C848)+SUMIFS(P:P,D:D,"&lt;="&amp;D848,C:C,C848)&lt;0,0,SUMIFS('Shipments data'!L:L,'Shipments data'!F:F,'Supply planning data'!C848,'Shipments data'!A:A,'Supply planning data'!A848,'Shipments data'!O:O,"received",'Shipments data'!Q:Q,"&lt;"&amp;'Supply planning data'!D863,'Shipments data'!AC:AC,"&lt;"&amp;'Supply planning data'!D863)-SUMIFS(M:M,D:D,"&lt;="&amp;D848,C:C,C848)-SUMIFS(AJ:AJ,D:D,"&lt;="&amp;D848,C:C,C848)+SUMIFS(N:N,D:D,"&lt;="&amp;D848,C:C,C848)+SUMIFS(P:P,D:D,"&lt;="&amp;D848,C:C,C848))</f>
        <v>110538</v>
      </c>
      <c r="AM848" s="98">
        <f t="shared" si="246"/>
        <v>0</v>
      </c>
      <c r="AN848" s="98">
        <f t="shared" si="257"/>
        <v>3000000</v>
      </c>
      <c r="AO848" s="203" t="str">
        <f t="shared" si="249"/>
        <v/>
      </c>
    </row>
    <row r="849" spans="1:41" x14ac:dyDescent="0.25">
      <c r="A849" s="95" t="str">
        <f>Start!D$7</f>
        <v>Anyland</v>
      </c>
      <c r="B849" s="96" t="str">
        <f>VLOOKUP(A849,list!B:C,2,FALSE)</f>
        <v>ANY</v>
      </c>
      <c r="C849" s="90" t="str">
        <f>IF(Start!$C$21="","",Start!$C$21)</f>
        <v>Sinovac</v>
      </c>
      <c r="D849" s="296">
        <f t="shared" si="240"/>
        <v>45901</v>
      </c>
      <c r="E849" s="92" t="str">
        <f>IFERROR(VLOOKUP(C849,Start!C$15:D$31,2,FALSE),"No")</f>
        <v>No</v>
      </c>
      <c r="F849" s="92">
        <f t="shared" si="241"/>
        <v>0</v>
      </c>
      <c r="G849" s="91"/>
      <c r="H849" s="97"/>
      <c r="I849" s="97"/>
      <c r="J849" s="98">
        <f t="shared" si="251"/>
        <v>0</v>
      </c>
      <c r="K849" s="97"/>
      <c r="L849" s="175" t="str">
        <f t="shared" si="252"/>
        <v/>
      </c>
      <c r="M849" s="98">
        <f t="shared" si="253"/>
        <v>0</v>
      </c>
      <c r="N849" s="97"/>
      <c r="O849" s="122"/>
      <c r="P849" s="97"/>
      <c r="Q849" s="122"/>
      <c r="R849" s="98">
        <f>SUMIFS('Shipments data'!L:L,'Shipments data'!F:F,'Supply planning data'!C849,'Shipments data'!A:A,'Supply planning data'!A849,'Shipments data'!Y:Y,'Supply planning data'!D849,'Shipments data'!O:O,"received", 'Shipments data'!N:N, "Public")</f>
        <v>0</v>
      </c>
      <c r="S849" s="98">
        <f>SUMIFS('Shipments data'!L:L,'Shipments data'!F:F,'Supply planning data'!C849,'Shipments data'!A:A,'Supply planning data'!A849,'Shipments data'!Y:Y,'Supply planning data'!D849,'Shipments data'!O:O,"ordered", 'Shipments data'!N:N, "Public")</f>
        <v>0</v>
      </c>
      <c r="T849" s="98">
        <f>IF(SUMIFS('Shipments data'!L:L,'Shipments data'!F:F,'Supply planning data'!C849,'Shipments data'!A:A,'Supply planning data'!A849,'Shipments data'!O:O,"received",'Shipments data'!Q:Q,"&lt;"&amp;'Supply planning data'!D864,'Shipments data'!AC:AC,"&lt;"&amp;'Supply planning data'!D864)-SUMIFS(M:M,D:D,"&lt;="&amp;D849,C:C,C849)+SUMIFS(N:N,D:D,"&lt;="&amp;D849,C:C,C849)+SUMIFS(P:P,D:D,"&lt;="&amp;D849,C:C,C849)&lt;0,0,SUMIFS('Shipments data'!L:L,'Shipments data'!F:F,'Supply planning data'!C849,'Shipments data'!A:A,'Supply planning data'!A849,'Shipments data'!O:O,"received",'Shipments data'!Q:Q,"&lt;"&amp;'Supply planning data'!D864,'Shipments data'!AC:AC,"&lt;"&amp;'Supply planning data'!D864)-SUMIFS(M:M,D:D,"&lt;="&amp;D849,C:C,C849)+SUMIFS(N:N,D:D,"&lt;="&amp;D849,C:C,C849)+SUMIFS(P:P,D:D,"&lt;="&amp;D849,C:C,C849))</f>
        <v>0</v>
      </c>
      <c r="U849" s="99">
        <f t="shared" si="242"/>
        <v>0</v>
      </c>
      <c r="V849" s="98">
        <f t="shared" si="250"/>
        <v>0</v>
      </c>
      <c r="W849" s="203" t="str">
        <f t="shared" si="248"/>
        <v/>
      </c>
      <c r="X849" s="98">
        <f t="shared" si="243"/>
        <v>0</v>
      </c>
      <c r="Y849" s="97"/>
      <c r="Z849" s="93"/>
      <c r="AA849" s="98">
        <f t="shared" si="254"/>
        <v>0</v>
      </c>
      <c r="AB849" s="233"/>
      <c r="AC849" s="98">
        <f>IF(SUMIFS('Shipments data'!L:L,'Shipments data'!F:F,'Supply planning data'!C849,'Shipments data'!A:A,'Supply planning data'!A849,'Shipments data'!O:O,"received",'Shipments data'!Q:Q,"&lt;"&amp;'Supply planning data'!D864,'Shipments data'!AC:AC,"&lt;"&amp;'Supply planning data'!D864)-SUMIFS(M:M,D:D,"&lt;="&amp;D849,C:C,C849)-SUMIFS(AA:AA,D:D,"&lt;="&amp;D849,C:C,C849)+SUMIFS(N:N,D:D,"&lt;="&amp;D849,C:C,C849)+SUMIFS(P:P,D:D,"&lt;="&amp;D849,C:C,C849)&lt;0,0,SUMIFS('Shipments data'!L:L,'Shipments data'!F:F,'Supply planning data'!C849,'Shipments data'!A:A,'Supply planning data'!A849,'Shipments data'!O:O,"received",'Shipments data'!Q:Q,"&lt;"&amp;'Supply planning data'!D864,'Shipments data'!AC:AC,"&lt;"&amp;'Supply planning data'!D864)-SUMIFS(M:M,D:D,"&lt;="&amp;D849,C:C,C849)-SUMIFS(AA:AA,D:D,"&lt;="&amp;D849,C:C,C849)+SUMIFS(N:N,D:D,"&lt;="&amp;D849,C:C,C849)+SUMIFS(P:P,D:D,"&lt;="&amp;D849,C:C,C849))</f>
        <v>0</v>
      </c>
      <c r="AD849" s="98">
        <f t="shared" si="244"/>
        <v>0</v>
      </c>
      <c r="AE849" s="98">
        <f t="shared" si="256"/>
        <v>0</v>
      </c>
      <c r="AF849" s="205" t="str">
        <f t="shared" si="247"/>
        <v/>
      </c>
      <c r="AG849" s="98">
        <f t="shared" si="245"/>
        <v>0</v>
      </c>
      <c r="AH849" s="97"/>
      <c r="AI849" s="311"/>
      <c r="AJ849" s="98">
        <f t="shared" si="255"/>
        <v>0</v>
      </c>
      <c r="AK849" s="233"/>
      <c r="AL849" s="98">
        <f>IF(SUMIFS('Shipments data'!L:L,'Shipments data'!F:F,'Supply planning data'!C849,'Shipments data'!A:A,'Supply planning data'!A849,'Shipments data'!O:O,"received",'Shipments data'!Q:Q,"&lt;"&amp;'Supply planning data'!D864,'Shipments data'!AC:AC,"&lt;"&amp;'Supply planning data'!D864)-SUMIFS(M:M,D:D,"&lt;="&amp;D849,C:C,C849)-SUMIFS(AJ:AJ,D:D,"&lt;="&amp;D849,C:C,C849)+SUMIFS(N:N,D:D,"&lt;="&amp;D849,C:C,C849)+SUMIFS(P:P,D:D,"&lt;="&amp;D849,C:C,C849)&lt;0,0,SUMIFS('Shipments data'!L:L,'Shipments data'!F:F,'Supply planning data'!C849,'Shipments data'!A:A,'Supply planning data'!A849,'Shipments data'!O:O,"received",'Shipments data'!Q:Q,"&lt;"&amp;'Supply planning data'!D864,'Shipments data'!AC:AC,"&lt;"&amp;'Supply planning data'!D864)-SUMIFS(M:M,D:D,"&lt;="&amp;D849,C:C,C849)-SUMIFS(AJ:AJ,D:D,"&lt;="&amp;D849,C:C,C849)+SUMIFS(N:N,D:D,"&lt;="&amp;D849,C:C,C849)+SUMIFS(P:P,D:D,"&lt;="&amp;D849,C:C,C849))</f>
        <v>0</v>
      </c>
      <c r="AM849" s="98">
        <f t="shared" si="246"/>
        <v>0</v>
      </c>
      <c r="AN849" s="98">
        <f t="shared" si="257"/>
        <v>0</v>
      </c>
      <c r="AO849" s="203" t="str">
        <f t="shared" si="249"/>
        <v/>
      </c>
    </row>
    <row r="850" spans="1:41" hidden="1" x14ac:dyDescent="0.25">
      <c r="A850" s="95" t="str">
        <f>Start!D$7</f>
        <v>Anyland</v>
      </c>
      <c r="B850" s="96" t="str">
        <f>VLOOKUP(A850,list!B:C,2,FALSE)</f>
        <v>ANY</v>
      </c>
      <c r="C850" s="90" t="str">
        <f>IF(Start!$C$22="","",Start!$C$22)</f>
        <v/>
      </c>
      <c r="D850" s="296">
        <f t="shared" si="240"/>
        <v>45901</v>
      </c>
      <c r="E850" s="92" t="str">
        <f>IFERROR(VLOOKUP(C850,Start!C$15:D$31,2,FALSE),"No")</f>
        <v>No</v>
      </c>
      <c r="F850" s="92">
        <f t="shared" si="241"/>
        <v>0</v>
      </c>
      <c r="G850" s="91"/>
      <c r="H850" s="97"/>
      <c r="I850" s="97"/>
      <c r="J850" s="98">
        <f t="shared" si="251"/>
        <v>0</v>
      </c>
      <c r="K850" s="97"/>
      <c r="L850" s="175" t="str">
        <f t="shared" si="252"/>
        <v/>
      </c>
      <c r="M850" s="98">
        <f t="shared" si="253"/>
        <v>0</v>
      </c>
      <c r="N850" s="97"/>
      <c r="O850" s="122"/>
      <c r="P850" s="97"/>
      <c r="Q850" s="122"/>
      <c r="R850" s="98">
        <f>SUMIFS('Shipments data'!L:L,'Shipments data'!F:F,'Supply planning data'!C850,'Shipments data'!A:A,'Supply planning data'!A850,'Shipments data'!Y:Y,'Supply planning data'!D850,'Shipments data'!O:O,"received", 'Shipments data'!N:N, "Public")</f>
        <v>0</v>
      </c>
      <c r="S850" s="98">
        <f>SUMIFS('Shipments data'!L:L,'Shipments data'!F:F,'Supply planning data'!C850,'Shipments data'!A:A,'Supply planning data'!A850,'Shipments data'!Y:Y,'Supply planning data'!D850,'Shipments data'!O:O,"ordered", 'Shipments data'!N:N, "Public")</f>
        <v>0</v>
      </c>
      <c r="T850" s="98">
        <f>IF(SUMIFS('Shipments data'!L:L,'Shipments data'!F:F,'Supply planning data'!C850,'Shipments data'!A:A,'Supply planning data'!A850,'Shipments data'!O:O,"received",'Shipments data'!Q:Q,"&lt;"&amp;'Supply planning data'!D865,'Shipments data'!AC:AC,"&lt;"&amp;'Supply planning data'!D865)-SUMIFS(M:M,D:D,"&lt;="&amp;D850,C:C,C850)+SUMIFS(N:N,D:D,"&lt;="&amp;D850,C:C,C850)+SUMIFS(P:P,D:D,"&lt;="&amp;D850,C:C,C850)&lt;0,0,SUMIFS('Shipments data'!L:L,'Shipments data'!F:F,'Supply planning data'!C850,'Shipments data'!A:A,'Supply planning data'!A850,'Shipments data'!O:O,"received",'Shipments data'!Q:Q,"&lt;"&amp;'Supply planning data'!D865,'Shipments data'!AC:AC,"&lt;"&amp;'Supply planning data'!D865)-SUMIFS(M:M,D:D,"&lt;="&amp;D850,C:C,C850)+SUMIFS(N:N,D:D,"&lt;="&amp;D850,C:C,C850)+SUMIFS(P:P,D:D,"&lt;="&amp;D850,C:C,C850))</f>
        <v>0</v>
      </c>
      <c r="U850" s="99">
        <f t="shared" si="242"/>
        <v>0</v>
      </c>
      <c r="V850" s="98">
        <f t="shared" si="250"/>
        <v>0</v>
      </c>
      <c r="W850" s="203" t="str">
        <f t="shared" si="248"/>
        <v/>
      </c>
      <c r="X850" s="98">
        <f t="shared" si="243"/>
        <v>0</v>
      </c>
      <c r="Y850" s="97"/>
      <c r="Z850" s="93"/>
      <c r="AA850" s="98">
        <f t="shared" si="254"/>
        <v>0</v>
      </c>
      <c r="AB850" s="233"/>
      <c r="AC850" s="98">
        <f>IF(SUMIFS('Shipments data'!L:L,'Shipments data'!F:F,'Supply planning data'!C850,'Shipments data'!A:A,'Supply planning data'!A850,'Shipments data'!O:O,"received",'Shipments data'!Q:Q,"&lt;"&amp;'Supply planning data'!D865,'Shipments data'!AC:AC,"&lt;"&amp;'Supply planning data'!D865)-SUMIFS(M:M,D:D,"&lt;="&amp;D850,C:C,C850)-SUMIFS(AA:AA,D:D,"&lt;="&amp;D850,C:C,C850)+SUMIFS(N:N,D:D,"&lt;="&amp;D850,C:C,C850)+SUMIFS(P:P,D:D,"&lt;="&amp;D850,C:C,C850)&lt;0,0,SUMIFS('Shipments data'!L:L,'Shipments data'!F:F,'Supply planning data'!C850,'Shipments data'!A:A,'Supply planning data'!A850,'Shipments data'!O:O,"received",'Shipments data'!Q:Q,"&lt;"&amp;'Supply planning data'!D865,'Shipments data'!AC:AC,"&lt;"&amp;'Supply planning data'!D865)-SUMIFS(M:M,D:D,"&lt;="&amp;D850,C:C,C850)-SUMIFS(AA:AA,D:D,"&lt;="&amp;D850,C:C,C850)+SUMIFS(N:N,D:D,"&lt;="&amp;D850,C:C,C850)+SUMIFS(P:P,D:D,"&lt;="&amp;D850,C:C,C850))</f>
        <v>0</v>
      </c>
      <c r="AD850" s="98">
        <f t="shared" si="244"/>
        <v>0</v>
      </c>
      <c r="AE850" s="98">
        <f t="shared" si="256"/>
        <v>0</v>
      </c>
      <c r="AF850" s="205" t="str">
        <f t="shared" si="247"/>
        <v/>
      </c>
      <c r="AG850" s="98">
        <f t="shared" si="245"/>
        <v>0</v>
      </c>
      <c r="AH850" s="97"/>
      <c r="AI850" s="311"/>
      <c r="AJ850" s="98">
        <f t="shared" si="255"/>
        <v>0</v>
      </c>
      <c r="AK850" s="233"/>
      <c r="AL850" s="98">
        <f>IF(SUMIFS('Shipments data'!L:L,'Shipments data'!F:F,'Supply planning data'!C850,'Shipments data'!A:A,'Supply planning data'!A850,'Shipments data'!O:O,"received",'Shipments data'!Q:Q,"&lt;"&amp;'Supply planning data'!D865,'Shipments data'!AC:AC,"&lt;"&amp;'Supply planning data'!D865)-SUMIFS(M:M,D:D,"&lt;="&amp;D850,C:C,C850)-SUMIFS(AJ:AJ,D:D,"&lt;="&amp;D850,C:C,C850)+SUMIFS(N:N,D:D,"&lt;="&amp;D850,C:C,C850)+SUMIFS(P:P,D:D,"&lt;="&amp;D850,C:C,C850)&lt;0,0,SUMIFS('Shipments data'!L:L,'Shipments data'!F:F,'Supply planning data'!C850,'Shipments data'!A:A,'Supply planning data'!A850,'Shipments data'!O:O,"received",'Shipments data'!Q:Q,"&lt;"&amp;'Supply planning data'!D865,'Shipments data'!AC:AC,"&lt;"&amp;'Supply planning data'!D865)-SUMIFS(M:M,D:D,"&lt;="&amp;D850,C:C,C850)-SUMIFS(AJ:AJ,D:D,"&lt;="&amp;D850,C:C,C850)+SUMIFS(N:N,D:D,"&lt;="&amp;D850,C:C,C850)+SUMIFS(P:P,D:D,"&lt;="&amp;D850,C:C,C850))</f>
        <v>0</v>
      </c>
      <c r="AM850" s="98">
        <f t="shared" si="246"/>
        <v>0</v>
      </c>
      <c r="AN850" s="98">
        <f t="shared" si="257"/>
        <v>0</v>
      </c>
      <c r="AO850" s="203" t="str">
        <f t="shared" si="249"/>
        <v/>
      </c>
    </row>
    <row r="851" spans="1:41" hidden="1" x14ac:dyDescent="0.25">
      <c r="A851" s="95" t="str">
        <f>Start!D$7</f>
        <v>Anyland</v>
      </c>
      <c r="B851" s="96" t="str">
        <f>VLOOKUP(A851,list!B:C,2,FALSE)</f>
        <v>ANY</v>
      </c>
      <c r="C851" s="90" t="str">
        <f>IF(Start!$C$23="","",Start!$C$23)</f>
        <v/>
      </c>
      <c r="D851" s="296">
        <f t="shared" si="240"/>
        <v>45901</v>
      </c>
      <c r="E851" s="92" t="str">
        <f>IFERROR(VLOOKUP(C851,Start!C$15:D$31,2,FALSE),"No")</f>
        <v>No</v>
      </c>
      <c r="F851" s="92">
        <f t="shared" si="241"/>
        <v>0</v>
      </c>
      <c r="G851" s="91"/>
      <c r="H851" s="97"/>
      <c r="I851" s="97"/>
      <c r="J851" s="98">
        <f t="shared" si="251"/>
        <v>0</v>
      </c>
      <c r="K851" s="97"/>
      <c r="L851" s="175" t="str">
        <f t="shared" si="252"/>
        <v/>
      </c>
      <c r="M851" s="98">
        <f t="shared" si="253"/>
        <v>0</v>
      </c>
      <c r="N851" s="97"/>
      <c r="O851" s="122"/>
      <c r="P851" s="97"/>
      <c r="Q851" s="122"/>
      <c r="R851" s="98">
        <f>SUMIFS('Shipments data'!L:L,'Shipments data'!F:F,'Supply planning data'!C851,'Shipments data'!A:A,'Supply planning data'!A851,'Shipments data'!Y:Y,'Supply planning data'!D851,'Shipments data'!O:O,"received", 'Shipments data'!N:N, "Public")</f>
        <v>0</v>
      </c>
      <c r="S851" s="98">
        <f>SUMIFS('Shipments data'!L:L,'Shipments data'!F:F,'Supply planning data'!C851,'Shipments data'!A:A,'Supply planning data'!A851,'Shipments data'!Y:Y,'Supply planning data'!D851,'Shipments data'!O:O,"ordered", 'Shipments data'!N:N, "Public")</f>
        <v>0</v>
      </c>
      <c r="T851" s="98">
        <f>IF(SUMIFS('Shipments data'!L:L,'Shipments data'!F:F,'Supply planning data'!C851,'Shipments data'!A:A,'Supply planning data'!A851,'Shipments data'!O:O,"received",'Shipments data'!Q:Q,"&lt;"&amp;'Supply planning data'!D866,'Shipments data'!AC:AC,"&lt;"&amp;'Supply planning data'!D866)-SUMIFS(M:M,D:D,"&lt;="&amp;D851,C:C,C851)+SUMIFS(N:N,D:D,"&lt;="&amp;D851,C:C,C851)+SUMIFS(P:P,D:D,"&lt;="&amp;D851,C:C,C851)&lt;0,0,SUMIFS('Shipments data'!L:L,'Shipments data'!F:F,'Supply planning data'!C851,'Shipments data'!A:A,'Supply planning data'!A851,'Shipments data'!O:O,"received",'Shipments data'!Q:Q,"&lt;"&amp;'Supply planning data'!D866,'Shipments data'!AC:AC,"&lt;"&amp;'Supply planning data'!D866)-SUMIFS(M:M,D:D,"&lt;="&amp;D851,C:C,C851)+SUMIFS(N:N,D:D,"&lt;="&amp;D851,C:C,C851)+SUMIFS(P:P,D:D,"&lt;="&amp;D851,C:C,C851))</f>
        <v>0</v>
      </c>
      <c r="U851" s="99">
        <f t="shared" si="242"/>
        <v>0</v>
      </c>
      <c r="V851" s="98">
        <f t="shared" si="250"/>
        <v>0</v>
      </c>
      <c r="W851" s="203" t="str">
        <f t="shared" si="248"/>
        <v/>
      </c>
      <c r="X851" s="98">
        <f t="shared" si="243"/>
        <v>0</v>
      </c>
      <c r="Y851" s="97"/>
      <c r="Z851" s="93"/>
      <c r="AA851" s="98">
        <f t="shared" si="254"/>
        <v>0</v>
      </c>
      <c r="AB851" s="233"/>
      <c r="AC851" s="98">
        <f>IF(SUMIFS('Shipments data'!L:L,'Shipments data'!F:F,'Supply planning data'!C851,'Shipments data'!A:A,'Supply planning data'!A851,'Shipments data'!O:O,"received",'Shipments data'!Q:Q,"&lt;"&amp;'Supply planning data'!D866,'Shipments data'!AC:AC,"&lt;"&amp;'Supply planning data'!D866)-SUMIFS(M:M,D:D,"&lt;="&amp;D851,C:C,C851)-SUMIFS(AA:AA,D:D,"&lt;="&amp;D851,C:C,C851)+SUMIFS(N:N,D:D,"&lt;="&amp;D851,C:C,C851)+SUMIFS(P:P,D:D,"&lt;="&amp;D851,C:C,C851)&lt;0,0,SUMIFS('Shipments data'!L:L,'Shipments data'!F:F,'Supply planning data'!C851,'Shipments data'!A:A,'Supply planning data'!A851,'Shipments data'!O:O,"received",'Shipments data'!Q:Q,"&lt;"&amp;'Supply planning data'!D866,'Shipments data'!AC:AC,"&lt;"&amp;'Supply planning data'!D866)-SUMIFS(M:M,D:D,"&lt;="&amp;D851,C:C,C851)-SUMIFS(AA:AA,D:D,"&lt;="&amp;D851,C:C,C851)+SUMIFS(N:N,D:D,"&lt;="&amp;D851,C:C,C851)+SUMIFS(P:P,D:D,"&lt;="&amp;D851,C:C,C851))</f>
        <v>0</v>
      </c>
      <c r="AD851" s="98">
        <f t="shared" si="244"/>
        <v>0</v>
      </c>
      <c r="AE851" s="98">
        <f t="shared" si="256"/>
        <v>0</v>
      </c>
      <c r="AF851" s="205" t="str">
        <f t="shared" si="247"/>
        <v/>
      </c>
      <c r="AG851" s="98">
        <f t="shared" si="245"/>
        <v>0</v>
      </c>
      <c r="AH851" s="97"/>
      <c r="AI851" s="311"/>
      <c r="AJ851" s="98">
        <f t="shared" si="255"/>
        <v>0</v>
      </c>
      <c r="AK851" s="233"/>
      <c r="AL851" s="98">
        <f>IF(SUMIFS('Shipments data'!L:L,'Shipments data'!F:F,'Supply planning data'!C851,'Shipments data'!A:A,'Supply planning data'!A851,'Shipments data'!O:O,"received",'Shipments data'!Q:Q,"&lt;"&amp;'Supply planning data'!D866,'Shipments data'!AC:AC,"&lt;"&amp;'Supply planning data'!D866)-SUMIFS(M:M,D:D,"&lt;="&amp;D851,C:C,C851)-SUMIFS(AJ:AJ,D:D,"&lt;="&amp;D851,C:C,C851)+SUMIFS(N:N,D:D,"&lt;="&amp;D851,C:C,C851)+SUMIFS(P:P,D:D,"&lt;="&amp;D851,C:C,C851)&lt;0,0,SUMIFS('Shipments data'!L:L,'Shipments data'!F:F,'Supply planning data'!C851,'Shipments data'!A:A,'Supply planning data'!A851,'Shipments data'!O:O,"received",'Shipments data'!Q:Q,"&lt;"&amp;'Supply planning data'!D866,'Shipments data'!AC:AC,"&lt;"&amp;'Supply planning data'!D866)-SUMIFS(M:M,D:D,"&lt;="&amp;D851,C:C,C851)-SUMIFS(AJ:AJ,D:D,"&lt;="&amp;D851,C:C,C851)+SUMIFS(N:N,D:D,"&lt;="&amp;D851,C:C,C851)+SUMIFS(P:P,D:D,"&lt;="&amp;D851,C:C,C851))</f>
        <v>0</v>
      </c>
      <c r="AM851" s="98">
        <f t="shared" si="246"/>
        <v>0</v>
      </c>
      <c r="AN851" s="98">
        <f t="shared" si="257"/>
        <v>0</v>
      </c>
      <c r="AO851" s="203" t="str">
        <f t="shared" si="249"/>
        <v/>
      </c>
    </row>
    <row r="852" spans="1:41" hidden="1" x14ac:dyDescent="0.25">
      <c r="A852" s="95" t="str">
        <f>Start!D$7</f>
        <v>Anyland</v>
      </c>
      <c r="B852" s="96" t="str">
        <f>VLOOKUP(A852,list!B:C,2,FALSE)</f>
        <v>ANY</v>
      </c>
      <c r="C852" s="90" t="str">
        <f>IF(Start!$C$24="","",Start!$C$24)</f>
        <v/>
      </c>
      <c r="D852" s="296">
        <f t="shared" ref="D852:D904" si="258">DATE(YEAR(D837),MONTH(D837)+1,1)</f>
        <v>45901</v>
      </c>
      <c r="E852" s="92" t="str">
        <f>IFERROR(VLOOKUP(C852,Start!C$15:D$31,2,FALSE),"No")</f>
        <v>No</v>
      </c>
      <c r="F852" s="92">
        <f t="shared" ref="F852:F904" si="259">V837</f>
        <v>0</v>
      </c>
      <c r="G852" s="91"/>
      <c r="H852" s="97"/>
      <c r="I852" s="97"/>
      <c r="J852" s="98">
        <f t="shared" si="251"/>
        <v>0</v>
      </c>
      <c r="K852" s="97"/>
      <c r="L852" s="175" t="str">
        <f t="shared" si="252"/>
        <v/>
      </c>
      <c r="M852" s="98">
        <f t="shared" si="253"/>
        <v>0</v>
      </c>
      <c r="N852" s="97"/>
      <c r="O852" s="122"/>
      <c r="P852" s="97"/>
      <c r="Q852" s="122"/>
      <c r="R852" s="98">
        <f>SUMIFS('Shipments data'!L:L,'Shipments data'!F:F,'Supply planning data'!C852,'Shipments data'!A:A,'Supply planning data'!A852,'Shipments data'!Y:Y,'Supply planning data'!D852,'Shipments data'!O:O,"received", 'Shipments data'!N:N, "Public")</f>
        <v>0</v>
      </c>
      <c r="S852" s="98">
        <f>SUMIFS('Shipments data'!L:L,'Shipments data'!F:F,'Supply planning data'!C852,'Shipments data'!A:A,'Supply planning data'!A852,'Shipments data'!Y:Y,'Supply planning data'!D852,'Shipments data'!O:O,"ordered", 'Shipments data'!N:N, "Public")</f>
        <v>0</v>
      </c>
      <c r="T852" s="98">
        <f>IF(SUMIFS('Shipments data'!L:L,'Shipments data'!F:F,'Supply planning data'!C852,'Shipments data'!A:A,'Supply planning data'!A852,'Shipments data'!O:O,"received",'Shipments data'!Q:Q,"&lt;"&amp;'Supply planning data'!D867,'Shipments data'!AC:AC,"&lt;"&amp;'Supply planning data'!D867)-SUMIFS(M:M,D:D,"&lt;="&amp;D852,C:C,C852)+SUMIFS(N:N,D:D,"&lt;="&amp;D852,C:C,C852)+SUMIFS(P:P,D:D,"&lt;="&amp;D852,C:C,C852)&lt;0,0,SUMIFS('Shipments data'!L:L,'Shipments data'!F:F,'Supply planning data'!C852,'Shipments data'!A:A,'Supply planning data'!A852,'Shipments data'!O:O,"received",'Shipments data'!Q:Q,"&lt;"&amp;'Supply planning data'!D867,'Shipments data'!AC:AC,"&lt;"&amp;'Supply planning data'!D867)-SUMIFS(M:M,D:D,"&lt;="&amp;D852,C:C,C852)+SUMIFS(N:N,D:D,"&lt;="&amp;D852,C:C,C852)+SUMIFS(P:P,D:D,"&lt;="&amp;D852,C:C,C852))</f>
        <v>0</v>
      </c>
      <c r="U852" s="99">
        <f t="shared" ref="U852:U904" si="260">IF(T852-T837&lt;0,0,T852-T837)</f>
        <v>0</v>
      </c>
      <c r="V852" s="98">
        <f t="shared" si="250"/>
        <v>0</v>
      </c>
      <c r="W852" s="203" t="str">
        <f t="shared" si="248"/>
        <v/>
      </c>
      <c r="X852" s="98">
        <f t="shared" ref="X852:X904" si="261">AE837</f>
        <v>0</v>
      </c>
      <c r="Y852" s="97"/>
      <c r="Z852" s="93"/>
      <c r="AA852" s="98">
        <f t="shared" si="254"/>
        <v>0</v>
      </c>
      <c r="AB852" s="233"/>
      <c r="AC852" s="98">
        <f>IF(SUMIFS('Shipments data'!L:L,'Shipments data'!F:F,'Supply planning data'!C852,'Shipments data'!A:A,'Supply planning data'!A852,'Shipments data'!O:O,"received",'Shipments data'!Q:Q,"&lt;"&amp;'Supply planning data'!D867,'Shipments data'!AC:AC,"&lt;"&amp;'Supply planning data'!D867)-SUMIFS(M:M,D:D,"&lt;="&amp;D852,C:C,C852)-SUMIFS(AA:AA,D:D,"&lt;="&amp;D852,C:C,C852)+SUMIFS(N:N,D:D,"&lt;="&amp;D852,C:C,C852)+SUMIFS(P:P,D:D,"&lt;="&amp;D852,C:C,C852)&lt;0,0,SUMIFS('Shipments data'!L:L,'Shipments data'!F:F,'Supply planning data'!C852,'Shipments data'!A:A,'Supply planning data'!A852,'Shipments data'!O:O,"received",'Shipments data'!Q:Q,"&lt;"&amp;'Supply planning data'!D867,'Shipments data'!AC:AC,"&lt;"&amp;'Supply planning data'!D867)-SUMIFS(M:M,D:D,"&lt;="&amp;D852,C:C,C852)-SUMIFS(AA:AA,D:D,"&lt;="&amp;D852,C:C,C852)+SUMIFS(N:N,D:D,"&lt;="&amp;D852,C:C,C852)+SUMIFS(P:P,D:D,"&lt;="&amp;D852,C:C,C852))</f>
        <v>0</v>
      </c>
      <c r="AD852" s="98">
        <f t="shared" ref="AD852:AD904" si="262">IF(AC852-AC837&lt;0,0,AC852-AC837)</f>
        <v>0</v>
      </c>
      <c r="AE852" s="98">
        <f t="shared" si="256"/>
        <v>0</v>
      </c>
      <c r="AF852" s="205" t="str">
        <f t="shared" si="247"/>
        <v/>
      </c>
      <c r="AG852" s="98">
        <f t="shared" ref="AG852:AG904" si="263">AN837</f>
        <v>0</v>
      </c>
      <c r="AH852" s="97"/>
      <c r="AI852" s="311"/>
      <c r="AJ852" s="98">
        <f t="shared" si="255"/>
        <v>0</v>
      </c>
      <c r="AK852" s="233"/>
      <c r="AL852" s="98">
        <f>IF(SUMIFS('Shipments data'!L:L,'Shipments data'!F:F,'Supply planning data'!C852,'Shipments data'!A:A,'Supply planning data'!A852,'Shipments data'!O:O,"received",'Shipments data'!Q:Q,"&lt;"&amp;'Supply planning data'!D867,'Shipments data'!AC:AC,"&lt;"&amp;'Supply planning data'!D867)-SUMIFS(M:M,D:D,"&lt;="&amp;D852,C:C,C852)-SUMIFS(AJ:AJ,D:D,"&lt;="&amp;D852,C:C,C852)+SUMIFS(N:N,D:D,"&lt;="&amp;D852,C:C,C852)+SUMIFS(P:P,D:D,"&lt;="&amp;D852,C:C,C852)&lt;0,0,SUMIFS('Shipments data'!L:L,'Shipments data'!F:F,'Supply planning data'!C852,'Shipments data'!A:A,'Supply planning data'!A852,'Shipments data'!O:O,"received",'Shipments data'!Q:Q,"&lt;"&amp;'Supply planning data'!D867,'Shipments data'!AC:AC,"&lt;"&amp;'Supply planning data'!D867)-SUMIFS(M:M,D:D,"&lt;="&amp;D852,C:C,C852)-SUMIFS(AJ:AJ,D:D,"&lt;="&amp;D852,C:C,C852)+SUMIFS(N:N,D:D,"&lt;="&amp;D852,C:C,C852)+SUMIFS(P:P,D:D,"&lt;="&amp;D852,C:C,C852))</f>
        <v>0</v>
      </c>
      <c r="AM852" s="98">
        <f t="shared" ref="AM852:AM904" si="264">IF(AL852-AL837&lt;0,0,AL852-AL837)</f>
        <v>0</v>
      </c>
      <c r="AN852" s="98">
        <f t="shared" si="257"/>
        <v>0</v>
      </c>
      <c r="AO852" s="203" t="str">
        <f t="shared" si="249"/>
        <v/>
      </c>
    </row>
    <row r="853" spans="1:41" hidden="1" x14ac:dyDescent="0.25">
      <c r="A853" s="95" t="str">
        <f>Start!D$7</f>
        <v>Anyland</v>
      </c>
      <c r="B853" s="96" t="str">
        <f>VLOOKUP(A853,list!B:C,2,FALSE)</f>
        <v>ANY</v>
      </c>
      <c r="C853" s="90" t="str">
        <f>IF(Start!$C$25="","",Start!$C$25)</f>
        <v/>
      </c>
      <c r="D853" s="296">
        <f t="shared" si="258"/>
        <v>45901</v>
      </c>
      <c r="E853" s="92" t="str">
        <f>IFERROR(VLOOKUP(C853,Start!C$15:D$31,2,FALSE),"No")</f>
        <v>No</v>
      </c>
      <c r="F853" s="92">
        <f t="shared" si="259"/>
        <v>0</v>
      </c>
      <c r="G853" s="91"/>
      <c r="H853" s="97"/>
      <c r="I853" s="97"/>
      <c r="J853" s="98">
        <f t="shared" si="251"/>
        <v>0</v>
      </c>
      <c r="K853" s="97"/>
      <c r="L853" s="175" t="str">
        <f t="shared" si="252"/>
        <v/>
      </c>
      <c r="M853" s="98">
        <f t="shared" si="253"/>
        <v>0</v>
      </c>
      <c r="N853" s="97"/>
      <c r="O853" s="122"/>
      <c r="P853" s="97"/>
      <c r="Q853" s="122"/>
      <c r="R853" s="98">
        <f>SUMIFS('Shipments data'!L:L,'Shipments data'!F:F,'Supply planning data'!C853,'Shipments data'!A:A,'Supply planning data'!A853,'Shipments data'!Y:Y,'Supply planning data'!D853,'Shipments data'!O:O,"received", 'Shipments data'!N:N, "Public")</f>
        <v>0</v>
      </c>
      <c r="S853" s="98">
        <f>SUMIFS('Shipments data'!L:L,'Shipments data'!F:F,'Supply planning data'!C853,'Shipments data'!A:A,'Supply planning data'!A853,'Shipments data'!Y:Y,'Supply planning data'!D853,'Shipments data'!O:O,"ordered", 'Shipments data'!N:N, "Public")</f>
        <v>0</v>
      </c>
      <c r="T853" s="98">
        <f>IF(SUMIFS('Shipments data'!L:L,'Shipments data'!F:F,'Supply planning data'!C853,'Shipments data'!A:A,'Supply planning data'!A853,'Shipments data'!O:O,"received",'Shipments data'!Q:Q,"&lt;"&amp;'Supply planning data'!D868,'Shipments data'!AC:AC,"&lt;"&amp;'Supply planning data'!D868)-SUMIFS(M:M,D:D,"&lt;="&amp;D853,C:C,C853)+SUMIFS(N:N,D:D,"&lt;="&amp;D853,C:C,C853)+SUMIFS(P:P,D:D,"&lt;="&amp;D853,C:C,C853)&lt;0,0,SUMIFS('Shipments data'!L:L,'Shipments data'!F:F,'Supply planning data'!C853,'Shipments data'!A:A,'Supply planning data'!A853,'Shipments data'!O:O,"received",'Shipments data'!Q:Q,"&lt;"&amp;'Supply planning data'!D868,'Shipments data'!AC:AC,"&lt;"&amp;'Supply planning data'!D868)-SUMIFS(M:M,D:D,"&lt;="&amp;D853,C:C,C853)+SUMIFS(N:N,D:D,"&lt;="&amp;D853,C:C,C853)+SUMIFS(P:P,D:D,"&lt;="&amp;D853,C:C,C853))</f>
        <v>0</v>
      </c>
      <c r="U853" s="99">
        <f t="shared" si="260"/>
        <v>0</v>
      </c>
      <c r="V853" s="98">
        <f t="shared" si="250"/>
        <v>0</v>
      </c>
      <c r="W853" s="203" t="str">
        <f t="shared" si="248"/>
        <v/>
      </c>
      <c r="X853" s="98">
        <f t="shared" si="261"/>
        <v>0</v>
      </c>
      <c r="Y853" s="97"/>
      <c r="Z853" s="93"/>
      <c r="AA853" s="98">
        <f t="shared" si="254"/>
        <v>0</v>
      </c>
      <c r="AB853" s="233"/>
      <c r="AC853" s="98">
        <f>IF(SUMIFS('Shipments data'!L:L,'Shipments data'!F:F,'Supply planning data'!C853,'Shipments data'!A:A,'Supply planning data'!A853,'Shipments data'!O:O,"received",'Shipments data'!Q:Q,"&lt;"&amp;'Supply planning data'!D868,'Shipments data'!AC:AC,"&lt;"&amp;'Supply planning data'!D868)-SUMIFS(M:M,D:D,"&lt;="&amp;D853,C:C,C853)-SUMIFS(AA:AA,D:D,"&lt;="&amp;D853,C:C,C853)+SUMIFS(N:N,D:D,"&lt;="&amp;D853,C:C,C853)+SUMIFS(P:P,D:D,"&lt;="&amp;D853,C:C,C853)&lt;0,0,SUMIFS('Shipments data'!L:L,'Shipments data'!F:F,'Supply planning data'!C853,'Shipments data'!A:A,'Supply planning data'!A853,'Shipments data'!O:O,"received",'Shipments data'!Q:Q,"&lt;"&amp;'Supply planning data'!D868,'Shipments data'!AC:AC,"&lt;"&amp;'Supply planning data'!D868)-SUMIFS(M:M,D:D,"&lt;="&amp;D853,C:C,C853)-SUMIFS(AA:AA,D:D,"&lt;="&amp;D853,C:C,C853)+SUMIFS(N:N,D:D,"&lt;="&amp;D853,C:C,C853)+SUMIFS(P:P,D:D,"&lt;="&amp;D853,C:C,C853))</f>
        <v>0</v>
      </c>
      <c r="AD853" s="98">
        <f t="shared" si="262"/>
        <v>0</v>
      </c>
      <c r="AE853" s="98">
        <f t="shared" si="256"/>
        <v>0</v>
      </c>
      <c r="AF853" s="205" t="str">
        <f t="shared" si="247"/>
        <v/>
      </c>
      <c r="AG853" s="98">
        <f t="shared" si="263"/>
        <v>0</v>
      </c>
      <c r="AH853" s="97"/>
      <c r="AI853" s="311"/>
      <c r="AJ853" s="98">
        <f t="shared" si="255"/>
        <v>0</v>
      </c>
      <c r="AK853" s="233"/>
      <c r="AL853" s="98">
        <f>IF(SUMIFS('Shipments data'!L:L,'Shipments data'!F:F,'Supply planning data'!C853,'Shipments data'!A:A,'Supply planning data'!A853,'Shipments data'!O:O,"received",'Shipments data'!Q:Q,"&lt;"&amp;'Supply planning data'!D868,'Shipments data'!AC:AC,"&lt;"&amp;'Supply planning data'!D868)-SUMIFS(M:M,D:D,"&lt;="&amp;D853,C:C,C853)-SUMIFS(AJ:AJ,D:D,"&lt;="&amp;D853,C:C,C853)+SUMIFS(N:N,D:D,"&lt;="&amp;D853,C:C,C853)+SUMIFS(P:P,D:D,"&lt;="&amp;D853,C:C,C853)&lt;0,0,SUMIFS('Shipments data'!L:L,'Shipments data'!F:F,'Supply planning data'!C853,'Shipments data'!A:A,'Supply planning data'!A853,'Shipments data'!O:O,"received",'Shipments data'!Q:Q,"&lt;"&amp;'Supply planning data'!D868,'Shipments data'!AC:AC,"&lt;"&amp;'Supply planning data'!D868)-SUMIFS(M:M,D:D,"&lt;="&amp;D853,C:C,C853)-SUMIFS(AJ:AJ,D:D,"&lt;="&amp;D853,C:C,C853)+SUMIFS(N:N,D:D,"&lt;="&amp;D853,C:C,C853)+SUMIFS(P:P,D:D,"&lt;="&amp;D853,C:C,C853))</f>
        <v>0</v>
      </c>
      <c r="AM853" s="98">
        <f t="shared" si="264"/>
        <v>0</v>
      </c>
      <c r="AN853" s="98">
        <f t="shared" si="257"/>
        <v>0</v>
      </c>
      <c r="AO853" s="203" t="str">
        <f t="shared" si="249"/>
        <v/>
      </c>
    </row>
    <row r="854" spans="1:41" hidden="1" x14ac:dyDescent="0.25">
      <c r="A854" s="95" t="str">
        <f>Start!D$7</f>
        <v>Anyland</v>
      </c>
      <c r="B854" s="96" t="str">
        <f>VLOOKUP(A854,list!B:C,2,FALSE)</f>
        <v>ANY</v>
      </c>
      <c r="C854" s="90" t="str">
        <f>IF(Start!$C$26="","",Start!$C$26)</f>
        <v/>
      </c>
      <c r="D854" s="296">
        <f t="shared" si="258"/>
        <v>45901</v>
      </c>
      <c r="E854" s="92" t="str">
        <f>IFERROR(VLOOKUP(C854,Start!C$15:D$31,2,FALSE),"No")</f>
        <v>No</v>
      </c>
      <c r="F854" s="92">
        <f t="shared" si="259"/>
        <v>0</v>
      </c>
      <c r="G854" s="91"/>
      <c r="H854" s="97"/>
      <c r="I854" s="97"/>
      <c r="J854" s="98">
        <f t="shared" si="251"/>
        <v>0</v>
      </c>
      <c r="K854" s="97"/>
      <c r="L854" s="175" t="str">
        <f t="shared" si="252"/>
        <v/>
      </c>
      <c r="M854" s="98">
        <f t="shared" si="253"/>
        <v>0</v>
      </c>
      <c r="N854" s="97"/>
      <c r="O854" s="122"/>
      <c r="P854" s="97"/>
      <c r="Q854" s="122"/>
      <c r="R854" s="98">
        <f>SUMIFS('Shipments data'!L:L,'Shipments data'!F:F,'Supply planning data'!C854,'Shipments data'!A:A,'Supply planning data'!A854,'Shipments data'!Y:Y,'Supply planning data'!D854,'Shipments data'!O:O,"received", 'Shipments data'!N:N, "Public")</f>
        <v>0</v>
      </c>
      <c r="S854" s="98">
        <f>SUMIFS('Shipments data'!L:L,'Shipments data'!F:F,'Supply planning data'!C854,'Shipments data'!A:A,'Supply planning data'!A854,'Shipments data'!Y:Y,'Supply planning data'!D854,'Shipments data'!O:O,"ordered", 'Shipments data'!N:N, "Public")</f>
        <v>0</v>
      </c>
      <c r="T854" s="98">
        <f>IF(SUMIFS('Shipments data'!L:L,'Shipments data'!F:F,'Supply planning data'!C854,'Shipments data'!A:A,'Supply planning data'!A854,'Shipments data'!O:O,"received",'Shipments data'!Q:Q,"&lt;"&amp;'Supply planning data'!D869,'Shipments data'!AC:AC,"&lt;"&amp;'Supply planning data'!D869)-SUMIFS(M:M,D:D,"&lt;="&amp;D854,C:C,C854)+SUMIFS(N:N,D:D,"&lt;="&amp;D854,C:C,C854)+SUMIFS(P:P,D:D,"&lt;="&amp;D854,C:C,C854)&lt;0,0,SUMIFS('Shipments data'!L:L,'Shipments data'!F:F,'Supply planning data'!C854,'Shipments data'!A:A,'Supply planning data'!A854,'Shipments data'!O:O,"received",'Shipments data'!Q:Q,"&lt;"&amp;'Supply planning data'!D869,'Shipments data'!AC:AC,"&lt;"&amp;'Supply planning data'!D869)-SUMIFS(M:M,D:D,"&lt;="&amp;D854,C:C,C854)+SUMIFS(N:N,D:D,"&lt;="&amp;D854,C:C,C854)+SUMIFS(P:P,D:D,"&lt;="&amp;D854,C:C,C854))</f>
        <v>0</v>
      </c>
      <c r="U854" s="99">
        <f t="shared" si="260"/>
        <v>0</v>
      </c>
      <c r="V854" s="98">
        <f t="shared" si="250"/>
        <v>0</v>
      </c>
      <c r="W854" s="203" t="str">
        <f t="shared" si="248"/>
        <v/>
      </c>
      <c r="X854" s="98">
        <f t="shared" si="261"/>
        <v>0</v>
      </c>
      <c r="Y854" s="97"/>
      <c r="Z854" s="93"/>
      <c r="AA854" s="98">
        <f t="shared" si="254"/>
        <v>0</v>
      </c>
      <c r="AB854" s="233"/>
      <c r="AC854" s="98">
        <f>IF(SUMIFS('Shipments data'!L:L,'Shipments data'!F:F,'Supply planning data'!C854,'Shipments data'!A:A,'Supply planning data'!A854,'Shipments data'!O:O,"received",'Shipments data'!Q:Q,"&lt;"&amp;'Supply planning data'!D869,'Shipments data'!AC:AC,"&lt;"&amp;'Supply planning data'!D869)-SUMIFS(M:M,D:D,"&lt;="&amp;D854,C:C,C854)-SUMIFS(AA:AA,D:D,"&lt;="&amp;D854,C:C,C854)+SUMIFS(N:N,D:D,"&lt;="&amp;D854,C:C,C854)+SUMIFS(P:P,D:D,"&lt;="&amp;D854,C:C,C854)&lt;0,0,SUMIFS('Shipments data'!L:L,'Shipments data'!F:F,'Supply planning data'!C854,'Shipments data'!A:A,'Supply planning data'!A854,'Shipments data'!O:O,"received",'Shipments data'!Q:Q,"&lt;"&amp;'Supply planning data'!D869,'Shipments data'!AC:AC,"&lt;"&amp;'Supply planning data'!D869)-SUMIFS(M:M,D:D,"&lt;="&amp;D854,C:C,C854)-SUMIFS(AA:AA,D:D,"&lt;="&amp;D854,C:C,C854)+SUMIFS(N:N,D:D,"&lt;="&amp;D854,C:C,C854)+SUMIFS(P:P,D:D,"&lt;="&amp;D854,C:C,C854))</f>
        <v>0</v>
      </c>
      <c r="AD854" s="98">
        <f t="shared" si="262"/>
        <v>0</v>
      </c>
      <c r="AE854" s="98">
        <f t="shared" si="256"/>
        <v>0</v>
      </c>
      <c r="AF854" s="205" t="str">
        <f t="shared" si="247"/>
        <v/>
      </c>
      <c r="AG854" s="98">
        <f t="shared" si="263"/>
        <v>0</v>
      </c>
      <c r="AH854" s="97"/>
      <c r="AI854" s="311"/>
      <c r="AJ854" s="98">
        <f t="shared" si="255"/>
        <v>0</v>
      </c>
      <c r="AK854" s="233"/>
      <c r="AL854" s="98">
        <f>IF(SUMIFS('Shipments data'!L:L,'Shipments data'!F:F,'Supply planning data'!C854,'Shipments data'!A:A,'Supply planning data'!A854,'Shipments data'!O:O,"received",'Shipments data'!Q:Q,"&lt;"&amp;'Supply planning data'!D869,'Shipments data'!AC:AC,"&lt;"&amp;'Supply planning data'!D869)-SUMIFS(M:M,D:D,"&lt;="&amp;D854,C:C,C854)-SUMIFS(AJ:AJ,D:D,"&lt;="&amp;D854,C:C,C854)+SUMIFS(N:N,D:D,"&lt;="&amp;D854,C:C,C854)+SUMIFS(P:P,D:D,"&lt;="&amp;D854,C:C,C854)&lt;0,0,SUMIFS('Shipments data'!L:L,'Shipments data'!F:F,'Supply planning data'!C854,'Shipments data'!A:A,'Supply planning data'!A854,'Shipments data'!O:O,"received",'Shipments data'!Q:Q,"&lt;"&amp;'Supply planning data'!D869,'Shipments data'!AC:AC,"&lt;"&amp;'Supply planning data'!D869)-SUMIFS(M:M,D:D,"&lt;="&amp;D854,C:C,C854)-SUMIFS(AJ:AJ,D:D,"&lt;="&amp;D854,C:C,C854)+SUMIFS(N:N,D:D,"&lt;="&amp;D854,C:C,C854)+SUMIFS(P:P,D:D,"&lt;="&amp;D854,C:C,C854))</f>
        <v>0</v>
      </c>
      <c r="AM854" s="98">
        <f t="shared" si="264"/>
        <v>0</v>
      </c>
      <c r="AN854" s="98">
        <f t="shared" si="257"/>
        <v>0</v>
      </c>
      <c r="AO854" s="203" t="str">
        <f t="shared" si="249"/>
        <v/>
      </c>
    </row>
    <row r="855" spans="1:41" hidden="1" x14ac:dyDescent="0.25">
      <c r="A855" s="95" t="str">
        <f>Start!D$7</f>
        <v>Anyland</v>
      </c>
      <c r="B855" s="96" t="str">
        <f>VLOOKUP(A855,list!B:C,2,FALSE)</f>
        <v>ANY</v>
      </c>
      <c r="C855" s="90" t="str">
        <f>IF(Start!$C$27="","",Start!$C$27)</f>
        <v/>
      </c>
      <c r="D855" s="296">
        <f t="shared" si="258"/>
        <v>45901</v>
      </c>
      <c r="E855" s="92" t="str">
        <f>IFERROR(VLOOKUP(C855,Start!C$15:D$31,2,FALSE),"No")</f>
        <v>No</v>
      </c>
      <c r="F855" s="92">
        <f t="shared" si="259"/>
        <v>0</v>
      </c>
      <c r="G855" s="91"/>
      <c r="H855" s="97"/>
      <c r="I855" s="97"/>
      <c r="J855" s="98">
        <f t="shared" si="251"/>
        <v>0</v>
      </c>
      <c r="K855" s="97"/>
      <c r="L855" s="175" t="str">
        <f t="shared" si="252"/>
        <v/>
      </c>
      <c r="M855" s="98">
        <f t="shared" si="253"/>
        <v>0</v>
      </c>
      <c r="N855" s="97"/>
      <c r="O855" s="122"/>
      <c r="P855" s="97"/>
      <c r="Q855" s="122"/>
      <c r="R855" s="98">
        <f>SUMIFS('Shipments data'!L:L,'Shipments data'!F:F,'Supply planning data'!C855,'Shipments data'!A:A,'Supply planning data'!A855,'Shipments data'!Y:Y,'Supply planning data'!D855,'Shipments data'!O:O,"received", 'Shipments data'!N:N, "Public")</f>
        <v>0</v>
      </c>
      <c r="S855" s="98">
        <f>SUMIFS('Shipments data'!L:L,'Shipments data'!F:F,'Supply planning data'!C855,'Shipments data'!A:A,'Supply planning data'!A855,'Shipments data'!Y:Y,'Supply planning data'!D855,'Shipments data'!O:O,"ordered", 'Shipments data'!N:N, "Public")</f>
        <v>0</v>
      </c>
      <c r="T855" s="98">
        <f>IF(SUMIFS('Shipments data'!L:L,'Shipments data'!F:F,'Supply planning data'!C855,'Shipments data'!A:A,'Supply planning data'!A855,'Shipments data'!O:O,"received",'Shipments data'!Q:Q,"&lt;"&amp;'Supply planning data'!D870,'Shipments data'!AC:AC,"&lt;"&amp;'Supply planning data'!D870)-SUMIFS(M:M,D:D,"&lt;="&amp;D855,C:C,C855)+SUMIFS(N:N,D:D,"&lt;="&amp;D855,C:C,C855)+SUMIFS(P:P,D:D,"&lt;="&amp;D855,C:C,C855)&lt;0,0,SUMIFS('Shipments data'!L:L,'Shipments data'!F:F,'Supply planning data'!C855,'Shipments data'!A:A,'Supply planning data'!A855,'Shipments data'!O:O,"received",'Shipments data'!Q:Q,"&lt;"&amp;'Supply planning data'!D870,'Shipments data'!AC:AC,"&lt;"&amp;'Supply planning data'!D870)-SUMIFS(M:M,D:D,"&lt;="&amp;D855,C:C,C855)+SUMIFS(N:N,D:D,"&lt;="&amp;D855,C:C,C855)+SUMIFS(P:P,D:D,"&lt;="&amp;D855,C:C,C855))</f>
        <v>0</v>
      </c>
      <c r="U855" s="99">
        <f t="shared" si="260"/>
        <v>0</v>
      </c>
      <c r="V855" s="98">
        <f t="shared" si="250"/>
        <v>0</v>
      </c>
      <c r="W855" s="203" t="str">
        <f t="shared" si="248"/>
        <v/>
      </c>
      <c r="X855" s="98">
        <f t="shared" si="261"/>
        <v>0</v>
      </c>
      <c r="Y855" s="97"/>
      <c r="Z855" s="93"/>
      <c r="AA855" s="98">
        <f t="shared" si="254"/>
        <v>0</v>
      </c>
      <c r="AB855" s="233"/>
      <c r="AC855" s="98">
        <f>IF(SUMIFS('Shipments data'!L:L,'Shipments data'!F:F,'Supply planning data'!C855,'Shipments data'!A:A,'Supply planning data'!A855,'Shipments data'!O:O,"received",'Shipments data'!Q:Q,"&lt;"&amp;'Supply planning data'!D870,'Shipments data'!AC:AC,"&lt;"&amp;'Supply planning data'!D870)-SUMIFS(M:M,D:D,"&lt;="&amp;D855,C:C,C855)-SUMIFS(AA:AA,D:D,"&lt;="&amp;D855,C:C,C855)+SUMIFS(N:N,D:D,"&lt;="&amp;D855,C:C,C855)+SUMIFS(P:P,D:D,"&lt;="&amp;D855,C:C,C855)&lt;0,0,SUMIFS('Shipments data'!L:L,'Shipments data'!F:F,'Supply planning data'!C855,'Shipments data'!A:A,'Supply planning data'!A855,'Shipments data'!O:O,"received",'Shipments data'!Q:Q,"&lt;"&amp;'Supply planning data'!D870,'Shipments data'!AC:AC,"&lt;"&amp;'Supply planning data'!D870)-SUMIFS(M:M,D:D,"&lt;="&amp;D855,C:C,C855)-SUMIFS(AA:AA,D:D,"&lt;="&amp;D855,C:C,C855)+SUMIFS(N:N,D:D,"&lt;="&amp;D855,C:C,C855)+SUMIFS(P:P,D:D,"&lt;="&amp;D855,C:C,C855))</f>
        <v>0</v>
      </c>
      <c r="AD855" s="98">
        <f t="shared" si="262"/>
        <v>0</v>
      </c>
      <c r="AE855" s="98">
        <f t="shared" si="256"/>
        <v>0</v>
      </c>
      <c r="AF855" s="205" t="str">
        <f t="shared" si="247"/>
        <v/>
      </c>
      <c r="AG855" s="98">
        <f t="shared" si="263"/>
        <v>0</v>
      </c>
      <c r="AH855" s="97"/>
      <c r="AI855" s="311"/>
      <c r="AJ855" s="98">
        <f t="shared" si="255"/>
        <v>0</v>
      </c>
      <c r="AK855" s="233"/>
      <c r="AL855" s="98">
        <f>IF(SUMIFS('Shipments data'!L:L,'Shipments data'!F:F,'Supply planning data'!C855,'Shipments data'!A:A,'Supply planning data'!A855,'Shipments data'!O:O,"received",'Shipments data'!Q:Q,"&lt;"&amp;'Supply planning data'!D870,'Shipments data'!AC:AC,"&lt;"&amp;'Supply planning data'!D870)-SUMIFS(M:M,D:D,"&lt;="&amp;D855,C:C,C855)-SUMIFS(AJ:AJ,D:D,"&lt;="&amp;D855,C:C,C855)+SUMIFS(N:N,D:D,"&lt;="&amp;D855,C:C,C855)+SUMIFS(P:P,D:D,"&lt;="&amp;D855,C:C,C855)&lt;0,0,SUMIFS('Shipments data'!L:L,'Shipments data'!F:F,'Supply planning data'!C855,'Shipments data'!A:A,'Supply planning data'!A855,'Shipments data'!O:O,"received",'Shipments data'!Q:Q,"&lt;"&amp;'Supply planning data'!D870,'Shipments data'!AC:AC,"&lt;"&amp;'Supply planning data'!D870)-SUMIFS(M:M,D:D,"&lt;="&amp;D855,C:C,C855)-SUMIFS(AJ:AJ,D:D,"&lt;="&amp;D855,C:C,C855)+SUMIFS(N:N,D:D,"&lt;="&amp;D855,C:C,C855)+SUMIFS(P:P,D:D,"&lt;="&amp;D855,C:C,C855))</f>
        <v>0</v>
      </c>
      <c r="AM855" s="98">
        <f t="shared" si="264"/>
        <v>0</v>
      </c>
      <c r="AN855" s="98">
        <f t="shared" si="257"/>
        <v>0</v>
      </c>
      <c r="AO855" s="203" t="str">
        <f t="shared" si="249"/>
        <v/>
      </c>
    </row>
    <row r="856" spans="1:41" hidden="1" x14ac:dyDescent="0.25">
      <c r="A856" s="95" t="str">
        <f>Start!D$7</f>
        <v>Anyland</v>
      </c>
      <c r="B856" s="96" t="str">
        <f>VLOOKUP(A856,list!B:C,2,FALSE)</f>
        <v>ANY</v>
      </c>
      <c r="C856" s="90" t="str">
        <f>IF(Start!$C$28="","",Start!$C$28)</f>
        <v/>
      </c>
      <c r="D856" s="296">
        <f t="shared" si="258"/>
        <v>45901</v>
      </c>
      <c r="E856" s="92" t="str">
        <f>IFERROR(VLOOKUP(C856,Start!C$15:D$31,2,FALSE),"No")</f>
        <v>No</v>
      </c>
      <c r="F856" s="92">
        <f t="shared" si="259"/>
        <v>0</v>
      </c>
      <c r="G856" s="91"/>
      <c r="H856" s="97"/>
      <c r="I856" s="97"/>
      <c r="J856" s="98">
        <f t="shared" si="251"/>
        <v>0</v>
      </c>
      <c r="K856" s="97"/>
      <c r="L856" s="175" t="str">
        <f t="shared" si="252"/>
        <v/>
      </c>
      <c r="M856" s="98">
        <f t="shared" si="253"/>
        <v>0</v>
      </c>
      <c r="N856" s="97"/>
      <c r="O856" s="122"/>
      <c r="P856" s="97"/>
      <c r="Q856" s="122"/>
      <c r="R856" s="98">
        <f>SUMIFS('Shipments data'!L:L,'Shipments data'!F:F,'Supply planning data'!C856,'Shipments data'!A:A,'Supply planning data'!A856,'Shipments data'!Y:Y,'Supply planning data'!D856,'Shipments data'!O:O,"received", 'Shipments data'!N:N, "Public")</f>
        <v>0</v>
      </c>
      <c r="S856" s="98">
        <f>SUMIFS('Shipments data'!L:L,'Shipments data'!F:F,'Supply planning data'!C856,'Shipments data'!A:A,'Supply planning data'!A856,'Shipments data'!Y:Y,'Supply planning data'!D856,'Shipments data'!O:O,"ordered", 'Shipments data'!N:N, "Public")</f>
        <v>0</v>
      </c>
      <c r="T856" s="98">
        <f>IF(SUMIFS('Shipments data'!L:L,'Shipments data'!F:F,'Supply planning data'!C856,'Shipments data'!A:A,'Supply planning data'!A856,'Shipments data'!O:O,"received",'Shipments data'!Q:Q,"&lt;"&amp;'Supply planning data'!D871,'Shipments data'!AC:AC,"&lt;"&amp;'Supply planning data'!D871)-SUMIFS(M:M,D:D,"&lt;="&amp;D856,C:C,C856)+SUMIFS(N:N,D:D,"&lt;="&amp;D856,C:C,C856)+SUMIFS(P:P,D:D,"&lt;="&amp;D856,C:C,C856)&lt;0,0,SUMIFS('Shipments data'!L:L,'Shipments data'!F:F,'Supply planning data'!C856,'Shipments data'!A:A,'Supply planning data'!A856,'Shipments data'!O:O,"received",'Shipments data'!Q:Q,"&lt;"&amp;'Supply planning data'!D871,'Shipments data'!AC:AC,"&lt;"&amp;'Supply planning data'!D871)-SUMIFS(M:M,D:D,"&lt;="&amp;D856,C:C,C856)+SUMIFS(N:N,D:D,"&lt;="&amp;D856,C:C,C856)+SUMIFS(P:P,D:D,"&lt;="&amp;D856,C:C,C856))</f>
        <v>0</v>
      </c>
      <c r="U856" s="99">
        <f t="shared" si="260"/>
        <v>0</v>
      </c>
      <c r="V856" s="98">
        <f t="shared" si="250"/>
        <v>0</v>
      </c>
      <c r="W856" s="203" t="str">
        <f t="shared" si="248"/>
        <v/>
      </c>
      <c r="X856" s="98">
        <f t="shared" si="261"/>
        <v>0</v>
      </c>
      <c r="Y856" s="97"/>
      <c r="Z856" s="93"/>
      <c r="AA856" s="98">
        <f t="shared" si="254"/>
        <v>0</v>
      </c>
      <c r="AB856" s="233"/>
      <c r="AC856" s="98">
        <f>IF(SUMIFS('Shipments data'!L:L,'Shipments data'!F:F,'Supply planning data'!C856,'Shipments data'!A:A,'Supply planning data'!A856,'Shipments data'!O:O,"received",'Shipments data'!Q:Q,"&lt;"&amp;'Supply planning data'!D871,'Shipments data'!AC:AC,"&lt;"&amp;'Supply planning data'!D871)-SUMIFS(M:M,D:D,"&lt;="&amp;D856,C:C,C856)-SUMIFS(AA:AA,D:D,"&lt;="&amp;D856,C:C,C856)+SUMIFS(N:N,D:D,"&lt;="&amp;D856,C:C,C856)+SUMIFS(P:P,D:D,"&lt;="&amp;D856,C:C,C856)&lt;0,0,SUMIFS('Shipments data'!L:L,'Shipments data'!F:F,'Supply planning data'!C856,'Shipments data'!A:A,'Supply planning data'!A856,'Shipments data'!O:O,"received",'Shipments data'!Q:Q,"&lt;"&amp;'Supply planning data'!D871,'Shipments data'!AC:AC,"&lt;"&amp;'Supply planning data'!D871)-SUMIFS(M:M,D:D,"&lt;="&amp;D856,C:C,C856)-SUMIFS(AA:AA,D:D,"&lt;="&amp;D856,C:C,C856)+SUMIFS(N:N,D:D,"&lt;="&amp;D856,C:C,C856)+SUMIFS(P:P,D:D,"&lt;="&amp;D856,C:C,C856))</f>
        <v>0</v>
      </c>
      <c r="AD856" s="98">
        <f t="shared" si="262"/>
        <v>0</v>
      </c>
      <c r="AE856" s="98">
        <f t="shared" si="256"/>
        <v>0</v>
      </c>
      <c r="AF856" s="205" t="str">
        <f t="shared" si="247"/>
        <v/>
      </c>
      <c r="AG856" s="98">
        <f t="shared" si="263"/>
        <v>0</v>
      </c>
      <c r="AH856" s="97"/>
      <c r="AI856" s="311"/>
      <c r="AJ856" s="98">
        <f t="shared" si="255"/>
        <v>0</v>
      </c>
      <c r="AK856" s="233"/>
      <c r="AL856" s="98">
        <f>IF(SUMIFS('Shipments data'!L:L,'Shipments data'!F:F,'Supply planning data'!C856,'Shipments data'!A:A,'Supply planning data'!A856,'Shipments data'!O:O,"received",'Shipments data'!Q:Q,"&lt;"&amp;'Supply planning data'!D871,'Shipments data'!AC:AC,"&lt;"&amp;'Supply planning data'!D871)-SUMIFS(M:M,D:D,"&lt;="&amp;D856,C:C,C856)-SUMIFS(AJ:AJ,D:D,"&lt;="&amp;D856,C:C,C856)+SUMIFS(N:N,D:D,"&lt;="&amp;D856,C:C,C856)+SUMIFS(P:P,D:D,"&lt;="&amp;D856,C:C,C856)&lt;0,0,SUMIFS('Shipments data'!L:L,'Shipments data'!F:F,'Supply planning data'!C856,'Shipments data'!A:A,'Supply planning data'!A856,'Shipments data'!O:O,"received",'Shipments data'!Q:Q,"&lt;"&amp;'Supply planning data'!D871,'Shipments data'!AC:AC,"&lt;"&amp;'Supply planning data'!D871)-SUMIFS(M:M,D:D,"&lt;="&amp;D856,C:C,C856)-SUMIFS(AJ:AJ,D:D,"&lt;="&amp;D856,C:C,C856)+SUMIFS(N:N,D:D,"&lt;="&amp;D856,C:C,C856)+SUMIFS(P:P,D:D,"&lt;="&amp;D856,C:C,C856))</f>
        <v>0</v>
      </c>
      <c r="AM856" s="98">
        <f t="shared" si="264"/>
        <v>0</v>
      </c>
      <c r="AN856" s="98">
        <f t="shared" si="257"/>
        <v>0</v>
      </c>
      <c r="AO856" s="203" t="str">
        <f t="shared" si="249"/>
        <v/>
      </c>
    </row>
    <row r="857" spans="1:41" hidden="1" x14ac:dyDescent="0.25">
      <c r="A857" s="95" t="str">
        <f>Start!D$7</f>
        <v>Anyland</v>
      </c>
      <c r="B857" s="96" t="str">
        <f>VLOOKUP(A857,list!B:C,2,FALSE)</f>
        <v>ANY</v>
      </c>
      <c r="C857" s="90" t="str">
        <f>IF(Start!$C$29="","",Start!$C$29)</f>
        <v/>
      </c>
      <c r="D857" s="296">
        <f t="shared" si="258"/>
        <v>45901</v>
      </c>
      <c r="E857" s="92" t="str">
        <f>IFERROR(VLOOKUP(C857,Start!C$15:D$31,2,FALSE),"No")</f>
        <v>No</v>
      </c>
      <c r="F857" s="92">
        <f t="shared" si="259"/>
        <v>0</v>
      </c>
      <c r="G857" s="91"/>
      <c r="H857" s="97"/>
      <c r="I857" s="97"/>
      <c r="J857" s="98">
        <f t="shared" si="251"/>
        <v>0</v>
      </c>
      <c r="K857" s="97"/>
      <c r="L857" s="175" t="str">
        <f t="shared" si="252"/>
        <v/>
      </c>
      <c r="M857" s="98">
        <f t="shared" si="253"/>
        <v>0</v>
      </c>
      <c r="N857" s="97"/>
      <c r="O857" s="122"/>
      <c r="P857" s="97"/>
      <c r="Q857" s="122"/>
      <c r="R857" s="98">
        <f>SUMIFS('Shipments data'!L:L,'Shipments data'!F:F,'Supply planning data'!C857,'Shipments data'!A:A,'Supply planning data'!A857,'Shipments data'!Y:Y,'Supply planning data'!D857,'Shipments data'!O:O,"received", 'Shipments data'!N:N, "Public")</f>
        <v>0</v>
      </c>
      <c r="S857" s="98">
        <f>SUMIFS('Shipments data'!L:L,'Shipments data'!F:F,'Supply planning data'!C857,'Shipments data'!A:A,'Supply planning data'!A857,'Shipments data'!Y:Y,'Supply planning data'!D857,'Shipments data'!O:O,"ordered", 'Shipments data'!N:N, "Public")</f>
        <v>0</v>
      </c>
      <c r="T857" s="98">
        <f>IF(SUMIFS('Shipments data'!L:L,'Shipments data'!F:F,'Supply planning data'!C857,'Shipments data'!A:A,'Supply planning data'!A857,'Shipments data'!O:O,"received",'Shipments data'!Q:Q,"&lt;"&amp;'Supply planning data'!D872,'Shipments data'!AC:AC,"&lt;"&amp;'Supply planning data'!D872)-SUMIFS(M:M,D:D,"&lt;="&amp;D857,C:C,C857)+SUMIFS(N:N,D:D,"&lt;="&amp;D857,C:C,C857)+SUMIFS(P:P,D:D,"&lt;="&amp;D857,C:C,C857)&lt;0,0,SUMIFS('Shipments data'!L:L,'Shipments data'!F:F,'Supply planning data'!C857,'Shipments data'!A:A,'Supply planning data'!A857,'Shipments data'!O:O,"received",'Shipments data'!Q:Q,"&lt;"&amp;'Supply planning data'!D872,'Shipments data'!AC:AC,"&lt;"&amp;'Supply planning data'!D872)-SUMIFS(M:M,D:D,"&lt;="&amp;D857,C:C,C857)+SUMIFS(N:N,D:D,"&lt;="&amp;D857,C:C,C857)+SUMIFS(P:P,D:D,"&lt;="&amp;D857,C:C,C857))</f>
        <v>0</v>
      </c>
      <c r="U857" s="99">
        <f t="shared" si="260"/>
        <v>0</v>
      </c>
      <c r="V857" s="98">
        <f t="shared" si="250"/>
        <v>0</v>
      </c>
      <c r="W857" s="203" t="str">
        <f t="shared" si="248"/>
        <v/>
      </c>
      <c r="X857" s="98">
        <f t="shared" si="261"/>
        <v>0</v>
      </c>
      <c r="Y857" s="97"/>
      <c r="Z857" s="93"/>
      <c r="AA857" s="98">
        <f t="shared" si="254"/>
        <v>0</v>
      </c>
      <c r="AB857" s="233"/>
      <c r="AC857" s="98">
        <f>IF(SUMIFS('Shipments data'!L:L,'Shipments data'!F:F,'Supply planning data'!C857,'Shipments data'!A:A,'Supply planning data'!A857,'Shipments data'!O:O,"received",'Shipments data'!Q:Q,"&lt;"&amp;'Supply planning data'!D872,'Shipments data'!AC:AC,"&lt;"&amp;'Supply planning data'!D872)-SUMIFS(M:M,D:D,"&lt;="&amp;D857,C:C,C857)-SUMIFS(AA:AA,D:D,"&lt;="&amp;D857,C:C,C857)+SUMIFS(N:N,D:D,"&lt;="&amp;D857,C:C,C857)+SUMIFS(P:P,D:D,"&lt;="&amp;D857,C:C,C857)&lt;0,0,SUMIFS('Shipments data'!L:L,'Shipments data'!F:F,'Supply planning data'!C857,'Shipments data'!A:A,'Supply planning data'!A857,'Shipments data'!O:O,"received",'Shipments data'!Q:Q,"&lt;"&amp;'Supply planning data'!D872,'Shipments data'!AC:AC,"&lt;"&amp;'Supply planning data'!D872)-SUMIFS(M:M,D:D,"&lt;="&amp;D857,C:C,C857)-SUMIFS(AA:AA,D:D,"&lt;="&amp;D857,C:C,C857)+SUMIFS(N:N,D:D,"&lt;="&amp;D857,C:C,C857)+SUMIFS(P:P,D:D,"&lt;="&amp;D857,C:C,C857))</f>
        <v>0</v>
      </c>
      <c r="AD857" s="98">
        <f t="shared" si="262"/>
        <v>0</v>
      </c>
      <c r="AE857" s="98">
        <f t="shared" si="256"/>
        <v>0</v>
      </c>
      <c r="AF857" s="205" t="str">
        <f t="shared" si="247"/>
        <v/>
      </c>
      <c r="AG857" s="98">
        <f t="shared" si="263"/>
        <v>0</v>
      </c>
      <c r="AH857" s="97"/>
      <c r="AI857" s="311"/>
      <c r="AJ857" s="98">
        <f t="shared" si="255"/>
        <v>0</v>
      </c>
      <c r="AK857" s="233"/>
      <c r="AL857" s="98">
        <f>IF(SUMIFS('Shipments data'!L:L,'Shipments data'!F:F,'Supply planning data'!C857,'Shipments data'!A:A,'Supply planning data'!A857,'Shipments data'!O:O,"received",'Shipments data'!Q:Q,"&lt;"&amp;'Supply planning data'!D872,'Shipments data'!AC:AC,"&lt;"&amp;'Supply planning data'!D872)-SUMIFS(M:M,D:D,"&lt;="&amp;D857,C:C,C857)-SUMIFS(AJ:AJ,D:D,"&lt;="&amp;D857,C:C,C857)+SUMIFS(N:N,D:D,"&lt;="&amp;D857,C:C,C857)+SUMIFS(P:P,D:D,"&lt;="&amp;D857,C:C,C857)&lt;0,0,SUMIFS('Shipments data'!L:L,'Shipments data'!F:F,'Supply planning data'!C857,'Shipments data'!A:A,'Supply planning data'!A857,'Shipments data'!O:O,"received",'Shipments data'!Q:Q,"&lt;"&amp;'Supply planning data'!D872,'Shipments data'!AC:AC,"&lt;"&amp;'Supply planning data'!D872)-SUMIFS(M:M,D:D,"&lt;="&amp;D857,C:C,C857)-SUMIFS(AJ:AJ,D:D,"&lt;="&amp;D857,C:C,C857)+SUMIFS(N:N,D:D,"&lt;="&amp;D857,C:C,C857)+SUMIFS(P:P,D:D,"&lt;="&amp;D857,C:C,C857))</f>
        <v>0</v>
      </c>
      <c r="AM857" s="98">
        <f t="shared" si="264"/>
        <v>0</v>
      </c>
      <c r="AN857" s="98">
        <f t="shared" si="257"/>
        <v>0</v>
      </c>
      <c r="AO857" s="203" t="str">
        <f t="shared" si="249"/>
        <v/>
      </c>
    </row>
    <row r="858" spans="1:41" hidden="1" x14ac:dyDescent="0.25">
      <c r="A858" s="95" t="str">
        <f>Start!D$7</f>
        <v>Anyland</v>
      </c>
      <c r="B858" s="96" t="str">
        <f>VLOOKUP(A858,list!B:C,2,FALSE)</f>
        <v>ANY</v>
      </c>
      <c r="C858" s="90" t="str">
        <f>IF(Start!$C$30="","",Start!$C$30)</f>
        <v/>
      </c>
      <c r="D858" s="296">
        <f t="shared" si="258"/>
        <v>45901</v>
      </c>
      <c r="E858" s="92" t="str">
        <f>IFERROR(VLOOKUP(C858,Start!C$15:D$31,2,FALSE),"No")</f>
        <v>No</v>
      </c>
      <c r="F858" s="92">
        <f t="shared" si="259"/>
        <v>0</v>
      </c>
      <c r="G858" s="91"/>
      <c r="H858" s="97"/>
      <c r="I858" s="97"/>
      <c r="J858" s="98">
        <f t="shared" si="251"/>
        <v>0</v>
      </c>
      <c r="K858" s="97"/>
      <c r="L858" s="175" t="str">
        <f t="shared" si="252"/>
        <v/>
      </c>
      <c r="M858" s="98">
        <f t="shared" si="253"/>
        <v>0</v>
      </c>
      <c r="N858" s="97"/>
      <c r="O858" s="122"/>
      <c r="P858" s="97"/>
      <c r="Q858" s="122"/>
      <c r="R858" s="98">
        <f>SUMIFS('Shipments data'!L:L,'Shipments data'!F:F,'Supply planning data'!C858,'Shipments data'!A:A,'Supply planning data'!A858,'Shipments data'!Y:Y,'Supply planning data'!D858,'Shipments data'!O:O,"received", 'Shipments data'!N:N, "Public")</f>
        <v>0</v>
      </c>
      <c r="S858" s="98">
        <f>SUMIFS('Shipments data'!L:L,'Shipments data'!F:F,'Supply planning data'!C858,'Shipments data'!A:A,'Supply planning data'!A858,'Shipments data'!Y:Y,'Supply planning data'!D858,'Shipments data'!O:O,"ordered", 'Shipments data'!N:N, "Public")</f>
        <v>0</v>
      </c>
      <c r="T858" s="98">
        <f>IF(SUMIFS('Shipments data'!L:L,'Shipments data'!F:F,'Supply planning data'!C858,'Shipments data'!A:A,'Supply planning data'!A858,'Shipments data'!O:O,"received",'Shipments data'!Q:Q,"&lt;"&amp;'Supply planning data'!D873,'Shipments data'!AC:AC,"&lt;"&amp;'Supply planning data'!D873)-SUMIFS(M:M,D:D,"&lt;="&amp;D858,C:C,C858)+SUMIFS(N:N,D:D,"&lt;="&amp;D858,C:C,C858)+SUMIFS(P:P,D:D,"&lt;="&amp;D858,C:C,C858)&lt;0,0,SUMIFS('Shipments data'!L:L,'Shipments data'!F:F,'Supply planning data'!C858,'Shipments data'!A:A,'Supply planning data'!A858,'Shipments data'!O:O,"received",'Shipments data'!Q:Q,"&lt;"&amp;'Supply planning data'!D873,'Shipments data'!AC:AC,"&lt;"&amp;'Supply planning data'!D873)-SUMIFS(M:M,D:D,"&lt;="&amp;D858,C:C,C858)+SUMIFS(N:N,D:D,"&lt;="&amp;D858,C:C,C858)+SUMIFS(P:P,D:D,"&lt;="&amp;D858,C:C,C858))</f>
        <v>0</v>
      </c>
      <c r="U858" s="99">
        <f t="shared" si="260"/>
        <v>0</v>
      </c>
      <c r="V858" s="98">
        <f t="shared" si="250"/>
        <v>0</v>
      </c>
      <c r="W858" s="203" t="str">
        <f t="shared" si="248"/>
        <v/>
      </c>
      <c r="X858" s="98">
        <f t="shared" si="261"/>
        <v>0</v>
      </c>
      <c r="Y858" s="97"/>
      <c r="Z858" s="93"/>
      <c r="AA858" s="98">
        <f t="shared" si="254"/>
        <v>0</v>
      </c>
      <c r="AB858" s="233"/>
      <c r="AC858" s="98">
        <f>IF(SUMIFS('Shipments data'!L:L,'Shipments data'!F:F,'Supply planning data'!C858,'Shipments data'!A:A,'Supply planning data'!A858,'Shipments data'!O:O,"received",'Shipments data'!Q:Q,"&lt;"&amp;'Supply planning data'!D873,'Shipments data'!AC:AC,"&lt;"&amp;'Supply planning data'!D873)-SUMIFS(M:M,D:D,"&lt;="&amp;D858,C:C,C858)-SUMIFS(AA:AA,D:D,"&lt;="&amp;D858,C:C,C858)+SUMIFS(N:N,D:D,"&lt;="&amp;D858,C:C,C858)+SUMIFS(P:P,D:D,"&lt;="&amp;D858,C:C,C858)&lt;0,0,SUMIFS('Shipments data'!L:L,'Shipments data'!F:F,'Supply planning data'!C858,'Shipments data'!A:A,'Supply planning data'!A858,'Shipments data'!O:O,"received",'Shipments data'!Q:Q,"&lt;"&amp;'Supply planning data'!D873,'Shipments data'!AC:AC,"&lt;"&amp;'Supply planning data'!D873)-SUMIFS(M:M,D:D,"&lt;="&amp;D858,C:C,C858)-SUMIFS(AA:AA,D:D,"&lt;="&amp;D858,C:C,C858)+SUMIFS(N:N,D:D,"&lt;="&amp;D858,C:C,C858)+SUMIFS(P:P,D:D,"&lt;="&amp;D858,C:C,C858))</f>
        <v>0</v>
      </c>
      <c r="AD858" s="98">
        <f t="shared" si="262"/>
        <v>0</v>
      </c>
      <c r="AE858" s="98">
        <f t="shared" si="256"/>
        <v>0</v>
      </c>
      <c r="AF858" s="205" t="str">
        <f t="shared" si="247"/>
        <v/>
      </c>
      <c r="AG858" s="98">
        <f t="shared" si="263"/>
        <v>0</v>
      </c>
      <c r="AH858" s="97"/>
      <c r="AI858" s="311"/>
      <c r="AJ858" s="98">
        <f t="shared" si="255"/>
        <v>0</v>
      </c>
      <c r="AK858" s="233"/>
      <c r="AL858" s="98">
        <f>IF(SUMIFS('Shipments data'!L:L,'Shipments data'!F:F,'Supply planning data'!C858,'Shipments data'!A:A,'Supply planning data'!A858,'Shipments data'!O:O,"received",'Shipments data'!Q:Q,"&lt;"&amp;'Supply planning data'!D873,'Shipments data'!AC:AC,"&lt;"&amp;'Supply planning data'!D873)-SUMIFS(M:M,D:D,"&lt;="&amp;D858,C:C,C858)-SUMIFS(AJ:AJ,D:D,"&lt;="&amp;D858,C:C,C858)+SUMIFS(N:N,D:D,"&lt;="&amp;D858,C:C,C858)+SUMIFS(P:P,D:D,"&lt;="&amp;D858,C:C,C858)&lt;0,0,SUMIFS('Shipments data'!L:L,'Shipments data'!F:F,'Supply planning data'!C858,'Shipments data'!A:A,'Supply planning data'!A858,'Shipments data'!O:O,"received",'Shipments data'!Q:Q,"&lt;"&amp;'Supply planning data'!D873,'Shipments data'!AC:AC,"&lt;"&amp;'Supply planning data'!D873)-SUMIFS(M:M,D:D,"&lt;="&amp;D858,C:C,C858)-SUMIFS(AJ:AJ,D:D,"&lt;="&amp;D858,C:C,C858)+SUMIFS(N:N,D:D,"&lt;="&amp;D858,C:C,C858)+SUMIFS(P:P,D:D,"&lt;="&amp;D858,C:C,C858))</f>
        <v>0</v>
      </c>
      <c r="AM858" s="98">
        <f t="shared" si="264"/>
        <v>0</v>
      </c>
      <c r="AN858" s="98">
        <f t="shared" si="257"/>
        <v>0</v>
      </c>
      <c r="AO858" s="203" t="str">
        <f t="shared" si="249"/>
        <v/>
      </c>
    </row>
    <row r="859" spans="1:41" hidden="1" x14ac:dyDescent="0.25">
      <c r="A859" s="95" t="str">
        <f>Start!D$7</f>
        <v>Anyland</v>
      </c>
      <c r="B859" s="100" t="str">
        <f>VLOOKUP(A859,list!B:C,2,FALSE)</f>
        <v>ANY</v>
      </c>
      <c r="C859" s="90" t="str">
        <f>IF(Start!$C$31="","",Start!$C$31)</f>
        <v/>
      </c>
      <c r="D859" s="296">
        <f t="shared" si="258"/>
        <v>45901</v>
      </c>
      <c r="E859" s="92" t="str">
        <f>IFERROR(VLOOKUP(C859,Start!C$15:D$31,2,FALSE),"No")</f>
        <v>No</v>
      </c>
      <c r="F859" s="92">
        <f t="shared" si="259"/>
        <v>0</v>
      </c>
      <c r="G859" s="91"/>
      <c r="H859" s="97"/>
      <c r="I859" s="97"/>
      <c r="J859" s="98">
        <f t="shared" si="251"/>
        <v>0</v>
      </c>
      <c r="K859" s="97"/>
      <c r="L859" s="175" t="str">
        <f t="shared" si="252"/>
        <v/>
      </c>
      <c r="M859" s="98">
        <f t="shared" si="253"/>
        <v>0</v>
      </c>
      <c r="N859" s="97"/>
      <c r="O859" s="122"/>
      <c r="P859" s="97"/>
      <c r="Q859" s="122"/>
      <c r="R859" s="98">
        <f>SUMIFS('Shipments data'!L:L,'Shipments data'!F:F,'Supply planning data'!C859,'Shipments data'!A:A,'Supply planning data'!A859,'Shipments data'!Y:Y,'Supply planning data'!D859,'Shipments data'!O:O,"received", 'Shipments data'!N:N, "Public")</f>
        <v>0</v>
      </c>
      <c r="S859" s="98">
        <f>SUMIFS('Shipments data'!L:L,'Shipments data'!F:F,'Supply planning data'!C859,'Shipments data'!A:A,'Supply planning data'!A859,'Shipments data'!Y:Y,'Supply planning data'!D859,'Shipments data'!O:O,"ordered", 'Shipments data'!N:N, "Public")</f>
        <v>0</v>
      </c>
      <c r="T859" s="98">
        <f>IF(SUMIFS('Shipments data'!L:L,'Shipments data'!F:F,'Supply planning data'!C859,'Shipments data'!A:A,'Supply planning data'!A859,'Shipments data'!O:O,"received",'Shipments data'!Q:Q,"&lt;"&amp;'Supply planning data'!D874,'Shipments data'!AC:AC,"&lt;"&amp;'Supply planning data'!D874)-SUMIFS(M:M,D:D,"&lt;="&amp;D859,C:C,C859)+SUMIFS(N:N,D:D,"&lt;="&amp;D859,C:C,C859)+SUMIFS(P:P,D:D,"&lt;="&amp;D859,C:C,C859)&lt;0,0,SUMIFS('Shipments data'!L:L,'Shipments data'!F:F,'Supply planning data'!C859,'Shipments data'!A:A,'Supply planning data'!A859,'Shipments data'!O:O,"received",'Shipments data'!Q:Q,"&lt;"&amp;'Supply planning data'!D874,'Shipments data'!AC:AC,"&lt;"&amp;'Supply planning data'!D874)-SUMIFS(M:M,D:D,"&lt;="&amp;D859,C:C,C859)+SUMIFS(N:N,D:D,"&lt;="&amp;D859,C:C,C859)+SUMIFS(P:P,D:D,"&lt;="&amp;D859,C:C,C859))</f>
        <v>0</v>
      </c>
      <c r="U859" s="99">
        <f t="shared" si="260"/>
        <v>0</v>
      </c>
      <c r="V859" s="98">
        <f t="shared" si="250"/>
        <v>0</v>
      </c>
      <c r="W859" s="203" t="str">
        <f t="shared" si="248"/>
        <v/>
      </c>
      <c r="X859" s="98">
        <f t="shared" si="261"/>
        <v>0</v>
      </c>
      <c r="Y859" s="97"/>
      <c r="Z859" s="93"/>
      <c r="AA859" s="98">
        <f t="shared" si="254"/>
        <v>0</v>
      </c>
      <c r="AB859" s="233"/>
      <c r="AC859" s="98">
        <f>IF(SUMIFS('Shipments data'!L:L,'Shipments data'!F:F,'Supply planning data'!C859,'Shipments data'!A:A,'Supply planning data'!A859,'Shipments data'!O:O,"received",'Shipments data'!Q:Q,"&lt;"&amp;'Supply planning data'!D874,'Shipments data'!AC:AC,"&lt;"&amp;'Supply planning data'!D874)-SUMIFS(M:M,D:D,"&lt;="&amp;D859,C:C,C859)-SUMIFS(AA:AA,D:D,"&lt;="&amp;D859,C:C,C859)+SUMIFS(N:N,D:D,"&lt;="&amp;D859,C:C,C859)+SUMIFS(P:P,D:D,"&lt;="&amp;D859,C:C,C859)&lt;0,0,SUMIFS('Shipments data'!L:L,'Shipments data'!F:F,'Supply planning data'!C859,'Shipments data'!A:A,'Supply planning data'!A859,'Shipments data'!O:O,"received",'Shipments data'!Q:Q,"&lt;"&amp;'Supply planning data'!D874,'Shipments data'!AC:AC,"&lt;"&amp;'Supply planning data'!D874)-SUMIFS(M:M,D:D,"&lt;="&amp;D859,C:C,C859)-SUMIFS(AA:AA,D:D,"&lt;="&amp;D859,C:C,C859)+SUMIFS(N:N,D:D,"&lt;="&amp;D859,C:C,C859)+SUMIFS(P:P,D:D,"&lt;="&amp;D859,C:C,C859))</f>
        <v>0</v>
      </c>
      <c r="AD859" s="98">
        <f t="shared" si="262"/>
        <v>0</v>
      </c>
      <c r="AE859" s="98">
        <f t="shared" si="256"/>
        <v>0</v>
      </c>
      <c r="AF859" s="205" t="str">
        <f t="shared" si="247"/>
        <v/>
      </c>
      <c r="AG859" s="98">
        <f t="shared" si="263"/>
        <v>0</v>
      </c>
      <c r="AH859" s="97"/>
      <c r="AI859" s="311"/>
      <c r="AJ859" s="98">
        <f t="shared" si="255"/>
        <v>0</v>
      </c>
      <c r="AK859" s="233"/>
      <c r="AL859" s="98">
        <f>IF(SUMIFS('Shipments data'!L:L,'Shipments data'!F:F,'Supply planning data'!C859,'Shipments data'!A:A,'Supply planning data'!A859,'Shipments data'!O:O,"received",'Shipments data'!Q:Q,"&lt;"&amp;'Supply planning data'!D874,'Shipments data'!AC:AC,"&lt;"&amp;'Supply planning data'!D874)-SUMIFS(M:M,D:D,"&lt;="&amp;D859,C:C,C859)-SUMIFS(AJ:AJ,D:D,"&lt;="&amp;D859,C:C,C859)+SUMIFS(N:N,D:D,"&lt;="&amp;D859,C:C,C859)+SUMIFS(P:P,D:D,"&lt;="&amp;D859,C:C,C859)&lt;0,0,SUMIFS('Shipments data'!L:L,'Shipments data'!F:F,'Supply planning data'!C859,'Shipments data'!A:A,'Supply planning data'!A859,'Shipments data'!O:O,"received",'Shipments data'!Q:Q,"&lt;"&amp;'Supply planning data'!D874,'Shipments data'!AC:AC,"&lt;"&amp;'Supply planning data'!D874)-SUMIFS(M:M,D:D,"&lt;="&amp;D859,C:C,C859)-SUMIFS(AJ:AJ,D:D,"&lt;="&amp;D859,C:C,C859)+SUMIFS(N:N,D:D,"&lt;="&amp;D859,C:C,C859)+SUMIFS(P:P,D:D,"&lt;="&amp;D859,C:C,C859))</f>
        <v>0</v>
      </c>
      <c r="AM859" s="98">
        <f t="shared" si="264"/>
        <v>0</v>
      </c>
      <c r="AN859" s="98">
        <f t="shared" si="257"/>
        <v>0</v>
      </c>
      <c r="AO859" s="203" t="str">
        <f t="shared" si="249"/>
        <v/>
      </c>
    </row>
    <row r="860" spans="1:41" x14ac:dyDescent="0.25">
      <c r="A860" s="103" t="str">
        <f>Start!D$7</f>
        <v>Anyland</v>
      </c>
      <c r="B860" s="104" t="str">
        <f>VLOOKUP(A860,list!B:C,2,FALSE)</f>
        <v>ANY</v>
      </c>
      <c r="C860" s="104" t="str">
        <f>IF(Start!$C$17="","",Start!$C$17)</f>
        <v>AstraZeneca</v>
      </c>
      <c r="D860" s="298">
        <f t="shared" si="258"/>
        <v>45931</v>
      </c>
      <c r="E860" s="105" t="str">
        <f>IFERROR(VLOOKUP(C860,Start!C$15:D$31,2,FALSE),"No")</f>
        <v>Yes</v>
      </c>
      <c r="F860" s="105">
        <f t="shared" si="259"/>
        <v>0</v>
      </c>
      <c r="G860" s="106"/>
      <c r="H860" s="106"/>
      <c r="I860" s="106"/>
      <c r="J860" s="105">
        <f t="shared" si="251"/>
        <v>0</v>
      </c>
      <c r="K860" s="106"/>
      <c r="L860" s="177" t="str">
        <f t="shared" si="252"/>
        <v/>
      </c>
      <c r="M860" s="105">
        <f t="shared" si="253"/>
        <v>0</v>
      </c>
      <c r="N860" s="106"/>
      <c r="O860" s="123"/>
      <c r="P860" s="106"/>
      <c r="Q860" s="123"/>
      <c r="R860" s="105">
        <f>SUMIFS('Shipments data'!L:L,'Shipments data'!F:F,'Supply planning data'!C860,'Shipments data'!A:A,'Supply planning data'!A860,'Shipments data'!Y:Y,'Supply planning data'!D860,'Shipments data'!O:O,"received", 'Shipments data'!N:N, "Public")</f>
        <v>0</v>
      </c>
      <c r="S860" s="105">
        <f>SUMIFS('Shipments data'!L:L,'Shipments data'!F:F,'Supply planning data'!C860,'Shipments data'!A:A,'Supply planning data'!A860,'Shipments data'!Y:Y,'Supply planning data'!D860,'Shipments data'!O:O,"ordered", 'Shipments data'!N:N, "Public")</f>
        <v>0</v>
      </c>
      <c r="T860" s="105">
        <f>IF(SUMIFS('Shipments data'!L:L,'Shipments data'!F:F,'Supply planning data'!C860,'Shipments data'!A:A,'Supply planning data'!A860,'Shipments data'!O:O,"received",'Shipments data'!Q:Q,"&lt;"&amp;'Supply planning data'!D875,'Shipments data'!AC:AC,"&lt;"&amp;'Supply planning data'!D875)-SUMIFS(M:M,D:D,"&lt;="&amp;D860,C:C,C860)+SUMIFS(N:N,D:D,"&lt;="&amp;D860,C:C,C860)+SUMIFS(P:P,D:D,"&lt;="&amp;D860,C:C,C860)&lt;0,0,SUMIFS('Shipments data'!L:L,'Shipments data'!F:F,'Supply planning data'!C860,'Shipments data'!A:A,'Supply planning data'!A860,'Shipments data'!O:O,"received",'Shipments data'!Q:Q,"&lt;"&amp;'Supply planning data'!D875,'Shipments data'!AC:AC,"&lt;"&amp;'Supply planning data'!D875)-SUMIFS(M:M,D:D,"&lt;="&amp;D860,C:C,C860)+SUMIFS(N:N,D:D,"&lt;="&amp;D860,C:C,C860)+SUMIFS(P:P,D:D,"&lt;="&amp;D860,C:C,C860))</f>
        <v>0</v>
      </c>
      <c r="U860" s="108">
        <f t="shared" si="260"/>
        <v>0</v>
      </c>
      <c r="V860" s="105">
        <f t="shared" si="250"/>
        <v>0</v>
      </c>
      <c r="W860" s="206" t="str">
        <f t="shared" si="248"/>
        <v/>
      </c>
      <c r="X860" s="105">
        <f t="shared" si="261"/>
        <v>154701</v>
      </c>
      <c r="Y860" s="106"/>
      <c r="Z860" s="107"/>
      <c r="AA860" s="105">
        <f t="shared" si="254"/>
        <v>0</v>
      </c>
      <c r="AB860" s="234"/>
      <c r="AC860" s="105">
        <f>IF(SUMIFS('Shipments data'!L:L,'Shipments data'!F:F,'Supply planning data'!C860,'Shipments data'!A:A,'Supply planning data'!A860,'Shipments data'!O:O,"received",'Shipments data'!Q:Q,"&lt;"&amp;'Supply planning data'!D875,'Shipments data'!AC:AC,"&lt;"&amp;'Supply planning data'!D875)-SUMIFS(M:M,D:D,"&lt;="&amp;D860,C:C,C860)-SUMIFS(AA:AA,D:D,"&lt;="&amp;D860,C:C,C860)+SUMIFS(N:N,D:D,"&lt;="&amp;D860,C:C,C860)+SUMIFS(P:P,D:D,"&lt;="&amp;D860,C:C,C860)&lt;0,0,SUMIFS('Shipments data'!L:L,'Shipments data'!F:F,'Supply planning data'!C860,'Shipments data'!A:A,'Supply planning data'!A860,'Shipments data'!O:O,"received",'Shipments data'!Q:Q,"&lt;"&amp;'Supply planning data'!D875,'Shipments data'!AC:AC,"&lt;"&amp;'Supply planning data'!D875)-SUMIFS(M:M,D:D,"&lt;="&amp;D860,C:C,C860)-SUMIFS(AA:AA,D:D,"&lt;="&amp;D860,C:C,C860)+SUMIFS(N:N,D:D,"&lt;="&amp;D860,C:C,C860)+SUMIFS(P:P,D:D,"&lt;="&amp;D860,C:C,C860))</f>
        <v>0</v>
      </c>
      <c r="AD860" s="105">
        <f t="shared" si="262"/>
        <v>0</v>
      </c>
      <c r="AE860" s="105">
        <f t="shared" si="256"/>
        <v>154701</v>
      </c>
      <c r="AF860" s="206" t="str">
        <f t="shared" si="247"/>
        <v/>
      </c>
      <c r="AG860" s="105">
        <f t="shared" si="263"/>
        <v>0</v>
      </c>
      <c r="AH860" s="106"/>
      <c r="AI860" s="312"/>
      <c r="AJ860" s="105">
        <f t="shared" si="255"/>
        <v>0</v>
      </c>
      <c r="AK860" s="234"/>
      <c r="AL860" s="105">
        <f>IF(SUMIFS('Shipments data'!L:L,'Shipments data'!F:F,'Supply planning data'!C860,'Shipments data'!A:A,'Supply planning data'!A860,'Shipments data'!O:O,"received",'Shipments data'!Q:Q,"&lt;"&amp;'Supply planning data'!D875,'Shipments data'!AC:AC,"&lt;"&amp;'Supply planning data'!D875)-SUMIFS(M:M,D:D,"&lt;="&amp;D860,C:C,C860)-SUMIFS(AJ:AJ,D:D,"&lt;="&amp;D860,C:C,C860)+SUMIFS(N:N,D:D,"&lt;="&amp;D860,C:C,C860)+SUMIFS(P:P,D:D,"&lt;="&amp;D860,C:C,C860)&lt;0,0,SUMIFS('Shipments data'!L:L,'Shipments data'!F:F,'Supply planning data'!C860,'Shipments data'!A:A,'Supply planning data'!A860,'Shipments data'!O:O,"received",'Shipments data'!Q:Q,"&lt;"&amp;'Supply planning data'!D875,'Shipments data'!AC:AC,"&lt;"&amp;'Supply planning data'!D875)-SUMIFS(M:M,D:D,"&lt;="&amp;D860,C:C,C860)-SUMIFS(AJ:AJ,D:D,"&lt;="&amp;D860,C:C,C860)+SUMIFS(N:N,D:D,"&lt;="&amp;D860,C:C,C860)+SUMIFS(P:P,D:D,"&lt;="&amp;D860,C:C,C860))</f>
        <v>0</v>
      </c>
      <c r="AM860" s="105">
        <f t="shared" si="264"/>
        <v>0</v>
      </c>
      <c r="AN860" s="105">
        <f t="shared" si="257"/>
        <v>0</v>
      </c>
      <c r="AO860" s="206" t="str">
        <f t="shared" si="249"/>
        <v/>
      </c>
    </row>
    <row r="861" spans="1:41" x14ac:dyDescent="0.25">
      <c r="A861" s="103" t="str">
        <f>Start!D$7</f>
        <v>Anyland</v>
      </c>
      <c r="B861" s="109" t="str">
        <f>VLOOKUP(A861,list!B:C,2,FALSE)</f>
        <v>ANY</v>
      </c>
      <c r="C861" s="109" t="str">
        <f>IF(Start!$C$18="","",Start!$C$18)</f>
        <v>Jansen</v>
      </c>
      <c r="D861" s="298">
        <f t="shared" si="258"/>
        <v>45931</v>
      </c>
      <c r="E861" s="105" t="str">
        <f>IFERROR(VLOOKUP(C861,Start!C$15:D$31,2,FALSE),"No")</f>
        <v>Yes</v>
      </c>
      <c r="F861" s="105">
        <f t="shared" si="259"/>
        <v>1871200</v>
      </c>
      <c r="G861" s="106"/>
      <c r="H861" s="106"/>
      <c r="I861" s="106"/>
      <c r="J861" s="105">
        <f t="shared" si="251"/>
        <v>0</v>
      </c>
      <c r="K861" s="106"/>
      <c r="L861" s="177" t="str">
        <f t="shared" si="252"/>
        <v/>
      </c>
      <c r="M861" s="105">
        <f t="shared" si="253"/>
        <v>0</v>
      </c>
      <c r="N861" s="110"/>
      <c r="O861" s="124"/>
      <c r="P861" s="110"/>
      <c r="Q861" s="124"/>
      <c r="R861" s="111">
        <f>SUMIFS('Shipments data'!L:L,'Shipments data'!F:F,'Supply planning data'!C861,'Shipments data'!A:A,'Supply planning data'!A861,'Shipments data'!Y:Y,'Supply planning data'!D861,'Shipments data'!O:O,"received", 'Shipments data'!N:N, "Public")</f>
        <v>0</v>
      </c>
      <c r="S861" s="111">
        <f>SUMIFS('Shipments data'!L:L,'Shipments data'!F:F,'Supply planning data'!C861,'Shipments data'!A:A,'Supply planning data'!A861,'Shipments data'!Y:Y,'Supply planning data'!D861,'Shipments data'!O:O,"ordered", 'Shipments data'!N:N, "Public")</f>
        <v>0</v>
      </c>
      <c r="T861" s="111">
        <f>IF(SUMIFS('Shipments data'!L:L,'Shipments data'!F:F,'Supply planning data'!C861,'Shipments data'!A:A,'Supply planning data'!A861,'Shipments data'!O:O,"received",'Shipments data'!Q:Q,"&lt;"&amp;'Supply planning data'!D876,'Shipments data'!AC:AC,"&lt;"&amp;'Supply planning data'!D876)-SUMIFS(M:M,D:D,"&lt;="&amp;D861,C:C,C861)+SUMIFS(N:N,D:D,"&lt;="&amp;D861,C:C,C861)+SUMIFS(P:P,D:D,"&lt;="&amp;D861,C:C,C861)&lt;0,0,SUMIFS('Shipments data'!L:L,'Shipments data'!F:F,'Supply planning data'!C861,'Shipments data'!A:A,'Supply planning data'!A861,'Shipments data'!O:O,"received",'Shipments data'!Q:Q,"&lt;"&amp;'Supply planning data'!D876,'Shipments data'!AC:AC,"&lt;"&amp;'Supply planning data'!D876)-SUMIFS(M:M,D:D,"&lt;="&amp;D861,C:C,C861)+SUMIFS(N:N,D:D,"&lt;="&amp;D861,C:C,C861)+SUMIFS(P:P,D:D,"&lt;="&amp;D861,C:C,C861))</f>
        <v>387547</v>
      </c>
      <c r="U861" s="112">
        <f t="shared" si="260"/>
        <v>0</v>
      </c>
      <c r="V861" s="111">
        <f t="shared" si="250"/>
        <v>1871200</v>
      </c>
      <c r="W861" s="204" t="str">
        <f t="shared" si="248"/>
        <v/>
      </c>
      <c r="X861" s="111">
        <f t="shared" si="261"/>
        <v>1311200</v>
      </c>
      <c r="Y861" s="110"/>
      <c r="Z861" s="107"/>
      <c r="AA861" s="111">
        <f t="shared" si="254"/>
        <v>0</v>
      </c>
      <c r="AB861" s="235"/>
      <c r="AC861" s="111">
        <f>IF(SUMIFS('Shipments data'!L:L,'Shipments data'!F:F,'Supply planning data'!C861,'Shipments data'!A:A,'Supply planning data'!A861,'Shipments data'!O:O,"received",'Shipments data'!Q:Q,"&lt;"&amp;'Supply planning data'!D876,'Shipments data'!AC:AC,"&lt;"&amp;'Supply planning data'!D876)-SUMIFS(M:M,D:D,"&lt;="&amp;D861,C:C,C861)-SUMIFS(AA:AA,D:D,"&lt;="&amp;D861,C:C,C861)+SUMIFS(N:N,D:D,"&lt;="&amp;D861,C:C,C861)+SUMIFS(P:P,D:D,"&lt;="&amp;D861,C:C,C861)&lt;0,0,SUMIFS('Shipments data'!L:L,'Shipments data'!F:F,'Supply planning data'!C861,'Shipments data'!A:A,'Supply planning data'!A861,'Shipments data'!O:O,"received",'Shipments data'!Q:Q,"&lt;"&amp;'Supply planning data'!D876,'Shipments data'!AC:AC,"&lt;"&amp;'Supply planning data'!D876)-SUMIFS(M:M,D:D,"&lt;="&amp;D861,C:C,C861)-SUMIFS(AA:AA,D:D,"&lt;="&amp;D861,C:C,C861)+SUMIFS(N:N,D:D,"&lt;="&amp;D861,C:C,C861)+SUMIFS(P:P,D:D,"&lt;="&amp;D861,C:C,C861))</f>
        <v>0</v>
      </c>
      <c r="AD861" s="111">
        <f t="shared" si="262"/>
        <v>0</v>
      </c>
      <c r="AE861" s="111">
        <f t="shared" si="256"/>
        <v>1311200</v>
      </c>
      <c r="AF861" s="204" t="str">
        <f t="shared" si="247"/>
        <v/>
      </c>
      <c r="AG861" s="111">
        <f t="shared" si="263"/>
        <v>1871200</v>
      </c>
      <c r="AH861" s="110"/>
      <c r="AI861" s="313"/>
      <c r="AJ861" s="111">
        <f t="shared" si="255"/>
        <v>0</v>
      </c>
      <c r="AK861" s="235"/>
      <c r="AL861" s="111">
        <f>IF(SUMIFS('Shipments data'!L:L,'Shipments data'!F:F,'Supply planning data'!C861,'Shipments data'!A:A,'Supply planning data'!A861,'Shipments data'!O:O,"received",'Shipments data'!Q:Q,"&lt;"&amp;'Supply planning data'!D876,'Shipments data'!AC:AC,"&lt;"&amp;'Supply planning data'!D876)-SUMIFS(M:M,D:D,"&lt;="&amp;D861,C:C,C861)-SUMIFS(AJ:AJ,D:D,"&lt;="&amp;D861,C:C,C861)+SUMIFS(N:N,D:D,"&lt;="&amp;D861,C:C,C861)+SUMIFS(P:P,D:D,"&lt;="&amp;D861,C:C,C861)&lt;0,0,SUMIFS('Shipments data'!L:L,'Shipments data'!F:F,'Supply planning data'!C861,'Shipments data'!A:A,'Supply planning data'!A861,'Shipments data'!O:O,"received",'Shipments data'!Q:Q,"&lt;"&amp;'Supply planning data'!D876,'Shipments data'!AC:AC,"&lt;"&amp;'Supply planning data'!D876)-SUMIFS(M:M,D:D,"&lt;="&amp;D861,C:C,C861)-SUMIFS(AJ:AJ,D:D,"&lt;="&amp;D861,C:C,C861)+SUMIFS(N:N,D:D,"&lt;="&amp;D861,C:C,C861)+SUMIFS(P:P,D:D,"&lt;="&amp;D861,C:C,C861))</f>
        <v>387547</v>
      </c>
      <c r="AM861" s="111">
        <f t="shared" si="264"/>
        <v>0</v>
      </c>
      <c r="AN861" s="111">
        <f t="shared" si="257"/>
        <v>1871200</v>
      </c>
      <c r="AO861" s="204" t="str">
        <f t="shared" si="249"/>
        <v/>
      </c>
    </row>
    <row r="862" spans="1:41" x14ac:dyDescent="0.25">
      <c r="A862" s="103" t="str">
        <f>Start!D$7</f>
        <v>Anyland</v>
      </c>
      <c r="B862" s="109" t="str">
        <f>VLOOKUP(A862,list!B:C,2,FALSE)</f>
        <v>ANY</v>
      </c>
      <c r="C862" s="104" t="str">
        <f>IF(Start!$C$19="","",Start!$C$19)</f>
        <v>Moderna</v>
      </c>
      <c r="D862" s="298">
        <f t="shared" si="258"/>
        <v>45931</v>
      </c>
      <c r="E862" s="105" t="str">
        <f>IFERROR(VLOOKUP(C862,Start!C$15:D$31,2,FALSE),"No")</f>
        <v>No</v>
      </c>
      <c r="F862" s="105">
        <f t="shared" si="259"/>
        <v>0</v>
      </c>
      <c r="G862" s="106"/>
      <c r="H862" s="106"/>
      <c r="I862" s="106"/>
      <c r="J862" s="105">
        <f t="shared" si="251"/>
        <v>0</v>
      </c>
      <c r="K862" s="106"/>
      <c r="L862" s="177" t="str">
        <f t="shared" si="252"/>
        <v/>
      </c>
      <c r="M862" s="105">
        <f t="shared" si="253"/>
        <v>0</v>
      </c>
      <c r="N862" s="110"/>
      <c r="O862" s="124"/>
      <c r="P862" s="110"/>
      <c r="Q862" s="124"/>
      <c r="R862" s="111">
        <f>SUMIFS('Shipments data'!L:L,'Shipments data'!F:F,'Supply planning data'!C862,'Shipments data'!A:A,'Supply planning data'!A862,'Shipments data'!Y:Y,'Supply planning data'!D862,'Shipments data'!O:O,"received", 'Shipments data'!N:N, "Public")</f>
        <v>0</v>
      </c>
      <c r="S862" s="111">
        <f>SUMIFS('Shipments data'!L:L,'Shipments data'!F:F,'Supply planning data'!C862,'Shipments data'!A:A,'Supply planning data'!A862,'Shipments data'!Y:Y,'Supply planning data'!D862,'Shipments data'!O:O,"ordered", 'Shipments data'!N:N, "Public")</f>
        <v>0</v>
      </c>
      <c r="T862" s="111">
        <f>IF(SUMIFS('Shipments data'!L:L,'Shipments data'!F:F,'Supply planning data'!C862,'Shipments data'!A:A,'Supply planning data'!A862,'Shipments data'!O:O,"received",'Shipments data'!Q:Q,"&lt;"&amp;'Supply planning data'!D877,'Shipments data'!AC:AC,"&lt;"&amp;'Supply planning data'!D877)-SUMIFS(M:M,D:D,"&lt;="&amp;D862,C:C,C862)+SUMIFS(N:N,D:D,"&lt;="&amp;D862,C:C,C862)+SUMIFS(P:P,D:D,"&lt;="&amp;D862,C:C,C862)&lt;0,0,SUMIFS('Shipments data'!L:L,'Shipments data'!F:F,'Supply planning data'!C862,'Shipments data'!A:A,'Supply planning data'!A862,'Shipments data'!O:O,"received",'Shipments data'!Q:Q,"&lt;"&amp;'Supply planning data'!D877,'Shipments data'!AC:AC,"&lt;"&amp;'Supply planning data'!D877)-SUMIFS(M:M,D:D,"&lt;="&amp;D862,C:C,C862)+SUMIFS(N:N,D:D,"&lt;="&amp;D862,C:C,C862)+SUMIFS(P:P,D:D,"&lt;="&amp;D862,C:C,C862))</f>
        <v>0</v>
      </c>
      <c r="U862" s="112">
        <f t="shared" si="260"/>
        <v>0</v>
      </c>
      <c r="V862" s="111">
        <f t="shared" si="250"/>
        <v>0</v>
      </c>
      <c r="W862" s="204" t="str">
        <f t="shared" si="248"/>
        <v/>
      </c>
      <c r="X862" s="111">
        <f t="shared" si="261"/>
        <v>0</v>
      </c>
      <c r="Y862" s="110"/>
      <c r="Z862" s="107"/>
      <c r="AA862" s="111">
        <f t="shared" si="254"/>
        <v>0</v>
      </c>
      <c r="AB862" s="235"/>
      <c r="AC862" s="111">
        <f>IF(SUMIFS('Shipments data'!L:L,'Shipments data'!F:F,'Supply planning data'!C862,'Shipments data'!A:A,'Supply planning data'!A862,'Shipments data'!O:O,"received",'Shipments data'!Q:Q,"&lt;"&amp;'Supply planning data'!D877,'Shipments data'!AC:AC,"&lt;"&amp;'Supply planning data'!D877)-SUMIFS(M:M,D:D,"&lt;="&amp;D862,C:C,C862)-SUMIFS(AA:AA,D:D,"&lt;="&amp;D862,C:C,C862)+SUMIFS(N:N,D:D,"&lt;="&amp;D862,C:C,C862)+SUMIFS(P:P,D:D,"&lt;="&amp;D862,C:C,C862)&lt;0,0,SUMIFS('Shipments data'!L:L,'Shipments data'!F:F,'Supply planning data'!C862,'Shipments data'!A:A,'Supply planning data'!A862,'Shipments data'!O:O,"received",'Shipments data'!Q:Q,"&lt;"&amp;'Supply planning data'!D877,'Shipments data'!AC:AC,"&lt;"&amp;'Supply planning data'!D877)-SUMIFS(M:M,D:D,"&lt;="&amp;D862,C:C,C862)-SUMIFS(AA:AA,D:D,"&lt;="&amp;D862,C:C,C862)+SUMIFS(N:N,D:D,"&lt;="&amp;D862,C:C,C862)+SUMIFS(P:P,D:D,"&lt;="&amp;D862,C:C,C862))</f>
        <v>0</v>
      </c>
      <c r="AD862" s="111">
        <f t="shared" si="262"/>
        <v>0</v>
      </c>
      <c r="AE862" s="111">
        <f t="shared" si="256"/>
        <v>0</v>
      </c>
      <c r="AF862" s="204" t="str">
        <f t="shared" si="247"/>
        <v/>
      </c>
      <c r="AG862" s="111">
        <f t="shared" si="263"/>
        <v>0</v>
      </c>
      <c r="AH862" s="110"/>
      <c r="AI862" s="313"/>
      <c r="AJ862" s="111">
        <f t="shared" si="255"/>
        <v>0</v>
      </c>
      <c r="AK862" s="235"/>
      <c r="AL862" s="111">
        <f>IF(SUMIFS('Shipments data'!L:L,'Shipments data'!F:F,'Supply planning data'!C862,'Shipments data'!A:A,'Supply planning data'!A862,'Shipments data'!O:O,"received",'Shipments data'!Q:Q,"&lt;"&amp;'Supply planning data'!D877,'Shipments data'!AC:AC,"&lt;"&amp;'Supply planning data'!D877)-SUMIFS(M:M,D:D,"&lt;="&amp;D862,C:C,C862)-SUMIFS(AJ:AJ,D:D,"&lt;="&amp;D862,C:C,C862)+SUMIFS(N:N,D:D,"&lt;="&amp;D862,C:C,C862)+SUMIFS(P:P,D:D,"&lt;="&amp;D862,C:C,C862)&lt;0,0,SUMIFS('Shipments data'!L:L,'Shipments data'!F:F,'Supply planning data'!C862,'Shipments data'!A:A,'Supply planning data'!A862,'Shipments data'!O:O,"received",'Shipments data'!Q:Q,"&lt;"&amp;'Supply planning data'!D877,'Shipments data'!AC:AC,"&lt;"&amp;'Supply planning data'!D877)-SUMIFS(M:M,D:D,"&lt;="&amp;D862,C:C,C862)-SUMIFS(AJ:AJ,D:D,"&lt;="&amp;D862,C:C,C862)+SUMIFS(N:N,D:D,"&lt;="&amp;D862,C:C,C862)+SUMIFS(P:P,D:D,"&lt;="&amp;D862,C:C,C862))</f>
        <v>0</v>
      </c>
      <c r="AM862" s="111">
        <f t="shared" si="264"/>
        <v>0</v>
      </c>
      <c r="AN862" s="111">
        <f t="shared" si="257"/>
        <v>0</v>
      </c>
      <c r="AO862" s="204" t="str">
        <f t="shared" si="249"/>
        <v/>
      </c>
    </row>
    <row r="863" spans="1:41" x14ac:dyDescent="0.25">
      <c r="A863" s="103" t="str">
        <f>Start!D$7</f>
        <v>Anyland</v>
      </c>
      <c r="B863" s="109" t="str">
        <f>VLOOKUP(A863,list!B:C,2,FALSE)</f>
        <v>ANY</v>
      </c>
      <c r="C863" s="109" t="str">
        <f>IF(Start!$C$20="","",Start!$C$20)</f>
        <v>Pfizer</v>
      </c>
      <c r="D863" s="298">
        <f t="shared" si="258"/>
        <v>45931</v>
      </c>
      <c r="E863" s="105" t="str">
        <f>IFERROR(VLOOKUP(C863,Start!C$15:D$31,2,FALSE),"No")</f>
        <v>Yes</v>
      </c>
      <c r="F863" s="105">
        <f t="shared" si="259"/>
        <v>3000000</v>
      </c>
      <c r="G863" s="106"/>
      <c r="H863" s="106"/>
      <c r="I863" s="106"/>
      <c r="J863" s="105">
        <f t="shared" si="251"/>
        <v>0</v>
      </c>
      <c r="K863" s="106"/>
      <c r="L863" s="177" t="str">
        <f t="shared" si="252"/>
        <v/>
      </c>
      <c r="M863" s="105">
        <f t="shared" si="253"/>
        <v>0</v>
      </c>
      <c r="N863" s="110"/>
      <c r="O863" s="124"/>
      <c r="P863" s="110"/>
      <c r="Q863" s="124"/>
      <c r="R863" s="111">
        <f>SUMIFS('Shipments data'!L:L,'Shipments data'!F:F,'Supply planning data'!C863,'Shipments data'!A:A,'Supply planning data'!A863,'Shipments data'!Y:Y,'Supply planning data'!D863,'Shipments data'!O:O,"received", 'Shipments data'!N:N, "Public")</f>
        <v>0</v>
      </c>
      <c r="S863" s="111">
        <f>SUMIFS('Shipments data'!L:L,'Shipments data'!F:F,'Supply planning data'!C863,'Shipments data'!A:A,'Supply planning data'!A863,'Shipments data'!Y:Y,'Supply planning data'!D863,'Shipments data'!O:O,"ordered", 'Shipments data'!N:N, "Public")</f>
        <v>0</v>
      </c>
      <c r="T863" s="111">
        <f>IF(SUMIFS('Shipments data'!L:L,'Shipments data'!F:F,'Supply planning data'!C863,'Shipments data'!A:A,'Supply planning data'!A863,'Shipments data'!O:O,"received",'Shipments data'!Q:Q,"&lt;"&amp;'Supply planning data'!D878,'Shipments data'!AC:AC,"&lt;"&amp;'Supply planning data'!D878)-SUMIFS(M:M,D:D,"&lt;="&amp;D863,C:C,C863)+SUMIFS(N:N,D:D,"&lt;="&amp;D863,C:C,C863)+SUMIFS(P:P,D:D,"&lt;="&amp;D863,C:C,C863)&lt;0,0,SUMIFS('Shipments data'!L:L,'Shipments data'!F:F,'Supply planning data'!C863,'Shipments data'!A:A,'Supply planning data'!A863,'Shipments data'!O:O,"received",'Shipments data'!Q:Q,"&lt;"&amp;'Supply planning data'!D878,'Shipments data'!AC:AC,"&lt;"&amp;'Supply planning data'!D878)-SUMIFS(M:M,D:D,"&lt;="&amp;D863,C:C,C863)+SUMIFS(N:N,D:D,"&lt;="&amp;D863,C:C,C863)+SUMIFS(P:P,D:D,"&lt;="&amp;D863,C:C,C863))</f>
        <v>110538</v>
      </c>
      <c r="U863" s="112">
        <f t="shared" si="260"/>
        <v>0</v>
      </c>
      <c r="V863" s="111">
        <f t="shared" si="250"/>
        <v>3000000</v>
      </c>
      <c r="W863" s="204" t="str">
        <f t="shared" si="248"/>
        <v/>
      </c>
      <c r="X863" s="111">
        <f t="shared" si="261"/>
        <v>2440000</v>
      </c>
      <c r="Y863" s="110"/>
      <c r="Z863" s="107"/>
      <c r="AA863" s="111">
        <f t="shared" si="254"/>
        <v>0</v>
      </c>
      <c r="AB863" s="235"/>
      <c r="AC863" s="111">
        <f>IF(SUMIFS('Shipments data'!L:L,'Shipments data'!F:F,'Supply planning data'!C863,'Shipments data'!A:A,'Supply planning data'!A863,'Shipments data'!O:O,"received",'Shipments data'!Q:Q,"&lt;"&amp;'Supply planning data'!D878,'Shipments data'!AC:AC,"&lt;"&amp;'Supply planning data'!D878)-SUMIFS(M:M,D:D,"&lt;="&amp;D863,C:C,C863)-SUMIFS(AA:AA,D:D,"&lt;="&amp;D863,C:C,C863)+SUMIFS(N:N,D:D,"&lt;="&amp;D863,C:C,C863)+SUMIFS(P:P,D:D,"&lt;="&amp;D863,C:C,C863)&lt;0,0,SUMIFS('Shipments data'!L:L,'Shipments data'!F:F,'Supply planning data'!C863,'Shipments data'!A:A,'Supply planning data'!A863,'Shipments data'!O:O,"received",'Shipments data'!Q:Q,"&lt;"&amp;'Supply planning data'!D878,'Shipments data'!AC:AC,"&lt;"&amp;'Supply planning data'!D878)-SUMIFS(M:M,D:D,"&lt;="&amp;D863,C:C,C863)-SUMIFS(AA:AA,D:D,"&lt;="&amp;D863,C:C,C863)+SUMIFS(N:N,D:D,"&lt;="&amp;D863,C:C,C863)+SUMIFS(P:P,D:D,"&lt;="&amp;D863,C:C,C863))</f>
        <v>0</v>
      </c>
      <c r="AD863" s="111">
        <f t="shared" si="262"/>
        <v>0</v>
      </c>
      <c r="AE863" s="111">
        <f t="shared" si="256"/>
        <v>2440000</v>
      </c>
      <c r="AF863" s="204" t="str">
        <f t="shared" ref="AF863:AF904" si="265">IF(M863+AA863&lt;=0,"",IFERROR(AE863/(SUM(M863,M893,M878,AA863,AA893,AA878)/3),""))</f>
        <v/>
      </c>
      <c r="AG863" s="111">
        <f t="shared" si="263"/>
        <v>3000000</v>
      </c>
      <c r="AH863" s="110"/>
      <c r="AI863" s="313"/>
      <c r="AJ863" s="111">
        <f t="shared" si="255"/>
        <v>0</v>
      </c>
      <c r="AK863" s="235"/>
      <c r="AL863" s="111">
        <f>IF(SUMIFS('Shipments data'!L:L,'Shipments data'!F:F,'Supply planning data'!C863,'Shipments data'!A:A,'Supply planning data'!A863,'Shipments data'!O:O,"received",'Shipments data'!Q:Q,"&lt;"&amp;'Supply planning data'!D878,'Shipments data'!AC:AC,"&lt;"&amp;'Supply planning data'!D878)-SUMIFS(M:M,D:D,"&lt;="&amp;D863,C:C,C863)-SUMIFS(AJ:AJ,D:D,"&lt;="&amp;D863,C:C,C863)+SUMIFS(N:N,D:D,"&lt;="&amp;D863,C:C,C863)+SUMIFS(P:P,D:D,"&lt;="&amp;D863,C:C,C863)&lt;0,0,SUMIFS('Shipments data'!L:L,'Shipments data'!F:F,'Supply planning data'!C863,'Shipments data'!A:A,'Supply planning data'!A863,'Shipments data'!O:O,"received",'Shipments data'!Q:Q,"&lt;"&amp;'Supply planning data'!D878,'Shipments data'!AC:AC,"&lt;"&amp;'Supply planning data'!D878)-SUMIFS(M:M,D:D,"&lt;="&amp;D863,C:C,C863)-SUMIFS(AJ:AJ,D:D,"&lt;="&amp;D863,C:C,C863)+SUMIFS(N:N,D:D,"&lt;="&amp;D863,C:C,C863)+SUMIFS(P:P,D:D,"&lt;="&amp;D863,C:C,C863))</f>
        <v>110538</v>
      </c>
      <c r="AM863" s="111">
        <f t="shared" si="264"/>
        <v>0</v>
      </c>
      <c r="AN863" s="111">
        <f t="shared" si="257"/>
        <v>3000000</v>
      </c>
      <c r="AO863" s="204" t="str">
        <f t="shared" si="249"/>
        <v/>
      </c>
    </row>
    <row r="864" spans="1:41" x14ac:dyDescent="0.25">
      <c r="A864" s="103" t="str">
        <f>Start!D$7</f>
        <v>Anyland</v>
      </c>
      <c r="B864" s="109" t="str">
        <f>VLOOKUP(A864,list!B:C,2,FALSE)</f>
        <v>ANY</v>
      </c>
      <c r="C864" s="104" t="str">
        <f>IF(Start!$C$21="","",Start!$C$21)</f>
        <v>Sinovac</v>
      </c>
      <c r="D864" s="298">
        <f t="shared" si="258"/>
        <v>45931</v>
      </c>
      <c r="E864" s="105" t="str">
        <f>IFERROR(VLOOKUP(C864,Start!C$15:D$31,2,FALSE),"No")</f>
        <v>No</v>
      </c>
      <c r="F864" s="105">
        <f t="shared" si="259"/>
        <v>0</v>
      </c>
      <c r="G864" s="106"/>
      <c r="H864" s="106"/>
      <c r="I864" s="106"/>
      <c r="J864" s="105">
        <f t="shared" si="251"/>
        <v>0</v>
      </c>
      <c r="K864" s="106"/>
      <c r="L864" s="177" t="str">
        <f t="shared" si="252"/>
        <v/>
      </c>
      <c r="M864" s="105">
        <f t="shared" si="253"/>
        <v>0</v>
      </c>
      <c r="N864" s="110"/>
      <c r="O864" s="124"/>
      <c r="P864" s="110"/>
      <c r="Q864" s="124"/>
      <c r="R864" s="111">
        <f>SUMIFS('Shipments data'!L:L,'Shipments data'!F:F,'Supply planning data'!C864,'Shipments data'!A:A,'Supply planning data'!A864,'Shipments data'!Y:Y,'Supply planning data'!D864,'Shipments data'!O:O,"received", 'Shipments data'!N:N, "Public")</f>
        <v>0</v>
      </c>
      <c r="S864" s="111">
        <f>SUMIFS('Shipments data'!L:L,'Shipments data'!F:F,'Supply planning data'!C864,'Shipments data'!A:A,'Supply planning data'!A864,'Shipments data'!Y:Y,'Supply planning data'!D864,'Shipments data'!O:O,"ordered", 'Shipments data'!N:N, "Public")</f>
        <v>0</v>
      </c>
      <c r="T864" s="111">
        <f>IF(SUMIFS('Shipments data'!L:L,'Shipments data'!F:F,'Supply planning data'!C864,'Shipments data'!A:A,'Supply planning data'!A864,'Shipments data'!O:O,"received",'Shipments data'!Q:Q,"&lt;"&amp;'Supply planning data'!D879,'Shipments data'!AC:AC,"&lt;"&amp;'Supply planning data'!D879)-SUMIFS(M:M,D:D,"&lt;="&amp;D864,C:C,C864)+SUMIFS(N:N,D:D,"&lt;="&amp;D864,C:C,C864)+SUMIFS(P:P,D:D,"&lt;="&amp;D864,C:C,C864)&lt;0,0,SUMIFS('Shipments data'!L:L,'Shipments data'!F:F,'Supply planning data'!C864,'Shipments data'!A:A,'Supply planning data'!A864,'Shipments data'!O:O,"received",'Shipments data'!Q:Q,"&lt;"&amp;'Supply planning data'!D879,'Shipments data'!AC:AC,"&lt;"&amp;'Supply planning data'!D879)-SUMIFS(M:M,D:D,"&lt;="&amp;D864,C:C,C864)+SUMIFS(N:N,D:D,"&lt;="&amp;D864,C:C,C864)+SUMIFS(P:P,D:D,"&lt;="&amp;D864,C:C,C864))</f>
        <v>0</v>
      </c>
      <c r="U864" s="112">
        <f t="shared" si="260"/>
        <v>0</v>
      </c>
      <c r="V864" s="111">
        <f t="shared" si="250"/>
        <v>0</v>
      </c>
      <c r="W864" s="204" t="str">
        <f t="shared" si="248"/>
        <v/>
      </c>
      <c r="X864" s="111">
        <f t="shared" si="261"/>
        <v>0</v>
      </c>
      <c r="Y864" s="110"/>
      <c r="Z864" s="107"/>
      <c r="AA864" s="111">
        <f t="shared" si="254"/>
        <v>0</v>
      </c>
      <c r="AB864" s="235"/>
      <c r="AC864" s="111">
        <f>IF(SUMIFS('Shipments data'!L:L,'Shipments data'!F:F,'Supply planning data'!C864,'Shipments data'!A:A,'Supply planning data'!A864,'Shipments data'!O:O,"received",'Shipments data'!Q:Q,"&lt;"&amp;'Supply planning data'!D879,'Shipments data'!AC:AC,"&lt;"&amp;'Supply planning data'!D879)-SUMIFS(M:M,D:D,"&lt;="&amp;D864,C:C,C864)-SUMIFS(AA:AA,D:D,"&lt;="&amp;D864,C:C,C864)+SUMIFS(N:N,D:D,"&lt;="&amp;D864,C:C,C864)+SUMIFS(P:P,D:D,"&lt;="&amp;D864,C:C,C864)&lt;0,0,SUMIFS('Shipments data'!L:L,'Shipments data'!F:F,'Supply planning data'!C864,'Shipments data'!A:A,'Supply planning data'!A864,'Shipments data'!O:O,"received",'Shipments data'!Q:Q,"&lt;"&amp;'Supply planning data'!D879,'Shipments data'!AC:AC,"&lt;"&amp;'Supply planning data'!D879)-SUMIFS(M:M,D:D,"&lt;="&amp;D864,C:C,C864)-SUMIFS(AA:AA,D:D,"&lt;="&amp;D864,C:C,C864)+SUMIFS(N:N,D:D,"&lt;="&amp;D864,C:C,C864)+SUMIFS(P:P,D:D,"&lt;="&amp;D864,C:C,C864))</f>
        <v>0</v>
      </c>
      <c r="AD864" s="111">
        <f t="shared" si="262"/>
        <v>0</v>
      </c>
      <c r="AE864" s="111">
        <f t="shared" si="256"/>
        <v>0</v>
      </c>
      <c r="AF864" s="204" t="str">
        <f t="shared" si="265"/>
        <v/>
      </c>
      <c r="AG864" s="111">
        <f t="shared" si="263"/>
        <v>0</v>
      </c>
      <c r="AH864" s="110"/>
      <c r="AI864" s="313"/>
      <c r="AJ864" s="111">
        <f t="shared" si="255"/>
        <v>0</v>
      </c>
      <c r="AK864" s="235"/>
      <c r="AL864" s="111">
        <f>IF(SUMIFS('Shipments data'!L:L,'Shipments data'!F:F,'Supply planning data'!C864,'Shipments data'!A:A,'Supply planning data'!A864,'Shipments data'!O:O,"received",'Shipments data'!Q:Q,"&lt;"&amp;'Supply planning data'!D879,'Shipments data'!AC:AC,"&lt;"&amp;'Supply planning data'!D879)-SUMIFS(M:M,D:D,"&lt;="&amp;D864,C:C,C864)-SUMIFS(AJ:AJ,D:D,"&lt;="&amp;D864,C:C,C864)+SUMIFS(N:N,D:D,"&lt;="&amp;D864,C:C,C864)+SUMIFS(P:P,D:D,"&lt;="&amp;D864,C:C,C864)&lt;0,0,SUMIFS('Shipments data'!L:L,'Shipments data'!F:F,'Supply planning data'!C864,'Shipments data'!A:A,'Supply planning data'!A864,'Shipments data'!O:O,"received",'Shipments data'!Q:Q,"&lt;"&amp;'Supply planning data'!D879,'Shipments data'!AC:AC,"&lt;"&amp;'Supply planning data'!D879)-SUMIFS(M:M,D:D,"&lt;="&amp;D864,C:C,C864)-SUMIFS(AJ:AJ,D:D,"&lt;="&amp;D864,C:C,C864)+SUMIFS(N:N,D:D,"&lt;="&amp;D864,C:C,C864)+SUMIFS(P:P,D:D,"&lt;="&amp;D864,C:C,C864))</f>
        <v>0</v>
      </c>
      <c r="AM864" s="111">
        <f t="shared" si="264"/>
        <v>0</v>
      </c>
      <c r="AN864" s="111">
        <f t="shared" si="257"/>
        <v>0</v>
      </c>
      <c r="AO864" s="204" t="str">
        <f t="shared" si="249"/>
        <v/>
      </c>
    </row>
    <row r="865" spans="1:41" hidden="1" x14ac:dyDescent="0.25">
      <c r="A865" s="103" t="str">
        <f>Start!D$7</f>
        <v>Anyland</v>
      </c>
      <c r="B865" s="109" t="str">
        <f>VLOOKUP(A865,list!B:C,2,FALSE)</f>
        <v>ANY</v>
      </c>
      <c r="C865" s="109" t="str">
        <f>IF(Start!$C$22="","",Start!$C$22)</f>
        <v/>
      </c>
      <c r="D865" s="298">
        <f t="shared" si="258"/>
        <v>45931</v>
      </c>
      <c r="E865" s="105" t="str">
        <f>IFERROR(VLOOKUP(C865,Start!C$15:D$31,2,FALSE),"No")</f>
        <v>No</v>
      </c>
      <c r="F865" s="105">
        <f t="shared" si="259"/>
        <v>0</v>
      </c>
      <c r="G865" s="106"/>
      <c r="H865" s="106"/>
      <c r="I865" s="106"/>
      <c r="J865" s="105">
        <f t="shared" si="251"/>
        <v>0</v>
      </c>
      <c r="K865" s="106"/>
      <c r="L865" s="177" t="str">
        <f t="shared" si="252"/>
        <v/>
      </c>
      <c r="M865" s="105">
        <f t="shared" si="253"/>
        <v>0</v>
      </c>
      <c r="N865" s="110"/>
      <c r="O865" s="124"/>
      <c r="P865" s="110"/>
      <c r="Q865" s="124"/>
      <c r="R865" s="111">
        <f>SUMIFS('Shipments data'!L:L,'Shipments data'!F:F,'Supply planning data'!C865,'Shipments data'!A:A,'Supply planning data'!A865,'Shipments data'!Y:Y,'Supply planning data'!D865,'Shipments data'!O:O,"received", 'Shipments data'!N:N, "Public")</f>
        <v>0</v>
      </c>
      <c r="S865" s="111">
        <f>SUMIFS('Shipments data'!L:L,'Shipments data'!F:F,'Supply planning data'!C865,'Shipments data'!A:A,'Supply planning data'!A865,'Shipments data'!Y:Y,'Supply planning data'!D865,'Shipments data'!O:O,"ordered", 'Shipments data'!N:N, "Public")</f>
        <v>0</v>
      </c>
      <c r="T865" s="111">
        <f>IF(SUMIFS('Shipments data'!L:L,'Shipments data'!F:F,'Supply planning data'!C865,'Shipments data'!A:A,'Supply planning data'!A865,'Shipments data'!O:O,"received",'Shipments data'!Q:Q,"&lt;"&amp;'Supply planning data'!D880,'Shipments data'!AC:AC,"&lt;"&amp;'Supply planning data'!D880)-SUMIFS(M:M,D:D,"&lt;="&amp;D865,C:C,C865)+SUMIFS(N:N,D:D,"&lt;="&amp;D865,C:C,C865)+SUMIFS(P:P,D:D,"&lt;="&amp;D865,C:C,C865)&lt;0,0,SUMIFS('Shipments data'!L:L,'Shipments data'!F:F,'Supply planning data'!C865,'Shipments data'!A:A,'Supply planning data'!A865,'Shipments data'!O:O,"received",'Shipments data'!Q:Q,"&lt;"&amp;'Supply planning data'!D880,'Shipments data'!AC:AC,"&lt;"&amp;'Supply planning data'!D880)-SUMIFS(M:M,D:D,"&lt;="&amp;D865,C:C,C865)+SUMIFS(N:N,D:D,"&lt;="&amp;D865,C:C,C865)+SUMIFS(P:P,D:D,"&lt;="&amp;D865,C:C,C865))</f>
        <v>0</v>
      </c>
      <c r="U865" s="112">
        <f t="shared" si="260"/>
        <v>0</v>
      </c>
      <c r="V865" s="111">
        <f t="shared" si="250"/>
        <v>0</v>
      </c>
      <c r="W865" s="204" t="str">
        <f t="shared" si="248"/>
        <v/>
      </c>
      <c r="X865" s="111">
        <f t="shared" si="261"/>
        <v>0</v>
      </c>
      <c r="Y865" s="110"/>
      <c r="Z865" s="107"/>
      <c r="AA865" s="111">
        <f t="shared" si="254"/>
        <v>0</v>
      </c>
      <c r="AB865" s="235"/>
      <c r="AC865" s="111">
        <f>IF(SUMIFS('Shipments data'!L:L,'Shipments data'!F:F,'Supply planning data'!C865,'Shipments data'!A:A,'Supply planning data'!A865,'Shipments data'!O:O,"received",'Shipments data'!Q:Q,"&lt;"&amp;'Supply planning data'!D880,'Shipments data'!AC:AC,"&lt;"&amp;'Supply planning data'!D880)-SUMIFS(M:M,D:D,"&lt;="&amp;D865,C:C,C865)-SUMIFS(AA:AA,D:D,"&lt;="&amp;D865,C:C,C865)+SUMIFS(N:N,D:D,"&lt;="&amp;D865,C:C,C865)+SUMIFS(P:P,D:D,"&lt;="&amp;D865,C:C,C865)&lt;0,0,SUMIFS('Shipments data'!L:L,'Shipments data'!F:F,'Supply planning data'!C865,'Shipments data'!A:A,'Supply planning data'!A865,'Shipments data'!O:O,"received",'Shipments data'!Q:Q,"&lt;"&amp;'Supply planning data'!D880,'Shipments data'!AC:AC,"&lt;"&amp;'Supply planning data'!D880)-SUMIFS(M:M,D:D,"&lt;="&amp;D865,C:C,C865)-SUMIFS(AA:AA,D:D,"&lt;="&amp;D865,C:C,C865)+SUMIFS(N:N,D:D,"&lt;="&amp;D865,C:C,C865)+SUMIFS(P:P,D:D,"&lt;="&amp;D865,C:C,C865))</f>
        <v>0</v>
      </c>
      <c r="AD865" s="111">
        <f t="shared" si="262"/>
        <v>0</v>
      </c>
      <c r="AE865" s="111">
        <f t="shared" si="256"/>
        <v>0</v>
      </c>
      <c r="AF865" s="204" t="str">
        <f t="shared" si="265"/>
        <v/>
      </c>
      <c r="AG865" s="111">
        <f t="shared" si="263"/>
        <v>0</v>
      </c>
      <c r="AH865" s="110"/>
      <c r="AI865" s="313"/>
      <c r="AJ865" s="111">
        <f t="shared" si="255"/>
        <v>0</v>
      </c>
      <c r="AK865" s="235"/>
      <c r="AL865" s="111">
        <f>IF(SUMIFS('Shipments data'!L:L,'Shipments data'!F:F,'Supply planning data'!C865,'Shipments data'!A:A,'Supply planning data'!A865,'Shipments data'!O:O,"received",'Shipments data'!Q:Q,"&lt;"&amp;'Supply planning data'!D880,'Shipments data'!AC:AC,"&lt;"&amp;'Supply planning data'!D880)-SUMIFS(M:M,D:D,"&lt;="&amp;D865,C:C,C865)-SUMIFS(AJ:AJ,D:D,"&lt;="&amp;D865,C:C,C865)+SUMIFS(N:N,D:D,"&lt;="&amp;D865,C:C,C865)+SUMIFS(P:P,D:D,"&lt;="&amp;D865,C:C,C865)&lt;0,0,SUMIFS('Shipments data'!L:L,'Shipments data'!F:F,'Supply planning data'!C865,'Shipments data'!A:A,'Supply planning data'!A865,'Shipments data'!O:O,"received",'Shipments data'!Q:Q,"&lt;"&amp;'Supply planning data'!D880,'Shipments data'!AC:AC,"&lt;"&amp;'Supply planning data'!D880)-SUMIFS(M:M,D:D,"&lt;="&amp;D865,C:C,C865)-SUMIFS(AJ:AJ,D:D,"&lt;="&amp;D865,C:C,C865)+SUMIFS(N:N,D:D,"&lt;="&amp;D865,C:C,C865)+SUMIFS(P:P,D:D,"&lt;="&amp;D865,C:C,C865))</f>
        <v>0</v>
      </c>
      <c r="AM865" s="111">
        <f t="shared" si="264"/>
        <v>0</v>
      </c>
      <c r="AN865" s="111">
        <f t="shared" si="257"/>
        <v>0</v>
      </c>
      <c r="AO865" s="204" t="str">
        <f t="shared" si="249"/>
        <v/>
      </c>
    </row>
    <row r="866" spans="1:41" hidden="1" x14ac:dyDescent="0.25">
      <c r="A866" s="103" t="str">
        <f>Start!D$7</f>
        <v>Anyland</v>
      </c>
      <c r="B866" s="109" t="str">
        <f>VLOOKUP(A866,list!B:C,2,FALSE)</f>
        <v>ANY</v>
      </c>
      <c r="C866" s="104" t="str">
        <f>IF(Start!$C$23="","",Start!$C$23)</f>
        <v/>
      </c>
      <c r="D866" s="298">
        <f t="shared" si="258"/>
        <v>45931</v>
      </c>
      <c r="E866" s="105" t="str">
        <f>IFERROR(VLOOKUP(C866,Start!C$15:D$31,2,FALSE),"No")</f>
        <v>No</v>
      </c>
      <c r="F866" s="105">
        <f t="shared" si="259"/>
        <v>0</v>
      </c>
      <c r="G866" s="106"/>
      <c r="H866" s="106"/>
      <c r="I866" s="106"/>
      <c r="J866" s="105">
        <f t="shared" si="251"/>
        <v>0</v>
      </c>
      <c r="K866" s="106"/>
      <c r="L866" s="177" t="str">
        <f t="shared" si="252"/>
        <v/>
      </c>
      <c r="M866" s="105">
        <f t="shared" si="253"/>
        <v>0</v>
      </c>
      <c r="N866" s="110"/>
      <c r="O866" s="124"/>
      <c r="P866" s="110"/>
      <c r="Q866" s="124"/>
      <c r="R866" s="111">
        <f>SUMIFS('Shipments data'!L:L,'Shipments data'!F:F,'Supply planning data'!C866,'Shipments data'!A:A,'Supply planning data'!A866,'Shipments data'!Y:Y,'Supply planning data'!D866,'Shipments data'!O:O,"received", 'Shipments data'!N:N, "Public")</f>
        <v>0</v>
      </c>
      <c r="S866" s="111">
        <f>SUMIFS('Shipments data'!L:L,'Shipments data'!F:F,'Supply planning data'!C866,'Shipments data'!A:A,'Supply planning data'!A866,'Shipments data'!Y:Y,'Supply planning data'!D866,'Shipments data'!O:O,"ordered", 'Shipments data'!N:N, "Public")</f>
        <v>0</v>
      </c>
      <c r="T866" s="111">
        <f>IF(SUMIFS('Shipments data'!L:L,'Shipments data'!F:F,'Supply planning data'!C866,'Shipments data'!A:A,'Supply planning data'!A866,'Shipments data'!O:O,"received",'Shipments data'!Q:Q,"&lt;"&amp;'Supply planning data'!D881,'Shipments data'!AC:AC,"&lt;"&amp;'Supply planning data'!D881)-SUMIFS(M:M,D:D,"&lt;="&amp;D866,C:C,C866)+SUMIFS(N:N,D:D,"&lt;="&amp;D866,C:C,C866)+SUMIFS(P:P,D:D,"&lt;="&amp;D866,C:C,C866)&lt;0,0,SUMIFS('Shipments data'!L:L,'Shipments data'!F:F,'Supply planning data'!C866,'Shipments data'!A:A,'Supply planning data'!A866,'Shipments data'!O:O,"received",'Shipments data'!Q:Q,"&lt;"&amp;'Supply planning data'!D881,'Shipments data'!AC:AC,"&lt;"&amp;'Supply planning data'!D881)-SUMIFS(M:M,D:D,"&lt;="&amp;D866,C:C,C866)+SUMIFS(N:N,D:D,"&lt;="&amp;D866,C:C,C866)+SUMIFS(P:P,D:D,"&lt;="&amp;D866,C:C,C866))</f>
        <v>0</v>
      </c>
      <c r="U866" s="112">
        <f t="shared" si="260"/>
        <v>0</v>
      </c>
      <c r="V866" s="111">
        <f t="shared" si="250"/>
        <v>0</v>
      </c>
      <c r="W866" s="204" t="str">
        <f t="shared" si="248"/>
        <v/>
      </c>
      <c r="X866" s="111">
        <f t="shared" si="261"/>
        <v>0</v>
      </c>
      <c r="Y866" s="110"/>
      <c r="Z866" s="107"/>
      <c r="AA866" s="111">
        <f t="shared" si="254"/>
        <v>0</v>
      </c>
      <c r="AB866" s="235"/>
      <c r="AC866" s="111">
        <f>IF(SUMIFS('Shipments data'!L:L,'Shipments data'!F:F,'Supply planning data'!C866,'Shipments data'!A:A,'Supply planning data'!A866,'Shipments data'!O:O,"received",'Shipments data'!Q:Q,"&lt;"&amp;'Supply planning data'!D881,'Shipments data'!AC:AC,"&lt;"&amp;'Supply planning data'!D881)-SUMIFS(M:M,D:D,"&lt;="&amp;D866,C:C,C866)-SUMIFS(AA:AA,D:D,"&lt;="&amp;D866,C:C,C866)+SUMIFS(N:N,D:D,"&lt;="&amp;D866,C:C,C866)+SUMIFS(P:P,D:D,"&lt;="&amp;D866,C:C,C866)&lt;0,0,SUMIFS('Shipments data'!L:L,'Shipments data'!F:F,'Supply planning data'!C866,'Shipments data'!A:A,'Supply planning data'!A866,'Shipments data'!O:O,"received",'Shipments data'!Q:Q,"&lt;"&amp;'Supply planning data'!D881,'Shipments data'!AC:AC,"&lt;"&amp;'Supply planning data'!D881)-SUMIFS(M:M,D:D,"&lt;="&amp;D866,C:C,C866)-SUMIFS(AA:AA,D:D,"&lt;="&amp;D866,C:C,C866)+SUMIFS(N:N,D:D,"&lt;="&amp;D866,C:C,C866)+SUMIFS(P:P,D:D,"&lt;="&amp;D866,C:C,C866))</f>
        <v>0</v>
      </c>
      <c r="AD866" s="111">
        <f t="shared" si="262"/>
        <v>0</v>
      </c>
      <c r="AE866" s="111">
        <f t="shared" si="256"/>
        <v>0</v>
      </c>
      <c r="AF866" s="204" t="str">
        <f t="shared" si="265"/>
        <v/>
      </c>
      <c r="AG866" s="111">
        <f t="shared" si="263"/>
        <v>0</v>
      </c>
      <c r="AH866" s="110"/>
      <c r="AI866" s="313"/>
      <c r="AJ866" s="111">
        <f t="shared" si="255"/>
        <v>0</v>
      </c>
      <c r="AK866" s="235"/>
      <c r="AL866" s="111">
        <f>IF(SUMIFS('Shipments data'!L:L,'Shipments data'!F:F,'Supply planning data'!C866,'Shipments data'!A:A,'Supply planning data'!A866,'Shipments data'!O:O,"received",'Shipments data'!Q:Q,"&lt;"&amp;'Supply planning data'!D881,'Shipments data'!AC:AC,"&lt;"&amp;'Supply planning data'!D881)-SUMIFS(M:M,D:D,"&lt;="&amp;D866,C:C,C866)-SUMIFS(AJ:AJ,D:D,"&lt;="&amp;D866,C:C,C866)+SUMIFS(N:N,D:D,"&lt;="&amp;D866,C:C,C866)+SUMIFS(P:P,D:D,"&lt;="&amp;D866,C:C,C866)&lt;0,0,SUMIFS('Shipments data'!L:L,'Shipments data'!F:F,'Supply planning data'!C866,'Shipments data'!A:A,'Supply planning data'!A866,'Shipments data'!O:O,"received",'Shipments data'!Q:Q,"&lt;"&amp;'Supply planning data'!D881,'Shipments data'!AC:AC,"&lt;"&amp;'Supply planning data'!D881)-SUMIFS(M:M,D:D,"&lt;="&amp;D866,C:C,C866)-SUMIFS(AJ:AJ,D:D,"&lt;="&amp;D866,C:C,C866)+SUMIFS(N:N,D:D,"&lt;="&amp;D866,C:C,C866)+SUMIFS(P:P,D:D,"&lt;="&amp;D866,C:C,C866))</f>
        <v>0</v>
      </c>
      <c r="AM866" s="111">
        <f t="shared" si="264"/>
        <v>0</v>
      </c>
      <c r="AN866" s="111">
        <f t="shared" si="257"/>
        <v>0</v>
      </c>
      <c r="AO866" s="204" t="str">
        <f t="shared" si="249"/>
        <v/>
      </c>
    </row>
    <row r="867" spans="1:41" hidden="1" x14ac:dyDescent="0.25">
      <c r="A867" s="103" t="str">
        <f>Start!D$7</f>
        <v>Anyland</v>
      </c>
      <c r="B867" s="109" t="str">
        <f>VLOOKUP(A867,list!B:C,2,FALSE)</f>
        <v>ANY</v>
      </c>
      <c r="C867" s="109" t="str">
        <f>IF(Start!$C$24="","",Start!$C$24)</f>
        <v/>
      </c>
      <c r="D867" s="298">
        <f t="shared" si="258"/>
        <v>45931</v>
      </c>
      <c r="E867" s="105" t="str">
        <f>IFERROR(VLOOKUP(C867,Start!C$15:D$31,2,FALSE),"No")</f>
        <v>No</v>
      </c>
      <c r="F867" s="105">
        <f t="shared" si="259"/>
        <v>0</v>
      </c>
      <c r="G867" s="106"/>
      <c r="H867" s="106"/>
      <c r="I867" s="106"/>
      <c r="J867" s="105">
        <f t="shared" si="251"/>
        <v>0</v>
      </c>
      <c r="K867" s="106"/>
      <c r="L867" s="177" t="str">
        <f t="shared" si="252"/>
        <v/>
      </c>
      <c r="M867" s="105">
        <f t="shared" si="253"/>
        <v>0</v>
      </c>
      <c r="N867" s="110"/>
      <c r="O867" s="124"/>
      <c r="P867" s="110"/>
      <c r="Q867" s="124"/>
      <c r="R867" s="111">
        <f>SUMIFS('Shipments data'!L:L,'Shipments data'!F:F,'Supply planning data'!C867,'Shipments data'!A:A,'Supply planning data'!A867,'Shipments data'!Y:Y,'Supply planning data'!D867,'Shipments data'!O:O,"received", 'Shipments data'!N:N, "Public")</f>
        <v>0</v>
      </c>
      <c r="S867" s="111">
        <f>SUMIFS('Shipments data'!L:L,'Shipments data'!F:F,'Supply planning data'!C867,'Shipments data'!A:A,'Supply planning data'!A867,'Shipments data'!Y:Y,'Supply planning data'!D867,'Shipments data'!O:O,"ordered", 'Shipments data'!N:N, "Public")</f>
        <v>0</v>
      </c>
      <c r="T867" s="111">
        <f>IF(SUMIFS('Shipments data'!L:L,'Shipments data'!F:F,'Supply planning data'!C867,'Shipments data'!A:A,'Supply planning data'!A867,'Shipments data'!O:O,"received",'Shipments data'!Q:Q,"&lt;"&amp;'Supply planning data'!D882,'Shipments data'!AC:AC,"&lt;"&amp;'Supply planning data'!D882)-SUMIFS(M:M,D:D,"&lt;="&amp;D867,C:C,C867)+SUMIFS(N:N,D:D,"&lt;="&amp;D867,C:C,C867)+SUMIFS(P:P,D:D,"&lt;="&amp;D867,C:C,C867)&lt;0,0,SUMIFS('Shipments data'!L:L,'Shipments data'!F:F,'Supply planning data'!C867,'Shipments data'!A:A,'Supply planning data'!A867,'Shipments data'!O:O,"received",'Shipments data'!Q:Q,"&lt;"&amp;'Supply planning data'!D882,'Shipments data'!AC:AC,"&lt;"&amp;'Supply planning data'!D882)-SUMIFS(M:M,D:D,"&lt;="&amp;D867,C:C,C867)+SUMIFS(N:N,D:D,"&lt;="&amp;D867,C:C,C867)+SUMIFS(P:P,D:D,"&lt;="&amp;D867,C:C,C867))</f>
        <v>0</v>
      </c>
      <c r="U867" s="112">
        <f t="shared" si="260"/>
        <v>0</v>
      </c>
      <c r="V867" s="111">
        <f t="shared" si="250"/>
        <v>0</v>
      </c>
      <c r="W867" s="204" t="str">
        <f t="shared" si="248"/>
        <v/>
      </c>
      <c r="X867" s="111">
        <f t="shared" si="261"/>
        <v>0</v>
      </c>
      <c r="Y867" s="110"/>
      <c r="Z867" s="107"/>
      <c r="AA867" s="111">
        <f t="shared" si="254"/>
        <v>0</v>
      </c>
      <c r="AB867" s="235"/>
      <c r="AC867" s="111">
        <f>IF(SUMIFS('Shipments data'!L:L,'Shipments data'!F:F,'Supply planning data'!C867,'Shipments data'!A:A,'Supply planning data'!A867,'Shipments data'!O:O,"received",'Shipments data'!Q:Q,"&lt;"&amp;'Supply planning data'!D882,'Shipments data'!AC:AC,"&lt;"&amp;'Supply planning data'!D882)-SUMIFS(M:M,D:D,"&lt;="&amp;D867,C:C,C867)-SUMIFS(AA:AA,D:D,"&lt;="&amp;D867,C:C,C867)+SUMIFS(N:N,D:D,"&lt;="&amp;D867,C:C,C867)+SUMIFS(P:P,D:D,"&lt;="&amp;D867,C:C,C867)&lt;0,0,SUMIFS('Shipments data'!L:L,'Shipments data'!F:F,'Supply planning data'!C867,'Shipments data'!A:A,'Supply planning data'!A867,'Shipments data'!O:O,"received",'Shipments data'!Q:Q,"&lt;"&amp;'Supply planning data'!D882,'Shipments data'!AC:AC,"&lt;"&amp;'Supply planning data'!D882)-SUMIFS(M:M,D:D,"&lt;="&amp;D867,C:C,C867)-SUMIFS(AA:AA,D:D,"&lt;="&amp;D867,C:C,C867)+SUMIFS(N:N,D:D,"&lt;="&amp;D867,C:C,C867)+SUMIFS(P:P,D:D,"&lt;="&amp;D867,C:C,C867))</f>
        <v>0</v>
      </c>
      <c r="AD867" s="111">
        <f t="shared" si="262"/>
        <v>0</v>
      </c>
      <c r="AE867" s="111">
        <f t="shared" si="256"/>
        <v>0</v>
      </c>
      <c r="AF867" s="204" t="str">
        <f t="shared" si="265"/>
        <v/>
      </c>
      <c r="AG867" s="111">
        <f t="shared" si="263"/>
        <v>0</v>
      </c>
      <c r="AH867" s="110"/>
      <c r="AI867" s="313"/>
      <c r="AJ867" s="111">
        <f t="shared" si="255"/>
        <v>0</v>
      </c>
      <c r="AK867" s="235"/>
      <c r="AL867" s="111">
        <f>IF(SUMIFS('Shipments data'!L:L,'Shipments data'!F:F,'Supply planning data'!C867,'Shipments data'!A:A,'Supply planning data'!A867,'Shipments data'!O:O,"received",'Shipments data'!Q:Q,"&lt;"&amp;'Supply planning data'!D882,'Shipments data'!AC:AC,"&lt;"&amp;'Supply planning data'!D882)-SUMIFS(M:M,D:D,"&lt;="&amp;D867,C:C,C867)-SUMIFS(AJ:AJ,D:D,"&lt;="&amp;D867,C:C,C867)+SUMIFS(N:N,D:D,"&lt;="&amp;D867,C:C,C867)+SUMIFS(P:P,D:D,"&lt;="&amp;D867,C:C,C867)&lt;0,0,SUMIFS('Shipments data'!L:L,'Shipments data'!F:F,'Supply planning data'!C867,'Shipments data'!A:A,'Supply planning data'!A867,'Shipments data'!O:O,"received",'Shipments data'!Q:Q,"&lt;"&amp;'Supply planning data'!D882,'Shipments data'!AC:AC,"&lt;"&amp;'Supply planning data'!D882)-SUMIFS(M:M,D:D,"&lt;="&amp;D867,C:C,C867)-SUMIFS(AJ:AJ,D:D,"&lt;="&amp;D867,C:C,C867)+SUMIFS(N:N,D:D,"&lt;="&amp;D867,C:C,C867)+SUMIFS(P:P,D:D,"&lt;="&amp;D867,C:C,C867))</f>
        <v>0</v>
      </c>
      <c r="AM867" s="111">
        <f t="shared" si="264"/>
        <v>0</v>
      </c>
      <c r="AN867" s="111">
        <f t="shared" si="257"/>
        <v>0</v>
      </c>
      <c r="AO867" s="204" t="str">
        <f t="shared" si="249"/>
        <v/>
      </c>
    </row>
    <row r="868" spans="1:41" hidden="1" x14ac:dyDescent="0.25">
      <c r="A868" s="103" t="str">
        <f>Start!D$7</f>
        <v>Anyland</v>
      </c>
      <c r="B868" s="109" t="str">
        <f>VLOOKUP(A868,list!B:C,2,FALSE)</f>
        <v>ANY</v>
      </c>
      <c r="C868" s="104" t="str">
        <f>IF(Start!$C$25="","",Start!$C$25)</f>
        <v/>
      </c>
      <c r="D868" s="298">
        <f t="shared" si="258"/>
        <v>45931</v>
      </c>
      <c r="E868" s="105" t="str">
        <f>IFERROR(VLOOKUP(C868,Start!C$15:D$31,2,FALSE),"No")</f>
        <v>No</v>
      </c>
      <c r="F868" s="105">
        <f t="shared" si="259"/>
        <v>0</v>
      </c>
      <c r="G868" s="106"/>
      <c r="H868" s="106"/>
      <c r="I868" s="106"/>
      <c r="J868" s="105">
        <f t="shared" si="251"/>
        <v>0</v>
      </c>
      <c r="K868" s="106"/>
      <c r="L868" s="177" t="str">
        <f t="shared" si="252"/>
        <v/>
      </c>
      <c r="M868" s="105">
        <f t="shared" si="253"/>
        <v>0</v>
      </c>
      <c r="N868" s="110"/>
      <c r="O868" s="124"/>
      <c r="P868" s="110"/>
      <c r="Q868" s="124"/>
      <c r="R868" s="111">
        <f>SUMIFS('Shipments data'!L:L,'Shipments data'!F:F,'Supply planning data'!C868,'Shipments data'!A:A,'Supply planning data'!A868,'Shipments data'!Y:Y,'Supply planning data'!D868,'Shipments data'!O:O,"received", 'Shipments data'!N:N, "Public")</f>
        <v>0</v>
      </c>
      <c r="S868" s="111">
        <f>SUMIFS('Shipments data'!L:L,'Shipments data'!F:F,'Supply planning data'!C868,'Shipments data'!A:A,'Supply planning data'!A868,'Shipments data'!Y:Y,'Supply planning data'!D868,'Shipments data'!O:O,"ordered", 'Shipments data'!N:N, "Public")</f>
        <v>0</v>
      </c>
      <c r="T868" s="111">
        <f>IF(SUMIFS('Shipments data'!L:L,'Shipments data'!F:F,'Supply planning data'!C868,'Shipments data'!A:A,'Supply planning data'!A868,'Shipments data'!O:O,"received",'Shipments data'!Q:Q,"&lt;"&amp;'Supply planning data'!D883,'Shipments data'!AC:AC,"&lt;"&amp;'Supply planning data'!D883)-SUMIFS(M:M,D:D,"&lt;="&amp;D868,C:C,C868)+SUMIFS(N:N,D:D,"&lt;="&amp;D868,C:C,C868)+SUMIFS(P:P,D:D,"&lt;="&amp;D868,C:C,C868)&lt;0,0,SUMIFS('Shipments data'!L:L,'Shipments data'!F:F,'Supply planning data'!C868,'Shipments data'!A:A,'Supply planning data'!A868,'Shipments data'!O:O,"received",'Shipments data'!Q:Q,"&lt;"&amp;'Supply planning data'!D883,'Shipments data'!AC:AC,"&lt;"&amp;'Supply planning data'!D883)-SUMIFS(M:M,D:D,"&lt;="&amp;D868,C:C,C868)+SUMIFS(N:N,D:D,"&lt;="&amp;D868,C:C,C868)+SUMIFS(P:P,D:D,"&lt;="&amp;D868,C:C,C868))</f>
        <v>0</v>
      </c>
      <c r="U868" s="112">
        <f t="shared" si="260"/>
        <v>0</v>
      </c>
      <c r="V868" s="111">
        <f t="shared" si="250"/>
        <v>0</v>
      </c>
      <c r="W868" s="204" t="str">
        <f t="shared" ref="W868:W904" si="266">IF(M868&lt;=0,"",IFERROR(V868/(SUM(M868,M853,M838)/3),""))</f>
        <v/>
      </c>
      <c r="X868" s="111">
        <f t="shared" si="261"/>
        <v>0</v>
      </c>
      <c r="Y868" s="110"/>
      <c r="Z868" s="107"/>
      <c r="AA868" s="111">
        <f t="shared" si="254"/>
        <v>0</v>
      </c>
      <c r="AB868" s="235"/>
      <c r="AC868" s="111">
        <f>IF(SUMIFS('Shipments data'!L:L,'Shipments data'!F:F,'Supply planning data'!C868,'Shipments data'!A:A,'Supply planning data'!A868,'Shipments data'!O:O,"received",'Shipments data'!Q:Q,"&lt;"&amp;'Supply planning data'!D883,'Shipments data'!AC:AC,"&lt;"&amp;'Supply planning data'!D883)-SUMIFS(M:M,D:D,"&lt;="&amp;D868,C:C,C868)-SUMIFS(AA:AA,D:D,"&lt;="&amp;D868,C:C,C868)+SUMIFS(N:N,D:D,"&lt;="&amp;D868,C:C,C868)+SUMIFS(P:P,D:D,"&lt;="&amp;D868,C:C,C868)&lt;0,0,SUMIFS('Shipments data'!L:L,'Shipments data'!F:F,'Supply planning data'!C868,'Shipments data'!A:A,'Supply planning data'!A868,'Shipments data'!O:O,"received",'Shipments data'!Q:Q,"&lt;"&amp;'Supply planning data'!D883,'Shipments data'!AC:AC,"&lt;"&amp;'Supply planning data'!D883)-SUMIFS(M:M,D:D,"&lt;="&amp;D868,C:C,C868)-SUMIFS(AA:AA,D:D,"&lt;="&amp;D868,C:C,C868)+SUMIFS(N:N,D:D,"&lt;="&amp;D868,C:C,C868)+SUMIFS(P:P,D:D,"&lt;="&amp;D868,C:C,C868))</f>
        <v>0</v>
      </c>
      <c r="AD868" s="111">
        <f t="shared" si="262"/>
        <v>0</v>
      </c>
      <c r="AE868" s="111">
        <f t="shared" si="256"/>
        <v>0</v>
      </c>
      <c r="AF868" s="204" t="str">
        <f t="shared" si="265"/>
        <v/>
      </c>
      <c r="AG868" s="111">
        <f t="shared" si="263"/>
        <v>0</v>
      </c>
      <c r="AH868" s="110"/>
      <c r="AI868" s="313"/>
      <c r="AJ868" s="111">
        <f t="shared" si="255"/>
        <v>0</v>
      </c>
      <c r="AK868" s="235"/>
      <c r="AL868" s="111">
        <f>IF(SUMIFS('Shipments data'!L:L,'Shipments data'!F:F,'Supply planning data'!C868,'Shipments data'!A:A,'Supply planning data'!A868,'Shipments data'!O:O,"received",'Shipments data'!Q:Q,"&lt;"&amp;'Supply planning data'!D883,'Shipments data'!AC:AC,"&lt;"&amp;'Supply planning data'!D883)-SUMIFS(M:M,D:D,"&lt;="&amp;D868,C:C,C868)-SUMIFS(AJ:AJ,D:D,"&lt;="&amp;D868,C:C,C868)+SUMIFS(N:N,D:D,"&lt;="&amp;D868,C:C,C868)+SUMIFS(P:P,D:D,"&lt;="&amp;D868,C:C,C868)&lt;0,0,SUMIFS('Shipments data'!L:L,'Shipments data'!F:F,'Supply planning data'!C868,'Shipments data'!A:A,'Supply planning data'!A868,'Shipments data'!O:O,"received",'Shipments data'!Q:Q,"&lt;"&amp;'Supply planning data'!D883,'Shipments data'!AC:AC,"&lt;"&amp;'Supply planning data'!D883)-SUMIFS(M:M,D:D,"&lt;="&amp;D868,C:C,C868)-SUMIFS(AJ:AJ,D:D,"&lt;="&amp;D868,C:C,C868)+SUMIFS(N:N,D:D,"&lt;="&amp;D868,C:C,C868)+SUMIFS(P:P,D:D,"&lt;="&amp;D868,C:C,C868))</f>
        <v>0</v>
      </c>
      <c r="AM868" s="111">
        <f t="shared" si="264"/>
        <v>0</v>
      </c>
      <c r="AN868" s="111">
        <f t="shared" si="257"/>
        <v>0</v>
      </c>
      <c r="AO868" s="204" t="str">
        <f t="shared" ref="AO868:AO904" si="267">IF(M868+AJ868&lt;=0,"",IFERROR(AN868/(SUM(M868,M898,M883,AJ868,AJ898,AJ883)/3),""))</f>
        <v/>
      </c>
    </row>
    <row r="869" spans="1:41" hidden="1" x14ac:dyDescent="0.25">
      <c r="A869" s="103" t="str">
        <f>Start!D$7</f>
        <v>Anyland</v>
      </c>
      <c r="B869" s="109" t="str">
        <f>VLOOKUP(A869,list!B:C,2,FALSE)</f>
        <v>ANY</v>
      </c>
      <c r="C869" s="109" t="str">
        <f>IF(Start!$C$26="","",Start!$C$26)</f>
        <v/>
      </c>
      <c r="D869" s="298">
        <f t="shared" si="258"/>
        <v>45931</v>
      </c>
      <c r="E869" s="105" t="str">
        <f>IFERROR(VLOOKUP(C869,Start!C$15:D$31,2,FALSE),"No")</f>
        <v>No</v>
      </c>
      <c r="F869" s="105">
        <f t="shared" si="259"/>
        <v>0</v>
      </c>
      <c r="G869" s="106"/>
      <c r="H869" s="106"/>
      <c r="I869" s="106"/>
      <c r="J869" s="105">
        <f t="shared" si="251"/>
        <v>0</v>
      </c>
      <c r="K869" s="106"/>
      <c r="L869" s="177" t="str">
        <f t="shared" si="252"/>
        <v/>
      </c>
      <c r="M869" s="105">
        <f t="shared" si="253"/>
        <v>0</v>
      </c>
      <c r="N869" s="110"/>
      <c r="O869" s="124"/>
      <c r="P869" s="110"/>
      <c r="Q869" s="124"/>
      <c r="R869" s="111">
        <f>SUMIFS('Shipments data'!L:L,'Shipments data'!F:F,'Supply planning data'!C869,'Shipments data'!A:A,'Supply planning data'!A869,'Shipments data'!Y:Y,'Supply planning data'!D869,'Shipments data'!O:O,"received", 'Shipments data'!N:N, "Public")</f>
        <v>0</v>
      </c>
      <c r="S869" s="111">
        <f>SUMIFS('Shipments data'!L:L,'Shipments data'!F:F,'Supply planning data'!C869,'Shipments data'!A:A,'Supply planning data'!A869,'Shipments data'!Y:Y,'Supply planning data'!D869,'Shipments data'!O:O,"ordered", 'Shipments data'!N:N, "Public")</f>
        <v>0</v>
      </c>
      <c r="T869" s="111">
        <f>IF(SUMIFS('Shipments data'!L:L,'Shipments data'!F:F,'Supply planning data'!C869,'Shipments data'!A:A,'Supply planning data'!A869,'Shipments data'!O:O,"received",'Shipments data'!Q:Q,"&lt;"&amp;'Supply planning data'!D884,'Shipments data'!AC:AC,"&lt;"&amp;'Supply planning data'!D884)-SUMIFS(M:M,D:D,"&lt;="&amp;D869,C:C,C869)+SUMIFS(N:N,D:D,"&lt;="&amp;D869,C:C,C869)+SUMIFS(P:P,D:D,"&lt;="&amp;D869,C:C,C869)&lt;0,0,SUMIFS('Shipments data'!L:L,'Shipments data'!F:F,'Supply planning data'!C869,'Shipments data'!A:A,'Supply planning data'!A869,'Shipments data'!O:O,"received",'Shipments data'!Q:Q,"&lt;"&amp;'Supply planning data'!D884,'Shipments data'!AC:AC,"&lt;"&amp;'Supply planning data'!D884)-SUMIFS(M:M,D:D,"&lt;="&amp;D869,C:C,C869)+SUMIFS(N:N,D:D,"&lt;="&amp;D869,C:C,C869)+SUMIFS(P:P,D:D,"&lt;="&amp;D869,C:C,C869))</f>
        <v>0</v>
      </c>
      <c r="U869" s="112">
        <f t="shared" si="260"/>
        <v>0</v>
      </c>
      <c r="V869" s="111">
        <f t="shared" si="250"/>
        <v>0</v>
      </c>
      <c r="W869" s="204" t="str">
        <f t="shared" si="266"/>
        <v/>
      </c>
      <c r="X869" s="111">
        <f t="shared" si="261"/>
        <v>0</v>
      </c>
      <c r="Y869" s="110"/>
      <c r="Z869" s="107"/>
      <c r="AA869" s="111">
        <f t="shared" si="254"/>
        <v>0</v>
      </c>
      <c r="AB869" s="235"/>
      <c r="AC869" s="111">
        <f>IF(SUMIFS('Shipments data'!L:L,'Shipments data'!F:F,'Supply planning data'!C869,'Shipments data'!A:A,'Supply planning data'!A869,'Shipments data'!O:O,"received",'Shipments data'!Q:Q,"&lt;"&amp;'Supply planning data'!D884,'Shipments data'!AC:AC,"&lt;"&amp;'Supply planning data'!D884)-SUMIFS(M:M,D:D,"&lt;="&amp;D869,C:C,C869)-SUMIFS(AA:AA,D:D,"&lt;="&amp;D869,C:C,C869)+SUMIFS(N:N,D:D,"&lt;="&amp;D869,C:C,C869)+SUMIFS(P:P,D:D,"&lt;="&amp;D869,C:C,C869)&lt;0,0,SUMIFS('Shipments data'!L:L,'Shipments data'!F:F,'Supply planning data'!C869,'Shipments data'!A:A,'Supply planning data'!A869,'Shipments data'!O:O,"received",'Shipments data'!Q:Q,"&lt;"&amp;'Supply planning data'!D884,'Shipments data'!AC:AC,"&lt;"&amp;'Supply planning data'!D884)-SUMIFS(M:M,D:D,"&lt;="&amp;D869,C:C,C869)-SUMIFS(AA:AA,D:D,"&lt;="&amp;D869,C:C,C869)+SUMIFS(N:N,D:D,"&lt;="&amp;D869,C:C,C869)+SUMIFS(P:P,D:D,"&lt;="&amp;D869,C:C,C869))</f>
        <v>0</v>
      </c>
      <c r="AD869" s="111">
        <f t="shared" si="262"/>
        <v>0</v>
      </c>
      <c r="AE869" s="111">
        <f t="shared" si="256"/>
        <v>0</v>
      </c>
      <c r="AF869" s="204" t="str">
        <f t="shared" si="265"/>
        <v/>
      </c>
      <c r="AG869" s="111">
        <f t="shared" si="263"/>
        <v>0</v>
      </c>
      <c r="AH869" s="110"/>
      <c r="AI869" s="313"/>
      <c r="AJ869" s="111">
        <f t="shared" si="255"/>
        <v>0</v>
      </c>
      <c r="AK869" s="235"/>
      <c r="AL869" s="111">
        <f>IF(SUMIFS('Shipments data'!L:L,'Shipments data'!F:F,'Supply planning data'!C869,'Shipments data'!A:A,'Supply planning data'!A869,'Shipments data'!O:O,"received",'Shipments data'!Q:Q,"&lt;"&amp;'Supply planning data'!D884,'Shipments data'!AC:AC,"&lt;"&amp;'Supply planning data'!D884)-SUMIFS(M:M,D:D,"&lt;="&amp;D869,C:C,C869)-SUMIFS(AJ:AJ,D:D,"&lt;="&amp;D869,C:C,C869)+SUMIFS(N:N,D:D,"&lt;="&amp;D869,C:C,C869)+SUMIFS(P:P,D:D,"&lt;="&amp;D869,C:C,C869)&lt;0,0,SUMIFS('Shipments data'!L:L,'Shipments data'!F:F,'Supply planning data'!C869,'Shipments data'!A:A,'Supply planning data'!A869,'Shipments data'!O:O,"received",'Shipments data'!Q:Q,"&lt;"&amp;'Supply planning data'!D884,'Shipments data'!AC:AC,"&lt;"&amp;'Supply planning data'!D884)-SUMIFS(M:M,D:D,"&lt;="&amp;D869,C:C,C869)-SUMIFS(AJ:AJ,D:D,"&lt;="&amp;D869,C:C,C869)+SUMIFS(N:N,D:D,"&lt;="&amp;D869,C:C,C869)+SUMIFS(P:P,D:D,"&lt;="&amp;D869,C:C,C869))</f>
        <v>0</v>
      </c>
      <c r="AM869" s="111">
        <f t="shared" si="264"/>
        <v>0</v>
      </c>
      <c r="AN869" s="111">
        <f t="shared" si="257"/>
        <v>0</v>
      </c>
      <c r="AO869" s="204" t="str">
        <f t="shared" si="267"/>
        <v/>
      </c>
    </row>
    <row r="870" spans="1:41" hidden="1" x14ac:dyDescent="0.25">
      <c r="A870" s="103" t="str">
        <f>Start!D$7</f>
        <v>Anyland</v>
      </c>
      <c r="B870" s="109" t="str">
        <f>VLOOKUP(A870,list!B:C,2,FALSE)</f>
        <v>ANY</v>
      </c>
      <c r="C870" s="104" t="str">
        <f>IF(Start!$C$27="","",Start!$C$27)</f>
        <v/>
      </c>
      <c r="D870" s="298">
        <f t="shared" si="258"/>
        <v>45931</v>
      </c>
      <c r="E870" s="105" t="str">
        <f>IFERROR(VLOOKUP(C870,Start!C$15:D$31,2,FALSE),"No")</f>
        <v>No</v>
      </c>
      <c r="F870" s="105">
        <f t="shared" si="259"/>
        <v>0</v>
      </c>
      <c r="G870" s="106"/>
      <c r="H870" s="106"/>
      <c r="I870" s="106"/>
      <c r="J870" s="105">
        <f t="shared" si="251"/>
        <v>0</v>
      </c>
      <c r="K870" s="106"/>
      <c r="L870" s="177" t="str">
        <f t="shared" si="252"/>
        <v/>
      </c>
      <c r="M870" s="105">
        <f t="shared" si="253"/>
        <v>0</v>
      </c>
      <c r="N870" s="110"/>
      <c r="O870" s="124"/>
      <c r="P870" s="110"/>
      <c r="Q870" s="124"/>
      <c r="R870" s="111">
        <f>SUMIFS('Shipments data'!L:L,'Shipments data'!F:F,'Supply planning data'!C870,'Shipments data'!A:A,'Supply planning data'!A870,'Shipments data'!Y:Y,'Supply planning data'!D870,'Shipments data'!O:O,"received", 'Shipments data'!N:N, "Public")</f>
        <v>0</v>
      </c>
      <c r="S870" s="111">
        <f>SUMIFS('Shipments data'!L:L,'Shipments data'!F:F,'Supply planning data'!C870,'Shipments data'!A:A,'Supply planning data'!A870,'Shipments data'!Y:Y,'Supply planning data'!D870,'Shipments data'!O:O,"ordered", 'Shipments data'!N:N, "Public")</f>
        <v>0</v>
      </c>
      <c r="T870" s="111">
        <f>IF(SUMIFS('Shipments data'!L:L,'Shipments data'!F:F,'Supply planning data'!C870,'Shipments data'!A:A,'Supply planning data'!A870,'Shipments data'!O:O,"received",'Shipments data'!Q:Q,"&lt;"&amp;'Supply planning data'!D885,'Shipments data'!AC:AC,"&lt;"&amp;'Supply planning data'!D885)-SUMIFS(M:M,D:D,"&lt;="&amp;D870,C:C,C870)+SUMIFS(N:N,D:D,"&lt;="&amp;D870,C:C,C870)+SUMIFS(P:P,D:D,"&lt;="&amp;D870,C:C,C870)&lt;0,0,SUMIFS('Shipments data'!L:L,'Shipments data'!F:F,'Supply planning data'!C870,'Shipments data'!A:A,'Supply planning data'!A870,'Shipments data'!O:O,"received",'Shipments data'!Q:Q,"&lt;"&amp;'Supply planning data'!D885,'Shipments data'!AC:AC,"&lt;"&amp;'Supply planning data'!D885)-SUMIFS(M:M,D:D,"&lt;="&amp;D870,C:C,C870)+SUMIFS(N:N,D:D,"&lt;="&amp;D870,C:C,C870)+SUMIFS(P:P,D:D,"&lt;="&amp;D870,C:C,C870))</f>
        <v>0</v>
      </c>
      <c r="U870" s="112">
        <f t="shared" si="260"/>
        <v>0</v>
      </c>
      <c r="V870" s="111">
        <f t="shared" si="250"/>
        <v>0</v>
      </c>
      <c r="W870" s="204" t="str">
        <f t="shared" si="266"/>
        <v/>
      </c>
      <c r="X870" s="111">
        <f t="shared" si="261"/>
        <v>0</v>
      </c>
      <c r="Y870" s="110"/>
      <c r="Z870" s="107"/>
      <c r="AA870" s="111">
        <f t="shared" si="254"/>
        <v>0</v>
      </c>
      <c r="AB870" s="235"/>
      <c r="AC870" s="111">
        <f>IF(SUMIFS('Shipments data'!L:L,'Shipments data'!F:F,'Supply planning data'!C870,'Shipments data'!A:A,'Supply planning data'!A870,'Shipments data'!O:O,"received",'Shipments data'!Q:Q,"&lt;"&amp;'Supply planning data'!D885,'Shipments data'!AC:AC,"&lt;"&amp;'Supply planning data'!D885)-SUMIFS(M:M,D:D,"&lt;="&amp;D870,C:C,C870)-SUMIFS(AA:AA,D:D,"&lt;="&amp;D870,C:C,C870)+SUMIFS(N:N,D:D,"&lt;="&amp;D870,C:C,C870)+SUMIFS(P:P,D:D,"&lt;="&amp;D870,C:C,C870)&lt;0,0,SUMIFS('Shipments data'!L:L,'Shipments data'!F:F,'Supply planning data'!C870,'Shipments data'!A:A,'Supply planning data'!A870,'Shipments data'!O:O,"received",'Shipments data'!Q:Q,"&lt;"&amp;'Supply planning data'!D885,'Shipments data'!AC:AC,"&lt;"&amp;'Supply planning data'!D885)-SUMIFS(M:M,D:D,"&lt;="&amp;D870,C:C,C870)-SUMIFS(AA:AA,D:D,"&lt;="&amp;D870,C:C,C870)+SUMIFS(N:N,D:D,"&lt;="&amp;D870,C:C,C870)+SUMIFS(P:P,D:D,"&lt;="&amp;D870,C:C,C870))</f>
        <v>0</v>
      </c>
      <c r="AD870" s="111">
        <f t="shared" si="262"/>
        <v>0</v>
      </c>
      <c r="AE870" s="111">
        <f t="shared" si="256"/>
        <v>0</v>
      </c>
      <c r="AF870" s="204" t="str">
        <f t="shared" si="265"/>
        <v/>
      </c>
      <c r="AG870" s="111">
        <f t="shared" si="263"/>
        <v>0</v>
      </c>
      <c r="AH870" s="110"/>
      <c r="AI870" s="313"/>
      <c r="AJ870" s="111">
        <f t="shared" si="255"/>
        <v>0</v>
      </c>
      <c r="AK870" s="235"/>
      <c r="AL870" s="111">
        <f>IF(SUMIFS('Shipments data'!L:L,'Shipments data'!F:F,'Supply planning data'!C870,'Shipments data'!A:A,'Supply planning data'!A870,'Shipments data'!O:O,"received",'Shipments data'!Q:Q,"&lt;"&amp;'Supply planning data'!D885,'Shipments data'!AC:AC,"&lt;"&amp;'Supply planning data'!D885)-SUMIFS(M:M,D:D,"&lt;="&amp;D870,C:C,C870)-SUMIFS(AJ:AJ,D:D,"&lt;="&amp;D870,C:C,C870)+SUMIFS(N:N,D:D,"&lt;="&amp;D870,C:C,C870)+SUMIFS(P:P,D:D,"&lt;="&amp;D870,C:C,C870)&lt;0,0,SUMIFS('Shipments data'!L:L,'Shipments data'!F:F,'Supply planning data'!C870,'Shipments data'!A:A,'Supply planning data'!A870,'Shipments data'!O:O,"received",'Shipments data'!Q:Q,"&lt;"&amp;'Supply planning data'!D885,'Shipments data'!AC:AC,"&lt;"&amp;'Supply planning data'!D885)-SUMIFS(M:M,D:D,"&lt;="&amp;D870,C:C,C870)-SUMIFS(AJ:AJ,D:D,"&lt;="&amp;D870,C:C,C870)+SUMIFS(N:N,D:D,"&lt;="&amp;D870,C:C,C870)+SUMIFS(P:P,D:D,"&lt;="&amp;D870,C:C,C870))</f>
        <v>0</v>
      </c>
      <c r="AM870" s="111">
        <f t="shared" si="264"/>
        <v>0</v>
      </c>
      <c r="AN870" s="111">
        <f t="shared" si="257"/>
        <v>0</v>
      </c>
      <c r="AO870" s="204" t="str">
        <f t="shared" si="267"/>
        <v/>
      </c>
    </row>
    <row r="871" spans="1:41" hidden="1" x14ac:dyDescent="0.25">
      <c r="A871" s="103" t="str">
        <f>Start!D$7</f>
        <v>Anyland</v>
      </c>
      <c r="B871" s="109" t="str">
        <f>VLOOKUP(A871,list!B:C,2,FALSE)</f>
        <v>ANY</v>
      </c>
      <c r="C871" s="109" t="str">
        <f>IF(Start!$C$28="","",Start!$C$28)</f>
        <v/>
      </c>
      <c r="D871" s="298">
        <f t="shared" si="258"/>
        <v>45931</v>
      </c>
      <c r="E871" s="105" t="str">
        <f>IFERROR(VLOOKUP(C871,Start!C$15:D$31,2,FALSE),"No")</f>
        <v>No</v>
      </c>
      <c r="F871" s="105">
        <f t="shared" si="259"/>
        <v>0</v>
      </c>
      <c r="G871" s="106"/>
      <c r="H871" s="106"/>
      <c r="I871" s="106"/>
      <c r="J871" s="105">
        <f t="shared" si="251"/>
        <v>0</v>
      </c>
      <c r="K871" s="106"/>
      <c r="L871" s="177" t="str">
        <f t="shared" si="252"/>
        <v/>
      </c>
      <c r="M871" s="105">
        <f t="shared" si="253"/>
        <v>0</v>
      </c>
      <c r="N871" s="110"/>
      <c r="O871" s="124"/>
      <c r="P871" s="110"/>
      <c r="Q871" s="124"/>
      <c r="R871" s="111">
        <f>SUMIFS('Shipments data'!L:L,'Shipments data'!F:F,'Supply planning data'!C871,'Shipments data'!A:A,'Supply planning data'!A871,'Shipments data'!Y:Y,'Supply planning data'!D871,'Shipments data'!O:O,"received", 'Shipments data'!N:N, "Public")</f>
        <v>0</v>
      </c>
      <c r="S871" s="111">
        <f>SUMIFS('Shipments data'!L:L,'Shipments data'!F:F,'Supply planning data'!C871,'Shipments data'!A:A,'Supply planning data'!A871,'Shipments data'!Y:Y,'Supply planning data'!D871,'Shipments data'!O:O,"ordered", 'Shipments data'!N:N, "Public")</f>
        <v>0</v>
      </c>
      <c r="T871" s="111">
        <f>IF(SUMIFS('Shipments data'!L:L,'Shipments data'!F:F,'Supply planning data'!C871,'Shipments data'!A:A,'Supply planning data'!A871,'Shipments data'!O:O,"received",'Shipments data'!Q:Q,"&lt;"&amp;'Supply planning data'!D886,'Shipments data'!AC:AC,"&lt;"&amp;'Supply planning data'!D886)-SUMIFS(M:M,D:D,"&lt;="&amp;D871,C:C,C871)+SUMIFS(N:N,D:D,"&lt;="&amp;D871,C:C,C871)+SUMIFS(P:P,D:D,"&lt;="&amp;D871,C:C,C871)&lt;0,0,SUMIFS('Shipments data'!L:L,'Shipments data'!F:F,'Supply planning data'!C871,'Shipments data'!A:A,'Supply planning data'!A871,'Shipments data'!O:O,"received",'Shipments data'!Q:Q,"&lt;"&amp;'Supply planning data'!D886,'Shipments data'!AC:AC,"&lt;"&amp;'Supply planning data'!D886)-SUMIFS(M:M,D:D,"&lt;="&amp;D871,C:C,C871)+SUMIFS(N:N,D:D,"&lt;="&amp;D871,C:C,C871)+SUMIFS(P:P,D:D,"&lt;="&amp;D871,C:C,C871))</f>
        <v>0</v>
      </c>
      <c r="U871" s="112">
        <f t="shared" si="260"/>
        <v>0</v>
      </c>
      <c r="V871" s="111">
        <f t="shared" si="250"/>
        <v>0</v>
      </c>
      <c r="W871" s="204" t="str">
        <f t="shared" si="266"/>
        <v/>
      </c>
      <c r="X871" s="111">
        <f t="shared" si="261"/>
        <v>0</v>
      </c>
      <c r="Y871" s="110"/>
      <c r="Z871" s="107"/>
      <c r="AA871" s="111">
        <f t="shared" si="254"/>
        <v>0</v>
      </c>
      <c r="AB871" s="235"/>
      <c r="AC871" s="111">
        <f>IF(SUMIFS('Shipments data'!L:L,'Shipments data'!F:F,'Supply planning data'!C871,'Shipments data'!A:A,'Supply planning data'!A871,'Shipments data'!O:O,"received",'Shipments data'!Q:Q,"&lt;"&amp;'Supply planning data'!D886,'Shipments data'!AC:AC,"&lt;"&amp;'Supply planning data'!D886)-SUMIFS(M:M,D:D,"&lt;="&amp;D871,C:C,C871)-SUMIFS(AA:AA,D:D,"&lt;="&amp;D871,C:C,C871)+SUMIFS(N:N,D:D,"&lt;="&amp;D871,C:C,C871)+SUMIFS(P:P,D:D,"&lt;="&amp;D871,C:C,C871)&lt;0,0,SUMIFS('Shipments data'!L:L,'Shipments data'!F:F,'Supply planning data'!C871,'Shipments data'!A:A,'Supply planning data'!A871,'Shipments data'!O:O,"received",'Shipments data'!Q:Q,"&lt;"&amp;'Supply planning data'!D886,'Shipments data'!AC:AC,"&lt;"&amp;'Supply planning data'!D886)-SUMIFS(M:M,D:D,"&lt;="&amp;D871,C:C,C871)-SUMIFS(AA:AA,D:D,"&lt;="&amp;D871,C:C,C871)+SUMIFS(N:N,D:D,"&lt;="&amp;D871,C:C,C871)+SUMIFS(P:P,D:D,"&lt;="&amp;D871,C:C,C871))</f>
        <v>0</v>
      </c>
      <c r="AD871" s="111">
        <f t="shared" si="262"/>
        <v>0</v>
      </c>
      <c r="AE871" s="111">
        <f t="shared" si="256"/>
        <v>0</v>
      </c>
      <c r="AF871" s="204" t="str">
        <f t="shared" si="265"/>
        <v/>
      </c>
      <c r="AG871" s="111">
        <f t="shared" si="263"/>
        <v>0</v>
      </c>
      <c r="AH871" s="110"/>
      <c r="AI871" s="313"/>
      <c r="AJ871" s="111">
        <f t="shared" si="255"/>
        <v>0</v>
      </c>
      <c r="AK871" s="235"/>
      <c r="AL871" s="111">
        <f>IF(SUMIFS('Shipments data'!L:L,'Shipments data'!F:F,'Supply planning data'!C871,'Shipments data'!A:A,'Supply planning data'!A871,'Shipments data'!O:O,"received",'Shipments data'!Q:Q,"&lt;"&amp;'Supply planning data'!D886,'Shipments data'!AC:AC,"&lt;"&amp;'Supply planning data'!D886)-SUMIFS(M:M,D:D,"&lt;="&amp;D871,C:C,C871)-SUMIFS(AJ:AJ,D:D,"&lt;="&amp;D871,C:C,C871)+SUMIFS(N:N,D:D,"&lt;="&amp;D871,C:C,C871)+SUMIFS(P:P,D:D,"&lt;="&amp;D871,C:C,C871)&lt;0,0,SUMIFS('Shipments data'!L:L,'Shipments data'!F:F,'Supply planning data'!C871,'Shipments data'!A:A,'Supply planning data'!A871,'Shipments data'!O:O,"received",'Shipments data'!Q:Q,"&lt;"&amp;'Supply planning data'!D886,'Shipments data'!AC:AC,"&lt;"&amp;'Supply planning data'!D886)-SUMIFS(M:M,D:D,"&lt;="&amp;D871,C:C,C871)-SUMIFS(AJ:AJ,D:D,"&lt;="&amp;D871,C:C,C871)+SUMIFS(N:N,D:D,"&lt;="&amp;D871,C:C,C871)+SUMIFS(P:P,D:D,"&lt;="&amp;D871,C:C,C871))</f>
        <v>0</v>
      </c>
      <c r="AM871" s="111">
        <f t="shared" si="264"/>
        <v>0</v>
      </c>
      <c r="AN871" s="111">
        <f t="shared" si="257"/>
        <v>0</v>
      </c>
      <c r="AO871" s="204" t="str">
        <f t="shared" si="267"/>
        <v/>
      </c>
    </row>
    <row r="872" spans="1:41" hidden="1" x14ac:dyDescent="0.25">
      <c r="A872" s="103" t="str">
        <f>Start!D$7</f>
        <v>Anyland</v>
      </c>
      <c r="B872" s="109" t="str">
        <f>VLOOKUP(A872,list!B:C,2,FALSE)</f>
        <v>ANY</v>
      </c>
      <c r="C872" s="104" t="str">
        <f>IF(Start!$C$29="","",Start!$C$29)</f>
        <v/>
      </c>
      <c r="D872" s="298">
        <f t="shared" si="258"/>
        <v>45931</v>
      </c>
      <c r="E872" s="105" t="str">
        <f>IFERROR(VLOOKUP(C872,Start!C$15:D$31,2,FALSE),"No")</f>
        <v>No</v>
      </c>
      <c r="F872" s="105">
        <f t="shared" si="259"/>
        <v>0</v>
      </c>
      <c r="G872" s="106"/>
      <c r="H872" s="106"/>
      <c r="I872" s="106"/>
      <c r="J872" s="105">
        <f t="shared" si="251"/>
        <v>0</v>
      </c>
      <c r="K872" s="106"/>
      <c r="L872" s="177" t="str">
        <f t="shared" si="252"/>
        <v/>
      </c>
      <c r="M872" s="105">
        <f t="shared" si="253"/>
        <v>0</v>
      </c>
      <c r="N872" s="110"/>
      <c r="O872" s="124"/>
      <c r="P872" s="110"/>
      <c r="Q872" s="124"/>
      <c r="R872" s="111">
        <f>SUMIFS('Shipments data'!L:L,'Shipments data'!F:F,'Supply planning data'!C872,'Shipments data'!A:A,'Supply planning data'!A872,'Shipments data'!Y:Y,'Supply planning data'!D872,'Shipments data'!O:O,"received", 'Shipments data'!N:N, "Public")</f>
        <v>0</v>
      </c>
      <c r="S872" s="111">
        <f>SUMIFS('Shipments data'!L:L,'Shipments data'!F:F,'Supply planning data'!C872,'Shipments data'!A:A,'Supply planning data'!A872,'Shipments data'!Y:Y,'Supply planning data'!D872,'Shipments data'!O:O,"ordered", 'Shipments data'!N:N, "Public")</f>
        <v>0</v>
      </c>
      <c r="T872" s="111">
        <f>IF(SUMIFS('Shipments data'!L:L,'Shipments data'!F:F,'Supply planning data'!C872,'Shipments data'!A:A,'Supply planning data'!A872,'Shipments data'!O:O,"received",'Shipments data'!Q:Q,"&lt;"&amp;'Supply planning data'!D887,'Shipments data'!AC:AC,"&lt;"&amp;'Supply planning data'!D887)-SUMIFS(M:M,D:D,"&lt;="&amp;D872,C:C,C872)+SUMIFS(N:N,D:D,"&lt;="&amp;D872,C:C,C872)+SUMIFS(P:P,D:D,"&lt;="&amp;D872,C:C,C872)&lt;0,0,SUMIFS('Shipments data'!L:L,'Shipments data'!F:F,'Supply planning data'!C872,'Shipments data'!A:A,'Supply planning data'!A872,'Shipments data'!O:O,"received",'Shipments data'!Q:Q,"&lt;"&amp;'Supply planning data'!D887,'Shipments data'!AC:AC,"&lt;"&amp;'Supply planning data'!D887)-SUMIFS(M:M,D:D,"&lt;="&amp;D872,C:C,C872)+SUMIFS(N:N,D:D,"&lt;="&amp;D872,C:C,C872)+SUMIFS(P:P,D:D,"&lt;="&amp;D872,C:C,C872))</f>
        <v>0</v>
      </c>
      <c r="U872" s="112">
        <f t="shared" si="260"/>
        <v>0</v>
      </c>
      <c r="V872" s="111">
        <f t="shared" si="250"/>
        <v>0</v>
      </c>
      <c r="W872" s="204" t="str">
        <f t="shared" si="266"/>
        <v/>
      </c>
      <c r="X872" s="111">
        <f t="shared" si="261"/>
        <v>0</v>
      </c>
      <c r="Y872" s="110"/>
      <c r="Z872" s="107"/>
      <c r="AA872" s="111">
        <f t="shared" si="254"/>
        <v>0</v>
      </c>
      <c r="AB872" s="235"/>
      <c r="AC872" s="111">
        <f>IF(SUMIFS('Shipments data'!L:L,'Shipments data'!F:F,'Supply planning data'!C872,'Shipments data'!A:A,'Supply planning data'!A872,'Shipments data'!O:O,"received",'Shipments data'!Q:Q,"&lt;"&amp;'Supply planning data'!D887,'Shipments data'!AC:AC,"&lt;"&amp;'Supply planning data'!D887)-SUMIFS(M:M,D:D,"&lt;="&amp;D872,C:C,C872)-SUMIFS(AA:AA,D:D,"&lt;="&amp;D872,C:C,C872)+SUMIFS(N:N,D:D,"&lt;="&amp;D872,C:C,C872)+SUMIFS(P:P,D:D,"&lt;="&amp;D872,C:C,C872)&lt;0,0,SUMIFS('Shipments data'!L:L,'Shipments data'!F:F,'Supply planning data'!C872,'Shipments data'!A:A,'Supply planning data'!A872,'Shipments data'!O:O,"received",'Shipments data'!Q:Q,"&lt;"&amp;'Supply planning data'!D887,'Shipments data'!AC:AC,"&lt;"&amp;'Supply planning data'!D887)-SUMIFS(M:M,D:D,"&lt;="&amp;D872,C:C,C872)-SUMIFS(AA:AA,D:D,"&lt;="&amp;D872,C:C,C872)+SUMIFS(N:N,D:D,"&lt;="&amp;D872,C:C,C872)+SUMIFS(P:P,D:D,"&lt;="&amp;D872,C:C,C872))</f>
        <v>0</v>
      </c>
      <c r="AD872" s="111">
        <f t="shared" si="262"/>
        <v>0</v>
      </c>
      <c r="AE872" s="111">
        <f t="shared" si="256"/>
        <v>0</v>
      </c>
      <c r="AF872" s="204" t="str">
        <f t="shared" si="265"/>
        <v/>
      </c>
      <c r="AG872" s="111">
        <f t="shared" si="263"/>
        <v>0</v>
      </c>
      <c r="AH872" s="110"/>
      <c r="AI872" s="313"/>
      <c r="AJ872" s="111">
        <f t="shared" si="255"/>
        <v>0</v>
      </c>
      <c r="AK872" s="235"/>
      <c r="AL872" s="111">
        <f>IF(SUMIFS('Shipments data'!L:L,'Shipments data'!F:F,'Supply planning data'!C872,'Shipments data'!A:A,'Supply planning data'!A872,'Shipments data'!O:O,"received",'Shipments data'!Q:Q,"&lt;"&amp;'Supply planning data'!D887,'Shipments data'!AC:AC,"&lt;"&amp;'Supply planning data'!D887)-SUMIFS(M:M,D:D,"&lt;="&amp;D872,C:C,C872)-SUMIFS(AJ:AJ,D:D,"&lt;="&amp;D872,C:C,C872)+SUMIFS(N:N,D:D,"&lt;="&amp;D872,C:C,C872)+SUMIFS(P:P,D:D,"&lt;="&amp;D872,C:C,C872)&lt;0,0,SUMIFS('Shipments data'!L:L,'Shipments data'!F:F,'Supply planning data'!C872,'Shipments data'!A:A,'Supply planning data'!A872,'Shipments data'!O:O,"received",'Shipments data'!Q:Q,"&lt;"&amp;'Supply planning data'!D887,'Shipments data'!AC:AC,"&lt;"&amp;'Supply planning data'!D887)-SUMIFS(M:M,D:D,"&lt;="&amp;D872,C:C,C872)-SUMIFS(AJ:AJ,D:D,"&lt;="&amp;D872,C:C,C872)+SUMIFS(N:N,D:D,"&lt;="&amp;D872,C:C,C872)+SUMIFS(P:P,D:D,"&lt;="&amp;D872,C:C,C872))</f>
        <v>0</v>
      </c>
      <c r="AM872" s="111">
        <f t="shared" si="264"/>
        <v>0</v>
      </c>
      <c r="AN872" s="111">
        <f t="shared" si="257"/>
        <v>0</v>
      </c>
      <c r="AO872" s="204" t="str">
        <f t="shared" si="267"/>
        <v/>
      </c>
    </row>
    <row r="873" spans="1:41" hidden="1" x14ac:dyDescent="0.25">
      <c r="A873" s="103" t="str">
        <f>Start!D$7</f>
        <v>Anyland</v>
      </c>
      <c r="B873" s="109" t="str">
        <f>VLOOKUP(A873,list!B:C,2,FALSE)</f>
        <v>ANY</v>
      </c>
      <c r="C873" s="109" t="str">
        <f>IF(Start!$C$30="","",Start!$C$30)</f>
        <v/>
      </c>
      <c r="D873" s="298">
        <f t="shared" si="258"/>
        <v>45931</v>
      </c>
      <c r="E873" s="105" t="str">
        <f>IFERROR(VLOOKUP(C873,Start!C$15:D$31,2,FALSE),"No")</f>
        <v>No</v>
      </c>
      <c r="F873" s="105">
        <f t="shared" si="259"/>
        <v>0</v>
      </c>
      <c r="G873" s="106"/>
      <c r="H873" s="106"/>
      <c r="I873" s="106"/>
      <c r="J873" s="105">
        <f t="shared" si="251"/>
        <v>0</v>
      </c>
      <c r="K873" s="106"/>
      <c r="L873" s="177" t="str">
        <f t="shared" si="252"/>
        <v/>
      </c>
      <c r="M873" s="105">
        <f t="shared" si="253"/>
        <v>0</v>
      </c>
      <c r="N873" s="110"/>
      <c r="O873" s="124"/>
      <c r="P873" s="110"/>
      <c r="Q873" s="124"/>
      <c r="R873" s="111">
        <f>SUMIFS('Shipments data'!L:L,'Shipments data'!F:F,'Supply planning data'!C873,'Shipments data'!A:A,'Supply planning data'!A873,'Shipments data'!Y:Y,'Supply planning data'!D873,'Shipments data'!O:O,"received", 'Shipments data'!N:N, "Public")</f>
        <v>0</v>
      </c>
      <c r="S873" s="111">
        <f>SUMIFS('Shipments data'!L:L,'Shipments data'!F:F,'Supply planning data'!C873,'Shipments data'!A:A,'Supply planning data'!A873,'Shipments data'!Y:Y,'Supply planning data'!D873,'Shipments data'!O:O,"ordered", 'Shipments data'!N:N, "Public")</f>
        <v>0</v>
      </c>
      <c r="T873" s="111">
        <f>IF(SUMIFS('Shipments data'!L:L,'Shipments data'!F:F,'Supply planning data'!C873,'Shipments data'!A:A,'Supply planning data'!A873,'Shipments data'!O:O,"received",'Shipments data'!Q:Q,"&lt;"&amp;'Supply planning data'!D888,'Shipments data'!AC:AC,"&lt;"&amp;'Supply planning data'!D888)-SUMIFS(M:M,D:D,"&lt;="&amp;D873,C:C,C873)+SUMIFS(N:N,D:D,"&lt;="&amp;D873,C:C,C873)+SUMIFS(P:P,D:D,"&lt;="&amp;D873,C:C,C873)&lt;0,0,SUMIFS('Shipments data'!L:L,'Shipments data'!F:F,'Supply planning data'!C873,'Shipments data'!A:A,'Supply planning data'!A873,'Shipments data'!O:O,"received",'Shipments data'!Q:Q,"&lt;"&amp;'Supply planning data'!D888,'Shipments data'!AC:AC,"&lt;"&amp;'Supply planning data'!D888)-SUMIFS(M:M,D:D,"&lt;="&amp;D873,C:C,C873)+SUMIFS(N:N,D:D,"&lt;="&amp;D873,C:C,C873)+SUMIFS(P:P,D:D,"&lt;="&amp;D873,C:C,C873))</f>
        <v>0</v>
      </c>
      <c r="U873" s="112">
        <f t="shared" si="260"/>
        <v>0</v>
      </c>
      <c r="V873" s="111">
        <f t="shared" si="250"/>
        <v>0</v>
      </c>
      <c r="W873" s="204" t="str">
        <f t="shared" si="266"/>
        <v/>
      </c>
      <c r="X873" s="111">
        <f t="shared" si="261"/>
        <v>0</v>
      </c>
      <c r="Y873" s="110"/>
      <c r="Z873" s="107"/>
      <c r="AA873" s="111">
        <f t="shared" si="254"/>
        <v>0</v>
      </c>
      <c r="AB873" s="235"/>
      <c r="AC873" s="111">
        <f>IF(SUMIFS('Shipments data'!L:L,'Shipments data'!F:F,'Supply planning data'!C873,'Shipments data'!A:A,'Supply planning data'!A873,'Shipments data'!O:O,"received",'Shipments data'!Q:Q,"&lt;"&amp;'Supply planning data'!D888,'Shipments data'!AC:AC,"&lt;"&amp;'Supply planning data'!D888)-SUMIFS(M:M,D:D,"&lt;="&amp;D873,C:C,C873)-SUMIFS(AA:AA,D:D,"&lt;="&amp;D873,C:C,C873)+SUMIFS(N:N,D:D,"&lt;="&amp;D873,C:C,C873)+SUMIFS(P:P,D:D,"&lt;="&amp;D873,C:C,C873)&lt;0,0,SUMIFS('Shipments data'!L:L,'Shipments data'!F:F,'Supply planning data'!C873,'Shipments data'!A:A,'Supply planning data'!A873,'Shipments data'!O:O,"received",'Shipments data'!Q:Q,"&lt;"&amp;'Supply planning data'!D888,'Shipments data'!AC:AC,"&lt;"&amp;'Supply planning data'!D888)-SUMIFS(M:M,D:D,"&lt;="&amp;D873,C:C,C873)-SUMIFS(AA:AA,D:D,"&lt;="&amp;D873,C:C,C873)+SUMIFS(N:N,D:D,"&lt;="&amp;D873,C:C,C873)+SUMIFS(P:P,D:D,"&lt;="&amp;D873,C:C,C873))</f>
        <v>0</v>
      </c>
      <c r="AD873" s="111">
        <f t="shared" si="262"/>
        <v>0</v>
      </c>
      <c r="AE873" s="111">
        <f t="shared" si="256"/>
        <v>0</v>
      </c>
      <c r="AF873" s="204" t="str">
        <f t="shared" si="265"/>
        <v/>
      </c>
      <c r="AG873" s="111">
        <f t="shared" si="263"/>
        <v>0</v>
      </c>
      <c r="AH873" s="110"/>
      <c r="AI873" s="313"/>
      <c r="AJ873" s="111">
        <f t="shared" si="255"/>
        <v>0</v>
      </c>
      <c r="AK873" s="235"/>
      <c r="AL873" s="111">
        <f>IF(SUMIFS('Shipments data'!L:L,'Shipments data'!F:F,'Supply planning data'!C873,'Shipments data'!A:A,'Supply planning data'!A873,'Shipments data'!O:O,"received",'Shipments data'!Q:Q,"&lt;"&amp;'Supply planning data'!D888,'Shipments data'!AC:AC,"&lt;"&amp;'Supply planning data'!D888)-SUMIFS(M:M,D:D,"&lt;="&amp;D873,C:C,C873)-SUMIFS(AJ:AJ,D:D,"&lt;="&amp;D873,C:C,C873)+SUMIFS(N:N,D:D,"&lt;="&amp;D873,C:C,C873)+SUMIFS(P:P,D:D,"&lt;="&amp;D873,C:C,C873)&lt;0,0,SUMIFS('Shipments data'!L:L,'Shipments data'!F:F,'Supply planning data'!C873,'Shipments data'!A:A,'Supply planning data'!A873,'Shipments data'!O:O,"received",'Shipments data'!Q:Q,"&lt;"&amp;'Supply planning data'!D888,'Shipments data'!AC:AC,"&lt;"&amp;'Supply planning data'!D888)-SUMIFS(M:M,D:D,"&lt;="&amp;D873,C:C,C873)-SUMIFS(AJ:AJ,D:D,"&lt;="&amp;D873,C:C,C873)+SUMIFS(N:N,D:D,"&lt;="&amp;D873,C:C,C873)+SUMIFS(P:P,D:D,"&lt;="&amp;D873,C:C,C873))</f>
        <v>0</v>
      </c>
      <c r="AM873" s="111">
        <f t="shared" si="264"/>
        <v>0</v>
      </c>
      <c r="AN873" s="111">
        <f t="shared" si="257"/>
        <v>0</v>
      </c>
      <c r="AO873" s="204" t="str">
        <f t="shared" si="267"/>
        <v/>
      </c>
    </row>
    <row r="874" spans="1:41" hidden="1" x14ac:dyDescent="0.25">
      <c r="A874" s="113" t="str">
        <f>Start!D$7</f>
        <v>Anyland</v>
      </c>
      <c r="B874" s="114" t="str">
        <f>VLOOKUP(A874,list!B:C,2,FALSE)</f>
        <v>ANY</v>
      </c>
      <c r="C874" s="104" t="str">
        <f>IF(Start!$C$31="","",Start!$C$31)</f>
        <v/>
      </c>
      <c r="D874" s="298">
        <f t="shared" si="258"/>
        <v>45931</v>
      </c>
      <c r="E874" s="105" t="str">
        <f>IFERROR(VLOOKUP(C874,Start!C$15:D$31,2,FALSE),"No")</f>
        <v>No</v>
      </c>
      <c r="F874" s="105">
        <f t="shared" si="259"/>
        <v>0</v>
      </c>
      <c r="G874" s="106"/>
      <c r="H874" s="106"/>
      <c r="I874" s="106"/>
      <c r="J874" s="105">
        <f t="shared" si="251"/>
        <v>0</v>
      </c>
      <c r="K874" s="106"/>
      <c r="L874" s="177" t="str">
        <f t="shared" si="252"/>
        <v/>
      </c>
      <c r="M874" s="105">
        <f t="shared" si="253"/>
        <v>0</v>
      </c>
      <c r="N874" s="110"/>
      <c r="O874" s="124"/>
      <c r="P874" s="110"/>
      <c r="Q874" s="124"/>
      <c r="R874" s="111">
        <f>SUMIFS('Shipments data'!L:L,'Shipments data'!F:F,'Supply planning data'!C874,'Shipments data'!A:A,'Supply planning data'!A874,'Shipments data'!Y:Y,'Supply planning data'!D874,'Shipments data'!O:O,"received", 'Shipments data'!N:N, "Public")</f>
        <v>0</v>
      </c>
      <c r="S874" s="111">
        <f>SUMIFS('Shipments data'!L:L,'Shipments data'!F:F,'Supply planning data'!C874,'Shipments data'!A:A,'Supply planning data'!A874,'Shipments data'!Y:Y,'Supply planning data'!D874,'Shipments data'!O:O,"ordered", 'Shipments data'!N:N, "Public")</f>
        <v>0</v>
      </c>
      <c r="T874" s="111">
        <f>IF(SUMIFS('Shipments data'!L:L,'Shipments data'!F:F,'Supply planning data'!C874,'Shipments data'!A:A,'Supply planning data'!A874,'Shipments data'!O:O,"received",'Shipments data'!Q:Q,"&lt;"&amp;'Supply planning data'!D889,'Shipments data'!AC:AC,"&lt;"&amp;'Supply planning data'!D889)-SUMIFS(M:M,D:D,"&lt;="&amp;D874,C:C,C874)+SUMIFS(N:N,D:D,"&lt;="&amp;D874,C:C,C874)+SUMIFS(P:P,D:D,"&lt;="&amp;D874,C:C,C874)&lt;0,0,SUMIFS('Shipments data'!L:L,'Shipments data'!F:F,'Supply planning data'!C874,'Shipments data'!A:A,'Supply planning data'!A874,'Shipments data'!O:O,"received",'Shipments data'!Q:Q,"&lt;"&amp;'Supply planning data'!D889,'Shipments data'!AC:AC,"&lt;"&amp;'Supply planning data'!D889)-SUMIFS(M:M,D:D,"&lt;="&amp;D874,C:C,C874)+SUMIFS(N:N,D:D,"&lt;="&amp;D874,C:C,C874)+SUMIFS(P:P,D:D,"&lt;="&amp;D874,C:C,C874))</f>
        <v>0</v>
      </c>
      <c r="U874" s="112">
        <f t="shared" si="260"/>
        <v>0</v>
      </c>
      <c r="V874" s="111">
        <f t="shared" si="250"/>
        <v>0</v>
      </c>
      <c r="W874" s="204" t="str">
        <f t="shared" si="266"/>
        <v/>
      </c>
      <c r="X874" s="111">
        <f t="shared" si="261"/>
        <v>0</v>
      </c>
      <c r="Y874" s="110"/>
      <c r="Z874" s="107"/>
      <c r="AA874" s="111">
        <f t="shared" si="254"/>
        <v>0</v>
      </c>
      <c r="AB874" s="235"/>
      <c r="AC874" s="111">
        <f>IF(SUMIFS('Shipments data'!L:L,'Shipments data'!F:F,'Supply planning data'!C874,'Shipments data'!A:A,'Supply planning data'!A874,'Shipments data'!O:O,"received",'Shipments data'!Q:Q,"&lt;"&amp;'Supply planning data'!D889,'Shipments data'!AC:AC,"&lt;"&amp;'Supply planning data'!D889)-SUMIFS(M:M,D:D,"&lt;="&amp;D874,C:C,C874)-SUMIFS(AA:AA,D:D,"&lt;="&amp;D874,C:C,C874)+SUMIFS(N:N,D:D,"&lt;="&amp;D874,C:C,C874)+SUMIFS(P:P,D:D,"&lt;="&amp;D874,C:C,C874)&lt;0,0,SUMIFS('Shipments data'!L:L,'Shipments data'!F:F,'Supply planning data'!C874,'Shipments data'!A:A,'Supply planning data'!A874,'Shipments data'!O:O,"received",'Shipments data'!Q:Q,"&lt;"&amp;'Supply planning data'!D889,'Shipments data'!AC:AC,"&lt;"&amp;'Supply planning data'!D889)-SUMIFS(M:M,D:D,"&lt;="&amp;D874,C:C,C874)-SUMIFS(AA:AA,D:D,"&lt;="&amp;D874,C:C,C874)+SUMIFS(N:N,D:D,"&lt;="&amp;D874,C:C,C874)+SUMIFS(P:P,D:D,"&lt;="&amp;D874,C:C,C874))</f>
        <v>0</v>
      </c>
      <c r="AD874" s="111">
        <f t="shared" si="262"/>
        <v>0</v>
      </c>
      <c r="AE874" s="111">
        <f t="shared" si="256"/>
        <v>0</v>
      </c>
      <c r="AF874" s="204" t="str">
        <f t="shared" si="265"/>
        <v/>
      </c>
      <c r="AG874" s="111">
        <f t="shared" si="263"/>
        <v>0</v>
      </c>
      <c r="AH874" s="110"/>
      <c r="AI874" s="313"/>
      <c r="AJ874" s="111">
        <f t="shared" si="255"/>
        <v>0</v>
      </c>
      <c r="AK874" s="235"/>
      <c r="AL874" s="111">
        <f>IF(SUMIFS('Shipments data'!L:L,'Shipments data'!F:F,'Supply planning data'!C874,'Shipments data'!A:A,'Supply planning data'!A874,'Shipments data'!O:O,"received",'Shipments data'!Q:Q,"&lt;"&amp;'Supply planning data'!D889,'Shipments data'!AC:AC,"&lt;"&amp;'Supply planning data'!D889)-SUMIFS(M:M,D:D,"&lt;="&amp;D874,C:C,C874)-SUMIFS(AJ:AJ,D:D,"&lt;="&amp;D874,C:C,C874)+SUMIFS(N:N,D:D,"&lt;="&amp;D874,C:C,C874)+SUMIFS(P:P,D:D,"&lt;="&amp;D874,C:C,C874)&lt;0,0,SUMIFS('Shipments data'!L:L,'Shipments data'!F:F,'Supply planning data'!C874,'Shipments data'!A:A,'Supply planning data'!A874,'Shipments data'!O:O,"received",'Shipments data'!Q:Q,"&lt;"&amp;'Supply planning data'!D889,'Shipments data'!AC:AC,"&lt;"&amp;'Supply planning data'!D889)-SUMIFS(M:M,D:D,"&lt;="&amp;D874,C:C,C874)-SUMIFS(AJ:AJ,D:D,"&lt;="&amp;D874,C:C,C874)+SUMIFS(N:N,D:D,"&lt;="&amp;D874,C:C,C874)+SUMIFS(P:P,D:D,"&lt;="&amp;D874,C:C,C874))</f>
        <v>0</v>
      </c>
      <c r="AM874" s="111">
        <f t="shared" si="264"/>
        <v>0</v>
      </c>
      <c r="AN874" s="111">
        <f t="shared" si="257"/>
        <v>0</v>
      </c>
      <c r="AO874" s="204" t="str">
        <f t="shared" si="267"/>
        <v/>
      </c>
    </row>
    <row r="875" spans="1:41" x14ac:dyDescent="0.25">
      <c r="A875" s="89" t="str">
        <f>Start!D$7</f>
        <v>Anyland</v>
      </c>
      <c r="B875" s="90" t="str">
        <f>VLOOKUP(A875,list!B:C,2,FALSE)</f>
        <v>ANY</v>
      </c>
      <c r="C875" s="90" t="str">
        <f>IF(Start!$C$17="","",Start!$C$17)</f>
        <v>AstraZeneca</v>
      </c>
      <c r="D875" s="296">
        <f t="shared" si="258"/>
        <v>45962</v>
      </c>
      <c r="E875" s="92" t="str">
        <f>IFERROR(VLOOKUP(C875,Start!C$15:D$31,2,FALSE),"No")</f>
        <v>Yes</v>
      </c>
      <c r="F875" s="92">
        <f t="shared" si="259"/>
        <v>0</v>
      </c>
      <c r="G875" s="91"/>
      <c r="H875" s="91"/>
      <c r="I875" s="91"/>
      <c r="J875" s="92">
        <f t="shared" si="251"/>
        <v>0</v>
      </c>
      <c r="K875" s="91"/>
      <c r="L875" s="174" t="str">
        <f t="shared" si="252"/>
        <v/>
      </c>
      <c r="M875" s="92">
        <f t="shared" si="253"/>
        <v>0</v>
      </c>
      <c r="N875" s="91"/>
      <c r="O875" s="121"/>
      <c r="P875" s="91"/>
      <c r="Q875" s="121"/>
      <c r="R875" s="92">
        <f>SUMIFS('Shipments data'!L:L,'Shipments data'!F:F,'Supply planning data'!C875,'Shipments data'!A:A,'Supply planning data'!A875,'Shipments data'!Y:Y,'Supply planning data'!D875,'Shipments data'!O:O,"received", 'Shipments data'!N:N, "Public")</f>
        <v>0</v>
      </c>
      <c r="S875" s="92">
        <f>SUMIFS('Shipments data'!L:L,'Shipments data'!F:F,'Supply planning data'!C875,'Shipments data'!A:A,'Supply planning data'!A875,'Shipments data'!Y:Y,'Supply planning data'!D875,'Shipments data'!O:O,"ordered", 'Shipments data'!N:N, "Public")</f>
        <v>0</v>
      </c>
      <c r="T875" s="92">
        <f>IF(SUMIFS('Shipments data'!L:L,'Shipments data'!F:F,'Supply planning data'!C875,'Shipments data'!A:A,'Supply planning data'!A875,'Shipments data'!O:O,"received",'Shipments data'!Q:Q,"&lt;"&amp;'Supply planning data'!D890,'Shipments data'!AC:AC,"&lt;"&amp;'Supply planning data'!D890)-SUMIFS(M:M,D:D,"&lt;="&amp;D875,C:C,C875)+SUMIFS(N:N,D:D,"&lt;="&amp;D875,C:C,C875)+SUMIFS(P:P,D:D,"&lt;="&amp;D875,C:C,C875)&lt;0,0,SUMIFS('Shipments data'!L:L,'Shipments data'!F:F,'Supply planning data'!C875,'Shipments data'!A:A,'Supply planning data'!A875,'Shipments data'!O:O,"received",'Shipments data'!Q:Q,"&lt;"&amp;'Supply planning data'!D890,'Shipments data'!AC:AC,"&lt;"&amp;'Supply planning data'!D890)-SUMIFS(M:M,D:D,"&lt;="&amp;D875,C:C,C875)+SUMIFS(N:N,D:D,"&lt;="&amp;D875,C:C,C875)+SUMIFS(P:P,D:D,"&lt;="&amp;D875,C:C,C875))</f>
        <v>0</v>
      </c>
      <c r="U875" s="94">
        <f t="shared" si="260"/>
        <v>0</v>
      </c>
      <c r="V875" s="92">
        <f t="shared" si="250"/>
        <v>0</v>
      </c>
      <c r="W875" s="205" t="str">
        <f t="shared" si="266"/>
        <v/>
      </c>
      <c r="X875" s="92">
        <f t="shared" si="261"/>
        <v>154701</v>
      </c>
      <c r="Y875" s="91"/>
      <c r="Z875" s="93"/>
      <c r="AA875" s="92">
        <f t="shared" si="254"/>
        <v>0</v>
      </c>
      <c r="AB875" s="232"/>
      <c r="AC875" s="92">
        <f>IF(SUMIFS('Shipments data'!L:L,'Shipments data'!F:F,'Supply planning data'!C875,'Shipments data'!A:A,'Supply planning data'!A875,'Shipments data'!O:O,"received",'Shipments data'!Q:Q,"&lt;"&amp;'Supply planning data'!D890,'Shipments data'!AC:AC,"&lt;"&amp;'Supply planning data'!D890)-SUMIFS(M:M,D:D,"&lt;="&amp;D875,C:C,C875)-SUMIFS(AA:AA,D:D,"&lt;="&amp;D875,C:C,C875)+SUMIFS(N:N,D:D,"&lt;="&amp;D875,C:C,C875)+SUMIFS(P:P,D:D,"&lt;="&amp;D875,C:C,C875)&lt;0,0,SUMIFS('Shipments data'!L:L,'Shipments data'!F:F,'Supply planning data'!C875,'Shipments data'!A:A,'Supply planning data'!A875,'Shipments data'!O:O,"received",'Shipments data'!Q:Q,"&lt;"&amp;'Supply planning data'!D890,'Shipments data'!AC:AC,"&lt;"&amp;'Supply planning data'!D890)-SUMIFS(M:M,D:D,"&lt;="&amp;D875,C:C,C875)-SUMIFS(AA:AA,D:D,"&lt;="&amp;D875,C:C,C875)+SUMIFS(N:N,D:D,"&lt;="&amp;D875,C:C,C875)+SUMIFS(P:P,D:D,"&lt;="&amp;D875,C:C,C875))</f>
        <v>0</v>
      </c>
      <c r="AD875" s="92">
        <f t="shared" si="262"/>
        <v>0</v>
      </c>
      <c r="AE875" s="92">
        <f t="shared" si="256"/>
        <v>154701</v>
      </c>
      <c r="AF875" s="205" t="str">
        <f t="shared" si="265"/>
        <v/>
      </c>
      <c r="AG875" s="92">
        <f t="shared" si="263"/>
        <v>0</v>
      </c>
      <c r="AH875" s="91"/>
      <c r="AI875" s="310"/>
      <c r="AJ875" s="92">
        <f t="shared" si="255"/>
        <v>0</v>
      </c>
      <c r="AK875" s="232"/>
      <c r="AL875" s="92">
        <f>IF(SUMIFS('Shipments data'!L:L,'Shipments data'!F:F,'Supply planning data'!C875,'Shipments data'!A:A,'Supply planning data'!A875,'Shipments data'!O:O,"received",'Shipments data'!Q:Q,"&lt;"&amp;'Supply planning data'!D890,'Shipments data'!AC:AC,"&lt;"&amp;'Supply planning data'!D890)-SUMIFS(M:M,D:D,"&lt;="&amp;D875,C:C,C875)-SUMIFS(AJ:AJ,D:D,"&lt;="&amp;D875,C:C,C875)+SUMIFS(N:N,D:D,"&lt;="&amp;D875,C:C,C875)+SUMIFS(P:P,D:D,"&lt;="&amp;D875,C:C,C875)&lt;0,0,SUMIFS('Shipments data'!L:L,'Shipments data'!F:F,'Supply planning data'!C875,'Shipments data'!A:A,'Supply planning data'!A875,'Shipments data'!O:O,"received",'Shipments data'!Q:Q,"&lt;"&amp;'Supply planning data'!D890,'Shipments data'!AC:AC,"&lt;"&amp;'Supply planning data'!D890)-SUMIFS(M:M,D:D,"&lt;="&amp;D875,C:C,C875)-SUMIFS(AJ:AJ,D:D,"&lt;="&amp;D875,C:C,C875)+SUMIFS(N:N,D:D,"&lt;="&amp;D875,C:C,C875)+SUMIFS(P:P,D:D,"&lt;="&amp;D875,C:C,C875))</f>
        <v>0</v>
      </c>
      <c r="AM875" s="92">
        <f t="shared" si="264"/>
        <v>0</v>
      </c>
      <c r="AN875" s="92">
        <f t="shared" si="257"/>
        <v>0</v>
      </c>
      <c r="AO875" s="205" t="str">
        <f t="shared" si="267"/>
        <v/>
      </c>
    </row>
    <row r="876" spans="1:41" x14ac:dyDescent="0.25">
      <c r="A876" s="95" t="str">
        <f>Start!D$7</f>
        <v>Anyland</v>
      </c>
      <c r="B876" s="96" t="str">
        <f>VLOOKUP(A876,list!B:C,2,FALSE)</f>
        <v>ANY</v>
      </c>
      <c r="C876" s="90" t="str">
        <f>IF(Start!$C$18="","",Start!$C$18)</f>
        <v>Jansen</v>
      </c>
      <c r="D876" s="296">
        <f t="shared" si="258"/>
        <v>45962</v>
      </c>
      <c r="E876" s="92" t="str">
        <f>IFERROR(VLOOKUP(C876,Start!C$15:D$31,2,FALSE),"No")</f>
        <v>Yes</v>
      </c>
      <c r="F876" s="92">
        <f t="shared" si="259"/>
        <v>1871200</v>
      </c>
      <c r="G876" s="91"/>
      <c r="H876" s="97"/>
      <c r="I876" s="97"/>
      <c r="J876" s="98">
        <f t="shared" si="251"/>
        <v>0</v>
      </c>
      <c r="K876" s="97"/>
      <c r="L876" s="175" t="str">
        <f t="shared" si="252"/>
        <v/>
      </c>
      <c r="M876" s="98">
        <f t="shared" si="253"/>
        <v>0</v>
      </c>
      <c r="N876" s="97"/>
      <c r="O876" s="122"/>
      <c r="P876" s="97"/>
      <c r="Q876" s="122"/>
      <c r="R876" s="98">
        <f>SUMIFS('Shipments data'!L:L,'Shipments data'!F:F,'Supply planning data'!C876,'Shipments data'!A:A,'Supply planning data'!A876,'Shipments data'!Y:Y,'Supply planning data'!D876,'Shipments data'!O:O,"received", 'Shipments data'!N:N, "Public")</f>
        <v>0</v>
      </c>
      <c r="S876" s="98">
        <f>SUMIFS('Shipments data'!L:L,'Shipments data'!F:F,'Supply planning data'!C876,'Shipments data'!A:A,'Supply planning data'!A876,'Shipments data'!Y:Y,'Supply planning data'!D876,'Shipments data'!O:O,"ordered", 'Shipments data'!N:N, "Public")</f>
        <v>0</v>
      </c>
      <c r="T876" s="98">
        <f>IF(SUMIFS('Shipments data'!L:L,'Shipments data'!F:F,'Supply planning data'!C876,'Shipments data'!A:A,'Supply planning data'!A876,'Shipments data'!O:O,"received",'Shipments data'!Q:Q,"&lt;"&amp;'Supply planning data'!D891,'Shipments data'!AC:AC,"&lt;"&amp;'Supply planning data'!D891)-SUMIFS(M:M,D:D,"&lt;="&amp;D876,C:C,C876)+SUMIFS(N:N,D:D,"&lt;="&amp;D876,C:C,C876)+SUMIFS(P:P,D:D,"&lt;="&amp;D876,C:C,C876)&lt;0,0,SUMIFS('Shipments data'!L:L,'Shipments data'!F:F,'Supply planning data'!C876,'Shipments data'!A:A,'Supply planning data'!A876,'Shipments data'!O:O,"received",'Shipments data'!Q:Q,"&lt;"&amp;'Supply planning data'!D891,'Shipments data'!AC:AC,"&lt;"&amp;'Supply planning data'!D891)-SUMIFS(M:M,D:D,"&lt;="&amp;D876,C:C,C876)+SUMIFS(N:N,D:D,"&lt;="&amp;D876,C:C,C876)+SUMIFS(P:P,D:D,"&lt;="&amp;D876,C:C,C876))</f>
        <v>387547</v>
      </c>
      <c r="U876" s="99">
        <f t="shared" si="260"/>
        <v>0</v>
      </c>
      <c r="V876" s="98">
        <f t="shared" si="250"/>
        <v>1871200</v>
      </c>
      <c r="W876" s="203" t="str">
        <f t="shared" si="266"/>
        <v/>
      </c>
      <c r="X876" s="98">
        <f t="shared" si="261"/>
        <v>1311200</v>
      </c>
      <c r="Y876" s="97"/>
      <c r="Z876" s="93"/>
      <c r="AA876" s="98">
        <f t="shared" si="254"/>
        <v>0</v>
      </c>
      <c r="AB876" s="233"/>
      <c r="AC876" s="98">
        <f>IF(SUMIFS('Shipments data'!L:L,'Shipments data'!F:F,'Supply planning data'!C876,'Shipments data'!A:A,'Supply planning data'!A876,'Shipments data'!O:O,"received",'Shipments data'!Q:Q,"&lt;"&amp;'Supply planning data'!D891,'Shipments data'!AC:AC,"&lt;"&amp;'Supply planning data'!D891)-SUMIFS(M:M,D:D,"&lt;="&amp;D876,C:C,C876)-SUMIFS(AA:AA,D:D,"&lt;="&amp;D876,C:C,C876)+SUMIFS(N:N,D:D,"&lt;="&amp;D876,C:C,C876)+SUMIFS(P:P,D:D,"&lt;="&amp;D876,C:C,C876)&lt;0,0,SUMIFS('Shipments data'!L:L,'Shipments data'!F:F,'Supply planning data'!C876,'Shipments data'!A:A,'Supply planning data'!A876,'Shipments data'!O:O,"received",'Shipments data'!Q:Q,"&lt;"&amp;'Supply planning data'!D891,'Shipments data'!AC:AC,"&lt;"&amp;'Supply planning data'!D891)-SUMIFS(M:M,D:D,"&lt;="&amp;D876,C:C,C876)-SUMIFS(AA:AA,D:D,"&lt;="&amp;D876,C:C,C876)+SUMIFS(N:N,D:D,"&lt;="&amp;D876,C:C,C876)+SUMIFS(P:P,D:D,"&lt;="&amp;D876,C:C,C876))</f>
        <v>0</v>
      </c>
      <c r="AD876" s="98">
        <f t="shared" si="262"/>
        <v>0</v>
      </c>
      <c r="AE876" s="98">
        <f t="shared" si="256"/>
        <v>1311200</v>
      </c>
      <c r="AF876" s="205" t="str">
        <f t="shared" si="265"/>
        <v/>
      </c>
      <c r="AG876" s="98">
        <f t="shared" si="263"/>
        <v>1871200</v>
      </c>
      <c r="AH876" s="97"/>
      <c r="AI876" s="311"/>
      <c r="AJ876" s="98">
        <f t="shared" si="255"/>
        <v>0</v>
      </c>
      <c r="AK876" s="233"/>
      <c r="AL876" s="98">
        <f>IF(SUMIFS('Shipments data'!L:L,'Shipments data'!F:F,'Supply planning data'!C876,'Shipments data'!A:A,'Supply planning data'!A876,'Shipments data'!O:O,"received",'Shipments data'!Q:Q,"&lt;"&amp;'Supply planning data'!D891,'Shipments data'!AC:AC,"&lt;"&amp;'Supply planning data'!D891)-SUMIFS(M:M,D:D,"&lt;="&amp;D876,C:C,C876)-SUMIFS(AJ:AJ,D:D,"&lt;="&amp;D876,C:C,C876)+SUMIFS(N:N,D:D,"&lt;="&amp;D876,C:C,C876)+SUMIFS(P:P,D:D,"&lt;="&amp;D876,C:C,C876)&lt;0,0,SUMIFS('Shipments data'!L:L,'Shipments data'!F:F,'Supply planning data'!C876,'Shipments data'!A:A,'Supply planning data'!A876,'Shipments data'!O:O,"received",'Shipments data'!Q:Q,"&lt;"&amp;'Supply planning data'!D891,'Shipments data'!AC:AC,"&lt;"&amp;'Supply planning data'!D891)-SUMIFS(M:M,D:D,"&lt;="&amp;D876,C:C,C876)-SUMIFS(AJ:AJ,D:D,"&lt;="&amp;D876,C:C,C876)+SUMIFS(N:N,D:D,"&lt;="&amp;D876,C:C,C876)+SUMIFS(P:P,D:D,"&lt;="&amp;D876,C:C,C876))</f>
        <v>387547</v>
      </c>
      <c r="AM876" s="98">
        <f t="shared" si="264"/>
        <v>0</v>
      </c>
      <c r="AN876" s="98">
        <f t="shared" si="257"/>
        <v>1871200</v>
      </c>
      <c r="AO876" s="203" t="str">
        <f t="shared" si="267"/>
        <v/>
      </c>
    </row>
    <row r="877" spans="1:41" x14ac:dyDescent="0.25">
      <c r="A877" s="95" t="str">
        <f>Start!D$7</f>
        <v>Anyland</v>
      </c>
      <c r="B877" s="96" t="str">
        <f>VLOOKUP(A877,list!B:C,2,FALSE)</f>
        <v>ANY</v>
      </c>
      <c r="C877" s="90" t="str">
        <f>IF(Start!$C$19="","",Start!$C$19)</f>
        <v>Moderna</v>
      </c>
      <c r="D877" s="296">
        <f t="shared" si="258"/>
        <v>45962</v>
      </c>
      <c r="E877" s="92" t="str">
        <f>IFERROR(VLOOKUP(C877,Start!C$15:D$31,2,FALSE),"No")</f>
        <v>No</v>
      </c>
      <c r="F877" s="92">
        <f t="shared" si="259"/>
        <v>0</v>
      </c>
      <c r="G877" s="91"/>
      <c r="H877" s="97"/>
      <c r="I877" s="97"/>
      <c r="J877" s="98">
        <f t="shared" si="251"/>
        <v>0</v>
      </c>
      <c r="K877" s="97"/>
      <c r="L877" s="175" t="str">
        <f t="shared" si="252"/>
        <v/>
      </c>
      <c r="M877" s="98">
        <f t="shared" si="253"/>
        <v>0</v>
      </c>
      <c r="N877" s="97"/>
      <c r="O877" s="122"/>
      <c r="P877" s="97"/>
      <c r="Q877" s="122"/>
      <c r="R877" s="98">
        <f>SUMIFS('Shipments data'!L:L,'Shipments data'!F:F,'Supply planning data'!C877,'Shipments data'!A:A,'Supply planning data'!A877,'Shipments data'!Y:Y,'Supply planning data'!D877,'Shipments data'!O:O,"received", 'Shipments data'!N:N, "Public")</f>
        <v>0</v>
      </c>
      <c r="S877" s="98">
        <f>SUMIFS('Shipments data'!L:L,'Shipments data'!F:F,'Supply planning data'!C877,'Shipments data'!A:A,'Supply planning data'!A877,'Shipments data'!Y:Y,'Supply planning data'!D877,'Shipments data'!O:O,"ordered", 'Shipments data'!N:N, "Public")</f>
        <v>0</v>
      </c>
      <c r="T877" s="98">
        <f>IF(SUMIFS('Shipments data'!L:L,'Shipments data'!F:F,'Supply planning data'!C877,'Shipments data'!A:A,'Supply planning data'!A877,'Shipments data'!O:O,"received",'Shipments data'!Q:Q,"&lt;"&amp;'Supply planning data'!D892,'Shipments data'!AC:AC,"&lt;"&amp;'Supply planning data'!D892)-SUMIFS(M:M,D:D,"&lt;="&amp;D877,C:C,C877)+SUMIFS(N:N,D:D,"&lt;="&amp;D877,C:C,C877)+SUMIFS(P:P,D:D,"&lt;="&amp;D877,C:C,C877)&lt;0,0,SUMIFS('Shipments data'!L:L,'Shipments data'!F:F,'Supply planning data'!C877,'Shipments data'!A:A,'Supply planning data'!A877,'Shipments data'!O:O,"received",'Shipments data'!Q:Q,"&lt;"&amp;'Supply planning data'!D892,'Shipments data'!AC:AC,"&lt;"&amp;'Supply planning data'!D892)-SUMIFS(M:M,D:D,"&lt;="&amp;D877,C:C,C877)+SUMIFS(N:N,D:D,"&lt;="&amp;D877,C:C,C877)+SUMIFS(P:P,D:D,"&lt;="&amp;D877,C:C,C877))</f>
        <v>0</v>
      </c>
      <c r="U877" s="99">
        <f t="shared" si="260"/>
        <v>0</v>
      </c>
      <c r="V877" s="98">
        <f t="shared" si="250"/>
        <v>0</v>
      </c>
      <c r="W877" s="203" t="str">
        <f t="shared" si="266"/>
        <v/>
      </c>
      <c r="X877" s="98">
        <f t="shared" si="261"/>
        <v>0</v>
      </c>
      <c r="Y877" s="97"/>
      <c r="Z877" s="93"/>
      <c r="AA877" s="98">
        <f t="shared" si="254"/>
        <v>0</v>
      </c>
      <c r="AB877" s="233"/>
      <c r="AC877" s="98">
        <f>IF(SUMIFS('Shipments data'!L:L,'Shipments data'!F:F,'Supply planning data'!C877,'Shipments data'!A:A,'Supply planning data'!A877,'Shipments data'!O:O,"received",'Shipments data'!Q:Q,"&lt;"&amp;'Supply planning data'!D892,'Shipments data'!AC:AC,"&lt;"&amp;'Supply planning data'!D892)-SUMIFS(M:M,D:D,"&lt;="&amp;D877,C:C,C877)-SUMIFS(AA:AA,D:D,"&lt;="&amp;D877,C:C,C877)+SUMIFS(N:N,D:D,"&lt;="&amp;D877,C:C,C877)+SUMIFS(P:P,D:D,"&lt;="&amp;D877,C:C,C877)&lt;0,0,SUMIFS('Shipments data'!L:L,'Shipments data'!F:F,'Supply planning data'!C877,'Shipments data'!A:A,'Supply planning data'!A877,'Shipments data'!O:O,"received",'Shipments data'!Q:Q,"&lt;"&amp;'Supply planning data'!D892,'Shipments data'!AC:AC,"&lt;"&amp;'Supply planning data'!D892)-SUMIFS(M:M,D:D,"&lt;="&amp;D877,C:C,C877)-SUMIFS(AA:AA,D:D,"&lt;="&amp;D877,C:C,C877)+SUMIFS(N:N,D:D,"&lt;="&amp;D877,C:C,C877)+SUMIFS(P:P,D:D,"&lt;="&amp;D877,C:C,C877))</f>
        <v>0</v>
      </c>
      <c r="AD877" s="98">
        <f t="shared" si="262"/>
        <v>0</v>
      </c>
      <c r="AE877" s="98">
        <f t="shared" si="256"/>
        <v>0</v>
      </c>
      <c r="AF877" s="205" t="str">
        <f t="shared" si="265"/>
        <v/>
      </c>
      <c r="AG877" s="98">
        <f t="shared" si="263"/>
        <v>0</v>
      </c>
      <c r="AH877" s="97"/>
      <c r="AI877" s="311"/>
      <c r="AJ877" s="98">
        <f t="shared" si="255"/>
        <v>0</v>
      </c>
      <c r="AK877" s="233"/>
      <c r="AL877" s="98">
        <f>IF(SUMIFS('Shipments data'!L:L,'Shipments data'!F:F,'Supply planning data'!C877,'Shipments data'!A:A,'Supply planning data'!A877,'Shipments data'!O:O,"received",'Shipments data'!Q:Q,"&lt;"&amp;'Supply planning data'!D892,'Shipments data'!AC:AC,"&lt;"&amp;'Supply planning data'!D892)-SUMIFS(M:M,D:D,"&lt;="&amp;D877,C:C,C877)-SUMIFS(AJ:AJ,D:D,"&lt;="&amp;D877,C:C,C877)+SUMIFS(N:N,D:D,"&lt;="&amp;D877,C:C,C877)+SUMIFS(P:P,D:D,"&lt;="&amp;D877,C:C,C877)&lt;0,0,SUMIFS('Shipments data'!L:L,'Shipments data'!F:F,'Supply planning data'!C877,'Shipments data'!A:A,'Supply planning data'!A877,'Shipments data'!O:O,"received",'Shipments data'!Q:Q,"&lt;"&amp;'Supply planning data'!D892,'Shipments data'!AC:AC,"&lt;"&amp;'Supply planning data'!D892)-SUMIFS(M:M,D:D,"&lt;="&amp;D877,C:C,C877)-SUMIFS(AJ:AJ,D:D,"&lt;="&amp;D877,C:C,C877)+SUMIFS(N:N,D:D,"&lt;="&amp;D877,C:C,C877)+SUMIFS(P:P,D:D,"&lt;="&amp;D877,C:C,C877))</f>
        <v>0</v>
      </c>
      <c r="AM877" s="98">
        <f t="shared" si="264"/>
        <v>0</v>
      </c>
      <c r="AN877" s="98">
        <f t="shared" si="257"/>
        <v>0</v>
      </c>
      <c r="AO877" s="203" t="str">
        <f t="shared" si="267"/>
        <v/>
      </c>
    </row>
    <row r="878" spans="1:41" x14ac:dyDescent="0.25">
      <c r="A878" s="95" t="str">
        <f>Start!D$7</f>
        <v>Anyland</v>
      </c>
      <c r="B878" s="96" t="str">
        <f>VLOOKUP(A878,list!B:C,2,FALSE)</f>
        <v>ANY</v>
      </c>
      <c r="C878" s="90" t="str">
        <f>IF(Start!$C$20="","",Start!$C$20)</f>
        <v>Pfizer</v>
      </c>
      <c r="D878" s="296">
        <f t="shared" si="258"/>
        <v>45962</v>
      </c>
      <c r="E878" s="92" t="str">
        <f>IFERROR(VLOOKUP(C878,Start!C$15:D$31,2,FALSE),"No")</f>
        <v>Yes</v>
      </c>
      <c r="F878" s="92">
        <f t="shared" si="259"/>
        <v>3000000</v>
      </c>
      <c r="G878" s="91"/>
      <c r="H878" s="97"/>
      <c r="I878" s="97"/>
      <c r="J878" s="98">
        <f t="shared" si="251"/>
        <v>0</v>
      </c>
      <c r="K878" s="97"/>
      <c r="L878" s="175" t="str">
        <f t="shared" si="252"/>
        <v/>
      </c>
      <c r="M878" s="98">
        <f t="shared" si="253"/>
        <v>0</v>
      </c>
      <c r="N878" s="97"/>
      <c r="O878" s="122"/>
      <c r="P878" s="97"/>
      <c r="Q878" s="122"/>
      <c r="R878" s="98">
        <f>SUMIFS('Shipments data'!L:L,'Shipments data'!F:F,'Supply planning data'!C878,'Shipments data'!A:A,'Supply planning data'!A878,'Shipments data'!Y:Y,'Supply planning data'!D878,'Shipments data'!O:O,"received", 'Shipments data'!N:N, "Public")</f>
        <v>0</v>
      </c>
      <c r="S878" s="98">
        <f>SUMIFS('Shipments data'!L:L,'Shipments data'!F:F,'Supply planning data'!C878,'Shipments data'!A:A,'Supply planning data'!A878,'Shipments data'!Y:Y,'Supply planning data'!D878,'Shipments data'!O:O,"ordered", 'Shipments data'!N:N, "Public")</f>
        <v>0</v>
      </c>
      <c r="T878" s="98">
        <f>IF(SUMIFS('Shipments data'!L:L,'Shipments data'!F:F,'Supply planning data'!C878,'Shipments data'!A:A,'Supply planning data'!A878,'Shipments data'!O:O,"received",'Shipments data'!Q:Q,"&lt;"&amp;'Supply planning data'!D893,'Shipments data'!AC:AC,"&lt;"&amp;'Supply planning data'!D893)-SUMIFS(M:M,D:D,"&lt;="&amp;D878,C:C,C878)+SUMIFS(N:N,D:D,"&lt;="&amp;D878,C:C,C878)+SUMIFS(P:P,D:D,"&lt;="&amp;D878,C:C,C878)&lt;0,0,SUMIFS('Shipments data'!L:L,'Shipments data'!F:F,'Supply planning data'!C878,'Shipments data'!A:A,'Supply planning data'!A878,'Shipments data'!O:O,"received",'Shipments data'!Q:Q,"&lt;"&amp;'Supply planning data'!D893,'Shipments data'!AC:AC,"&lt;"&amp;'Supply planning data'!D893)-SUMIFS(M:M,D:D,"&lt;="&amp;D878,C:C,C878)+SUMIFS(N:N,D:D,"&lt;="&amp;D878,C:C,C878)+SUMIFS(P:P,D:D,"&lt;="&amp;D878,C:C,C878))</f>
        <v>110538</v>
      </c>
      <c r="U878" s="99">
        <f t="shared" si="260"/>
        <v>0</v>
      </c>
      <c r="V878" s="98">
        <f t="shared" si="250"/>
        <v>3000000</v>
      </c>
      <c r="W878" s="203" t="str">
        <f t="shared" si="266"/>
        <v/>
      </c>
      <c r="X878" s="98">
        <f t="shared" si="261"/>
        <v>2440000</v>
      </c>
      <c r="Y878" s="97"/>
      <c r="Z878" s="93"/>
      <c r="AA878" s="98">
        <f t="shared" si="254"/>
        <v>0</v>
      </c>
      <c r="AB878" s="233"/>
      <c r="AC878" s="98">
        <f>IF(SUMIFS('Shipments data'!L:L,'Shipments data'!F:F,'Supply planning data'!C878,'Shipments data'!A:A,'Supply planning data'!A878,'Shipments data'!O:O,"received",'Shipments data'!Q:Q,"&lt;"&amp;'Supply planning data'!D893,'Shipments data'!AC:AC,"&lt;"&amp;'Supply planning data'!D893)-SUMIFS(M:M,D:D,"&lt;="&amp;D878,C:C,C878)-SUMIFS(AA:AA,D:D,"&lt;="&amp;D878,C:C,C878)+SUMIFS(N:N,D:D,"&lt;="&amp;D878,C:C,C878)+SUMIFS(P:P,D:D,"&lt;="&amp;D878,C:C,C878)&lt;0,0,SUMIFS('Shipments data'!L:L,'Shipments data'!F:F,'Supply planning data'!C878,'Shipments data'!A:A,'Supply planning data'!A878,'Shipments data'!O:O,"received",'Shipments data'!Q:Q,"&lt;"&amp;'Supply planning data'!D893,'Shipments data'!AC:AC,"&lt;"&amp;'Supply planning data'!D893)-SUMIFS(M:M,D:D,"&lt;="&amp;D878,C:C,C878)-SUMIFS(AA:AA,D:D,"&lt;="&amp;D878,C:C,C878)+SUMIFS(N:N,D:D,"&lt;="&amp;D878,C:C,C878)+SUMIFS(P:P,D:D,"&lt;="&amp;D878,C:C,C878))</f>
        <v>0</v>
      </c>
      <c r="AD878" s="98">
        <f t="shared" si="262"/>
        <v>0</v>
      </c>
      <c r="AE878" s="98">
        <f t="shared" si="256"/>
        <v>2440000</v>
      </c>
      <c r="AF878" s="205" t="str">
        <f t="shared" si="265"/>
        <v/>
      </c>
      <c r="AG878" s="98">
        <f t="shared" si="263"/>
        <v>3000000</v>
      </c>
      <c r="AH878" s="97"/>
      <c r="AI878" s="311"/>
      <c r="AJ878" s="98">
        <f t="shared" si="255"/>
        <v>0</v>
      </c>
      <c r="AK878" s="233"/>
      <c r="AL878" s="98">
        <f>IF(SUMIFS('Shipments data'!L:L,'Shipments data'!F:F,'Supply planning data'!C878,'Shipments data'!A:A,'Supply planning data'!A878,'Shipments data'!O:O,"received",'Shipments data'!Q:Q,"&lt;"&amp;'Supply planning data'!D893,'Shipments data'!AC:AC,"&lt;"&amp;'Supply planning data'!D893)-SUMIFS(M:M,D:D,"&lt;="&amp;D878,C:C,C878)-SUMIFS(AJ:AJ,D:D,"&lt;="&amp;D878,C:C,C878)+SUMIFS(N:N,D:D,"&lt;="&amp;D878,C:C,C878)+SUMIFS(P:P,D:D,"&lt;="&amp;D878,C:C,C878)&lt;0,0,SUMIFS('Shipments data'!L:L,'Shipments data'!F:F,'Supply planning data'!C878,'Shipments data'!A:A,'Supply planning data'!A878,'Shipments data'!O:O,"received",'Shipments data'!Q:Q,"&lt;"&amp;'Supply planning data'!D893,'Shipments data'!AC:AC,"&lt;"&amp;'Supply planning data'!D893)-SUMIFS(M:M,D:D,"&lt;="&amp;D878,C:C,C878)-SUMIFS(AJ:AJ,D:D,"&lt;="&amp;D878,C:C,C878)+SUMIFS(N:N,D:D,"&lt;="&amp;D878,C:C,C878)+SUMIFS(P:P,D:D,"&lt;="&amp;D878,C:C,C878))</f>
        <v>110538</v>
      </c>
      <c r="AM878" s="98">
        <f t="shared" si="264"/>
        <v>0</v>
      </c>
      <c r="AN878" s="98">
        <f t="shared" si="257"/>
        <v>3000000</v>
      </c>
      <c r="AO878" s="203" t="str">
        <f t="shared" si="267"/>
        <v/>
      </c>
    </row>
    <row r="879" spans="1:41" x14ac:dyDescent="0.25">
      <c r="A879" s="95" t="str">
        <f>Start!D$7</f>
        <v>Anyland</v>
      </c>
      <c r="B879" s="96" t="str">
        <f>VLOOKUP(A879,list!B:C,2,FALSE)</f>
        <v>ANY</v>
      </c>
      <c r="C879" s="90" t="str">
        <f>IF(Start!$C$21="","",Start!$C$21)</f>
        <v>Sinovac</v>
      </c>
      <c r="D879" s="296">
        <f t="shared" si="258"/>
        <v>45962</v>
      </c>
      <c r="E879" s="92" t="str">
        <f>IFERROR(VLOOKUP(C879,Start!C$15:D$31,2,FALSE),"No")</f>
        <v>No</v>
      </c>
      <c r="F879" s="92">
        <f t="shared" si="259"/>
        <v>0</v>
      </c>
      <c r="G879" s="91"/>
      <c r="H879" s="97"/>
      <c r="I879" s="97"/>
      <c r="J879" s="98">
        <f t="shared" si="251"/>
        <v>0</v>
      </c>
      <c r="K879" s="97"/>
      <c r="L879" s="175" t="str">
        <f t="shared" si="252"/>
        <v/>
      </c>
      <c r="M879" s="98">
        <f t="shared" si="253"/>
        <v>0</v>
      </c>
      <c r="N879" s="97"/>
      <c r="O879" s="122"/>
      <c r="P879" s="97"/>
      <c r="Q879" s="122"/>
      <c r="R879" s="98">
        <f>SUMIFS('Shipments data'!L:L,'Shipments data'!F:F,'Supply planning data'!C879,'Shipments data'!A:A,'Supply planning data'!A879,'Shipments data'!Y:Y,'Supply planning data'!D879,'Shipments data'!O:O,"received", 'Shipments data'!N:N, "Public")</f>
        <v>0</v>
      </c>
      <c r="S879" s="98">
        <f>SUMIFS('Shipments data'!L:L,'Shipments data'!F:F,'Supply planning data'!C879,'Shipments data'!A:A,'Supply planning data'!A879,'Shipments data'!Y:Y,'Supply planning data'!D879,'Shipments data'!O:O,"ordered", 'Shipments data'!N:N, "Public")</f>
        <v>0</v>
      </c>
      <c r="T879" s="98">
        <f>IF(SUMIFS('Shipments data'!L:L,'Shipments data'!F:F,'Supply planning data'!C879,'Shipments data'!A:A,'Supply planning data'!A879,'Shipments data'!O:O,"received",'Shipments data'!Q:Q,"&lt;"&amp;'Supply planning data'!D894,'Shipments data'!AC:AC,"&lt;"&amp;'Supply planning data'!D894)-SUMIFS(M:M,D:D,"&lt;="&amp;D879,C:C,C879)+SUMIFS(N:N,D:D,"&lt;="&amp;D879,C:C,C879)+SUMIFS(P:P,D:D,"&lt;="&amp;D879,C:C,C879)&lt;0,0,SUMIFS('Shipments data'!L:L,'Shipments data'!F:F,'Supply planning data'!C879,'Shipments data'!A:A,'Supply planning data'!A879,'Shipments data'!O:O,"received",'Shipments data'!Q:Q,"&lt;"&amp;'Supply planning data'!D894,'Shipments data'!AC:AC,"&lt;"&amp;'Supply planning data'!D894)-SUMIFS(M:M,D:D,"&lt;="&amp;D879,C:C,C879)+SUMIFS(N:N,D:D,"&lt;="&amp;D879,C:C,C879)+SUMIFS(P:P,D:D,"&lt;="&amp;D879,C:C,C879))</f>
        <v>0</v>
      </c>
      <c r="U879" s="99">
        <f t="shared" si="260"/>
        <v>0</v>
      </c>
      <c r="V879" s="98">
        <f t="shared" si="250"/>
        <v>0</v>
      </c>
      <c r="W879" s="203" t="str">
        <f t="shared" si="266"/>
        <v/>
      </c>
      <c r="X879" s="98">
        <f t="shared" si="261"/>
        <v>0</v>
      </c>
      <c r="Y879" s="97"/>
      <c r="Z879" s="93"/>
      <c r="AA879" s="98">
        <f t="shared" si="254"/>
        <v>0</v>
      </c>
      <c r="AB879" s="233"/>
      <c r="AC879" s="98">
        <f>IF(SUMIFS('Shipments data'!L:L,'Shipments data'!F:F,'Supply planning data'!C879,'Shipments data'!A:A,'Supply planning data'!A879,'Shipments data'!O:O,"received",'Shipments data'!Q:Q,"&lt;"&amp;'Supply planning data'!D894,'Shipments data'!AC:AC,"&lt;"&amp;'Supply planning data'!D894)-SUMIFS(M:M,D:D,"&lt;="&amp;D879,C:C,C879)-SUMIFS(AA:AA,D:D,"&lt;="&amp;D879,C:C,C879)+SUMIFS(N:N,D:D,"&lt;="&amp;D879,C:C,C879)+SUMIFS(P:P,D:D,"&lt;="&amp;D879,C:C,C879)&lt;0,0,SUMIFS('Shipments data'!L:L,'Shipments data'!F:F,'Supply planning data'!C879,'Shipments data'!A:A,'Supply planning data'!A879,'Shipments data'!O:O,"received",'Shipments data'!Q:Q,"&lt;"&amp;'Supply planning data'!D894,'Shipments data'!AC:AC,"&lt;"&amp;'Supply planning data'!D894)-SUMIFS(M:M,D:D,"&lt;="&amp;D879,C:C,C879)-SUMIFS(AA:AA,D:D,"&lt;="&amp;D879,C:C,C879)+SUMIFS(N:N,D:D,"&lt;="&amp;D879,C:C,C879)+SUMIFS(P:P,D:D,"&lt;="&amp;D879,C:C,C879))</f>
        <v>0</v>
      </c>
      <c r="AD879" s="98">
        <f t="shared" si="262"/>
        <v>0</v>
      </c>
      <c r="AE879" s="98">
        <f t="shared" si="256"/>
        <v>0</v>
      </c>
      <c r="AF879" s="205" t="str">
        <f t="shared" si="265"/>
        <v/>
      </c>
      <c r="AG879" s="98">
        <f t="shared" si="263"/>
        <v>0</v>
      </c>
      <c r="AH879" s="97"/>
      <c r="AI879" s="311"/>
      <c r="AJ879" s="98">
        <f t="shared" si="255"/>
        <v>0</v>
      </c>
      <c r="AK879" s="233"/>
      <c r="AL879" s="98">
        <f>IF(SUMIFS('Shipments data'!L:L,'Shipments data'!F:F,'Supply planning data'!C879,'Shipments data'!A:A,'Supply planning data'!A879,'Shipments data'!O:O,"received",'Shipments data'!Q:Q,"&lt;"&amp;'Supply planning data'!D894,'Shipments data'!AC:AC,"&lt;"&amp;'Supply planning data'!D894)-SUMIFS(M:M,D:D,"&lt;="&amp;D879,C:C,C879)-SUMIFS(AJ:AJ,D:D,"&lt;="&amp;D879,C:C,C879)+SUMIFS(N:N,D:D,"&lt;="&amp;D879,C:C,C879)+SUMIFS(P:P,D:D,"&lt;="&amp;D879,C:C,C879)&lt;0,0,SUMIFS('Shipments data'!L:L,'Shipments data'!F:F,'Supply planning data'!C879,'Shipments data'!A:A,'Supply planning data'!A879,'Shipments data'!O:O,"received",'Shipments data'!Q:Q,"&lt;"&amp;'Supply planning data'!D894,'Shipments data'!AC:AC,"&lt;"&amp;'Supply planning data'!D894)-SUMIFS(M:M,D:D,"&lt;="&amp;D879,C:C,C879)-SUMIFS(AJ:AJ,D:D,"&lt;="&amp;D879,C:C,C879)+SUMIFS(N:N,D:D,"&lt;="&amp;D879,C:C,C879)+SUMIFS(P:P,D:D,"&lt;="&amp;D879,C:C,C879))</f>
        <v>0</v>
      </c>
      <c r="AM879" s="98">
        <f t="shared" si="264"/>
        <v>0</v>
      </c>
      <c r="AN879" s="98">
        <f t="shared" si="257"/>
        <v>0</v>
      </c>
      <c r="AO879" s="203" t="str">
        <f t="shared" si="267"/>
        <v/>
      </c>
    </row>
    <row r="880" spans="1:41" hidden="1" x14ac:dyDescent="0.25">
      <c r="A880" s="95" t="str">
        <f>Start!D$7</f>
        <v>Anyland</v>
      </c>
      <c r="B880" s="96" t="str">
        <f>VLOOKUP(A880,list!B:C,2,FALSE)</f>
        <v>ANY</v>
      </c>
      <c r="C880" s="90" t="str">
        <f>IF(Start!$C$22="","",Start!$C$22)</f>
        <v/>
      </c>
      <c r="D880" s="296">
        <f t="shared" si="258"/>
        <v>45962</v>
      </c>
      <c r="E880" s="92" t="str">
        <f>IFERROR(VLOOKUP(C880,Start!C$15:D$31,2,FALSE),"No")</f>
        <v>No</v>
      </c>
      <c r="F880" s="92">
        <f t="shared" si="259"/>
        <v>0</v>
      </c>
      <c r="G880" s="91"/>
      <c r="H880" s="97"/>
      <c r="I880" s="97"/>
      <c r="J880" s="98">
        <f t="shared" si="251"/>
        <v>0</v>
      </c>
      <c r="K880" s="97"/>
      <c r="L880" s="175" t="str">
        <f t="shared" si="252"/>
        <v/>
      </c>
      <c r="M880" s="98">
        <f t="shared" si="253"/>
        <v>0</v>
      </c>
      <c r="N880" s="97"/>
      <c r="O880" s="122"/>
      <c r="P880" s="97"/>
      <c r="Q880" s="122"/>
      <c r="R880" s="98">
        <f>SUMIFS('Shipments data'!L:L,'Shipments data'!F:F,'Supply planning data'!C880,'Shipments data'!A:A,'Supply planning data'!A880,'Shipments data'!Y:Y,'Supply planning data'!D880,'Shipments data'!O:O,"received", 'Shipments data'!N:N, "Public")</f>
        <v>0</v>
      </c>
      <c r="S880" s="98">
        <f>SUMIFS('Shipments data'!L:L,'Shipments data'!F:F,'Supply planning data'!C880,'Shipments data'!A:A,'Supply planning data'!A880,'Shipments data'!Y:Y,'Supply planning data'!D880,'Shipments data'!O:O,"ordered", 'Shipments data'!N:N, "Public")</f>
        <v>0</v>
      </c>
      <c r="T880" s="98">
        <f>IF(SUMIFS('Shipments data'!L:L,'Shipments data'!F:F,'Supply planning data'!C880,'Shipments data'!A:A,'Supply planning data'!A880,'Shipments data'!O:O,"received",'Shipments data'!Q:Q,"&lt;"&amp;'Supply planning data'!D895,'Shipments data'!AC:AC,"&lt;"&amp;'Supply planning data'!D895)-SUMIFS(M:M,D:D,"&lt;="&amp;D880,C:C,C880)+SUMIFS(N:N,D:D,"&lt;="&amp;D880,C:C,C880)+SUMIFS(P:P,D:D,"&lt;="&amp;D880,C:C,C880)&lt;0,0,SUMIFS('Shipments data'!L:L,'Shipments data'!F:F,'Supply planning data'!C880,'Shipments data'!A:A,'Supply planning data'!A880,'Shipments data'!O:O,"received",'Shipments data'!Q:Q,"&lt;"&amp;'Supply planning data'!D895,'Shipments data'!AC:AC,"&lt;"&amp;'Supply planning data'!D895)-SUMIFS(M:M,D:D,"&lt;="&amp;D880,C:C,C880)+SUMIFS(N:N,D:D,"&lt;="&amp;D880,C:C,C880)+SUMIFS(P:P,D:D,"&lt;="&amp;D880,C:C,C880))</f>
        <v>0</v>
      </c>
      <c r="U880" s="99">
        <f t="shared" si="260"/>
        <v>0</v>
      </c>
      <c r="V880" s="98">
        <f t="shared" si="250"/>
        <v>0</v>
      </c>
      <c r="W880" s="203" t="str">
        <f t="shared" si="266"/>
        <v/>
      </c>
      <c r="X880" s="98">
        <f t="shared" si="261"/>
        <v>0</v>
      </c>
      <c r="Y880" s="97"/>
      <c r="Z880" s="93"/>
      <c r="AA880" s="98">
        <f t="shared" si="254"/>
        <v>0</v>
      </c>
      <c r="AB880" s="233"/>
      <c r="AC880" s="98">
        <f>IF(SUMIFS('Shipments data'!L:L,'Shipments data'!F:F,'Supply planning data'!C880,'Shipments data'!A:A,'Supply planning data'!A880,'Shipments data'!O:O,"received",'Shipments data'!Q:Q,"&lt;"&amp;'Supply planning data'!D895,'Shipments data'!AC:AC,"&lt;"&amp;'Supply planning data'!D895)-SUMIFS(M:M,D:D,"&lt;="&amp;D880,C:C,C880)-SUMIFS(AA:AA,D:D,"&lt;="&amp;D880,C:C,C880)+SUMIFS(N:N,D:D,"&lt;="&amp;D880,C:C,C880)+SUMIFS(P:P,D:D,"&lt;="&amp;D880,C:C,C880)&lt;0,0,SUMIFS('Shipments data'!L:L,'Shipments data'!F:F,'Supply planning data'!C880,'Shipments data'!A:A,'Supply planning data'!A880,'Shipments data'!O:O,"received",'Shipments data'!Q:Q,"&lt;"&amp;'Supply planning data'!D895,'Shipments data'!AC:AC,"&lt;"&amp;'Supply planning data'!D895)-SUMIFS(M:M,D:D,"&lt;="&amp;D880,C:C,C880)-SUMIFS(AA:AA,D:D,"&lt;="&amp;D880,C:C,C880)+SUMIFS(N:N,D:D,"&lt;="&amp;D880,C:C,C880)+SUMIFS(P:P,D:D,"&lt;="&amp;D880,C:C,C880))</f>
        <v>0</v>
      </c>
      <c r="AD880" s="98">
        <f t="shared" si="262"/>
        <v>0</v>
      </c>
      <c r="AE880" s="98">
        <f t="shared" si="256"/>
        <v>0</v>
      </c>
      <c r="AF880" s="205" t="str">
        <f t="shared" si="265"/>
        <v/>
      </c>
      <c r="AG880" s="98">
        <f t="shared" si="263"/>
        <v>0</v>
      </c>
      <c r="AH880" s="97"/>
      <c r="AI880" s="311"/>
      <c r="AJ880" s="98">
        <f t="shared" si="255"/>
        <v>0</v>
      </c>
      <c r="AK880" s="233"/>
      <c r="AL880" s="98">
        <f>IF(SUMIFS('Shipments data'!L:L,'Shipments data'!F:F,'Supply planning data'!C880,'Shipments data'!A:A,'Supply planning data'!A880,'Shipments data'!O:O,"received",'Shipments data'!Q:Q,"&lt;"&amp;'Supply planning data'!D895,'Shipments data'!AC:AC,"&lt;"&amp;'Supply planning data'!D895)-SUMIFS(M:M,D:D,"&lt;="&amp;D880,C:C,C880)-SUMIFS(AJ:AJ,D:D,"&lt;="&amp;D880,C:C,C880)+SUMIFS(N:N,D:D,"&lt;="&amp;D880,C:C,C880)+SUMIFS(P:P,D:D,"&lt;="&amp;D880,C:C,C880)&lt;0,0,SUMIFS('Shipments data'!L:L,'Shipments data'!F:F,'Supply planning data'!C880,'Shipments data'!A:A,'Supply planning data'!A880,'Shipments data'!O:O,"received",'Shipments data'!Q:Q,"&lt;"&amp;'Supply planning data'!D895,'Shipments data'!AC:AC,"&lt;"&amp;'Supply planning data'!D895)-SUMIFS(M:M,D:D,"&lt;="&amp;D880,C:C,C880)-SUMIFS(AJ:AJ,D:D,"&lt;="&amp;D880,C:C,C880)+SUMIFS(N:N,D:D,"&lt;="&amp;D880,C:C,C880)+SUMIFS(P:P,D:D,"&lt;="&amp;D880,C:C,C880))</f>
        <v>0</v>
      </c>
      <c r="AM880" s="98">
        <f t="shared" si="264"/>
        <v>0</v>
      </c>
      <c r="AN880" s="98">
        <f t="shared" si="257"/>
        <v>0</v>
      </c>
      <c r="AO880" s="203" t="str">
        <f t="shared" si="267"/>
        <v/>
      </c>
    </row>
    <row r="881" spans="1:41" hidden="1" x14ac:dyDescent="0.25">
      <c r="A881" s="95" t="str">
        <f>Start!D$7</f>
        <v>Anyland</v>
      </c>
      <c r="B881" s="96" t="str">
        <f>VLOOKUP(A881,list!B:C,2,FALSE)</f>
        <v>ANY</v>
      </c>
      <c r="C881" s="90" t="str">
        <f>IF(Start!$C$23="","",Start!$C$23)</f>
        <v/>
      </c>
      <c r="D881" s="296">
        <f t="shared" si="258"/>
        <v>45962</v>
      </c>
      <c r="E881" s="92" t="str">
        <f>IFERROR(VLOOKUP(C881,Start!C$15:D$31,2,FALSE),"No")</f>
        <v>No</v>
      </c>
      <c r="F881" s="92">
        <f t="shared" si="259"/>
        <v>0</v>
      </c>
      <c r="G881" s="91"/>
      <c r="H881" s="97"/>
      <c r="I881" s="97"/>
      <c r="J881" s="98">
        <f t="shared" si="251"/>
        <v>0</v>
      </c>
      <c r="K881" s="97"/>
      <c r="L881" s="175" t="str">
        <f t="shared" si="252"/>
        <v/>
      </c>
      <c r="M881" s="98">
        <f t="shared" si="253"/>
        <v>0</v>
      </c>
      <c r="N881" s="97"/>
      <c r="O881" s="122"/>
      <c r="P881" s="97"/>
      <c r="Q881" s="122"/>
      <c r="R881" s="98">
        <f>SUMIFS('Shipments data'!L:L,'Shipments data'!F:F,'Supply planning data'!C881,'Shipments data'!A:A,'Supply planning data'!A881,'Shipments data'!Y:Y,'Supply planning data'!D881,'Shipments data'!O:O,"received", 'Shipments data'!N:N, "Public")</f>
        <v>0</v>
      </c>
      <c r="S881" s="98">
        <f>SUMIFS('Shipments data'!L:L,'Shipments data'!F:F,'Supply planning data'!C881,'Shipments data'!A:A,'Supply planning data'!A881,'Shipments data'!Y:Y,'Supply planning data'!D881,'Shipments data'!O:O,"ordered", 'Shipments data'!N:N, "Public")</f>
        <v>0</v>
      </c>
      <c r="T881" s="98">
        <f>IF(SUMIFS('Shipments data'!L:L,'Shipments data'!F:F,'Supply planning data'!C881,'Shipments data'!A:A,'Supply planning data'!A881,'Shipments data'!O:O,"received",'Shipments data'!Q:Q,"&lt;"&amp;'Supply planning data'!D896,'Shipments data'!AC:AC,"&lt;"&amp;'Supply planning data'!D896)-SUMIFS(M:M,D:D,"&lt;="&amp;D881,C:C,C881)+SUMIFS(N:N,D:D,"&lt;="&amp;D881,C:C,C881)+SUMIFS(P:P,D:D,"&lt;="&amp;D881,C:C,C881)&lt;0,0,SUMIFS('Shipments data'!L:L,'Shipments data'!F:F,'Supply planning data'!C881,'Shipments data'!A:A,'Supply planning data'!A881,'Shipments data'!O:O,"received",'Shipments data'!Q:Q,"&lt;"&amp;'Supply planning data'!D896,'Shipments data'!AC:AC,"&lt;"&amp;'Supply planning data'!D896)-SUMIFS(M:M,D:D,"&lt;="&amp;D881,C:C,C881)+SUMIFS(N:N,D:D,"&lt;="&amp;D881,C:C,C881)+SUMIFS(P:P,D:D,"&lt;="&amp;D881,C:C,C881))</f>
        <v>0</v>
      </c>
      <c r="U881" s="99">
        <f t="shared" si="260"/>
        <v>0</v>
      </c>
      <c r="V881" s="98">
        <f t="shared" si="250"/>
        <v>0</v>
      </c>
      <c r="W881" s="203" t="str">
        <f t="shared" si="266"/>
        <v/>
      </c>
      <c r="X881" s="98">
        <f t="shared" si="261"/>
        <v>0</v>
      </c>
      <c r="Y881" s="97"/>
      <c r="Z881" s="93"/>
      <c r="AA881" s="98">
        <f t="shared" si="254"/>
        <v>0</v>
      </c>
      <c r="AB881" s="233"/>
      <c r="AC881" s="98">
        <f>IF(SUMIFS('Shipments data'!L:L,'Shipments data'!F:F,'Supply planning data'!C881,'Shipments data'!A:A,'Supply planning data'!A881,'Shipments data'!O:O,"received",'Shipments data'!Q:Q,"&lt;"&amp;'Supply planning data'!D896,'Shipments data'!AC:AC,"&lt;"&amp;'Supply planning data'!D896)-SUMIFS(M:M,D:D,"&lt;="&amp;D881,C:C,C881)-SUMIFS(AA:AA,D:D,"&lt;="&amp;D881,C:C,C881)+SUMIFS(N:N,D:D,"&lt;="&amp;D881,C:C,C881)+SUMIFS(P:P,D:D,"&lt;="&amp;D881,C:C,C881)&lt;0,0,SUMIFS('Shipments data'!L:L,'Shipments data'!F:F,'Supply planning data'!C881,'Shipments data'!A:A,'Supply planning data'!A881,'Shipments data'!O:O,"received",'Shipments data'!Q:Q,"&lt;"&amp;'Supply planning data'!D896,'Shipments data'!AC:AC,"&lt;"&amp;'Supply planning data'!D896)-SUMIFS(M:M,D:D,"&lt;="&amp;D881,C:C,C881)-SUMIFS(AA:AA,D:D,"&lt;="&amp;D881,C:C,C881)+SUMIFS(N:N,D:D,"&lt;="&amp;D881,C:C,C881)+SUMIFS(P:P,D:D,"&lt;="&amp;D881,C:C,C881))</f>
        <v>0</v>
      </c>
      <c r="AD881" s="98">
        <f t="shared" si="262"/>
        <v>0</v>
      </c>
      <c r="AE881" s="98">
        <f t="shared" si="256"/>
        <v>0</v>
      </c>
      <c r="AF881" s="205" t="str">
        <f t="shared" si="265"/>
        <v/>
      </c>
      <c r="AG881" s="98">
        <f t="shared" si="263"/>
        <v>0</v>
      </c>
      <c r="AH881" s="97"/>
      <c r="AI881" s="311"/>
      <c r="AJ881" s="98">
        <f t="shared" si="255"/>
        <v>0</v>
      </c>
      <c r="AK881" s="233"/>
      <c r="AL881" s="98">
        <f>IF(SUMIFS('Shipments data'!L:L,'Shipments data'!F:F,'Supply planning data'!C881,'Shipments data'!A:A,'Supply planning data'!A881,'Shipments data'!O:O,"received",'Shipments data'!Q:Q,"&lt;"&amp;'Supply planning data'!D896,'Shipments data'!AC:AC,"&lt;"&amp;'Supply planning data'!D896)-SUMIFS(M:M,D:D,"&lt;="&amp;D881,C:C,C881)-SUMIFS(AJ:AJ,D:D,"&lt;="&amp;D881,C:C,C881)+SUMIFS(N:N,D:D,"&lt;="&amp;D881,C:C,C881)+SUMIFS(P:P,D:D,"&lt;="&amp;D881,C:C,C881)&lt;0,0,SUMIFS('Shipments data'!L:L,'Shipments data'!F:F,'Supply planning data'!C881,'Shipments data'!A:A,'Supply planning data'!A881,'Shipments data'!O:O,"received",'Shipments data'!Q:Q,"&lt;"&amp;'Supply planning data'!D896,'Shipments data'!AC:AC,"&lt;"&amp;'Supply planning data'!D896)-SUMIFS(M:M,D:D,"&lt;="&amp;D881,C:C,C881)-SUMIFS(AJ:AJ,D:D,"&lt;="&amp;D881,C:C,C881)+SUMIFS(N:N,D:D,"&lt;="&amp;D881,C:C,C881)+SUMIFS(P:P,D:D,"&lt;="&amp;D881,C:C,C881))</f>
        <v>0</v>
      </c>
      <c r="AM881" s="98">
        <f t="shared" si="264"/>
        <v>0</v>
      </c>
      <c r="AN881" s="98">
        <f t="shared" si="257"/>
        <v>0</v>
      </c>
      <c r="AO881" s="203" t="str">
        <f t="shared" si="267"/>
        <v/>
      </c>
    </row>
    <row r="882" spans="1:41" hidden="1" x14ac:dyDescent="0.25">
      <c r="A882" s="95" t="str">
        <f>Start!D$7</f>
        <v>Anyland</v>
      </c>
      <c r="B882" s="96" t="str">
        <f>VLOOKUP(A882,list!B:C,2,FALSE)</f>
        <v>ANY</v>
      </c>
      <c r="C882" s="90" t="str">
        <f>IF(Start!$C$24="","",Start!$C$24)</f>
        <v/>
      </c>
      <c r="D882" s="296">
        <f t="shared" si="258"/>
        <v>45962</v>
      </c>
      <c r="E882" s="92" t="str">
        <f>IFERROR(VLOOKUP(C882,Start!C$15:D$31,2,FALSE),"No")</f>
        <v>No</v>
      </c>
      <c r="F882" s="92">
        <f t="shared" si="259"/>
        <v>0</v>
      </c>
      <c r="G882" s="91"/>
      <c r="H882" s="97"/>
      <c r="I882" s="97"/>
      <c r="J882" s="98">
        <f t="shared" si="251"/>
        <v>0</v>
      </c>
      <c r="K882" s="97"/>
      <c r="L882" s="175" t="str">
        <f t="shared" si="252"/>
        <v/>
      </c>
      <c r="M882" s="98">
        <f t="shared" si="253"/>
        <v>0</v>
      </c>
      <c r="N882" s="97"/>
      <c r="O882" s="122"/>
      <c r="P882" s="97"/>
      <c r="Q882" s="122"/>
      <c r="R882" s="98">
        <f>SUMIFS('Shipments data'!L:L,'Shipments data'!F:F,'Supply planning data'!C882,'Shipments data'!A:A,'Supply planning data'!A882,'Shipments data'!Y:Y,'Supply planning data'!D882,'Shipments data'!O:O,"received", 'Shipments data'!N:N, "Public")</f>
        <v>0</v>
      </c>
      <c r="S882" s="98">
        <f>SUMIFS('Shipments data'!L:L,'Shipments data'!F:F,'Supply planning data'!C882,'Shipments data'!A:A,'Supply planning data'!A882,'Shipments data'!Y:Y,'Supply planning data'!D882,'Shipments data'!O:O,"ordered", 'Shipments data'!N:N, "Public")</f>
        <v>0</v>
      </c>
      <c r="T882" s="98">
        <f>IF(SUMIFS('Shipments data'!L:L,'Shipments data'!F:F,'Supply planning data'!C882,'Shipments data'!A:A,'Supply planning data'!A882,'Shipments data'!O:O,"received",'Shipments data'!Q:Q,"&lt;"&amp;'Supply planning data'!D897,'Shipments data'!AC:AC,"&lt;"&amp;'Supply planning data'!D897)-SUMIFS(M:M,D:D,"&lt;="&amp;D882,C:C,C882)+SUMIFS(N:N,D:D,"&lt;="&amp;D882,C:C,C882)+SUMIFS(P:P,D:D,"&lt;="&amp;D882,C:C,C882)&lt;0,0,SUMIFS('Shipments data'!L:L,'Shipments data'!F:F,'Supply planning data'!C882,'Shipments data'!A:A,'Supply planning data'!A882,'Shipments data'!O:O,"received",'Shipments data'!Q:Q,"&lt;"&amp;'Supply planning data'!D897,'Shipments data'!AC:AC,"&lt;"&amp;'Supply planning data'!D897)-SUMIFS(M:M,D:D,"&lt;="&amp;D882,C:C,C882)+SUMIFS(N:N,D:D,"&lt;="&amp;D882,C:C,C882)+SUMIFS(P:P,D:D,"&lt;="&amp;D882,C:C,C882))</f>
        <v>0</v>
      </c>
      <c r="U882" s="99">
        <f t="shared" si="260"/>
        <v>0</v>
      </c>
      <c r="V882" s="98">
        <f t="shared" si="250"/>
        <v>0</v>
      </c>
      <c r="W882" s="203" t="str">
        <f t="shared" si="266"/>
        <v/>
      </c>
      <c r="X882" s="98">
        <f t="shared" si="261"/>
        <v>0</v>
      </c>
      <c r="Y882" s="97"/>
      <c r="Z882" s="93"/>
      <c r="AA882" s="98">
        <f t="shared" si="254"/>
        <v>0</v>
      </c>
      <c r="AB882" s="233"/>
      <c r="AC882" s="98">
        <f>IF(SUMIFS('Shipments data'!L:L,'Shipments data'!F:F,'Supply planning data'!C882,'Shipments data'!A:A,'Supply planning data'!A882,'Shipments data'!O:O,"received",'Shipments data'!Q:Q,"&lt;"&amp;'Supply planning data'!D897,'Shipments data'!AC:AC,"&lt;"&amp;'Supply planning data'!D897)-SUMIFS(M:M,D:D,"&lt;="&amp;D882,C:C,C882)-SUMIFS(AA:AA,D:D,"&lt;="&amp;D882,C:C,C882)+SUMIFS(N:N,D:D,"&lt;="&amp;D882,C:C,C882)+SUMIFS(P:P,D:D,"&lt;="&amp;D882,C:C,C882)&lt;0,0,SUMIFS('Shipments data'!L:L,'Shipments data'!F:F,'Supply planning data'!C882,'Shipments data'!A:A,'Supply planning data'!A882,'Shipments data'!O:O,"received",'Shipments data'!Q:Q,"&lt;"&amp;'Supply planning data'!D897,'Shipments data'!AC:AC,"&lt;"&amp;'Supply planning data'!D897)-SUMIFS(M:M,D:D,"&lt;="&amp;D882,C:C,C882)-SUMIFS(AA:AA,D:D,"&lt;="&amp;D882,C:C,C882)+SUMIFS(N:N,D:D,"&lt;="&amp;D882,C:C,C882)+SUMIFS(P:P,D:D,"&lt;="&amp;D882,C:C,C882))</f>
        <v>0</v>
      </c>
      <c r="AD882" s="98">
        <f t="shared" si="262"/>
        <v>0</v>
      </c>
      <c r="AE882" s="98">
        <f t="shared" si="256"/>
        <v>0</v>
      </c>
      <c r="AF882" s="205" t="str">
        <f t="shared" si="265"/>
        <v/>
      </c>
      <c r="AG882" s="98">
        <f t="shared" si="263"/>
        <v>0</v>
      </c>
      <c r="AH882" s="97"/>
      <c r="AI882" s="311"/>
      <c r="AJ882" s="98">
        <f t="shared" si="255"/>
        <v>0</v>
      </c>
      <c r="AK882" s="233"/>
      <c r="AL882" s="98">
        <f>IF(SUMIFS('Shipments data'!L:L,'Shipments data'!F:F,'Supply planning data'!C882,'Shipments data'!A:A,'Supply planning data'!A882,'Shipments data'!O:O,"received",'Shipments data'!Q:Q,"&lt;"&amp;'Supply planning data'!D897,'Shipments data'!AC:AC,"&lt;"&amp;'Supply planning data'!D897)-SUMIFS(M:M,D:D,"&lt;="&amp;D882,C:C,C882)-SUMIFS(AJ:AJ,D:D,"&lt;="&amp;D882,C:C,C882)+SUMIFS(N:N,D:D,"&lt;="&amp;D882,C:C,C882)+SUMIFS(P:P,D:D,"&lt;="&amp;D882,C:C,C882)&lt;0,0,SUMIFS('Shipments data'!L:L,'Shipments data'!F:F,'Supply planning data'!C882,'Shipments data'!A:A,'Supply planning data'!A882,'Shipments data'!O:O,"received",'Shipments data'!Q:Q,"&lt;"&amp;'Supply planning data'!D897,'Shipments data'!AC:AC,"&lt;"&amp;'Supply planning data'!D897)-SUMIFS(M:M,D:D,"&lt;="&amp;D882,C:C,C882)-SUMIFS(AJ:AJ,D:D,"&lt;="&amp;D882,C:C,C882)+SUMIFS(N:N,D:D,"&lt;="&amp;D882,C:C,C882)+SUMIFS(P:P,D:D,"&lt;="&amp;D882,C:C,C882))</f>
        <v>0</v>
      </c>
      <c r="AM882" s="98">
        <f t="shared" si="264"/>
        <v>0</v>
      </c>
      <c r="AN882" s="98">
        <f t="shared" si="257"/>
        <v>0</v>
      </c>
      <c r="AO882" s="203" t="str">
        <f t="shared" si="267"/>
        <v/>
      </c>
    </row>
    <row r="883" spans="1:41" hidden="1" x14ac:dyDescent="0.25">
      <c r="A883" s="95" t="str">
        <f>Start!D$7</f>
        <v>Anyland</v>
      </c>
      <c r="B883" s="96" t="str">
        <f>VLOOKUP(A883,list!B:C,2,FALSE)</f>
        <v>ANY</v>
      </c>
      <c r="C883" s="90" t="str">
        <f>IF(Start!$C$25="","",Start!$C$25)</f>
        <v/>
      </c>
      <c r="D883" s="296">
        <f t="shared" si="258"/>
        <v>45962</v>
      </c>
      <c r="E883" s="92" t="str">
        <f>IFERROR(VLOOKUP(C883,Start!C$15:D$31,2,FALSE),"No")</f>
        <v>No</v>
      </c>
      <c r="F883" s="92">
        <f t="shared" si="259"/>
        <v>0</v>
      </c>
      <c r="G883" s="91"/>
      <c r="H883" s="97"/>
      <c r="I883" s="97"/>
      <c r="J883" s="98">
        <f t="shared" si="251"/>
        <v>0</v>
      </c>
      <c r="K883" s="97"/>
      <c r="L883" s="175" t="str">
        <f t="shared" si="252"/>
        <v/>
      </c>
      <c r="M883" s="98">
        <f t="shared" si="253"/>
        <v>0</v>
      </c>
      <c r="N883" s="97"/>
      <c r="O883" s="122"/>
      <c r="P883" s="97"/>
      <c r="Q883" s="122"/>
      <c r="R883" s="98">
        <f>SUMIFS('Shipments data'!L:L,'Shipments data'!F:F,'Supply planning data'!C883,'Shipments data'!A:A,'Supply planning data'!A883,'Shipments data'!Y:Y,'Supply planning data'!D883,'Shipments data'!O:O,"received", 'Shipments data'!N:N, "Public")</f>
        <v>0</v>
      </c>
      <c r="S883" s="98">
        <f>SUMIFS('Shipments data'!L:L,'Shipments data'!F:F,'Supply planning data'!C883,'Shipments data'!A:A,'Supply planning data'!A883,'Shipments data'!Y:Y,'Supply planning data'!D883,'Shipments data'!O:O,"ordered", 'Shipments data'!N:N, "Public")</f>
        <v>0</v>
      </c>
      <c r="T883" s="98">
        <f>IF(SUMIFS('Shipments data'!L:L,'Shipments data'!F:F,'Supply planning data'!C883,'Shipments data'!A:A,'Supply planning data'!A883,'Shipments data'!O:O,"received",'Shipments data'!Q:Q,"&lt;"&amp;'Supply planning data'!D898,'Shipments data'!AC:AC,"&lt;"&amp;'Supply planning data'!D898)-SUMIFS(M:M,D:D,"&lt;="&amp;D883,C:C,C883)+SUMIFS(N:N,D:D,"&lt;="&amp;D883,C:C,C883)+SUMIFS(P:P,D:D,"&lt;="&amp;D883,C:C,C883)&lt;0,0,SUMIFS('Shipments data'!L:L,'Shipments data'!F:F,'Supply planning data'!C883,'Shipments data'!A:A,'Supply planning data'!A883,'Shipments data'!O:O,"received",'Shipments data'!Q:Q,"&lt;"&amp;'Supply planning data'!D898,'Shipments data'!AC:AC,"&lt;"&amp;'Supply planning data'!D898)-SUMIFS(M:M,D:D,"&lt;="&amp;D883,C:C,C883)+SUMIFS(N:N,D:D,"&lt;="&amp;D883,C:C,C883)+SUMIFS(P:P,D:D,"&lt;="&amp;D883,C:C,C883))</f>
        <v>0</v>
      </c>
      <c r="U883" s="99">
        <f t="shared" si="260"/>
        <v>0</v>
      </c>
      <c r="V883" s="98">
        <f t="shared" ref="V883:V904" si="268">IF(F883-M883+N883+P883+R883+S883-U883&lt;0,0,F883-M883+N883+P883+R883+S883-U883)</f>
        <v>0</v>
      </c>
      <c r="W883" s="203" t="str">
        <f t="shared" si="266"/>
        <v/>
      </c>
      <c r="X883" s="98">
        <f t="shared" si="261"/>
        <v>0</v>
      </c>
      <c r="Y883" s="97"/>
      <c r="Z883" s="93"/>
      <c r="AA883" s="98">
        <f t="shared" si="254"/>
        <v>0</v>
      </c>
      <c r="AB883" s="233"/>
      <c r="AC883" s="98">
        <f>IF(SUMIFS('Shipments data'!L:L,'Shipments data'!F:F,'Supply planning data'!C883,'Shipments data'!A:A,'Supply planning data'!A883,'Shipments data'!O:O,"received",'Shipments data'!Q:Q,"&lt;"&amp;'Supply planning data'!D898,'Shipments data'!AC:AC,"&lt;"&amp;'Supply planning data'!D898)-SUMIFS(M:M,D:D,"&lt;="&amp;D883,C:C,C883)-SUMIFS(AA:AA,D:D,"&lt;="&amp;D883,C:C,C883)+SUMIFS(N:N,D:D,"&lt;="&amp;D883,C:C,C883)+SUMIFS(P:P,D:D,"&lt;="&amp;D883,C:C,C883)&lt;0,0,SUMIFS('Shipments data'!L:L,'Shipments data'!F:F,'Supply planning data'!C883,'Shipments data'!A:A,'Supply planning data'!A883,'Shipments data'!O:O,"received",'Shipments data'!Q:Q,"&lt;"&amp;'Supply planning data'!D898,'Shipments data'!AC:AC,"&lt;"&amp;'Supply planning data'!D898)-SUMIFS(M:M,D:D,"&lt;="&amp;D883,C:C,C883)-SUMIFS(AA:AA,D:D,"&lt;="&amp;D883,C:C,C883)+SUMIFS(N:N,D:D,"&lt;="&amp;D883,C:C,C883)+SUMIFS(P:P,D:D,"&lt;="&amp;D883,C:C,C883))</f>
        <v>0</v>
      </c>
      <c r="AD883" s="98">
        <f t="shared" si="262"/>
        <v>0</v>
      </c>
      <c r="AE883" s="98">
        <f t="shared" si="256"/>
        <v>0</v>
      </c>
      <c r="AF883" s="205" t="str">
        <f t="shared" si="265"/>
        <v/>
      </c>
      <c r="AG883" s="98">
        <f t="shared" si="263"/>
        <v>0</v>
      </c>
      <c r="AH883" s="97"/>
      <c r="AI883" s="311"/>
      <c r="AJ883" s="98">
        <f t="shared" si="255"/>
        <v>0</v>
      </c>
      <c r="AK883" s="233"/>
      <c r="AL883" s="98">
        <f>IF(SUMIFS('Shipments data'!L:L,'Shipments data'!F:F,'Supply planning data'!C883,'Shipments data'!A:A,'Supply planning data'!A883,'Shipments data'!O:O,"received",'Shipments data'!Q:Q,"&lt;"&amp;'Supply planning data'!D898,'Shipments data'!AC:AC,"&lt;"&amp;'Supply planning data'!D898)-SUMIFS(M:M,D:D,"&lt;="&amp;D883,C:C,C883)-SUMIFS(AJ:AJ,D:D,"&lt;="&amp;D883,C:C,C883)+SUMIFS(N:N,D:D,"&lt;="&amp;D883,C:C,C883)+SUMIFS(P:P,D:D,"&lt;="&amp;D883,C:C,C883)&lt;0,0,SUMIFS('Shipments data'!L:L,'Shipments data'!F:F,'Supply planning data'!C883,'Shipments data'!A:A,'Supply planning data'!A883,'Shipments data'!O:O,"received",'Shipments data'!Q:Q,"&lt;"&amp;'Supply planning data'!D898,'Shipments data'!AC:AC,"&lt;"&amp;'Supply planning data'!D898)-SUMIFS(M:M,D:D,"&lt;="&amp;D883,C:C,C883)-SUMIFS(AJ:AJ,D:D,"&lt;="&amp;D883,C:C,C883)+SUMIFS(N:N,D:D,"&lt;="&amp;D883,C:C,C883)+SUMIFS(P:P,D:D,"&lt;="&amp;D883,C:C,C883))</f>
        <v>0</v>
      </c>
      <c r="AM883" s="98">
        <f t="shared" si="264"/>
        <v>0</v>
      </c>
      <c r="AN883" s="98">
        <f t="shared" si="257"/>
        <v>0</v>
      </c>
      <c r="AO883" s="203" t="str">
        <f t="shared" si="267"/>
        <v/>
      </c>
    </row>
    <row r="884" spans="1:41" hidden="1" x14ac:dyDescent="0.25">
      <c r="A884" s="95" t="str">
        <f>Start!D$7</f>
        <v>Anyland</v>
      </c>
      <c r="B884" s="96" t="str">
        <f>VLOOKUP(A884,list!B:C,2,FALSE)</f>
        <v>ANY</v>
      </c>
      <c r="C884" s="90" t="str">
        <f>IF(Start!$C$26="","",Start!$C$26)</f>
        <v/>
      </c>
      <c r="D884" s="296">
        <f t="shared" si="258"/>
        <v>45962</v>
      </c>
      <c r="E884" s="92" t="str">
        <f>IFERROR(VLOOKUP(C884,Start!C$15:D$31,2,FALSE),"No")</f>
        <v>No</v>
      </c>
      <c r="F884" s="92">
        <f t="shared" si="259"/>
        <v>0</v>
      </c>
      <c r="G884" s="91"/>
      <c r="H884" s="97"/>
      <c r="I884" s="97"/>
      <c r="J884" s="98">
        <f t="shared" si="251"/>
        <v>0</v>
      </c>
      <c r="K884" s="97"/>
      <c r="L884" s="175" t="str">
        <f t="shared" si="252"/>
        <v/>
      </c>
      <c r="M884" s="98">
        <f t="shared" si="253"/>
        <v>0</v>
      </c>
      <c r="N884" s="97"/>
      <c r="O884" s="122"/>
      <c r="P884" s="97"/>
      <c r="Q884" s="122"/>
      <c r="R884" s="98">
        <f>SUMIFS('Shipments data'!L:L,'Shipments data'!F:F,'Supply planning data'!C884,'Shipments data'!A:A,'Supply planning data'!A884,'Shipments data'!Y:Y,'Supply planning data'!D884,'Shipments data'!O:O,"received", 'Shipments data'!N:N, "Public")</f>
        <v>0</v>
      </c>
      <c r="S884" s="98">
        <f>SUMIFS('Shipments data'!L:L,'Shipments data'!F:F,'Supply planning data'!C884,'Shipments data'!A:A,'Supply planning data'!A884,'Shipments data'!Y:Y,'Supply planning data'!D884,'Shipments data'!O:O,"ordered", 'Shipments data'!N:N, "Public")</f>
        <v>0</v>
      </c>
      <c r="T884" s="98">
        <f>IF(SUMIFS('Shipments data'!L:L,'Shipments data'!F:F,'Supply planning data'!C884,'Shipments data'!A:A,'Supply planning data'!A884,'Shipments data'!O:O,"received",'Shipments data'!Q:Q,"&lt;"&amp;'Supply planning data'!D899,'Shipments data'!AC:AC,"&lt;"&amp;'Supply planning data'!D899)-SUMIFS(M:M,D:D,"&lt;="&amp;D884,C:C,C884)+SUMIFS(N:N,D:D,"&lt;="&amp;D884,C:C,C884)+SUMIFS(P:P,D:D,"&lt;="&amp;D884,C:C,C884)&lt;0,0,SUMIFS('Shipments data'!L:L,'Shipments data'!F:F,'Supply planning data'!C884,'Shipments data'!A:A,'Supply planning data'!A884,'Shipments data'!O:O,"received",'Shipments data'!Q:Q,"&lt;"&amp;'Supply planning data'!D899,'Shipments data'!AC:AC,"&lt;"&amp;'Supply planning data'!D899)-SUMIFS(M:M,D:D,"&lt;="&amp;D884,C:C,C884)+SUMIFS(N:N,D:D,"&lt;="&amp;D884,C:C,C884)+SUMIFS(P:P,D:D,"&lt;="&amp;D884,C:C,C884))</f>
        <v>0</v>
      </c>
      <c r="U884" s="99">
        <f t="shared" si="260"/>
        <v>0</v>
      </c>
      <c r="V884" s="98">
        <f t="shared" si="268"/>
        <v>0</v>
      </c>
      <c r="W884" s="203" t="str">
        <f t="shared" si="266"/>
        <v/>
      </c>
      <c r="X884" s="98">
        <f t="shared" si="261"/>
        <v>0</v>
      </c>
      <c r="Y884" s="97"/>
      <c r="Z884" s="93"/>
      <c r="AA884" s="98">
        <f t="shared" si="254"/>
        <v>0</v>
      </c>
      <c r="AB884" s="233"/>
      <c r="AC884" s="98">
        <f>IF(SUMIFS('Shipments data'!L:L,'Shipments data'!F:F,'Supply planning data'!C884,'Shipments data'!A:A,'Supply planning data'!A884,'Shipments data'!O:O,"received",'Shipments data'!Q:Q,"&lt;"&amp;'Supply planning data'!D899,'Shipments data'!AC:AC,"&lt;"&amp;'Supply planning data'!D899)-SUMIFS(M:M,D:D,"&lt;="&amp;D884,C:C,C884)-SUMIFS(AA:AA,D:D,"&lt;="&amp;D884,C:C,C884)+SUMIFS(N:N,D:D,"&lt;="&amp;D884,C:C,C884)+SUMIFS(P:P,D:D,"&lt;="&amp;D884,C:C,C884)&lt;0,0,SUMIFS('Shipments data'!L:L,'Shipments data'!F:F,'Supply planning data'!C884,'Shipments data'!A:A,'Supply planning data'!A884,'Shipments data'!O:O,"received",'Shipments data'!Q:Q,"&lt;"&amp;'Supply planning data'!D899,'Shipments data'!AC:AC,"&lt;"&amp;'Supply planning data'!D899)-SUMIFS(M:M,D:D,"&lt;="&amp;D884,C:C,C884)-SUMIFS(AA:AA,D:D,"&lt;="&amp;D884,C:C,C884)+SUMIFS(N:N,D:D,"&lt;="&amp;D884,C:C,C884)+SUMIFS(P:P,D:D,"&lt;="&amp;D884,C:C,C884))</f>
        <v>0</v>
      </c>
      <c r="AD884" s="98">
        <f t="shared" si="262"/>
        <v>0</v>
      </c>
      <c r="AE884" s="98">
        <f t="shared" si="256"/>
        <v>0</v>
      </c>
      <c r="AF884" s="205" t="str">
        <f t="shared" si="265"/>
        <v/>
      </c>
      <c r="AG884" s="98">
        <f t="shared" si="263"/>
        <v>0</v>
      </c>
      <c r="AH884" s="97"/>
      <c r="AI884" s="311"/>
      <c r="AJ884" s="98">
        <f t="shared" si="255"/>
        <v>0</v>
      </c>
      <c r="AK884" s="233"/>
      <c r="AL884" s="98">
        <f>IF(SUMIFS('Shipments data'!L:L,'Shipments data'!F:F,'Supply planning data'!C884,'Shipments data'!A:A,'Supply planning data'!A884,'Shipments data'!O:O,"received",'Shipments data'!Q:Q,"&lt;"&amp;'Supply planning data'!D899,'Shipments data'!AC:AC,"&lt;"&amp;'Supply planning data'!D899)-SUMIFS(M:M,D:D,"&lt;="&amp;D884,C:C,C884)-SUMIFS(AJ:AJ,D:D,"&lt;="&amp;D884,C:C,C884)+SUMIFS(N:N,D:D,"&lt;="&amp;D884,C:C,C884)+SUMIFS(P:P,D:D,"&lt;="&amp;D884,C:C,C884)&lt;0,0,SUMIFS('Shipments data'!L:L,'Shipments data'!F:F,'Supply planning data'!C884,'Shipments data'!A:A,'Supply planning data'!A884,'Shipments data'!O:O,"received",'Shipments data'!Q:Q,"&lt;"&amp;'Supply planning data'!D899,'Shipments data'!AC:AC,"&lt;"&amp;'Supply planning data'!D899)-SUMIFS(M:M,D:D,"&lt;="&amp;D884,C:C,C884)-SUMIFS(AJ:AJ,D:D,"&lt;="&amp;D884,C:C,C884)+SUMIFS(N:N,D:D,"&lt;="&amp;D884,C:C,C884)+SUMIFS(P:P,D:D,"&lt;="&amp;D884,C:C,C884))</f>
        <v>0</v>
      </c>
      <c r="AM884" s="98">
        <f t="shared" si="264"/>
        <v>0</v>
      </c>
      <c r="AN884" s="98">
        <f t="shared" si="257"/>
        <v>0</v>
      </c>
      <c r="AO884" s="203" t="str">
        <f t="shared" si="267"/>
        <v/>
      </c>
    </row>
    <row r="885" spans="1:41" hidden="1" x14ac:dyDescent="0.25">
      <c r="A885" s="95" t="str">
        <f>Start!D$7</f>
        <v>Anyland</v>
      </c>
      <c r="B885" s="96" t="str">
        <f>VLOOKUP(A885,list!B:C,2,FALSE)</f>
        <v>ANY</v>
      </c>
      <c r="C885" s="90" t="str">
        <f>IF(Start!$C$27="","",Start!$C$27)</f>
        <v/>
      </c>
      <c r="D885" s="296">
        <f t="shared" si="258"/>
        <v>45962</v>
      </c>
      <c r="E885" s="92" t="str">
        <f>IFERROR(VLOOKUP(C885,Start!C$15:D$31,2,FALSE),"No")</f>
        <v>No</v>
      </c>
      <c r="F885" s="92">
        <f t="shared" si="259"/>
        <v>0</v>
      </c>
      <c r="G885" s="91"/>
      <c r="H885" s="97"/>
      <c r="I885" s="97"/>
      <c r="J885" s="98">
        <f t="shared" si="251"/>
        <v>0</v>
      </c>
      <c r="K885" s="97"/>
      <c r="L885" s="175" t="str">
        <f t="shared" si="252"/>
        <v/>
      </c>
      <c r="M885" s="98">
        <f t="shared" si="253"/>
        <v>0</v>
      </c>
      <c r="N885" s="97"/>
      <c r="O885" s="122"/>
      <c r="P885" s="97"/>
      <c r="Q885" s="122"/>
      <c r="R885" s="98">
        <f>SUMIFS('Shipments data'!L:L,'Shipments data'!F:F,'Supply planning data'!C885,'Shipments data'!A:A,'Supply planning data'!A885,'Shipments data'!Y:Y,'Supply planning data'!D885,'Shipments data'!O:O,"received", 'Shipments data'!N:N, "Public")</f>
        <v>0</v>
      </c>
      <c r="S885" s="98">
        <f>SUMIFS('Shipments data'!L:L,'Shipments data'!F:F,'Supply planning data'!C885,'Shipments data'!A:A,'Supply planning data'!A885,'Shipments data'!Y:Y,'Supply planning data'!D885,'Shipments data'!O:O,"ordered", 'Shipments data'!N:N, "Public")</f>
        <v>0</v>
      </c>
      <c r="T885" s="98">
        <f>IF(SUMIFS('Shipments data'!L:L,'Shipments data'!F:F,'Supply planning data'!C885,'Shipments data'!A:A,'Supply planning data'!A885,'Shipments data'!O:O,"received",'Shipments data'!Q:Q,"&lt;"&amp;'Supply planning data'!D900,'Shipments data'!AC:AC,"&lt;"&amp;'Supply planning data'!D900)-SUMIFS(M:M,D:D,"&lt;="&amp;D885,C:C,C885)+SUMIFS(N:N,D:D,"&lt;="&amp;D885,C:C,C885)+SUMIFS(P:P,D:D,"&lt;="&amp;D885,C:C,C885)&lt;0,0,SUMIFS('Shipments data'!L:L,'Shipments data'!F:F,'Supply planning data'!C885,'Shipments data'!A:A,'Supply planning data'!A885,'Shipments data'!O:O,"received",'Shipments data'!Q:Q,"&lt;"&amp;'Supply planning data'!D900,'Shipments data'!AC:AC,"&lt;"&amp;'Supply planning data'!D900)-SUMIFS(M:M,D:D,"&lt;="&amp;D885,C:C,C885)+SUMIFS(N:N,D:D,"&lt;="&amp;D885,C:C,C885)+SUMIFS(P:P,D:D,"&lt;="&amp;D885,C:C,C885))</f>
        <v>0</v>
      </c>
      <c r="U885" s="99">
        <f t="shared" si="260"/>
        <v>0</v>
      </c>
      <c r="V885" s="98">
        <f t="shared" si="268"/>
        <v>0</v>
      </c>
      <c r="W885" s="203" t="str">
        <f t="shared" si="266"/>
        <v/>
      </c>
      <c r="X885" s="98">
        <f t="shared" si="261"/>
        <v>0</v>
      </c>
      <c r="Y885" s="97"/>
      <c r="Z885" s="93"/>
      <c r="AA885" s="98">
        <f t="shared" si="254"/>
        <v>0</v>
      </c>
      <c r="AB885" s="233"/>
      <c r="AC885" s="98">
        <f>IF(SUMIFS('Shipments data'!L:L,'Shipments data'!F:F,'Supply planning data'!C885,'Shipments data'!A:A,'Supply planning data'!A885,'Shipments data'!O:O,"received",'Shipments data'!Q:Q,"&lt;"&amp;'Supply planning data'!D900,'Shipments data'!AC:AC,"&lt;"&amp;'Supply planning data'!D900)-SUMIFS(M:M,D:D,"&lt;="&amp;D885,C:C,C885)-SUMIFS(AA:AA,D:D,"&lt;="&amp;D885,C:C,C885)+SUMIFS(N:N,D:D,"&lt;="&amp;D885,C:C,C885)+SUMIFS(P:P,D:D,"&lt;="&amp;D885,C:C,C885)&lt;0,0,SUMIFS('Shipments data'!L:L,'Shipments data'!F:F,'Supply planning data'!C885,'Shipments data'!A:A,'Supply planning data'!A885,'Shipments data'!O:O,"received",'Shipments data'!Q:Q,"&lt;"&amp;'Supply planning data'!D900,'Shipments data'!AC:AC,"&lt;"&amp;'Supply planning data'!D900)-SUMIFS(M:M,D:D,"&lt;="&amp;D885,C:C,C885)-SUMIFS(AA:AA,D:D,"&lt;="&amp;D885,C:C,C885)+SUMIFS(N:N,D:D,"&lt;="&amp;D885,C:C,C885)+SUMIFS(P:P,D:D,"&lt;="&amp;D885,C:C,C885))</f>
        <v>0</v>
      </c>
      <c r="AD885" s="98">
        <f t="shared" si="262"/>
        <v>0</v>
      </c>
      <c r="AE885" s="98">
        <f t="shared" si="256"/>
        <v>0</v>
      </c>
      <c r="AF885" s="205" t="str">
        <f t="shared" si="265"/>
        <v/>
      </c>
      <c r="AG885" s="98">
        <f t="shared" si="263"/>
        <v>0</v>
      </c>
      <c r="AH885" s="97"/>
      <c r="AI885" s="311"/>
      <c r="AJ885" s="98">
        <f t="shared" si="255"/>
        <v>0</v>
      </c>
      <c r="AK885" s="233"/>
      <c r="AL885" s="98">
        <f>IF(SUMIFS('Shipments data'!L:L,'Shipments data'!F:F,'Supply planning data'!C885,'Shipments data'!A:A,'Supply planning data'!A885,'Shipments data'!O:O,"received",'Shipments data'!Q:Q,"&lt;"&amp;'Supply planning data'!D900,'Shipments data'!AC:AC,"&lt;"&amp;'Supply planning data'!D900)-SUMIFS(M:M,D:D,"&lt;="&amp;D885,C:C,C885)-SUMIFS(AJ:AJ,D:D,"&lt;="&amp;D885,C:C,C885)+SUMIFS(N:N,D:D,"&lt;="&amp;D885,C:C,C885)+SUMIFS(P:P,D:D,"&lt;="&amp;D885,C:C,C885)&lt;0,0,SUMIFS('Shipments data'!L:L,'Shipments data'!F:F,'Supply planning data'!C885,'Shipments data'!A:A,'Supply planning data'!A885,'Shipments data'!O:O,"received",'Shipments data'!Q:Q,"&lt;"&amp;'Supply planning data'!D900,'Shipments data'!AC:AC,"&lt;"&amp;'Supply planning data'!D900)-SUMIFS(M:M,D:D,"&lt;="&amp;D885,C:C,C885)-SUMIFS(AJ:AJ,D:D,"&lt;="&amp;D885,C:C,C885)+SUMIFS(N:N,D:D,"&lt;="&amp;D885,C:C,C885)+SUMIFS(P:P,D:D,"&lt;="&amp;D885,C:C,C885))</f>
        <v>0</v>
      </c>
      <c r="AM885" s="98">
        <f t="shared" si="264"/>
        <v>0</v>
      </c>
      <c r="AN885" s="98">
        <f t="shared" si="257"/>
        <v>0</v>
      </c>
      <c r="AO885" s="203" t="str">
        <f t="shared" si="267"/>
        <v/>
      </c>
    </row>
    <row r="886" spans="1:41" hidden="1" x14ac:dyDescent="0.25">
      <c r="A886" s="95" t="str">
        <f>Start!D$7</f>
        <v>Anyland</v>
      </c>
      <c r="B886" s="96" t="str">
        <f>VLOOKUP(A886,list!B:C,2,FALSE)</f>
        <v>ANY</v>
      </c>
      <c r="C886" s="90" t="str">
        <f>IF(Start!$C$28="","",Start!$C$28)</f>
        <v/>
      </c>
      <c r="D886" s="296">
        <f t="shared" si="258"/>
        <v>45962</v>
      </c>
      <c r="E886" s="92" t="str">
        <f>IFERROR(VLOOKUP(C886,Start!C$15:D$31,2,FALSE),"No")</f>
        <v>No</v>
      </c>
      <c r="F886" s="92">
        <f t="shared" si="259"/>
        <v>0</v>
      </c>
      <c r="G886" s="91"/>
      <c r="H886" s="97"/>
      <c r="I886" s="97"/>
      <c r="J886" s="98">
        <f t="shared" si="251"/>
        <v>0</v>
      </c>
      <c r="K886" s="97"/>
      <c r="L886" s="175" t="str">
        <f t="shared" si="252"/>
        <v/>
      </c>
      <c r="M886" s="98">
        <f t="shared" si="253"/>
        <v>0</v>
      </c>
      <c r="N886" s="97"/>
      <c r="O886" s="122"/>
      <c r="P886" s="97"/>
      <c r="Q886" s="122"/>
      <c r="R886" s="98">
        <f>SUMIFS('Shipments data'!L:L,'Shipments data'!F:F,'Supply planning data'!C886,'Shipments data'!A:A,'Supply planning data'!A886,'Shipments data'!Y:Y,'Supply planning data'!D886,'Shipments data'!O:O,"received", 'Shipments data'!N:N, "Public")</f>
        <v>0</v>
      </c>
      <c r="S886" s="98">
        <f>SUMIFS('Shipments data'!L:L,'Shipments data'!F:F,'Supply planning data'!C886,'Shipments data'!A:A,'Supply planning data'!A886,'Shipments data'!Y:Y,'Supply planning data'!D886,'Shipments data'!O:O,"ordered", 'Shipments data'!N:N, "Public")</f>
        <v>0</v>
      </c>
      <c r="T886" s="98">
        <f>IF(SUMIFS('Shipments data'!L:L,'Shipments data'!F:F,'Supply planning data'!C886,'Shipments data'!A:A,'Supply planning data'!A886,'Shipments data'!O:O,"received",'Shipments data'!Q:Q,"&lt;"&amp;'Supply planning data'!D901,'Shipments data'!AC:AC,"&lt;"&amp;'Supply planning data'!D901)-SUMIFS(M:M,D:D,"&lt;="&amp;D886,C:C,C886)+SUMIFS(N:N,D:D,"&lt;="&amp;D886,C:C,C886)+SUMIFS(P:P,D:D,"&lt;="&amp;D886,C:C,C886)&lt;0,0,SUMIFS('Shipments data'!L:L,'Shipments data'!F:F,'Supply planning data'!C886,'Shipments data'!A:A,'Supply planning data'!A886,'Shipments data'!O:O,"received",'Shipments data'!Q:Q,"&lt;"&amp;'Supply planning data'!D901,'Shipments data'!AC:AC,"&lt;"&amp;'Supply planning data'!D901)-SUMIFS(M:M,D:D,"&lt;="&amp;D886,C:C,C886)+SUMIFS(N:N,D:D,"&lt;="&amp;D886,C:C,C886)+SUMIFS(P:P,D:D,"&lt;="&amp;D886,C:C,C886))</f>
        <v>0</v>
      </c>
      <c r="U886" s="99">
        <f t="shared" si="260"/>
        <v>0</v>
      </c>
      <c r="V886" s="98">
        <f t="shared" si="268"/>
        <v>0</v>
      </c>
      <c r="W886" s="203" t="str">
        <f t="shared" si="266"/>
        <v/>
      </c>
      <c r="X886" s="98">
        <f t="shared" si="261"/>
        <v>0</v>
      </c>
      <c r="Y886" s="97"/>
      <c r="Z886" s="93"/>
      <c r="AA886" s="98">
        <f t="shared" si="254"/>
        <v>0</v>
      </c>
      <c r="AB886" s="233"/>
      <c r="AC886" s="98">
        <f>IF(SUMIFS('Shipments data'!L:L,'Shipments data'!F:F,'Supply planning data'!C886,'Shipments data'!A:A,'Supply planning data'!A886,'Shipments data'!O:O,"received",'Shipments data'!Q:Q,"&lt;"&amp;'Supply planning data'!D901,'Shipments data'!AC:AC,"&lt;"&amp;'Supply planning data'!D901)-SUMIFS(M:M,D:D,"&lt;="&amp;D886,C:C,C886)-SUMIFS(AA:AA,D:D,"&lt;="&amp;D886,C:C,C886)+SUMIFS(N:N,D:D,"&lt;="&amp;D886,C:C,C886)+SUMIFS(P:P,D:D,"&lt;="&amp;D886,C:C,C886)&lt;0,0,SUMIFS('Shipments data'!L:L,'Shipments data'!F:F,'Supply planning data'!C886,'Shipments data'!A:A,'Supply planning data'!A886,'Shipments data'!O:O,"received",'Shipments data'!Q:Q,"&lt;"&amp;'Supply planning data'!D901,'Shipments data'!AC:AC,"&lt;"&amp;'Supply planning data'!D901)-SUMIFS(M:M,D:D,"&lt;="&amp;D886,C:C,C886)-SUMIFS(AA:AA,D:D,"&lt;="&amp;D886,C:C,C886)+SUMIFS(N:N,D:D,"&lt;="&amp;D886,C:C,C886)+SUMIFS(P:P,D:D,"&lt;="&amp;D886,C:C,C886))</f>
        <v>0</v>
      </c>
      <c r="AD886" s="98">
        <f t="shared" si="262"/>
        <v>0</v>
      </c>
      <c r="AE886" s="98">
        <f t="shared" si="256"/>
        <v>0</v>
      </c>
      <c r="AF886" s="205" t="str">
        <f t="shared" si="265"/>
        <v/>
      </c>
      <c r="AG886" s="98">
        <f t="shared" si="263"/>
        <v>0</v>
      </c>
      <c r="AH886" s="97"/>
      <c r="AI886" s="311"/>
      <c r="AJ886" s="98">
        <f t="shared" si="255"/>
        <v>0</v>
      </c>
      <c r="AK886" s="233"/>
      <c r="AL886" s="98">
        <f>IF(SUMIFS('Shipments data'!L:L,'Shipments data'!F:F,'Supply planning data'!C886,'Shipments data'!A:A,'Supply planning data'!A886,'Shipments data'!O:O,"received",'Shipments data'!Q:Q,"&lt;"&amp;'Supply planning data'!D901,'Shipments data'!AC:AC,"&lt;"&amp;'Supply planning data'!D901)-SUMIFS(M:M,D:D,"&lt;="&amp;D886,C:C,C886)-SUMIFS(AJ:AJ,D:D,"&lt;="&amp;D886,C:C,C886)+SUMIFS(N:N,D:D,"&lt;="&amp;D886,C:C,C886)+SUMIFS(P:P,D:D,"&lt;="&amp;D886,C:C,C886)&lt;0,0,SUMIFS('Shipments data'!L:L,'Shipments data'!F:F,'Supply planning data'!C886,'Shipments data'!A:A,'Supply planning data'!A886,'Shipments data'!O:O,"received",'Shipments data'!Q:Q,"&lt;"&amp;'Supply planning data'!D901,'Shipments data'!AC:AC,"&lt;"&amp;'Supply planning data'!D901)-SUMIFS(M:M,D:D,"&lt;="&amp;D886,C:C,C886)-SUMIFS(AJ:AJ,D:D,"&lt;="&amp;D886,C:C,C886)+SUMIFS(N:N,D:D,"&lt;="&amp;D886,C:C,C886)+SUMIFS(P:P,D:D,"&lt;="&amp;D886,C:C,C886))</f>
        <v>0</v>
      </c>
      <c r="AM886" s="98">
        <f t="shared" si="264"/>
        <v>0</v>
      </c>
      <c r="AN886" s="98">
        <f t="shared" si="257"/>
        <v>0</v>
      </c>
      <c r="AO886" s="203" t="str">
        <f t="shared" si="267"/>
        <v/>
      </c>
    </row>
    <row r="887" spans="1:41" hidden="1" x14ac:dyDescent="0.25">
      <c r="A887" s="95" t="str">
        <f>Start!D$7</f>
        <v>Anyland</v>
      </c>
      <c r="B887" s="96" t="str">
        <f>VLOOKUP(A887,list!B:C,2,FALSE)</f>
        <v>ANY</v>
      </c>
      <c r="C887" s="90" t="str">
        <f>IF(Start!$C$29="","",Start!$C$29)</f>
        <v/>
      </c>
      <c r="D887" s="296">
        <f t="shared" si="258"/>
        <v>45962</v>
      </c>
      <c r="E887" s="92" t="str">
        <f>IFERROR(VLOOKUP(C887,Start!C$15:D$31,2,FALSE),"No")</f>
        <v>No</v>
      </c>
      <c r="F887" s="92">
        <f t="shared" si="259"/>
        <v>0</v>
      </c>
      <c r="G887" s="91"/>
      <c r="H887" s="97"/>
      <c r="I887" s="97"/>
      <c r="J887" s="98">
        <f t="shared" si="251"/>
        <v>0</v>
      </c>
      <c r="K887" s="97"/>
      <c r="L887" s="175" t="str">
        <f t="shared" si="252"/>
        <v/>
      </c>
      <c r="M887" s="98">
        <f t="shared" si="253"/>
        <v>0</v>
      </c>
      <c r="N887" s="97"/>
      <c r="O887" s="122"/>
      <c r="P887" s="97"/>
      <c r="Q887" s="122"/>
      <c r="R887" s="98">
        <f>SUMIFS('Shipments data'!L:L,'Shipments data'!F:F,'Supply planning data'!C887,'Shipments data'!A:A,'Supply planning data'!A887,'Shipments data'!Y:Y,'Supply planning data'!D887,'Shipments data'!O:O,"received", 'Shipments data'!N:N, "Public")</f>
        <v>0</v>
      </c>
      <c r="S887" s="98">
        <f>SUMIFS('Shipments data'!L:L,'Shipments data'!F:F,'Supply planning data'!C887,'Shipments data'!A:A,'Supply planning data'!A887,'Shipments data'!Y:Y,'Supply planning data'!D887,'Shipments data'!O:O,"ordered", 'Shipments data'!N:N, "Public")</f>
        <v>0</v>
      </c>
      <c r="T887" s="98">
        <f>IF(SUMIFS('Shipments data'!L:L,'Shipments data'!F:F,'Supply planning data'!C887,'Shipments data'!A:A,'Supply planning data'!A887,'Shipments data'!O:O,"received",'Shipments data'!Q:Q,"&lt;"&amp;'Supply planning data'!D902,'Shipments data'!AC:AC,"&lt;"&amp;'Supply planning data'!D902)-SUMIFS(M:M,D:D,"&lt;="&amp;D887,C:C,C887)+SUMIFS(N:N,D:D,"&lt;="&amp;D887,C:C,C887)+SUMIFS(P:P,D:D,"&lt;="&amp;D887,C:C,C887)&lt;0,0,SUMIFS('Shipments data'!L:L,'Shipments data'!F:F,'Supply planning data'!C887,'Shipments data'!A:A,'Supply planning data'!A887,'Shipments data'!O:O,"received",'Shipments data'!Q:Q,"&lt;"&amp;'Supply planning data'!D902,'Shipments data'!AC:AC,"&lt;"&amp;'Supply planning data'!D902)-SUMIFS(M:M,D:D,"&lt;="&amp;D887,C:C,C887)+SUMIFS(N:N,D:D,"&lt;="&amp;D887,C:C,C887)+SUMIFS(P:P,D:D,"&lt;="&amp;D887,C:C,C887))</f>
        <v>0</v>
      </c>
      <c r="U887" s="99">
        <f t="shared" si="260"/>
        <v>0</v>
      </c>
      <c r="V887" s="98">
        <f t="shared" si="268"/>
        <v>0</v>
      </c>
      <c r="W887" s="203" t="str">
        <f t="shared" si="266"/>
        <v/>
      </c>
      <c r="X887" s="98">
        <f t="shared" si="261"/>
        <v>0</v>
      </c>
      <c r="Y887" s="97"/>
      <c r="Z887" s="93"/>
      <c r="AA887" s="98">
        <f t="shared" si="254"/>
        <v>0</v>
      </c>
      <c r="AB887" s="233"/>
      <c r="AC887" s="98">
        <f>IF(SUMIFS('Shipments data'!L:L,'Shipments data'!F:F,'Supply planning data'!C887,'Shipments data'!A:A,'Supply planning data'!A887,'Shipments data'!O:O,"received",'Shipments data'!Q:Q,"&lt;"&amp;'Supply planning data'!D902,'Shipments data'!AC:AC,"&lt;"&amp;'Supply planning data'!D902)-SUMIFS(M:M,D:D,"&lt;="&amp;D887,C:C,C887)-SUMIFS(AA:AA,D:D,"&lt;="&amp;D887,C:C,C887)+SUMIFS(N:N,D:D,"&lt;="&amp;D887,C:C,C887)+SUMIFS(P:P,D:D,"&lt;="&amp;D887,C:C,C887)&lt;0,0,SUMIFS('Shipments data'!L:L,'Shipments data'!F:F,'Supply planning data'!C887,'Shipments data'!A:A,'Supply planning data'!A887,'Shipments data'!O:O,"received",'Shipments data'!Q:Q,"&lt;"&amp;'Supply planning data'!D902,'Shipments data'!AC:AC,"&lt;"&amp;'Supply planning data'!D902)-SUMIFS(M:M,D:D,"&lt;="&amp;D887,C:C,C887)-SUMIFS(AA:AA,D:D,"&lt;="&amp;D887,C:C,C887)+SUMIFS(N:N,D:D,"&lt;="&amp;D887,C:C,C887)+SUMIFS(P:P,D:D,"&lt;="&amp;D887,C:C,C887))</f>
        <v>0</v>
      </c>
      <c r="AD887" s="98">
        <f t="shared" si="262"/>
        <v>0</v>
      </c>
      <c r="AE887" s="98">
        <f t="shared" si="256"/>
        <v>0</v>
      </c>
      <c r="AF887" s="205" t="str">
        <f t="shared" si="265"/>
        <v/>
      </c>
      <c r="AG887" s="98">
        <f t="shared" si="263"/>
        <v>0</v>
      </c>
      <c r="AH887" s="97"/>
      <c r="AI887" s="311"/>
      <c r="AJ887" s="98">
        <f t="shared" si="255"/>
        <v>0</v>
      </c>
      <c r="AK887" s="233"/>
      <c r="AL887" s="98">
        <f>IF(SUMIFS('Shipments data'!L:L,'Shipments data'!F:F,'Supply planning data'!C887,'Shipments data'!A:A,'Supply planning data'!A887,'Shipments data'!O:O,"received",'Shipments data'!Q:Q,"&lt;"&amp;'Supply planning data'!D902,'Shipments data'!AC:AC,"&lt;"&amp;'Supply planning data'!D902)-SUMIFS(M:M,D:D,"&lt;="&amp;D887,C:C,C887)-SUMIFS(AJ:AJ,D:D,"&lt;="&amp;D887,C:C,C887)+SUMIFS(N:N,D:D,"&lt;="&amp;D887,C:C,C887)+SUMIFS(P:P,D:D,"&lt;="&amp;D887,C:C,C887)&lt;0,0,SUMIFS('Shipments data'!L:L,'Shipments data'!F:F,'Supply planning data'!C887,'Shipments data'!A:A,'Supply planning data'!A887,'Shipments data'!O:O,"received",'Shipments data'!Q:Q,"&lt;"&amp;'Supply planning data'!D902,'Shipments data'!AC:AC,"&lt;"&amp;'Supply planning data'!D902)-SUMIFS(M:M,D:D,"&lt;="&amp;D887,C:C,C887)-SUMIFS(AJ:AJ,D:D,"&lt;="&amp;D887,C:C,C887)+SUMIFS(N:N,D:D,"&lt;="&amp;D887,C:C,C887)+SUMIFS(P:P,D:D,"&lt;="&amp;D887,C:C,C887))</f>
        <v>0</v>
      </c>
      <c r="AM887" s="98">
        <f t="shared" si="264"/>
        <v>0</v>
      </c>
      <c r="AN887" s="98">
        <f t="shared" si="257"/>
        <v>0</v>
      </c>
      <c r="AO887" s="203" t="str">
        <f t="shared" si="267"/>
        <v/>
      </c>
    </row>
    <row r="888" spans="1:41" hidden="1" x14ac:dyDescent="0.25">
      <c r="A888" s="95" t="str">
        <f>Start!D$7</f>
        <v>Anyland</v>
      </c>
      <c r="B888" s="96" t="str">
        <f>VLOOKUP(A888,list!B:C,2,FALSE)</f>
        <v>ANY</v>
      </c>
      <c r="C888" s="90" t="str">
        <f>IF(Start!$C$30="","",Start!$C$30)</f>
        <v/>
      </c>
      <c r="D888" s="296">
        <f t="shared" si="258"/>
        <v>45962</v>
      </c>
      <c r="E888" s="92" t="str">
        <f>IFERROR(VLOOKUP(C888,Start!C$15:D$31,2,FALSE),"No")</f>
        <v>No</v>
      </c>
      <c r="F888" s="92">
        <f t="shared" si="259"/>
        <v>0</v>
      </c>
      <c r="G888" s="91"/>
      <c r="H888" s="97"/>
      <c r="I888" s="97"/>
      <c r="J888" s="98">
        <f t="shared" si="251"/>
        <v>0</v>
      </c>
      <c r="K888" s="97"/>
      <c r="L888" s="175" t="str">
        <f t="shared" si="252"/>
        <v/>
      </c>
      <c r="M888" s="98">
        <f t="shared" si="253"/>
        <v>0</v>
      </c>
      <c r="N888" s="97"/>
      <c r="O888" s="122"/>
      <c r="P888" s="97"/>
      <c r="Q888" s="122"/>
      <c r="R888" s="98">
        <f>SUMIFS('Shipments data'!L:L,'Shipments data'!F:F,'Supply planning data'!C888,'Shipments data'!A:A,'Supply planning data'!A888,'Shipments data'!Y:Y,'Supply planning data'!D888,'Shipments data'!O:O,"received", 'Shipments data'!N:N, "Public")</f>
        <v>0</v>
      </c>
      <c r="S888" s="98">
        <f>SUMIFS('Shipments data'!L:L,'Shipments data'!F:F,'Supply planning data'!C888,'Shipments data'!A:A,'Supply planning data'!A888,'Shipments data'!Y:Y,'Supply planning data'!D888,'Shipments data'!O:O,"ordered", 'Shipments data'!N:N, "Public")</f>
        <v>0</v>
      </c>
      <c r="T888" s="98">
        <f>IF(SUMIFS('Shipments data'!L:L,'Shipments data'!F:F,'Supply planning data'!C888,'Shipments data'!A:A,'Supply planning data'!A888,'Shipments data'!O:O,"received",'Shipments data'!Q:Q,"&lt;"&amp;'Supply planning data'!D903,'Shipments data'!AC:AC,"&lt;"&amp;'Supply planning data'!D903)-SUMIFS(M:M,D:D,"&lt;="&amp;D888,C:C,C888)+SUMIFS(N:N,D:D,"&lt;="&amp;D888,C:C,C888)+SUMIFS(P:P,D:D,"&lt;="&amp;D888,C:C,C888)&lt;0,0,SUMIFS('Shipments data'!L:L,'Shipments data'!F:F,'Supply planning data'!C888,'Shipments data'!A:A,'Supply planning data'!A888,'Shipments data'!O:O,"received",'Shipments data'!Q:Q,"&lt;"&amp;'Supply planning data'!D903,'Shipments data'!AC:AC,"&lt;"&amp;'Supply planning data'!D903)-SUMIFS(M:M,D:D,"&lt;="&amp;D888,C:C,C888)+SUMIFS(N:N,D:D,"&lt;="&amp;D888,C:C,C888)+SUMIFS(P:P,D:D,"&lt;="&amp;D888,C:C,C888))</f>
        <v>0</v>
      </c>
      <c r="U888" s="99">
        <f t="shared" si="260"/>
        <v>0</v>
      </c>
      <c r="V888" s="98">
        <f t="shared" si="268"/>
        <v>0</v>
      </c>
      <c r="W888" s="203" t="str">
        <f t="shared" si="266"/>
        <v/>
      </c>
      <c r="X888" s="98">
        <f t="shared" si="261"/>
        <v>0</v>
      </c>
      <c r="Y888" s="97"/>
      <c r="Z888" s="93"/>
      <c r="AA888" s="98">
        <f t="shared" si="254"/>
        <v>0</v>
      </c>
      <c r="AB888" s="233"/>
      <c r="AC888" s="98">
        <f>IF(SUMIFS('Shipments data'!L:L,'Shipments data'!F:F,'Supply planning data'!C888,'Shipments data'!A:A,'Supply planning data'!A888,'Shipments data'!O:O,"received",'Shipments data'!Q:Q,"&lt;"&amp;'Supply planning data'!D903,'Shipments data'!AC:AC,"&lt;"&amp;'Supply planning data'!D903)-SUMIFS(M:M,D:D,"&lt;="&amp;D888,C:C,C888)-SUMIFS(AA:AA,D:D,"&lt;="&amp;D888,C:C,C888)+SUMIFS(N:N,D:D,"&lt;="&amp;D888,C:C,C888)+SUMIFS(P:P,D:D,"&lt;="&amp;D888,C:C,C888)&lt;0,0,SUMIFS('Shipments data'!L:L,'Shipments data'!F:F,'Supply planning data'!C888,'Shipments data'!A:A,'Supply planning data'!A888,'Shipments data'!O:O,"received",'Shipments data'!Q:Q,"&lt;"&amp;'Supply planning data'!D903,'Shipments data'!AC:AC,"&lt;"&amp;'Supply planning data'!D903)-SUMIFS(M:M,D:D,"&lt;="&amp;D888,C:C,C888)-SUMIFS(AA:AA,D:D,"&lt;="&amp;D888,C:C,C888)+SUMIFS(N:N,D:D,"&lt;="&amp;D888,C:C,C888)+SUMIFS(P:P,D:D,"&lt;="&amp;D888,C:C,C888))</f>
        <v>0</v>
      </c>
      <c r="AD888" s="98">
        <f t="shared" si="262"/>
        <v>0</v>
      </c>
      <c r="AE888" s="98">
        <f t="shared" si="256"/>
        <v>0</v>
      </c>
      <c r="AF888" s="205" t="str">
        <f t="shared" si="265"/>
        <v/>
      </c>
      <c r="AG888" s="98">
        <f t="shared" si="263"/>
        <v>0</v>
      </c>
      <c r="AH888" s="97"/>
      <c r="AI888" s="311"/>
      <c r="AJ888" s="98">
        <f t="shared" si="255"/>
        <v>0</v>
      </c>
      <c r="AK888" s="233"/>
      <c r="AL888" s="98">
        <f>IF(SUMIFS('Shipments data'!L:L,'Shipments data'!F:F,'Supply planning data'!C888,'Shipments data'!A:A,'Supply planning data'!A888,'Shipments data'!O:O,"received",'Shipments data'!Q:Q,"&lt;"&amp;'Supply planning data'!D903,'Shipments data'!AC:AC,"&lt;"&amp;'Supply planning data'!D903)-SUMIFS(M:M,D:D,"&lt;="&amp;D888,C:C,C888)-SUMIFS(AJ:AJ,D:D,"&lt;="&amp;D888,C:C,C888)+SUMIFS(N:N,D:D,"&lt;="&amp;D888,C:C,C888)+SUMIFS(P:P,D:D,"&lt;="&amp;D888,C:C,C888)&lt;0,0,SUMIFS('Shipments data'!L:L,'Shipments data'!F:F,'Supply planning data'!C888,'Shipments data'!A:A,'Supply planning data'!A888,'Shipments data'!O:O,"received",'Shipments data'!Q:Q,"&lt;"&amp;'Supply planning data'!D903,'Shipments data'!AC:AC,"&lt;"&amp;'Supply planning data'!D903)-SUMIFS(M:M,D:D,"&lt;="&amp;D888,C:C,C888)-SUMIFS(AJ:AJ,D:D,"&lt;="&amp;D888,C:C,C888)+SUMIFS(N:N,D:D,"&lt;="&amp;D888,C:C,C888)+SUMIFS(P:P,D:D,"&lt;="&amp;D888,C:C,C888))</f>
        <v>0</v>
      </c>
      <c r="AM888" s="98">
        <f t="shared" si="264"/>
        <v>0</v>
      </c>
      <c r="AN888" s="98">
        <f t="shared" si="257"/>
        <v>0</v>
      </c>
      <c r="AO888" s="203" t="str">
        <f t="shared" si="267"/>
        <v/>
      </c>
    </row>
    <row r="889" spans="1:41" hidden="1" x14ac:dyDescent="0.25">
      <c r="A889" s="95" t="str">
        <f>Start!D$7</f>
        <v>Anyland</v>
      </c>
      <c r="B889" s="100" t="str">
        <f>VLOOKUP(A889,list!B:C,2,FALSE)</f>
        <v>ANY</v>
      </c>
      <c r="C889" s="90" t="str">
        <f>IF(Start!$C$31="","",Start!$C$31)</f>
        <v/>
      </c>
      <c r="D889" s="296">
        <f t="shared" si="258"/>
        <v>45962</v>
      </c>
      <c r="E889" s="92" t="str">
        <f>IFERROR(VLOOKUP(C889,Start!C$15:D$31,2,FALSE),"No")</f>
        <v>No</v>
      </c>
      <c r="F889" s="92">
        <f t="shared" si="259"/>
        <v>0</v>
      </c>
      <c r="G889" s="91"/>
      <c r="H889" s="97"/>
      <c r="I889" s="97"/>
      <c r="J889" s="98">
        <f t="shared" si="251"/>
        <v>0</v>
      </c>
      <c r="K889" s="97"/>
      <c r="L889" s="175" t="str">
        <f t="shared" si="252"/>
        <v/>
      </c>
      <c r="M889" s="98">
        <f t="shared" si="253"/>
        <v>0</v>
      </c>
      <c r="N889" s="97"/>
      <c r="O889" s="122"/>
      <c r="P889" s="97"/>
      <c r="Q889" s="122"/>
      <c r="R889" s="98">
        <f>SUMIFS('Shipments data'!L:L,'Shipments data'!F:F,'Supply planning data'!C889,'Shipments data'!A:A,'Supply planning data'!A889,'Shipments data'!Y:Y,'Supply planning data'!D889,'Shipments data'!O:O,"received", 'Shipments data'!N:N, "Public")</f>
        <v>0</v>
      </c>
      <c r="S889" s="98">
        <f>SUMIFS('Shipments data'!L:L,'Shipments data'!F:F,'Supply planning data'!C889,'Shipments data'!A:A,'Supply planning data'!A889,'Shipments data'!Y:Y,'Supply planning data'!D889,'Shipments data'!O:O,"ordered", 'Shipments data'!N:N, "Public")</f>
        <v>0</v>
      </c>
      <c r="T889" s="98">
        <f>IF(SUMIFS('Shipments data'!L:L,'Shipments data'!F:F,'Supply planning data'!C889,'Shipments data'!A:A,'Supply planning data'!A889,'Shipments data'!O:O,"received",'Shipments data'!Q:Q,"&lt;"&amp;'Supply planning data'!D904,'Shipments data'!AC:AC,"&lt;"&amp;'Supply planning data'!D904)-SUMIFS(M:M,D:D,"&lt;="&amp;D889,C:C,C889)+SUMIFS(N:N,D:D,"&lt;="&amp;D889,C:C,C889)+SUMIFS(P:P,D:D,"&lt;="&amp;D889,C:C,C889)&lt;0,0,SUMIFS('Shipments data'!L:L,'Shipments data'!F:F,'Supply planning data'!C889,'Shipments data'!A:A,'Supply planning data'!A889,'Shipments data'!O:O,"received",'Shipments data'!Q:Q,"&lt;"&amp;'Supply planning data'!D904,'Shipments data'!AC:AC,"&lt;"&amp;'Supply planning data'!D904)-SUMIFS(M:M,D:D,"&lt;="&amp;D889,C:C,C889)+SUMIFS(N:N,D:D,"&lt;="&amp;D889,C:C,C889)+SUMIFS(P:P,D:D,"&lt;="&amp;D889,C:C,C889))</f>
        <v>0</v>
      </c>
      <c r="U889" s="99">
        <f t="shared" si="260"/>
        <v>0</v>
      </c>
      <c r="V889" s="98">
        <f t="shared" si="268"/>
        <v>0</v>
      </c>
      <c r="W889" s="203" t="str">
        <f t="shared" si="266"/>
        <v/>
      </c>
      <c r="X889" s="98">
        <f t="shared" si="261"/>
        <v>0</v>
      </c>
      <c r="Y889" s="97"/>
      <c r="Z889" s="93"/>
      <c r="AA889" s="98">
        <f t="shared" si="254"/>
        <v>0</v>
      </c>
      <c r="AB889" s="233"/>
      <c r="AC889" s="98">
        <f>IF(SUMIFS('Shipments data'!L:L,'Shipments data'!F:F,'Supply planning data'!C889,'Shipments data'!A:A,'Supply planning data'!A889,'Shipments data'!O:O,"received",'Shipments data'!Q:Q,"&lt;"&amp;'Supply planning data'!D904,'Shipments data'!AC:AC,"&lt;"&amp;'Supply planning data'!D904)-SUMIFS(M:M,D:D,"&lt;="&amp;D889,C:C,C889)-SUMIFS(AA:AA,D:D,"&lt;="&amp;D889,C:C,C889)+SUMIFS(N:N,D:D,"&lt;="&amp;D889,C:C,C889)+SUMIFS(P:P,D:D,"&lt;="&amp;D889,C:C,C889)&lt;0,0,SUMIFS('Shipments data'!L:L,'Shipments data'!F:F,'Supply planning data'!C889,'Shipments data'!A:A,'Supply planning data'!A889,'Shipments data'!O:O,"received",'Shipments data'!Q:Q,"&lt;"&amp;'Supply planning data'!D904,'Shipments data'!AC:AC,"&lt;"&amp;'Supply planning data'!D904)-SUMIFS(M:M,D:D,"&lt;="&amp;D889,C:C,C889)-SUMIFS(AA:AA,D:D,"&lt;="&amp;D889,C:C,C889)+SUMIFS(N:N,D:D,"&lt;="&amp;D889,C:C,C889)+SUMIFS(P:P,D:D,"&lt;="&amp;D889,C:C,C889))</f>
        <v>0</v>
      </c>
      <c r="AD889" s="98">
        <f t="shared" si="262"/>
        <v>0</v>
      </c>
      <c r="AE889" s="98">
        <f t="shared" si="256"/>
        <v>0</v>
      </c>
      <c r="AF889" s="205" t="str">
        <f t="shared" si="265"/>
        <v/>
      </c>
      <c r="AG889" s="98">
        <f t="shared" si="263"/>
        <v>0</v>
      </c>
      <c r="AH889" s="97"/>
      <c r="AI889" s="311"/>
      <c r="AJ889" s="98">
        <f t="shared" si="255"/>
        <v>0</v>
      </c>
      <c r="AK889" s="233"/>
      <c r="AL889" s="98">
        <f>IF(SUMIFS('Shipments data'!L:L,'Shipments data'!F:F,'Supply planning data'!C889,'Shipments data'!A:A,'Supply planning data'!A889,'Shipments data'!O:O,"received",'Shipments data'!Q:Q,"&lt;"&amp;'Supply planning data'!D904,'Shipments data'!AC:AC,"&lt;"&amp;'Supply planning data'!D904)-SUMIFS(M:M,D:D,"&lt;="&amp;D889,C:C,C889)-SUMIFS(AJ:AJ,D:D,"&lt;="&amp;D889,C:C,C889)+SUMIFS(N:N,D:D,"&lt;="&amp;D889,C:C,C889)+SUMIFS(P:P,D:D,"&lt;="&amp;D889,C:C,C889)&lt;0,0,SUMIFS('Shipments data'!L:L,'Shipments data'!F:F,'Supply planning data'!C889,'Shipments data'!A:A,'Supply planning data'!A889,'Shipments data'!O:O,"received",'Shipments data'!Q:Q,"&lt;"&amp;'Supply planning data'!D904,'Shipments data'!AC:AC,"&lt;"&amp;'Supply planning data'!D904)-SUMIFS(M:M,D:D,"&lt;="&amp;D889,C:C,C889)-SUMIFS(AJ:AJ,D:D,"&lt;="&amp;D889,C:C,C889)+SUMIFS(N:N,D:D,"&lt;="&amp;D889,C:C,C889)+SUMIFS(P:P,D:D,"&lt;="&amp;D889,C:C,C889))</f>
        <v>0</v>
      </c>
      <c r="AM889" s="98">
        <f t="shared" si="264"/>
        <v>0</v>
      </c>
      <c r="AN889" s="98">
        <f t="shared" si="257"/>
        <v>0</v>
      </c>
      <c r="AO889" s="203" t="str">
        <f t="shared" si="267"/>
        <v/>
      </c>
    </row>
    <row r="890" spans="1:41" x14ac:dyDescent="0.25">
      <c r="A890" s="103" t="str">
        <f>Start!D$7</f>
        <v>Anyland</v>
      </c>
      <c r="B890" s="104" t="str">
        <f>VLOOKUP(A890,list!B:C,2,FALSE)</f>
        <v>ANY</v>
      </c>
      <c r="C890" s="104" t="str">
        <f>IF(Start!$C$17="","",Start!$C$17)</f>
        <v>AstraZeneca</v>
      </c>
      <c r="D890" s="298">
        <f t="shared" si="258"/>
        <v>45992</v>
      </c>
      <c r="E890" s="105" t="str">
        <f>IFERROR(VLOOKUP(C890,Start!C$15:D$31,2,FALSE),"No")</f>
        <v>Yes</v>
      </c>
      <c r="F890" s="105">
        <f t="shared" si="259"/>
        <v>0</v>
      </c>
      <c r="G890" s="106"/>
      <c r="H890" s="106"/>
      <c r="I890" s="106"/>
      <c r="J890" s="105">
        <f t="shared" si="251"/>
        <v>0</v>
      </c>
      <c r="K890" s="106"/>
      <c r="L890" s="177" t="str">
        <f t="shared" si="252"/>
        <v/>
      </c>
      <c r="M890" s="105">
        <f t="shared" si="253"/>
        <v>0</v>
      </c>
      <c r="N890" s="106"/>
      <c r="O890" s="123"/>
      <c r="P890" s="106"/>
      <c r="Q890" s="123"/>
      <c r="R890" s="105">
        <f>SUMIFS('Shipments data'!L:L,'Shipments data'!F:F,'Supply planning data'!C890,'Shipments data'!A:A,'Supply planning data'!A890,'Shipments data'!Y:Y,'Supply planning data'!D890,'Shipments data'!O:O,"received", 'Shipments data'!N:N, "Public")</f>
        <v>0</v>
      </c>
      <c r="S890" s="105">
        <f>SUMIFS('Shipments data'!L:L,'Shipments data'!F:F,'Supply planning data'!C890,'Shipments data'!A:A,'Supply planning data'!A890,'Shipments data'!Y:Y,'Supply planning data'!D890,'Shipments data'!O:O,"ordered", 'Shipments data'!N:N, "Public")</f>
        <v>0</v>
      </c>
      <c r="T890" s="105">
        <f>IF(SUMIFS('Shipments data'!L:L,'Shipments data'!F:F,'Supply planning data'!C890,'Shipments data'!A:A,'Supply planning data'!A890,'Shipments data'!O:O,"received",'Shipments data'!Q:Q,"&lt;"&amp;'Supply planning data'!D905,'Shipments data'!AC:AC,"&lt;"&amp;'Supply planning data'!D905)-SUMIFS(M:M,D:D,"&lt;="&amp;D890,C:C,C890)+SUMIFS(N:N,D:D,"&lt;="&amp;D890,C:C,C890)+SUMIFS(P:P,D:D,"&lt;="&amp;D890,C:C,C890)&lt;0,0,SUMIFS('Shipments data'!L:L,'Shipments data'!F:F,'Supply planning data'!C890,'Shipments data'!A:A,'Supply planning data'!A890,'Shipments data'!O:O,"received",'Shipments data'!Q:Q,"&lt;"&amp;'Supply planning data'!D905,'Shipments data'!AC:AC,"&lt;"&amp;'Supply planning data'!D905)-SUMIFS(M:M,D:D,"&lt;="&amp;D890,C:C,C890)+SUMIFS(N:N,D:D,"&lt;="&amp;D890,C:C,C890)+SUMIFS(P:P,D:D,"&lt;="&amp;D890,C:C,C890))</f>
        <v>0</v>
      </c>
      <c r="U890" s="108">
        <f t="shared" si="260"/>
        <v>0</v>
      </c>
      <c r="V890" s="105">
        <f t="shared" si="268"/>
        <v>0</v>
      </c>
      <c r="W890" s="206" t="str">
        <f t="shared" si="266"/>
        <v/>
      </c>
      <c r="X890" s="105">
        <f t="shared" si="261"/>
        <v>154701</v>
      </c>
      <c r="Y890" s="106"/>
      <c r="Z890" s="107"/>
      <c r="AA890" s="105">
        <f t="shared" si="254"/>
        <v>0</v>
      </c>
      <c r="AB890" s="234"/>
      <c r="AC890" s="105">
        <f>IF(SUMIFS('Shipments data'!L:L,'Shipments data'!F:F,'Supply planning data'!C890,'Shipments data'!A:A,'Supply planning data'!A890,'Shipments data'!O:O,"received",'Shipments data'!Q:Q,"&lt;"&amp;'Supply planning data'!D905,'Shipments data'!AC:AC,"&lt;"&amp;'Supply planning data'!D905)-SUMIFS(M:M,D:D,"&lt;="&amp;D890,C:C,C890)-SUMIFS(AA:AA,D:D,"&lt;="&amp;D890,C:C,C890)+SUMIFS(N:N,D:D,"&lt;="&amp;D890,C:C,C890)+SUMIFS(P:P,D:D,"&lt;="&amp;D890,C:C,C890)&lt;0,0,SUMIFS('Shipments data'!L:L,'Shipments data'!F:F,'Supply planning data'!C890,'Shipments data'!A:A,'Supply planning data'!A890,'Shipments data'!O:O,"received",'Shipments data'!Q:Q,"&lt;"&amp;'Supply planning data'!D905,'Shipments data'!AC:AC,"&lt;"&amp;'Supply planning data'!D905)-SUMIFS(M:M,D:D,"&lt;="&amp;D890,C:C,C890)-SUMIFS(AA:AA,D:D,"&lt;="&amp;D890,C:C,C890)+SUMIFS(N:N,D:D,"&lt;="&amp;D890,C:C,C890)+SUMIFS(P:P,D:D,"&lt;="&amp;D890,C:C,C890))</f>
        <v>0</v>
      </c>
      <c r="AD890" s="105">
        <f t="shared" si="262"/>
        <v>0</v>
      </c>
      <c r="AE890" s="105">
        <f t="shared" si="256"/>
        <v>154701</v>
      </c>
      <c r="AF890" s="206" t="str">
        <f t="shared" si="265"/>
        <v/>
      </c>
      <c r="AG890" s="105">
        <f t="shared" si="263"/>
        <v>0</v>
      </c>
      <c r="AH890" s="106"/>
      <c r="AI890" s="312"/>
      <c r="AJ890" s="105">
        <f t="shared" si="255"/>
        <v>0</v>
      </c>
      <c r="AK890" s="234"/>
      <c r="AL890" s="105">
        <f>IF(SUMIFS('Shipments data'!L:L,'Shipments data'!F:F,'Supply planning data'!C890,'Shipments data'!A:A,'Supply planning data'!A890,'Shipments data'!O:O,"received",'Shipments data'!Q:Q,"&lt;"&amp;'Supply planning data'!D905,'Shipments data'!AC:AC,"&lt;"&amp;'Supply planning data'!D905)-SUMIFS(M:M,D:D,"&lt;="&amp;D890,C:C,C890)-SUMIFS(AJ:AJ,D:D,"&lt;="&amp;D890,C:C,C890)+SUMIFS(N:N,D:D,"&lt;="&amp;D890,C:C,C890)+SUMIFS(P:P,D:D,"&lt;="&amp;D890,C:C,C890)&lt;0,0,SUMIFS('Shipments data'!L:L,'Shipments data'!F:F,'Supply planning data'!C890,'Shipments data'!A:A,'Supply planning data'!A890,'Shipments data'!O:O,"received",'Shipments data'!Q:Q,"&lt;"&amp;'Supply planning data'!D905,'Shipments data'!AC:AC,"&lt;"&amp;'Supply planning data'!D905)-SUMIFS(M:M,D:D,"&lt;="&amp;D890,C:C,C890)-SUMIFS(AJ:AJ,D:D,"&lt;="&amp;D890,C:C,C890)+SUMIFS(N:N,D:D,"&lt;="&amp;D890,C:C,C890)+SUMIFS(P:P,D:D,"&lt;="&amp;D890,C:C,C890))</f>
        <v>0</v>
      </c>
      <c r="AM890" s="105">
        <f t="shared" si="264"/>
        <v>0</v>
      </c>
      <c r="AN890" s="105">
        <f t="shared" si="257"/>
        <v>0</v>
      </c>
      <c r="AO890" s="206" t="str">
        <f t="shared" si="267"/>
        <v/>
      </c>
    </row>
    <row r="891" spans="1:41" x14ac:dyDescent="0.25">
      <c r="A891" s="103" t="str">
        <f>Start!D$7</f>
        <v>Anyland</v>
      </c>
      <c r="B891" s="109" t="str">
        <f>VLOOKUP(A891,list!B:C,2,FALSE)</f>
        <v>ANY</v>
      </c>
      <c r="C891" s="109" t="str">
        <f>IF(Start!$C$18="","",Start!$C$18)</f>
        <v>Jansen</v>
      </c>
      <c r="D891" s="298">
        <f t="shared" si="258"/>
        <v>45992</v>
      </c>
      <c r="E891" s="105" t="str">
        <f>IFERROR(VLOOKUP(C891,Start!C$15:D$31,2,FALSE),"No")</f>
        <v>Yes</v>
      </c>
      <c r="F891" s="105">
        <f t="shared" si="259"/>
        <v>1871200</v>
      </c>
      <c r="G891" s="106"/>
      <c r="H891" s="106"/>
      <c r="I891" s="106"/>
      <c r="J891" s="105">
        <f t="shared" si="251"/>
        <v>0</v>
      </c>
      <c r="K891" s="106"/>
      <c r="L891" s="177" t="str">
        <f t="shared" si="252"/>
        <v/>
      </c>
      <c r="M891" s="105">
        <f t="shared" si="253"/>
        <v>0</v>
      </c>
      <c r="N891" s="110"/>
      <c r="O891" s="124"/>
      <c r="P891" s="110"/>
      <c r="Q891" s="124"/>
      <c r="R891" s="111">
        <f>SUMIFS('Shipments data'!L:L,'Shipments data'!F:F,'Supply planning data'!C891,'Shipments data'!A:A,'Supply planning data'!A891,'Shipments data'!Y:Y,'Supply planning data'!D891,'Shipments data'!O:O,"received", 'Shipments data'!N:N, "Public")</f>
        <v>0</v>
      </c>
      <c r="S891" s="111">
        <f>SUMIFS('Shipments data'!L:L,'Shipments data'!F:F,'Supply planning data'!C891,'Shipments data'!A:A,'Supply planning data'!A891,'Shipments data'!Y:Y,'Supply planning data'!D891,'Shipments data'!O:O,"ordered", 'Shipments data'!N:N, "Public")</f>
        <v>0</v>
      </c>
      <c r="T891" s="111">
        <f>IF(SUMIFS('Shipments data'!L:L,'Shipments data'!F:F,'Supply planning data'!C891,'Shipments data'!A:A,'Supply planning data'!A891,'Shipments data'!O:O,"received",'Shipments data'!Q:Q,"&lt;"&amp;'Supply planning data'!D906,'Shipments data'!AC:AC,"&lt;"&amp;'Supply planning data'!D906)-SUMIFS(M:M,D:D,"&lt;="&amp;D891,C:C,C891)+SUMIFS(N:N,D:D,"&lt;="&amp;D891,C:C,C891)+SUMIFS(P:P,D:D,"&lt;="&amp;D891,C:C,C891)&lt;0,0,SUMIFS('Shipments data'!L:L,'Shipments data'!F:F,'Supply planning data'!C891,'Shipments data'!A:A,'Supply planning data'!A891,'Shipments data'!O:O,"received",'Shipments data'!Q:Q,"&lt;"&amp;'Supply planning data'!D906,'Shipments data'!AC:AC,"&lt;"&amp;'Supply planning data'!D906)-SUMIFS(M:M,D:D,"&lt;="&amp;D891,C:C,C891)+SUMIFS(N:N,D:D,"&lt;="&amp;D891,C:C,C891)+SUMIFS(P:P,D:D,"&lt;="&amp;D891,C:C,C891))</f>
        <v>0</v>
      </c>
      <c r="U891" s="112">
        <f t="shared" si="260"/>
        <v>0</v>
      </c>
      <c r="V891" s="111">
        <f t="shared" si="268"/>
        <v>1871200</v>
      </c>
      <c r="W891" s="204" t="str">
        <f t="shared" si="266"/>
        <v/>
      </c>
      <c r="X891" s="111">
        <f t="shared" si="261"/>
        <v>1311200</v>
      </c>
      <c r="Y891" s="110"/>
      <c r="Z891" s="107"/>
      <c r="AA891" s="111">
        <f t="shared" si="254"/>
        <v>0</v>
      </c>
      <c r="AB891" s="235"/>
      <c r="AC891" s="111">
        <f>IF(SUMIFS('Shipments data'!L:L,'Shipments data'!F:F,'Supply planning data'!C891,'Shipments data'!A:A,'Supply planning data'!A891,'Shipments data'!O:O,"received",'Shipments data'!Q:Q,"&lt;"&amp;'Supply planning data'!D906,'Shipments data'!AC:AC,"&lt;"&amp;'Supply planning data'!D906)-SUMIFS(M:M,D:D,"&lt;="&amp;D891,C:C,C891)-SUMIFS(AA:AA,D:D,"&lt;="&amp;D891,C:C,C891)+SUMIFS(N:N,D:D,"&lt;="&amp;D891,C:C,C891)+SUMIFS(P:P,D:D,"&lt;="&amp;D891,C:C,C891)&lt;0,0,SUMIFS('Shipments data'!L:L,'Shipments data'!F:F,'Supply planning data'!C891,'Shipments data'!A:A,'Supply planning data'!A891,'Shipments data'!O:O,"received",'Shipments data'!Q:Q,"&lt;"&amp;'Supply planning data'!D906,'Shipments data'!AC:AC,"&lt;"&amp;'Supply planning data'!D906)-SUMIFS(M:M,D:D,"&lt;="&amp;D891,C:C,C891)-SUMIFS(AA:AA,D:D,"&lt;="&amp;D891,C:C,C891)+SUMIFS(N:N,D:D,"&lt;="&amp;D891,C:C,C891)+SUMIFS(P:P,D:D,"&lt;="&amp;D891,C:C,C891))</f>
        <v>0</v>
      </c>
      <c r="AD891" s="111">
        <f t="shared" si="262"/>
        <v>0</v>
      </c>
      <c r="AE891" s="111">
        <f t="shared" si="256"/>
        <v>1311200</v>
      </c>
      <c r="AF891" s="204" t="str">
        <f t="shared" si="265"/>
        <v/>
      </c>
      <c r="AG891" s="111">
        <f t="shared" si="263"/>
        <v>1871200</v>
      </c>
      <c r="AH891" s="110"/>
      <c r="AI891" s="313"/>
      <c r="AJ891" s="111">
        <f t="shared" si="255"/>
        <v>0</v>
      </c>
      <c r="AK891" s="235"/>
      <c r="AL891" s="111">
        <f>IF(SUMIFS('Shipments data'!L:L,'Shipments data'!F:F,'Supply planning data'!C891,'Shipments data'!A:A,'Supply planning data'!A891,'Shipments data'!O:O,"received",'Shipments data'!Q:Q,"&lt;"&amp;'Supply planning data'!D906,'Shipments data'!AC:AC,"&lt;"&amp;'Supply planning data'!D906)-SUMIFS(M:M,D:D,"&lt;="&amp;D891,C:C,C891)-SUMIFS(AJ:AJ,D:D,"&lt;="&amp;D891,C:C,C891)+SUMIFS(N:N,D:D,"&lt;="&amp;D891,C:C,C891)+SUMIFS(P:P,D:D,"&lt;="&amp;D891,C:C,C891)&lt;0,0,SUMIFS('Shipments data'!L:L,'Shipments data'!F:F,'Supply planning data'!C891,'Shipments data'!A:A,'Supply planning data'!A891,'Shipments data'!O:O,"received",'Shipments data'!Q:Q,"&lt;"&amp;'Supply planning data'!D906,'Shipments data'!AC:AC,"&lt;"&amp;'Supply planning data'!D906)-SUMIFS(M:M,D:D,"&lt;="&amp;D891,C:C,C891)-SUMIFS(AJ:AJ,D:D,"&lt;="&amp;D891,C:C,C891)+SUMIFS(N:N,D:D,"&lt;="&amp;D891,C:C,C891)+SUMIFS(P:P,D:D,"&lt;="&amp;D891,C:C,C891))</f>
        <v>0</v>
      </c>
      <c r="AM891" s="111">
        <f t="shared" si="264"/>
        <v>0</v>
      </c>
      <c r="AN891" s="111">
        <f t="shared" si="257"/>
        <v>1871200</v>
      </c>
      <c r="AO891" s="204" t="str">
        <f t="shared" si="267"/>
        <v/>
      </c>
    </row>
    <row r="892" spans="1:41" x14ac:dyDescent="0.25">
      <c r="A892" s="103" t="str">
        <f>Start!D$7</f>
        <v>Anyland</v>
      </c>
      <c r="B892" s="109" t="str">
        <f>VLOOKUP(A892,list!B:C,2,FALSE)</f>
        <v>ANY</v>
      </c>
      <c r="C892" s="104" t="str">
        <f>IF(Start!$C$19="","",Start!$C$19)</f>
        <v>Moderna</v>
      </c>
      <c r="D892" s="298">
        <f t="shared" si="258"/>
        <v>45992</v>
      </c>
      <c r="E892" s="105" t="str">
        <f>IFERROR(VLOOKUP(C892,Start!C$15:D$31,2,FALSE),"No")</f>
        <v>No</v>
      </c>
      <c r="F892" s="105">
        <f t="shared" si="259"/>
        <v>0</v>
      </c>
      <c r="G892" s="106"/>
      <c r="H892" s="106"/>
      <c r="I892" s="106"/>
      <c r="J892" s="105">
        <f t="shared" si="251"/>
        <v>0</v>
      </c>
      <c r="K892" s="106"/>
      <c r="L892" s="177" t="str">
        <f t="shared" si="252"/>
        <v/>
      </c>
      <c r="M892" s="105">
        <f t="shared" si="253"/>
        <v>0</v>
      </c>
      <c r="N892" s="110"/>
      <c r="O892" s="124"/>
      <c r="P892" s="110"/>
      <c r="Q892" s="124"/>
      <c r="R892" s="111">
        <f>SUMIFS('Shipments data'!L:L,'Shipments data'!F:F,'Supply planning data'!C892,'Shipments data'!A:A,'Supply planning data'!A892,'Shipments data'!Y:Y,'Supply planning data'!D892,'Shipments data'!O:O,"received", 'Shipments data'!N:N, "Public")</f>
        <v>0</v>
      </c>
      <c r="S892" s="111">
        <f>SUMIFS('Shipments data'!L:L,'Shipments data'!F:F,'Supply planning data'!C892,'Shipments data'!A:A,'Supply planning data'!A892,'Shipments data'!Y:Y,'Supply planning data'!D892,'Shipments data'!O:O,"ordered", 'Shipments data'!N:N, "Public")</f>
        <v>0</v>
      </c>
      <c r="T892" s="111">
        <f>IF(SUMIFS('Shipments data'!L:L,'Shipments data'!F:F,'Supply planning data'!C892,'Shipments data'!A:A,'Supply planning data'!A892,'Shipments data'!O:O,"received",'Shipments data'!Q:Q,"&lt;"&amp;'Supply planning data'!D907,'Shipments data'!AC:AC,"&lt;"&amp;'Supply planning data'!D907)-SUMIFS(M:M,D:D,"&lt;="&amp;D892,C:C,C892)+SUMIFS(N:N,D:D,"&lt;="&amp;D892,C:C,C892)+SUMIFS(P:P,D:D,"&lt;="&amp;D892,C:C,C892)&lt;0,0,SUMIFS('Shipments data'!L:L,'Shipments data'!F:F,'Supply planning data'!C892,'Shipments data'!A:A,'Supply planning data'!A892,'Shipments data'!O:O,"received",'Shipments data'!Q:Q,"&lt;"&amp;'Supply planning data'!D907,'Shipments data'!AC:AC,"&lt;"&amp;'Supply planning data'!D907)-SUMIFS(M:M,D:D,"&lt;="&amp;D892,C:C,C892)+SUMIFS(N:N,D:D,"&lt;="&amp;D892,C:C,C892)+SUMIFS(P:P,D:D,"&lt;="&amp;D892,C:C,C892))</f>
        <v>0</v>
      </c>
      <c r="U892" s="112">
        <f t="shared" si="260"/>
        <v>0</v>
      </c>
      <c r="V892" s="111">
        <f t="shared" si="268"/>
        <v>0</v>
      </c>
      <c r="W892" s="204" t="str">
        <f t="shared" si="266"/>
        <v/>
      </c>
      <c r="X892" s="111">
        <f t="shared" si="261"/>
        <v>0</v>
      </c>
      <c r="Y892" s="110"/>
      <c r="Z892" s="107"/>
      <c r="AA892" s="111">
        <f t="shared" si="254"/>
        <v>0</v>
      </c>
      <c r="AB892" s="235"/>
      <c r="AC892" s="111">
        <f>IF(SUMIFS('Shipments data'!L:L,'Shipments data'!F:F,'Supply planning data'!C892,'Shipments data'!A:A,'Supply planning data'!A892,'Shipments data'!O:O,"received",'Shipments data'!Q:Q,"&lt;"&amp;'Supply planning data'!D907,'Shipments data'!AC:AC,"&lt;"&amp;'Supply planning data'!D907)-SUMIFS(M:M,D:D,"&lt;="&amp;D892,C:C,C892)-SUMIFS(AA:AA,D:D,"&lt;="&amp;D892,C:C,C892)+SUMIFS(N:N,D:D,"&lt;="&amp;D892,C:C,C892)+SUMIFS(P:P,D:D,"&lt;="&amp;D892,C:C,C892)&lt;0,0,SUMIFS('Shipments data'!L:L,'Shipments data'!F:F,'Supply planning data'!C892,'Shipments data'!A:A,'Supply planning data'!A892,'Shipments data'!O:O,"received",'Shipments data'!Q:Q,"&lt;"&amp;'Supply planning data'!D907,'Shipments data'!AC:AC,"&lt;"&amp;'Supply planning data'!D907)-SUMIFS(M:M,D:D,"&lt;="&amp;D892,C:C,C892)-SUMIFS(AA:AA,D:D,"&lt;="&amp;D892,C:C,C892)+SUMIFS(N:N,D:D,"&lt;="&amp;D892,C:C,C892)+SUMIFS(P:P,D:D,"&lt;="&amp;D892,C:C,C892))</f>
        <v>0</v>
      </c>
      <c r="AD892" s="111">
        <f t="shared" si="262"/>
        <v>0</v>
      </c>
      <c r="AE892" s="111">
        <f t="shared" si="256"/>
        <v>0</v>
      </c>
      <c r="AF892" s="204" t="str">
        <f t="shared" si="265"/>
        <v/>
      </c>
      <c r="AG892" s="111">
        <f t="shared" si="263"/>
        <v>0</v>
      </c>
      <c r="AH892" s="110"/>
      <c r="AI892" s="313"/>
      <c r="AJ892" s="111">
        <f t="shared" si="255"/>
        <v>0</v>
      </c>
      <c r="AK892" s="235"/>
      <c r="AL892" s="111">
        <f>IF(SUMIFS('Shipments data'!L:L,'Shipments data'!F:F,'Supply planning data'!C892,'Shipments data'!A:A,'Supply planning data'!A892,'Shipments data'!O:O,"received",'Shipments data'!Q:Q,"&lt;"&amp;'Supply planning data'!D907,'Shipments data'!AC:AC,"&lt;"&amp;'Supply planning data'!D907)-SUMIFS(M:M,D:D,"&lt;="&amp;D892,C:C,C892)-SUMIFS(AJ:AJ,D:D,"&lt;="&amp;D892,C:C,C892)+SUMIFS(N:N,D:D,"&lt;="&amp;D892,C:C,C892)+SUMIFS(P:P,D:D,"&lt;="&amp;D892,C:C,C892)&lt;0,0,SUMIFS('Shipments data'!L:L,'Shipments data'!F:F,'Supply planning data'!C892,'Shipments data'!A:A,'Supply planning data'!A892,'Shipments data'!O:O,"received",'Shipments data'!Q:Q,"&lt;"&amp;'Supply planning data'!D907,'Shipments data'!AC:AC,"&lt;"&amp;'Supply planning data'!D907)-SUMIFS(M:M,D:D,"&lt;="&amp;D892,C:C,C892)-SUMIFS(AJ:AJ,D:D,"&lt;="&amp;D892,C:C,C892)+SUMIFS(N:N,D:D,"&lt;="&amp;D892,C:C,C892)+SUMIFS(P:P,D:D,"&lt;="&amp;D892,C:C,C892))</f>
        <v>0</v>
      </c>
      <c r="AM892" s="111">
        <f t="shared" si="264"/>
        <v>0</v>
      </c>
      <c r="AN892" s="111">
        <f t="shared" si="257"/>
        <v>0</v>
      </c>
      <c r="AO892" s="204" t="str">
        <f t="shared" si="267"/>
        <v/>
      </c>
    </row>
    <row r="893" spans="1:41" x14ac:dyDescent="0.25">
      <c r="A893" s="103" t="str">
        <f>Start!D$7</f>
        <v>Anyland</v>
      </c>
      <c r="B893" s="109" t="str">
        <f>VLOOKUP(A893,list!B:C,2,FALSE)</f>
        <v>ANY</v>
      </c>
      <c r="C893" s="109" t="str">
        <f>IF(Start!$C$20="","",Start!$C$20)</f>
        <v>Pfizer</v>
      </c>
      <c r="D893" s="298">
        <f t="shared" si="258"/>
        <v>45992</v>
      </c>
      <c r="E893" s="105" t="str">
        <f>IFERROR(VLOOKUP(C893,Start!C$15:D$31,2,FALSE),"No")</f>
        <v>Yes</v>
      </c>
      <c r="F893" s="105">
        <f t="shared" si="259"/>
        <v>3000000</v>
      </c>
      <c r="G893" s="106"/>
      <c r="H893" s="106"/>
      <c r="I893" s="106"/>
      <c r="J893" s="105">
        <f t="shared" si="251"/>
        <v>0</v>
      </c>
      <c r="K893" s="106"/>
      <c r="L893" s="177" t="str">
        <f t="shared" si="252"/>
        <v/>
      </c>
      <c r="M893" s="105">
        <f t="shared" si="253"/>
        <v>0</v>
      </c>
      <c r="N893" s="110"/>
      <c r="O893" s="124"/>
      <c r="P893" s="110"/>
      <c r="Q893" s="124"/>
      <c r="R893" s="111">
        <f>SUMIFS('Shipments data'!L:L,'Shipments data'!F:F,'Supply planning data'!C893,'Shipments data'!A:A,'Supply planning data'!A893,'Shipments data'!Y:Y,'Supply planning data'!D893,'Shipments data'!O:O,"received", 'Shipments data'!N:N, "Public")</f>
        <v>0</v>
      </c>
      <c r="S893" s="111">
        <f>SUMIFS('Shipments data'!L:L,'Shipments data'!F:F,'Supply planning data'!C893,'Shipments data'!A:A,'Supply planning data'!A893,'Shipments data'!Y:Y,'Supply planning data'!D893,'Shipments data'!O:O,"ordered", 'Shipments data'!N:N, "Public")</f>
        <v>0</v>
      </c>
      <c r="T893" s="111">
        <f>IF(SUMIFS('Shipments data'!L:L,'Shipments data'!F:F,'Supply planning data'!C893,'Shipments data'!A:A,'Supply planning data'!A893,'Shipments data'!O:O,"received",'Shipments data'!Q:Q,"&lt;"&amp;'Supply planning data'!D908,'Shipments data'!AC:AC,"&lt;"&amp;'Supply planning data'!D908)-SUMIFS(M:M,D:D,"&lt;="&amp;D893,C:C,C893)+SUMIFS(N:N,D:D,"&lt;="&amp;D893,C:C,C893)+SUMIFS(P:P,D:D,"&lt;="&amp;D893,C:C,C893)&lt;0,0,SUMIFS('Shipments data'!L:L,'Shipments data'!F:F,'Supply planning data'!C893,'Shipments data'!A:A,'Supply planning data'!A893,'Shipments data'!O:O,"received",'Shipments data'!Q:Q,"&lt;"&amp;'Supply planning data'!D908,'Shipments data'!AC:AC,"&lt;"&amp;'Supply planning data'!D908)-SUMIFS(M:M,D:D,"&lt;="&amp;D893,C:C,C893)+SUMIFS(N:N,D:D,"&lt;="&amp;D893,C:C,C893)+SUMIFS(P:P,D:D,"&lt;="&amp;D893,C:C,C893))</f>
        <v>0</v>
      </c>
      <c r="U893" s="112">
        <f t="shared" si="260"/>
        <v>0</v>
      </c>
      <c r="V893" s="111">
        <f t="shared" si="268"/>
        <v>3000000</v>
      </c>
      <c r="W893" s="204" t="str">
        <f t="shared" si="266"/>
        <v/>
      </c>
      <c r="X893" s="111">
        <f t="shared" si="261"/>
        <v>2440000</v>
      </c>
      <c r="Y893" s="110"/>
      <c r="Z893" s="107"/>
      <c r="AA893" s="111">
        <f t="shared" si="254"/>
        <v>0</v>
      </c>
      <c r="AB893" s="235"/>
      <c r="AC893" s="111">
        <f>IF(SUMIFS('Shipments data'!L:L,'Shipments data'!F:F,'Supply planning data'!C893,'Shipments data'!A:A,'Supply planning data'!A893,'Shipments data'!O:O,"received",'Shipments data'!Q:Q,"&lt;"&amp;'Supply planning data'!D908,'Shipments data'!AC:AC,"&lt;"&amp;'Supply planning data'!D908)-SUMIFS(M:M,D:D,"&lt;="&amp;D893,C:C,C893)-SUMIFS(AA:AA,D:D,"&lt;="&amp;D893,C:C,C893)+SUMIFS(N:N,D:D,"&lt;="&amp;D893,C:C,C893)+SUMIFS(P:P,D:D,"&lt;="&amp;D893,C:C,C893)&lt;0,0,SUMIFS('Shipments data'!L:L,'Shipments data'!F:F,'Supply planning data'!C893,'Shipments data'!A:A,'Supply planning data'!A893,'Shipments data'!O:O,"received",'Shipments data'!Q:Q,"&lt;"&amp;'Supply planning data'!D908,'Shipments data'!AC:AC,"&lt;"&amp;'Supply planning data'!D908)-SUMIFS(M:M,D:D,"&lt;="&amp;D893,C:C,C893)-SUMIFS(AA:AA,D:D,"&lt;="&amp;D893,C:C,C893)+SUMIFS(N:N,D:D,"&lt;="&amp;D893,C:C,C893)+SUMIFS(P:P,D:D,"&lt;="&amp;D893,C:C,C893))</f>
        <v>0</v>
      </c>
      <c r="AD893" s="111">
        <f t="shared" si="262"/>
        <v>0</v>
      </c>
      <c r="AE893" s="111">
        <f t="shared" si="256"/>
        <v>2440000</v>
      </c>
      <c r="AF893" s="204" t="str">
        <f t="shared" si="265"/>
        <v/>
      </c>
      <c r="AG893" s="111">
        <f t="shared" si="263"/>
        <v>3000000</v>
      </c>
      <c r="AH893" s="110"/>
      <c r="AI893" s="313"/>
      <c r="AJ893" s="111">
        <f t="shared" si="255"/>
        <v>0</v>
      </c>
      <c r="AK893" s="235"/>
      <c r="AL893" s="111">
        <f>IF(SUMIFS('Shipments data'!L:L,'Shipments data'!F:F,'Supply planning data'!C893,'Shipments data'!A:A,'Supply planning data'!A893,'Shipments data'!O:O,"received",'Shipments data'!Q:Q,"&lt;"&amp;'Supply planning data'!D908,'Shipments data'!AC:AC,"&lt;"&amp;'Supply planning data'!D908)-SUMIFS(M:M,D:D,"&lt;="&amp;D893,C:C,C893)-SUMIFS(AJ:AJ,D:D,"&lt;="&amp;D893,C:C,C893)+SUMIFS(N:N,D:D,"&lt;="&amp;D893,C:C,C893)+SUMIFS(P:P,D:D,"&lt;="&amp;D893,C:C,C893)&lt;0,0,SUMIFS('Shipments data'!L:L,'Shipments data'!F:F,'Supply planning data'!C893,'Shipments data'!A:A,'Supply planning data'!A893,'Shipments data'!O:O,"received",'Shipments data'!Q:Q,"&lt;"&amp;'Supply planning data'!D908,'Shipments data'!AC:AC,"&lt;"&amp;'Supply planning data'!D908)-SUMIFS(M:M,D:D,"&lt;="&amp;D893,C:C,C893)-SUMIFS(AJ:AJ,D:D,"&lt;="&amp;D893,C:C,C893)+SUMIFS(N:N,D:D,"&lt;="&amp;D893,C:C,C893)+SUMIFS(P:P,D:D,"&lt;="&amp;D893,C:C,C893))</f>
        <v>0</v>
      </c>
      <c r="AM893" s="111">
        <f t="shared" si="264"/>
        <v>0</v>
      </c>
      <c r="AN893" s="111">
        <f t="shared" si="257"/>
        <v>3000000</v>
      </c>
      <c r="AO893" s="204" t="str">
        <f t="shared" si="267"/>
        <v/>
      </c>
    </row>
    <row r="894" spans="1:41" x14ac:dyDescent="0.25">
      <c r="A894" s="103" t="str">
        <f>Start!D$7</f>
        <v>Anyland</v>
      </c>
      <c r="B894" s="109" t="str">
        <f>VLOOKUP(A894,list!B:C,2,FALSE)</f>
        <v>ANY</v>
      </c>
      <c r="C894" s="104" t="str">
        <f>IF(Start!$C$21="","",Start!$C$21)</f>
        <v>Sinovac</v>
      </c>
      <c r="D894" s="298">
        <f t="shared" si="258"/>
        <v>45992</v>
      </c>
      <c r="E894" s="105" t="str">
        <f>IFERROR(VLOOKUP(C894,Start!C$15:D$31,2,FALSE),"No")</f>
        <v>No</v>
      </c>
      <c r="F894" s="105">
        <f t="shared" si="259"/>
        <v>0</v>
      </c>
      <c r="G894" s="106"/>
      <c r="H894" s="106"/>
      <c r="I894" s="106"/>
      <c r="J894" s="105">
        <f t="shared" si="251"/>
        <v>0</v>
      </c>
      <c r="K894" s="106"/>
      <c r="L894" s="177" t="str">
        <f t="shared" si="252"/>
        <v/>
      </c>
      <c r="M894" s="105">
        <f t="shared" si="253"/>
        <v>0</v>
      </c>
      <c r="N894" s="110"/>
      <c r="O894" s="124"/>
      <c r="P894" s="110"/>
      <c r="Q894" s="124"/>
      <c r="R894" s="111">
        <f>SUMIFS('Shipments data'!L:L,'Shipments data'!F:F,'Supply planning data'!C894,'Shipments data'!A:A,'Supply planning data'!A894,'Shipments data'!Y:Y,'Supply planning data'!D894,'Shipments data'!O:O,"received", 'Shipments data'!N:N, "Public")</f>
        <v>0</v>
      </c>
      <c r="S894" s="111">
        <f>SUMIFS('Shipments data'!L:L,'Shipments data'!F:F,'Supply planning data'!C894,'Shipments data'!A:A,'Supply planning data'!A894,'Shipments data'!Y:Y,'Supply planning data'!D894,'Shipments data'!O:O,"ordered", 'Shipments data'!N:N, "Public")</f>
        <v>0</v>
      </c>
      <c r="T894" s="111">
        <f>IF(SUMIFS('Shipments data'!L:L,'Shipments data'!F:F,'Supply planning data'!C894,'Shipments data'!A:A,'Supply planning data'!A894,'Shipments data'!O:O,"received",'Shipments data'!Q:Q,"&lt;"&amp;'Supply planning data'!D909,'Shipments data'!AC:AC,"&lt;"&amp;'Supply planning data'!D909)-SUMIFS(M:M,D:D,"&lt;="&amp;D894,C:C,C894)+SUMIFS(N:N,D:D,"&lt;="&amp;D894,C:C,C894)+SUMIFS(P:P,D:D,"&lt;="&amp;D894,C:C,C894)&lt;0,0,SUMIFS('Shipments data'!L:L,'Shipments data'!F:F,'Supply planning data'!C894,'Shipments data'!A:A,'Supply planning data'!A894,'Shipments data'!O:O,"received",'Shipments data'!Q:Q,"&lt;"&amp;'Supply planning data'!D909,'Shipments data'!AC:AC,"&lt;"&amp;'Supply planning data'!D909)-SUMIFS(M:M,D:D,"&lt;="&amp;D894,C:C,C894)+SUMIFS(N:N,D:D,"&lt;="&amp;D894,C:C,C894)+SUMIFS(P:P,D:D,"&lt;="&amp;D894,C:C,C894))</f>
        <v>0</v>
      </c>
      <c r="U894" s="112">
        <f t="shared" si="260"/>
        <v>0</v>
      </c>
      <c r="V894" s="111">
        <f t="shared" si="268"/>
        <v>0</v>
      </c>
      <c r="W894" s="204" t="str">
        <f t="shared" si="266"/>
        <v/>
      </c>
      <c r="X894" s="111">
        <f t="shared" si="261"/>
        <v>0</v>
      </c>
      <c r="Y894" s="110"/>
      <c r="Z894" s="107"/>
      <c r="AA894" s="111">
        <f t="shared" si="254"/>
        <v>0</v>
      </c>
      <c r="AB894" s="235"/>
      <c r="AC894" s="111">
        <f>IF(SUMIFS('Shipments data'!L:L,'Shipments data'!F:F,'Supply planning data'!C894,'Shipments data'!A:A,'Supply planning data'!A894,'Shipments data'!O:O,"received",'Shipments data'!Q:Q,"&lt;"&amp;'Supply planning data'!D909,'Shipments data'!AC:AC,"&lt;"&amp;'Supply planning data'!D909)-SUMIFS(M:M,D:D,"&lt;="&amp;D894,C:C,C894)-SUMIFS(AA:AA,D:D,"&lt;="&amp;D894,C:C,C894)+SUMIFS(N:N,D:D,"&lt;="&amp;D894,C:C,C894)+SUMIFS(P:P,D:D,"&lt;="&amp;D894,C:C,C894)&lt;0,0,SUMIFS('Shipments data'!L:L,'Shipments data'!F:F,'Supply planning data'!C894,'Shipments data'!A:A,'Supply planning data'!A894,'Shipments data'!O:O,"received",'Shipments data'!Q:Q,"&lt;"&amp;'Supply planning data'!D909,'Shipments data'!AC:AC,"&lt;"&amp;'Supply planning data'!D909)-SUMIFS(M:M,D:D,"&lt;="&amp;D894,C:C,C894)-SUMIFS(AA:AA,D:D,"&lt;="&amp;D894,C:C,C894)+SUMIFS(N:N,D:D,"&lt;="&amp;D894,C:C,C894)+SUMIFS(P:P,D:D,"&lt;="&amp;D894,C:C,C894))</f>
        <v>0</v>
      </c>
      <c r="AD894" s="111">
        <f t="shared" si="262"/>
        <v>0</v>
      </c>
      <c r="AE894" s="111">
        <f t="shared" si="256"/>
        <v>0</v>
      </c>
      <c r="AF894" s="204" t="str">
        <f t="shared" si="265"/>
        <v/>
      </c>
      <c r="AG894" s="111">
        <f t="shared" si="263"/>
        <v>0</v>
      </c>
      <c r="AH894" s="110"/>
      <c r="AI894" s="313"/>
      <c r="AJ894" s="111">
        <f t="shared" si="255"/>
        <v>0</v>
      </c>
      <c r="AK894" s="235"/>
      <c r="AL894" s="111">
        <f>IF(SUMIFS('Shipments data'!L:L,'Shipments data'!F:F,'Supply planning data'!C894,'Shipments data'!A:A,'Supply planning data'!A894,'Shipments data'!O:O,"received",'Shipments data'!Q:Q,"&lt;"&amp;'Supply planning data'!D909,'Shipments data'!AC:AC,"&lt;"&amp;'Supply planning data'!D909)-SUMIFS(M:M,D:D,"&lt;="&amp;D894,C:C,C894)-SUMIFS(AJ:AJ,D:D,"&lt;="&amp;D894,C:C,C894)+SUMIFS(N:N,D:D,"&lt;="&amp;D894,C:C,C894)+SUMIFS(P:P,D:D,"&lt;="&amp;D894,C:C,C894)&lt;0,0,SUMIFS('Shipments data'!L:L,'Shipments data'!F:F,'Supply planning data'!C894,'Shipments data'!A:A,'Supply planning data'!A894,'Shipments data'!O:O,"received",'Shipments data'!Q:Q,"&lt;"&amp;'Supply planning data'!D909,'Shipments data'!AC:AC,"&lt;"&amp;'Supply planning data'!D909)-SUMIFS(M:M,D:D,"&lt;="&amp;D894,C:C,C894)-SUMIFS(AJ:AJ,D:D,"&lt;="&amp;D894,C:C,C894)+SUMIFS(N:N,D:D,"&lt;="&amp;D894,C:C,C894)+SUMIFS(P:P,D:D,"&lt;="&amp;D894,C:C,C894))</f>
        <v>0</v>
      </c>
      <c r="AM894" s="111">
        <f t="shared" si="264"/>
        <v>0</v>
      </c>
      <c r="AN894" s="111">
        <f t="shared" si="257"/>
        <v>0</v>
      </c>
      <c r="AO894" s="204" t="str">
        <f t="shared" si="267"/>
        <v/>
      </c>
    </row>
    <row r="895" spans="1:41" hidden="1" x14ac:dyDescent="0.25">
      <c r="A895" s="103" t="str">
        <f>Start!D$7</f>
        <v>Anyland</v>
      </c>
      <c r="B895" s="109" t="str">
        <f>VLOOKUP(A895,list!B:C,2,FALSE)</f>
        <v>ANY</v>
      </c>
      <c r="C895" s="109" t="str">
        <f>IF(Start!$C$22="","",Start!$C$22)</f>
        <v/>
      </c>
      <c r="D895" s="298">
        <f t="shared" si="258"/>
        <v>45992</v>
      </c>
      <c r="E895" s="105" t="str">
        <f>IFERROR(VLOOKUP(C895,Start!C$15:D$31,2,FALSE),"No")</f>
        <v>No</v>
      </c>
      <c r="F895" s="105">
        <f t="shared" si="259"/>
        <v>0</v>
      </c>
      <c r="G895" s="106"/>
      <c r="H895" s="106"/>
      <c r="I895" s="106"/>
      <c r="J895" s="105">
        <f t="shared" si="251"/>
        <v>0</v>
      </c>
      <c r="K895" s="106"/>
      <c r="L895" s="177" t="str">
        <f t="shared" si="252"/>
        <v/>
      </c>
      <c r="M895" s="105">
        <f t="shared" si="253"/>
        <v>0</v>
      </c>
      <c r="N895" s="110"/>
      <c r="O895" s="124"/>
      <c r="P895" s="110"/>
      <c r="Q895" s="124"/>
      <c r="R895" s="111">
        <f>SUMIFS('Shipments data'!L:L,'Shipments data'!F:F,'Supply planning data'!C895,'Shipments data'!A:A,'Supply planning data'!A895,'Shipments data'!Y:Y,'Supply planning data'!D895,'Shipments data'!O:O,"received", 'Shipments data'!N:N, "Public")</f>
        <v>0</v>
      </c>
      <c r="S895" s="111">
        <f>SUMIFS('Shipments data'!L:L,'Shipments data'!F:F,'Supply planning data'!C895,'Shipments data'!A:A,'Supply planning data'!A895,'Shipments data'!Y:Y,'Supply planning data'!D895,'Shipments data'!O:O,"ordered", 'Shipments data'!N:N, "Public")</f>
        <v>0</v>
      </c>
      <c r="T895" s="111">
        <f>IF(SUMIFS('Shipments data'!L:L,'Shipments data'!F:F,'Supply planning data'!C895,'Shipments data'!A:A,'Supply planning data'!A895,'Shipments data'!O:O,"received",'Shipments data'!Q:Q,"&lt;"&amp;'Supply planning data'!D910,'Shipments data'!AC:AC,"&lt;"&amp;'Supply planning data'!D910)-SUMIFS(M:M,D:D,"&lt;="&amp;D895,C:C,C895)+SUMIFS(N:N,D:D,"&lt;="&amp;D895,C:C,C895)+SUMIFS(P:P,D:D,"&lt;="&amp;D895,C:C,C895)&lt;0,0,SUMIFS('Shipments data'!L:L,'Shipments data'!F:F,'Supply planning data'!C895,'Shipments data'!A:A,'Supply planning data'!A895,'Shipments data'!O:O,"received",'Shipments data'!Q:Q,"&lt;"&amp;'Supply planning data'!D910,'Shipments data'!AC:AC,"&lt;"&amp;'Supply planning data'!D910)-SUMIFS(M:M,D:D,"&lt;="&amp;D895,C:C,C895)+SUMIFS(N:N,D:D,"&lt;="&amp;D895,C:C,C895)+SUMIFS(P:P,D:D,"&lt;="&amp;D895,C:C,C895))</f>
        <v>0</v>
      </c>
      <c r="U895" s="112">
        <f t="shared" si="260"/>
        <v>0</v>
      </c>
      <c r="V895" s="111">
        <f t="shared" si="268"/>
        <v>0</v>
      </c>
      <c r="W895" s="204" t="str">
        <f t="shared" si="266"/>
        <v/>
      </c>
      <c r="X895" s="111">
        <f t="shared" si="261"/>
        <v>0</v>
      </c>
      <c r="Y895" s="110"/>
      <c r="Z895" s="107"/>
      <c r="AA895" s="111">
        <f t="shared" si="254"/>
        <v>0</v>
      </c>
      <c r="AB895" s="235"/>
      <c r="AC895" s="111">
        <f>IF(SUMIFS('Shipments data'!L:L,'Shipments data'!F:F,'Supply planning data'!C895,'Shipments data'!A:A,'Supply planning data'!A895,'Shipments data'!O:O,"received",'Shipments data'!Q:Q,"&lt;"&amp;'Supply planning data'!D910,'Shipments data'!AC:AC,"&lt;"&amp;'Supply planning data'!D910)-SUMIFS(M:M,D:D,"&lt;="&amp;D895,C:C,C895)-SUMIFS(AA:AA,D:D,"&lt;="&amp;D895,C:C,C895)+SUMIFS(N:N,D:D,"&lt;="&amp;D895,C:C,C895)+SUMIFS(P:P,D:D,"&lt;="&amp;D895,C:C,C895)&lt;0,0,SUMIFS('Shipments data'!L:L,'Shipments data'!F:F,'Supply planning data'!C895,'Shipments data'!A:A,'Supply planning data'!A895,'Shipments data'!O:O,"received",'Shipments data'!Q:Q,"&lt;"&amp;'Supply planning data'!D910,'Shipments data'!AC:AC,"&lt;"&amp;'Supply planning data'!D910)-SUMIFS(M:M,D:D,"&lt;="&amp;D895,C:C,C895)-SUMIFS(AA:AA,D:D,"&lt;="&amp;D895,C:C,C895)+SUMIFS(N:N,D:D,"&lt;="&amp;D895,C:C,C895)+SUMIFS(P:P,D:D,"&lt;="&amp;D895,C:C,C895))</f>
        <v>0</v>
      </c>
      <c r="AD895" s="111">
        <f t="shared" si="262"/>
        <v>0</v>
      </c>
      <c r="AE895" s="111">
        <f t="shared" si="256"/>
        <v>0</v>
      </c>
      <c r="AF895" s="204" t="str">
        <f t="shared" si="265"/>
        <v/>
      </c>
      <c r="AG895" s="111">
        <f t="shared" si="263"/>
        <v>0</v>
      </c>
      <c r="AH895" s="110"/>
      <c r="AI895" s="313"/>
      <c r="AJ895" s="111">
        <f t="shared" si="255"/>
        <v>0</v>
      </c>
      <c r="AK895" s="235"/>
      <c r="AL895" s="111">
        <f>IF(SUMIFS('Shipments data'!L:L,'Shipments data'!F:F,'Supply planning data'!C895,'Shipments data'!A:A,'Supply planning data'!A895,'Shipments data'!O:O,"received",'Shipments data'!Q:Q,"&lt;"&amp;'Supply planning data'!D910,'Shipments data'!AC:AC,"&lt;"&amp;'Supply planning data'!D910)-SUMIFS(M:M,D:D,"&lt;="&amp;D895,C:C,C895)-SUMIFS(AJ:AJ,D:D,"&lt;="&amp;D895,C:C,C895)+SUMIFS(N:N,D:D,"&lt;="&amp;D895,C:C,C895)+SUMIFS(P:P,D:D,"&lt;="&amp;D895,C:C,C895)&lt;0,0,SUMIFS('Shipments data'!L:L,'Shipments data'!F:F,'Supply planning data'!C895,'Shipments data'!A:A,'Supply planning data'!A895,'Shipments data'!O:O,"received",'Shipments data'!Q:Q,"&lt;"&amp;'Supply planning data'!D910,'Shipments data'!AC:AC,"&lt;"&amp;'Supply planning data'!D910)-SUMIFS(M:M,D:D,"&lt;="&amp;D895,C:C,C895)-SUMIFS(AJ:AJ,D:D,"&lt;="&amp;D895,C:C,C895)+SUMIFS(N:N,D:D,"&lt;="&amp;D895,C:C,C895)+SUMIFS(P:P,D:D,"&lt;="&amp;D895,C:C,C895))</f>
        <v>0</v>
      </c>
      <c r="AM895" s="111">
        <f t="shared" si="264"/>
        <v>0</v>
      </c>
      <c r="AN895" s="111">
        <f t="shared" si="257"/>
        <v>0</v>
      </c>
      <c r="AO895" s="204" t="str">
        <f t="shared" si="267"/>
        <v/>
      </c>
    </row>
    <row r="896" spans="1:41" hidden="1" x14ac:dyDescent="0.25">
      <c r="A896" s="103" t="str">
        <f>Start!D$7</f>
        <v>Anyland</v>
      </c>
      <c r="B896" s="109" t="str">
        <f>VLOOKUP(A896,list!B:C,2,FALSE)</f>
        <v>ANY</v>
      </c>
      <c r="C896" s="104" t="str">
        <f>IF(Start!$C$23="","",Start!$C$23)</f>
        <v/>
      </c>
      <c r="D896" s="298">
        <f t="shared" si="258"/>
        <v>45992</v>
      </c>
      <c r="E896" s="105" t="str">
        <f>IFERROR(VLOOKUP(C896,Start!C$15:D$31,2,FALSE),"No")</f>
        <v>No</v>
      </c>
      <c r="F896" s="105">
        <f t="shared" si="259"/>
        <v>0</v>
      </c>
      <c r="G896" s="106"/>
      <c r="H896" s="106"/>
      <c r="I896" s="106"/>
      <c r="J896" s="105">
        <f t="shared" si="251"/>
        <v>0</v>
      </c>
      <c r="K896" s="106"/>
      <c r="L896" s="177" t="str">
        <f t="shared" si="252"/>
        <v/>
      </c>
      <c r="M896" s="105">
        <f t="shared" si="253"/>
        <v>0</v>
      </c>
      <c r="N896" s="110"/>
      <c r="O896" s="124"/>
      <c r="P896" s="110"/>
      <c r="Q896" s="124"/>
      <c r="R896" s="111">
        <f>SUMIFS('Shipments data'!L:L,'Shipments data'!F:F,'Supply planning data'!C896,'Shipments data'!A:A,'Supply planning data'!A896,'Shipments data'!Y:Y,'Supply planning data'!D896,'Shipments data'!O:O,"received", 'Shipments data'!N:N, "Public")</f>
        <v>0</v>
      </c>
      <c r="S896" s="111">
        <f>SUMIFS('Shipments data'!L:L,'Shipments data'!F:F,'Supply planning data'!C896,'Shipments data'!A:A,'Supply planning data'!A896,'Shipments data'!Y:Y,'Supply planning data'!D896,'Shipments data'!O:O,"ordered", 'Shipments data'!N:N, "Public")</f>
        <v>0</v>
      </c>
      <c r="T896" s="111">
        <f>IF(SUMIFS('Shipments data'!L:L,'Shipments data'!F:F,'Supply planning data'!C896,'Shipments data'!A:A,'Supply planning data'!A896,'Shipments data'!O:O,"received",'Shipments data'!Q:Q,"&lt;"&amp;'Supply planning data'!D911,'Shipments data'!AC:AC,"&lt;"&amp;'Supply planning data'!D911)-SUMIFS(M:M,D:D,"&lt;="&amp;D896,C:C,C896)+SUMIFS(N:N,D:D,"&lt;="&amp;D896,C:C,C896)+SUMIFS(P:P,D:D,"&lt;="&amp;D896,C:C,C896)&lt;0,0,SUMIFS('Shipments data'!L:L,'Shipments data'!F:F,'Supply planning data'!C896,'Shipments data'!A:A,'Supply planning data'!A896,'Shipments data'!O:O,"received",'Shipments data'!Q:Q,"&lt;"&amp;'Supply planning data'!D911,'Shipments data'!AC:AC,"&lt;"&amp;'Supply planning data'!D911)-SUMIFS(M:M,D:D,"&lt;="&amp;D896,C:C,C896)+SUMIFS(N:N,D:D,"&lt;="&amp;D896,C:C,C896)+SUMIFS(P:P,D:D,"&lt;="&amp;D896,C:C,C896))</f>
        <v>0</v>
      </c>
      <c r="U896" s="112">
        <f t="shared" si="260"/>
        <v>0</v>
      </c>
      <c r="V896" s="111">
        <f t="shared" si="268"/>
        <v>0</v>
      </c>
      <c r="W896" s="204" t="str">
        <f t="shared" si="266"/>
        <v/>
      </c>
      <c r="X896" s="111">
        <f t="shared" si="261"/>
        <v>0</v>
      </c>
      <c r="Y896" s="110"/>
      <c r="Z896" s="107"/>
      <c r="AA896" s="111">
        <f t="shared" si="254"/>
        <v>0</v>
      </c>
      <c r="AB896" s="235"/>
      <c r="AC896" s="111">
        <f>IF(SUMIFS('Shipments data'!L:L,'Shipments data'!F:F,'Supply planning data'!C896,'Shipments data'!A:A,'Supply planning data'!A896,'Shipments data'!O:O,"received",'Shipments data'!Q:Q,"&lt;"&amp;'Supply planning data'!D911,'Shipments data'!AC:AC,"&lt;"&amp;'Supply planning data'!D911)-SUMIFS(M:M,D:D,"&lt;="&amp;D896,C:C,C896)-SUMIFS(AA:AA,D:D,"&lt;="&amp;D896,C:C,C896)+SUMIFS(N:N,D:D,"&lt;="&amp;D896,C:C,C896)+SUMIFS(P:P,D:D,"&lt;="&amp;D896,C:C,C896)&lt;0,0,SUMIFS('Shipments data'!L:L,'Shipments data'!F:F,'Supply planning data'!C896,'Shipments data'!A:A,'Supply planning data'!A896,'Shipments data'!O:O,"received",'Shipments data'!Q:Q,"&lt;"&amp;'Supply planning data'!D911,'Shipments data'!AC:AC,"&lt;"&amp;'Supply planning data'!D911)-SUMIFS(M:M,D:D,"&lt;="&amp;D896,C:C,C896)-SUMIFS(AA:AA,D:D,"&lt;="&amp;D896,C:C,C896)+SUMIFS(N:N,D:D,"&lt;="&amp;D896,C:C,C896)+SUMIFS(P:P,D:D,"&lt;="&amp;D896,C:C,C896))</f>
        <v>0</v>
      </c>
      <c r="AD896" s="111">
        <f t="shared" si="262"/>
        <v>0</v>
      </c>
      <c r="AE896" s="111">
        <f t="shared" si="256"/>
        <v>0</v>
      </c>
      <c r="AF896" s="204" t="str">
        <f t="shared" si="265"/>
        <v/>
      </c>
      <c r="AG896" s="111">
        <f t="shared" si="263"/>
        <v>0</v>
      </c>
      <c r="AH896" s="110"/>
      <c r="AI896" s="313"/>
      <c r="AJ896" s="111">
        <f t="shared" si="255"/>
        <v>0</v>
      </c>
      <c r="AK896" s="235"/>
      <c r="AL896" s="111">
        <f>IF(SUMIFS('Shipments data'!L:L,'Shipments data'!F:F,'Supply planning data'!C896,'Shipments data'!A:A,'Supply planning data'!A896,'Shipments data'!O:O,"received",'Shipments data'!Q:Q,"&lt;"&amp;'Supply planning data'!D911,'Shipments data'!AC:AC,"&lt;"&amp;'Supply planning data'!D911)-SUMIFS(M:M,D:D,"&lt;="&amp;D896,C:C,C896)-SUMIFS(AJ:AJ,D:D,"&lt;="&amp;D896,C:C,C896)+SUMIFS(N:N,D:D,"&lt;="&amp;D896,C:C,C896)+SUMIFS(P:P,D:D,"&lt;="&amp;D896,C:C,C896)&lt;0,0,SUMIFS('Shipments data'!L:L,'Shipments data'!F:F,'Supply planning data'!C896,'Shipments data'!A:A,'Supply planning data'!A896,'Shipments data'!O:O,"received",'Shipments data'!Q:Q,"&lt;"&amp;'Supply planning data'!D911,'Shipments data'!AC:AC,"&lt;"&amp;'Supply planning data'!D911)-SUMIFS(M:M,D:D,"&lt;="&amp;D896,C:C,C896)-SUMIFS(AJ:AJ,D:D,"&lt;="&amp;D896,C:C,C896)+SUMIFS(N:N,D:D,"&lt;="&amp;D896,C:C,C896)+SUMIFS(P:P,D:D,"&lt;="&amp;D896,C:C,C896))</f>
        <v>0</v>
      </c>
      <c r="AM896" s="111">
        <f t="shared" si="264"/>
        <v>0</v>
      </c>
      <c r="AN896" s="111">
        <f t="shared" si="257"/>
        <v>0</v>
      </c>
      <c r="AO896" s="204" t="str">
        <f t="shared" si="267"/>
        <v/>
      </c>
    </row>
    <row r="897" spans="1:41" hidden="1" x14ac:dyDescent="0.25">
      <c r="A897" s="103" t="str">
        <f>Start!D$7</f>
        <v>Anyland</v>
      </c>
      <c r="B897" s="109" t="str">
        <f>VLOOKUP(A897,list!B:C,2,FALSE)</f>
        <v>ANY</v>
      </c>
      <c r="C897" s="109" t="str">
        <f>IF(Start!$C$24="","",Start!$C$24)</f>
        <v/>
      </c>
      <c r="D897" s="298">
        <f t="shared" si="258"/>
        <v>45992</v>
      </c>
      <c r="E897" s="105" t="str">
        <f>IFERROR(VLOOKUP(C897,Start!C$15:D$31,2,FALSE),"No")</f>
        <v>No</v>
      </c>
      <c r="F897" s="105">
        <f t="shared" si="259"/>
        <v>0</v>
      </c>
      <c r="G897" s="106"/>
      <c r="H897" s="106"/>
      <c r="I897" s="106"/>
      <c r="J897" s="105">
        <f t="shared" si="251"/>
        <v>0</v>
      </c>
      <c r="K897" s="106"/>
      <c r="L897" s="177" t="str">
        <f t="shared" si="252"/>
        <v/>
      </c>
      <c r="M897" s="105">
        <f t="shared" si="253"/>
        <v>0</v>
      </c>
      <c r="N897" s="110"/>
      <c r="O897" s="124"/>
      <c r="P897" s="110"/>
      <c r="Q897" s="124"/>
      <c r="R897" s="111">
        <f>SUMIFS('Shipments data'!L:L,'Shipments data'!F:F,'Supply planning data'!C897,'Shipments data'!A:A,'Supply planning data'!A897,'Shipments data'!Y:Y,'Supply planning data'!D897,'Shipments data'!O:O,"received", 'Shipments data'!N:N, "Public")</f>
        <v>0</v>
      </c>
      <c r="S897" s="111">
        <f>SUMIFS('Shipments data'!L:L,'Shipments data'!F:F,'Supply planning data'!C897,'Shipments data'!A:A,'Supply planning data'!A897,'Shipments data'!Y:Y,'Supply planning data'!D897,'Shipments data'!O:O,"ordered", 'Shipments data'!N:N, "Public")</f>
        <v>0</v>
      </c>
      <c r="T897" s="111">
        <f>IF(SUMIFS('Shipments data'!L:L,'Shipments data'!F:F,'Supply planning data'!C897,'Shipments data'!A:A,'Supply planning data'!A897,'Shipments data'!O:O,"received",'Shipments data'!Q:Q,"&lt;"&amp;'Supply planning data'!D912,'Shipments data'!AC:AC,"&lt;"&amp;'Supply planning data'!D912)-SUMIFS(M:M,D:D,"&lt;="&amp;D897,C:C,C897)+SUMIFS(N:N,D:D,"&lt;="&amp;D897,C:C,C897)+SUMIFS(P:P,D:D,"&lt;="&amp;D897,C:C,C897)&lt;0,0,SUMIFS('Shipments data'!L:L,'Shipments data'!F:F,'Supply planning data'!C897,'Shipments data'!A:A,'Supply planning data'!A897,'Shipments data'!O:O,"received",'Shipments data'!Q:Q,"&lt;"&amp;'Supply planning data'!D912,'Shipments data'!AC:AC,"&lt;"&amp;'Supply planning data'!D912)-SUMIFS(M:M,D:D,"&lt;="&amp;D897,C:C,C897)+SUMIFS(N:N,D:D,"&lt;="&amp;D897,C:C,C897)+SUMIFS(P:P,D:D,"&lt;="&amp;D897,C:C,C897))</f>
        <v>0</v>
      </c>
      <c r="U897" s="112">
        <f t="shared" si="260"/>
        <v>0</v>
      </c>
      <c r="V897" s="111">
        <f t="shared" si="268"/>
        <v>0</v>
      </c>
      <c r="W897" s="204" t="str">
        <f t="shared" si="266"/>
        <v/>
      </c>
      <c r="X897" s="111">
        <f t="shared" si="261"/>
        <v>0</v>
      </c>
      <c r="Y897" s="110"/>
      <c r="Z897" s="107"/>
      <c r="AA897" s="111">
        <f t="shared" si="254"/>
        <v>0</v>
      </c>
      <c r="AB897" s="235"/>
      <c r="AC897" s="111">
        <f>IF(SUMIFS('Shipments data'!L:L,'Shipments data'!F:F,'Supply planning data'!C897,'Shipments data'!A:A,'Supply planning data'!A897,'Shipments data'!O:O,"received",'Shipments data'!Q:Q,"&lt;"&amp;'Supply planning data'!D912,'Shipments data'!AC:AC,"&lt;"&amp;'Supply planning data'!D912)-SUMIFS(M:M,D:D,"&lt;="&amp;D897,C:C,C897)-SUMIFS(AA:AA,D:D,"&lt;="&amp;D897,C:C,C897)+SUMIFS(N:N,D:D,"&lt;="&amp;D897,C:C,C897)+SUMIFS(P:P,D:D,"&lt;="&amp;D897,C:C,C897)&lt;0,0,SUMIFS('Shipments data'!L:L,'Shipments data'!F:F,'Supply planning data'!C897,'Shipments data'!A:A,'Supply planning data'!A897,'Shipments data'!O:O,"received",'Shipments data'!Q:Q,"&lt;"&amp;'Supply planning data'!D912,'Shipments data'!AC:AC,"&lt;"&amp;'Supply planning data'!D912)-SUMIFS(M:M,D:D,"&lt;="&amp;D897,C:C,C897)-SUMIFS(AA:AA,D:D,"&lt;="&amp;D897,C:C,C897)+SUMIFS(N:N,D:D,"&lt;="&amp;D897,C:C,C897)+SUMIFS(P:P,D:D,"&lt;="&amp;D897,C:C,C897))</f>
        <v>0</v>
      </c>
      <c r="AD897" s="111">
        <f t="shared" si="262"/>
        <v>0</v>
      </c>
      <c r="AE897" s="111">
        <f t="shared" si="256"/>
        <v>0</v>
      </c>
      <c r="AF897" s="204" t="str">
        <f t="shared" si="265"/>
        <v/>
      </c>
      <c r="AG897" s="111">
        <f t="shared" si="263"/>
        <v>0</v>
      </c>
      <c r="AH897" s="110"/>
      <c r="AI897" s="313"/>
      <c r="AJ897" s="111">
        <f t="shared" si="255"/>
        <v>0</v>
      </c>
      <c r="AK897" s="235"/>
      <c r="AL897" s="111">
        <f>IF(SUMIFS('Shipments data'!L:L,'Shipments data'!F:F,'Supply planning data'!C897,'Shipments data'!A:A,'Supply planning data'!A897,'Shipments data'!O:O,"received",'Shipments data'!Q:Q,"&lt;"&amp;'Supply planning data'!D912,'Shipments data'!AC:AC,"&lt;"&amp;'Supply planning data'!D912)-SUMIFS(M:M,D:D,"&lt;="&amp;D897,C:C,C897)-SUMIFS(AJ:AJ,D:D,"&lt;="&amp;D897,C:C,C897)+SUMIFS(N:N,D:D,"&lt;="&amp;D897,C:C,C897)+SUMIFS(P:P,D:D,"&lt;="&amp;D897,C:C,C897)&lt;0,0,SUMIFS('Shipments data'!L:L,'Shipments data'!F:F,'Supply planning data'!C897,'Shipments data'!A:A,'Supply planning data'!A897,'Shipments data'!O:O,"received",'Shipments data'!Q:Q,"&lt;"&amp;'Supply planning data'!D912,'Shipments data'!AC:AC,"&lt;"&amp;'Supply planning data'!D912)-SUMIFS(M:M,D:D,"&lt;="&amp;D897,C:C,C897)-SUMIFS(AJ:AJ,D:D,"&lt;="&amp;D897,C:C,C897)+SUMIFS(N:N,D:D,"&lt;="&amp;D897,C:C,C897)+SUMIFS(P:P,D:D,"&lt;="&amp;D897,C:C,C897))</f>
        <v>0</v>
      </c>
      <c r="AM897" s="111">
        <f t="shared" si="264"/>
        <v>0</v>
      </c>
      <c r="AN897" s="111">
        <f t="shared" si="257"/>
        <v>0</v>
      </c>
      <c r="AO897" s="204" t="str">
        <f t="shared" si="267"/>
        <v/>
      </c>
    </row>
    <row r="898" spans="1:41" hidden="1" x14ac:dyDescent="0.25">
      <c r="A898" s="103" t="str">
        <f>Start!D$7</f>
        <v>Anyland</v>
      </c>
      <c r="B898" s="109" t="str">
        <f>VLOOKUP(A898,list!B:C,2,FALSE)</f>
        <v>ANY</v>
      </c>
      <c r="C898" s="104" t="str">
        <f>IF(Start!$C$25="","",Start!$C$25)</f>
        <v/>
      </c>
      <c r="D898" s="298">
        <f t="shared" si="258"/>
        <v>45992</v>
      </c>
      <c r="E898" s="105" t="str">
        <f>IFERROR(VLOOKUP(C898,Start!C$15:D$31,2,FALSE),"No")</f>
        <v>No</v>
      </c>
      <c r="F898" s="105">
        <f t="shared" si="259"/>
        <v>0</v>
      </c>
      <c r="G898" s="106"/>
      <c r="H898" s="106"/>
      <c r="I898" s="106"/>
      <c r="J898" s="105">
        <f t="shared" si="251"/>
        <v>0</v>
      </c>
      <c r="K898" s="106"/>
      <c r="L898" s="177" t="str">
        <f t="shared" si="252"/>
        <v/>
      </c>
      <c r="M898" s="105">
        <f t="shared" si="253"/>
        <v>0</v>
      </c>
      <c r="N898" s="110"/>
      <c r="O898" s="124"/>
      <c r="P898" s="110"/>
      <c r="Q898" s="124"/>
      <c r="R898" s="111">
        <f>SUMIFS('Shipments data'!L:L,'Shipments data'!F:F,'Supply planning data'!C898,'Shipments data'!A:A,'Supply planning data'!A898,'Shipments data'!Y:Y,'Supply planning data'!D898,'Shipments data'!O:O,"received", 'Shipments data'!N:N, "Public")</f>
        <v>0</v>
      </c>
      <c r="S898" s="111">
        <f>SUMIFS('Shipments data'!L:L,'Shipments data'!F:F,'Supply planning data'!C898,'Shipments data'!A:A,'Supply planning data'!A898,'Shipments data'!Y:Y,'Supply planning data'!D898,'Shipments data'!O:O,"ordered", 'Shipments data'!N:N, "Public")</f>
        <v>0</v>
      </c>
      <c r="T898" s="111">
        <f>IF(SUMIFS('Shipments data'!L:L,'Shipments data'!F:F,'Supply planning data'!C898,'Shipments data'!A:A,'Supply planning data'!A898,'Shipments data'!O:O,"received",'Shipments data'!Q:Q,"&lt;"&amp;'Supply planning data'!D913,'Shipments data'!AC:AC,"&lt;"&amp;'Supply planning data'!D913)-SUMIFS(M:M,D:D,"&lt;="&amp;D898,C:C,C898)+SUMIFS(N:N,D:D,"&lt;="&amp;D898,C:C,C898)+SUMIFS(P:P,D:D,"&lt;="&amp;D898,C:C,C898)&lt;0,0,SUMIFS('Shipments data'!L:L,'Shipments data'!F:F,'Supply planning data'!C898,'Shipments data'!A:A,'Supply planning data'!A898,'Shipments data'!O:O,"received",'Shipments data'!Q:Q,"&lt;"&amp;'Supply planning data'!D913,'Shipments data'!AC:AC,"&lt;"&amp;'Supply planning data'!D913)-SUMIFS(M:M,D:D,"&lt;="&amp;D898,C:C,C898)+SUMIFS(N:N,D:D,"&lt;="&amp;D898,C:C,C898)+SUMIFS(P:P,D:D,"&lt;="&amp;D898,C:C,C898))</f>
        <v>0</v>
      </c>
      <c r="U898" s="112">
        <f t="shared" si="260"/>
        <v>0</v>
      </c>
      <c r="V898" s="111">
        <f t="shared" si="268"/>
        <v>0</v>
      </c>
      <c r="W898" s="204" t="str">
        <f t="shared" si="266"/>
        <v/>
      </c>
      <c r="X898" s="111">
        <f t="shared" si="261"/>
        <v>0</v>
      </c>
      <c r="Y898" s="110"/>
      <c r="Z898" s="107"/>
      <c r="AA898" s="111">
        <f t="shared" si="254"/>
        <v>0</v>
      </c>
      <c r="AB898" s="235"/>
      <c r="AC898" s="111">
        <f>IF(SUMIFS('Shipments data'!L:L,'Shipments data'!F:F,'Supply planning data'!C898,'Shipments data'!A:A,'Supply planning data'!A898,'Shipments data'!O:O,"received",'Shipments data'!Q:Q,"&lt;"&amp;'Supply planning data'!D913,'Shipments data'!AC:AC,"&lt;"&amp;'Supply planning data'!D913)-SUMIFS(M:M,D:D,"&lt;="&amp;D898,C:C,C898)-SUMIFS(AA:AA,D:D,"&lt;="&amp;D898,C:C,C898)+SUMIFS(N:N,D:D,"&lt;="&amp;D898,C:C,C898)+SUMIFS(P:P,D:D,"&lt;="&amp;D898,C:C,C898)&lt;0,0,SUMIFS('Shipments data'!L:L,'Shipments data'!F:F,'Supply planning data'!C898,'Shipments data'!A:A,'Supply planning data'!A898,'Shipments data'!O:O,"received",'Shipments data'!Q:Q,"&lt;"&amp;'Supply planning data'!D913,'Shipments data'!AC:AC,"&lt;"&amp;'Supply planning data'!D913)-SUMIFS(M:M,D:D,"&lt;="&amp;D898,C:C,C898)-SUMIFS(AA:AA,D:D,"&lt;="&amp;D898,C:C,C898)+SUMIFS(N:N,D:D,"&lt;="&amp;D898,C:C,C898)+SUMIFS(P:P,D:D,"&lt;="&amp;D898,C:C,C898))</f>
        <v>0</v>
      </c>
      <c r="AD898" s="111">
        <f t="shared" si="262"/>
        <v>0</v>
      </c>
      <c r="AE898" s="111">
        <f t="shared" si="256"/>
        <v>0</v>
      </c>
      <c r="AF898" s="204" t="str">
        <f t="shared" si="265"/>
        <v/>
      </c>
      <c r="AG898" s="111">
        <f t="shared" si="263"/>
        <v>0</v>
      </c>
      <c r="AH898" s="110"/>
      <c r="AI898" s="313"/>
      <c r="AJ898" s="111">
        <f t="shared" si="255"/>
        <v>0</v>
      </c>
      <c r="AK898" s="235"/>
      <c r="AL898" s="111">
        <f>IF(SUMIFS('Shipments data'!L:L,'Shipments data'!F:F,'Supply planning data'!C898,'Shipments data'!A:A,'Supply planning data'!A898,'Shipments data'!O:O,"received",'Shipments data'!Q:Q,"&lt;"&amp;'Supply planning data'!D913,'Shipments data'!AC:AC,"&lt;"&amp;'Supply planning data'!D913)-SUMIFS(M:M,D:D,"&lt;="&amp;D898,C:C,C898)-SUMIFS(AJ:AJ,D:D,"&lt;="&amp;D898,C:C,C898)+SUMIFS(N:N,D:D,"&lt;="&amp;D898,C:C,C898)+SUMIFS(P:P,D:D,"&lt;="&amp;D898,C:C,C898)&lt;0,0,SUMIFS('Shipments data'!L:L,'Shipments data'!F:F,'Supply planning data'!C898,'Shipments data'!A:A,'Supply planning data'!A898,'Shipments data'!O:O,"received",'Shipments data'!Q:Q,"&lt;"&amp;'Supply planning data'!D913,'Shipments data'!AC:AC,"&lt;"&amp;'Supply planning data'!D913)-SUMIFS(M:M,D:D,"&lt;="&amp;D898,C:C,C898)-SUMIFS(AJ:AJ,D:D,"&lt;="&amp;D898,C:C,C898)+SUMIFS(N:N,D:D,"&lt;="&amp;D898,C:C,C898)+SUMIFS(P:P,D:D,"&lt;="&amp;D898,C:C,C898))</f>
        <v>0</v>
      </c>
      <c r="AM898" s="111">
        <f t="shared" si="264"/>
        <v>0</v>
      </c>
      <c r="AN898" s="111">
        <f t="shared" si="257"/>
        <v>0</v>
      </c>
      <c r="AO898" s="204" t="str">
        <f t="shared" si="267"/>
        <v/>
      </c>
    </row>
    <row r="899" spans="1:41" hidden="1" x14ac:dyDescent="0.25">
      <c r="A899" s="103" t="str">
        <f>Start!D$7</f>
        <v>Anyland</v>
      </c>
      <c r="B899" s="109" t="str">
        <f>VLOOKUP(A899,list!B:C,2,FALSE)</f>
        <v>ANY</v>
      </c>
      <c r="C899" s="109" t="str">
        <f>IF(Start!$C$26="","",Start!$C$26)</f>
        <v/>
      </c>
      <c r="D899" s="298">
        <f t="shared" si="258"/>
        <v>45992</v>
      </c>
      <c r="E899" s="105" t="str">
        <f>IFERROR(VLOOKUP(C899,Start!C$15:D$31,2,FALSE),"No")</f>
        <v>No</v>
      </c>
      <c r="F899" s="105">
        <f t="shared" si="259"/>
        <v>0</v>
      </c>
      <c r="G899" s="106"/>
      <c r="H899" s="106"/>
      <c r="I899" s="106"/>
      <c r="J899" s="105">
        <f t="shared" si="251"/>
        <v>0</v>
      </c>
      <c r="K899" s="106"/>
      <c r="L899" s="177" t="str">
        <f t="shared" si="252"/>
        <v/>
      </c>
      <c r="M899" s="105">
        <f t="shared" si="253"/>
        <v>0</v>
      </c>
      <c r="N899" s="110"/>
      <c r="O899" s="124"/>
      <c r="P899" s="110"/>
      <c r="Q899" s="124"/>
      <c r="R899" s="111">
        <f>SUMIFS('Shipments data'!L:L,'Shipments data'!F:F,'Supply planning data'!C899,'Shipments data'!A:A,'Supply planning data'!A899,'Shipments data'!Y:Y,'Supply planning data'!D899,'Shipments data'!O:O,"received", 'Shipments data'!N:N, "Public")</f>
        <v>0</v>
      </c>
      <c r="S899" s="111">
        <f>SUMIFS('Shipments data'!L:L,'Shipments data'!F:F,'Supply planning data'!C899,'Shipments data'!A:A,'Supply planning data'!A899,'Shipments data'!Y:Y,'Supply planning data'!D899,'Shipments data'!O:O,"ordered", 'Shipments data'!N:N, "Public")</f>
        <v>0</v>
      </c>
      <c r="T899" s="111">
        <f>IF(SUMIFS('Shipments data'!L:L,'Shipments data'!F:F,'Supply planning data'!C899,'Shipments data'!A:A,'Supply planning data'!A899,'Shipments data'!O:O,"received",'Shipments data'!Q:Q,"&lt;"&amp;'Supply planning data'!D914,'Shipments data'!AC:AC,"&lt;"&amp;'Supply planning data'!D914)-SUMIFS(M:M,D:D,"&lt;="&amp;D899,C:C,C899)+SUMIFS(N:N,D:D,"&lt;="&amp;D899,C:C,C899)+SUMIFS(P:P,D:D,"&lt;="&amp;D899,C:C,C899)&lt;0,0,SUMIFS('Shipments data'!L:L,'Shipments data'!F:F,'Supply planning data'!C899,'Shipments data'!A:A,'Supply planning data'!A899,'Shipments data'!O:O,"received",'Shipments data'!Q:Q,"&lt;"&amp;'Supply planning data'!D914,'Shipments data'!AC:AC,"&lt;"&amp;'Supply planning data'!D914)-SUMIFS(M:M,D:D,"&lt;="&amp;D899,C:C,C899)+SUMIFS(N:N,D:D,"&lt;="&amp;D899,C:C,C899)+SUMIFS(P:P,D:D,"&lt;="&amp;D899,C:C,C899))</f>
        <v>0</v>
      </c>
      <c r="U899" s="112">
        <f t="shared" si="260"/>
        <v>0</v>
      </c>
      <c r="V899" s="111">
        <f t="shared" si="268"/>
        <v>0</v>
      </c>
      <c r="W899" s="204" t="str">
        <f t="shared" si="266"/>
        <v/>
      </c>
      <c r="X899" s="111">
        <f t="shared" si="261"/>
        <v>0</v>
      </c>
      <c r="Y899" s="110"/>
      <c r="Z899" s="107"/>
      <c r="AA899" s="111">
        <f t="shared" si="254"/>
        <v>0</v>
      </c>
      <c r="AB899" s="235"/>
      <c r="AC899" s="111">
        <f>IF(SUMIFS('Shipments data'!L:L,'Shipments data'!F:F,'Supply planning data'!C899,'Shipments data'!A:A,'Supply planning data'!A899,'Shipments data'!O:O,"received",'Shipments data'!Q:Q,"&lt;"&amp;'Supply planning data'!D914,'Shipments data'!AC:AC,"&lt;"&amp;'Supply planning data'!D914)-SUMIFS(M:M,D:D,"&lt;="&amp;D899,C:C,C899)-SUMIFS(AA:AA,D:D,"&lt;="&amp;D899,C:C,C899)+SUMIFS(N:N,D:D,"&lt;="&amp;D899,C:C,C899)+SUMIFS(P:P,D:D,"&lt;="&amp;D899,C:C,C899)&lt;0,0,SUMIFS('Shipments data'!L:L,'Shipments data'!F:F,'Supply planning data'!C899,'Shipments data'!A:A,'Supply planning data'!A899,'Shipments data'!O:O,"received",'Shipments data'!Q:Q,"&lt;"&amp;'Supply planning data'!D914,'Shipments data'!AC:AC,"&lt;"&amp;'Supply planning data'!D914)-SUMIFS(M:M,D:D,"&lt;="&amp;D899,C:C,C899)-SUMIFS(AA:AA,D:D,"&lt;="&amp;D899,C:C,C899)+SUMIFS(N:N,D:D,"&lt;="&amp;D899,C:C,C899)+SUMIFS(P:P,D:D,"&lt;="&amp;D899,C:C,C899))</f>
        <v>0</v>
      </c>
      <c r="AD899" s="111">
        <f t="shared" si="262"/>
        <v>0</v>
      </c>
      <c r="AE899" s="111">
        <f t="shared" si="256"/>
        <v>0</v>
      </c>
      <c r="AF899" s="204" t="str">
        <f t="shared" si="265"/>
        <v/>
      </c>
      <c r="AG899" s="111">
        <f t="shared" si="263"/>
        <v>0</v>
      </c>
      <c r="AH899" s="110"/>
      <c r="AI899" s="313"/>
      <c r="AJ899" s="111">
        <f t="shared" si="255"/>
        <v>0</v>
      </c>
      <c r="AK899" s="235"/>
      <c r="AL899" s="111">
        <f>IF(SUMIFS('Shipments data'!L:L,'Shipments data'!F:F,'Supply planning data'!C899,'Shipments data'!A:A,'Supply planning data'!A899,'Shipments data'!O:O,"received",'Shipments data'!Q:Q,"&lt;"&amp;'Supply planning data'!D914,'Shipments data'!AC:AC,"&lt;"&amp;'Supply planning data'!D914)-SUMIFS(M:M,D:D,"&lt;="&amp;D899,C:C,C899)-SUMIFS(AJ:AJ,D:D,"&lt;="&amp;D899,C:C,C899)+SUMIFS(N:N,D:D,"&lt;="&amp;D899,C:C,C899)+SUMIFS(P:P,D:D,"&lt;="&amp;D899,C:C,C899)&lt;0,0,SUMIFS('Shipments data'!L:L,'Shipments data'!F:F,'Supply planning data'!C899,'Shipments data'!A:A,'Supply planning data'!A899,'Shipments data'!O:O,"received",'Shipments data'!Q:Q,"&lt;"&amp;'Supply planning data'!D914,'Shipments data'!AC:AC,"&lt;"&amp;'Supply planning data'!D914)-SUMIFS(M:M,D:D,"&lt;="&amp;D899,C:C,C899)-SUMIFS(AJ:AJ,D:D,"&lt;="&amp;D899,C:C,C899)+SUMIFS(N:N,D:D,"&lt;="&amp;D899,C:C,C899)+SUMIFS(P:P,D:D,"&lt;="&amp;D899,C:C,C899))</f>
        <v>0</v>
      </c>
      <c r="AM899" s="111">
        <f t="shared" si="264"/>
        <v>0</v>
      </c>
      <c r="AN899" s="111">
        <f t="shared" si="257"/>
        <v>0</v>
      </c>
      <c r="AO899" s="204" t="str">
        <f t="shared" si="267"/>
        <v/>
      </c>
    </row>
    <row r="900" spans="1:41" hidden="1" x14ac:dyDescent="0.25">
      <c r="A900" s="103" t="str">
        <f>Start!D$7</f>
        <v>Anyland</v>
      </c>
      <c r="B900" s="109" t="str">
        <f>VLOOKUP(A900,list!B:C,2,FALSE)</f>
        <v>ANY</v>
      </c>
      <c r="C900" s="104" t="str">
        <f>IF(Start!$C$27="","",Start!$C$27)</f>
        <v/>
      </c>
      <c r="D900" s="298">
        <f t="shared" si="258"/>
        <v>45992</v>
      </c>
      <c r="E900" s="105" t="str">
        <f>IFERROR(VLOOKUP(C900,Start!C$15:D$31,2,FALSE),"No")</f>
        <v>No</v>
      </c>
      <c r="F900" s="105">
        <f t="shared" si="259"/>
        <v>0</v>
      </c>
      <c r="G900" s="106"/>
      <c r="H900" s="106"/>
      <c r="I900" s="106"/>
      <c r="J900" s="105">
        <f t="shared" si="251"/>
        <v>0</v>
      </c>
      <c r="K900" s="106"/>
      <c r="L900" s="177" t="str">
        <f t="shared" si="252"/>
        <v/>
      </c>
      <c r="M900" s="105">
        <f t="shared" si="253"/>
        <v>0</v>
      </c>
      <c r="N900" s="110"/>
      <c r="O900" s="124"/>
      <c r="P900" s="110"/>
      <c r="Q900" s="124"/>
      <c r="R900" s="111">
        <f>SUMIFS('Shipments data'!L:L,'Shipments data'!F:F,'Supply planning data'!C900,'Shipments data'!A:A,'Supply planning data'!A900,'Shipments data'!Y:Y,'Supply planning data'!D900,'Shipments data'!O:O,"received", 'Shipments data'!N:N, "Public")</f>
        <v>0</v>
      </c>
      <c r="S900" s="111">
        <f>SUMIFS('Shipments data'!L:L,'Shipments data'!F:F,'Supply planning data'!C900,'Shipments data'!A:A,'Supply planning data'!A900,'Shipments data'!Y:Y,'Supply planning data'!D900,'Shipments data'!O:O,"ordered", 'Shipments data'!N:N, "Public")</f>
        <v>0</v>
      </c>
      <c r="T900" s="111">
        <f>IF(SUMIFS('Shipments data'!L:L,'Shipments data'!F:F,'Supply planning data'!C900,'Shipments data'!A:A,'Supply planning data'!A900,'Shipments data'!O:O,"received",'Shipments data'!Q:Q,"&lt;"&amp;'Supply planning data'!D915,'Shipments data'!AC:AC,"&lt;"&amp;'Supply planning data'!D915)-SUMIFS(M:M,D:D,"&lt;="&amp;D900,C:C,C900)+SUMIFS(N:N,D:D,"&lt;="&amp;D900,C:C,C900)+SUMIFS(P:P,D:D,"&lt;="&amp;D900,C:C,C900)&lt;0,0,SUMIFS('Shipments data'!L:L,'Shipments data'!F:F,'Supply planning data'!C900,'Shipments data'!A:A,'Supply planning data'!A900,'Shipments data'!O:O,"received",'Shipments data'!Q:Q,"&lt;"&amp;'Supply planning data'!D915,'Shipments data'!AC:AC,"&lt;"&amp;'Supply planning data'!D915)-SUMIFS(M:M,D:D,"&lt;="&amp;D900,C:C,C900)+SUMIFS(N:N,D:D,"&lt;="&amp;D900,C:C,C900)+SUMIFS(P:P,D:D,"&lt;="&amp;D900,C:C,C900))</f>
        <v>0</v>
      </c>
      <c r="U900" s="112">
        <f t="shared" si="260"/>
        <v>0</v>
      </c>
      <c r="V900" s="111">
        <f t="shared" si="268"/>
        <v>0</v>
      </c>
      <c r="W900" s="204" t="str">
        <f t="shared" si="266"/>
        <v/>
      </c>
      <c r="X900" s="111">
        <f t="shared" si="261"/>
        <v>0</v>
      </c>
      <c r="Y900" s="110"/>
      <c r="Z900" s="107"/>
      <c r="AA900" s="111">
        <f t="shared" si="254"/>
        <v>0</v>
      </c>
      <c r="AB900" s="235"/>
      <c r="AC900" s="111">
        <f>IF(SUMIFS('Shipments data'!L:L,'Shipments data'!F:F,'Supply planning data'!C900,'Shipments data'!A:A,'Supply planning data'!A900,'Shipments data'!O:O,"received",'Shipments data'!Q:Q,"&lt;"&amp;'Supply planning data'!D915,'Shipments data'!AC:AC,"&lt;"&amp;'Supply planning data'!D915)-SUMIFS(M:M,D:D,"&lt;="&amp;D900,C:C,C900)-SUMIFS(AA:AA,D:D,"&lt;="&amp;D900,C:C,C900)+SUMIFS(N:N,D:D,"&lt;="&amp;D900,C:C,C900)+SUMIFS(P:P,D:D,"&lt;="&amp;D900,C:C,C900)&lt;0,0,SUMIFS('Shipments data'!L:L,'Shipments data'!F:F,'Supply planning data'!C900,'Shipments data'!A:A,'Supply planning data'!A900,'Shipments data'!O:O,"received",'Shipments data'!Q:Q,"&lt;"&amp;'Supply planning data'!D915,'Shipments data'!AC:AC,"&lt;"&amp;'Supply planning data'!D915)-SUMIFS(M:M,D:D,"&lt;="&amp;D900,C:C,C900)-SUMIFS(AA:AA,D:D,"&lt;="&amp;D900,C:C,C900)+SUMIFS(N:N,D:D,"&lt;="&amp;D900,C:C,C900)+SUMIFS(P:P,D:D,"&lt;="&amp;D900,C:C,C900))</f>
        <v>0</v>
      </c>
      <c r="AD900" s="111">
        <f t="shared" si="262"/>
        <v>0</v>
      </c>
      <c r="AE900" s="111">
        <f t="shared" si="256"/>
        <v>0</v>
      </c>
      <c r="AF900" s="204" t="str">
        <f t="shared" si="265"/>
        <v/>
      </c>
      <c r="AG900" s="111">
        <f t="shared" si="263"/>
        <v>0</v>
      </c>
      <c r="AH900" s="110"/>
      <c r="AI900" s="313"/>
      <c r="AJ900" s="111">
        <f t="shared" si="255"/>
        <v>0</v>
      </c>
      <c r="AK900" s="235"/>
      <c r="AL900" s="111">
        <f>IF(SUMIFS('Shipments data'!L:L,'Shipments data'!F:F,'Supply planning data'!C900,'Shipments data'!A:A,'Supply planning data'!A900,'Shipments data'!O:O,"received",'Shipments data'!Q:Q,"&lt;"&amp;'Supply planning data'!D915,'Shipments data'!AC:AC,"&lt;"&amp;'Supply planning data'!D915)-SUMIFS(M:M,D:D,"&lt;="&amp;D900,C:C,C900)-SUMIFS(AJ:AJ,D:D,"&lt;="&amp;D900,C:C,C900)+SUMIFS(N:N,D:D,"&lt;="&amp;D900,C:C,C900)+SUMIFS(P:P,D:D,"&lt;="&amp;D900,C:C,C900)&lt;0,0,SUMIFS('Shipments data'!L:L,'Shipments data'!F:F,'Supply planning data'!C900,'Shipments data'!A:A,'Supply planning data'!A900,'Shipments data'!O:O,"received",'Shipments data'!Q:Q,"&lt;"&amp;'Supply planning data'!D915,'Shipments data'!AC:AC,"&lt;"&amp;'Supply planning data'!D915)-SUMIFS(M:M,D:D,"&lt;="&amp;D900,C:C,C900)-SUMIFS(AJ:AJ,D:D,"&lt;="&amp;D900,C:C,C900)+SUMIFS(N:N,D:D,"&lt;="&amp;D900,C:C,C900)+SUMIFS(P:P,D:D,"&lt;="&amp;D900,C:C,C900))</f>
        <v>0</v>
      </c>
      <c r="AM900" s="111">
        <f t="shared" si="264"/>
        <v>0</v>
      </c>
      <c r="AN900" s="111">
        <f t="shared" si="257"/>
        <v>0</v>
      </c>
      <c r="AO900" s="204" t="str">
        <f t="shared" si="267"/>
        <v/>
      </c>
    </row>
    <row r="901" spans="1:41" hidden="1" x14ac:dyDescent="0.25">
      <c r="A901" s="103" t="str">
        <f>Start!D$7</f>
        <v>Anyland</v>
      </c>
      <c r="B901" s="109" t="str">
        <f>VLOOKUP(A901,list!B:C,2,FALSE)</f>
        <v>ANY</v>
      </c>
      <c r="C901" s="109" t="str">
        <f>IF(Start!$C$28="","",Start!$C$28)</f>
        <v/>
      </c>
      <c r="D901" s="298">
        <f t="shared" si="258"/>
        <v>45992</v>
      </c>
      <c r="E901" s="105" t="str">
        <f>IFERROR(VLOOKUP(C901,Start!C$15:D$31,2,FALSE),"No")</f>
        <v>No</v>
      </c>
      <c r="F901" s="105">
        <f t="shared" si="259"/>
        <v>0</v>
      </c>
      <c r="G901" s="106"/>
      <c r="H901" s="106"/>
      <c r="I901" s="106"/>
      <c r="J901" s="105">
        <f t="shared" ref="J901:J904" si="269">SUM(G901:I901)</f>
        <v>0</v>
      </c>
      <c r="K901" s="106"/>
      <c r="L901" s="177" t="str">
        <f t="shared" ref="L901:L904" si="270">IFERROR(K901/J901, "")</f>
        <v/>
      </c>
      <c r="M901" s="105">
        <f t="shared" si="253"/>
        <v>0</v>
      </c>
      <c r="N901" s="110"/>
      <c r="O901" s="124"/>
      <c r="P901" s="110"/>
      <c r="Q901" s="124"/>
      <c r="R901" s="111">
        <f>SUMIFS('Shipments data'!L:L,'Shipments data'!F:F,'Supply planning data'!C901,'Shipments data'!A:A,'Supply planning data'!A901,'Shipments data'!Y:Y,'Supply planning data'!D901,'Shipments data'!O:O,"received", 'Shipments data'!N:N, "Public")</f>
        <v>0</v>
      </c>
      <c r="S901" s="111">
        <f>SUMIFS('Shipments data'!L:L,'Shipments data'!F:F,'Supply planning data'!C901,'Shipments data'!A:A,'Supply planning data'!A901,'Shipments data'!Y:Y,'Supply planning data'!D901,'Shipments data'!O:O,"ordered", 'Shipments data'!N:N, "Public")</f>
        <v>0</v>
      </c>
      <c r="T901" s="111">
        <f>IF(SUMIFS('Shipments data'!L:L,'Shipments data'!F:F,'Supply planning data'!C901,'Shipments data'!A:A,'Supply planning data'!A901,'Shipments data'!O:O,"received",'Shipments data'!Q:Q,"&lt;"&amp;'Supply planning data'!D916,'Shipments data'!AC:AC,"&lt;"&amp;'Supply planning data'!D916)-SUMIFS(M:M,D:D,"&lt;="&amp;D901,C:C,C901)+SUMIFS(N:N,D:D,"&lt;="&amp;D901,C:C,C901)+SUMIFS(P:P,D:D,"&lt;="&amp;D901,C:C,C901)&lt;0,0,SUMIFS('Shipments data'!L:L,'Shipments data'!F:F,'Supply planning data'!C901,'Shipments data'!A:A,'Supply planning data'!A901,'Shipments data'!O:O,"received",'Shipments data'!Q:Q,"&lt;"&amp;'Supply planning data'!D916,'Shipments data'!AC:AC,"&lt;"&amp;'Supply planning data'!D916)-SUMIFS(M:M,D:D,"&lt;="&amp;D901,C:C,C901)+SUMIFS(N:N,D:D,"&lt;="&amp;D901,C:C,C901)+SUMIFS(P:P,D:D,"&lt;="&amp;D901,C:C,C901))</f>
        <v>0</v>
      </c>
      <c r="U901" s="112">
        <f t="shared" si="260"/>
        <v>0</v>
      </c>
      <c r="V901" s="111">
        <f t="shared" si="268"/>
        <v>0</v>
      </c>
      <c r="W901" s="204" t="str">
        <f t="shared" si="266"/>
        <v/>
      </c>
      <c r="X901" s="111">
        <f t="shared" si="261"/>
        <v>0</v>
      </c>
      <c r="Y901" s="110"/>
      <c r="Z901" s="107"/>
      <c r="AA901" s="111">
        <f t="shared" ref="AA901:AA904" si="271">IFERROR(Z901*Y901,0)+Y901</f>
        <v>0</v>
      </c>
      <c r="AB901" s="235"/>
      <c r="AC901" s="111">
        <f>IF(SUMIFS('Shipments data'!L:L,'Shipments data'!F:F,'Supply planning data'!C901,'Shipments data'!A:A,'Supply planning data'!A901,'Shipments data'!O:O,"received",'Shipments data'!Q:Q,"&lt;"&amp;'Supply planning data'!D916,'Shipments data'!AC:AC,"&lt;"&amp;'Supply planning data'!D916)-SUMIFS(M:M,D:D,"&lt;="&amp;D901,C:C,C901)-SUMIFS(AA:AA,D:D,"&lt;="&amp;D901,C:C,C901)+SUMIFS(N:N,D:D,"&lt;="&amp;D901,C:C,C901)+SUMIFS(P:P,D:D,"&lt;="&amp;D901,C:C,C901)&lt;0,0,SUMIFS('Shipments data'!L:L,'Shipments data'!F:F,'Supply planning data'!C901,'Shipments data'!A:A,'Supply planning data'!A901,'Shipments data'!O:O,"received",'Shipments data'!Q:Q,"&lt;"&amp;'Supply planning data'!D916,'Shipments data'!AC:AC,"&lt;"&amp;'Supply planning data'!D916)-SUMIFS(M:M,D:D,"&lt;="&amp;D901,C:C,C901)-SUMIFS(AA:AA,D:D,"&lt;="&amp;D901,C:C,C901)+SUMIFS(N:N,D:D,"&lt;="&amp;D901,C:C,C901)+SUMIFS(P:P,D:D,"&lt;="&amp;D901,C:C,C901))</f>
        <v>0</v>
      </c>
      <c r="AD901" s="111">
        <f t="shared" si="262"/>
        <v>0</v>
      </c>
      <c r="AE901" s="111">
        <f t="shared" si="256"/>
        <v>0</v>
      </c>
      <c r="AF901" s="204" t="str">
        <f t="shared" si="265"/>
        <v/>
      </c>
      <c r="AG901" s="111">
        <f t="shared" si="263"/>
        <v>0</v>
      </c>
      <c r="AH901" s="110"/>
      <c r="AI901" s="313"/>
      <c r="AJ901" s="111">
        <f t="shared" ref="AJ901:AJ904" si="272">IFERROR(AI901*AH901,0)+AH901</f>
        <v>0</v>
      </c>
      <c r="AK901" s="235"/>
      <c r="AL901" s="111">
        <f>IF(SUMIFS('Shipments data'!L:L,'Shipments data'!F:F,'Supply planning data'!C901,'Shipments data'!A:A,'Supply planning data'!A901,'Shipments data'!O:O,"received",'Shipments data'!Q:Q,"&lt;"&amp;'Supply planning data'!D916,'Shipments data'!AC:AC,"&lt;"&amp;'Supply planning data'!D916)-SUMIFS(M:M,D:D,"&lt;="&amp;D901,C:C,C901)-SUMIFS(AJ:AJ,D:D,"&lt;="&amp;D901,C:C,C901)+SUMIFS(N:N,D:D,"&lt;="&amp;D901,C:C,C901)+SUMIFS(P:P,D:D,"&lt;="&amp;D901,C:C,C901)&lt;0,0,SUMIFS('Shipments data'!L:L,'Shipments data'!F:F,'Supply planning data'!C901,'Shipments data'!A:A,'Supply planning data'!A901,'Shipments data'!O:O,"received",'Shipments data'!Q:Q,"&lt;"&amp;'Supply planning data'!D916,'Shipments data'!AC:AC,"&lt;"&amp;'Supply planning data'!D916)-SUMIFS(M:M,D:D,"&lt;="&amp;D901,C:C,C901)-SUMIFS(AJ:AJ,D:D,"&lt;="&amp;D901,C:C,C901)+SUMIFS(N:N,D:D,"&lt;="&amp;D901,C:C,C901)+SUMIFS(P:P,D:D,"&lt;="&amp;D901,C:C,C901))</f>
        <v>0</v>
      </c>
      <c r="AM901" s="111">
        <f t="shared" si="264"/>
        <v>0</v>
      </c>
      <c r="AN901" s="111">
        <f t="shared" si="257"/>
        <v>0</v>
      </c>
      <c r="AO901" s="204" t="str">
        <f t="shared" si="267"/>
        <v/>
      </c>
    </row>
    <row r="902" spans="1:41" hidden="1" x14ac:dyDescent="0.25">
      <c r="A902" s="103" t="str">
        <f>Start!D$7</f>
        <v>Anyland</v>
      </c>
      <c r="B902" s="109" t="str">
        <f>VLOOKUP(A902,list!B:C,2,FALSE)</f>
        <v>ANY</v>
      </c>
      <c r="C902" s="104" t="str">
        <f>IF(Start!$C$29="","",Start!$C$29)</f>
        <v/>
      </c>
      <c r="D902" s="298">
        <f t="shared" si="258"/>
        <v>45992</v>
      </c>
      <c r="E902" s="105" t="str">
        <f>IFERROR(VLOOKUP(C902,Start!C$15:D$31,2,FALSE),"No")</f>
        <v>No</v>
      </c>
      <c r="F902" s="105">
        <f t="shared" si="259"/>
        <v>0</v>
      </c>
      <c r="G902" s="106"/>
      <c r="H902" s="106"/>
      <c r="I902" s="106"/>
      <c r="J902" s="105">
        <f t="shared" si="269"/>
        <v>0</v>
      </c>
      <c r="K902" s="106"/>
      <c r="L902" s="177" t="str">
        <f t="shared" si="270"/>
        <v/>
      </c>
      <c r="M902" s="105">
        <f t="shared" si="253"/>
        <v>0</v>
      </c>
      <c r="N902" s="110"/>
      <c r="O902" s="124"/>
      <c r="P902" s="110"/>
      <c r="Q902" s="124"/>
      <c r="R902" s="111">
        <f>SUMIFS('Shipments data'!L:L,'Shipments data'!F:F,'Supply planning data'!C902,'Shipments data'!A:A,'Supply planning data'!A902,'Shipments data'!Y:Y,'Supply planning data'!D902,'Shipments data'!O:O,"received", 'Shipments data'!N:N, "Public")</f>
        <v>0</v>
      </c>
      <c r="S902" s="111">
        <f>SUMIFS('Shipments data'!L:L,'Shipments data'!F:F,'Supply planning data'!C902,'Shipments data'!A:A,'Supply planning data'!A902,'Shipments data'!Y:Y,'Supply planning data'!D902,'Shipments data'!O:O,"ordered", 'Shipments data'!N:N, "Public")</f>
        <v>0</v>
      </c>
      <c r="T902" s="111">
        <f>IF(SUMIFS('Shipments data'!L:L,'Shipments data'!F:F,'Supply planning data'!C902,'Shipments data'!A:A,'Supply planning data'!A902,'Shipments data'!O:O,"received",'Shipments data'!Q:Q,"&lt;"&amp;'Supply planning data'!D917,'Shipments data'!AC:AC,"&lt;"&amp;'Supply planning data'!D917)-SUMIFS(M:M,D:D,"&lt;="&amp;D902,C:C,C902)+SUMIFS(N:N,D:D,"&lt;="&amp;D902,C:C,C902)+SUMIFS(P:P,D:D,"&lt;="&amp;D902,C:C,C902)&lt;0,0,SUMIFS('Shipments data'!L:L,'Shipments data'!F:F,'Supply planning data'!C902,'Shipments data'!A:A,'Supply planning data'!A902,'Shipments data'!O:O,"received",'Shipments data'!Q:Q,"&lt;"&amp;'Supply planning data'!D917,'Shipments data'!AC:AC,"&lt;"&amp;'Supply planning data'!D917)-SUMIFS(M:M,D:D,"&lt;="&amp;D902,C:C,C902)+SUMIFS(N:N,D:D,"&lt;="&amp;D902,C:C,C902)+SUMIFS(P:P,D:D,"&lt;="&amp;D902,C:C,C902))</f>
        <v>0</v>
      </c>
      <c r="U902" s="112">
        <f t="shared" si="260"/>
        <v>0</v>
      </c>
      <c r="V902" s="111">
        <f t="shared" si="268"/>
        <v>0</v>
      </c>
      <c r="W902" s="204" t="str">
        <f t="shared" si="266"/>
        <v/>
      </c>
      <c r="X902" s="111">
        <f t="shared" si="261"/>
        <v>0</v>
      </c>
      <c r="Y902" s="110"/>
      <c r="Z902" s="107"/>
      <c r="AA902" s="111">
        <f t="shared" si="271"/>
        <v>0</v>
      </c>
      <c r="AB902" s="235"/>
      <c r="AC902" s="111">
        <f>IF(SUMIFS('Shipments data'!L:L,'Shipments data'!F:F,'Supply planning data'!C902,'Shipments data'!A:A,'Supply planning data'!A902,'Shipments data'!O:O,"received",'Shipments data'!Q:Q,"&lt;"&amp;'Supply planning data'!D917,'Shipments data'!AC:AC,"&lt;"&amp;'Supply planning data'!D917)-SUMIFS(M:M,D:D,"&lt;="&amp;D902,C:C,C902)-SUMIFS(AA:AA,D:D,"&lt;="&amp;D902,C:C,C902)+SUMIFS(N:N,D:D,"&lt;="&amp;D902,C:C,C902)+SUMIFS(P:P,D:D,"&lt;="&amp;D902,C:C,C902)&lt;0,0,SUMIFS('Shipments data'!L:L,'Shipments data'!F:F,'Supply planning data'!C902,'Shipments data'!A:A,'Supply planning data'!A902,'Shipments data'!O:O,"received",'Shipments data'!Q:Q,"&lt;"&amp;'Supply planning data'!D917,'Shipments data'!AC:AC,"&lt;"&amp;'Supply planning data'!D917)-SUMIFS(M:M,D:D,"&lt;="&amp;D902,C:C,C902)-SUMIFS(AA:AA,D:D,"&lt;="&amp;D902,C:C,C902)+SUMIFS(N:N,D:D,"&lt;="&amp;D902,C:C,C902)+SUMIFS(P:P,D:D,"&lt;="&amp;D902,C:C,C902))</f>
        <v>0</v>
      </c>
      <c r="AD902" s="111">
        <f t="shared" si="262"/>
        <v>0</v>
      </c>
      <c r="AE902" s="111">
        <f t="shared" si="256"/>
        <v>0</v>
      </c>
      <c r="AF902" s="204" t="str">
        <f t="shared" si="265"/>
        <v/>
      </c>
      <c r="AG902" s="111">
        <f t="shared" si="263"/>
        <v>0</v>
      </c>
      <c r="AH902" s="110"/>
      <c r="AI902" s="313"/>
      <c r="AJ902" s="111">
        <f t="shared" si="272"/>
        <v>0</v>
      </c>
      <c r="AK902" s="235"/>
      <c r="AL902" s="111">
        <f>IF(SUMIFS('Shipments data'!L:L,'Shipments data'!F:F,'Supply planning data'!C902,'Shipments data'!A:A,'Supply planning data'!A902,'Shipments data'!O:O,"received",'Shipments data'!Q:Q,"&lt;"&amp;'Supply planning data'!D917,'Shipments data'!AC:AC,"&lt;"&amp;'Supply planning data'!D917)-SUMIFS(M:M,D:D,"&lt;="&amp;D902,C:C,C902)-SUMIFS(AJ:AJ,D:D,"&lt;="&amp;D902,C:C,C902)+SUMIFS(N:N,D:D,"&lt;="&amp;D902,C:C,C902)+SUMIFS(P:P,D:D,"&lt;="&amp;D902,C:C,C902)&lt;0,0,SUMIFS('Shipments data'!L:L,'Shipments data'!F:F,'Supply planning data'!C902,'Shipments data'!A:A,'Supply planning data'!A902,'Shipments data'!O:O,"received",'Shipments data'!Q:Q,"&lt;"&amp;'Supply planning data'!D917,'Shipments data'!AC:AC,"&lt;"&amp;'Supply planning data'!D917)-SUMIFS(M:M,D:D,"&lt;="&amp;D902,C:C,C902)-SUMIFS(AJ:AJ,D:D,"&lt;="&amp;D902,C:C,C902)+SUMIFS(N:N,D:D,"&lt;="&amp;D902,C:C,C902)+SUMIFS(P:P,D:D,"&lt;="&amp;D902,C:C,C902))</f>
        <v>0</v>
      </c>
      <c r="AM902" s="111">
        <f t="shared" si="264"/>
        <v>0</v>
      </c>
      <c r="AN902" s="111">
        <f t="shared" ref="AN902:AN904" si="273">IF(AG902+$R902+$S902+AK902+$N902+$P902-$M902-AJ902-$AM902&lt;0,0,AG902+$R902+$S902+AK902+$N902+$P902-$M902-AJ902-$AM902)</f>
        <v>0</v>
      </c>
      <c r="AO902" s="204" t="str">
        <f t="shared" si="267"/>
        <v/>
      </c>
    </row>
    <row r="903" spans="1:41" hidden="1" x14ac:dyDescent="0.25">
      <c r="A903" s="103" t="str">
        <f>Start!D$7</f>
        <v>Anyland</v>
      </c>
      <c r="B903" s="109" t="str">
        <f>VLOOKUP(A903,list!B:C,2,FALSE)</f>
        <v>ANY</v>
      </c>
      <c r="C903" s="109" t="str">
        <f>IF(Start!$C$30="","",Start!$C$30)</f>
        <v/>
      </c>
      <c r="D903" s="298">
        <f t="shared" si="258"/>
        <v>45992</v>
      </c>
      <c r="E903" s="105" t="str">
        <f>IFERROR(VLOOKUP(C903,Start!C$15:D$31,2,FALSE),"No")</f>
        <v>No</v>
      </c>
      <c r="F903" s="105">
        <f t="shared" si="259"/>
        <v>0</v>
      </c>
      <c r="G903" s="106"/>
      <c r="H903" s="106"/>
      <c r="I903" s="106"/>
      <c r="J903" s="105">
        <f t="shared" si="269"/>
        <v>0</v>
      </c>
      <c r="K903" s="106"/>
      <c r="L903" s="177" t="str">
        <f t="shared" si="270"/>
        <v/>
      </c>
      <c r="M903" s="105">
        <f t="shared" si="253"/>
        <v>0</v>
      </c>
      <c r="N903" s="110"/>
      <c r="O903" s="124"/>
      <c r="P903" s="110"/>
      <c r="Q903" s="124"/>
      <c r="R903" s="111">
        <f>SUMIFS('Shipments data'!L:L,'Shipments data'!F:F,'Supply planning data'!C903,'Shipments data'!A:A,'Supply planning data'!A903,'Shipments data'!Y:Y,'Supply planning data'!D903,'Shipments data'!O:O,"received", 'Shipments data'!N:N, "Public")</f>
        <v>0</v>
      </c>
      <c r="S903" s="111">
        <f>SUMIFS('Shipments data'!L:L,'Shipments data'!F:F,'Supply planning data'!C903,'Shipments data'!A:A,'Supply planning data'!A903,'Shipments data'!Y:Y,'Supply planning data'!D903,'Shipments data'!O:O,"ordered", 'Shipments data'!N:N, "Public")</f>
        <v>0</v>
      </c>
      <c r="T903" s="111">
        <f>IF(SUMIFS('Shipments data'!L:L,'Shipments data'!F:F,'Supply planning data'!C903,'Shipments data'!A:A,'Supply planning data'!A903,'Shipments data'!O:O,"received",'Shipments data'!Q:Q,"&lt;"&amp;'Supply planning data'!D918,'Shipments data'!AC:AC,"&lt;"&amp;'Supply planning data'!D918)-SUMIFS(M:M,D:D,"&lt;="&amp;D903,C:C,C903)+SUMIFS(N:N,D:D,"&lt;="&amp;D903,C:C,C903)+SUMIFS(P:P,D:D,"&lt;="&amp;D903,C:C,C903)&lt;0,0,SUMIFS('Shipments data'!L:L,'Shipments data'!F:F,'Supply planning data'!C903,'Shipments data'!A:A,'Supply planning data'!A903,'Shipments data'!O:O,"received",'Shipments data'!Q:Q,"&lt;"&amp;'Supply planning data'!D918,'Shipments data'!AC:AC,"&lt;"&amp;'Supply planning data'!D918)-SUMIFS(M:M,D:D,"&lt;="&amp;D903,C:C,C903)+SUMIFS(N:N,D:D,"&lt;="&amp;D903,C:C,C903)+SUMIFS(P:P,D:D,"&lt;="&amp;D903,C:C,C903))</f>
        <v>0</v>
      </c>
      <c r="U903" s="112">
        <f t="shared" si="260"/>
        <v>0</v>
      </c>
      <c r="V903" s="111">
        <f t="shared" si="268"/>
        <v>0</v>
      </c>
      <c r="W903" s="204" t="str">
        <f t="shared" si="266"/>
        <v/>
      </c>
      <c r="X903" s="111">
        <f t="shared" si="261"/>
        <v>0</v>
      </c>
      <c r="Y903" s="110"/>
      <c r="Z903" s="107"/>
      <c r="AA903" s="111">
        <f t="shared" si="271"/>
        <v>0</v>
      </c>
      <c r="AB903" s="235"/>
      <c r="AC903" s="111">
        <f>IF(SUMIFS('Shipments data'!L:L,'Shipments data'!F:F,'Supply planning data'!C903,'Shipments data'!A:A,'Supply planning data'!A903,'Shipments data'!O:O,"received",'Shipments data'!Q:Q,"&lt;"&amp;'Supply planning data'!D918,'Shipments data'!AC:AC,"&lt;"&amp;'Supply planning data'!D918)-SUMIFS(M:M,D:D,"&lt;="&amp;D903,C:C,C903)-SUMIFS(AA:AA,D:D,"&lt;="&amp;D903,C:C,C903)+SUMIFS(N:N,D:D,"&lt;="&amp;D903,C:C,C903)+SUMIFS(P:P,D:D,"&lt;="&amp;D903,C:C,C903)&lt;0,0,SUMIFS('Shipments data'!L:L,'Shipments data'!F:F,'Supply planning data'!C903,'Shipments data'!A:A,'Supply planning data'!A903,'Shipments data'!O:O,"received",'Shipments data'!Q:Q,"&lt;"&amp;'Supply planning data'!D918,'Shipments data'!AC:AC,"&lt;"&amp;'Supply planning data'!D918)-SUMIFS(M:M,D:D,"&lt;="&amp;D903,C:C,C903)-SUMIFS(AA:AA,D:D,"&lt;="&amp;D903,C:C,C903)+SUMIFS(N:N,D:D,"&lt;="&amp;D903,C:C,C903)+SUMIFS(P:P,D:D,"&lt;="&amp;D903,C:C,C903))</f>
        <v>0</v>
      </c>
      <c r="AD903" s="111">
        <f t="shared" si="262"/>
        <v>0</v>
      </c>
      <c r="AE903" s="111">
        <f t="shared" si="256"/>
        <v>0</v>
      </c>
      <c r="AF903" s="204" t="str">
        <f t="shared" si="265"/>
        <v/>
      </c>
      <c r="AG903" s="111">
        <f t="shared" si="263"/>
        <v>0</v>
      </c>
      <c r="AH903" s="110"/>
      <c r="AI903" s="313"/>
      <c r="AJ903" s="111">
        <f t="shared" si="272"/>
        <v>0</v>
      </c>
      <c r="AK903" s="235"/>
      <c r="AL903" s="111">
        <f>IF(SUMIFS('Shipments data'!L:L,'Shipments data'!F:F,'Supply planning data'!C903,'Shipments data'!A:A,'Supply planning data'!A903,'Shipments data'!O:O,"received",'Shipments data'!Q:Q,"&lt;"&amp;'Supply planning data'!D918,'Shipments data'!AC:AC,"&lt;"&amp;'Supply planning data'!D918)-SUMIFS(M:M,D:D,"&lt;="&amp;D903,C:C,C903)-SUMIFS(AJ:AJ,D:D,"&lt;="&amp;D903,C:C,C903)+SUMIFS(N:N,D:D,"&lt;="&amp;D903,C:C,C903)+SUMIFS(P:P,D:D,"&lt;="&amp;D903,C:C,C903)&lt;0,0,SUMIFS('Shipments data'!L:L,'Shipments data'!F:F,'Supply planning data'!C903,'Shipments data'!A:A,'Supply planning data'!A903,'Shipments data'!O:O,"received",'Shipments data'!Q:Q,"&lt;"&amp;'Supply planning data'!D918,'Shipments data'!AC:AC,"&lt;"&amp;'Supply planning data'!D918)-SUMIFS(M:M,D:D,"&lt;="&amp;D903,C:C,C903)-SUMIFS(AJ:AJ,D:D,"&lt;="&amp;D903,C:C,C903)+SUMIFS(N:N,D:D,"&lt;="&amp;D903,C:C,C903)+SUMIFS(P:P,D:D,"&lt;="&amp;D903,C:C,C903))</f>
        <v>0</v>
      </c>
      <c r="AM903" s="111">
        <f t="shared" si="264"/>
        <v>0</v>
      </c>
      <c r="AN903" s="111">
        <f t="shared" si="273"/>
        <v>0</v>
      </c>
      <c r="AO903" s="204" t="str">
        <f t="shared" si="267"/>
        <v/>
      </c>
    </row>
    <row r="904" spans="1:41" hidden="1" x14ac:dyDescent="0.25">
      <c r="A904" s="113" t="str">
        <f>Start!D$7</f>
        <v>Anyland</v>
      </c>
      <c r="B904" s="114" t="str">
        <f>VLOOKUP(A904,list!B:C,2,FALSE)</f>
        <v>ANY</v>
      </c>
      <c r="C904" s="104" t="str">
        <f>IF(Start!$C$31="","",Start!$C$31)</f>
        <v/>
      </c>
      <c r="D904" s="298">
        <f t="shared" si="258"/>
        <v>45992</v>
      </c>
      <c r="E904" s="105" t="str">
        <f>IFERROR(VLOOKUP(C904,Start!C$15:D$31,2,FALSE),"No")</f>
        <v>No</v>
      </c>
      <c r="F904" s="105">
        <f t="shared" si="259"/>
        <v>0</v>
      </c>
      <c r="G904" s="106"/>
      <c r="H904" s="106"/>
      <c r="I904" s="106"/>
      <c r="J904" s="105">
        <f t="shared" si="269"/>
        <v>0</v>
      </c>
      <c r="K904" s="106"/>
      <c r="L904" s="177" t="str">
        <f t="shared" si="270"/>
        <v/>
      </c>
      <c r="M904" s="105">
        <f t="shared" si="253"/>
        <v>0</v>
      </c>
      <c r="N904" s="110"/>
      <c r="O904" s="124"/>
      <c r="P904" s="110"/>
      <c r="Q904" s="124"/>
      <c r="R904" s="111">
        <f>SUMIFS('Shipments data'!L:L,'Shipments data'!F:F,'Supply planning data'!C904,'Shipments data'!A:A,'Supply planning data'!A904,'Shipments data'!Y:Y,'Supply planning data'!D904,'Shipments data'!O:O,"received", 'Shipments data'!N:N, "Public")</f>
        <v>0</v>
      </c>
      <c r="S904" s="111">
        <f>SUMIFS('Shipments data'!L:L,'Shipments data'!F:F,'Supply planning data'!C904,'Shipments data'!A:A,'Supply planning data'!A904,'Shipments data'!Y:Y,'Supply planning data'!D904,'Shipments data'!O:O,"ordered", 'Shipments data'!N:N, "Public")</f>
        <v>0</v>
      </c>
      <c r="T904" s="111">
        <f>IF(SUMIFS('Shipments data'!L:L,'Shipments data'!F:F,'Supply planning data'!C904,'Shipments data'!A:A,'Supply planning data'!A904,'Shipments data'!O:O,"received",'Shipments data'!Q:Q,"&lt;"&amp;'Supply planning data'!D919,'Shipments data'!AC:AC,"&lt;"&amp;'Supply planning data'!D919)-SUMIFS(M:M,D:D,"&lt;="&amp;D904,C:C,C904)+SUMIFS(N:N,D:D,"&lt;="&amp;D904,C:C,C904)+SUMIFS(P:P,D:D,"&lt;="&amp;D904,C:C,C904)&lt;0,0,SUMIFS('Shipments data'!L:L,'Shipments data'!F:F,'Supply planning data'!C904,'Shipments data'!A:A,'Supply planning data'!A904,'Shipments data'!O:O,"received",'Shipments data'!Q:Q,"&lt;"&amp;'Supply planning data'!D919,'Shipments data'!AC:AC,"&lt;"&amp;'Supply planning data'!D919)-SUMIFS(M:M,D:D,"&lt;="&amp;D904,C:C,C904)+SUMIFS(N:N,D:D,"&lt;="&amp;D904,C:C,C904)+SUMIFS(P:P,D:D,"&lt;="&amp;D904,C:C,C904))</f>
        <v>0</v>
      </c>
      <c r="U904" s="112">
        <f t="shared" si="260"/>
        <v>0</v>
      </c>
      <c r="V904" s="111">
        <f t="shared" si="268"/>
        <v>0</v>
      </c>
      <c r="W904" s="204" t="str">
        <f t="shared" si="266"/>
        <v/>
      </c>
      <c r="X904" s="111">
        <f t="shared" si="261"/>
        <v>0</v>
      </c>
      <c r="Y904" s="110"/>
      <c r="Z904" s="107"/>
      <c r="AA904" s="111">
        <f t="shared" si="271"/>
        <v>0</v>
      </c>
      <c r="AB904" s="235"/>
      <c r="AC904" s="111">
        <f>IF(SUMIFS('Shipments data'!L:L,'Shipments data'!F:F,'Supply planning data'!C904,'Shipments data'!A:A,'Supply planning data'!A904,'Shipments data'!O:O,"received",'Shipments data'!Q:Q,"&lt;"&amp;'Supply planning data'!D919,'Shipments data'!AC:AC,"&lt;"&amp;'Supply planning data'!D919)-SUMIFS(M:M,D:D,"&lt;="&amp;D904,C:C,C904)-SUMIFS(AA:AA,D:D,"&lt;="&amp;D904,C:C,C904)+SUMIFS(N:N,D:D,"&lt;="&amp;D904,C:C,C904)+SUMIFS(P:P,D:D,"&lt;="&amp;D904,C:C,C904)&lt;0,0,SUMIFS('Shipments data'!L:L,'Shipments data'!F:F,'Supply planning data'!C904,'Shipments data'!A:A,'Supply planning data'!A904,'Shipments data'!O:O,"received",'Shipments data'!Q:Q,"&lt;"&amp;'Supply planning data'!D919,'Shipments data'!AC:AC,"&lt;"&amp;'Supply planning data'!D919)-SUMIFS(M:M,D:D,"&lt;="&amp;D904,C:C,C904)-SUMIFS(AA:AA,D:D,"&lt;="&amp;D904,C:C,C904)+SUMIFS(N:N,D:D,"&lt;="&amp;D904,C:C,C904)+SUMIFS(P:P,D:D,"&lt;="&amp;D904,C:C,C904))</f>
        <v>0</v>
      </c>
      <c r="AD904" s="111">
        <f t="shared" si="262"/>
        <v>0</v>
      </c>
      <c r="AE904" s="111">
        <f t="shared" si="256"/>
        <v>0</v>
      </c>
      <c r="AF904" s="204" t="str">
        <f t="shared" si="265"/>
        <v/>
      </c>
      <c r="AG904" s="111">
        <f t="shared" si="263"/>
        <v>0</v>
      </c>
      <c r="AH904" s="110"/>
      <c r="AI904" s="313"/>
      <c r="AJ904" s="111">
        <f t="shared" si="272"/>
        <v>0</v>
      </c>
      <c r="AK904" s="235"/>
      <c r="AL904" s="111">
        <f>IF(SUMIFS('Shipments data'!L:L,'Shipments data'!F:F,'Supply planning data'!C904,'Shipments data'!A:A,'Supply planning data'!A904,'Shipments data'!O:O,"received",'Shipments data'!Q:Q,"&lt;"&amp;'Supply planning data'!D919,'Shipments data'!AC:AC,"&lt;"&amp;'Supply planning data'!D919)-SUMIFS(M:M,D:D,"&lt;="&amp;D904,C:C,C904)-SUMIFS(AJ:AJ,D:D,"&lt;="&amp;D904,C:C,C904)+SUMIFS(N:N,D:D,"&lt;="&amp;D904,C:C,C904)+SUMIFS(P:P,D:D,"&lt;="&amp;D904,C:C,C904)&lt;0,0,SUMIFS('Shipments data'!L:L,'Shipments data'!F:F,'Supply planning data'!C904,'Shipments data'!A:A,'Supply planning data'!A904,'Shipments data'!O:O,"received",'Shipments data'!Q:Q,"&lt;"&amp;'Supply planning data'!D919,'Shipments data'!AC:AC,"&lt;"&amp;'Supply planning data'!D919)-SUMIFS(M:M,D:D,"&lt;="&amp;D904,C:C,C904)-SUMIFS(AJ:AJ,D:D,"&lt;="&amp;D904,C:C,C904)+SUMIFS(N:N,D:D,"&lt;="&amp;D904,C:C,C904)+SUMIFS(P:P,D:D,"&lt;="&amp;D904,C:C,C904))</f>
        <v>0</v>
      </c>
      <c r="AM904" s="111">
        <f t="shared" si="264"/>
        <v>0</v>
      </c>
      <c r="AN904" s="111">
        <f t="shared" si="273"/>
        <v>0</v>
      </c>
      <c r="AO904" s="204" t="str">
        <f t="shared" si="267"/>
        <v/>
      </c>
    </row>
  </sheetData>
  <sheetProtection algorithmName="SHA-512" hashValue="IY0AFNexH/EULccXY3V0ZXTEy351zlpDsw6Af+tzbha2hN59GtLp236weuTuilaNG0HPVL97shcfS2ao1Md1rA==" saltValue="HlOEVH/yr8xZiO9WLeXaRw==" spinCount="100000" sheet="1" formatCells="0" formatColumns="0" formatRows="0" selectLockedCells="1" sort="0" autoFilter="0"/>
  <autoFilter ref="C4:E904" xr:uid="{00000000-0009-0000-0000-000004000000}">
    <filterColumn colId="0">
      <customFilters>
        <customFilter operator="notEqual" val=" "/>
      </customFilters>
    </filterColumn>
    <sortState xmlns:xlrd2="http://schemas.microsoft.com/office/spreadsheetml/2017/richdata2" ref="C5:E904">
      <sortCondition ref="C4:C904"/>
    </sortState>
  </autoFilter>
  <mergeCells count="3">
    <mergeCell ref="X3:AF3"/>
    <mergeCell ref="AG3:AO3"/>
    <mergeCell ref="C2:R2"/>
  </mergeCells>
  <conditionalFormatting sqref="U5:U904 AM5:AM904 AD5:AD904">
    <cfRule type="cellIs" dxfId="252" priority="24" operator="greaterThan">
      <formula>0</formula>
    </cfRule>
  </conditionalFormatting>
  <conditionalFormatting sqref="V1:V1048576">
    <cfRule type="expression" dxfId="251" priority="6">
      <formula>(F1-M1+N1+P1+R1-U1)&lt;0</formula>
    </cfRule>
  </conditionalFormatting>
  <dataValidations xWindow="877" yWindow="554" count="2">
    <dataValidation type="list" allowBlank="1" showInputMessage="1" showErrorMessage="1" sqref="O5:O904 Q5:Q904" xr:uid="{00000000-0002-0000-0400-000000000000}">
      <formula1>Adjustment</formula1>
    </dataValidation>
    <dataValidation allowBlank="1" showInputMessage="1" showErrorMessage="1" prompt="Enter negative numbers using &quot;-&quot; to distinguish decrease in stock. For example, expired doses would be entered as -100" sqref="N5:N904 P5:P904" xr:uid="{00000000-0002-0000-0400-000001000000}"/>
  </dataValidations>
  <pageMargins left="0.31" right="0.31" top="0.75" bottom="0.75" header="0.3" footer="0.3"/>
  <pageSetup paperSize="9" fitToWidth="2" fitToHeight="2" orientation="landscape" r:id="rId1"/>
  <headerFooter>
    <oddHeader>&amp;LEthiopia | COVID-19 Vaccines Collaborative Supply Planning Outlook&amp;R&amp;G</oddHeader>
    <oddFooter>&amp;RPage &amp;P of &amp;N</oddFooter>
  </headerFooter>
  <rowBreaks count="1" manualBreakCount="1">
    <brk id="3" min="2" max="40" man="1"/>
  </rowBreaks>
  <colBreaks count="1" manualBreakCount="1">
    <brk id="23" min="2" max="903" man="1"/>
  </colBreaks>
  <ignoredErrors>
    <ignoredError sqref="B5" evalError="1"/>
    <ignoredError sqref="J5:J12" formulaRange="1"/>
  </ignoredError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431" operator="containsText" id="{779F27AB-151E-485F-B0F3-06CF3B61DBAD}">
            <xm:f>NOT(ISERROR(SEARCH("-",A5)))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A8:A22 B8:B19 A33:A34 A35:B36 A5:B7 N6:O34 A50:A52 A80:A82 A110:A112 A140:A142 A170:A172 A200:A202 A230:A232 A260:A262 A290:A292 A320:A322 A350:A352 A380:A382 A410:A412 A440:A442 A470:A472 A500:A502 A530:A532 A560:A562 A590:A592 A620:A622 A650:A652 A680:A682 A710:A712 A740:A742 A770:A772 A800:A802 A830:A832 A860:A862 A890:A892 A63:A64 A93:A94 A123:A124 A153:A154 A183:A184 A213:A214 A243:A244 A273:A274 A303:A304 A333:A334 A363:A364 A393:A394 A423:A424 A453:A454 A483:A484 A513:A514 A543:A544 A573:A574 A603:A604 A633:A634 A663:A664 A693:A694 A723:A724 A753:A754 A783:A784 A813:A814 A843:A844 A873:A874 A903:A904 A65:B66 A95:B96 A125:B126 A155:B156 A185:B186 A215:B216 A245:B246 A275:B276 A305:B306 A335:B336 A365:B366 A395:B396 A425:B426 A455:B456 A485:B486 A515:B516 A545:B546 A575:B576 A605:B606 A635:B636 A665:B666 A695:B696 A725:B726 A755:B756 A785:B786 A815:B816 A845:B846 A875:B876 N50:O64 N80:O94 N110:O124 N140:O154 N170:O184 N200:O214 N230:O244 N260:O274 N290:O304 N320:O334 N350:O364 N380:O394 N410:O424 N440:O454 N470:O484 N500:O514 N530:O544 N560:O574 N590:O604 N620:O634 N650:O664 N680:O694 N710:O724 N740:O754 N770:O784 N800:O814 N830:O844 N860:O874 N890:O904 G50:H64 G80:H94 G110:H124 G140:H154 G170:H184 G200:H214 G230:H244 G260:H274 G290:H304 G320:H334 G350:H364 G380:H394 G410:H424 G440:H454 G470:H484 G500:H514 G530:H544 G560:H574 G590:H604 G620:H634 G650:H664 G680:H694 G710:H724 G740:H754 G770:H784 G800:H814 G830:H844 G860:H874 G890:H904 G5:H34 C875:D889 C845:D859 C815:D829 C785:D799 C755:D769 C725:D739 C695:D709 C665:D679 C635:D649 C605:D619 C575:D589 C545:D559 C515:D529 C485:D499 C455:D469 C425:D439 C395:D409 C365:D379 C335:D349 C305:D319 C275:D289 C245:D259 C215:D229 C185:D199 C155:D169 C125:D139 C95:D109 C65:D79 C5:D19 C35:D49 Q890:Q904 Q860:Q874 Q830:Q844 Q800:Q814 Q770:Q784 Q740:Q754 Q710:Q724 Q680:Q694 Q650:Q664 Q620:Q634 Q590:Q604 Q560:Q574 Q530:Q544 Q500:Q514 Q470:Q484 Q440:Q454 Q410:Q424 Q380:Q394 Q350:Q364 Q320:Q334 Q290:Q304 Q260:Q274 Q230:Q244 Q200:Q214 Q170:Q184 Q140:Q154 Q110:Q124 Q80:Q94 Q50:Q64 Q6:Q34</xm:sqref>
        </x14:conditionalFormatting>
        <x14:conditionalFormatting xmlns:xm="http://schemas.microsoft.com/office/excel/2006/main">
          <x14:cfRule type="containsText" priority="1429" operator="containsText" id="{4C93D570-77D9-4E43-8ED2-55010AA11C50}">
            <xm:f>NOT(ISERROR(SEARCH("-",B20)))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B33:B34 B20:B22 B63:B64 B93:B94 B123:B124 B153:B154 B183:B184 B213:B214 B243:B244 B273:B274 B303:B304 B333:B334 B363:B364 B393:B394 B423:B424 B453:B454 B483:B484 B513:B514 B543:B544 B573:B574 B603:B604 B633:B634 B663:B664 B693:B694 B723:B724 B753:B754 B783:B784 B813:B814 B843:B844 B873:B874 B903:B904 B50:B52 B80:B82 B110:B112 B140:B142 B170:B172 B200:B202 B230:B232 B260:B262 B290:B292 B320:B322 B350:B352 B380:B382 B410:B412 B440:B442 B470:B472 B500:B502 B530:B532 B560:B562 B590:B592 B620:B622 B650:B652 B680:B682 B710:B712 B740:B742 B770:B772 B800:B802 B830:B832 B860:B862 B890:B892 D890:D904 D860:D874 D830:D844 D800:D814 D770:D784 D740:D754 D710:D724 D680:D694 D650:D664 D620:D634 D590:D604 D560:D574 D530:D544 D500:D514 D470:D484 D440:D454 D410:D424 D380:D394 D350:D364 D320:D334 D290:D304 D260:D274 D230:D244 D200:D214 D170:D184 D140:D154 D110:D124 D80:D94 D50:D64 D20:D34</xm:sqref>
        </x14:conditionalFormatting>
        <x14:conditionalFormatting xmlns:xm="http://schemas.microsoft.com/office/excel/2006/main">
          <x14:cfRule type="containsText" priority="1366" operator="containsText" id="{384797AA-F54E-4A1E-9B8E-A5FE86C1138C}">
            <xm:f>NOT(ISERROR(SEARCH("-",U5)))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U5:U904</xm:sqref>
        </x14:conditionalFormatting>
        <x14:conditionalFormatting xmlns:xm="http://schemas.microsoft.com/office/excel/2006/main">
          <x14:cfRule type="containsText" priority="1387" operator="containsText" id="{8F460B19-7973-4B46-B49D-A5C6949EEF8D}">
            <xm:f>NOT(ISERROR(SEARCH("-",A35)))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A37:B37 A48:B49 G35:G49 N35:O49 A67:B67 A97:B97 A127:B127 A157:B157 A187:B187 A217:B217 A247:B247 A277:B277 A307:B307 A337:B337 A367:B367 A397:B397 A427:B427 A457:B457 A487:B487 A517:B517 A547:B547 A577:B577 A607:B607 A637:B637 A667:B667 A697:B697 A727:B727 A757:B757 A787:B787 A817:B817 A847:B847 A877:B877 A78:B79 A108:B109 A138:B139 A168:B169 A198:B199 A228:B229 A258:B259 A288:B289 A318:B319 A348:B349 A378:B379 A408:B409 A438:B439 A468:B469 A498:B499 A528:B529 A558:B559 A588:B589 A618:B619 A648:B649 A678:B679 A708:B709 A738:B739 A768:B769 A798:B799 A828:B829 A858:B859 A888:B889 G65:G79 G95:G109 G125:G139 G155:G169 G185:G199 G215:G229 G245:G259 G275:G289 G305:G319 G335:G349 G365:G379 G395:G409 G425:G439 G455:G469 G485:G499 G515:G529 G545:G559 G575:G589 G605:G619 G635:G649 G665:G679 G695:G709 G725:G739 G755:G769 G785:G799 G815:G829 G845:G859 G875:G889 N65:O79 N95:O109 N125:O139 N155:O169 N185:O199 N215:O229 N245:O259 N275:O289 N305:O319 N335:O349 N365:O379 N395:O409 N425:O439 N455:O469 N485:O499 N515:O529 N545:O559 N575:O589 N605:O619 N635:O649 N665:O679 N695:O709 N725:O739 N755:O769 N785:O799 N815:O829 N845:O859 N875:O889 Q875:Q889 Q845:Q859 Q815:Q829 Q785:Q799 Q755:Q769 Q725:Q739 Q695:Q709 Q665:Q679 Q635:Q649 Q605:Q619 Q575:Q589 Q545:Q559 Q515:Q529 Q485:Q499 Q455:Q469 Q425:Q439 Q395:Q409 Q365:Q379 Q335:Q349 Q305:Q319 Q275:Q289 Q245:Q259 Q215:Q229 Q185:Q199 Q155:Q169 Q125:Q139 Q95:Q109 Q65:Q79 Q35:Q49</xm:sqref>
        </x14:conditionalFormatting>
        <x14:conditionalFormatting xmlns:xm="http://schemas.microsoft.com/office/excel/2006/main">
          <x14:cfRule type="containsText" priority="1352" operator="containsText" id="{6C8EFBA6-9574-4C8C-AEC5-B9034AB9A01A}">
            <xm:f>NOT(ISERROR(SEARCH("-",AB5)))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AB5:AB904 AD5:AD904</xm:sqref>
        </x14:conditionalFormatting>
        <x14:conditionalFormatting xmlns:xm="http://schemas.microsoft.com/office/excel/2006/main">
          <x14:cfRule type="containsText" priority="1364" operator="containsText" id="{B1EDC0E3-883F-490E-B7CA-265404FDDD5E}">
            <xm:f>NOT(ISERROR(SEARCH("-",F5)))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F5:F34 F50:F64 F80:F94 F110:F124 F140:F154 F170:F184 F200:F214 F230:F244 F260:F274 F290:F304 F320:F334 F350:F364 F380:F394 F410:F424 F440:F454 F470:F484 F500:F514 F530:F544 F560:F574 F590:F604 F620:F634 F650:F664 F680:F694 F710:F724 F740:F754 F770:F784 F800:F814 F830:F844 F860:F874 F890:F904</xm:sqref>
        </x14:conditionalFormatting>
        <x14:conditionalFormatting xmlns:xm="http://schemas.microsoft.com/office/excel/2006/main">
          <x14:cfRule type="containsText" priority="1363" operator="containsText" id="{1030D9DF-4107-49AF-9E6B-6BACEC6C2606}">
            <xm:f>NOT(ISERROR(SEARCH("-",F35)))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F35:F49 F65:F79 F95:F109 F125:F139 F155:F169 F185:F199 F215:F229 F245:F259 F275:F289 F305:F319 F335:F349 F365:F379 F395:F409 F425:F439 F455:F469 F485:F499 F515:F529 F545:F559 F575:F589 F605:F619 F635:F649 F665:F679 F695:F709 F725:F739 F755:F769 F785:F799 F815:F829 F845:F859 F875:F889</xm:sqref>
        </x14:conditionalFormatting>
        <x14:conditionalFormatting xmlns:xm="http://schemas.microsoft.com/office/excel/2006/main">
          <x14:cfRule type="containsText" priority="1351" operator="containsText" id="{B369664E-B59E-437C-825C-E784AFC46A81}">
            <xm:f>NOT(ISERROR(SEARCH("-",Y5)))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Y5:Y904</xm:sqref>
        </x14:conditionalFormatting>
        <x14:conditionalFormatting xmlns:xm="http://schemas.microsoft.com/office/excel/2006/main">
          <x14:cfRule type="containsText" priority="1346" operator="containsText" id="{543B5B78-1D5E-4217-A57C-7F036D973F93}">
            <xm:f>NOT(ISERROR(SEARCH("-",AA5)))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AA5:AA904</xm:sqref>
        </x14:conditionalFormatting>
        <x14:conditionalFormatting xmlns:xm="http://schemas.microsoft.com/office/excel/2006/main">
          <x14:cfRule type="containsText" priority="1348" operator="containsText" id="{7877FC9C-D982-44E4-9681-63F4760C214F}">
            <xm:f>NOT(ISERROR(SEARCH("-",Z5)))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Z5:AB904 AD5:AD904</xm:sqref>
        </x14:conditionalFormatting>
        <x14:conditionalFormatting xmlns:xm="http://schemas.microsoft.com/office/excel/2006/main">
          <x14:cfRule type="containsText" priority="1347" operator="containsText" id="{8A2BD4D2-5390-4E3B-A802-14C9AA181394}">
            <xm:f>NOT(ISERROR(SEARCH("-",Z5)))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Z5:AB904 AD5:AD904</xm:sqref>
        </x14:conditionalFormatting>
        <x14:conditionalFormatting xmlns:xm="http://schemas.microsoft.com/office/excel/2006/main">
          <x14:cfRule type="containsText" priority="1343" operator="containsText" id="{0EF4091F-288B-4476-855C-9741720599B5}">
            <xm:f>NOT(ISERROR(SEARCH("-",H35)))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H35:H49 H65:H79 H95:H109 H125:H139 H155:H169 H185:H199 H215:H229 H245:H259 H275:H289 H305:H319 H335:H349 H365:H379 H395:H409 H425:H439 H455:H469 H485:H499 H515:H529 H545:H559 H575:H589 H605:H619 H635:H649 H665:H679 H695:H709 H725:H739 H755:H769 H785:H799 H815:H829 H845:H859 H875:H889</xm:sqref>
        </x14:conditionalFormatting>
        <x14:conditionalFormatting xmlns:xm="http://schemas.microsoft.com/office/excel/2006/main">
          <x14:cfRule type="containsText" priority="1327" operator="containsText" id="{15702295-8C03-4A1F-A27F-3F6FAF534220}">
            <xm:f>NOT(ISERROR(SEARCH("-",X5)))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X5:X904</xm:sqref>
        </x14:conditionalFormatting>
        <x14:conditionalFormatting xmlns:xm="http://schemas.microsoft.com/office/excel/2006/main">
          <x14:cfRule type="containsText" priority="1322" operator="containsText" id="{8DFAA61C-B441-4ED4-AD3F-253CB058C34F}">
            <xm:f>NOT(ISERROR(SEARCH("-",AH5)))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AH5:AH904</xm:sqref>
        </x14:conditionalFormatting>
        <x14:conditionalFormatting xmlns:xm="http://schemas.microsoft.com/office/excel/2006/main">
          <x14:cfRule type="containsText" priority="1291" operator="containsText" id="{3BF81F19-2979-4D75-89FE-B2B03BE3D4C4}">
            <xm:f>NOT(ISERROR(SEARCH("-",A38)))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A38:B47 A68:B77 A98:B107 A128:B137 A158:B167 A188:B197 A218:B227 A248:B257 A278:B287 A308:B317 A338:B347 A368:B377 A398:B407 A428:B437 A458:B467 A488:B497 A518:B527 A548:B557 A578:B587 A608:B617 A638:B647 A668:B677 A698:B707 A728:B737 A758:B767 A788:B797 A818:B827 A848:B857 A878:B887</xm:sqref>
        </x14:conditionalFormatting>
        <x14:conditionalFormatting xmlns:xm="http://schemas.microsoft.com/office/excel/2006/main">
          <x14:cfRule type="containsText" priority="144" operator="containsText" id="{E20C47B9-EC7D-4751-864B-9C6A270F30AD}">
            <xm:f>NOT(ISERROR(SEARCH("-",A23)))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A23:A32 A53:A62 A83:A92 A113:A122 A143:A152 A173:A182 A203:A212 A233:A242 A263:A272 A293:A302 A323:A332 A353:A362 A383:A392 A413:A422 A443:A452 A473:A482 A503:A512 A533:A542 A563:A572 A593:A602 A623:A632 A653:A662 A683:A692 A713:A722 A743:A752 A773:A782 A803:A812 A833:A842 A863:A872 A893:A902</xm:sqref>
        </x14:conditionalFormatting>
        <x14:conditionalFormatting xmlns:xm="http://schemas.microsoft.com/office/excel/2006/main">
          <x14:cfRule type="containsText" priority="143" operator="containsText" id="{2883FA17-3C59-4618-8324-24C3DEE372AE}">
            <xm:f>NOT(ISERROR(SEARCH("-",B23)))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B23:B32 B53:B62 B83:B92 B113:B122 B143:B152 B173:B182 B203:B212 B233:B242 B263:B272 B293:B302 B323:B332 B353:B362 B383:B392 B413:B422 B443:B452 B473:B482 B503:B512 B533:B542 B563:B572 B593:B602 B623:B632 B653:B662 B683:B692 B713:B722 B743:B752 B773:B782 B803:B812 B833:B842 B863:B872 B893:B902</xm:sqref>
        </x14:conditionalFormatting>
        <x14:conditionalFormatting xmlns:xm="http://schemas.microsoft.com/office/excel/2006/main">
          <x14:cfRule type="containsText" priority="142" operator="containsText" id="{2B37E419-FB77-40D8-98B8-52F91D1FE650}">
            <xm:f>NOT(ISERROR(SEARCH("-",C20)))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C20:C34 C50:C64 C80:C94 C110:C124 C140:C154 C170:C184 C200:C214 C230:C244 C260:C274 C290:C304 C320:C334 C350:C364 C380:C394 C410:C424 C440:C454 C470:C484 C500:C514 C530:C544 C560:C574 C590:C604 C620:C634 C650:C664 C680:C694 C710:C724 C740:C754 C770:C784 C800:C814 C830:C844 C860:C874 C890:C904</xm:sqref>
        </x14:conditionalFormatting>
        <x14:conditionalFormatting xmlns:xm="http://schemas.microsoft.com/office/excel/2006/main">
          <x14:cfRule type="containsText" priority="103" operator="containsText" id="{BFFB6D7E-7CEB-441B-9157-A4517AC5C6C5}">
            <xm:f>NOT(ISERROR(SEARCH("-",E35)))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E35:E49 E65:E79 E95:E109 E125:E139 E155:E169 E185:E199 E215:E229 E245:E259 E275:E289 E305:E319 E335:E349 E365:E379 E395:E409 E425:E439 E455:E469 E485:E499 E515:E529 E545:E559 E575:E589 E605:E619 E635:E649 E665:E679 E695:E709 E725:E739 E755:E769 E785:E799 E815:E829 E845:E859 E875:E889</xm:sqref>
        </x14:conditionalFormatting>
        <x14:conditionalFormatting xmlns:xm="http://schemas.microsoft.com/office/excel/2006/main">
          <x14:cfRule type="containsText" priority="104" operator="containsText" id="{FEA39074-B402-451B-A7AE-DE2E41C202DB}">
            <xm:f>NOT(ISERROR(SEARCH("-",E5)))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E5:E34 E50:E64 E80:E94 E110:E124 E140:E154 E170:E184 E200:E214 E230:E244 E260:E274 E290:E304 E320:E334 E350:E364 E380:E394 E410:E424 E440:E454 E470:E484 E500:E514 E530:E544 E560:E574 E590:E604 E620:E634 E650:E664 E680:E694 E710:E724 E740:E754 E770:E784 E800:E814 E830:E844 E860:E874 E890:E904</xm:sqref>
        </x14:conditionalFormatting>
        <x14:conditionalFormatting xmlns:xm="http://schemas.microsoft.com/office/excel/2006/main">
          <x14:cfRule type="containsText" priority="102" operator="containsText" id="{802416FB-FFB6-4C5B-AA62-767CADBDA81F}">
            <xm:f>NOT(ISERROR(SEARCH("-",I5)))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I50:I64 I80:I94 I110:I124 I140:I154 I170:I184 I200:I214 I230:I244 I260:I274 I290:I304 I320:I334 I350:I364 I380:I394 I410:I424 I440:I454 I470:I484 I500:I514 I530:I544 I560:I574 I590:I604 I620:I634 I650:I664 I680:I694 I710:I724 I740:I754 I770:I784 I800:I814 I830:I844 I860:I874 I890:I904 I5:I34</xm:sqref>
        </x14:conditionalFormatting>
        <x14:conditionalFormatting xmlns:xm="http://schemas.microsoft.com/office/excel/2006/main">
          <x14:cfRule type="containsText" priority="101" operator="containsText" id="{1841E93D-C1F5-4BEB-9283-B3263EF122E3}">
            <xm:f>NOT(ISERROR(SEARCH("-",I35)))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I35:I49 I65:I79 I95:I109 I125:I139 I155:I169 I185:I199 I215:I229 I245:I259 I275:I289 I305:I319 I335:I349 I365:I379 I395:I409 I425:I439 I455:I469 I485:I499 I515:I529 I545:I559 I575:I589 I605:I619 I635:I649 I665:I679 I695:I709 I725:I739 I755:I769 I785:I799 I815:I829 I845:I859 I875:I889</xm:sqref>
        </x14:conditionalFormatting>
        <x14:conditionalFormatting xmlns:xm="http://schemas.microsoft.com/office/excel/2006/main">
          <x14:cfRule type="containsText" priority="100" operator="containsText" id="{B9B932B0-4E94-457A-94F7-DFB1F024A9B1}">
            <xm:f>NOT(ISERROR(SEARCH("-",J5)))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J50:J64 J80:J94 J110:J124 J140:J154 J170:J184 J200:J214 J230:J244 J260:J274 J290:J304 J320:J334 J350:J364 J380:J394 J410:J424 J440:J454 J470:J484 J500:J514 J530:J544 J560:J574 J590:J604 J620:J634 J650:J664 J680:J694 J710:J724 J740:J754 J770:J784 J800:J814 J830:J844 J860:J874 J890:J904 J5:J34</xm:sqref>
        </x14:conditionalFormatting>
        <x14:conditionalFormatting xmlns:xm="http://schemas.microsoft.com/office/excel/2006/main">
          <x14:cfRule type="containsText" priority="99" operator="containsText" id="{B2AD8D02-F53A-434E-A659-7E0A4B47D32B}">
            <xm:f>NOT(ISERROR(SEARCH("-",J35)))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J35:J49 J65:J79 J95:J109 J125:J139 J155:J169 J185:J199 J215:J229 J245:J259 J275:J289 J305:J319 J335:J349 J365:J379 J395:J409 J425:J439 J455:J469 J485:J499 J515:J529 J545:J559 J575:J589 J605:J619 J635:J649 J665:J679 J695:J709 J725:J739 J755:J769 J785:J799 J815:J829 J845:J859 J875:J889</xm:sqref>
        </x14:conditionalFormatting>
        <x14:conditionalFormatting xmlns:xm="http://schemas.microsoft.com/office/excel/2006/main">
          <x14:cfRule type="containsText" priority="98" operator="containsText" id="{EDA26F45-150B-4408-8A43-57C9CDBEDEFD}">
            <xm:f>NOT(ISERROR(SEARCH("-",R5)))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R50:R64 R80:R94 R110:R124 R140:R154 R170:R184 R200:R214 R230:R244 R260:R274 R290:R304 R320:R334 R350:R364 R380:R394 R410:R424 R440:R454 R470:R484 R500:R514 R530:R544 R560:R574 R590:R604 R620:R634 R650:R664 R680:R694 R710:R724 R740:R754 R770:R784 R800:R814 R830:R844 R860:R874 R890:R904 R5:R34</xm:sqref>
        </x14:conditionalFormatting>
        <x14:conditionalFormatting xmlns:xm="http://schemas.microsoft.com/office/excel/2006/main">
          <x14:cfRule type="containsText" priority="97" operator="containsText" id="{8ED02623-2207-4C70-9530-DC3329E3ED11}">
            <xm:f>NOT(ISERROR(SEARCH("-",R35)))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R35:R49 R65:R79 R95:R109 R125:R139 R155:R169 R185:R199 R215:R229 R245:R259 R275:R289 R305:R319 R335:R349 R365:R379 R395:R409 R425:R439 R455:R469 R485:R499 R515:R529 R545:R559 R575:R589 R605:R619 R635:R649 R665:R679 R695:R709 R725:R739 R755:R769 R785:R799 R815:R829 R845:R859 R875:R889</xm:sqref>
        </x14:conditionalFormatting>
        <x14:conditionalFormatting xmlns:xm="http://schemas.microsoft.com/office/excel/2006/main">
          <x14:cfRule type="containsText" priority="85" operator="containsText" id="{B354118C-1DD8-461D-A051-63287CCDA53A}">
            <xm:f>NOT(ISERROR(SEARCH("-",AG5)))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AG5:AG904</xm:sqref>
        </x14:conditionalFormatting>
        <x14:conditionalFormatting xmlns:xm="http://schemas.microsoft.com/office/excel/2006/main">
          <x14:cfRule type="containsText" priority="86" operator="containsText" id="{326383A5-C1FA-4532-A3B1-DA4D052E7173}">
            <xm:f>NOT(ISERROR(SEARCH("-",AG5)))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AG5:AG904</xm:sqref>
        </x14:conditionalFormatting>
        <x14:conditionalFormatting xmlns:xm="http://schemas.microsoft.com/office/excel/2006/main">
          <x14:cfRule type="containsText" priority="92" operator="containsText" id="{0AA67EC9-21D1-4515-8AA9-49133A51786B}">
            <xm:f>NOT(ISERROR(SEARCH("-",AB5)))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AB5:AB904</xm:sqref>
        </x14:conditionalFormatting>
        <x14:conditionalFormatting xmlns:xm="http://schemas.microsoft.com/office/excel/2006/main">
          <x14:cfRule type="containsText" priority="91" operator="containsText" id="{18EB5E5F-EC6F-4207-BEBB-A9F210030CF9}">
            <xm:f>NOT(ISERROR(SEARCH("-",AB5)))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AB5:AB904</xm:sqref>
        </x14:conditionalFormatting>
        <x14:conditionalFormatting xmlns:xm="http://schemas.microsoft.com/office/excel/2006/main">
          <x14:cfRule type="containsText" priority="84" operator="containsText" id="{4CCC9003-8B6F-4A70-AF11-45BA715048E4}">
            <xm:f>NOT(ISERROR(SEARCH("-",AG5)))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AG5:AG904</xm:sqref>
        </x14:conditionalFormatting>
        <x14:conditionalFormatting xmlns:xm="http://schemas.microsoft.com/office/excel/2006/main">
          <x14:cfRule type="containsText" priority="83" operator="containsText" id="{24AC7C77-9A96-44A1-A35B-7DABE94793B2}">
            <xm:f>NOT(ISERROR(SEARCH("-",AD5)))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AD5:AD904</xm:sqref>
        </x14:conditionalFormatting>
        <x14:conditionalFormatting xmlns:xm="http://schemas.microsoft.com/office/excel/2006/main">
          <x14:cfRule type="containsText" priority="80" operator="containsText" id="{F3374827-F72D-468B-86F0-B7D5B3DEB62A}">
            <xm:f>NOT(ISERROR(SEARCH("-",AI5)))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AI5:AI904</xm:sqref>
        </x14:conditionalFormatting>
        <x14:conditionalFormatting xmlns:xm="http://schemas.microsoft.com/office/excel/2006/main">
          <x14:cfRule type="containsText" priority="82" operator="containsText" id="{83A0372C-F9D8-482A-9D86-64175AE30985}">
            <xm:f>NOT(ISERROR(SEARCH("-",AI5)))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AI5:AI904</xm:sqref>
        </x14:conditionalFormatting>
        <x14:conditionalFormatting xmlns:xm="http://schemas.microsoft.com/office/excel/2006/main">
          <x14:cfRule type="containsText" priority="81" operator="containsText" id="{D4059FBB-2A81-4CA6-BA1A-2E9B29E67150}">
            <xm:f>NOT(ISERROR(SEARCH("-",AI5)))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AI5:AI904</xm:sqref>
        </x14:conditionalFormatting>
        <x14:conditionalFormatting xmlns:xm="http://schemas.microsoft.com/office/excel/2006/main">
          <x14:cfRule type="containsText" priority="77" operator="containsText" id="{9EB116FC-D5A3-4E1A-B733-9E1B0A351F9B}">
            <xm:f>NOT(ISERROR(SEARCH("-",AJ5)))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AJ5:AJ904</xm:sqref>
        </x14:conditionalFormatting>
        <x14:conditionalFormatting xmlns:xm="http://schemas.microsoft.com/office/excel/2006/main">
          <x14:cfRule type="containsText" priority="79" operator="containsText" id="{E2780737-88B7-422D-9034-6B03C2AF0108}">
            <xm:f>NOT(ISERROR(SEARCH("-",AJ5)))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AJ5:AJ904</xm:sqref>
        </x14:conditionalFormatting>
        <x14:conditionalFormatting xmlns:xm="http://schemas.microsoft.com/office/excel/2006/main">
          <x14:cfRule type="containsText" priority="78" operator="containsText" id="{9DCADF8B-55DB-4EFE-A948-BAEC09C77F95}">
            <xm:f>NOT(ISERROR(SEARCH("-",AJ5)))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AJ5:AJ904</xm:sqref>
        </x14:conditionalFormatting>
        <x14:conditionalFormatting xmlns:xm="http://schemas.microsoft.com/office/excel/2006/main">
          <x14:cfRule type="containsText" priority="74" operator="containsText" id="{AD3EAC61-82D1-4BC9-8982-FA9C19EA88F8}">
            <xm:f>NOT(ISERROR(SEARCH("-",AK5)))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AK5:AK904</xm:sqref>
        </x14:conditionalFormatting>
        <x14:conditionalFormatting xmlns:xm="http://schemas.microsoft.com/office/excel/2006/main">
          <x14:cfRule type="containsText" priority="76" operator="containsText" id="{EF58BA76-B93C-4B03-8B06-FE3B783E39FC}">
            <xm:f>NOT(ISERROR(SEARCH("-",AK5)))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AK5:AK904</xm:sqref>
        </x14:conditionalFormatting>
        <x14:conditionalFormatting xmlns:xm="http://schemas.microsoft.com/office/excel/2006/main">
          <x14:cfRule type="containsText" priority="75" operator="containsText" id="{069C93C4-D6BD-4A19-A0E0-ACC61B4B224C}">
            <xm:f>NOT(ISERROR(SEARCH("-",AK5)))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AK5:AK904</xm:sqref>
        </x14:conditionalFormatting>
        <x14:conditionalFormatting xmlns:xm="http://schemas.microsoft.com/office/excel/2006/main">
          <x14:cfRule type="containsText" priority="69" operator="containsText" id="{09B13F2E-68F8-4F64-8EA4-8A5F7AA88A71}">
            <xm:f>NOT(ISERROR(SEARCH("-",AM5)))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AM5:AM904</xm:sqref>
        </x14:conditionalFormatting>
        <x14:conditionalFormatting xmlns:xm="http://schemas.microsoft.com/office/excel/2006/main">
          <x14:cfRule type="containsText" priority="70" operator="containsText" id="{8B6631CD-5C2B-4A3F-8081-11775E39BE12}">
            <xm:f>NOT(ISERROR(SEARCH("-",AM5)))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AM5:AM904</xm:sqref>
        </x14:conditionalFormatting>
        <x14:conditionalFormatting xmlns:xm="http://schemas.microsoft.com/office/excel/2006/main">
          <x14:cfRule type="containsText" priority="68" operator="containsText" id="{15052EA3-713B-4DF8-AF57-DCFB6B2BC3DC}">
            <xm:f>NOT(ISERROR(SEARCH("-",AM5)))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AM5:AM904</xm:sqref>
        </x14:conditionalFormatting>
        <x14:conditionalFormatting xmlns:xm="http://schemas.microsoft.com/office/excel/2006/main">
          <x14:cfRule type="containsText" priority="55" operator="containsText" id="{269055E8-3F54-41D4-BCC0-23683BDF6AD2}">
            <xm:f>NOT(ISERROR(SEARCH("-",M35)))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M35:M49 M65:M79 M95:M109 M125:M139 M155:M169 M185:M199 M215:M229 M245:M259 M275:M289 M305:M319 M335:M349 M365:M379 M395:M409 M425:M439 M455:M469 M485:M499 M515:M529 M545:M559 M575:M589 M605:M619 M635:M649 M665:M679 M695:M709 M725:M739 M755:M769 M785:M799 M815:M829 M845:M859 M875:M889</xm:sqref>
        </x14:conditionalFormatting>
        <x14:conditionalFormatting xmlns:xm="http://schemas.microsoft.com/office/excel/2006/main">
          <x14:cfRule type="containsText" priority="57" operator="containsText" id="{31518E31-132B-4B55-8135-10D35295FFB3}">
            <xm:f>NOT(ISERROR(SEARCH("-",L35)))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L35:L49 L65:L79 L95:L109 L125:L139 L155:L169 L185:L199 L215:L229 L245:L259 L275:L289 L305:L319 L335:L349 L365:L379 L395:L409 L425:L439 L455:L469 L485:L499 L515:L529 L545:L559 L575:L589 L605:L619 L635:L649 L665:L679 L695:L709 L725:L739 L755:L769 L785:L799 L815:L829 L845:L859 L875:L889</xm:sqref>
        </x14:conditionalFormatting>
        <x14:conditionalFormatting xmlns:xm="http://schemas.microsoft.com/office/excel/2006/main">
          <x14:cfRule type="containsText" priority="56" operator="containsText" id="{0CF95D5E-B748-4364-BFC2-6FF36E8BB5A1}">
            <xm:f>NOT(ISERROR(SEARCH("-",M5)))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M50:M64 M80:M94 M110:M124 M140:M154 M170:M184 M200:M214 M230:M244 M260:M274 M290:M304 M320:M334 M350:M364 M380:M394 M410:M424 M440:M454 M470:M484 M500:M514 M530:M544 M560:M574 M590:M604 M620:M634 M650:M664 M680:M694 M710:M724 M740:M754 M770:M784 M800:M814 M830:M844 M860:M874 M890:M904 M5:M34</xm:sqref>
        </x14:conditionalFormatting>
        <x14:conditionalFormatting xmlns:xm="http://schemas.microsoft.com/office/excel/2006/main">
          <x14:cfRule type="containsText" priority="60" operator="containsText" id="{FFA52A1D-9280-4D31-96FB-A81CC7782F97}">
            <xm:f>NOT(ISERROR(SEARCH("-",K5)))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K50:K64 K80:K94 K110:K124 K140:K154 K170:K184 K200:K214 K230:K244 K260:K274 K290:K304 K320:K334 K350:K364 K380:K394 K410:K424 K440:K454 K470:K484 K500:K514 K530:K544 K560:K574 K590:K604 K620:K634 K650:K664 K680:K694 K710:K724 K740:K754 K770:K784 K800:K814 K830:K844 K860:K874 K890:K904 K5:K34</xm:sqref>
        </x14:conditionalFormatting>
        <x14:conditionalFormatting xmlns:xm="http://schemas.microsoft.com/office/excel/2006/main">
          <x14:cfRule type="containsText" priority="59" operator="containsText" id="{7D4C57CC-4042-45E3-B8D8-90F3B7970991}">
            <xm:f>NOT(ISERROR(SEARCH("-",K35)))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K35:K49 K65:K79 K95:K109 K125:K139 K155:K169 K185:K199 K215:K229 K245:K259 K275:K289 K305:K319 K335:K349 K365:K379 K395:K409 K425:K439 K455:K469 K485:K499 K515:K529 K545:K559 K575:K589 K605:K619 K635:K649 K665:K679 K695:K709 K725:K739 K755:K769 K785:K799 K815:K829 K845:K859 K875:K889</xm:sqref>
        </x14:conditionalFormatting>
        <x14:conditionalFormatting xmlns:xm="http://schemas.microsoft.com/office/excel/2006/main">
          <x14:cfRule type="containsText" priority="58" operator="containsText" id="{1B1FD922-0F9A-40E9-A915-8CBEBDD7FD3A}">
            <xm:f>NOT(ISERROR(SEARCH("-",L5)))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L50:L64 L80:L94 L110:L124 L140:L154 L170:L184 L200:L214 L230:L244 L260:L274 L290:L304 L320:L334 L350:L364 L380:L394 L410:L424 L440:L454 L470:L484 L500:L514 L530:L544 L560:L574 L590:L604 L620:L634 L650:L664 L680:L694 L710:L724 L740:L754 L770:L784 L800:L814 L830:L844 L860:L874 L890:L904 L5:L34</xm:sqref>
        </x14:conditionalFormatting>
        <x14:conditionalFormatting xmlns:xm="http://schemas.microsoft.com/office/excel/2006/main">
          <x14:cfRule type="containsText" priority="39" operator="containsText" id="{78D8B60C-427B-40BB-9875-7747FBDAAA0D}">
            <xm:f>NOT(ISERROR(SEARCH("-",W5)))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W5:W904</xm:sqref>
        </x14:conditionalFormatting>
        <x14:conditionalFormatting xmlns:xm="http://schemas.microsoft.com/office/excel/2006/main">
          <x14:cfRule type="containsText" priority="36" operator="containsText" id="{1A08F8DF-BB8F-48CC-A202-001A847DA4E6}">
            <xm:f>NOT(ISERROR(SEARCH("-",P6)))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P6:P34 P50:P64 P80:P94 P110:P124 P140:P154 P170:P184 P200:P214 P230:P244 P260:P274 P290:P304 P320:P334 P350:P364 P380:P394 P410:P424 P440:P454 P470:P484 P500:P514 P530:P544 P560:P574 P590:P604 P620:P634 P650:P664 P680:P694 P710:P724 P740:P754 P770:P784 P800:P814 P830:P844 P860:P874 P890:P904</xm:sqref>
        </x14:conditionalFormatting>
        <x14:conditionalFormatting xmlns:xm="http://schemas.microsoft.com/office/excel/2006/main">
          <x14:cfRule type="containsText" priority="35" operator="containsText" id="{ED089781-779D-446D-AD17-3D2DC299060E}">
            <xm:f>NOT(ISERROR(SEARCH("-",P35)))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P35:P49 P65:P79 P95:P109 P125:P139 P155:P169 P185:P199 P215:P229 P245:P259 P275:P289 P305:P319 P335:P349 P365:P379 P395:P409 P425:P439 P455:P469 P485:P499 P515:P529 P545:P559 P575:P589 P605:P619 P635:P649 P665:P679 P695:P709 P725:P739 P755:P769 P785:P799 P815:P829 P845:P859 P875:P889</xm:sqref>
        </x14:conditionalFormatting>
        <x14:conditionalFormatting xmlns:xm="http://schemas.microsoft.com/office/excel/2006/main">
          <x14:cfRule type="containsText" priority="33" operator="containsText" id="{48714A53-AE63-4A7E-B2D5-EFA670D4DF47}">
            <xm:f>NOT(ISERROR(SEARCH("-",T35)))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T35:T49 T65:T79 T95:T109 T125:T139 T155:T169 T185:T199 T215:T229 T245:T259 T275:T289 T305:T319 T335:T349 T365:T379 T395:T409 T425:T439 T455:T469 T485:T499 T515:T529 T545:T559 T575:T589 T605:T619 T635:T649 T665:T679 T695:T709 T725:T739 T755:T769 T785:T799 T815:T829 T845:T859 T875:T889</xm:sqref>
        </x14:conditionalFormatting>
        <x14:conditionalFormatting xmlns:xm="http://schemas.microsoft.com/office/excel/2006/main">
          <x14:cfRule type="containsText" priority="34" operator="containsText" id="{DA3A9589-9547-4145-982A-8AF88F8BD076}">
            <xm:f>NOT(ISERROR(SEARCH("-",T5)))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T5:T34 T50:T64 T80:T94 T110:T124 T140:T154 T170:T184 T200:T214 T230:T244 T260:T274 T290:T304 T320:T334 T350:T364 T380:T394 T410:T424 T440:T454 T470:T484 T500:T514 T530:T544 T560:T574 T590:T604 T620:T634 T650:T664 T680:T694 T710:T724 T740:T754 T770:T784 T800:T814 T830:T844 T860:T874 T890:T904</xm:sqref>
        </x14:conditionalFormatting>
        <x14:conditionalFormatting xmlns:xm="http://schemas.microsoft.com/office/excel/2006/main">
          <x14:cfRule type="containsText" priority="29" operator="containsText" id="{7B43A3E6-C100-4C3B-903A-985067DE2E5E}">
            <xm:f>NOT(ISERROR(SEARCH("-",AC35)))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AC35:AC49 AC65:AC79 AC95:AC109 AC125:AC139 AC155:AC169 AC185:AC199 AC215:AC229 AC245:AC259 AC275:AC289 AC305:AC319 AC335:AC349 AC365:AC379 AC395:AC409 AC425:AC439 AC455:AC469 AC485:AC499 AC515:AC529 AC545:AC559 AC575:AC589 AC605:AC619 AC635:AC649 AC665:AC679 AC695:AC709 AC725:AC739 AC755:AC769 AC785:AC799 AC815:AC829 AC845:AC859 AC875:AC889</xm:sqref>
        </x14:conditionalFormatting>
        <x14:conditionalFormatting xmlns:xm="http://schemas.microsoft.com/office/excel/2006/main">
          <x14:cfRule type="containsText" priority="30" operator="containsText" id="{9F89A12B-37DD-4265-A6CB-FEC29B1E3DD4}">
            <xm:f>NOT(ISERROR(SEARCH("-",AC5)))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AC5:AC34 AC50:AC64 AC80:AC94 AC110:AC124 AC140:AC154 AC170:AC184 AC200:AC214 AC230:AC244 AC260:AC274 AC290:AC304 AC320:AC334 AC350:AC364 AC380:AC394 AC410:AC424 AC440:AC454 AC470:AC484 AC500:AC514 AC530:AC544 AC560:AC574 AC590:AC604 AC620:AC634 AC650:AC664 AC680:AC694 AC710:AC724 AC740:AC754 AC770:AC784 AC800:AC814 AC830:AC844 AC860:AC874 AC890:AC904</xm:sqref>
        </x14:conditionalFormatting>
        <x14:conditionalFormatting xmlns:xm="http://schemas.microsoft.com/office/excel/2006/main">
          <x14:cfRule type="containsText" priority="27" operator="containsText" id="{BD8180A4-B7B5-4909-83F1-407312B6AEBC}">
            <xm:f>NOT(ISERROR(SEARCH("-",AL35)))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AL35:AL49 AL65:AL79 AL95:AL109 AL125:AL139 AL155:AL169 AL185:AL199 AL215:AL229 AL245:AL259 AL275:AL289 AL305:AL319 AL335:AL349 AL365:AL379 AL395:AL409 AL425:AL439 AL455:AL469 AL485:AL499 AL515:AL529 AL545:AL559 AL575:AL589 AL605:AL619 AL635:AL649 AL665:AL679 AL695:AL709 AL725:AL739 AL755:AL769 AL785:AL799 AL815:AL829 AL845:AL859 AL875:AL889</xm:sqref>
        </x14:conditionalFormatting>
        <x14:conditionalFormatting xmlns:xm="http://schemas.microsoft.com/office/excel/2006/main">
          <x14:cfRule type="containsText" priority="28" operator="containsText" id="{B1653736-3FD0-4328-8B9D-526C6DAC0917}">
            <xm:f>NOT(ISERROR(SEARCH("-",AL5)))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AL5:AL34 AL50:AL64 AL80:AL94 AL110:AL124 AL140:AL154 AL170:AL184 AL200:AL214 AL230:AL244 AL260:AL274 AL290:AL304 AL320:AL334 AL350:AL364 AL380:AL394 AL410:AL424 AL440:AL454 AL470:AL484 AL500:AL514 AL530:AL544 AL560:AL574 AL590:AL604 AL620:AL634 AL650:AL664 AL680:AL694 AL710:AL724 AL740:AL754 AL770:AL784 AL800:AL814 AL830:AL844 AL860:AL874 AL890:AL904</xm:sqref>
        </x14:conditionalFormatting>
        <x14:conditionalFormatting xmlns:xm="http://schemas.microsoft.com/office/excel/2006/main">
          <x14:cfRule type="containsText" priority="22" operator="containsText" id="{D030BA1C-84BD-4B93-BAE2-1C30997D8A93}">
            <xm:f>NOT(ISERROR(SEARCH("-",AN35)))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AN35:AN49 AN65:AN79 AN95:AN109 AN125:AN139 AN155:AN169 AN185:AN199 AN215:AN229 AN245:AN259 AN275:AN289 AN305:AN319 AN335:AN349 AN365:AN379 AN395:AN409 AN425:AN439 AN455:AN469 AN485:AN499 AN515:AN529 AN545:AN559 AN575:AN589 AN605:AN619 AN635:AN649 AN665:AN679 AN695:AN709 AN725:AN739 AN755:AN769 AN785:AN799 AN815:AN829 AN845:AN859 AN875:AN889</xm:sqref>
        </x14:conditionalFormatting>
        <x14:conditionalFormatting xmlns:xm="http://schemas.microsoft.com/office/excel/2006/main">
          <x14:cfRule type="containsText" priority="23" operator="containsText" id="{806F601C-74B7-4B94-A1F4-156B50D6E784}">
            <xm:f>NOT(ISERROR(SEARCH("-",AN6)))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AN6:AN34 AN50:AN64 AN80:AN94 AN110:AN124 AN140:AN154 AN170:AN184 AN200:AN214 AN230:AN244 AN260:AN274 AN290:AN304 AN320:AN334 AN350:AN364 AN380:AN394 AN410:AN424 AN440:AN454 AN470:AN484 AN500:AN514 AN530:AN544 AN560:AN574 AN590:AN604 AN620:AN634 AN650:AN664 AN680:AN694 AN710:AN724 AN740:AN754 AN770:AN784 AN800:AN814 AN830:AN844 AN860:AN874 AN890:AN904</xm:sqref>
        </x14:conditionalFormatting>
        <x14:conditionalFormatting xmlns:xm="http://schemas.microsoft.com/office/excel/2006/main">
          <x14:cfRule type="containsText" priority="21" operator="containsText" id="{904817DC-DB74-4F10-90D8-1F271D781FC7}">
            <xm:f>NOT(ISERROR(SEARCH("-",S5)))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S50:S64 S80:S94 S110:S124 S140:S154 S170:S184 S200:S214 S230:S244 S260:S274 S290:S304 S320:S334 S350:S364 S380:S394 S410:S424 S440:S454 S470:S484 S500:S514 S530:S544 S560:S574 S590:S604 S620:S634 S650:S664 S680:S694 S710:S724 S740:S754 S770:S784 S800:S814 S830:S844 S860:S874 S890:S904 S5:S34</xm:sqref>
        </x14:conditionalFormatting>
        <x14:conditionalFormatting xmlns:xm="http://schemas.microsoft.com/office/excel/2006/main">
          <x14:cfRule type="containsText" priority="20" operator="containsText" id="{AB68375E-A6AA-4BCC-809F-92545DCEABEC}">
            <xm:f>NOT(ISERROR(SEARCH("-",S35)))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S35:S49 S65:S79 S95:S109 S125:S139 S155:S169 S185:S199 S215:S229 S245:S259 S275:S289 S305:S319 S335:S349 S365:S379 S395:S409 S425:S439 S455:S469 S485:S499 S515:S529 S545:S559 S575:S589 S605:S619 S635:S649 S665:S679 S695:S709 S725:S739 S755:S769 S785:S799 S815:S829 S845:S859 S875:S889</xm:sqref>
        </x14:conditionalFormatting>
        <x14:conditionalFormatting xmlns:xm="http://schemas.microsoft.com/office/excel/2006/main">
          <x14:cfRule type="containsText" priority="16" operator="containsText" id="{4C206F23-F1F3-47A1-A6DE-1F79DC3B9BC3}">
            <xm:f>NOT(ISERROR(SEARCH("-",AF5)))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AF5:AF904</xm:sqref>
        </x14:conditionalFormatting>
        <x14:conditionalFormatting xmlns:xm="http://schemas.microsoft.com/office/excel/2006/main">
          <x14:cfRule type="containsText" priority="15" operator="containsText" id="{D1D9ED80-9E46-4115-BF64-D3262D99E7F9}">
            <xm:f>NOT(ISERROR(SEARCH("-",AO5)))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AO5:AO904</xm:sqref>
        </x14:conditionalFormatting>
        <x14:conditionalFormatting xmlns:xm="http://schemas.microsoft.com/office/excel/2006/main">
          <x14:cfRule type="containsText" priority="14" operator="containsText" id="{24975B46-FEF8-496C-A8CC-62F4363164E7}">
            <xm:f>NOT(ISERROR(SEARCH("-",AE5)))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AE5:AE904</xm:sqref>
        </x14:conditionalFormatting>
        <x14:conditionalFormatting xmlns:xm="http://schemas.microsoft.com/office/excel/2006/main">
          <x14:cfRule type="containsText" priority="13" operator="containsText" id="{991BD9D2-A120-4798-A6CD-577CCD403838}">
            <xm:f>NOT(ISERROR(SEARCH("-",AE5)))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AE5:AE904</xm:sqref>
        </x14:conditionalFormatting>
        <x14:conditionalFormatting xmlns:xm="http://schemas.microsoft.com/office/excel/2006/main">
          <x14:cfRule type="containsText" priority="12" operator="containsText" id="{F2E5F55D-BE35-441F-B7DC-3A9F598D25E6}">
            <xm:f>NOT(ISERROR(SEARCH("-",AE5)))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AE5:AE904</xm:sqref>
        </x14:conditionalFormatting>
        <x14:conditionalFormatting xmlns:xm="http://schemas.microsoft.com/office/excel/2006/main">
          <x14:cfRule type="containsText" priority="11" operator="containsText" id="{6D62A910-558C-4AB3-9F9A-8D0804D5615A}">
            <xm:f>NOT(ISERROR(SEARCH("-",AE5)))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AE5:AE904</xm:sqref>
        </x14:conditionalFormatting>
        <x14:conditionalFormatting xmlns:xm="http://schemas.microsoft.com/office/excel/2006/main">
          <x14:cfRule type="containsText" priority="10" operator="containsText" id="{0BBB317F-6A29-4119-B089-799D14849B2D}">
            <xm:f>NOT(ISERROR(SEARCH("-",AN5)))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AN5</xm:sqref>
        </x14:conditionalFormatting>
        <x14:conditionalFormatting xmlns:xm="http://schemas.microsoft.com/office/excel/2006/main">
          <x14:cfRule type="containsText" priority="9" operator="containsText" id="{F4C84625-296B-4F8C-823B-B3B7CF3FEA35}">
            <xm:f>NOT(ISERROR(SEARCH("-",AN5)))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AN5</xm:sqref>
        </x14:conditionalFormatting>
        <x14:conditionalFormatting xmlns:xm="http://schemas.microsoft.com/office/excel/2006/main">
          <x14:cfRule type="containsText" priority="8" operator="containsText" id="{6A524CE3-D323-403E-A912-33A164C41551}">
            <xm:f>NOT(ISERROR(SEARCH("-",AN5)))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AN5</xm:sqref>
        </x14:conditionalFormatting>
        <x14:conditionalFormatting xmlns:xm="http://schemas.microsoft.com/office/excel/2006/main">
          <x14:cfRule type="containsText" priority="7" operator="containsText" id="{65CB9A2B-31A0-4E44-8E03-CD380182BFCA}">
            <xm:f>NOT(ISERROR(SEARCH("-",AN5)))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AN5</xm:sqref>
        </x14:conditionalFormatting>
        <x14:conditionalFormatting xmlns:xm="http://schemas.microsoft.com/office/excel/2006/main">
          <x14:cfRule type="containsText" priority="5" operator="containsText" id="{46EB5BAD-AD41-4375-94CC-8EF80C513902}">
            <xm:f>NOT(ISERROR(SEARCH("-",N5)))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N5:O5 Q5</xm:sqref>
        </x14:conditionalFormatting>
        <x14:conditionalFormatting xmlns:xm="http://schemas.microsoft.com/office/excel/2006/main">
          <x14:cfRule type="containsText" priority="4" operator="containsText" id="{780FD287-EF07-4D38-AF6E-A32B1C4C91B6}">
            <xm:f>NOT(ISERROR(SEARCH("-",P5)))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P5</xm:sqref>
        </x14:conditionalFormatting>
        <x14:conditionalFormatting xmlns:xm="http://schemas.microsoft.com/office/excel/2006/main">
          <x14:cfRule type="containsText" priority="2" operator="containsText" id="{5C6414A9-BFFA-4719-B6FB-75DF443ED18B}">
            <xm:f>NOT(ISERROR(SEARCH("-",AD5)))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AD5:AD904</xm:sqref>
        </x14:conditionalFormatting>
        <x14:conditionalFormatting xmlns:xm="http://schemas.microsoft.com/office/excel/2006/main">
          <x14:cfRule type="containsText" priority="3" operator="containsText" id="{2B355B01-BE6C-4C71-BD4D-F81ECDF3381E}">
            <xm:f>NOT(ISERROR(SEARCH("-",AD5)))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AD5:AD904</xm:sqref>
        </x14:conditionalFormatting>
        <x14:conditionalFormatting xmlns:xm="http://schemas.microsoft.com/office/excel/2006/main">
          <x14:cfRule type="containsText" priority="1" operator="containsText" id="{27B7E8F3-CBA6-41EA-A652-71FA3673FD9F}">
            <xm:f>NOT(ISERROR(SEARCH("-",AD5)))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AD5:AD904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237"/>
  <sheetViews>
    <sheetView showGridLines="0" zoomScale="90" zoomScaleNormal="90" workbookViewId="0">
      <pane xSplit="19" ySplit="7" topLeftCell="T8" activePane="bottomRight" state="frozen"/>
      <selection pane="topRight" activeCell="T1" sqref="T1"/>
      <selection pane="bottomLeft" activeCell="S8" sqref="S8"/>
      <selection pane="bottomRight" activeCell="V20" sqref="V20:V31"/>
    </sheetView>
  </sheetViews>
  <sheetFormatPr defaultRowHeight="15" x14ac:dyDescent="0.25"/>
  <cols>
    <col min="1" max="1" width="3.7109375" hidden="1" customWidth="1"/>
    <col min="2" max="2" width="8.7109375" hidden="1" customWidth="1"/>
    <col min="3" max="3" width="11" hidden="1" customWidth="1"/>
    <col min="4" max="4" width="11.28515625" hidden="1" customWidth="1"/>
    <col min="5" max="5" width="11.85546875" hidden="1" customWidth="1"/>
    <col min="6" max="6" width="10.140625" hidden="1" customWidth="1"/>
    <col min="7" max="9" width="13.140625" hidden="1" customWidth="1"/>
    <col min="10" max="10" width="9.42578125" hidden="1" customWidth="1"/>
    <col min="11" max="11" width="10.5703125" hidden="1" customWidth="1"/>
    <col min="12" max="12" width="8.85546875" hidden="1" customWidth="1"/>
    <col min="13" max="13" width="12.85546875" hidden="1" customWidth="1"/>
    <col min="14" max="14" width="12.28515625" hidden="1" customWidth="1"/>
    <col min="15" max="16" width="10.7109375" hidden="1" customWidth="1"/>
    <col min="17" max="17" width="10" hidden="1" customWidth="1"/>
    <col min="18" max="18" width="7.28515625" hidden="1" customWidth="1"/>
    <col min="19" max="19" width="9.140625" bestFit="1" customWidth="1"/>
    <col min="20" max="20" width="12.140625" customWidth="1"/>
    <col min="21" max="21" width="12.85546875" customWidth="1"/>
    <col min="22" max="22" width="11.42578125" customWidth="1"/>
    <col min="23" max="23" width="11.7109375" customWidth="1"/>
    <col min="24" max="24" width="12.85546875" bestFit="1" customWidth="1"/>
    <col min="25" max="25" width="17.85546875" bestFit="1" customWidth="1"/>
    <col min="26" max="26" width="12.42578125" bestFit="1" customWidth="1"/>
    <col min="27" max="28" width="11" bestFit="1" customWidth="1"/>
    <col min="29" max="29" width="12.42578125" bestFit="1" customWidth="1"/>
    <col min="30" max="30" width="12.7109375" customWidth="1"/>
    <col min="31" max="31" width="7.7109375" bestFit="1" customWidth="1"/>
    <col min="32" max="32" width="12.42578125" bestFit="1" customWidth="1"/>
    <col min="33" max="33" width="10.140625" bestFit="1" customWidth="1"/>
    <col min="34" max="34" width="12.85546875" bestFit="1" customWidth="1"/>
    <col min="35" max="35" width="17.140625" customWidth="1"/>
    <col min="36" max="36" width="13.140625" customWidth="1"/>
    <col min="37" max="37" width="12.85546875" bestFit="1" customWidth="1"/>
    <col min="38" max="38" width="10.7109375" customWidth="1"/>
    <col min="39" max="39" width="12" bestFit="1" customWidth="1"/>
    <col min="40" max="40" width="12.85546875" bestFit="1" customWidth="1"/>
    <col min="41" max="41" width="17.85546875" bestFit="1" customWidth="1"/>
    <col min="42" max="42" width="12.42578125" bestFit="1" customWidth="1"/>
    <col min="43" max="44" width="10.7109375" bestFit="1" customWidth="1"/>
    <col min="45" max="45" width="12.42578125" bestFit="1" customWidth="1"/>
    <col min="46" max="46" width="14.5703125" customWidth="1"/>
    <col min="47" max="47" width="6.5703125" bestFit="1" customWidth="1"/>
    <col min="48" max="48" width="10.28515625" bestFit="1" customWidth="1"/>
    <col min="49" max="49" width="10.140625" bestFit="1" customWidth="1"/>
    <col min="50" max="50" width="12.85546875" bestFit="1" customWidth="1"/>
    <col min="51" max="51" width="18.42578125" bestFit="1" customWidth="1"/>
    <col min="52" max="52" width="9.28515625" customWidth="1"/>
    <col min="53" max="53" width="12.140625" bestFit="1" customWidth="1"/>
    <col min="54" max="55" width="9.28515625" customWidth="1"/>
  </cols>
  <sheetData>
    <row r="1" spans="1:51" ht="23.25" x14ac:dyDescent="0.25">
      <c r="A1" s="211"/>
      <c r="B1" s="212"/>
      <c r="C1" s="212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51"/>
      <c r="T1" s="57" t="s">
        <v>131</v>
      </c>
      <c r="U1" s="145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145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</row>
    <row r="2" spans="1:51" ht="4.5" customHeight="1" x14ac:dyDescent="0.25">
      <c r="A2" s="212"/>
      <c r="B2" s="212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2"/>
      <c r="Q2" s="212"/>
      <c r="R2" s="212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N2" s="287"/>
      <c r="AO2" s="287"/>
      <c r="AP2" s="287"/>
      <c r="AQ2" s="287"/>
    </row>
    <row r="3" spans="1:51" x14ac:dyDescent="0.25">
      <c r="A3" s="212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2"/>
      <c r="Q3" s="212"/>
      <c r="R3" s="212"/>
      <c r="S3" s="51"/>
      <c r="U3" s="266" t="s">
        <v>132</v>
      </c>
      <c r="V3" s="211"/>
      <c r="W3" s="211"/>
      <c r="X3" s="211"/>
      <c r="Y3" s="262" cm="1">
        <f t="array" ref="Y3">AVERAGE(LOOKUP(LARGE(IF(U8:U31&gt;0,ROW(U8:U31)),{1,2,3}),ROW(U8:U31),U8:U31))</f>
        <v>299950.66666666669</v>
      </c>
      <c r="Z3" s="257"/>
      <c r="AA3" s="268"/>
      <c r="AB3" s="267"/>
      <c r="AC3" s="211"/>
      <c r="AD3" s="269" t="s">
        <v>133</v>
      </c>
      <c r="AE3" s="354">
        <f>IFERROR(Dashboard!$AL$68,"")</f>
        <v>8.485940655124256E-3</v>
      </c>
      <c r="AH3" s="211"/>
      <c r="AI3" s="211"/>
      <c r="AJ3" s="264" t="s">
        <v>132</v>
      </c>
      <c r="AK3" s="214"/>
      <c r="AL3" s="211"/>
      <c r="AM3" s="211"/>
      <c r="AN3" s="211"/>
      <c r="AO3" s="270" cm="1">
        <f t="array" ref="AO3">AVERAGE(LOOKUP(LARGE(IF(AK8:AK31&gt;0,ROW(AK8:AK31)),{1,2,3}),ROW(AK8:AK31),AK8:AK31))</f>
        <v>299950.66666666669</v>
      </c>
      <c r="AP3" s="257"/>
      <c r="AR3" s="211"/>
      <c r="AS3" s="211"/>
      <c r="AT3" s="265" t="s">
        <v>133</v>
      </c>
      <c r="AU3" s="271">
        <f>IFERROR(Dashboard!$AL$68,"")</f>
        <v>8.485940655124256E-3</v>
      </c>
      <c r="AX3" s="212"/>
      <c r="AY3" s="212"/>
    </row>
    <row r="4" spans="1:51" x14ac:dyDescent="0.25">
      <c r="A4" s="212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2"/>
      <c r="Q4" s="212"/>
      <c r="R4" s="212"/>
      <c r="S4" s="51"/>
      <c r="U4" s="266" t="s">
        <v>134</v>
      </c>
      <c r="V4" s="211"/>
      <c r="W4" s="211"/>
      <c r="X4" s="211"/>
      <c r="Y4" s="263">
        <f>MAX(J8:J31)</f>
        <v>583269</v>
      </c>
      <c r="Z4" s="258"/>
      <c r="AA4" s="258"/>
      <c r="AB4" s="269" t="s">
        <v>135</v>
      </c>
      <c r="AC4" s="382">
        <v>2</v>
      </c>
      <c r="AD4" s="269" t="s">
        <v>136</v>
      </c>
      <c r="AE4" s="382">
        <v>6</v>
      </c>
      <c r="AG4" s="259"/>
      <c r="AH4" s="259"/>
      <c r="AI4" s="259"/>
      <c r="AJ4" s="264" t="s">
        <v>134</v>
      </c>
      <c r="AK4" s="214"/>
      <c r="AL4" s="211"/>
      <c r="AM4" s="211"/>
      <c r="AN4" s="211"/>
      <c r="AO4" s="270">
        <f>MAX(J8:J31)</f>
        <v>583269</v>
      </c>
      <c r="AP4" s="258"/>
      <c r="AQ4" s="258"/>
      <c r="AR4" s="265" t="s">
        <v>135</v>
      </c>
      <c r="AS4" s="383">
        <v>2</v>
      </c>
      <c r="AT4" s="265" t="s">
        <v>136</v>
      </c>
      <c r="AU4" s="383">
        <v>5</v>
      </c>
      <c r="AW4" s="259"/>
      <c r="AX4" s="212"/>
      <c r="AY4" s="212"/>
    </row>
    <row r="5" spans="1:51" ht="5.25" customHeight="1" x14ac:dyDescent="0.25"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S5" s="51"/>
      <c r="T5" s="166"/>
      <c r="U5" s="166"/>
      <c r="V5" s="51"/>
      <c r="W5" s="51"/>
      <c r="X5" s="51"/>
      <c r="Y5" s="260"/>
      <c r="Z5" s="260"/>
      <c r="AA5" s="260"/>
      <c r="AB5" s="260"/>
      <c r="AC5" s="261"/>
      <c r="AD5" s="261"/>
      <c r="AE5" s="261"/>
      <c r="AF5" s="261"/>
      <c r="AG5" s="261"/>
      <c r="AH5" s="261"/>
      <c r="AI5" s="261"/>
      <c r="AJ5" s="166"/>
      <c r="AK5" s="166"/>
      <c r="AL5" s="51"/>
      <c r="AM5" s="51"/>
      <c r="AN5" s="51"/>
      <c r="AO5" s="260"/>
      <c r="AP5" s="260"/>
      <c r="AQ5" s="260"/>
      <c r="AR5" s="260"/>
      <c r="AS5" s="261"/>
      <c r="AT5" s="261"/>
      <c r="AU5" s="261"/>
      <c r="AV5" s="261"/>
      <c r="AW5" s="261"/>
    </row>
    <row r="6" spans="1:51" ht="23.25" customHeight="1" thickBot="1" x14ac:dyDescent="0.3">
      <c r="A6" s="212" t="s">
        <v>137</v>
      </c>
      <c r="B6" s="212"/>
      <c r="C6" s="212"/>
      <c r="D6" s="212"/>
      <c r="E6" s="212"/>
      <c r="F6" s="212"/>
      <c r="J6" t="s">
        <v>138</v>
      </c>
      <c r="K6" s="212"/>
      <c r="L6" s="212"/>
      <c r="M6" s="212"/>
      <c r="O6" s="212"/>
      <c r="P6" s="212"/>
      <c r="Q6" s="212"/>
      <c r="R6" s="212"/>
      <c r="T6" s="546" t="s">
        <v>89</v>
      </c>
      <c r="U6" s="546"/>
      <c r="V6" s="546"/>
      <c r="W6" s="546"/>
      <c r="X6" s="546"/>
      <c r="Y6" s="546"/>
      <c r="Z6" s="546"/>
      <c r="AA6" s="546"/>
      <c r="AB6" s="546"/>
      <c r="AC6" s="546"/>
      <c r="AD6" s="546"/>
      <c r="AE6" s="546"/>
      <c r="AF6" s="546"/>
      <c r="AG6" s="546"/>
      <c r="AH6" s="546"/>
      <c r="AI6" s="546"/>
      <c r="AJ6" s="547" t="s">
        <v>90</v>
      </c>
      <c r="AK6" s="547"/>
      <c r="AL6" s="547"/>
      <c r="AM6" s="547"/>
      <c r="AN6" s="547"/>
      <c r="AO6" s="547"/>
      <c r="AP6" s="547"/>
      <c r="AQ6" s="547"/>
      <c r="AR6" s="547"/>
      <c r="AS6" s="547"/>
      <c r="AT6" s="547"/>
      <c r="AU6" s="547"/>
      <c r="AV6" s="547"/>
      <c r="AW6" s="547"/>
      <c r="AX6" s="547"/>
      <c r="AY6" s="547"/>
    </row>
    <row r="7" spans="1:51" ht="49.5" customHeight="1" thickBot="1" x14ac:dyDescent="0.3">
      <c r="A7" s="224" t="s">
        <v>21</v>
      </c>
      <c r="B7" s="227" t="s">
        <v>139</v>
      </c>
      <c r="C7" s="227" t="s">
        <v>140</v>
      </c>
      <c r="D7" s="227" t="s">
        <v>141</v>
      </c>
      <c r="E7" s="227" t="s">
        <v>142</v>
      </c>
      <c r="F7" s="227" t="s">
        <v>94</v>
      </c>
      <c r="G7" s="227" t="s">
        <v>95</v>
      </c>
      <c r="H7" s="227" t="s">
        <v>143</v>
      </c>
      <c r="I7" s="227" t="s">
        <v>144</v>
      </c>
      <c r="J7" s="227" t="s">
        <v>145</v>
      </c>
      <c r="K7" s="227" t="s">
        <v>146</v>
      </c>
      <c r="L7" s="227" t="s">
        <v>147</v>
      </c>
      <c r="M7" s="227" t="s">
        <v>101</v>
      </c>
      <c r="N7" s="227" t="s">
        <v>148</v>
      </c>
      <c r="O7" s="227" t="s">
        <v>149</v>
      </c>
      <c r="P7" s="227" t="s">
        <v>150</v>
      </c>
      <c r="Q7" s="227" t="s">
        <v>151</v>
      </c>
      <c r="R7" s="254" t="s">
        <v>111</v>
      </c>
      <c r="S7" s="255" t="s">
        <v>139</v>
      </c>
      <c r="T7" s="255" t="s">
        <v>152</v>
      </c>
      <c r="U7" s="255" t="s">
        <v>153</v>
      </c>
      <c r="V7" s="256" t="s">
        <v>154</v>
      </c>
      <c r="W7" s="256" t="s">
        <v>155</v>
      </c>
      <c r="X7" s="255" t="s">
        <v>156</v>
      </c>
      <c r="Y7" s="255" t="s">
        <v>157</v>
      </c>
      <c r="Z7" s="255" t="s">
        <v>158</v>
      </c>
      <c r="AA7" s="255" t="s">
        <v>159</v>
      </c>
      <c r="AB7" s="255" t="s">
        <v>160</v>
      </c>
      <c r="AC7" s="256" t="s">
        <v>161</v>
      </c>
      <c r="AD7" s="255" t="s">
        <v>162</v>
      </c>
      <c r="AE7" s="255" t="s">
        <v>111</v>
      </c>
      <c r="AF7" s="255" t="s">
        <v>163</v>
      </c>
      <c r="AG7" s="255" t="s">
        <v>164</v>
      </c>
      <c r="AH7" s="255" t="s">
        <v>165</v>
      </c>
      <c r="AI7" s="255" t="s">
        <v>166</v>
      </c>
      <c r="AJ7" s="255" t="s">
        <v>152</v>
      </c>
      <c r="AK7" s="255" t="s">
        <v>153</v>
      </c>
      <c r="AL7" s="256" t="s">
        <v>154</v>
      </c>
      <c r="AM7" s="256" t="s">
        <v>155</v>
      </c>
      <c r="AN7" s="255" t="s">
        <v>156</v>
      </c>
      <c r="AO7" s="255" t="s">
        <v>157</v>
      </c>
      <c r="AP7" s="255" t="s">
        <v>158</v>
      </c>
      <c r="AQ7" s="255" t="s">
        <v>159</v>
      </c>
      <c r="AR7" s="255" t="s">
        <v>160</v>
      </c>
      <c r="AS7" s="256" t="s">
        <v>161</v>
      </c>
      <c r="AT7" s="255" t="s">
        <v>162</v>
      </c>
      <c r="AU7" s="255" t="s">
        <v>111</v>
      </c>
      <c r="AV7" s="255" t="s">
        <v>163</v>
      </c>
      <c r="AW7" s="255" t="s">
        <v>164</v>
      </c>
      <c r="AX7" s="255" t="s">
        <v>165</v>
      </c>
      <c r="AY7" s="255" t="s">
        <v>166</v>
      </c>
    </row>
    <row r="8" spans="1:51" ht="15.75" thickTop="1" x14ac:dyDescent="0.25">
      <c r="A8" s="222">
        <v>1</v>
      </c>
      <c r="B8" s="225">
        <f>Dashboard!C$6</f>
        <v>44287</v>
      </c>
      <c r="C8" s="98">
        <f>IF(VLOOKUP(Dashboard!$M$6,Start!$B$10:$E$12,4,FALSE)&gt;0,VLOOKUP(Dashboard!$M$6,Start!$B$10:$E$12,4,FALSE),VLOOKUP(Dashboard!$M$6,Start!$B$10:$E$12,3,FALSE))</f>
        <v>60000000</v>
      </c>
      <c r="D8" s="98">
        <f>IF($A$7="Jansen",SUMIFS('Supply planning data'!G:G,'Supply planning data'!$D:$D,"&lt;="&amp;DataViz!$B6,'Supply planning data'!$C:$C,"jansen"),IF($A$7="All",SUMIFS('Supply planning data'!H:H,'Supply planning data'!$D:$D,"&lt;="&amp;DataViz!$B6)+SUMIFS('Supply planning data'!G:G,'Supply planning data'!$D:$D,"&lt;="&amp;DataViz!$B6,'Supply planning data'!$C:$C,"Jansen"),SUMIFS('Supply planning data'!H:H,'Supply planning data'!$D:$D,"&lt;="&amp;DataViz!$B6,'Supply planning data'!$C:$C,DataViz!$A$1)))</f>
        <v>0</v>
      </c>
      <c r="E8" s="175">
        <f>D8/C8</f>
        <v>0</v>
      </c>
      <c r="F8" s="98">
        <f>IF($A$7="All",SUMIFS('Supply planning data'!F:F,'Supply planning data'!$D:$D,DataViz!$B6),SUMIFS('Supply planning data'!F:F,'Supply planning data'!$D:$D,DataViz!$B6,'Supply planning data'!$C:$C,DataViz!$A$1))</f>
        <v>35000</v>
      </c>
      <c r="G8" s="98">
        <f>IF($A$7="All",SUMIFS('Supply planning data'!G:G,'Supply planning data'!$D:$D,DataViz!$B6),SUMIFS('Supply planning data'!G:G,'Supply planning data'!$D:$D,DataViz!$B6,'Supply planning data'!$C:$C,DataViz!$A$1))</f>
        <v>0</v>
      </c>
      <c r="H8" s="98">
        <f>IF($A$7="All",SUMIFS('Supply planning data'!H:H,'Supply planning data'!$D:$D,DataViz!$B6),SUMIFS('Supply planning data'!H:H,'Supply planning data'!$D:$D,DataViz!$B6,'Supply planning data'!$C:$C,DataViz!$A$1))</f>
        <v>0</v>
      </c>
      <c r="I8" s="98">
        <f>IF($A$7="All",SUMIFS('Supply planning data'!I:I,'Supply planning data'!$D:$D,DataViz!$B6),SUMIFS('Supply planning data'!I:I,'Supply planning data'!$D:$D,DataViz!$B6,'Supply planning data'!$C:$C,DataViz!$A$1))</f>
        <v>0</v>
      </c>
      <c r="J8" s="98">
        <f>IF($A$7="All",SUMIFS('Supply planning data'!J:J,'Supply planning data'!$D:$D,DataViz!$B6),SUMIFS('Supply planning data'!J:J,'Supply planning data'!$D:$D,DataViz!$B6,'Supply planning data'!$C:$C,DataViz!$A$1))</f>
        <v>0</v>
      </c>
      <c r="K8" s="98">
        <f>IF($A$7="All",SUMIFS('Supply planning data'!L:L,'Supply planning data'!$D:$D,DataViz!$B6),SUMIFS('Supply planning data'!L:L,'Supply planning data'!$D:$D,DataViz!$B6,'Supply planning data'!$C:$C,DataViz!$A$1))</f>
        <v>0</v>
      </c>
      <c r="L8" s="98">
        <f>IF($A$7="All",SUMIFS('Supply planning data'!K:K,'Supply planning data'!$D:$D,DataViz!$B6),SUMIFS('Supply planning data'!K:K,'Supply planning data'!$D:$D,DataViz!$B6,'Supply planning data'!$C:$C,DataViz!$A$1))</f>
        <v>0</v>
      </c>
      <c r="M8" s="98">
        <f>IF($A$7="All",SUMIFS('Supply planning data'!M:M,'Supply planning data'!$D:$D,DataViz!$B6),SUMIFS('Supply planning data'!M:M,'Supply planning data'!$D:$D,DataViz!$B6,'Supply planning data'!$C:$C,DataViz!$A$1))</f>
        <v>0</v>
      </c>
      <c r="N8" s="98">
        <f>IF($A$7="All",SUMIFS('Supply planning data'!N:N,'Supply planning data'!$D:$D,DataViz!$B6),SUMIFS('Supply planning data'!N:N,'Supply planning data'!$D:$D,DataViz!$B6,'Supply planning data'!$C:$C,DataViz!$A$1))+IF($A$7="All",SUMIFS('Supply planning data'!P:P,'Supply planning data'!$D:$D,DataViz!$B6),SUMIFS('Supply planning data'!P:P,'Supply planning data'!$D:$D,DataViz!$B6,'Supply planning data'!$C:$C,DataViz!$A$1))</f>
        <v>0</v>
      </c>
      <c r="O8" s="98">
        <f>IF($A$7="All",SUMIFS('Supply planning data'!R:R,'Supply planning data'!$D:$D,DataViz!$B6),SUMIFS('Supply planning data'!R:R,'Supply planning data'!$D:$D,DataViz!$B6,'Supply planning data'!$C:$C,DataViz!$A$1))</f>
        <v>355300</v>
      </c>
      <c r="P8" s="98">
        <f>IF($A$7="All",SUMIFS('Supply planning data'!S:S,'Supply planning data'!$D:$D,DataViz!$B6),SUMIFS('Supply planning data'!S:S,'Supply planning data'!$D:$D,DataViz!$B6,'Supply planning data'!$C:$C,DataViz!$A$1))</f>
        <v>0</v>
      </c>
      <c r="Q8" s="98">
        <f>IF($A$7="All",SUMIFS('Supply planning data'!V:V,'Supply planning data'!$D:$D,DataViz!$B6),SUMIFS('Supply planning data'!V:V,'Supply planning data'!$D:$D,DataViz!$B6,'Supply planning data'!$C:$C,DataViz!$A$1))</f>
        <v>390300</v>
      </c>
      <c r="R8" s="238"/>
      <c r="S8" s="272">
        <f>B8</f>
        <v>44287</v>
      </c>
      <c r="T8" s="273">
        <f>IF($A$7="All",SUMIFS('Supply planning data'!$X:$X,'Supply planning data'!$D:$D,DataViz!$B6),SUMIFS('Supply planning data'!$X:$X,'Supply planning data'!$D:$D,DataViz!$B6,'Supply planning data'!$C:$C,DataViz!$A$1))</f>
        <v>35000</v>
      </c>
      <c r="U8" s="273">
        <f>IF($A$7="All",SUMIFS('Supply planning data'!M:M,'Supply planning data'!$D:$D,DataViz!$B6),SUMIFS('Supply planning data'!M:M,'Supply planning data'!$D:$D,DataViz!$B6,'Supply planning data'!$C:$C,DataViz!$A$1))</f>
        <v>0</v>
      </c>
      <c r="V8" s="274"/>
      <c r="W8" s="275"/>
      <c r="X8" s="273">
        <f t="shared" ref="X8:X31" si="0">V8*(1+W8)</f>
        <v>0</v>
      </c>
      <c r="Y8" s="273" t="e">
        <f>IF($U8+$X8&lt;=0,NA(),$U8+$X8)</f>
        <v>#N/A</v>
      </c>
      <c r="Z8" s="273">
        <f>IF($A$7="All",SUMIFS('Supply planning data'!N:N,'Supply planning data'!$D:$D,DataViz!$B6),SUMIFS('Supply planning data'!N:N,'Supply planning data'!$D:$D,DataViz!$B6,'Supply planning data'!$C:$C,DataViz!$A$1))+IF($A$7="All",SUMIFS('Supply planning data'!P:P,'Supply planning data'!$D:$D,DataViz!$B6),SUMIFS('Supply planning data'!P:P,'Supply planning data'!$D:$D,DataViz!$B6,'Supply planning data'!$C:$C,DataViz!$A$1))</f>
        <v>0</v>
      </c>
      <c r="AA8" s="273">
        <f>IF($A$7="All",SUMIFS('Supply planning data'!R:R,'Supply planning data'!$D:$D,DataViz!$B6),SUMIFS('Supply planning data'!R:R,'Supply planning data'!$D:$D,DataViz!$B6,'Supply planning data'!$C:$C,DataViz!$A$1))</f>
        <v>355300</v>
      </c>
      <c r="AB8" s="273">
        <f>IF($A$7="All",SUMIFS('Supply planning data'!S:S,'Supply planning data'!$D:$D,DataViz!$B6),SUMIFS('Supply planning data'!S:S,'Supply planning data'!$D:$D,DataViz!$B6,'Supply planning data'!$C:$C,DataViz!$A$1))</f>
        <v>0</v>
      </c>
      <c r="AC8" s="274"/>
      <c r="AD8" s="273">
        <f>IF(T8-U8-X8+AC8+$O8+$P8+$N8&lt;0,0,T8-U8-X8+AC8+$O8+$P8+$N8)</f>
        <v>390300</v>
      </c>
      <c r="AE8" s="288" t="e">
        <f t="shared" ref="AE8:AE10" si="1">IF(Y8&lt;=0,NA(),IFERROR(AD8/(AVERAGE(Y8:Y10)),""))</f>
        <v>#N/A</v>
      </c>
      <c r="AF8" s="273" t="e">
        <f>IF(($AE$4*AVERAGE(Y8:Y10))-AD8&lt;0,0,($AE$4*AVERAGE(Y8:Y10))-AD8)</f>
        <v>#N/A</v>
      </c>
      <c r="AG8" s="276">
        <f>IFERROR(AI8/$C8,"")</f>
        <v>0</v>
      </c>
      <c r="AH8" s="273">
        <f>SUM($V$8:V8)+SUM($J$8:J8)</f>
        <v>0</v>
      </c>
      <c r="AI8" s="273">
        <f>IFERROR(D8+(SUM($V$8:V8)/Dashboard!$W$6),"")</f>
        <v>0</v>
      </c>
      <c r="AJ8" s="273">
        <f>IF($A$7="All",SUMIFS('Supply planning data'!$AG:$AG,'Supply planning data'!$D:$D,DataViz!$B6),SUMIFS('Supply planning data'!$AG:$AG,'Supply planning data'!$D:$D,DataViz!$B6,'Supply planning data'!$C:$C,DataViz!$A$1))</f>
        <v>35000</v>
      </c>
      <c r="AK8" s="273">
        <f>IF($A$7="All",SUMIFS('Supply planning data'!M:M,'Supply planning data'!$D:$D,DataViz!$B6),SUMIFS('Supply planning data'!M:M,'Supply planning data'!$D:$D,DataViz!$B6,'Supply planning data'!$C:$C,DataViz!$A$1))</f>
        <v>0</v>
      </c>
      <c r="AL8" s="274"/>
      <c r="AM8" s="275"/>
      <c r="AN8" s="273">
        <f t="shared" ref="AN8:AN31" si="2">AL8*(1+AM8)</f>
        <v>0</v>
      </c>
      <c r="AO8" s="273" t="e">
        <f t="shared" ref="AO8:AO31" si="3">IF($AK8+$AN8&lt;=0,NA(),$AK8+$AN8)</f>
        <v>#N/A</v>
      </c>
      <c r="AP8" s="273">
        <f>IF($A$7="All",SUMIFS('Supply planning data'!N:N,'Supply planning data'!$D:$D,DataViz!$B6),SUMIFS('Supply planning data'!N:N,'Supply planning data'!$D:$D,DataViz!$B6,'Supply planning data'!$C:$C,DataViz!$A$1))+IF($A$7="All",SUMIFS('Supply planning data'!P:P,'Supply planning data'!$D:$D,DataViz!$B6),SUMIFS('Supply planning data'!P:P,'Supply planning data'!$D:$D,DataViz!$B6,'Supply planning data'!$C:$C,DataViz!$A$1))</f>
        <v>0</v>
      </c>
      <c r="AQ8" s="273">
        <f t="shared" ref="AQ8:AQ31" si="4">O8</f>
        <v>355300</v>
      </c>
      <c r="AR8" s="273">
        <f t="shared" ref="AR8:AR31" si="5">P8</f>
        <v>0</v>
      </c>
      <c r="AS8" s="274"/>
      <c r="AT8" s="273">
        <f>IF(AJ8-AK8-AN8+AS8+$O8+$P8+$N8&lt;0,0,AJ8-AK8-AN8+AS8+$O8+$P8+$N8)</f>
        <v>390300</v>
      </c>
      <c r="AU8" s="288" t="e">
        <f t="shared" ref="AU8:AU11" si="6">IF(AO8&lt;=0,NA(),IFERROR(AT8/(AVERAGE(AO8:AO10)),""))</f>
        <v>#N/A</v>
      </c>
      <c r="AV8" s="273" t="e">
        <f>IF(($AU$4*AVERAGE(AO8:AO10))-AT8&lt;0,0,($AU$4*AVERAGE(AO8:AO10))-AT8)</f>
        <v>#N/A</v>
      </c>
      <c r="AW8" s="276">
        <f>IFERROR(AY8/$C8,"")</f>
        <v>0</v>
      </c>
      <c r="AX8" s="273">
        <f>SUM($AL$8:AL8)+SUM($J$8:J8)</f>
        <v>0</v>
      </c>
      <c r="AY8" s="277">
        <f>IFERROR(D8+(SUM($AL$8:AL8)/Dashboard!$W$6),"")</f>
        <v>0</v>
      </c>
    </row>
    <row r="9" spans="1:51" x14ac:dyDescent="0.25">
      <c r="A9" s="222">
        <v>2</v>
      </c>
      <c r="B9" s="226">
        <f>DATE(YEAR(B8),MONTH(B8)+1,1)</f>
        <v>44317</v>
      </c>
      <c r="C9" s="105">
        <f>IF(VLOOKUP(Dashboard!$M$6,Start!$B$10:$E$12,4,FALSE)&gt;0,VLOOKUP(Dashboard!$M$6,Start!$B$10:$E$12,4,FALSE),VLOOKUP(Dashboard!$M$6,Start!$B$10:$E$12,3,FALSE))</f>
        <v>60000000</v>
      </c>
      <c r="D9" s="105">
        <f>IF($A$7="Jansen",SUMIFS('Supply planning data'!G:G,'Supply planning data'!$D:$D,"&lt;="&amp;DataViz!$B7,'Supply planning data'!$C:$C,"jansen"),IF($A$7="All",SUMIFS('Supply planning data'!H:H,'Supply planning data'!$D:$D,"&lt;="&amp;DataViz!$B7)+SUMIFS('Supply planning data'!G:G,'Supply planning data'!$D:$D,"&lt;="&amp;DataViz!$B7,'Supply planning data'!$C:$C,"Jansen"),SUMIFS('Supply planning data'!H:H,'Supply planning data'!$D:$D,"&lt;="&amp;DataViz!$B7,'Supply planning data'!$C:$C,DataViz!$A$1)))</f>
        <v>5</v>
      </c>
      <c r="E9" s="177">
        <f t="shared" ref="E9:E31" si="7">D9/C9</f>
        <v>8.3333333333333338E-8</v>
      </c>
      <c r="F9" s="105">
        <f>IF($A$7="All",SUMIFS('Supply planning data'!F:F,'Supply planning data'!$D:$D,DataViz!$B7),SUMIFS('Supply planning data'!F:F,'Supply planning data'!$D:$D,DataViz!$B7,'Supply planning data'!$C:$C,DataViz!$A$1))</f>
        <v>390300</v>
      </c>
      <c r="G9" s="105">
        <f>IF($A$7="All",SUMIFS('Supply planning data'!G:G,'Supply planning data'!$D:$D,DataViz!$B7),SUMIFS('Supply planning data'!G:G,'Supply planning data'!$D:$D,DataViz!$B7,'Supply planning data'!$C:$C,DataViz!$A$1))</f>
        <v>42440</v>
      </c>
      <c r="H9" s="105">
        <f>IF($A$7="All",SUMIFS('Supply planning data'!H:H,'Supply planning data'!$D:$D,DataViz!$B7),SUMIFS('Supply planning data'!H:H,'Supply planning data'!$D:$D,DataViz!$B7,'Supply planning data'!$C:$C,DataViz!$A$1))</f>
        <v>5</v>
      </c>
      <c r="I9" s="105">
        <f>IF($A$7="All",SUMIFS('Supply planning data'!I:I,'Supply planning data'!$D:$D,DataViz!$B7),SUMIFS('Supply planning data'!I:I,'Supply planning data'!$D:$D,DataViz!$B7,'Supply planning data'!$C:$C,DataViz!$A$1))</f>
        <v>0</v>
      </c>
      <c r="J9" s="105">
        <f>IF($A$7="All",SUMIFS('Supply planning data'!J:J,'Supply planning data'!$D:$D,DataViz!$B7),SUMIFS('Supply planning data'!J:J,'Supply planning data'!$D:$D,DataViz!$B7,'Supply planning data'!$C:$C,DataViz!$A$1))</f>
        <v>42445</v>
      </c>
      <c r="K9" s="105">
        <f>IF($A$7="All",SUMIFS('Supply planning data'!L:L,'Supply planning data'!$D:$D,DataViz!$B7),SUMIFS('Supply planning data'!L:L,'Supply planning data'!$D:$D,DataViz!$B7,'Supply planning data'!$C:$C,DataViz!$A$1))</f>
        <v>0</v>
      </c>
      <c r="L9" s="105">
        <f>IF($A$7="All",SUMIFS('Supply planning data'!K:K,'Supply planning data'!$D:$D,DataViz!$B7),SUMIFS('Supply planning data'!K:K,'Supply planning data'!$D:$D,DataViz!$B7,'Supply planning data'!$C:$C,DataViz!$A$1))</f>
        <v>0</v>
      </c>
      <c r="M9" s="105">
        <f>IF($A$7="All",SUMIFS('Supply planning data'!M:M,'Supply planning data'!$D:$D,DataViz!$B7),SUMIFS('Supply planning data'!M:M,'Supply planning data'!$D:$D,DataViz!$B7,'Supply planning data'!$C:$C,DataViz!$A$1))</f>
        <v>42445</v>
      </c>
      <c r="N9" s="105">
        <f>IF($A$7="All",SUMIFS('Supply planning data'!N:N,'Supply planning data'!$D:$D,DataViz!$B7),SUMIFS('Supply planning data'!N:N,'Supply planning data'!$D:$D,DataViz!$B7,'Supply planning data'!$C:$C,DataViz!$A$1))+IF($A$7="All",SUMIFS('Supply planning data'!P:P,'Supply planning data'!$D:$D,DataViz!$B7),SUMIFS('Supply planning data'!P:P,'Supply planning data'!$D:$D,DataViz!$B7,'Supply planning data'!$C:$C,DataViz!$A$1))</f>
        <v>0</v>
      </c>
      <c r="O9" s="105">
        <f>IF($A$7="All",SUMIFS('Supply planning data'!R:R,'Supply planning data'!$D:$D,DataViz!$B7),SUMIFS('Supply planning data'!R:R,'Supply planning data'!$D:$D,DataViz!$B7,'Supply planning data'!$C:$C,DataViz!$A$1))</f>
        <v>0</v>
      </c>
      <c r="P9" s="105">
        <f>IF($A$7="All",SUMIFS('Supply planning data'!S:S,'Supply planning data'!$D:$D,DataViz!$B7),SUMIFS('Supply planning data'!S:S,'Supply planning data'!$D:$D,DataViz!$B7,'Supply planning data'!$C:$C,DataViz!$A$1))</f>
        <v>0</v>
      </c>
      <c r="Q9" s="105">
        <f>IF($A$7="All",SUMIFS('Supply planning data'!V:V,'Supply planning data'!$D:$D,DataViz!$B7),SUMIFS('Supply planning data'!V:V,'Supply planning data'!$D:$D,DataViz!$B7,'Supply planning data'!$C:$C,DataViz!$A$1))</f>
        <v>347855</v>
      </c>
      <c r="R9" s="239"/>
      <c r="S9" s="278">
        <f>DATE(YEAR(S8),MONTH(S8)+1,1)</f>
        <v>44317</v>
      </c>
      <c r="T9" s="246">
        <f>AD8</f>
        <v>390300</v>
      </c>
      <c r="U9" s="246">
        <f>IF($A$7="All",SUMIFS('Supply planning data'!M:M,'Supply planning data'!$D:$D,DataViz!$B7),SUMIFS('Supply planning data'!M:M,'Supply planning data'!$D:$D,DataViz!$B7,'Supply planning data'!$C:$C,DataViz!$A$1))</f>
        <v>42445</v>
      </c>
      <c r="V9" s="242"/>
      <c r="W9" s="243"/>
      <c r="X9" s="246">
        <f t="shared" si="0"/>
        <v>0</v>
      </c>
      <c r="Y9" s="246">
        <f t="shared" ref="Y9:Y31" si="8">IF($U9+$X9&lt;=0,NA(),$U9+$X9)</f>
        <v>42445</v>
      </c>
      <c r="Z9" s="246">
        <f>IF($A$7="All",SUMIFS('Supply planning data'!N:N,'Supply planning data'!$D:$D,DataViz!$B7),SUMIFS('Supply planning data'!N:N,'Supply planning data'!$D:$D,DataViz!$B7,'Supply planning data'!$C:$C,DataViz!$A$1))+IF($A$7="All",SUMIFS('Supply planning data'!P:P,'Supply planning data'!$D:$D,DataViz!$B7),SUMIFS('Supply planning data'!P:P,'Supply planning data'!$D:$D,DataViz!$B7,'Supply planning data'!$C:$C,DataViz!$A$1))</f>
        <v>0</v>
      </c>
      <c r="AA9" s="246">
        <f>IF($A$7="All",SUMIFS('Supply planning data'!R:R,'Supply planning data'!$D:$D,DataViz!$B7),SUMIFS('Supply planning data'!R:R,'Supply planning data'!$D:$D,DataViz!$B7,'Supply planning data'!$C:$C,DataViz!$A$1))</f>
        <v>0</v>
      </c>
      <c r="AB9" s="246">
        <f>IF($A$7="All",SUMIFS('Supply planning data'!S:S,'Supply planning data'!$D:$D,DataViz!$B7),SUMIFS('Supply planning data'!S:S,'Supply planning data'!$D:$D,DataViz!$B7,'Supply planning data'!$C:$C,DataViz!$A$1))</f>
        <v>0</v>
      </c>
      <c r="AC9" s="242"/>
      <c r="AD9" s="246">
        <f>IF(T9-U9-X9+AC9+$O9+$P9+$N9&lt;0,0,T9-U9-X9+AC9+$O9+$P9+$N9)</f>
        <v>347855</v>
      </c>
      <c r="AE9" s="252">
        <f t="shared" si="1"/>
        <v>5.2929853925745585</v>
      </c>
      <c r="AF9" s="246">
        <f>IF(($AE$4*AVERAGE(Y9:Y11))-AD9&lt;0,0,($AE$4*AVERAGE(Y9:Y11))-AD9)</f>
        <v>46465</v>
      </c>
      <c r="AG9" s="249">
        <f>IFERROR(AI9/$C9,"")</f>
        <v>8.3333333333333338E-8</v>
      </c>
      <c r="AH9" s="246">
        <f>SUM($V$8:V9)+SUM($J$8:J9)</f>
        <v>42445</v>
      </c>
      <c r="AI9" s="246">
        <f>IFERROR(D9+(SUM($V$8:V9)/Dashboard!$W$6),"")</f>
        <v>5</v>
      </c>
      <c r="AJ9" s="246">
        <f>AT8</f>
        <v>390300</v>
      </c>
      <c r="AK9" s="246">
        <f>IF($A$7="All",SUMIFS('Supply planning data'!M:M,'Supply planning data'!$D:$D,DataViz!$B7),SUMIFS('Supply planning data'!M:M,'Supply planning data'!$D:$D,DataViz!$B7,'Supply planning data'!$C:$C,DataViz!$A$1))</f>
        <v>42445</v>
      </c>
      <c r="AL9" s="242"/>
      <c r="AM9" s="243"/>
      <c r="AN9" s="246">
        <f t="shared" si="2"/>
        <v>0</v>
      </c>
      <c r="AO9" s="246">
        <f t="shared" si="3"/>
        <v>42445</v>
      </c>
      <c r="AP9" s="246">
        <f>IF($A$7="All",SUMIFS('Supply planning data'!N:N,'Supply planning data'!$D:$D,DataViz!$B7),SUMIFS('Supply planning data'!N:N,'Supply planning data'!$D:$D,DataViz!$B7,'Supply planning data'!$C:$C,DataViz!$A$1))+IF($A$7="All",SUMIFS('Supply planning data'!P:P,'Supply planning data'!$D:$D,DataViz!$B7),SUMIFS('Supply planning data'!P:P,'Supply planning data'!$D:$D,DataViz!$B7,'Supply planning data'!$C:$C,DataViz!$A$1))</f>
        <v>0</v>
      </c>
      <c r="AQ9" s="246">
        <f t="shared" si="4"/>
        <v>0</v>
      </c>
      <c r="AR9" s="246">
        <f t="shared" si="5"/>
        <v>0</v>
      </c>
      <c r="AS9" s="242"/>
      <c r="AT9" s="246">
        <f t="shared" ref="AT9:AT31" si="9">IF(AJ9-AK9-AN9+AS9+$O9+$P9+$N9&lt;0,0,AJ9-AK9-AN9+AS9+$O9+$P9+$N9)</f>
        <v>347855</v>
      </c>
      <c r="AU9" s="252">
        <f t="shared" si="6"/>
        <v>5.2929853925745585</v>
      </c>
      <c r="AV9" s="246">
        <f t="shared" ref="AV9:AV31" si="10">IF(($AU$4*AVERAGE(AO9:AO11))-AT9&lt;0,0,($AU$4*AVERAGE(AO9:AO11))-AT9)</f>
        <v>0</v>
      </c>
      <c r="AW9" s="249">
        <f t="shared" ref="AW9:AW31" si="11">IFERROR(AY9/$C9,"")</f>
        <v>8.3333333333333338E-8</v>
      </c>
      <c r="AX9" s="246">
        <f>SUM($AL$8:AL9)+SUM($J$8:J9)</f>
        <v>42445</v>
      </c>
      <c r="AY9" s="279">
        <f>IFERROR(D9+(SUM($AL$8:AL9)/Dashboard!$W$6),"")</f>
        <v>5</v>
      </c>
    </row>
    <row r="10" spans="1:51" x14ac:dyDescent="0.25">
      <c r="A10" s="222">
        <v>3</v>
      </c>
      <c r="B10" s="225">
        <f t="shared" ref="B10:B31" si="12">DATE(YEAR(B9),MONTH(B9)+1,1)</f>
        <v>44348</v>
      </c>
      <c r="C10" s="98">
        <f>IF(VLOOKUP(Dashboard!$M$6,Start!$B$10:$E$12,4,FALSE)&gt;0,VLOOKUP(Dashboard!$M$6,Start!$B$10:$E$12,4,FALSE),VLOOKUP(Dashboard!$M$6,Start!$B$10:$E$12,3,FALSE))</f>
        <v>60000000</v>
      </c>
      <c r="D10" s="98">
        <f>IF($A$7="Jansen",SUMIFS('Supply planning data'!G:G,'Supply planning data'!$D:$D,"&lt;="&amp;DataViz!$B8,'Supply planning data'!$C:$C,"jansen"),IF($A$7="All",SUMIFS('Supply planning data'!H:H,'Supply planning data'!$D:$D,"&lt;="&amp;DataViz!$B8)+SUMIFS('Supply planning data'!G:G,'Supply planning data'!$D:$D,"&lt;="&amp;DataViz!$B8,'Supply planning data'!$C:$C,"Jansen"),SUMIFS('Supply planning data'!H:H,'Supply planning data'!$D:$D,"&lt;="&amp;DataViz!$B8,'Supply planning data'!$C:$C,DataViz!$A$1)))</f>
        <v>793</v>
      </c>
      <c r="E10" s="175">
        <f t="shared" si="7"/>
        <v>1.3216666666666667E-5</v>
      </c>
      <c r="F10" s="98">
        <f>IF($A$7="All",SUMIFS('Supply planning data'!F:F,'Supply planning data'!$D:$D,DataViz!$B8),SUMIFS('Supply planning data'!F:F,'Supply planning data'!$D:$D,DataViz!$B8,'Supply planning data'!$C:$C,DataViz!$A$1))</f>
        <v>347855</v>
      </c>
      <c r="G10" s="98">
        <f>IF($A$7="All",SUMIFS('Supply planning data'!G:G,'Supply planning data'!$D:$D,DataViz!$B8),SUMIFS('Supply planning data'!G:G,'Supply planning data'!$D:$D,DataViz!$B8,'Supply planning data'!$C:$C,DataViz!$A$1))</f>
        <v>84087</v>
      </c>
      <c r="H10" s="98">
        <f>IF($A$7="All",SUMIFS('Supply planning data'!H:H,'Supply planning data'!$D:$D,DataViz!$B8),SUMIFS('Supply planning data'!H:H,'Supply planning data'!$D:$D,DataViz!$B8,'Supply planning data'!$C:$C,DataViz!$A$1))</f>
        <v>788</v>
      </c>
      <c r="I10" s="98">
        <f>IF($A$7="All",SUMIFS('Supply planning data'!I:I,'Supply planning data'!$D:$D,DataViz!$B8),SUMIFS('Supply planning data'!I:I,'Supply planning data'!$D:$D,DataViz!$B8,'Supply planning data'!$C:$C,DataViz!$A$1))</f>
        <v>0</v>
      </c>
      <c r="J10" s="98">
        <f>IF($A$7="All",SUMIFS('Supply planning data'!J:J,'Supply planning data'!$D:$D,DataViz!$B8),SUMIFS('Supply planning data'!J:J,'Supply planning data'!$D:$D,DataViz!$B8,'Supply planning data'!$C:$C,DataViz!$A$1))</f>
        <v>84875</v>
      </c>
      <c r="K10" s="98">
        <f>IF($A$7="All",SUMIFS('Supply planning data'!L:L,'Supply planning data'!$D:$D,DataViz!$B8),SUMIFS('Supply planning data'!L:L,'Supply planning data'!$D:$D,DataViz!$B8,'Supply planning data'!$C:$C,DataViz!$A$1))</f>
        <v>0</v>
      </c>
      <c r="L10" s="98">
        <f>IF($A$7="All",SUMIFS('Supply planning data'!K:K,'Supply planning data'!$D:$D,DataViz!$B8),SUMIFS('Supply planning data'!K:K,'Supply planning data'!$D:$D,DataViz!$B8,'Supply planning data'!$C:$C,DataViz!$A$1))</f>
        <v>0</v>
      </c>
      <c r="M10" s="98">
        <f>IF($A$7="All",SUMIFS('Supply planning data'!M:M,'Supply planning data'!$D:$D,DataViz!$B8),SUMIFS('Supply planning data'!M:M,'Supply planning data'!$D:$D,DataViz!$B8,'Supply planning data'!$C:$C,DataViz!$A$1))</f>
        <v>84875</v>
      </c>
      <c r="N10" s="98">
        <f>IF($A$7="All",SUMIFS('Supply planning data'!N:N,'Supply planning data'!$D:$D,DataViz!$B8),SUMIFS('Supply planning data'!N:N,'Supply planning data'!$D:$D,DataViz!$B8,'Supply planning data'!$C:$C,DataViz!$A$1))+IF($A$7="All",SUMIFS('Supply planning data'!P:P,'Supply planning data'!$D:$D,DataViz!$B8),SUMIFS('Supply planning data'!P:P,'Supply planning data'!$D:$D,DataViz!$B8,'Supply planning data'!$C:$C,DataViz!$A$1))</f>
        <v>0</v>
      </c>
      <c r="O10" s="98">
        <f>IF($A$7="All",SUMIFS('Supply planning data'!R:R,'Supply planning data'!$D:$D,DataViz!$B8),SUMIFS('Supply planning data'!R:R,'Supply planning data'!$D:$D,DataViz!$B8,'Supply planning data'!$C:$C,DataViz!$A$1))</f>
        <v>0</v>
      </c>
      <c r="P10" s="98">
        <f>IF($A$7="All",SUMIFS('Supply planning data'!S:S,'Supply planning data'!$D:$D,DataViz!$B8),SUMIFS('Supply planning data'!S:S,'Supply planning data'!$D:$D,DataViz!$B8,'Supply planning data'!$C:$C,DataViz!$A$1))</f>
        <v>0</v>
      </c>
      <c r="Q10" s="98">
        <f>IF($A$7="All",SUMIFS('Supply planning data'!V:V,'Supply planning data'!$D:$D,DataViz!$B8),SUMIFS('Supply planning data'!V:V,'Supply planning data'!$D:$D,DataViz!$B8,'Supply planning data'!$C:$C,DataViz!$A$1))</f>
        <v>262980</v>
      </c>
      <c r="R10" s="240">
        <f>IF(M10&lt;=0,"",IFERROR(Q10/AVERAGE(M8:M10),""))</f>
        <v>6.1965127238454292</v>
      </c>
      <c r="S10" s="280">
        <f t="shared" ref="S10:S31" si="13">DATE(YEAR(S9),MONTH(S9)+1,1)</f>
        <v>44348</v>
      </c>
      <c r="T10" s="281">
        <f t="shared" ref="T10:T31" si="14">AD9</f>
        <v>347855</v>
      </c>
      <c r="U10" s="281">
        <f>IF($A$7="All",SUMIFS('Supply planning data'!M:M,'Supply planning data'!$D:$D,DataViz!$B8),SUMIFS('Supply planning data'!M:M,'Supply planning data'!$D:$D,DataViz!$B8,'Supply planning data'!$C:$C,DataViz!$A$1))</f>
        <v>84875</v>
      </c>
      <c r="V10" s="282"/>
      <c r="W10" s="283"/>
      <c r="X10" s="281">
        <f t="shared" si="0"/>
        <v>0</v>
      </c>
      <c r="Y10" s="281">
        <f t="shared" si="8"/>
        <v>84875</v>
      </c>
      <c r="Z10" s="281">
        <f>IF($A$7="All",SUMIFS('Supply planning data'!N:N,'Supply planning data'!$D:$D,DataViz!$B8),SUMIFS('Supply planning data'!N:N,'Supply planning data'!$D:$D,DataViz!$B8,'Supply planning data'!$C:$C,DataViz!$A$1))+IF($A$7="All",SUMIFS('Supply planning data'!P:P,'Supply planning data'!$D:$D,DataViz!$B8),SUMIFS('Supply planning data'!P:P,'Supply planning data'!$D:$D,DataViz!$B8,'Supply planning data'!$C:$C,DataViz!$A$1))</f>
        <v>0</v>
      </c>
      <c r="AA10" s="281">
        <f>IF($A$7="All",SUMIFS('Supply planning data'!R:R,'Supply planning data'!$D:$D,DataViz!$B8),SUMIFS('Supply planning data'!R:R,'Supply planning data'!$D:$D,DataViz!$B8,'Supply planning data'!$C:$C,DataViz!$A$1))</f>
        <v>0</v>
      </c>
      <c r="AB10" s="281">
        <f>IF($A$7="All",SUMIFS('Supply planning data'!S:S,'Supply planning data'!$D:$D,DataViz!$B8),SUMIFS('Supply planning data'!S:S,'Supply planning data'!$D:$D,DataViz!$B8,'Supply planning data'!$C:$C,DataViz!$A$1))</f>
        <v>0</v>
      </c>
      <c r="AC10" s="282"/>
      <c r="AD10" s="281">
        <f>IF(T10-U10-X10+AC10+$O10+$P10+$N10&lt;0,0,T10-U10-X10+AC10+$O10+$P10+$N10)</f>
        <v>262980</v>
      </c>
      <c r="AE10" s="284">
        <f t="shared" si="1"/>
        <v>5.0454057096081044</v>
      </c>
      <c r="AF10" s="281">
        <f t="shared" ref="AF10:AF31" si="15">IF(($AE$4*AVERAGE(Y10:Y12))-AD10&lt;0,0,($AE$4*AVERAGE(Y10:Y12))-AD10)</f>
        <v>49756</v>
      </c>
      <c r="AG10" s="285">
        <f t="shared" ref="AG10:AG31" si="16">IFERROR(AI10/$C10,"")</f>
        <v>1.3216666666666667E-5</v>
      </c>
      <c r="AH10" s="281">
        <f>SUM($V$8:V10)+SUM($J$8:J10)</f>
        <v>127320</v>
      </c>
      <c r="AI10" s="281">
        <f>IFERROR(D10+(SUM($V$8:V10)/Dashboard!$W$6),"")</f>
        <v>793</v>
      </c>
      <c r="AJ10" s="281">
        <f t="shared" ref="AJ10:AJ31" si="17">AT9</f>
        <v>347855</v>
      </c>
      <c r="AK10" s="281">
        <f>IF($A$7="All",SUMIFS('Supply planning data'!M:M,'Supply planning data'!$D:$D,DataViz!$B8),SUMIFS('Supply planning data'!M:M,'Supply planning data'!$D:$D,DataViz!$B8,'Supply planning data'!$C:$C,DataViz!$A$1))</f>
        <v>84875</v>
      </c>
      <c r="AL10" s="282"/>
      <c r="AM10" s="283"/>
      <c r="AN10" s="281">
        <f t="shared" si="2"/>
        <v>0</v>
      </c>
      <c r="AO10" s="281">
        <f t="shared" si="3"/>
        <v>84875</v>
      </c>
      <c r="AP10" s="281">
        <f>IF($A$7="All",SUMIFS('Supply planning data'!N:N,'Supply planning data'!$D:$D,DataViz!$B8),SUMIFS('Supply planning data'!N:N,'Supply planning data'!$D:$D,DataViz!$B8,'Supply planning data'!$C:$C,DataViz!$A$1))+IF($A$7="All",SUMIFS('Supply planning data'!P:P,'Supply planning data'!$D:$D,DataViz!$B8),SUMIFS('Supply planning data'!P:P,'Supply planning data'!$D:$D,DataViz!$B8,'Supply planning data'!$C:$C,DataViz!$A$1))</f>
        <v>0</v>
      </c>
      <c r="AQ10" s="281">
        <f t="shared" si="4"/>
        <v>0</v>
      </c>
      <c r="AR10" s="281">
        <f t="shared" si="5"/>
        <v>0</v>
      </c>
      <c r="AS10" s="282"/>
      <c r="AT10" s="281">
        <f>IF(AJ10-AK10-AN10+AS10+$O10+$P10+$N10&lt;0,0,AJ10-AK10-AN10+AS10+$O10+$P10+$N10)</f>
        <v>262980</v>
      </c>
      <c r="AU10" s="284">
        <f t="shared" si="6"/>
        <v>5.0454057096081044</v>
      </c>
      <c r="AV10" s="281">
        <f t="shared" si="10"/>
        <v>0</v>
      </c>
      <c r="AW10" s="285">
        <f t="shared" si="11"/>
        <v>1.3216666666666667E-5</v>
      </c>
      <c r="AX10" s="281">
        <f>SUM($AL$8:AL10)+SUM($J$8:J10)</f>
        <v>127320</v>
      </c>
      <c r="AY10" s="286">
        <f>IFERROR(D10+(SUM($AL$8:AL10)/Dashboard!$W$6),"")</f>
        <v>793</v>
      </c>
    </row>
    <row r="11" spans="1:51" x14ac:dyDescent="0.25">
      <c r="A11" s="222">
        <v>4</v>
      </c>
      <c r="B11" s="226">
        <f t="shared" si="12"/>
        <v>44378</v>
      </c>
      <c r="C11" s="105">
        <f>IF(VLOOKUP(Dashboard!$M$6,Start!$B$10:$E$12,4,FALSE)&gt;0,VLOOKUP(Dashboard!$M$6,Start!$B$10:$E$12,4,FALSE),VLOOKUP(Dashboard!$M$6,Start!$B$10:$E$12,3,FALSE))</f>
        <v>60000000</v>
      </c>
      <c r="D11" s="105">
        <f>IF($A$7="Jansen",SUMIFS('Supply planning data'!G:G,'Supply planning data'!$D:$D,"&lt;="&amp;DataViz!$B9,'Supply planning data'!$C:$C,"jansen"),IF($A$7="All",SUMIFS('Supply planning data'!H:H,'Supply planning data'!$D:$D,"&lt;="&amp;DataViz!$B9)+SUMIFS('Supply planning data'!G:G,'Supply planning data'!$D:$D,"&lt;="&amp;DataViz!$B9,'Supply planning data'!$C:$C,"Jansen"),SUMIFS('Supply planning data'!H:H,'Supply planning data'!$D:$D,"&lt;="&amp;DataViz!$B9,'Supply planning data'!$C:$C,DataViz!$A$1)))</f>
        <v>12393</v>
      </c>
      <c r="E11" s="177">
        <f t="shared" si="7"/>
        <v>2.0655000000000001E-4</v>
      </c>
      <c r="F11" s="105">
        <f>IF($A$7="All",SUMIFS('Supply planning data'!F:F,'Supply planning data'!$D:$D,DataViz!$B9),SUMIFS('Supply planning data'!F:F,'Supply planning data'!$D:$D,DataViz!$B9,'Supply planning data'!$C:$C,DataViz!$A$1))</f>
        <v>262980</v>
      </c>
      <c r="G11" s="105">
        <f>IF($A$7="All",SUMIFS('Supply planning data'!G:G,'Supply planning data'!$D:$D,DataViz!$B9),SUMIFS('Supply planning data'!G:G,'Supply planning data'!$D:$D,DataViz!$B9,'Supply planning data'!$C:$C,DataViz!$A$1))</f>
        <v>58240</v>
      </c>
      <c r="H11" s="105">
        <f>IF($A$7="All",SUMIFS('Supply planning data'!H:H,'Supply planning data'!$D:$D,DataViz!$B9),SUMIFS('Supply planning data'!H:H,'Supply planning data'!$D:$D,DataViz!$B9,'Supply planning data'!$C:$C,DataViz!$A$1))</f>
        <v>11600</v>
      </c>
      <c r="I11" s="105">
        <f>IF($A$7="All",SUMIFS('Supply planning data'!I:I,'Supply planning data'!$D:$D,DataViz!$B9),SUMIFS('Supply planning data'!I:I,'Supply planning data'!$D:$D,DataViz!$B9,'Supply planning data'!$C:$C,DataViz!$A$1))</f>
        <v>0</v>
      </c>
      <c r="J11" s="105">
        <f>IF($A$7="All",SUMIFS('Supply planning data'!J:J,'Supply planning data'!$D:$D,DataViz!$B9),SUMIFS('Supply planning data'!J:J,'Supply planning data'!$D:$D,DataViz!$B9,'Supply planning data'!$C:$C,DataViz!$A$1))</f>
        <v>69840</v>
      </c>
      <c r="K11" s="105">
        <f>IF($A$7="All",SUMIFS('Supply planning data'!L:L,'Supply planning data'!$D:$D,DataViz!$B9),SUMIFS('Supply planning data'!L:L,'Supply planning data'!$D:$D,DataViz!$B9,'Supply planning data'!$C:$C,DataViz!$A$1))</f>
        <v>0</v>
      </c>
      <c r="L11" s="105">
        <f>IF($A$7="All",SUMIFS('Supply planning data'!K:K,'Supply planning data'!$D:$D,DataViz!$B9),SUMIFS('Supply planning data'!K:K,'Supply planning data'!$D:$D,DataViz!$B9,'Supply planning data'!$C:$C,DataViz!$A$1))</f>
        <v>0</v>
      </c>
      <c r="M11" s="105">
        <f>IF($A$7="All",SUMIFS('Supply planning data'!M:M,'Supply planning data'!$D:$D,DataViz!$B9),SUMIFS('Supply planning data'!M:M,'Supply planning data'!$D:$D,DataViz!$B9,'Supply planning data'!$C:$C,DataViz!$A$1))</f>
        <v>69840</v>
      </c>
      <c r="N11" s="105">
        <f>IF($A$7="All",SUMIFS('Supply planning data'!N:N,'Supply planning data'!$D:$D,DataViz!$B9),SUMIFS('Supply planning data'!N:N,'Supply planning data'!$D:$D,DataViz!$B9,'Supply planning data'!$C:$C,DataViz!$A$1))+IF($A$7="All",SUMIFS('Supply planning data'!P:P,'Supply planning data'!$D:$D,DataViz!$B9),SUMIFS('Supply planning data'!P:P,'Supply planning data'!$D:$D,DataViz!$B9,'Supply planning data'!$C:$C,DataViz!$A$1))</f>
        <v>0</v>
      </c>
      <c r="O11" s="105">
        <f>IF($A$7="All",SUMIFS('Supply planning data'!R:R,'Supply planning data'!$D:$D,DataViz!$B9),SUMIFS('Supply planning data'!R:R,'Supply planning data'!$D:$D,DataViz!$B9,'Supply planning data'!$C:$C,DataViz!$A$1))</f>
        <v>302600</v>
      </c>
      <c r="P11" s="105">
        <f>IF($A$7="All",SUMIFS('Supply planning data'!S:S,'Supply planning data'!$D:$D,DataViz!$B9),SUMIFS('Supply planning data'!S:S,'Supply planning data'!$D:$D,DataViz!$B9,'Supply planning data'!$C:$C,DataViz!$A$1))</f>
        <v>0</v>
      </c>
      <c r="Q11" s="105">
        <f>IF($A$7="All",SUMIFS('Supply planning data'!V:V,'Supply planning data'!$D:$D,DataViz!$B9),SUMIFS('Supply planning data'!V:V,'Supply planning data'!$D:$D,DataViz!$B9,'Supply planning data'!$C:$C,DataViz!$A$1))</f>
        <v>495740</v>
      </c>
      <c r="R11" s="241">
        <f>IF(M11&lt;=0,"",IFERROR(Q11/AVERAGE(M9:M11),""))</f>
        <v>7.5432136335970785</v>
      </c>
      <c r="S11" s="272">
        <f t="shared" si="13"/>
        <v>44378</v>
      </c>
      <c r="T11" s="273">
        <f t="shared" si="14"/>
        <v>262980</v>
      </c>
      <c r="U11" s="273">
        <f>IF($A$7="All",SUMIFS('Supply planning data'!M:M,'Supply planning data'!$D:$D,DataViz!$B9),SUMIFS('Supply planning data'!M:M,'Supply planning data'!$D:$D,DataViz!$B9,'Supply planning data'!$C:$C,DataViz!$A$1))</f>
        <v>69840</v>
      </c>
      <c r="V11" s="274"/>
      <c r="W11" s="275"/>
      <c r="X11" s="273">
        <f t="shared" si="0"/>
        <v>0</v>
      </c>
      <c r="Y11" s="273">
        <f>IF($U11+$X11&lt;=0,NA(),$U11+$X11)</f>
        <v>69840</v>
      </c>
      <c r="Z11" s="273">
        <f>IF($A$7="All",SUMIFS('Supply planning data'!N:N,'Supply planning data'!$D:$D,DataViz!$B9),SUMIFS('Supply planning data'!N:N,'Supply planning data'!$D:$D,DataViz!$B9,'Supply planning data'!$C:$C,DataViz!$A$1))+IF($A$7="All",SUMIFS('Supply planning data'!P:P,'Supply planning data'!$D:$D,DataViz!$B9),SUMIFS('Supply planning data'!P:P,'Supply planning data'!$D:$D,DataViz!$B9,'Supply planning data'!$C:$C,DataViz!$A$1))</f>
        <v>0</v>
      </c>
      <c r="AA11" s="273">
        <f>IF($A$7="All",SUMIFS('Supply planning data'!R:R,'Supply planning data'!$D:$D,DataViz!$B9),SUMIFS('Supply planning data'!R:R,'Supply planning data'!$D:$D,DataViz!$B9,'Supply planning data'!$C:$C,DataViz!$A$1))</f>
        <v>302600</v>
      </c>
      <c r="AB11" s="273">
        <f>IF($A$7="All",SUMIFS('Supply planning data'!S:S,'Supply planning data'!$D:$D,DataViz!$B9),SUMIFS('Supply planning data'!S:S,'Supply planning data'!$D:$D,DataViz!$B9,'Supply planning data'!$C:$C,DataViz!$A$1))</f>
        <v>0</v>
      </c>
      <c r="AC11" s="274"/>
      <c r="AD11" s="273">
        <f>IF(T11-U11-X11+AC11+$O11+$P11+$N11&lt;0,0,T11-U11-X11+AC11+$O11+$P11+$N11)</f>
        <v>495740</v>
      </c>
      <c r="AE11" s="288">
        <f>IF(Y11&lt;=0,NA(),IFERROR(AD11/(AVERAGE(Y11:Y13)),""))</f>
        <v>3.4884817380249249</v>
      </c>
      <c r="AF11" s="273">
        <f>IF(($AE$4*AVERAGE(Y11:Y13))-AD11&lt;0,0,($AE$4*AVERAGE(Y11:Y13))-AD11)</f>
        <v>356906</v>
      </c>
      <c r="AG11" s="276">
        <f t="shared" si="16"/>
        <v>2.0655000000000001E-4</v>
      </c>
      <c r="AH11" s="273">
        <f>SUM($V$8:V11)+SUM($J$8:J11)</f>
        <v>197160</v>
      </c>
      <c r="AI11" s="273">
        <f>IFERROR(D11+(SUM($V$8:V11)/Dashboard!$W$6),"")</f>
        <v>12393</v>
      </c>
      <c r="AJ11" s="273">
        <f t="shared" si="17"/>
        <v>262980</v>
      </c>
      <c r="AK11" s="273">
        <f>IF($A$7="All",SUMIFS('Supply planning data'!M:M,'Supply planning data'!$D:$D,DataViz!$B9),SUMIFS('Supply planning data'!M:M,'Supply planning data'!$D:$D,DataViz!$B9,'Supply planning data'!$C:$C,DataViz!$A$1))</f>
        <v>69840</v>
      </c>
      <c r="AL11" s="274"/>
      <c r="AM11" s="275"/>
      <c r="AN11" s="273">
        <f t="shared" si="2"/>
        <v>0</v>
      </c>
      <c r="AO11" s="273">
        <f>IF($AK11+$AN11&lt;=0,NA(),$AK11+$AN11)</f>
        <v>69840</v>
      </c>
      <c r="AP11" s="273">
        <f>IF($A$7="All",SUMIFS('Supply planning data'!N:N,'Supply planning data'!$D:$D,DataViz!$B9),SUMIFS('Supply planning data'!N:N,'Supply planning data'!$D:$D,DataViz!$B9,'Supply planning data'!$C:$C,DataViz!$A$1))+IF($A$7="All",SUMIFS('Supply planning data'!P:P,'Supply planning data'!$D:$D,DataViz!$B9),SUMIFS('Supply planning data'!P:P,'Supply planning data'!$D:$D,DataViz!$B9,'Supply planning data'!$C:$C,DataViz!$A$1))</f>
        <v>0</v>
      </c>
      <c r="AQ11" s="273">
        <f t="shared" si="4"/>
        <v>302600</v>
      </c>
      <c r="AR11" s="273">
        <f t="shared" si="5"/>
        <v>0</v>
      </c>
      <c r="AS11" s="274"/>
      <c r="AT11" s="273">
        <f t="shared" si="9"/>
        <v>495740</v>
      </c>
      <c r="AU11" s="288">
        <f t="shared" si="6"/>
        <v>3.4884817380249249</v>
      </c>
      <c r="AV11" s="273">
        <f t="shared" si="10"/>
        <v>214798.33333333326</v>
      </c>
      <c r="AW11" s="276">
        <f t="shared" si="11"/>
        <v>2.0655000000000001E-4</v>
      </c>
      <c r="AX11" s="273">
        <f>SUM($AL$8:AL11)+SUM($J$8:J11)</f>
        <v>197160</v>
      </c>
      <c r="AY11" s="277">
        <f>IFERROR(D11+(SUM($AL$8:AL11)/Dashboard!$W$6),"")</f>
        <v>12393</v>
      </c>
    </row>
    <row r="12" spans="1:51" x14ac:dyDescent="0.25">
      <c r="A12" s="222">
        <v>5</v>
      </c>
      <c r="B12" s="225">
        <f t="shared" si="12"/>
        <v>44409</v>
      </c>
      <c r="C12" s="98">
        <f>IF(VLOOKUP(Dashboard!$M$6,Start!$B$10:$E$12,4,FALSE)&gt;0,VLOOKUP(Dashboard!$M$6,Start!$B$10:$E$12,4,FALSE),VLOOKUP(Dashboard!$M$6,Start!$B$10:$E$12,3,FALSE))</f>
        <v>60000000</v>
      </c>
      <c r="D12" s="98">
        <f>IF($A$7="Jansen",SUMIFS('Supply planning data'!G:G,'Supply planning data'!$D:$D,"&lt;="&amp;DataViz!$B10,'Supply planning data'!$C:$C,"jansen"),IF($A$7="All",SUMIFS('Supply planning data'!H:H,'Supply planning data'!$D:$D,"&lt;="&amp;DataViz!$B10)+SUMIFS('Supply planning data'!G:G,'Supply planning data'!$D:$D,"&lt;="&amp;DataViz!$B10,'Supply planning data'!$C:$C,"Jansen"),SUMIFS('Supply planning data'!H:H,'Supply planning data'!$D:$D,"&lt;="&amp;DataViz!$B10,'Supply planning data'!$C:$C,DataViz!$A$1)))</f>
        <v>14046</v>
      </c>
      <c r="E12" s="175">
        <f t="shared" si="7"/>
        <v>2.341E-4</v>
      </c>
      <c r="F12" s="98">
        <f>IF($A$7="All",SUMIFS('Supply planning data'!F:F,'Supply planning data'!$D:$D,DataViz!$B10),SUMIFS('Supply planning data'!F:F,'Supply planning data'!$D:$D,DataViz!$B10,'Supply planning data'!$C:$C,DataViz!$A$1))</f>
        <v>495740</v>
      </c>
      <c r="G12" s="98">
        <f>IF($A$7="All",SUMIFS('Supply planning data'!G:G,'Supply planning data'!$D:$D,DataViz!$B10),SUMIFS('Supply planning data'!G:G,'Supply planning data'!$D:$D,DataViz!$B10,'Supply planning data'!$C:$C,DataViz!$A$1))</f>
        <v>1653</v>
      </c>
      <c r="H12" s="98">
        <f>IF($A$7="All",SUMIFS('Supply planning data'!H:H,'Supply planning data'!$D:$D,DataViz!$B10),SUMIFS('Supply planning data'!H:H,'Supply planning data'!$D:$D,DataViz!$B10,'Supply planning data'!$C:$C,DataViz!$A$1))</f>
        <v>0</v>
      </c>
      <c r="I12" s="98">
        <f>IF($A$7="All",SUMIFS('Supply planning data'!I:I,'Supply planning data'!$D:$D,DataViz!$B10),SUMIFS('Supply planning data'!I:I,'Supply planning data'!$D:$D,DataViz!$B10,'Supply planning data'!$C:$C,DataViz!$A$1))</f>
        <v>0</v>
      </c>
      <c r="J12" s="98">
        <f>IF($A$7="All",SUMIFS('Supply planning data'!J:J,'Supply planning data'!$D:$D,DataViz!$B10),SUMIFS('Supply planning data'!J:J,'Supply planning data'!$D:$D,DataViz!$B10,'Supply planning data'!$C:$C,DataViz!$A$1))</f>
        <v>1653</v>
      </c>
      <c r="K12" s="98">
        <f>IF($A$7="All",SUMIFS('Supply planning data'!L:L,'Supply planning data'!$D:$D,DataViz!$B10),SUMIFS('Supply planning data'!L:L,'Supply planning data'!$D:$D,DataViz!$B10,'Supply planning data'!$C:$C,DataViz!$A$1))</f>
        <v>0</v>
      </c>
      <c r="L12" s="98">
        <f>IF($A$7="All",SUMIFS('Supply planning data'!K:K,'Supply planning data'!$D:$D,DataViz!$B10),SUMIFS('Supply planning data'!K:K,'Supply planning data'!$D:$D,DataViz!$B10,'Supply planning data'!$C:$C,DataViz!$A$1))</f>
        <v>0</v>
      </c>
      <c r="M12" s="98">
        <f>IF($A$7="All",SUMIFS('Supply planning data'!M:M,'Supply planning data'!$D:$D,DataViz!$B10),SUMIFS('Supply planning data'!M:M,'Supply planning data'!$D:$D,DataViz!$B10,'Supply planning data'!$C:$C,DataViz!$A$1))</f>
        <v>1653</v>
      </c>
      <c r="N12" s="98">
        <f>IF($A$7="All",SUMIFS('Supply planning data'!N:N,'Supply planning data'!$D:$D,DataViz!$B10),SUMIFS('Supply planning data'!N:N,'Supply planning data'!$D:$D,DataViz!$B10,'Supply planning data'!$C:$C,DataViz!$A$1))+IF($A$7="All",SUMIFS('Supply planning data'!P:P,'Supply planning data'!$D:$D,DataViz!$B10),SUMIFS('Supply planning data'!P:P,'Supply planning data'!$D:$D,DataViz!$B10,'Supply planning data'!$C:$C,DataViz!$A$1))</f>
        <v>-193140</v>
      </c>
      <c r="O12" s="98">
        <f>IF($A$7="All",SUMIFS('Supply planning data'!R:R,'Supply planning data'!$D:$D,DataViz!$B10),SUMIFS('Supply planning data'!R:R,'Supply planning data'!$D:$D,DataViz!$B10,'Supply planning data'!$C:$C,DataViz!$A$1))</f>
        <v>0</v>
      </c>
      <c r="P12" s="98">
        <f>IF($A$7="All",SUMIFS('Supply planning data'!S:S,'Supply planning data'!$D:$D,DataViz!$B10),SUMIFS('Supply planning data'!S:S,'Supply planning data'!$D:$D,DataViz!$B10,'Supply planning data'!$C:$C,DataViz!$A$1))</f>
        <v>0</v>
      </c>
      <c r="Q12" s="98">
        <f>IF($A$7="All",SUMIFS('Supply planning data'!V:V,'Supply planning data'!$D:$D,DataViz!$B10),SUMIFS('Supply planning data'!V:V,'Supply planning data'!$D:$D,DataViz!$B10,'Supply planning data'!$C:$C,DataViz!$A$1))</f>
        <v>300947</v>
      </c>
      <c r="R12" s="240">
        <f t="shared" ref="R12:R31" si="18">IF(M12&lt;=0,"",IFERROR(Q12/AVERAGE(M10:M12),""))</f>
        <v>5.7738220096183364</v>
      </c>
      <c r="S12" s="278">
        <f t="shared" si="13"/>
        <v>44409</v>
      </c>
      <c r="T12" s="246">
        <f t="shared" si="14"/>
        <v>495740</v>
      </c>
      <c r="U12" s="246">
        <f>IF($A$7="All",SUMIFS('Supply planning data'!M:M,'Supply planning data'!$D:$D,DataViz!$B10),SUMIFS('Supply planning data'!M:M,'Supply planning data'!$D:$D,DataViz!$B10,'Supply planning data'!$C:$C,DataViz!$A$1))</f>
        <v>1653</v>
      </c>
      <c r="V12" s="242"/>
      <c r="W12" s="243"/>
      <c r="X12" s="246">
        <f t="shared" si="0"/>
        <v>0</v>
      </c>
      <c r="Y12" s="246">
        <f>IF($U12+$X12&lt;=0,NA(),$U12+$X12)</f>
        <v>1653</v>
      </c>
      <c r="Z12" s="246">
        <f>IF($A$7="All",SUMIFS('Supply planning data'!N:N,'Supply planning data'!$D:$D,DataViz!$B10),SUMIFS('Supply planning data'!N:N,'Supply planning data'!$D:$D,DataViz!$B10,'Supply planning data'!$C:$C,DataViz!$A$1))+IF($A$7="All",SUMIFS('Supply planning data'!P:P,'Supply planning data'!$D:$D,DataViz!$B10),SUMIFS('Supply planning data'!P:P,'Supply planning data'!$D:$D,DataViz!$B10,'Supply planning data'!$C:$C,DataViz!$A$1))</f>
        <v>-193140</v>
      </c>
      <c r="AA12" s="246">
        <f>IF($A$7="All",SUMIFS('Supply planning data'!R:R,'Supply planning data'!$D:$D,DataViz!$B10),SUMIFS('Supply planning data'!R:R,'Supply planning data'!$D:$D,DataViz!$B10,'Supply planning data'!$C:$C,DataViz!$A$1))</f>
        <v>0</v>
      </c>
      <c r="AB12" s="246">
        <f>IF($A$7="All",SUMIFS('Supply planning data'!S:S,'Supply planning data'!$D:$D,DataViz!$B10),SUMIFS('Supply planning data'!S:S,'Supply planning data'!$D:$D,DataViz!$B10,'Supply planning data'!$C:$C,DataViz!$A$1))</f>
        <v>0</v>
      </c>
      <c r="AC12" s="242"/>
      <c r="AD12" s="246">
        <f t="shared" ref="AD12:AD31" si="19">IF(T12-U12-X12+AC12+$O12+$P12+$N12&lt;0,0,T12-U12-X12+AC12+$O12+$P12+$N12)</f>
        <v>300947</v>
      </c>
      <c r="AE12" s="252">
        <f>IF(Y12&lt;=0,NA(),IFERROR(AD12/(AVERAGE(Y12:Y14)),""))</f>
        <v>1.4133589859594138</v>
      </c>
      <c r="AF12" s="246">
        <f>IF(($AE$4*AVERAGE(Y12:Y14))-AD12&lt;0,0,($AE$4*AVERAGE(Y12:Y14))-AD12)</f>
        <v>976635</v>
      </c>
      <c r="AG12" s="249">
        <f t="shared" si="16"/>
        <v>2.341E-4</v>
      </c>
      <c r="AH12" s="246">
        <f>SUM($V$8:V12)+SUM($J$8:J12)</f>
        <v>198813</v>
      </c>
      <c r="AI12" s="246">
        <f>IFERROR(D12+(SUM($V$8:V12)/Dashboard!$W$6),"")</f>
        <v>14046</v>
      </c>
      <c r="AJ12" s="246">
        <f t="shared" si="17"/>
        <v>495740</v>
      </c>
      <c r="AK12" s="246">
        <f>IF($A$7="All",SUMIFS('Supply planning data'!M:M,'Supply planning data'!$D:$D,DataViz!$B10),SUMIFS('Supply planning data'!M:M,'Supply planning data'!$D:$D,DataViz!$B10,'Supply planning data'!$C:$C,DataViz!$A$1))</f>
        <v>1653</v>
      </c>
      <c r="AL12" s="242"/>
      <c r="AM12" s="243"/>
      <c r="AN12" s="246">
        <f t="shared" si="2"/>
        <v>0</v>
      </c>
      <c r="AO12" s="246">
        <f t="shared" si="3"/>
        <v>1653</v>
      </c>
      <c r="AP12" s="246">
        <f>IF($A$7="All",SUMIFS('Supply planning data'!N:N,'Supply planning data'!$D:$D,DataViz!$B10),SUMIFS('Supply planning data'!N:N,'Supply planning data'!$D:$D,DataViz!$B10,'Supply planning data'!$C:$C,DataViz!$A$1))+IF($A$7="All",SUMIFS('Supply planning data'!P:P,'Supply planning data'!$D:$D,DataViz!$B10),SUMIFS('Supply planning data'!P:P,'Supply planning data'!$D:$D,DataViz!$B10,'Supply planning data'!$C:$C,DataViz!$A$1))</f>
        <v>-193140</v>
      </c>
      <c r="AQ12" s="246">
        <f t="shared" si="4"/>
        <v>0</v>
      </c>
      <c r="AR12" s="246">
        <f t="shared" si="5"/>
        <v>0</v>
      </c>
      <c r="AS12" s="242"/>
      <c r="AT12" s="246">
        <f t="shared" si="9"/>
        <v>300947</v>
      </c>
      <c r="AU12" s="252">
        <f>IF(AO12&lt;=0,NA(),IFERROR(AT12/(AVERAGE(AO12:AO14)),""))</f>
        <v>1.4133589859594138</v>
      </c>
      <c r="AV12" s="246">
        <f t="shared" si="10"/>
        <v>763704.66666666674</v>
      </c>
      <c r="AW12" s="249">
        <f t="shared" si="11"/>
        <v>2.341E-4</v>
      </c>
      <c r="AX12" s="246">
        <f>SUM($AL$8:AL12)+SUM($J$8:J12)</f>
        <v>198813</v>
      </c>
      <c r="AY12" s="279">
        <f>IFERROR(D12+(SUM($AL$8:AL12)/Dashboard!$W$6),"")</f>
        <v>14046</v>
      </c>
    </row>
    <row r="13" spans="1:51" x14ac:dyDescent="0.25">
      <c r="A13" s="222">
        <v>6</v>
      </c>
      <c r="B13" s="226">
        <f t="shared" si="12"/>
        <v>44440</v>
      </c>
      <c r="C13" s="105">
        <f>IF(VLOOKUP(Dashboard!$M$6,Start!$B$10:$E$12,4,FALSE)&gt;0,VLOOKUP(Dashboard!$M$6,Start!$B$10:$E$12,4,FALSE),VLOOKUP(Dashboard!$M$6,Start!$B$10:$E$12,3,FALSE))</f>
        <v>60000000</v>
      </c>
      <c r="D13" s="105">
        <f>IF($A$7="Jansen",SUMIFS('Supply planning data'!G:G,'Supply planning data'!$D:$D,"&lt;="&amp;DataViz!$B11,'Supply planning data'!$C:$C,"jansen"),IF($A$7="All",SUMIFS('Supply planning data'!H:H,'Supply planning data'!$D:$D,"&lt;="&amp;DataViz!$B11)+SUMIFS('Supply planning data'!G:G,'Supply planning data'!$D:$D,"&lt;="&amp;DataViz!$B11,'Supply planning data'!$C:$C,"Jansen"),SUMIFS('Supply planning data'!H:H,'Supply planning data'!$D:$D,"&lt;="&amp;DataViz!$B11,'Supply planning data'!$C:$C,DataViz!$A$1)))</f>
        <v>68876</v>
      </c>
      <c r="E13" s="177">
        <f t="shared" si="7"/>
        <v>1.1479333333333332E-3</v>
      </c>
      <c r="F13" s="105">
        <f>IF($A$7="All",SUMIFS('Supply planning data'!F:F,'Supply planning data'!$D:$D,DataViz!$B11),SUMIFS('Supply planning data'!F:F,'Supply planning data'!$D:$D,DataViz!$B11,'Supply planning data'!$C:$C,DataViz!$A$1))</f>
        <v>300947</v>
      </c>
      <c r="G13" s="105">
        <f>IF($A$7="All",SUMIFS('Supply planning data'!G:G,'Supply planning data'!$D:$D,DataViz!$B11),SUMIFS('Supply planning data'!G:G,'Supply planning data'!$D:$D,DataViz!$B11,'Supply planning data'!$C:$C,DataViz!$A$1))</f>
        <v>354830</v>
      </c>
      <c r="H13" s="105">
        <f>IF($A$7="All",SUMIFS('Supply planning data'!H:H,'Supply planning data'!$D:$D,DataViz!$B11),SUMIFS('Supply planning data'!H:H,'Supply planning data'!$D:$D,DataViz!$B11,'Supply planning data'!$C:$C,DataViz!$A$1))</f>
        <v>0</v>
      </c>
      <c r="I13" s="105">
        <f>IF($A$7="All",SUMIFS('Supply planning data'!I:I,'Supply planning data'!$D:$D,DataViz!$B11),SUMIFS('Supply planning data'!I:I,'Supply planning data'!$D:$D,DataViz!$B11,'Supply planning data'!$C:$C,DataViz!$A$1))</f>
        <v>0</v>
      </c>
      <c r="J13" s="105">
        <f>IF($A$7="All",SUMIFS('Supply planning data'!J:J,'Supply planning data'!$D:$D,DataViz!$B11),SUMIFS('Supply planning data'!J:J,'Supply planning data'!$D:$D,DataViz!$B11,'Supply planning data'!$C:$C,DataViz!$A$1))</f>
        <v>354830</v>
      </c>
      <c r="K13" s="105">
        <f>IF($A$7="All",SUMIFS('Supply planning data'!L:L,'Supply planning data'!$D:$D,DataViz!$B11),SUMIFS('Supply planning data'!L:L,'Supply planning data'!$D:$D,DataViz!$B11,'Supply planning data'!$C:$C,DataViz!$A$1))</f>
        <v>0</v>
      </c>
      <c r="L13" s="105">
        <f>IF($A$7="All",SUMIFS('Supply planning data'!K:K,'Supply planning data'!$D:$D,DataViz!$B11),SUMIFS('Supply planning data'!K:K,'Supply planning data'!$D:$D,DataViz!$B11,'Supply planning data'!$C:$C,DataViz!$A$1))</f>
        <v>0</v>
      </c>
      <c r="M13" s="105">
        <f>IF($A$7="All",SUMIFS('Supply planning data'!M:M,'Supply planning data'!$D:$D,DataViz!$B11),SUMIFS('Supply planning data'!M:M,'Supply planning data'!$D:$D,DataViz!$B11,'Supply planning data'!$C:$C,DataViz!$A$1))</f>
        <v>354830</v>
      </c>
      <c r="N13" s="105">
        <f>IF($A$7="All",SUMIFS('Supply planning data'!N:N,'Supply planning data'!$D:$D,DataViz!$B11),SUMIFS('Supply planning data'!N:N,'Supply planning data'!$D:$D,DataViz!$B11,'Supply planning data'!$C:$C,DataViz!$A$1))+IF($A$7="All",SUMIFS('Supply planning data'!P:P,'Supply planning data'!$D:$D,DataViz!$B11),SUMIFS('Supply planning data'!P:P,'Supply planning data'!$D:$D,DataViz!$B11,'Supply planning data'!$C:$C,DataViz!$A$1))</f>
        <v>0</v>
      </c>
      <c r="O13" s="105">
        <f>IF($A$7="All",SUMIFS('Supply planning data'!R:R,'Supply planning data'!$D:$D,DataViz!$B11),SUMIFS('Supply planning data'!R:R,'Supply planning data'!$D:$D,DataViz!$B11,'Supply planning data'!$C:$C,DataViz!$A$1))</f>
        <v>206400</v>
      </c>
      <c r="P13" s="105">
        <f>IF($A$7="All",SUMIFS('Supply planning data'!S:S,'Supply planning data'!$D:$D,DataViz!$B11),SUMIFS('Supply planning data'!S:S,'Supply planning data'!$D:$D,DataViz!$B11,'Supply planning data'!$C:$C,DataViz!$A$1))</f>
        <v>0</v>
      </c>
      <c r="Q13" s="105">
        <f>IF($A$7="All",SUMIFS('Supply planning data'!V:V,'Supply planning data'!$D:$D,DataViz!$B11),SUMIFS('Supply planning data'!V:V,'Supply planning data'!$D:$D,DataViz!$B11,'Supply planning data'!$C:$C,DataViz!$A$1))</f>
        <v>246117</v>
      </c>
      <c r="R13" s="241">
        <f t="shared" si="18"/>
        <v>1.7319051517276807</v>
      </c>
      <c r="S13" s="280">
        <f t="shared" si="13"/>
        <v>44440</v>
      </c>
      <c r="T13" s="281">
        <f t="shared" si="14"/>
        <v>300947</v>
      </c>
      <c r="U13" s="281">
        <f>IF($A$7="All",SUMIFS('Supply planning data'!M:M,'Supply planning data'!$D:$D,DataViz!$B11),SUMIFS('Supply planning data'!M:M,'Supply planning data'!$D:$D,DataViz!$B11,'Supply planning data'!$C:$C,DataViz!$A$1))</f>
        <v>354830</v>
      </c>
      <c r="V13" s="282"/>
      <c r="W13" s="283"/>
      <c r="X13" s="281">
        <f t="shared" si="0"/>
        <v>0</v>
      </c>
      <c r="Y13" s="281">
        <f t="shared" si="8"/>
        <v>354830</v>
      </c>
      <c r="Z13" s="281">
        <f>IF($A$7="All",SUMIFS('Supply planning data'!N:N,'Supply planning data'!$D:$D,DataViz!$B11),SUMIFS('Supply planning data'!N:N,'Supply planning data'!$D:$D,DataViz!$B11,'Supply planning data'!$C:$C,DataViz!$A$1))+IF($A$7="All",SUMIFS('Supply planning data'!P:P,'Supply planning data'!$D:$D,DataViz!$B11),SUMIFS('Supply planning data'!P:P,'Supply planning data'!$D:$D,DataViz!$B11,'Supply planning data'!$C:$C,DataViz!$A$1))</f>
        <v>0</v>
      </c>
      <c r="AA13" s="281">
        <f>IF($A$7="All",SUMIFS('Supply planning data'!R:R,'Supply planning data'!$D:$D,DataViz!$B11),SUMIFS('Supply planning data'!R:R,'Supply planning data'!$D:$D,DataViz!$B11,'Supply planning data'!$C:$C,DataViz!$A$1))</f>
        <v>206400</v>
      </c>
      <c r="AB13" s="281">
        <f>IF($A$7="All",SUMIFS('Supply planning data'!S:S,'Supply planning data'!$D:$D,DataViz!$B11),SUMIFS('Supply planning data'!S:S,'Supply planning data'!$D:$D,DataViz!$B11,'Supply planning data'!$C:$C,DataViz!$A$1))</f>
        <v>0</v>
      </c>
      <c r="AC13" s="282"/>
      <c r="AD13" s="281">
        <f t="shared" si="19"/>
        <v>152517</v>
      </c>
      <c r="AE13" s="284">
        <f t="shared" ref="AE13:AE31" si="20">IF(Y13&lt;=0,NA(),IFERROR(AD13/(AVERAGE(Y13:Y15)),""))</f>
        <v>0.44049800089148783</v>
      </c>
      <c r="AF13" s="281">
        <f t="shared" si="15"/>
        <v>1924909</v>
      </c>
      <c r="AG13" s="285">
        <f t="shared" si="16"/>
        <v>1.1479333333333332E-3</v>
      </c>
      <c r="AH13" s="281">
        <f>SUM($V$8:V13)+SUM($J$8:J13)</f>
        <v>553643</v>
      </c>
      <c r="AI13" s="281">
        <f>IFERROR(D13+(SUM($V$8:V13)/Dashboard!$W$6),"")</f>
        <v>68876</v>
      </c>
      <c r="AJ13" s="281">
        <f t="shared" si="17"/>
        <v>300947</v>
      </c>
      <c r="AK13" s="281">
        <f>IF($A$7="All",SUMIFS('Supply planning data'!M:M,'Supply planning data'!$D:$D,DataViz!$B11),SUMIFS('Supply planning data'!M:M,'Supply planning data'!$D:$D,DataViz!$B11,'Supply planning data'!$C:$C,DataViz!$A$1))</f>
        <v>354830</v>
      </c>
      <c r="AL13" s="282"/>
      <c r="AM13" s="283"/>
      <c r="AN13" s="281">
        <f t="shared" si="2"/>
        <v>0</v>
      </c>
      <c r="AO13" s="281">
        <f t="shared" si="3"/>
        <v>354830</v>
      </c>
      <c r="AP13" s="281">
        <f>IF($A$7="All",SUMIFS('Supply planning data'!N:N,'Supply planning data'!$D:$D,DataViz!$B11),SUMIFS('Supply planning data'!N:N,'Supply planning data'!$D:$D,DataViz!$B11,'Supply planning data'!$C:$C,DataViz!$A$1))+IF($A$7="All",SUMIFS('Supply planning data'!P:P,'Supply planning data'!$D:$D,DataViz!$B11),SUMIFS('Supply planning data'!P:P,'Supply planning data'!$D:$D,DataViz!$B11,'Supply planning data'!$C:$C,DataViz!$A$1))</f>
        <v>0</v>
      </c>
      <c r="AQ13" s="281">
        <f t="shared" si="4"/>
        <v>206400</v>
      </c>
      <c r="AR13" s="281">
        <f t="shared" si="5"/>
        <v>0</v>
      </c>
      <c r="AS13" s="282"/>
      <c r="AT13" s="281">
        <f t="shared" si="9"/>
        <v>152517</v>
      </c>
      <c r="AU13" s="284">
        <f t="shared" ref="AU13:AU31" si="21">IF(AO13&lt;=0,NA(),IFERROR(AT13/(AVERAGE(AO13:AO15)),""))</f>
        <v>0.44049800089148783</v>
      </c>
      <c r="AV13" s="281">
        <f t="shared" si="10"/>
        <v>1578671.3333333335</v>
      </c>
      <c r="AW13" s="285">
        <f t="shared" si="11"/>
        <v>1.1479333333333332E-3</v>
      </c>
      <c r="AX13" s="281">
        <f>SUM($AL$8:AL13)+SUM($J$8:J13)</f>
        <v>553643</v>
      </c>
      <c r="AY13" s="286">
        <f>IFERROR(D13+(SUM($AL$8:AL13)/Dashboard!$W$6),"")</f>
        <v>68876</v>
      </c>
    </row>
    <row r="14" spans="1:51" x14ac:dyDescent="0.25">
      <c r="A14" s="222">
        <v>7</v>
      </c>
      <c r="B14" s="225">
        <f t="shared" si="12"/>
        <v>44470</v>
      </c>
      <c r="C14" s="98">
        <f>IF(VLOOKUP(Dashboard!$M$6,Start!$B$10:$E$12,4,FALSE)&gt;0,VLOOKUP(Dashboard!$M$6,Start!$B$10:$E$12,4,FALSE),VLOOKUP(Dashboard!$M$6,Start!$B$10:$E$12,3,FALSE))</f>
        <v>60000000</v>
      </c>
      <c r="D14" s="98">
        <f>IF($A$7="Jansen",SUMIFS('Supply planning data'!G:G,'Supply planning data'!$D:$D,"&lt;="&amp;DataViz!$B12,'Supply planning data'!$C:$C,"jansen"),IF($A$7="All",SUMIFS('Supply planning data'!H:H,'Supply planning data'!$D:$D,"&lt;="&amp;DataViz!$B12)+SUMIFS('Supply planning data'!G:G,'Supply planning data'!$D:$D,"&lt;="&amp;DataViz!$B12,'Supply planning data'!$C:$C,"Jansen"),SUMIFS('Supply planning data'!H:H,'Supply planning data'!$D:$D,"&lt;="&amp;DataViz!$B12,'Supply planning data'!$C:$C,DataViz!$A$1)))</f>
        <v>292088</v>
      </c>
      <c r="E14" s="175">
        <f t="shared" si="7"/>
        <v>4.8681333333333333E-3</v>
      </c>
      <c r="F14" s="98">
        <f>IF($A$7="All",SUMIFS('Supply planning data'!F:F,'Supply planning data'!$D:$D,DataViz!$B12),SUMIFS('Supply planning data'!F:F,'Supply planning data'!$D:$D,DataViz!$B12,'Supply planning data'!$C:$C,DataViz!$A$1))</f>
        <v>246117</v>
      </c>
      <c r="G14" s="98">
        <f>IF($A$7="All",SUMIFS('Supply planning data'!G:G,'Supply planning data'!$D:$D,DataViz!$B12),SUMIFS('Supply planning data'!G:G,'Supply planning data'!$D:$D,DataViz!$B12,'Supply planning data'!$C:$C,DataViz!$A$1))</f>
        <v>225324</v>
      </c>
      <c r="H14" s="98">
        <f>IF($A$7="All",SUMIFS('Supply planning data'!H:H,'Supply planning data'!$D:$D,DataViz!$B12),SUMIFS('Supply planning data'!H:H,'Supply planning data'!$D:$D,DataViz!$B12,'Supply planning data'!$C:$C,DataViz!$A$1))</f>
        <v>56984</v>
      </c>
      <c r="I14" s="98">
        <f>IF($A$7="All",SUMIFS('Supply planning data'!I:I,'Supply planning data'!$D:$D,DataViz!$B12),SUMIFS('Supply planning data'!I:I,'Supply planning data'!$D:$D,DataViz!$B12,'Supply planning data'!$C:$C,DataViz!$A$1))</f>
        <v>0</v>
      </c>
      <c r="J14" s="98">
        <f>IF($A$7="All",SUMIFS('Supply planning data'!J:J,'Supply planning data'!$D:$D,DataViz!$B12),SUMIFS('Supply planning data'!J:J,'Supply planning data'!$D:$D,DataViz!$B12,'Supply planning data'!$C:$C,DataViz!$A$1))</f>
        <v>282308</v>
      </c>
      <c r="K14" s="98">
        <f>IF($A$7="All",SUMIFS('Supply planning data'!L:L,'Supply planning data'!$D:$D,DataViz!$B12),SUMIFS('Supply planning data'!L:L,'Supply planning data'!$D:$D,DataViz!$B12,'Supply planning data'!$C:$C,DataViz!$A$1))</f>
        <v>0</v>
      </c>
      <c r="L14" s="98">
        <f>IF($A$7="All",SUMIFS('Supply planning data'!K:K,'Supply planning data'!$D:$D,DataViz!$B12),SUMIFS('Supply planning data'!K:K,'Supply planning data'!$D:$D,DataViz!$B12,'Supply planning data'!$C:$C,DataViz!$A$1))</f>
        <v>0</v>
      </c>
      <c r="M14" s="98">
        <f>IF($A$7="All",SUMIFS('Supply planning data'!M:M,'Supply planning data'!$D:$D,DataViz!$B12),SUMIFS('Supply planning data'!M:M,'Supply planning data'!$D:$D,DataViz!$B12,'Supply planning data'!$C:$C,DataViz!$A$1))</f>
        <v>282308</v>
      </c>
      <c r="N14" s="98">
        <f>IF($A$7="All",SUMIFS('Supply planning data'!N:N,'Supply planning data'!$D:$D,DataViz!$B12),SUMIFS('Supply planning data'!N:N,'Supply planning data'!$D:$D,DataViz!$B12,'Supply planning data'!$C:$C,DataViz!$A$1))+IF($A$7="All",SUMIFS('Supply planning data'!P:P,'Supply planning data'!$D:$D,DataViz!$B12),SUMIFS('Supply planning data'!P:P,'Supply planning data'!$D:$D,DataViz!$B12,'Supply planning data'!$C:$C,DataViz!$A$1))</f>
        <v>0</v>
      </c>
      <c r="O14" s="98">
        <f>IF($A$7="All",SUMIFS('Supply planning data'!R:R,'Supply planning data'!$D:$D,DataViz!$B12),SUMIFS('Supply planning data'!R:R,'Supply planning data'!$D:$D,DataViz!$B12,'Supply planning data'!$C:$C,DataViz!$A$1))</f>
        <v>0</v>
      </c>
      <c r="P14" s="98">
        <f>IF($A$7="All",SUMIFS('Supply planning data'!S:S,'Supply planning data'!$D:$D,DataViz!$B12),SUMIFS('Supply planning data'!S:S,'Supply planning data'!$D:$D,DataViz!$B12,'Supply planning data'!$C:$C,DataViz!$A$1))</f>
        <v>0</v>
      </c>
      <c r="Q14" s="98">
        <f>IF($A$7="All",SUMIFS('Supply planning data'!V:V,'Supply planning data'!$D:$D,DataViz!$B12),SUMIFS('Supply planning data'!V:V,'Supply planning data'!$D:$D,DataViz!$B12,'Supply planning data'!$C:$C,DataViz!$A$1))</f>
        <v>79889</v>
      </c>
      <c r="R14" s="240">
        <f t="shared" si="18"/>
        <v>0.37518844191605705</v>
      </c>
      <c r="S14" s="272">
        <f t="shared" si="13"/>
        <v>44470</v>
      </c>
      <c r="T14" s="273">
        <f t="shared" si="14"/>
        <v>152517</v>
      </c>
      <c r="U14" s="273">
        <f>IF($A$7="All",SUMIFS('Supply planning data'!M:M,'Supply planning data'!$D:$D,DataViz!$B12),SUMIFS('Supply planning data'!M:M,'Supply planning data'!$D:$D,DataViz!$B12,'Supply planning data'!$C:$C,DataViz!$A$1))</f>
        <v>282308</v>
      </c>
      <c r="V14" s="274"/>
      <c r="W14" s="275"/>
      <c r="X14" s="273">
        <f t="shared" si="0"/>
        <v>0</v>
      </c>
      <c r="Y14" s="273">
        <f t="shared" si="8"/>
        <v>282308</v>
      </c>
      <c r="Z14" s="273">
        <f>IF($A$7="All",SUMIFS('Supply planning data'!N:N,'Supply planning data'!$D:$D,DataViz!$B12),SUMIFS('Supply planning data'!N:N,'Supply planning data'!$D:$D,DataViz!$B12,'Supply planning data'!$C:$C,DataViz!$A$1))+IF($A$7="All",SUMIFS('Supply planning data'!P:P,'Supply planning data'!$D:$D,DataViz!$B12),SUMIFS('Supply planning data'!P:P,'Supply planning data'!$D:$D,DataViz!$B12,'Supply planning data'!$C:$C,DataViz!$A$1))</f>
        <v>0</v>
      </c>
      <c r="AA14" s="273">
        <f>IF($A$7="All",SUMIFS('Supply planning data'!R:R,'Supply planning data'!$D:$D,DataViz!$B12),SUMIFS('Supply planning data'!R:R,'Supply planning data'!$D:$D,DataViz!$B12,'Supply planning data'!$C:$C,DataViz!$A$1))</f>
        <v>0</v>
      </c>
      <c r="AB14" s="273">
        <f>IF($A$7="All",SUMIFS('Supply planning data'!S:S,'Supply planning data'!$D:$D,DataViz!$B12),SUMIFS('Supply planning data'!S:S,'Supply planning data'!$D:$D,DataViz!$B12,'Supply planning data'!$C:$C,DataViz!$A$1))</f>
        <v>0</v>
      </c>
      <c r="AC14" s="274"/>
      <c r="AD14" s="273">
        <f t="shared" si="19"/>
        <v>0</v>
      </c>
      <c r="AE14" s="288">
        <f t="shared" si="20"/>
        <v>0</v>
      </c>
      <c r="AF14" s="273">
        <f>IF(($AE$4*AVERAGE(Y14:Y16))-AD14&lt;0,0,($AE$4*AVERAGE(Y14:Y16))-AD14)</f>
        <v>2534784</v>
      </c>
      <c r="AG14" s="276">
        <f t="shared" si="16"/>
        <v>4.8681333333333333E-3</v>
      </c>
      <c r="AH14" s="273">
        <f>SUM($V$8:V14)+SUM($J$8:J14)</f>
        <v>835951</v>
      </c>
      <c r="AI14" s="273">
        <f>IFERROR(D14+(SUM($V$8:V14)/Dashboard!$W$6),"")</f>
        <v>292088</v>
      </c>
      <c r="AJ14" s="273">
        <f t="shared" si="17"/>
        <v>152517</v>
      </c>
      <c r="AK14" s="273">
        <f>IF($A$7="All",SUMIFS('Supply planning data'!M:M,'Supply planning data'!$D:$D,DataViz!$B12),SUMIFS('Supply planning data'!M:M,'Supply planning data'!$D:$D,DataViz!$B12,'Supply planning data'!$C:$C,DataViz!$A$1))</f>
        <v>282308</v>
      </c>
      <c r="AL14" s="274"/>
      <c r="AM14" s="275"/>
      <c r="AN14" s="273">
        <f t="shared" si="2"/>
        <v>0</v>
      </c>
      <c r="AO14" s="273">
        <f t="shared" si="3"/>
        <v>282308</v>
      </c>
      <c r="AP14" s="273">
        <f>IF($A$7="All",SUMIFS('Supply planning data'!N:N,'Supply planning data'!$D:$D,DataViz!$B12),SUMIFS('Supply planning data'!N:N,'Supply planning data'!$D:$D,DataViz!$B12,'Supply planning data'!$C:$C,DataViz!$A$1))+IF($A$7="All",SUMIFS('Supply planning data'!P:P,'Supply planning data'!$D:$D,DataViz!$B12),SUMIFS('Supply planning data'!P:P,'Supply planning data'!$D:$D,DataViz!$B12,'Supply planning data'!$C:$C,DataViz!$A$1))</f>
        <v>0</v>
      </c>
      <c r="AQ14" s="273">
        <f t="shared" si="4"/>
        <v>0</v>
      </c>
      <c r="AR14" s="273">
        <f t="shared" si="5"/>
        <v>0</v>
      </c>
      <c r="AS14" s="274"/>
      <c r="AT14" s="273">
        <f t="shared" si="9"/>
        <v>0</v>
      </c>
      <c r="AU14" s="288">
        <f t="shared" si="21"/>
        <v>0</v>
      </c>
      <c r="AV14" s="273">
        <f t="shared" si="10"/>
        <v>2112320</v>
      </c>
      <c r="AW14" s="276">
        <f t="shared" si="11"/>
        <v>4.8681333333333333E-3</v>
      </c>
      <c r="AX14" s="273">
        <f>SUM($AL$8:AL14)+SUM($J$8:J14)</f>
        <v>835951</v>
      </c>
      <c r="AY14" s="277">
        <f>IFERROR(D14+(SUM($AL$8:AL14)/Dashboard!$W$6),"")</f>
        <v>292088</v>
      </c>
    </row>
    <row r="15" spans="1:51" x14ac:dyDescent="0.25">
      <c r="A15" s="222">
        <v>8</v>
      </c>
      <c r="B15" s="226">
        <f t="shared" si="12"/>
        <v>44501</v>
      </c>
      <c r="C15" s="105">
        <f>IF(VLOOKUP(Dashboard!$M$6,Start!$B$10:$E$12,4,FALSE)&gt;0,VLOOKUP(Dashboard!$M$6,Start!$B$10:$E$12,4,FALSE),VLOOKUP(Dashboard!$M$6,Start!$B$10:$E$12,3,FALSE))</f>
        <v>60000000</v>
      </c>
      <c r="D15" s="105">
        <f>IF($A$7="Jansen",SUMIFS('Supply planning data'!G:G,'Supply planning data'!$D:$D,"&lt;="&amp;DataViz!$B13,'Supply planning data'!$C:$C,"jansen"),IF($A$7="All",SUMIFS('Supply planning data'!H:H,'Supply planning data'!$D:$D,"&lt;="&amp;DataViz!$B13)+SUMIFS('Supply planning data'!G:G,'Supply planning data'!$D:$D,"&lt;="&amp;DataViz!$B13,'Supply planning data'!$C:$C,"Jansen"),SUMIFS('Supply planning data'!H:H,'Supply planning data'!$D:$D,"&lt;="&amp;DataViz!$B13,'Supply planning data'!$C:$C,DataViz!$A$1)))</f>
        <v>675083</v>
      </c>
      <c r="E15" s="177">
        <f t="shared" si="7"/>
        <v>1.1251383333333333E-2</v>
      </c>
      <c r="F15" s="105">
        <f>IF($A$7="All",SUMIFS('Supply planning data'!F:F,'Supply planning data'!$D:$D,DataViz!$B13),SUMIFS('Supply planning data'!F:F,'Supply planning data'!$D:$D,DataViz!$B13,'Supply planning data'!$C:$C,DataViz!$A$1))</f>
        <v>79889</v>
      </c>
      <c r="G15" s="105">
        <f>IF($A$7="All",SUMIFS('Supply planning data'!G:G,'Supply planning data'!$D:$D,DataViz!$B13),SUMIFS('Supply planning data'!G:G,'Supply planning data'!$D:$D,DataViz!$B13,'Supply planning data'!$C:$C,DataViz!$A$1))</f>
        <v>382601</v>
      </c>
      <c r="H15" s="105">
        <f>IF($A$7="All",SUMIFS('Supply planning data'!H:H,'Supply planning data'!$D:$D,DataViz!$B13),SUMIFS('Supply planning data'!H:H,'Supply planning data'!$D:$D,DataViz!$B13,'Supply planning data'!$C:$C,DataViz!$A$1))</f>
        <v>18374</v>
      </c>
      <c r="I15" s="105">
        <f>IF($A$7="All",SUMIFS('Supply planning data'!I:I,'Supply planning data'!$D:$D,DataViz!$B13),SUMIFS('Supply planning data'!I:I,'Supply planning data'!$D:$D,DataViz!$B13,'Supply planning data'!$C:$C,DataViz!$A$1))</f>
        <v>0</v>
      </c>
      <c r="J15" s="105">
        <f>IF($A$7="All",SUMIFS('Supply planning data'!J:J,'Supply planning data'!$D:$D,DataViz!$B13),SUMIFS('Supply planning data'!J:J,'Supply planning data'!$D:$D,DataViz!$B13,'Supply planning data'!$C:$C,DataViz!$A$1))</f>
        <v>400975</v>
      </c>
      <c r="K15" s="105">
        <f>IF($A$7="All",SUMIFS('Supply planning data'!L:L,'Supply planning data'!$D:$D,DataViz!$B13),SUMIFS('Supply planning data'!L:L,'Supply planning data'!$D:$D,DataViz!$B13,'Supply planning data'!$C:$C,DataViz!$A$1))</f>
        <v>1.6455442774826463E-3</v>
      </c>
      <c r="L15" s="105">
        <f>IF($A$7="All",SUMIFS('Supply planning data'!K:K,'Supply planning data'!$D:$D,DataViz!$B13),SUMIFS('Supply planning data'!K:K,'Supply planning data'!$D:$D,DataViz!$B13,'Supply planning data'!$C:$C,DataViz!$A$1))</f>
        <v>600</v>
      </c>
      <c r="M15" s="105">
        <f>IF($A$7="All",SUMIFS('Supply planning data'!M:M,'Supply planning data'!$D:$D,DataViz!$B13),SUMIFS('Supply planning data'!M:M,'Supply planning data'!$D:$D,DataViz!$B13,'Supply planning data'!$C:$C,DataViz!$A$1))</f>
        <v>401575</v>
      </c>
      <c r="N15" s="105">
        <f>IF($A$7="All",SUMIFS('Supply planning data'!N:N,'Supply planning data'!$D:$D,DataViz!$B13),SUMIFS('Supply planning data'!N:N,'Supply planning data'!$D:$D,DataViz!$B13,'Supply planning data'!$C:$C,DataViz!$A$1))+IF($A$7="All",SUMIFS('Supply planning data'!P:P,'Supply planning data'!$D:$D,DataViz!$B13),SUMIFS('Supply planning data'!P:P,'Supply planning data'!$D:$D,DataViz!$B13,'Supply planning data'!$C:$C,DataViz!$A$1))</f>
        <v>0</v>
      </c>
      <c r="O15" s="105">
        <f>IF($A$7="All",SUMIFS('Supply planning data'!R:R,'Supply planning data'!$D:$D,DataViz!$B13),SUMIFS('Supply planning data'!R:R,'Supply planning data'!$D:$D,DataViz!$B13,'Supply planning data'!$C:$C,DataViz!$A$1))</f>
        <v>1355200</v>
      </c>
      <c r="P15" s="105">
        <f>IF($A$7="All",SUMIFS('Supply planning data'!S:S,'Supply planning data'!$D:$D,DataViz!$B13),SUMIFS('Supply planning data'!S:S,'Supply planning data'!$D:$D,DataViz!$B13,'Supply planning data'!$C:$C,DataViz!$A$1))</f>
        <v>0</v>
      </c>
      <c r="Q15" s="105">
        <f>IF($A$7="All",SUMIFS('Supply planning data'!V:V,'Supply planning data'!$D:$D,DataViz!$B13),SUMIFS('Supply planning data'!V:V,'Supply planning data'!$D:$D,DataViz!$B13,'Supply planning data'!$C:$C,DataViz!$A$1))</f>
        <v>1033514</v>
      </c>
      <c r="R15" s="241">
        <f t="shared" si="18"/>
        <v>2.9849843026899632</v>
      </c>
      <c r="S15" s="278">
        <f t="shared" si="13"/>
        <v>44501</v>
      </c>
      <c r="T15" s="246">
        <f t="shared" si="14"/>
        <v>0</v>
      </c>
      <c r="U15" s="246">
        <f>IF($A$7="All",SUMIFS('Supply planning data'!M:M,'Supply planning data'!$D:$D,DataViz!$B13),SUMIFS('Supply planning data'!M:M,'Supply planning data'!$D:$D,DataViz!$B13,'Supply planning data'!$C:$C,DataViz!$A$1))</f>
        <v>401575</v>
      </c>
      <c r="V15" s="242"/>
      <c r="W15" s="243"/>
      <c r="X15" s="246">
        <f t="shared" si="0"/>
        <v>0</v>
      </c>
      <c r="Y15" s="246">
        <f t="shared" si="8"/>
        <v>401575</v>
      </c>
      <c r="Z15" s="246">
        <f>IF($A$7="All",SUMIFS('Supply planning data'!N:N,'Supply planning data'!$D:$D,DataViz!$B13),SUMIFS('Supply planning data'!N:N,'Supply planning data'!$D:$D,DataViz!$B13,'Supply planning data'!$C:$C,DataViz!$A$1))+IF($A$7="All",SUMIFS('Supply planning data'!P:P,'Supply planning data'!$D:$D,DataViz!$B13),SUMIFS('Supply planning data'!P:P,'Supply planning data'!$D:$D,DataViz!$B13,'Supply planning data'!$C:$C,DataViz!$A$1))</f>
        <v>0</v>
      </c>
      <c r="AA15" s="246">
        <f>IF($A$7="All",SUMIFS('Supply planning data'!R:R,'Supply planning data'!$D:$D,DataViz!$B13),SUMIFS('Supply planning data'!R:R,'Supply planning data'!$D:$D,DataViz!$B13,'Supply planning data'!$C:$C,DataViz!$A$1))</f>
        <v>1355200</v>
      </c>
      <c r="AB15" s="246">
        <f>IF($A$7="All",SUMIFS('Supply planning data'!S:S,'Supply planning data'!$D:$D,DataViz!$B13),SUMIFS('Supply planning data'!S:S,'Supply planning data'!$D:$D,DataViz!$B13,'Supply planning data'!$C:$C,DataViz!$A$1))</f>
        <v>0</v>
      </c>
      <c r="AC15" s="242"/>
      <c r="AD15" s="246">
        <f t="shared" si="19"/>
        <v>953625</v>
      </c>
      <c r="AE15" s="252">
        <f t="shared" si="20"/>
        <v>2.4213123730998301</v>
      </c>
      <c r="AF15" s="246">
        <f t="shared" si="15"/>
        <v>1409453</v>
      </c>
      <c r="AG15" s="249">
        <f t="shared" si="16"/>
        <v>1.1251383333333333E-2</v>
      </c>
      <c r="AH15" s="246">
        <f>SUM($V$8:V15)+SUM($J$8:J15)</f>
        <v>1236926</v>
      </c>
      <c r="AI15" s="246">
        <f>IFERROR(D15+(SUM($V$8:V15)/Dashboard!$W$6),"")</f>
        <v>675083</v>
      </c>
      <c r="AJ15" s="246">
        <f t="shared" si="17"/>
        <v>0</v>
      </c>
      <c r="AK15" s="246">
        <f>IF($A$7="All",SUMIFS('Supply planning data'!M:M,'Supply planning data'!$D:$D,DataViz!$B13),SUMIFS('Supply planning data'!M:M,'Supply planning data'!$D:$D,DataViz!$B13,'Supply planning data'!$C:$C,DataViz!$A$1))</f>
        <v>401575</v>
      </c>
      <c r="AL15" s="242"/>
      <c r="AM15" s="243"/>
      <c r="AN15" s="246">
        <f t="shared" si="2"/>
        <v>0</v>
      </c>
      <c r="AO15" s="246">
        <f t="shared" si="3"/>
        <v>401575</v>
      </c>
      <c r="AP15" s="246">
        <f>IF($A$7="All",SUMIFS('Supply planning data'!N:N,'Supply planning data'!$D:$D,DataViz!$B13),SUMIFS('Supply planning data'!N:N,'Supply planning data'!$D:$D,DataViz!$B13,'Supply planning data'!$C:$C,DataViz!$A$1))+IF($A$7="All",SUMIFS('Supply planning data'!P:P,'Supply planning data'!$D:$D,DataViz!$B13),SUMIFS('Supply planning data'!P:P,'Supply planning data'!$D:$D,DataViz!$B13,'Supply planning data'!$C:$C,DataViz!$A$1))</f>
        <v>0</v>
      </c>
      <c r="AQ15" s="246">
        <f t="shared" si="4"/>
        <v>1355200</v>
      </c>
      <c r="AR15" s="246">
        <f t="shared" si="5"/>
        <v>0</v>
      </c>
      <c r="AS15" s="242"/>
      <c r="AT15" s="246">
        <f t="shared" si="9"/>
        <v>953625</v>
      </c>
      <c r="AU15" s="252">
        <f t="shared" si="21"/>
        <v>2.4213123730998301</v>
      </c>
      <c r="AV15" s="246">
        <f t="shared" si="10"/>
        <v>1015606.6666666665</v>
      </c>
      <c r="AW15" s="249">
        <f t="shared" si="11"/>
        <v>1.1251383333333333E-2</v>
      </c>
      <c r="AX15" s="246">
        <f>SUM($AL$8:AL15)+SUM($J$8:J15)</f>
        <v>1236926</v>
      </c>
      <c r="AY15" s="279">
        <f>IFERROR(D15+(SUM($AL$8:AL15)/Dashboard!$W$6),"")</f>
        <v>675083</v>
      </c>
    </row>
    <row r="16" spans="1:51" x14ac:dyDescent="0.25">
      <c r="A16" s="222">
        <v>9</v>
      </c>
      <c r="B16" s="225">
        <f t="shared" si="12"/>
        <v>44531</v>
      </c>
      <c r="C16" s="98">
        <f>IF(VLOOKUP(Dashboard!$M$6,Start!$B$10:$E$12,4,FALSE)&gt;0,VLOOKUP(Dashboard!$M$6,Start!$B$10:$E$12,4,FALSE),VLOOKUP(Dashboard!$M$6,Start!$B$10:$E$12,3,FALSE))</f>
        <v>60000000</v>
      </c>
      <c r="D16" s="98">
        <f>IF($A$7="Jansen",SUMIFS('Supply planning data'!G:G,'Supply planning data'!$D:$D,"&lt;="&amp;DataViz!$B14,'Supply planning data'!$C:$C,"jansen"),IF($A$7="All",SUMIFS('Supply planning data'!H:H,'Supply planning data'!$D:$D,"&lt;="&amp;DataViz!$B14)+SUMIFS('Supply planning data'!G:G,'Supply planning data'!$D:$D,"&lt;="&amp;DataViz!$B14,'Supply planning data'!$C:$C,"Jansen"),SUMIFS('Supply planning data'!H:H,'Supply planning data'!$D:$D,"&lt;="&amp;DataViz!$B14,'Supply planning data'!$C:$C,DataViz!$A$1)))</f>
        <v>1139671</v>
      </c>
      <c r="E16" s="175">
        <f t="shared" si="7"/>
        <v>1.8994516666666666E-2</v>
      </c>
      <c r="F16" s="98">
        <f>IF($A$7="All",SUMIFS('Supply planning data'!F:F,'Supply planning data'!$D:$D,DataViz!$B14),SUMIFS('Supply planning data'!F:F,'Supply planning data'!$D:$D,DataViz!$B14,'Supply planning data'!$C:$C,DataViz!$A$1))</f>
        <v>1033514</v>
      </c>
      <c r="G16" s="98">
        <f>IF($A$7="All",SUMIFS('Supply planning data'!G:G,'Supply planning data'!$D:$D,DataViz!$B14),SUMIFS('Supply planning data'!G:G,'Supply planning data'!$D:$D,DataViz!$B14,'Supply planning data'!$C:$C,DataViz!$A$1))</f>
        <v>515578</v>
      </c>
      <c r="H16" s="98">
        <f>IF($A$7="All",SUMIFS('Supply planning data'!H:H,'Supply planning data'!$D:$D,DataViz!$B14),SUMIFS('Supply planning data'!H:H,'Supply planning data'!$D:$D,DataViz!$B14,'Supply planning data'!$C:$C,DataViz!$A$1))</f>
        <v>67691</v>
      </c>
      <c r="I16" s="98">
        <f>IF($A$7="All",SUMIFS('Supply planning data'!I:I,'Supply planning data'!$D:$D,DataViz!$B14),SUMIFS('Supply planning data'!I:I,'Supply planning data'!$D:$D,DataViz!$B14,'Supply planning data'!$C:$C,DataViz!$A$1))</f>
        <v>0</v>
      </c>
      <c r="J16" s="98">
        <f>IF($A$7="All",SUMIFS('Supply planning data'!J:J,'Supply planning data'!$D:$D,DataViz!$B14),SUMIFS('Supply planning data'!J:J,'Supply planning data'!$D:$D,DataViz!$B14,'Supply planning data'!$C:$C,DataViz!$A$1))</f>
        <v>583269</v>
      </c>
      <c r="K16" s="98">
        <f>IF($A$7="All",SUMIFS('Supply planning data'!L:L,'Supply planning data'!$D:$D,DataViz!$B14),SUMIFS('Supply planning data'!L:L,'Supply planning data'!$D:$D,DataViz!$B14,'Supply planning data'!$C:$C,DataViz!$A$1))</f>
        <v>6.0469088957588492E-4</v>
      </c>
      <c r="L16" s="98">
        <f>IF($A$7="All",SUMIFS('Supply planning data'!K:K,'Supply planning data'!$D:$D,DataViz!$B14),SUMIFS('Supply planning data'!K:K,'Supply planning data'!$D:$D,DataViz!$B14,'Supply planning data'!$C:$C,DataViz!$A$1))</f>
        <v>240</v>
      </c>
      <c r="M16" s="98">
        <f>IF($A$7="All",SUMIFS('Supply planning data'!M:M,'Supply planning data'!$D:$D,DataViz!$B14),SUMIFS('Supply planning data'!M:M,'Supply planning data'!$D:$D,DataViz!$B14,'Supply planning data'!$C:$C,DataViz!$A$1))</f>
        <v>583509</v>
      </c>
      <c r="N16" s="98">
        <f>IF($A$7="All",SUMIFS('Supply planning data'!N:N,'Supply planning data'!$D:$D,DataViz!$B14),SUMIFS('Supply planning data'!N:N,'Supply planning data'!$D:$D,DataViz!$B14,'Supply planning data'!$C:$C,DataViz!$A$1))+IF($A$7="All",SUMIFS('Supply planning data'!P:P,'Supply planning data'!$D:$D,DataViz!$B14),SUMIFS('Supply planning data'!P:P,'Supply planning data'!$D:$D,DataViz!$B14,'Supply planning data'!$C:$C,DataViz!$A$1))</f>
        <v>0</v>
      </c>
      <c r="O16" s="98">
        <f>IF($A$7="All",SUMIFS('Supply planning data'!R:R,'Supply planning data'!$D:$D,DataViz!$B14),SUMIFS('Supply planning data'!R:R,'Supply planning data'!$D:$D,DataViz!$B14,'Supply planning data'!$C:$C,DataViz!$A$1))</f>
        <v>0</v>
      </c>
      <c r="P16" s="98">
        <f>IF($A$7="All",SUMIFS('Supply planning data'!S:S,'Supply planning data'!$D:$D,DataViz!$B14),SUMIFS('Supply planning data'!S:S,'Supply planning data'!$D:$D,DataViz!$B14,'Supply planning data'!$C:$C,DataViz!$A$1))</f>
        <v>0</v>
      </c>
      <c r="Q16" s="98">
        <f>IF($A$7="All",SUMIFS('Supply planning data'!V:V,'Supply planning data'!$D:$D,DataViz!$B14),SUMIFS('Supply planning data'!V:V,'Supply planning data'!$D:$D,DataViz!$B14,'Supply planning data'!$C:$C,DataViz!$A$1))</f>
        <v>450005</v>
      </c>
      <c r="R16" s="240">
        <f t="shared" si="18"/>
        <v>1.0651913535827904</v>
      </c>
      <c r="S16" s="280">
        <f t="shared" si="13"/>
        <v>44531</v>
      </c>
      <c r="T16" s="281">
        <f t="shared" si="14"/>
        <v>953625</v>
      </c>
      <c r="U16" s="281">
        <f>IF($A$7="All",SUMIFS('Supply planning data'!M:M,'Supply planning data'!$D:$D,DataViz!$B14),SUMIFS('Supply planning data'!M:M,'Supply planning data'!$D:$D,DataViz!$B14,'Supply planning data'!$C:$C,DataViz!$A$1))</f>
        <v>583509</v>
      </c>
      <c r="V16" s="282"/>
      <c r="W16" s="283"/>
      <c r="X16" s="281">
        <f t="shared" si="0"/>
        <v>0</v>
      </c>
      <c r="Y16" s="281">
        <f t="shared" si="8"/>
        <v>583509</v>
      </c>
      <c r="Z16" s="281">
        <f>IF($A$7="All",SUMIFS('Supply planning data'!N:N,'Supply planning data'!$D:$D,DataViz!$B14),SUMIFS('Supply planning data'!N:N,'Supply planning data'!$D:$D,DataViz!$B14,'Supply planning data'!$C:$C,DataViz!$A$1))+IF($A$7="All",SUMIFS('Supply planning data'!P:P,'Supply planning data'!$D:$D,DataViz!$B14),SUMIFS('Supply planning data'!P:P,'Supply planning data'!$D:$D,DataViz!$B14,'Supply planning data'!$C:$C,DataViz!$A$1))</f>
        <v>0</v>
      </c>
      <c r="AA16" s="281">
        <f>IF($A$7="All",SUMIFS('Supply planning data'!R:R,'Supply planning data'!$D:$D,DataViz!$B14),SUMIFS('Supply planning data'!R:R,'Supply planning data'!$D:$D,DataViz!$B14,'Supply planning data'!$C:$C,DataViz!$A$1))</f>
        <v>0</v>
      </c>
      <c r="AB16" s="281">
        <f>IF($A$7="All",SUMIFS('Supply planning data'!S:S,'Supply planning data'!$D:$D,DataViz!$B14),SUMIFS('Supply planning data'!S:S,'Supply planning data'!$D:$D,DataViz!$B14,'Supply planning data'!$C:$C,DataViz!$A$1))</f>
        <v>0</v>
      </c>
      <c r="AC16" s="282"/>
      <c r="AD16" s="281">
        <f t="shared" si="19"/>
        <v>370116</v>
      </c>
      <c r="AE16" s="284">
        <f t="shared" si="20"/>
        <v>0.86770884129187142</v>
      </c>
      <c r="AF16" s="281">
        <f t="shared" si="15"/>
        <v>2189148</v>
      </c>
      <c r="AG16" s="285">
        <f t="shared" si="16"/>
        <v>1.8994516666666666E-2</v>
      </c>
      <c r="AH16" s="281">
        <f>SUM($V$8:V16)+SUM($J$8:J16)</f>
        <v>1820195</v>
      </c>
      <c r="AI16" s="281">
        <f>IFERROR(D16+(SUM($V$8:V16)/Dashboard!$W$6),"")</f>
        <v>1139671</v>
      </c>
      <c r="AJ16" s="281">
        <f t="shared" si="17"/>
        <v>953625</v>
      </c>
      <c r="AK16" s="281">
        <f>IF($A$7="All",SUMIFS('Supply planning data'!M:M,'Supply planning data'!$D:$D,DataViz!$B14),SUMIFS('Supply planning data'!M:M,'Supply planning data'!$D:$D,DataViz!$B14,'Supply planning data'!$C:$C,DataViz!$A$1))</f>
        <v>583509</v>
      </c>
      <c r="AL16" s="282"/>
      <c r="AM16" s="283"/>
      <c r="AN16" s="281">
        <f t="shared" si="2"/>
        <v>0</v>
      </c>
      <c r="AO16" s="281">
        <f t="shared" si="3"/>
        <v>583509</v>
      </c>
      <c r="AP16" s="281">
        <f>IF($A$7="All",SUMIFS('Supply planning data'!N:N,'Supply planning data'!$D:$D,DataViz!$B14),SUMIFS('Supply planning data'!N:N,'Supply planning data'!$D:$D,DataViz!$B14,'Supply planning data'!$C:$C,DataViz!$A$1))+IF($A$7="All",SUMIFS('Supply planning data'!P:P,'Supply planning data'!$D:$D,DataViz!$B14),SUMIFS('Supply planning data'!P:P,'Supply planning data'!$D:$D,DataViz!$B14,'Supply planning data'!$C:$C,DataViz!$A$1))</f>
        <v>0</v>
      </c>
      <c r="AQ16" s="281">
        <f t="shared" si="4"/>
        <v>0</v>
      </c>
      <c r="AR16" s="281">
        <f t="shared" si="5"/>
        <v>0</v>
      </c>
      <c r="AS16" s="282"/>
      <c r="AT16" s="281">
        <f t="shared" si="9"/>
        <v>370116</v>
      </c>
      <c r="AU16" s="284">
        <f t="shared" si="21"/>
        <v>0.86770884129187142</v>
      </c>
      <c r="AV16" s="281">
        <f t="shared" si="10"/>
        <v>1762604</v>
      </c>
      <c r="AW16" s="285">
        <f t="shared" si="11"/>
        <v>1.8994516666666666E-2</v>
      </c>
      <c r="AX16" s="281">
        <f>SUM($AL$8:AL16)+SUM($J$8:J16)</f>
        <v>1820195</v>
      </c>
      <c r="AY16" s="286">
        <f>IFERROR(D16+(SUM($AL$8:AL16)/Dashboard!$W$6),"")</f>
        <v>1139671</v>
      </c>
    </row>
    <row r="17" spans="1:65" x14ac:dyDescent="0.25">
      <c r="A17" s="222">
        <v>10</v>
      </c>
      <c r="B17" s="226">
        <f t="shared" si="12"/>
        <v>44562</v>
      </c>
      <c r="C17" s="105">
        <f>IF(VLOOKUP(Dashboard!$M$6,Start!$B$10:$E$12,4,FALSE)&gt;0,VLOOKUP(Dashboard!$M$6,Start!$B$10:$E$12,4,FALSE),VLOOKUP(Dashboard!$M$6,Start!$B$10:$E$12,3,FALSE))</f>
        <v>60000000</v>
      </c>
      <c r="D17" s="105">
        <f>IF($A$7="Jansen",SUMIFS('Supply planning data'!G:G,'Supply planning data'!$D:$D,"&lt;="&amp;DataViz!$B15,'Supply planning data'!$C:$C,"jansen"),IF($A$7="All",SUMIFS('Supply planning data'!H:H,'Supply planning data'!$D:$D,"&lt;="&amp;DataViz!$B15)+SUMIFS('Supply planning data'!G:G,'Supply planning data'!$D:$D,"&lt;="&amp;DataViz!$B15,'Supply planning data'!$C:$C,"Jansen"),SUMIFS('Supply planning data'!H:H,'Supply planning data'!$D:$D,"&lt;="&amp;DataViz!$B15,'Supply planning data'!$C:$C,DataViz!$A$1)))</f>
        <v>1278679</v>
      </c>
      <c r="E17" s="177">
        <f t="shared" si="7"/>
        <v>2.1311316666666667E-2</v>
      </c>
      <c r="F17" s="105">
        <f>IF($A$7="All",SUMIFS('Supply planning data'!F:F,'Supply planning data'!$D:$D,DataViz!$B15),SUMIFS('Supply planning data'!F:F,'Supply planning data'!$D:$D,DataViz!$B15,'Supply planning data'!$C:$C,DataViz!$A$1))</f>
        <v>450005</v>
      </c>
      <c r="G17" s="105">
        <f>IF($A$7="All",SUMIFS('Supply planning data'!G:G,'Supply planning data'!$D:$D,DataViz!$B15),SUMIFS('Supply planning data'!G:G,'Supply planning data'!$D:$D,DataViz!$B15,'Supply planning data'!$C:$C,DataViz!$A$1))</f>
        <v>186650</v>
      </c>
      <c r="H17" s="105">
        <f>IF($A$7="All",SUMIFS('Supply planning data'!H:H,'Supply planning data'!$D:$D,DataViz!$B15),SUMIFS('Supply planning data'!H:H,'Supply planning data'!$D:$D,DataViz!$B15,'Supply planning data'!$C:$C,DataViz!$A$1))</f>
        <v>3445</v>
      </c>
      <c r="I17" s="105">
        <f>IF($A$7="All",SUMIFS('Supply planning data'!I:I,'Supply planning data'!$D:$D,DataViz!$B15),SUMIFS('Supply planning data'!I:I,'Supply planning data'!$D:$D,DataViz!$B15,'Supply planning data'!$C:$C,DataViz!$A$1))</f>
        <v>0</v>
      </c>
      <c r="J17" s="105">
        <f>IF($A$7="All",SUMIFS('Supply planning data'!J:J,'Supply planning data'!$D:$D,DataViz!$B15),SUMIFS('Supply planning data'!J:J,'Supply planning data'!$D:$D,DataViz!$B15,'Supply planning data'!$C:$C,DataViz!$A$1))</f>
        <v>190095</v>
      </c>
      <c r="K17" s="105">
        <f>IF($A$7="All",SUMIFS('Supply planning data'!L:L,'Supply planning data'!$D:$D,DataViz!$B15),SUMIFS('Supply planning data'!L:L,'Supply planning data'!$D:$D,DataViz!$B15,'Supply planning data'!$C:$C,DataViz!$A$1))</f>
        <v>1.1049018773865899E-2</v>
      </c>
      <c r="L17" s="105">
        <f>IF($A$7="All",SUMIFS('Supply planning data'!K:K,'Supply planning data'!$D:$D,DataViz!$B15),SUMIFS('Supply planning data'!K:K,'Supply planning data'!$D:$D,DataViz!$B15,'Supply planning data'!$C:$C,DataViz!$A$1))</f>
        <v>6360</v>
      </c>
      <c r="M17" s="105">
        <f>IF($A$7="All",SUMIFS('Supply planning data'!M:M,'Supply planning data'!$D:$D,DataViz!$B15),SUMIFS('Supply planning data'!M:M,'Supply planning data'!$D:$D,DataViz!$B15,'Supply planning data'!$C:$C,DataViz!$A$1))</f>
        <v>196455</v>
      </c>
      <c r="N17" s="105">
        <f>IF($A$7="All",SUMIFS('Supply planning data'!N:N,'Supply planning data'!$D:$D,DataViz!$B15),SUMIFS('Supply planning data'!N:N,'Supply planning data'!$D:$D,DataViz!$B15,'Supply planning data'!$C:$C,DataViz!$A$1))+IF($A$7="All",SUMIFS('Supply planning data'!P:P,'Supply planning data'!$D:$D,DataViz!$B15),SUMIFS('Supply planning data'!P:P,'Supply planning data'!$D:$D,DataViz!$B15,'Supply planning data'!$C:$C,DataViz!$A$1))</f>
        <v>0</v>
      </c>
      <c r="O17" s="105">
        <f>IF($A$7="All",SUMIFS('Supply planning data'!R:R,'Supply planning data'!$D:$D,DataViz!$B15),SUMIFS('Supply planning data'!R:R,'Supply planning data'!$D:$D,DataViz!$B15,'Supply planning data'!$C:$C,DataViz!$A$1))</f>
        <v>794970</v>
      </c>
      <c r="P17" s="105">
        <f>IF($A$7="All",SUMIFS('Supply planning data'!S:S,'Supply planning data'!$D:$D,DataViz!$B15),SUMIFS('Supply planning data'!S:S,'Supply planning data'!$D:$D,DataViz!$B15,'Supply planning data'!$C:$C,DataViz!$A$1))</f>
        <v>0</v>
      </c>
      <c r="Q17" s="105">
        <f>IF($A$7="All",SUMIFS('Supply planning data'!V:V,'Supply planning data'!$D:$D,DataViz!$B15),SUMIFS('Supply planning data'!V:V,'Supply planning data'!$D:$D,DataViz!$B15,'Supply planning data'!$C:$C,DataViz!$A$1))</f>
        <v>1053920</v>
      </c>
      <c r="R17" s="241">
        <f t="shared" si="18"/>
        <v>2.6759675304835473</v>
      </c>
      <c r="S17" s="272">
        <f t="shared" si="13"/>
        <v>44562</v>
      </c>
      <c r="T17" s="273">
        <f t="shared" si="14"/>
        <v>370116</v>
      </c>
      <c r="U17" s="273">
        <f>IF($A$7="All",SUMIFS('Supply planning data'!M:M,'Supply planning data'!$D:$D,DataViz!$B15),SUMIFS('Supply planning data'!M:M,'Supply planning data'!$D:$D,DataViz!$B15,'Supply planning data'!$C:$C,DataViz!$A$1))</f>
        <v>196455</v>
      </c>
      <c r="V17" s="336"/>
      <c r="W17" s="275"/>
      <c r="X17" s="273">
        <f t="shared" si="0"/>
        <v>0</v>
      </c>
      <c r="Y17" s="273">
        <f t="shared" si="8"/>
        <v>196455</v>
      </c>
      <c r="Z17" s="273">
        <f>IF($A$7="All",SUMIFS('Supply planning data'!N:N,'Supply planning data'!$D:$D,DataViz!$B15),SUMIFS('Supply planning data'!N:N,'Supply planning data'!$D:$D,DataViz!$B15,'Supply planning data'!$C:$C,DataViz!$A$1))+IF($A$7="All",SUMIFS('Supply planning data'!P:P,'Supply planning data'!$D:$D,DataViz!$B15),SUMIFS('Supply planning data'!P:P,'Supply planning data'!$D:$D,DataViz!$B15,'Supply planning data'!$C:$C,DataViz!$A$1))</f>
        <v>0</v>
      </c>
      <c r="AA17" s="273">
        <f>IF($A$7="All",SUMIFS('Supply planning data'!R:R,'Supply planning data'!$D:$D,DataViz!$B15),SUMIFS('Supply planning data'!R:R,'Supply planning data'!$D:$D,DataViz!$B15,'Supply planning data'!$C:$C,DataViz!$A$1))</f>
        <v>794970</v>
      </c>
      <c r="AB17" s="273">
        <f>IF($A$7="All",SUMIFS('Supply planning data'!S:S,'Supply planning data'!$D:$D,DataViz!$B15),SUMIFS('Supply planning data'!S:S,'Supply planning data'!$D:$D,DataViz!$B15,'Supply planning data'!$C:$C,DataViz!$A$1))</f>
        <v>0</v>
      </c>
      <c r="AC17" s="274"/>
      <c r="AD17" s="273">
        <f t="shared" si="19"/>
        <v>968631</v>
      </c>
      <c r="AE17" s="288">
        <f t="shared" si="20"/>
        <v>3.2293010406155678</v>
      </c>
      <c r="AF17" s="273">
        <f t="shared" si="15"/>
        <v>831073</v>
      </c>
      <c r="AG17" s="276">
        <f t="shared" si="16"/>
        <v>2.1311316666666667E-2</v>
      </c>
      <c r="AH17" s="273">
        <f>SUM($V$8:V17)+SUM($J$8:J17)</f>
        <v>2010290</v>
      </c>
      <c r="AI17" s="273">
        <f>IFERROR(D17+(SUM($V$8:V17)/Dashboard!$W$6),"")</f>
        <v>1278679</v>
      </c>
      <c r="AJ17" s="273">
        <f t="shared" si="17"/>
        <v>370116</v>
      </c>
      <c r="AK17" s="273">
        <f>IF($A$7="All",SUMIFS('Supply planning data'!M:M,'Supply planning data'!$D:$D,DataViz!$B15),SUMIFS('Supply planning data'!M:M,'Supply planning data'!$D:$D,DataViz!$B15,'Supply planning data'!$C:$C,DataViz!$A$1))</f>
        <v>196455</v>
      </c>
      <c r="AL17" s="274"/>
      <c r="AM17" s="275"/>
      <c r="AN17" s="273">
        <f t="shared" si="2"/>
        <v>0</v>
      </c>
      <c r="AO17" s="273">
        <f t="shared" si="3"/>
        <v>196455</v>
      </c>
      <c r="AP17" s="273">
        <f>IF($A$7="All",SUMIFS('Supply planning data'!N:N,'Supply planning data'!$D:$D,DataViz!$B15),SUMIFS('Supply planning data'!N:N,'Supply planning data'!$D:$D,DataViz!$B15,'Supply planning data'!$C:$C,DataViz!$A$1))+IF($A$7="All",SUMIFS('Supply planning data'!P:P,'Supply planning data'!$D:$D,DataViz!$B15),SUMIFS('Supply planning data'!P:P,'Supply planning data'!$D:$D,DataViz!$B15,'Supply planning data'!$C:$C,DataViz!$A$1))</f>
        <v>0</v>
      </c>
      <c r="AQ17" s="273">
        <f t="shared" si="4"/>
        <v>794970</v>
      </c>
      <c r="AR17" s="273">
        <f t="shared" si="5"/>
        <v>0</v>
      </c>
      <c r="AS17" s="274"/>
      <c r="AT17" s="273">
        <f t="shared" si="9"/>
        <v>968631</v>
      </c>
      <c r="AU17" s="288">
        <f t="shared" si="21"/>
        <v>3.2293010406155678</v>
      </c>
      <c r="AV17" s="273">
        <f t="shared" si="10"/>
        <v>531122.33333333349</v>
      </c>
      <c r="AW17" s="276">
        <f t="shared" si="11"/>
        <v>2.1311316666666667E-2</v>
      </c>
      <c r="AX17" s="273">
        <f>SUM($AL$8:AL17)+SUM($J$8:J17)</f>
        <v>2010290</v>
      </c>
      <c r="AY17" s="277">
        <f>IFERROR(D17+(SUM($AL$8:AL17)/Dashboard!$W$6),"")</f>
        <v>1278679</v>
      </c>
    </row>
    <row r="18" spans="1:65" x14ac:dyDescent="0.25">
      <c r="A18" s="222">
        <v>11</v>
      </c>
      <c r="B18" s="225">
        <f t="shared" si="12"/>
        <v>44593</v>
      </c>
      <c r="C18" s="98">
        <f>IF(VLOOKUP(Dashboard!$M$6,Start!$B$10:$E$12,4,FALSE)&gt;0,VLOOKUP(Dashboard!$M$6,Start!$B$10:$E$12,4,FALSE),VLOOKUP(Dashboard!$M$6,Start!$B$10:$E$12,3,FALSE))</f>
        <v>60000000</v>
      </c>
      <c r="D18" s="98">
        <f>IF($A$7="Jansen",SUMIFS('Supply planning data'!G:G,'Supply planning data'!$D:$D,"&lt;="&amp;DataViz!$B16,'Supply planning data'!$C:$C,"jansen"),IF($A$7="All",SUMIFS('Supply planning data'!H:H,'Supply planning data'!$D:$D,"&lt;="&amp;DataViz!$B16)+SUMIFS('Supply planning data'!G:G,'Supply planning data'!$D:$D,"&lt;="&amp;DataViz!$B16,'Supply planning data'!$C:$C,"Jansen"),SUMIFS('Supply planning data'!H:H,'Supply planning data'!$D:$D,"&lt;="&amp;DataViz!$B16,'Supply planning data'!$C:$C,DataViz!$A$1)))</f>
        <v>1618261</v>
      </c>
      <c r="E18" s="175">
        <f t="shared" si="7"/>
        <v>2.6971016666666667E-2</v>
      </c>
      <c r="F18" s="98">
        <f>IF($A$7="All",SUMIFS('Supply planning data'!F:F,'Supply planning data'!$D:$D,DataViz!$B16),SUMIFS('Supply planning data'!F:F,'Supply planning data'!$D:$D,DataViz!$B16,'Supply planning data'!$C:$C,DataViz!$A$1))</f>
        <v>1053920</v>
      </c>
      <c r="G18" s="98">
        <f>IF($A$7="All",SUMIFS('Supply planning data'!G:G,'Supply planning data'!$D:$D,DataViz!$B16),SUMIFS('Supply planning data'!G:G,'Supply planning data'!$D:$D,DataViz!$B16,'Supply planning data'!$C:$C,DataViz!$A$1))</f>
        <v>403633</v>
      </c>
      <c r="H18" s="98">
        <f>IF($A$7="All",SUMIFS('Supply planning data'!H:H,'Supply planning data'!$D:$D,DataViz!$B16),SUMIFS('Supply planning data'!H:H,'Supply planning data'!$D:$D,DataViz!$B16,'Supply planning data'!$C:$C,DataViz!$A$1))</f>
        <v>92793</v>
      </c>
      <c r="I18" s="98">
        <f>IF($A$7="All",SUMIFS('Supply planning data'!I:I,'Supply planning data'!$D:$D,DataViz!$B16),SUMIFS('Supply planning data'!I:I,'Supply planning data'!$D:$D,DataViz!$B16,'Supply planning data'!$C:$C,DataViz!$A$1))</f>
        <v>0</v>
      </c>
      <c r="J18" s="98">
        <f>IF($A$7="All",SUMIFS('Supply planning data'!J:J,'Supply planning data'!$D:$D,DataViz!$B16),SUMIFS('Supply planning data'!J:J,'Supply planning data'!$D:$D,DataViz!$B16,'Supply planning data'!$C:$C,DataViz!$A$1))</f>
        <v>496426</v>
      </c>
      <c r="K18" s="98">
        <f>IF($A$7="All",SUMIFS('Supply planning data'!L:L,'Supply planning data'!$D:$D,DataViz!$B16),SUMIFS('Supply planning data'!L:L,'Supply planning data'!$D:$D,DataViz!$B16,'Supply planning data'!$C:$C,DataViz!$A$1))</f>
        <v>1.4556759772143565E-2</v>
      </c>
      <c r="L18" s="98">
        <f>IF($A$7="All",SUMIFS('Supply planning data'!K:K,'Supply planning data'!$D:$D,DataViz!$B16),SUMIFS('Supply planning data'!K:K,'Supply planning data'!$D:$D,DataViz!$B16,'Supply planning data'!$C:$C,DataViz!$A$1))</f>
        <v>3242</v>
      </c>
      <c r="M18" s="98">
        <f>IF($A$7="All",SUMIFS('Supply planning data'!M:M,'Supply planning data'!$D:$D,DataViz!$B16),SUMIFS('Supply planning data'!M:M,'Supply planning data'!$D:$D,DataViz!$B16,'Supply planning data'!$C:$C,DataViz!$A$1))</f>
        <v>499668</v>
      </c>
      <c r="N18" s="98">
        <f>IF($A$7="All",SUMIFS('Supply planning data'!N:N,'Supply planning data'!$D:$D,DataViz!$B16),SUMIFS('Supply planning data'!N:N,'Supply planning data'!$D:$D,DataViz!$B16,'Supply planning data'!$C:$C,DataViz!$A$1))+IF($A$7="All",SUMIFS('Supply planning data'!P:P,'Supply planning data'!$D:$D,DataViz!$B16),SUMIFS('Supply planning data'!P:P,'Supply planning data'!$D:$D,DataViz!$B16,'Supply planning data'!$C:$C,DataViz!$A$1))</f>
        <v>-128057</v>
      </c>
      <c r="O18" s="98">
        <f>IF($A$7="All",SUMIFS('Supply planning data'!R:R,'Supply planning data'!$D:$D,DataViz!$B16),SUMIFS('Supply planning data'!R:R,'Supply planning data'!$D:$D,DataViz!$B16,'Supply planning data'!$C:$C,DataViz!$A$1))</f>
        <v>1309600</v>
      </c>
      <c r="P18" s="98">
        <f>IF($A$7="All",SUMIFS('Supply planning data'!S:S,'Supply planning data'!$D:$D,DataViz!$B16),SUMIFS('Supply planning data'!S:S,'Supply planning data'!$D:$D,DataViz!$B16,'Supply planning data'!$C:$C,DataViz!$A$1))</f>
        <v>0</v>
      </c>
      <c r="Q18" s="98">
        <f>IF($A$7="All",SUMIFS('Supply planning data'!V:V,'Supply planning data'!$D:$D,DataViz!$B16),SUMIFS('Supply planning data'!V:V,'Supply planning data'!$D:$D,DataViz!$B16,'Supply planning data'!$C:$C,DataViz!$A$1))</f>
        <v>1778564</v>
      </c>
      <c r="R18" s="240">
        <f t="shared" si="18"/>
        <v>4.1697081660977533</v>
      </c>
      <c r="S18" s="278">
        <f t="shared" si="13"/>
        <v>44593</v>
      </c>
      <c r="T18" s="246">
        <f t="shared" si="14"/>
        <v>968631</v>
      </c>
      <c r="U18" s="246">
        <f>IF($A$7="All",SUMIFS('Supply planning data'!M:M,'Supply planning data'!$D:$D,DataViz!$B16),SUMIFS('Supply planning data'!M:M,'Supply planning data'!$D:$D,DataViz!$B16,'Supply planning data'!$C:$C,DataViz!$A$1))</f>
        <v>499668</v>
      </c>
      <c r="V18" s="337"/>
      <c r="W18" s="243"/>
      <c r="X18" s="246">
        <f t="shared" si="0"/>
        <v>0</v>
      </c>
      <c r="Y18" s="246">
        <f t="shared" si="8"/>
        <v>499668</v>
      </c>
      <c r="Z18" s="246">
        <f>IF($A$7="All",SUMIFS('Supply planning data'!N:N,'Supply planning data'!$D:$D,DataViz!$B16),SUMIFS('Supply planning data'!N:N,'Supply planning data'!$D:$D,DataViz!$B16,'Supply planning data'!$C:$C,DataViz!$A$1))+IF($A$7="All",SUMIFS('Supply planning data'!P:P,'Supply planning data'!$D:$D,DataViz!$B16),SUMIFS('Supply planning data'!P:P,'Supply planning data'!$D:$D,DataViz!$B16,'Supply planning data'!$C:$C,DataViz!$A$1))</f>
        <v>-128057</v>
      </c>
      <c r="AA18" s="246">
        <f>IF($A$7="All",SUMIFS('Supply planning data'!R:R,'Supply planning data'!$D:$D,DataViz!$B16),SUMIFS('Supply planning data'!R:R,'Supply planning data'!$D:$D,DataViz!$B16,'Supply planning data'!$C:$C,DataViz!$A$1))</f>
        <v>1309600</v>
      </c>
      <c r="AB18" s="246">
        <f>IF($A$7="All",SUMIFS('Supply planning data'!S:S,'Supply planning data'!$D:$D,DataViz!$B16),SUMIFS('Supply planning data'!S:S,'Supply planning data'!$D:$D,DataViz!$B16,'Supply planning data'!$C:$C,DataViz!$A$1))</f>
        <v>0</v>
      </c>
      <c r="AC18" s="242"/>
      <c r="AD18" s="246">
        <f t="shared" si="19"/>
        <v>1650506</v>
      </c>
      <c r="AE18" s="252">
        <f t="shared" si="20"/>
        <v>4.4552198719269533</v>
      </c>
      <c r="AF18" s="246">
        <f t="shared" si="15"/>
        <v>572288</v>
      </c>
      <c r="AG18" s="249">
        <f t="shared" si="16"/>
        <v>2.6971016666666667E-2</v>
      </c>
      <c r="AH18" s="246">
        <f>SUM($V$8:V18)+SUM($J$8:J18)</f>
        <v>2506716</v>
      </c>
      <c r="AI18" s="246">
        <f>IFERROR(D18+(SUM($V$8:V18)/Dashboard!$W$6),"")</f>
        <v>1618261</v>
      </c>
      <c r="AJ18" s="246">
        <f t="shared" si="17"/>
        <v>968631</v>
      </c>
      <c r="AK18" s="246">
        <f>IF($A$7="All",SUMIFS('Supply planning data'!M:M,'Supply planning data'!$D:$D,DataViz!$B16),SUMIFS('Supply planning data'!M:M,'Supply planning data'!$D:$D,DataViz!$B16,'Supply planning data'!$C:$C,DataViz!$A$1))</f>
        <v>499668</v>
      </c>
      <c r="AL18" s="242"/>
      <c r="AM18" s="243"/>
      <c r="AN18" s="246">
        <f t="shared" si="2"/>
        <v>0</v>
      </c>
      <c r="AO18" s="246">
        <f t="shared" si="3"/>
        <v>499668</v>
      </c>
      <c r="AP18" s="246">
        <f>IF($A$7="All",SUMIFS('Supply planning data'!N:N,'Supply planning data'!$D:$D,DataViz!$B16),SUMIFS('Supply planning data'!N:N,'Supply planning data'!$D:$D,DataViz!$B16,'Supply planning data'!$C:$C,DataViz!$A$1))+IF($A$7="All",SUMIFS('Supply planning data'!P:P,'Supply planning data'!$D:$D,DataViz!$B16),SUMIFS('Supply planning data'!P:P,'Supply planning data'!$D:$D,DataViz!$B16,'Supply planning data'!$C:$C,DataViz!$A$1))</f>
        <v>-128057</v>
      </c>
      <c r="AQ18" s="246">
        <f t="shared" si="4"/>
        <v>1309600</v>
      </c>
      <c r="AR18" s="246">
        <f t="shared" si="5"/>
        <v>0</v>
      </c>
      <c r="AS18" s="242"/>
      <c r="AT18" s="246">
        <f t="shared" si="9"/>
        <v>1650506</v>
      </c>
      <c r="AU18" s="252" t="str">
        <f t="shared" si="21"/>
        <v/>
      </c>
      <c r="AV18" s="246" t="e">
        <f t="shared" si="10"/>
        <v>#N/A</v>
      </c>
      <c r="AW18" s="249">
        <f t="shared" si="11"/>
        <v>2.6971016666666667E-2</v>
      </c>
      <c r="AX18" s="246">
        <f>SUM($AL$8:AL18)+SUM($J$8:J18)</f>
        <v>2506716</v>
      </c>
      <c r="AY18" s="279">
        <f>IFERROR(D18+(SUM($AL$8:AL18)/Dashboard!$W$6),"")</f>
        <v>1618261</v>
      </c>
    </row>
    <row r="19" spans="1:65" x14ac:dyDescent="0.25">
      <c r="A19" s="222">
        <v>12</v>
      </c>
      <c r="B19" s="226">
        <f t="shared" si="12"/>
        <v>44621</v>
      </c>
      <c r="C19" s="105">
        <f>IF(VLOOKUP(Dashboard!$M$6,Start!$B$10:$E$12,4,FALSE)&gt;0,VLOOKUP(Dashboard!$M$6,Start!$B$10:$E$12,4,FALSE),VLOOKUP(Dashboard!$M$6,Start!$B$10:$E$12,3,FALSE))</f>
        <v>60000000</v>
      </c>
      <c r="D19" s="105">
        <f>IF($A$7="Jansen",SUMIFS('Supply planning data'!G:G,'Supply planning data'!$D:$D,"&lt;="&amp;DataViz!$B17,'Supply planning data'!$C:$C,"jansen"),IF($A$7="All",SUMIFS('Supply planning data'!H:H,'Supply planning data'!$D:$D,"&lt;="&amp;DataViz!$B17)+SUMIFS('Supply planning data'!G:G,'Supply planning data'!$D:$D,"&lt;="&amp;DataViz!$B17,'Supply planning data'!$C:$C,"Jansen"),SUMIFS('Supply planning data'!H:H,'Supply planning data'!$D:$D,"&lt;="&amp;DataViz!$B17,'Supply planning data'!$C:$C,DataViz!$A$1)))</f>
        <v>1769554</v>
      </c>
      <c r="E19" s="177">
        <f t="shared" si="7"/>
        <v>2.9492566666666668E-2</v>
      </c>
      <c r="F19" s="105">
        <f>IF($A$7="All",SUMIFS('Supply planning data'!F:F,'Supply planning data'!$D:$D,DataViz!$B17),SUMIFS('Supply planning data'!F:F,'Supply planning data'!$D:$D,DataViz!$B17,'Supply planning data'!$C:$C,DataViz!$A$1))</f>
        <v>1778564</v>
      </c>
      <c r="G19" s="105">
        <f>IF($A$7="All",SUMIFS('Supply planning data'!G:G,'Supply planning data'!$D:$D,DataViz!$B17),SUMIFS('Supply planning data'!G:G,'Supply planning data'!$D:$D,DataViz!$B17,'Supply planning data'!$C:$C,DataViz!$A$1))</f>
        <v>173961</v>
      </c>
      <c r="H19" s="105">
        <f>IF($A$7="All",SUMIFS('Supply planning data'!H:H,'Supply planning data'!$D:$D,DataViz!$B17),SUMIFS('Supply planning data'!H:H,'Supply planning data'!$D:$D,DataViz!$B17,'Supply planning data'!$C:$C,DataViz!$A$1))</f>
        <v>17315</v>
      </c>
      <c r="I19" s="105">
        <f>IF($A$7="All",SUMIFS('Supply planning data'!I:I,'Supply planning data'!$D:$D,DataViz!$B17),SUMIFS('Supply planning data'!I:I,'Supply planning data'!$D:$D,DataViz!$B17,'Supply planning data'!$C:$C,DataViz!$A$1))</f>
        <v>0</v>
      </c>
      <c r="J19" s="105">
        <f>IF($A$7="All",SUMIFS('Supply planning data'!J:J,'Supply planning data'!$D:$D,DataViz!$B17),SUMIFS('Supply planning data'!J:J,'Supply planning data'!$D:$D,DataViz!$B17,'Supply planning data'!$C:$C,DataViz!$A$1))</f>
        <v>191276</v>
      </c>
      <c r="K19" s="105">
        <f>IF($A$7="All",SUMIFS('Supply planning data'!L:L,'Supply planning data'!$D:$D,DataViz!$B17),SUMIFS('Supply planning data'!L:L,'Supply planning data'!$D:$D,DataViz!$B17,'Supply planning data'!$C:$C,DataViz!$A$1))</f>
        <v>0.53856992223321465</v>
      </c>
      <c r="L19" s="105">
        <f>IF($A$7="All",SUMIFS('Supply planning data'!K:K,'Supply planning data'!$D:$D,DataViz!$B17),SUMIFS('Supply planning data'!K:K,'Supply planning data'!$D:$D,DataViz!$B17,'Supply planning data'!$C:$C,DataViz!$A$1))</f>
        <v>12453</v>
      </c>
      <c r="M19" s="105">
        <f>IF($A$7="All",SUMIFS('Supply planning data'!M:M,'Supply planning data'!$D:$D,DataViz!$B17),SUMIFS('Supply planning data'!M:M,'Supply planning data'!$D:$D,DataViz!$B17,'Supply planning data'!$C:$C,DataViz!$A$1))</f>
        <v>203729</v>
      </c>
      <c r="N19" s="105">
        <f>IF($A$7="All",SUMIFS('Supply planning data'!N:N,'Supply planning data'!$D:$D,DataViz!$B17),SUMIFS('Supply planning data'!N:N,'Supply planning data'!$D:$D,DataViz!$B17,'Supply planning data'!$C:$C,DataViz!$A$1))+IF($A$7="All",SUMIFS('Supply planning data'!P:P,'Supply planning data'!$D:$D,DataViz!$B17),SUMIFS('Supply planning data'!P:P,'Supply planning data'!$D:$D,DataViz!$B17,'Supply planning data'!$C:$C,DataViz!$A$1))</f>
        <v>0</v>
      </c>
      <c r="O19" s="105">
        <f>IF($A$7="All",SUMIFS('Supply planning data'!R:R,'Supply planning data'!$D:$D,DataViz!$B17),SUMIFS('Supply planning data'!R:R,'Supply planning data'!$D:$D,DataViz!$B17,'Supply planning data'!$C:$C,DataViz!$A$1))</f>
        <v>561600</v>
      </c>
      <c r="P19" s="105">
        <f>IF($A$7="All",SUMIFS('Supply planning data'!S:S,'Supply planning data'!$D:$D,DataViz!$B17),SUMIFS('Supply planning data'!S:S,'Supply planning data'!$D:$D,DataViz!$B17,'Supply planning data'!$C:$C,DataViz!$A$1))</f>
        <v>0</v>
      </c>
      <c r="Q19" s="105">
        <f>IF($A$7="All",SUMIFS('Supply planning data'!V:V,'Supply planning data'!$D:$D,DataViz!$B17),SUMIFS('Supply planning data'!V:V,'Supply planning data'!$D:$D,DataViz!$B17,'Supply planning data'!$C:$C,DataViz!$A$1))</f>
        <v>2169285</v>
      </c>
      <c r="R19" s="241">
        <f t="shared" si="18"/>
        <v>7.2321392851268866</v>
      </c>
      <c r="S19" s="280">
        <f t="shared" si="13"/>
        <v>44621</v>
      </c>
      <c r="T19" s="281">
        <f t="shared" si="14"/>
        <v>1650506</v>
      </c>
      <c r="U19" s="281">
        <f>IF($A$7="All",SUMIFS('Supply planning data'!M:M,'Supply planning data'!$D:$D,DataViz!$B17),SUMIFS('Supply planning data'!M:M,'Supply planning data'!$D:$D,DataViz!$B17,'Supply planning data'!$C:$C,DataViz!$A$1))</f>
        <v>203729</v>
      </c>
      <c r="V19" s="338"/>
      <c r="W19" s="283"/>
      <c r="X19" s="281">
        <f t="shared" si="0"/>
        <v>0</v>
      </c>
      <c r="Y19" s="281">
        <f t="shared" si="8"/>
        <v>203729</v>
      </c>
      <c r="Z19" s="281">
        <f>IF($A$7="All",SUMIFS('Supply planning data'!N:N,'Supply planning data'!$D:$D,DataViz!$B17),SUMIFS('Supply planning data'!N:N,'Supply planning data'!$D:$D,DataViz!$B17,'Supply planning data'!$C:$C,DataViz!$A$1))+IF($A$7="All",SUMIFS('Supply planning data'!P:P,'Supply planning data'!$D:$D,DataViz!$B17),SUMIFS('Supply planning data'!P:P,'Supply planning data'!$D:$D,DataViz!$B17,'Supply planning data'!$C:$C,DataViz!$A$1))</f>
        <v>0</v>
      </c>
      <c r="AA19" s="281">
        <f>IF($A$7="All",SUMIFS('Supply planning data'!R:R,'Supply planning data'!$D:$D,DataViz!$B17),SUMIFS('Supply planning data'!R:R,'Supply planning data'!$D:$D,DataViz!$B17,'Supply planning data'!$C:$C,DataViz!$A$1))</f>
        <v>561600</v>
      </c>
      <c r="AB19" s="281">
        <f>IF($A$7="All",SUMIFS('Supply planning data'!S:S,'Supply planning data'!$D:$D,DataViz!$B17),SUMIFS('Supply planning data'!S:S,'Supply planning data'!$D:$D,DataViz!$B17,'Supply planning data'!$C:$C,DataViz!$A$1))</f>
        <v>0</v>
      </c>
      <c r="AC19" s="282"/>
      <c r="AD19" s="281">
        <f t="shared" si="19"/>
        <v>2008377</v>
      </c>
      <c r="AE19" s="284">
        <f t="shared" si="20"/>
        <v>5.9552815032483997</v>
      </c>
      <c r="AF19" s="281">
        <f t="shared" si="15"/>
        <v>15081</v>
      </c>
      <c r="AG19" s="285">
        <f t="shared" si="16"/>
        <v>2.9492566666666668E-2</v>
      </c>
      <c r="AH19" s="281">
        <f>SUM($V$8:V19)+SUM($J$8:J19)</f>
        <v>2697992</v>
      </c>
      <c r="AI19" s="281">
        <f>IFERROR(D19+(SUM($V$8:V19)/Dashboard!$W$6),"")</f>
        <v>1769554</v>
      </c>
      <c r="AJ19" s="281">
        <f t="shared" si="17"/>
        <v>1650506</v>
      </c>
      <c r="AK19" s="281">
        <f>IF($A$7="All",SUMIFS('Supply planning data'!M:M,'Supply planning data'!$D:$D,DataViz!$B17),SUMIFS('Supply planning data'!M:M,'Supply planning data'!$D:$D,DataViz!$B17,'Supply planning data'!$C:$C,DataViz!$A$1))</f>
        <v>203729</v>
      </c>
      <c r="AL19" s="282"/>
      <c r="AM19" s="283"/>
      <c r="AN19" s="281">
        <f t="shared" si="2"/>
        <v>0</v>
      </c>
      <c r="AO19" s="281">
        <f t="shared" si="3"/>
        <v>203729</v>
      </c>
      <c r="AP19" s="281">
        <f>IF($A$7="All",SUMIFS('Supply planning data'!N:N,'Supply planning data'!$D:$D,DataViz!$B17),SUMIFS('Supply planning data'!N:N,'Supply planning data'!$D:$D,DataViz!$B17,'Supply planning data'!$C:$C,DataViz!$A$1))+IF($A$7="All",SUMIFS('Supply planning data'!P:P,'Supply planning data'!$D:$D,DataViz!$B17),SUMIFS('Supply planning data'!P:P,'Supply planning data'!$D:$D,DataViz!$B17,'Supply planning data'!$C:$C,DataViz!$A$1))</f>
        <v>0</v>
      </c>
      <c r="AQ19" s="281">
        <f t="shared" si="4"/>
        <v>561600</v>
      </c>
      <c r="AR19" s="281">
        <f t="shared" si="5"/>
        <v>0</v>
      </c>
      <c r="AS19" s="282"/>
      <c r="AT19" s="281">
        <f t="shared" si="9"/>
        <v>2008377</v>
      </c>
      <c r="AU19" s="284" t="str">
        <f t="shared" si="21"/>
        <v/>
      </c>
      <c r="AV19" s="281" t="e">
        <f t="shared" si="10"/>
        <v>#N/A</v>
      </c>
      <c r="AW19" s="285">
        <f t="shared" si="11"/>
        <v>2.9492566666666668E-2</v>
      </c>
      <c r="AX19" s="281">
        <f>SUM($AL$8:AL19)+SUM($J$8:J19)</f>
        <v>2697992</v>
      </c>
      <c r="AY19" s="286">
        <f>IFERROR(D19+(SUM($AL$8:AL19)/Dashboard!$W$6),"")</f>
        <v>1769554</v>
      </c>
    </row>
    <row r="20" spans="1:65" x14ac:dyDescent="0.25">
      <c r="A20" s="222">
        <v>13</v>
      </c>
      <c r="B20" s="225">
        <f t="shared" si="12"/>
        <v>44652</v>
      </c>
      <c r="C20" s="98">
        <f>IF(VLOOKUP(Dashboard!$M$6,Start!$B$10:$E$12,4,FALSE)&gt;0,VLOOKUP(Dashboard!$M$6,Start!$B$10:$E$12,4,FALSE),VLOOKUP(Dashboard!$M$6,Start!$B$10:$E$12,3,FALSE))</f>
        <v>60000000</v>
      </c>
      <c r="D20" s="98">
        <f>IF($A$7="Jansen",SUMIFS('Supply planning data'!G:G,'Supply planning data'!$D:$D,"&lt;="&amp;DataViz!$B18,'Supply planning data'!$C:$C,"jansen"),IF($A$7="All",SUMIFS('Supply planning data'!H:H,'Supply planning data'!$D:$D,"&lt;="&amp;DataViz!$B18)+SUMIFS('Supply planning data'!G:G,'Supply planning data'!$D:$D,"&lt;="&amp;DataViz!$B18,'Supply planning data'!$C:$C,"Jansen"),SUMIFS('Supply planning data'!H:H,'Supply planning data'!$D:$D,"&lt;="&amp;DataViz!$B18,'Supply planning data'!$C:$C,DataViz!$A$1)))</f>
        <v>1769554</v>
      </c>
      <c r="E20" s="175">
        <f t="shared" si="7"/>
        <v>2.9492566666666668E-2</v>
      </c>
      <c r="F20" s="98">
        <f>IF($A$7="All",SUMIFS('Supply planning data'!F:F,'Supply planning data'!$D:$D,DataViz!$B18),SUMIFS('Supply planning data'!F:F,'Supply planning data'!$D:$D,DataViz!$B18,'Supply planning data'!$C:$C,DataViz!$A$1))</f>
        <v>2169285</v>
      </c>
      <c r="G20" s="98">
        <f>IF($A$7="All",SUMIFS('Supply planning data'!G:G,'Supply planning data'!$D:$D,DataViz!$B18),SUMIFS('Supply planning data'!G:G,'Supply planning data'!$D:$D,DataViz!$B18,'Supply planning data'!$C:$C,DataViz!$A$1))</f>
        <v>0</v>
      </c>
      <c r="H20" s="98">
        <f>IF($A$7="All",SUMIFS('Supply planning data'!H:H,'Supply planning data'!$D:$D,DataViz!$B18),SUMIFS('Supply planning data'!H:H,'Supply planning data'!$D:$D,DataViz!$B18,'Supply planning data'!$C:$C,DataViz!$A$1))</f>
        <v>0</v>
      </c>
      <c r="I20" s="98">
        <f>IF($A$7="All",SUMIFS('Supply planning data'!I:I,'Supply planning data'!$D:$D,DataViz!$B18),SUMIFS('Supply planning data'!I:I,'Supply planning data'!$D:$D,DataViz!$B18,'Supply planning data'!$C:$C,DataViz!$A$1))</f>
        <v>0</v>
      </c>
      <c r="J20" s="98">
        <f>IF($A$7="All",SUMIFS('Supply planning data'!J:J,'Supply planning data'!$D:$D,DataViz!$B18),SUMIFS('Supply planning data'!J:J,'Supply planning data'!$D:$D,DataViz!$B18,'Supply planning data'!$C:$C,DataViz!$A$1))</f>
        <v>0</v>
      </c>
      <c r="K20" s="98">
        <f>IF($A$7="All",SUMIFS('Supply planning data'!L:L,'Supply planning data'!$D:$D,DataViz!$B18),SUMIFS('Supply planning data'!L:L,'Supply planning data'!$D:$D,DataViz!$B18,'Supply planning data'!$C:$C,DataViz!$A$1))</f>
        <v>0</v>
      </c>
      <c r="L20" s="98">
        <f>IF($A$7="All",SUMIFS('Supply planning data'!K:K,'Supply planning data'!$D:$D,DataViz!$B18),SUMIFS('Supply planning data'!K:K,'Supply planning data'!$D:$D,DataViz!$B18,'Supply planning data'!$C:$C,DataViz!$A$1))</f>
        <v>0</v>
      </c>
      <c r="M20" s="98">
        <f>IF($A$7="All",SUMIFS('Supply planning data'!M:M,'Supply planning data'!$D:$D,DataViz!$B18),SUMIFS('Supply planning data'!M:M,'Supply planning data'!$D:$D,DataViz!$B18,'Supply planning data'!$C:$C,DataViz!$A$1))</f>
        <v>0</v>
      </c>
      <c r="N20" s="98">
        <f>IF($A$7="All",SUMIFS('Supply planning data'!N:N,'Supply planning data'!$D:$D,DataViz!$B18),SUMIFS('Supply planning data'!N:N,'Supply planning data'!$D:$D,DataViz!$B18,'Supply planning data'!$C:$C,DataViz!$A$1))+IF($A$7="All",SUMIFS('Supply planning data'!P:P,'Supply planning data'!$D:$D,DataViz!$B18),SUMIFS('Supply planning data'!P:P,'Supply planning data'!$D:$D,DataViz!$B18,'Supply planning data'!$C:$C,DataViz!$A$1))</f>
        <v>0</v>
      </c>
      <c r="O20" s="98">
        <f>IF($A$7="All",SUMIFS('Supply planning data'!R:R,'Supply planning data'!$D:$D,DataViz!$B18),SUMIFS('Supply planning data'!R:R,'Supply planning data'!$D:$D,DataViz!$B18,'Supply planning data'!$C:$C,DataViz!$A$1))</f>
        <v>0</v>
      </c>
      <c r="P20" s="98">
        <f>IF($A$7="All",SUMIFS('Supply planning data'!S:S,'Supply planning data'!$D:$D,DataViz!$B18),SUMIFS('Supply planning data'!S:S,'Supply planning data'!$D:$D,DataViz!$B18,'Supply planning data'!$C:$C,DataViz!$A$1))</f>
        <v>0</v>
      </c>
      <c r="Q20" s="98">
        <f>IF($A$7="All",SUMIFS('Supply planning data'!V:V,'Supply planning data'!$D:$D,DataViz!$B18),SUMIFS('Supply planning data'!V:V,'Supply planning data'!$D:$D,DataViz!$B18,'Supply planning data'!$C:$C,DataViz!$A$1))</f>
        <v>2169285</v>
      </c>
      <c r="R20" s="240" t="str">
        <f t="shared" si="18"/>
        <v/>
      </c>
      <c r="S20" s="272">
        <f t="shared" si="13"/>
        <v>44652</v>
      </c>
      <c r="T20" s="273">
        <f>AD19</f>
        <v>2008377</v>
      </c>
      <c r="U20" s="273">
        <f>IF($A$7="All",SUMIFS('Supply planning data'!M:M,'Supply planning data'!$D:$D,DataViz!$B18),SUMIFS('Supply planning data'!M:M,'Supply planning data'!$D:$D,DataViz!$B18,'Supply planning data'!$C:$C,DataViz!$A$1))</f>
        <v>0</v>
      </c>
      <c r="V20" s="336">
        <v>400000</v>
      </c>
      <c r="W20" s="275">
        <v>0.02</v>
      </c>
      <c r="X20" s="273">
        <f t="shared" si="0"/>
        <v>408000</v>
      </c>
      <c r="Y20" s="273">
        <f t="shared" si="8"/>
        <v>408000</v>
      </c>
      <c r="Z20" s="273">
        <f>IF($A$7="All",SUMIFS('Supply planning data'!N:N,'Supply planning data'!$D:$D,DataViz!$B18),SUMIFS('Supply planning data'!N:N,'Supply planning data'!$D:$D,DataViz!$B18,'Supply planning data'!$C:$C,DataViz!$A$1))+IF($A$7="All",SUMIFS('Supply planning data'!P:P,'Supply planning data'!$D:$D,DataViz!$B18),SUMIFS('Supply planning data'!P:P,'Supply planning data'!$D:$D,DataViz!$B18,'Supply planning data'!$C:$C,DataViz!$A$1))</f>
        <v>0</v>
      </c>
      <c r="AA20" s="273">
        <f>IF($A$7="All",SUMIFS('Supply planning data'!R:R,'Supply planning data'!$D:$D,DataViz!$B18),SUMIFS('Supply planning data'!R:R,'Supply planning data'!$D:$D,DataViz!$B18,'Supply planning data'!$C:$C,DataViz!$A$1))</f>
        <v>0</v>
      </c>
      <c r="AB20" s="273">
        <f>IF($A$7="All",SUMIFS('Supply planning data'!S:S,'Supply planning data'!$D:$D,DataViz!$B18),SUMIFS('Supply planning data'!S:S,'Supply planning data'!$D:$D,DataViz!$B18,'Supply planning data'!$C:$C,DataViz!$A$1))</f>
        <v>0</v>
      </c>
      <c r="AC20" s="274"/>
      <c r="AD20" s="273">
        <f t="shared" si="19"/>
        <v>1600377</v>
      </c>
      <c r="AE20" s="288">
        <f t="shared" si="20"/>
        <v>3.9744461920529801</v>
      </c>
      <c r="AF20" s="273">
        <f t="shared" si="15"/>
        <v>815623</v>
      </c>
      <c r="AG20" s="276">
        <f t="shared" si="16"/>
        <v>3.412050893728974E-2</v>
      </c>
      <c r="AH20" s="273">
        <f>SUM($V$8:V20)+SUM($J$8:J20)</f>
        <v>3097992</v>
      </c>
      <c r="AI20" s="273">
        <f>IFERROR(D20+(SUM($V$8:V20)/Dashboard!$W$6),"")</f>
        <v>2047230.5362373842</v>
      </c>
      <c r="AJ20" s="273">
        <f t="shared" si="17"/>
        <v>2008377</v>
      </c>
      <c r="AK20" s="273">
        <f>IF($A$7="All",SUMIFS('Supply planning data'!M:M,'Supply planning data'!$D:$D,DataViz!$B18),SUMIFS('Supply planning data'!M:M,'Supply planning data'!$D:$D,DataViz!$B18,'Supply planning data'!$C:$C,DataViz!$A$1))</f>
        <v>0</v>
      </c>
      <c r="AL20" s="274"/>
      <c r="AM20" s="275"/>
      <c r="AN20" s="273">
        <f t="shared" si="2"/>
        <v>0</v>
      </c>
      <c r="AO20" s="273" t="e">
        <f t="shared" si="3"/>
        <v>#N/A</v>
      </c>
      <c r="AP20" s="273">
        <f>IF($A$7="All",SUMIFS('Supply planning data'!N:N,'Supply planning data'!$D:$D,DataViz!$B18),SUMIFS('Supply planning data'!N:N,'Supply planning data'!$D:$D,DataViz!$B18,'Supply planning data'!$C:$C,DataViz!$A$1))+IF($A$7="All",SUMIFS('Supply planning data'!P:P,'Supply planning data'!$D:$D,DataViz!$B18),SUMIFS('Supply planning data'!P:P,'Supply planning data'!$D:$D,DataViz!$B18,'Supply planning data'!$C:$C,DataViz!$A$1))</f>
        <v>0</v>
      </c>
      <c r="AQ20" s="273">
        <f t="shared" si="4"/>
        <v>0</v>
      </c>
      <c r="AR20" s="273">
        <f t="shared" si="5"/>
        <v>0</v>
      </c>
      <c r="AS20" s="274"/>
      <c r="AT20" s="273">
        <f t="shared" si="9"/>
        <v>2008377</v>
      </c>
      <c r="AU20" s="288" t="e">
        <f t="shared" si="21"/>
        <v>#N/A</v>
      </c>
      <c r="AV20" s="273" t="e">
        <f t="shared" si="10"/>
        <v>#N/A</v>
      </c>
      <c r="AW20" s="276">
        <f t="shared" si="11"/>
        <v>2.9492566666666668E-2</v>
      </c>
      <c r="AX20" s="273">
        <f>SUM($AL$8:AL20)+SUM($J$8:J20)</f>
        <v>2697992</v>
      </c>
      <c r="AY20" s="277">
        <f>IFERROR(D20+(SUM($AL$8:AL20)/Dashboard!$W$6),"")</f>
        <v>1769554</v>
      </c>
    </row>
    <row r="21" spans="1:65" x14ac:dyDescent="0.25">
      <c r="A21" s="222">
        <v>14</v>
      </c>
      <c r="B21" s="226">
        <f t="shared" si="12"/>
        <v>44682</v>
      </c>
      <c r="C21" s="105">
        <f>IF(VLOOKUP(Dashboard!$M$6,Start!$B$10:$E$12,4,FALSE)&gt;0,VLOOKUP(Dashboard!$M$6,Start!$B$10:$E$12,4,FALSE),VLOOKUP(Dashboard!$M$6,Start!$B$10:$E$12,3,FALSE))</f>
        <v>60000000</v>
      </c>
      <c r="D21" s="105">
        <f>IF($A$7="Jansen",SUMIFS('Supply planning data'!G:G,'Supply planning data'!$D:$D,"&lt;="&amp;DataViz!$B19,'Supply planning data'!$C:$C,"jansen"),IF($A$7="All",SUMIFS('Supply planning data'!H:H,'Supply planning data'!$D:$D,"&lt;="&amp;DataViz!$B19)+SUMIFS('Supply planning data'!G:G,'Supply planning data'!$D:$D,"&lt;="&amp;DataViz!$B19,'Supply planning data'!$C:$C,"Jansen"),SUMIFS('Supply planning data'!H:H,'Supply planning data'!$D:$D,"&lt;="&amp;DataViz!$B19,'Supply planning data'!$C:$C,DataViz!$A$1)))</f>
        <v>1769554</v>
      </c>
      <c r="E21" s="177">
        <f t="shared" si="7"/>
        <v>2.9492566666666668E-2</v>
      </c>
      <c r="F21" s="105">
        <f>IF($A$7="All",SUMIFS('Supply planning data'!F:F,'Supply planning data'!$D:$D,DataViz!$B19),SUMIFS('Supply planning data'!F:F,'Supply planning data'!$D:$D,DataViz!$B19,'Supply planning data'!$C:$C,DataViz!$A$1))</f>
        <v>2169285</v>
      </c>
      <c r="G21" s="105">
        <f>IF($A$7="All",SUMIFS('Supply planning data'!G:G,'Supply planning data'!$D:$D,DataViz!$B19),SUMIFS('Supply planning data'!G:G,'Supply planning data'!$D:$D,DataViz!$B19,'Supply planning data'!$C:$C,DataViz!$A$1))</f>
        <v>0</v>
      </c>
      <c r="H21" s="105">
        <f>IF($A$7="All",SUMIFS('Supply planning data'!H:H,'Supply planning data'!$D:$D,DataViz!$B19),SUMIFS('Supply planning data'!H:H,'Supply planning data'!$D:$D,DataViz!$B19,'Supply planning data'!$C:$C,DataViz!$A$1))</f>
        <v>0</v>
      </c>
      <c r="I21" s="105">
        <f>IF($A$7="All",SUMIFS('Supply planning data'!I:I,'Supply planning data'!$D:$D,DataViz!$B19),SUMIFS('Supply planning data'!I:I,'Supply planning data'!$D:$D,DataViz!$B19,'Supply planning data'!$C:$C,DataViz!$A$1))</f>
        <v>0</v>
      </c>
      <c r="J21" s="105">
        <f>IF($A$7="All",SUMIFS('Supply planning data'!J:J,'Supply planning data'!$D:$D,DataViz!$B19),SUMIFS('Supply planning data'!J:J,'Supply planning data'!$D:$D,DataViz!$B19,'Supply planning data'!$C:$C,DataViz!$A$1))</f>
        <v>0</v>
      </c>
      <c r="K21" s="105">
        <f>IF($A$7="All",SUMIFS('Supply planning data'!L:L,'Supply planning data'!$D:$D,DataViz!$B19),SUMIFS('Supply planning data'!L:L,'Supply planning data'!$D:$D,DataViz!$B19,'Supply planning data'!$C:$C,DataViz!$A$1))</f>
        <v>0</v>
      </c>
      <c r="L21" s="105">
        <f>IF($A$7="All",SUMIFS('Supply planning data'!K:K,'Supply planning data'!$D:$D,DataViz!$B19),SUMIFS('Supply planning data'!K:K,'Supply planning data'!$D:$D,DataViz!$B19,'Supply planning data'!$C:$C,DataViz!$A$1))</f>
        <v>0</v>
      </c>
      <c r="M21" s="105">
        <f>IF($A$7="All",SUMIFS('Supply planning data'!M:M,'Supply planning data'!$D:$D,DataViz!$B19),SUMIFS('Supply planning data'!M:M,'Supply planning data'!$D:$D,DataViz!$B19,'Supply planning data'!$C:$C,DataViz!$A$1))</f>
        <v>0</v>
      </c>
      <c r="N21" s="105">
        <f>IF($A$7="All",SUMIFS('Supply planning data'!N:N,'Supply planning data'!$D:$D,DataViz!$B19),SUMIFS('Supply planning data'!N:N,'Supply planning data'!$D:$D,DataViz!$B19,'Supply planning data'!$C:$C,DataViz!$A$1))+IF($A$7="All",SUMIFS('Supply planning data'!P:P,'Supply planning data'!$D:$D,DataViz!$B19),SUMIFS('Supply planning data'!P:P,'Supply planning data'!$D:$D,DataViz!$B19,'Supply planning data'!$C:$C,DataViz!$A$1))</f>
        <v>0</v>
      </c>
      <c r="O21" s="105">
        <f>IF($A$7="All",SUMIFS('Supply planning data'!R:R,'Supply planning data'!$D:$D,DataViz!$B19),SUMIFS('Supply planning data'!R:R,'Supply planning data'!$D:$D,DataViz!$B19,'Supply planning data'!$C:$C,DataViz!$A$1))</f>
        <v>0</v>
      </c>
      <c r="P21" s="105">
        <f>IF($A$7="All",SUMIFS('Supply planning data'!S:S,'Supply planning data'!$D:$D,DataViz!$B19),SUMIFS('Supply planning data'!S:S,'Supply planning data'!$D:$D,DataViz!$B19,'Supply planning data'!$C:$C,DataViz!$A$1))</f>
        <v>0</v>
      </c>
      <c r="Q21" s="105">
        <f>IF($A$7="All",SUMIFS('Supply planning data'!V:V,'Supply planning data'!$D:$D,DataViz!$B19),SUMIFS('Supply planning data'!V:V,'Supply planning data'!$D:$D,DataViz!$B19,'Supply planning data'!$C:$C,DataViz!$A$1))</f>
        <v>2169285</v>
      </c>
      <c r="R21" s="241" t="str">
        <f t="shared" si="18"/>
        <v/>
      </c>
      <c r="S21" s="278">
        <f t="shared" si="13"/>
        <v>44682</v>
      </c>
      <c r="T21" s="246">
        <f>AD20</f>
        <v>1600377</v>
      </c>
      <c r="U21" s="246">
        <f>IF($A$7="All",SUMIFS('Supply planning data'!M:M,'Supply planning data'!$D:$D,DataViz!$B19),SUMIFS('Supply planning data'!M:M,'Supply planning data'!$D:$D,DataViz!$B19,'Supply planning data'!$C:$C,DataViz!$A$1))</f>
        <v>0</v>
      </c>
      <c r="V21" s="242">
        <v>400000</v>
      </c>
      <c r="W21" s="243"/>
      <c r="X21" s="246">
        <f t="shared" si="0"/>
        <v>400000</v>
      </c>
      <c r="Y21" s="246">
        <f t="shared" si="8"/>
        <v>400000</v>
      </c>
      <c r="Z21" s="246">
        <f>IF($A$7="All",SUMIFS('Supply planning data'!N:N,'Supply planning data'!$D:$D,DataViz!$B19),SUMIFS('Supply planning data'!N:N,'Supply planning data'!$D:$D,DataViz!$B19,'Supply planning data'!$C:$C,DataViz!$A$1))+IF($A$7="All",SUMIFS('Supply planning data'!P:P,'Supply planning data'!$D:$D,DataViz!$B19),SUMIFS('Supply planning data'!P:P,'Supply planning data'!$D:$D,DataViz!$B19,'Supply planning data'!$C:$C,DataViz!$A$1))</f>
        <v>0</v>
      </c>
      <c r="AA21" s="246">
        <f>IF($A$7="All",SUMIFS('Supply planning data'!R:R,'Supply planning data'!$D:$D,DataViz!$B19),SUMIFS('Supply planning data'!R:R,'Supply planning data'!$D:$D,DataViz!$B19,'Supply planning data'!$C:$C,DataViz!$A$1))</f>
        <v>0</v>
      </c>
      <c r="AB21" s="246">
        <f>IF($A$7="All",SUMIFS('Supply planning data'!S:S,'Supply planning data'!$D:$D,DataViz!$B19),SUMIFS('Supply planning data'!S:S,'Supply planning data'!$D:$D,DataViz!$B19,'Supply planning data'!$C:$C,DataViz!$A$1))</f>
        <v>0</v>
      </c>
      <c r="AC21" s="242"/>
      <c r="AD21" s="246">
        <f t="shared" si="19"/>
        <v>1200377</v>
      </c>
      <c r="AE21" s="252">
        <f t="shared" si="20"/>
        <v>3.0009424999999998</v>
      </c>
      <c r="AF21" s="246">
        <f t="shared" si="15"/>
        <v>1199623</v>
      </c>
      <c r="AG21" s="249">
        <f t="shared" si="16"/>
        <v>3.8748451207912808E-2</v>
      </c>
      <c r="AH21" s="246">
        <f>SUM($V$8:V21)+SUM($J$8:J21)</f>
        <v>3497992</v>
      </c>
      <c r="AI21" s="246">
        <f>IFERROR(D21+(SUM($V$8:V21)/Dashboard!$W$6),"")</f>
        <v>2324907.0724747684</v>
      </c>
      <c r="AJ21" s="246">
        <f t="shared" si="17"/>
        <v>2008377</v>
      </c>
      <c r="AK21" s="246">
        <f>IF($A$7="All",SUMIFS('Supply planning data'!M:M,'Supply planning data'!$D:$D,DataViz!$B19),SUMIFS('Supply planning data'!M:M,'Supply planning data'!$D:$D,DataViz!$B19,'Supply planning data'!$C:$C,DataViz!$A$1))</f>
        <v>0</v>
      </c>
      <c r="AL21" s="242"/>
      <c r="AM21" s="243"/>
      <c r="AN21" s="246">
        <f t="shared" si="2"/>
        <v>0</v>
      </c>
      <c r="AO21" s="246" t="e">
        <f t="shared" si="3"/>
        <v>#N/A</v>
      </c>
      <c r="AP21" s="246">
        <f>IF($A$7="All",SUMIFS('Supply planning data'!N:N,'Supply planning data'!$D:$D,DataViz!$B19),SUMIFS('Supply planning data'!N:N,'Supply planning data'!$D:$D,DataViz!$B19,'Supply planning data'!$C:$C,DataViz!$A$1))+IF($A$7="All",SUMIFS('Supply planning data'!P:P,'Supply planning data'!$D:$D,DataViz!$B19),SUMIFS('Supply planning data'!P:P,'Supply planning data'!$D:$D,DataViz!$B19,'Supply planning data'!$C:$C,DataViz!$A$1))</f>
        <v>0</v>
      </c>
      <c r="AQ21" s="246">
        <f t="shared" si="4"/>
        <v>0</v>
      </c>
      <c r="AR21" s="246">
        <f t="shared" si="5"/>
        <v>0</v>
      </c>
      <c r="AS21" s="242"/>
      <c r="AT21" s="246">
        <f t="shared" si="9"/>
        <v>2008377</v>
      </c>
      <c r="AU21" s="252" t="e">
        <f t="shared" si="21"/>
        <v>#N/A</v>
      </c>
      <c r="AV21" s="246" t="e">
        <f t="shared" si="10"/>
        <v>#N/A</v>
      </c>
      <c r="AW21" s="249">
        <f t="shared" si="11"/>
        <v>2.9492566666666668E-2</v>
      </c>
      <c r="AX21" s="246">
        <f>SUM($AL$8:AL21)+SUM($J$8:J21)</f>
        <v>2697992</v>
      </c>
      <c r="AY21" s="279">
        <f>IFERROR(D21+(SUM($AL$8:AL21)/Dashboard!$W$6),"")</f>
        <v>1769554</v>
      </c>
      <c r="BA21" s="24"/>
    </row>
    <row r="22" spans="1:65" x14ac:dyDescent="0.25">
      <c r="A22" s="222">
        <v>15</v>
      </c>
      <c r="B22" s="225">
        <f t="shared" si="12"/>
        <v>44713</v>
      </c>
      <c r="C22" s="98">
        <f>IF(VLOOKUP(Dashboard!$M$6,Start!$B$10:$E$12,4,FALSE)&gt;0,VLOOKUP(Dashboard!$M$6,Start!$B$10:$E$12,4,FALSE),VLOOKUP(Dashboard!$M$6,Start!$B$10:$E$12,3,FALSE))</f>
        <v>60000000</v>
      </c>
      <c r="D22" s="98">
        <f>IF($A$7="Jansen",SUMIFS('Supply planning data'!G:G,'Supply planning data'!$D:$D,"&lt;="&amp;DataViz!$B20,'Supply planning data'!$C:$C,"jansen"),IF($A$7="All",SUMIFS('Supply planning data'!H:H,'Supply planning data'!$D:$D,"&lt;="&amp;DataViz!$B20)+SUMIFS('Supply planning data'!G:G,'Supply planning data'!$D:$D,"&lt;="&amp;DataViz!$B20,'Supply planning data'!$C:$C,"Jansen"),SUMIFS('Supply planning data'!H:H,'Supply planning data'!$D:$D,"&lt;="&amp;DataViz!$B20,'Supply planning data'!$C:$C,DataViz!$A$1)))</f>
        <v>1769554</v>
      </c>
      <c r="E22" s="175">
        <f t="shared" si="7"/>
        <v>2.9492566666666668E-2</v>
      </c>
      <c r="F22" s="98">
        <f>IF($A$7="All",SUMIFS('Supply planning data'!F:F,'Supply planning data'!$D:$D,DataViz!$B20),SUMIFS('Supply planning data'!F:F,'Supply planning data'!$D:$D,DataViz!$B20,'Supply planning data'!$C:$C,DataViz!$A$1))</f>
        <v>2169285</v>
      </c>
      <c r="G22" s="98">
        <f>IF($A$7="All",SUMIFS('Supply planning data'!G:G,'Supply planning data'!$D:$D,DataViz!$B20),SUMIFS('Supply planning data'!G:G,'Supply planning data'!$D:$D,DataViz!$B20,'Supply planning data'!$C:$C,DataViz!$A$1))</f>
        <v>0</v>
      </c>
      <c r="H22" s="98">
        <f>IF($A$7="All",SUMIFS('Supply planning data'!H:H,'Supply planning data'!$D:$D,DataViz!$B20),SUMIFS('Supply planning data'!H:H,'Supply planning data'!$D:$D,DataViz!$B20,'Supply planning data'!$C:$C,DataViz!$A$1))</f>
        <v>0</v>
      </c>
      <c r="I22" s="98">
        <f>IF($A$7="All",SUMIFS('Supply planning data'!I:I,'Supply planning data'!$D:$D,DataViz!$B20),SUMIFS('Supply planning data'!I:I,'Supply planning data'!$D:$D,DataViz!$B20,'Supply planning data'!$C:$C,DataViz!$A$1))</f>
        <v>0</v>
      </c>
      <c r="J22" s="98">
        <f>IF($A$7="All",SUMIFS('Supply planning data'!J:J,'Supply planning data'!$D:$D,DataViz!$B20),SUMIFS('Supply planning data'!J:J,'Supply planning data'!$D:$D,DataViz!$B20,'Supply planning data'!$C:$C,DataViz!$A$1))</f>
        <v>0</v>
      </c>
      <c r="K22" s="98">
        <f>IF($A$7="All",SUMIFS('Supply planning data'!L:L,'Supply planning data'!$D:$D,DataViz!$B20),SUMIFS('Supply planning data'!L:L,'Supply planning data'!$D:$D,DataViz!$B20,'Supply planning data'!$C:$C,DataViz!$A$1))</f>
        <v>0</v>
      </c>
      <c r="L22" s="98">
        <f>IF($A$7="All",SUMIFS('Supply planning data'!K:K,'Supply planning data'!$D:$D,DataViz!$B20),SUMIFS('Supply planning data'!K:K,'Supply planning data'!$D:$D,DataViz!$B20,'Supply planning data'!$C:$C,DataViz!$A$1))</f>
        <v>0</v>
      </c>
      <c r="M22" s="98">
        <f>IF($A$7="All",SUMIFS('Supply planning data'!M:M,'Supply planning data'!$D:$D,DataViz!$B20),SUMIFS('Supply planning data'!M:M,'Supply planning data'!$D:$D,DataViz!$B20,'Supply planning data'!$C:$C,DataViz!$A$1))</f>
        <v>0</v>
      </c>
      <c r="N22" s="98">
        <f>IF($A$7="All",SUMIFS('Supply planning data'!N:N,'Supply planning data'!$D:$D,DataViz!$B20),SUMIFS('Supply planning data'!N:N,'Supply planning data'!$D:$D,DataViz!$B20,'Supply planning data'!$C:$C,DataViz!$A$1))+IF($A$7="All",SUMIFS('Supply planning data'!P:P,'Supply planning data'!$D:$D,DataViz!$B20),SUMIFS('Supply planning data'!P:P,'Supply planning data'!$D:$D,DataViz!$B20,'Supply planning data'!$C:$C,DataViz!$A$1))</f>
        <v>0</v>
      </c>
      <c r="O22" s="98">
        <f>IF($A$7="All",SUMIFS('Supply planning data'!R:R,'Supply planning data'!$D:$D,DataViz!$B20),SUMIFS('Supply planning data'!R:R,'Supply planning data'!$D:$D,DataViz!$B20,'Supply planning data'!$C:$C,DataViz!$A$1))</f>
        <v>0</v>
      </c>
      <c r="P22" s="98">
        <f>IF($A$7="All",SUMIFS('Supply planning data'!S:S,'Supply planning data'!$D:$D,DataViz!$B20),SUMIFS('Supply planning data'!S:S,'Supply planning data'!$D:$D,DataViz!$B20,'Supply planning data'!$C:$C,DataViz!$A$1))</f>
        <v>1000000</v>
      </c>
      <c r="Q22" s="98">
        <f>IF($A$7="All",SUMIFS('Supply planning data'!V:V,'Supply planning data'!$D:$D,DataViz!$B20),SUMIFS('Supply planning data'!V:V,'Supply planning data'!$D:$D,DataViz!$B20,'Supply planning data'!$C:$C,DataViz!$A$1))</f>
        <v>3169285</v>
      </c>
      <c r="R22" s="240" t="str">
        <f t="shared" si="18"/>
        <v/>
      </c>
      <c r="S22" s="280">
        <f t="shared" si="13"/>
        <v>44713</v>
      </c>
      <c r="T22" s="281">
        <f t="shared" si="14"/>
        <v>1200377</v>
      </c>
      <c r="U22" s="281">
        <f>IF($A$7="All",SUMIFS('Supply planning data'!M:M,'Supply planning data'!$D:$D,DataViz!$B20),SUMIFS('Supply planning data'!M:M,'Supply planning data'!$D:$D,DataViz!$B20,'Supply planning data'!$C:$C,DataViz!$A$1))</f>
        <v>0</v>
      </c>
      <c r="V22" s="282">
        <v>400000</v>
      </c>
      <c r="W22" s="283"/>
      <c r="X22" s="281">
        <f t="shared" si="0"/>
        <v>400000</v>
      </c>
      <c r="Y22" s="281">
        <f t="shared" si="8"/>
        <v>400000</v>
      </c>
      <c r="Z22" s="281">
        <f>IF($A$7="All",SUMIFS('Supply planning data'!N:N,'Supply planning data'!$D:$D,DataViz!$B20),SUMIFS('Supply planning data'!N:N,'Supply planning data'!$D:$D,DataViz!$B20,'Supply planning data'!$C:$C,DataViz!$A$1))+IF($A$7="All",SUMIFS('Supply planning data'!P:P,'Supply planning data'!$D:$D,DataViz!$B20),SUMIFS('Supply planning data'!P:P,'Supply planning data'!$D:$D,DataViz!$B20,'Supply planning data'!$C:$C,DataViz!$A$1))</f>
        <v>0</v>
      </c>
      <c r="AA22" s="281">
        <f>IF($A$7="All",SUMIFS('Supply planning data'!R:R,'Supply planning data'!$D:$D,DataViz!$B20),SUMIFS('Supply planning data'!R:R,'Supply planning data'!$D:$D,DataViz!$B20,'Supply planning data'!$C:$C,DataViz!$A$1))</f>
        <v>0</v>
      </c>
      <c r="AB22" s="281">
        <f>IF($A$7="All",SUMIFS('Supply planning data'!S:S,'Supply planning data'!$D:$D,DataViz!$B20),SUMIFS('Supply planning data'!S:S,'Supply planning data'!$D:$D,DataViz!$B20,'Supply planning data'!$C:$C,DataViz!$A$1))</f>
        <v>1000000</v>
      </c>
      <c r="AC22" s="282"/>
      <c r="AD22" s="281">
        <f t="shared" si="19"/>
        <v>1800377</v>
      </c>
      <c r="AE22" s="284">
        <f t="shared" si="20"/>
        <v>4.5009424999999998</v>
      </c>
      <c r="AF22" s="281">
        <f t="shared" si="15"/>
        <v>599623</v>
      </c>
      <c r="AG22" s="285">
        <f t="shared" si="16"/>
        <v>4.3376393478535884E-2</v>
      </c>
      <c r="AH22" s="281">
        <f>SUM($V$8:V22)+SUM($J$8:J22)</f>
        <v>3897992</v>
      </c>
      <c r="AI22" s="281">
        <f>IFERROR(D22+(SUM($V$8:V22)/Dashboard!$W$6),"")</f>
        <v>2602583.608712153</v>
      </c>
      <c r="AJ22" s="281">
        <f t="shared" si="17"/>
        <v>2008377</v>
      </c>
      <c r="AK22" s="281">
        <f>IF($A$7="All",SUMIFS('Supply planning data'!M:M,'Supply planning data'!$D:$D,DataViz!$B20),SUMIFS('Supply planning data'!M:M,'Supply planning data'!$D:$D,DataViz!$B20,'Supply planning data'!$C:$C,DataViz!$A$1))</f>
        <v>0</v>
      </c>
      <c r="AL22" s="282"/>
      <c r="AM22" s="283"/>
      <c r="AN22" s="281">
        <f t="shared" si="2"/>
        <v>0</v>
      </c>
      <c r="AO22" s="281" t="e">
        <f t="shared" si="3"/>
        <v>#N/A</v>
      </c>
      <c r="AP22" s="281">
        <f>IF($A$7="All",SUMIFS('Supply planning data'!N:N,'Supply planning data'!$D:$D,DataViz!$B20),SUMIFS('Supply planning data'!N:N,'Supply planning data'!$D:$D,DataViz!$B20,'Supply planning data'!$C:$C,DataViz!$A$1))+IF($A$7="All",SUMIFS('Supply planning data'!P:P,'Supply planning data'!$D:$D,DataViz!$B20),SUMIFS('Supply planning data'!P:P,'Supply planning data'!$D:$D,DataViz!$B20,'Supply planning data'!$C:$C,DataViz!$A$1))</f>
        <v>0</v>
      </c>
      <c r="AQ22" s="281">
        <f t="shared" si="4"/>
        <v>0</v>
      </c>
      <c r="AR22" s="281">
        <f t="shared" si="5"/>
        <v>1000000</v>
      </c>
      <c r="AS22" s="282"/>
      <c r="AT22" s="281">
        <f t="shared" si="9"/>
        <v>3008377</v>
      </c>
      <c r="AU22" s="284" t="e">
        <f t="shared" si="21"/>
        <v>#N/A</v>
      </c>
      <c r="AV22" s="281" t="e">
        <f t="shared" si="10"/>
        <v>#N/A</v>
      </c>
      <c r="AW22" s="285">
        <f t="shared" si="11"/>
        <v>2.9492566666666668E-2</v>
      </c>
      <c r="AX22" s="281">
        <f>SUM($AL$8:AL22)+SUM($J$8:J22)</f>
        <v>2697992</v>
      </c>
      <c r="AY22" s="286">
        <f>IFERROR(D22+(SUM($AL$8:AL22)/Dashboard!$W$6),"")</f>
        <v>1769554</v>
      </c>
    </row>
    <row r="23" spans="1:65" x14ac:dyDescent="0.25">
      <c r="A23" s="222">
        <v>16</v>
      </c>
      <c r="B23" s="226">
        <f t="shared" si="12"/>
        <v>44743</v>
      </c>
      <c r="C23" s="105">
        <f>IF(VLOOKUP(Dashboard!$M$6,Start!$B$10:$E$12,4,FALSE)&gt;0,VLOOKUP(Dashboard!$M$6,Start!$B$10:$E$12,4,FALSE),VLOOKUP(Dashboard!$M$6,Start!$B$10:$E$12,3,FALSE))</f>
        <v>60000000</v>
      </c>
      <c r="D23" s="105">
        <f>IF($A$7="Jansen",SUMIFS('Supply planning data'!G:G,'Supply planning data'!$D:$D,"&lt;="&amp;DataViz!$B21,'Supply planning data'!$C:$C,"jansen"),IF($A$7="All",SUMIFS('Supply planning data'!H:H,'Supply planning data'!$D:$D,"&lt;="&amp;DataViz!$B21)+SUMIFS('Supply planning data'!G:G,'Supply planning data'!$D:$D,"&lt;="&amp;DataViz!$B21,'Supply planning data'!$C:$C,"Jansen"),SUMIFS('Supply planning data'!H:H,'Supply planning data'!$D:$D,"&lt;="&amp;DataViz!$B21,'Supply planning data'!$C:$C,DataViz!$A$1)))</f>
        <v>1769554</v>
      </c>
      <c r="E23" s="177">
        <f t="shared" si="7"/>
        <v>2.9492566666666668E-2</v>
      </c>
      <c r="F23" s="105">
        <f>IF($A$7="All",SUMIFS('Supply planning data'!F:F,'Supply planning data'!$D:$D,DataViz!$B21),SUMIFS('Supply planning data'!F:F,'Supply planning data'!$D:$D,DataViz!$B21,'Supply planning data'!$C:$C,DataViz!$A$1))</f>
        <v>3169285</v>
      </c>
      <c r="G23" s="105">
        <f>IF($A$7="All",SUMIFS('Supply planning data'!G:G,'Supply planning data'!$D:$D,DataViz!$B21),SUMIFS('Supply planning data'!G:G,'Supply planning data'!$D:$D,DataViz!$B21,'Supply planning data'!$C:$C,DataViz!$A$1))</f>
        <v>0</v>
      </c>
      <c r="H23" s="105">
        <f>IF($A$7="All",SUMIFS('Supply planning data'!H:H,'Supply planning data'!$D:$D,DataViz!$B21),SUMIFS('Supply planning data'!H:H,'Supply planning data'!$D:$D,DataViz!$B21,'Supply planning data'!$C:$C,DataViz!$A$1))</f>
        <v>0</v>
      </c>
      <c r="I23" s="105">
        <f>IF($A$7="All",SUMIFS('Supply planning data'!I:I,'Supply planning data'!$D:$D,DataViz!$B21),SUMIFS('Supply planning data'!I:I,'Supply planning data'!$D:$D,DataViz!$B21,'Supply planning data'!$C:$C,DataViz!$A$1))</f>
        <v>0</v>
      </c>
      <c r="J23" s="105">
        <f>IF($A$7="All",SUMIFS('Supply planning data'!J:J,'Supply planning data'!$D:$D,DataViz!$B21),SUMIFS('Supply planning data'!J:J,'Supply planning data'!$D:$D,DataViz!$B21,'Supply planning data'!$C:$C,DataViz!$A$1))</f>
        <v>0</v>
      </c>
      <c r="K23" s="105">
        <f>IF($A$7="All",SUMIFS('Supply planning data'!L:L,'Supply planning data'!$D:$D,DataViz!$B21),SUMIFS('Supply planning data'!L:L,'Supply planning data'!$D:$D,DataViz!$B21,'Supply planning data'!$C:$C,DataViz!$A$1))</f>
        <v>0</v>
      </c>
      <c r="L23" s="105">
        <f>IF($A$7="All",SUMIFS('Supply planning data'!K:K,'Supply planning data'!$D:$D,DataViz!$B21),SUMIFS('Supply planning data'!K:K,'Supply planning data'!$D:$D,DataViz!$B21,'Supply planning data'!$C:$C,DataViz!$A$1))</f>
        <v>0</v>
      </c>
      <c r="M23" s="105">
        <f>IF($A$7="All",SUMIFS('Supply planning data'!M:M,'Supply planning data'!$D:$D,DataViz!$B21),SUMIFS('Supply planning data'!M:M,'Supply planning data'!$D:$D,DataViz!$B21,'Supply planning data'!$C:$C,DataViz!$A$1))</f>
        <v>0</v>
      </c>
      <c r="N23" s="105">
        <f>IF($A$7="All",SUMIFS('Supply planning data'!N:N,'Supply planning data'!$D:$D,DataViz!$B21),SUMIFS('Supply planning data'!N:N,'Supply planning data'!$D:$D,DataViz!$B21,'Supply planning data'!$C:$C,DataViz!$A$1))+IF($A$7="All",SUMIFS('Supply planning data'!P:P,'Supply planning data'!$D:$D,DataViz!$B21),SUMIFS('Supply planning data'!P:P,'Supply planning data'!$D:$D,DataViz!$B21,'Supply planning data'!$C:$C,DataViz!$A$1))</f>
        <v>0</v>
      </c>
      <c r="O23" s="105">
        <f>IF($A$7="All",SUMIFS('Supply planning data'!R:R,'Supply planning data'!$D:$D,DataViz!$B21),SUMIFS('Supply planning data'!R:R,'Supply planning data'!$D:$D,DataViz!$B21,'Supply planning data'!$C:$C,DataViz!$A$1))</f>
        <v>0</v>
      </c>
      <c r="P23" s="105">
        <f>IF($A$7="All",SUMIFS('Supply planning data'!S:S,'Supply planning data'!$D:$D,DataViz!$B21),SUMIFS('Supply planning data'!S:S,'Supply planning data'!$D:$D,DataViz!$B21,'Supply planning data'!$C:$C,DataViz!$A$1))</f>
        <v>1000000</v>
      </c>
      <c r="Q23" s="105">
        <f>IF($A$7="All",SUMIFS('Supply planning data'!V:V,'Supply planning data'!$D:$D,DataViz!$B21),SUMIFS('Supply planning data'!V:V,'Supply planning data'!$D:$D,DataViz!$B21,'Supply planning data'!$C:$C,DataViz!$A$1))</f>
        <v>4058747</v>
      </c>
      <c r="R23" s="241" t="str">
        <f t="shared" si="18"/>
        <v/>
      </c>
      <c r="S23" s="272">
        <f t="shared" si="13"/>
        <v>44743</v>
      </c>
      <c r="T23" s="273">
        <f t="shared" si="14"/>
        <v>1800377</v>
      </c>
      <c r="U23" s="273">
        <f>IF($A$7="All",SUMIFS('Supply planning data'!M:M,'Supply planning data'!$D:$D,DataViz!$B21),SUMIFS('Supply planning data'!M:M,'Supply planning data'!$D:$D,DataViz!$B21,'Supply planning data'!$C:$C,DataViz!$A$1))</f>
        <v>0</v>
      </c>
      <c r="V23" s="274">
        <v>400000</v>
      </c>
      <c r="W23" s="275"/>
      <c r="X23" s="273">
        <f t="shared" si="0"/>
        <v>400000</v>
      </c>
      <c r="Y23" s="273">
        <f t="shared" si="8"/>
        <v>400000</v>
      </c>
      <c r="Z23" s="273">
        <f>IF($A$7="All",SUMIFS('Supply planning data'!N:N,'Supply planning data'!$D:$D,DataViz!$B21),SUMIFS('Supply planning data'!N:N,'Supply planning data'!$D:$D,DataViz!$B21,'Supply planning data'!$C:$C,DataViz!$A$1))+IF($A$7="All",SUMIFS('Supply planning data'!P:P,'Supply planning data'!$D:$D,DataViz!$B21),SUMIFS('Supply planning data'!P:P,'Supply planning data'!$D:$D,DataViz!$B21,'Supply planning data'!$C:$C,DataViz!$A$1))</f>
        <v>0</v>
      </c>
      <c r="AA23" s="273">
        <f>IF($A$7="All",SUMIFS('Supply planning data'!R:R,'Supply planning data'!$D:$D,DataViz!$B21),SUMIFS('Supply planning data'!R:R,'Supply planning data'!$D:$D,DataViz!$B21,'Supply planning data'!$C:$C,DataViz!$A$1))</f>
        <v>0</v>
      </c>
      <c r="AB23" s="273">
        <f>IF($A$7="All",SUMIFS('Supply planning data'!S:S,'Supply planning data'!$D:$D,DataViz!$B21),SUMIFS('Supply planning data'!S:S,'Supply planning data'!$D:$D,DataViz!$B21,'Supply planning data'!$C:$C,DataViz!$A$1))</f>
        <v>1000000</v>
      </c>
      <c r="AC23" s="274"/>
      <c r="AD23" s="273">
        <f t="shared" si="19"/>
        <v>2400377</v>
      </c>
      <c r="AE23" s="288">
        <f t="shared" si="20"/>
        <v>6.0009424999999998</v>
      </c>
      <c r="AF23" s="273">
        <f t="shared" si="15"/>
        <v>0</v>
      </c>
      <c r="AG23" s="276">
        <f t="shared" si="16"/>
        <v>4.8004335749158952E-2</v>
      </c>
      <c r="AH23" s="273">
        <f>SUM($V$8:V23)+SUM($J$8:J23)</f>
        <v>4297992</v>
      </c>
      <c r="AI23" s="273">
        <f>IFERROR(D23+(SUM($V$8:V23)/Dashboard!$W$6),"")</f>
        <v>2880260.1449495372</v>
      </c>
      <c r="AJ23" s="273">
        <f t="shared" si="17"/>
        <v>3008377</v>
      </c>
      <c r="AK23" s="273">
        <f>IF($A$7="All",SUMIFS('Supply planning data'!M:M,'Supply planning data'!$D:$D,DataViz!$B21),SUMIFS('Supply planning data'!M:M,'Supply planning data'!$D:$D,DataViz!$B21,'Supply planning data'!$C:$C,DataViz!$A$1))</f>
        <v>0</v>
      </c>
      <c r="AL23" s="274"/>
      <c r="AM23" s="275"/>
      <c r="AN23" s="273">
        <f t="shared" si="2"/>
        <v>0</v>
      </c>
      <c r="AO23" s="273" t="e">
        <f t="shared" si="3"/>
        <v>#N/A</v>
      </c>
      <c r="AP23" s="273">
        <f>IF($A$7="All",SUMIFS('Supply planning data'!N:N,'Supply planning data'!$D:$D,DataViz!$B21),SUMIFS('Supply planning data'!N:N,'Supply planning data'!$D:$D,DataViz!$B21,'Supply planning data'!$C:$C,DataViz!$A$1))+IF($A$7="All",SUMIFS('Supply planning data'!P:P,'Supply planning data'!$D:$D,DataViz!$B21),SUMIFS('Supply planning data'!P:P,'Supply planning data'!$D:$D,DataViz!$B21,'Supply planning data'!$C:$C,DataViz!$A$1))</f>
        <v>0</v>
      </c>
      <c r="AQ23" s="273">
        <f t="shared" si="4"/>
        <v>0</v>
      </c>
      <c r="AR23" s="273">
        <f t="shared" si="5"/>
        <v>1000000</v>
      </c>
      <c r="AS23" s="274"/>
      <c r="AT23" s="273">
        <f t="shared" si="9"/>
        <v>4008377</v>
      </c>
      <c r="AU23" s="288" t="e">
        <f t="shared" si="21"/>
        <v>#N/A</v>
      </c>
      <c r="AV23" s="273" t="e">
        <f t="shared" si="10"/>
        <v>#N/A</v>
      </c>
      <c r="AW23" s="276">
        <f t="shared" si="11"/>
        <v>2.9492566666666668E-2</v>
      </c>
      <c r="AX23" s="273">
        <f>SUM($AL$8:AL23)+SUM($J$8:J23)</f>
        <v>2697992</v>
      </c>
      <c r="AY23" s="277">
        <f>IFERROR(D23+(SUM($AL$8:AL23)/Dashboard!$W$6),"")</f>
        <v>1769554</v>
      </c>
    </row>
    <row r="24" spans="1:65" x14ac:dyDescent="0.25">
      <c r="A24" s="222">
        <v>17</v>
      </c>
      <c r="B24" s="225">
        <f t="shared" si="12"/>
        <v>44774</v>
      </c>
      <c r="C24" s="98">
        <f>IF(VLOOKUP(Dashboard!$M$6,Start!$B$10:$E$12,4,FALSE)&gt;0,VLOOKUP(Dashboard!$M$6,Start!$B$10:$E$12,4,FALSE),VLOOKUP(Dashboard!$M$6,Start!$B$10:$E$12,3,FALSE))</f>
        <v>60000000</v>
      </c>
      <c r="D24" s="98">
        <f>IF($A$7="Jansen",SUMIFS('Supply planning data'!G:G,'Supply planning data'!$D:$D,"&lt;="&amp;DataViz!$B22,'Supply planning data'!$C:$C,"jansen"),IF($A$7="All",SUMIFS('Supply planning data'!H:H,'Supply planning data'!$D:$D,"&lt;="&amp;DataViz!$B22)+SUMIFS('Supply planning data'!G:G,'Supply planning data'!$D:$D,"&lt;="&amp;DataViz!$B22,'Supply planning data'!$C:$C,"Jansen"),SUMIFS('Supply planning data'!H:H,'Supply planning data'!$D:$D,"&lt;="&amp;DataViz!$B22,'Supply planning data'!$C:$C,DataViz!$A$1)))</f>
        <v>1769554</v>
      </c>
      <c r="E24" s="175">
        <f t="shared" si="7"/>
        <v>2.9492566666666668E-2</v>
      </c>
      <c r="F24" s="98">
        <f>IF($A$7="All",SUMIFS('Supply planning data'!F:F,'Supply planning data'!$D:$D,DataViz!$B22),SUMIFS('Supply planning data'!F:F,'Supply planning data'!$D:$D,DataViz!$B22,'Supply planning data'!$C:$C,DataViz!$A$1))</f>
        <v>4058747</v>
      </c>
      <c r="G24" s="98">
        <f>IF($A$7="All",SUMIFS('Supply planning data'!G:G,'Supply planning data'!$D:$D,DataViz!$B22),SUMIFS('Supply planning data'!G:G,'Supply planning data'!$D:$D,DataViz!$B22,'Supply planning data'!$C:$C,DataViz!$A$1))</f>
        <v>0</v>
      </c>
      <c r="H24" s="98">
        <f>IF($A$7="All",SUMIFS('Supply planning data'!H:H,'Supply planning data'!$D:$D,DataViz!$B22),SUMIFS('Supply planning data'!H:H,'Supply planning data'!$D:$D,DataViz!$B22,'Supply planning data'!$C:$C,DataViz!$A$1))</f>
        <v>0</v>
      </c>
      <c r="I24" s="98">
        <f>IF($A$7="All",SUMIFS('Supply planning data'!I:I,'Supply planning data'!$D:$D,DataViz!$B22),SUMIFS('Supply planning data'!I:I,'Supply planning data'!$D:$D,DataViz!$B22,'Supply planning data'!$C:$C,DataViz!$A$1))</f>
        <v>0</v>
      </c>
      <c r="J24" s="98">
        <f>IF($A$7="All",SUMIFS('Supply planning data'!J:J,'Supply planning data'!$D:$D,DataViz!$B22),SUMIFS('Supply planning data'!J:J,'Supply planning data'!$D:$D,DataViz!$B22,'Supply planning data'!$C:$C,DataViz!$A$1))</f>
        <v>0</v>
      </c>
      <c r="K24" s="98">
        <f>IF($A$7="All",SUMIFS('Supply planning data'!L:L,'Supply planning data'!$D:$D,DataViz!$B22),SUMIFS('Supply planning data'!L:L,'Supply planning data'!$D:$D,DataViz!$B22,'Supply planning data'!$C:$C,DataViz!$A$1))</f>
        <v>0</v>
      </c>
      <c r="L24" s="98">
        <f>IF($A$7="All",SUMIFS('Supply planning data'!K:K,'Supply planning data'!$D:$D,DataViz!$B22),SUMIFS('Supply planning data'!K:K,'Supply planning data'!$D:$D,DataViz!$B22,'Supply planning data'!$C:$C,DataViz!$A$1))</f>
        <v>0</v>
      </c>
      <c r="M24" s="98">
        <f>IF($A$7="All",SUMIFS('Supply planning data'!M:M,'Supply planning data'!$D:$D,DataViz!$B22),SUMIFS('Supply planning data'!M:M,'Supply planning data'!$D:$D,DataViz!$B22,'Supply planning data'!$C:$C,DataViz!$A$1))</f>
        <v>0</v>
      </c>
      <c r="N24" s="98">
        <f>IF($A$7="All",SUMIFS('Supply planning data'!N:N,'Supply planning data'!$D:$D,DataViz!$B22),SUMIFS('Supply planning data'!N:N,'Supply planning data'!$D:$D,DataViz!$B22,'Supply planning data'!$C:$C,DataViz!$A$1))+IF($A$7="All",SUMIFS('Supply planning data'!P:P,'Supply planning data'!$D:$D,DataViz!$B22),SUMIFS('Supply planning data'!P:P,'Supply planning data'!$D:$D,DataViz!$B22,'Supply planning data'!$C:$C,DataViz!$A$1))</f>
        <v>0</v>
      </c>
      <c r="O24" s="98">
        <f>IF($A$7="All",SUMIFS('Supply planning data'!R:R,'Supply planning data'!$D:$D,DataViz!$B22),SUMIFS('Supply planning data'!R:R,'Supply planning data'!$D:$D,DataViz!$B22,'Supply planning data'!$C:$C,DataViz!$A$1))</f>
        <v>0</v>
      </c>
      <c r="P24" s="98">
        <f>IF($A$7="All",SUMIFS('Supply planning data'!S:S,'Supply planning data'!$D:$D,DataViz!$B22),SUMIFS('Supply planning data'!S:S,'Supply planning data'!$D:$D,DataViz!$B22,'Supply planning data'!$C:$C,DataViz!$A$1))</f>
        <v>1000000</v>
      </c>
      <c r="Q24" s="98">
        <f>IF($A$7="All",SUMIFS('Supply planning data'!V:V,'Supply planning data'!$D:$D,DataViz!$B22),SUMIFS('Supply planning data'!V:V,'Supply planning data'!$D:$D,DataViz!$B22,'Supply planning data'!$C:$C,DataViz!$A$1))</f>
        <v>5058747</v>
      </c>
      <c r="R24" s="240" t="str">
        <f t="shared" si="18"/>
        <v/>
      </c>
      <c r="S24" s="278">
        <f t="shared" si="13"/>
        <v>44774</v>
      </c>
      <c r="T24" s="246">
        <f t="shared" si="14"/>
        <v>2400377</v>
      </c>
      <c r="U24" s="246">
        <f>IF($A$7="All",SUMIFS('Supply planning data'!M:M,'Supply planning data'!$D:$D,DataViz!$B22),SUMIFS('Supply planning data'!M:M,'Supply planning data'!$D:$D,DataViz!$B22,'Supply planning data'!$C:$C,DataViz!$A$1))</f>
        <v>0</v>
      </c>
      <c r="V24" s="242">
        <v>400000</v>
      </c>
      <c r="W24" s="243"/>
      <c r="X24" s="246">
        <f t="shared" si="0"/>
        <v>400000</v>
      </c>
      <c r="Y24" s="246">
        <f t="shared" si="8"/>
        <v>400000</v>
      </c>
      <c r="Z24" s="246">
        <f>IF($A$7="All",SUMIFS('Supply planning data'!N:N,'Supply planning data'!$D:$D,DataViz!$B22),SUMIFS('Supply planning data'!N:N,'Supply planning data'!$D:$D,DataViz!$B22,'Supply planning data'!$C:$C,DataViz!$A$1))+IF($A$7="All",SUMIFS('Supply planning data'!P:P,'Supply planning data'!$D:$D,DataViz!$B22),SUMIFS('Supply planning data'!P:P,'Supply planning data'!$D:$D,DataViz!$B22,'Supply planning data'!$C:$C,DataViz!$A$1))</f>
        <v>0</v>
      </c>
      <c r="AA24" s="246">
        <f>IF($A$7="All",SUMIFS('Supply planning data'!R:R,'Supply planning data'!$D:$D,DataViz!$B22),SUMIFS('Supply planning data'!R:R,'Supply planning data'!$D:$D,DataViz!$B22,'Supply planning data'!$C:$C,DataViz!$A$1))</f>
        <v>0</v>
      </c>
      <c r="AB24" s="246">
        <f>IF($A$7="All",SUMIFS('Supply planning data'!S:S,'Supply planning data'!$D:$D,DataViz!$B22),SUMIFS('Supply planning data'!S:S,'Supply planning data'!$D:$D,DataViz!$B22,'Supply planning data'!$C:$C,DataViz!$A$1))</f>
        <v>1000000</v>
      </c>
      <c r="AC24" s="242"/>
      <c r="AD24" s="246">
        <f t="shared" si="19"/>
        <v>3000377</v>
      </c>
      <c r="AE24" s="252">
        <f t="shared" si="20"/>
        <v>7.5009424999999998</v>
      </c>
      <c r="AF24" s="246">
        <f t="shared" si="15"/>
        <v>0</v>
      </c>
      <c r="AG24" s="249">
        <f t="shared" si="16"/>
        <v>5.2632278019782021E-2</v>
      </c>
      <c r="AH24" s="246">
        <f>SUM($V$8:V24)+SUM($J$8:J24)</f>
        <v>4697992</v>
      </c>
      <c r="AI24" s="246">
        <f>IFERROR(D24+(SUM($V$8:V24)/Dashboard!$W$6),"")</f>
        <v>3157936.6811869214</v>
      </c>
      <c r="AJ24" s="246">
        <f t="shared" si="17"/>
        <v>4008377</v>
      </c>
      <c r="AK24" s="246">
        <f>IF($A$7="All",SUMIFS('Supply planning data'!M:M,'Supply planning data'!$D:$D,DataViz!$B22),SUMIFS('Supply planning data'!M:M,'Supply planning data'!$D:$D,DataViz!$B22,'Supply planning data'!$C:$C,DataViz!$A$1))</f>
        <v>0</v>
      </c>
      <c r="AL24" s="242"/>
      <c r="AM24" s="243"/>
      <c r="AN24" s="246">
        <f t="shared" si="2"/>
        <v>0</v>
      </c>
      <c r="AO24" s="246" t="e">
        <f t="shared" si="3"/>
        <v>#N/A</v>
      </c>
      <c r="AP24" s="246">
        <f>IF($A$7="All",SUMIFS('Supply planning data'!N:N,'Supply planning data'!$D:$D,DataViz!$B22),SUMIFS('Supply planning data'!N:N,'Supply planning data'!$D:$D,DataViz!$B22,'Supply planning data'!$C:$C,DataViz!$A$1))+IF($A$7="All",SUMIFS('Supply planning data'!P:P,'Supply planning data'!$D:$D,DataViz!$B22),SUMIFS('Supply planning data'!P:P,'Supply planning data'!$D:$D,DataViz!$B22,'Supply planning data'!$C:$C,DataViz!$A$1))</f>
        <v>0</v>
      </c>
      <c r="AQ24" s="246">
        <f t="shared" si="4"/>
        <v>0</v>
      </c>
      <c r="AR24" s="246">
        <f t="shared" si="5"/>
        <v>1000000</v>
      </c>
      <c r="AS24" s="242"/>
      <c r="AT24" s="246">
        <f t="shared" si="9"/>
        <v>5008377</v>
      </c>
      <c r="AU24" s="252" t="e">
        <f t="shared" si="21"/>
        <v>#N/A</v>
      </c>
      <c r="AV24" s="246" t="e">
        <f t="shared" si="10"/>
        <v>#N/A</v>
      </c>
      <c r="AW24" s="249">
        <f t="shared" si="11"/>
        <v>2.9492566666666668E-2</v>
      </c>
      <c r="AX24" s="246">
        <f>SUM($AL$8:AL24)+SUM($J$8:J24)</f>
        <v>2697992</v>
      </c>
      <c r="AY24" s="279">
        <f>IFERROR(D24+(SUM($AL$8:AL24)/Dashboard!$W$6),"")</f>
        <v>1769554</v>
      </c>
      <c r="BA24" s="24"/>
    </row>
    <row r="25" spans="1:65" x14ac:dyDescent="0.25">
      <c r="A25" s="222">
        <v>18</v>
      </c>
      <c r="B25" s="226">
        <f t="shared" si="12"/>
        <v>44805</v>
      </c>
      <c r="C25" s="105">
        <f>IF(VLOOKUP(Dashboard!$M$6,Start!$B$10:$E$12,4,FALSE)&gt;0,VLOOKUP(Dashboard!$M$6,Start!$B$10:$E$12,4,FALSE),VLOOKUP(Dashboard!$M$6,Start!$B$10:$E$12,3,FALSE))</f>
        <v>60000000</v>
      </c>
      <c r="D25" s="105">
        <f>IF($A$7="Jansen",SUMIFS('Supply planning data'!G:G,'Supply planning data'!$D:$D,"&lt;="&amp;DataViz!$B23,'Supply planning data'!$C:$C,"jansen"),IF($A$7="All",SUMIFS('Supply planning data'!H:H,'Supply planning data'!$D:$D,"&lt;="&amp;DataViz!$B23)+SUMIFS('Supply planning data'!G:G,'Supply planning data'!$D:$D,"&lt;="&amp;DataViz!$B23,'Supply planning data'!$C:$C,"Jansen"),SUMIFS('Supply planning data'!H:H,'Supply planning data'!$D:$D,"&lt;="&amp;DataViz!$B23,'Supply planning data'!$C:$C,DataViz!$A$1)))</f>
        <v>1769554</v>
      </c>
      <c r="E25" s="177">
        <f t="shared" si="7"/>
        <v>2.9492566666666668E-2</v>
      </c>
      <c r="F25" s="105">
        <f>IF($A$7="All",SUMIFS('Supply planning data'!F:F,'Supply planning data'!$D:$D,DataViz!$B23),SUMIFS('Supply planning data'!F:F,'Supply planning data'!$D:$D,DataViz!$B23,'Supply planning data'!$C:$C,DataViz!$A$1))</f>
        <v>5058747</v>
      </c>
      <c r="G25" s="105">
        <f>IF($A$7="All",SUMIFS('Supply planning data'!G:G,'Supply planning data'!$D:$D,DataViz!$B23),SUMIFS('Supply planning data'!G:G,'Supply planning data'!$D:$D,DataViz!$B23,'Supply planning data'!$C:$C,DataViz!$A$1))</f>
        <v>0</v>
      </c>
      <c r="H25" s="105">
        <f>IF($A$7="All",SUMIFS('Supply planning data'!H:H,'Supply planning data'!$D:$D,DataViz!$B23),SUMIFS('Supply planning data'!H:H,'Supply planning data'!$D:$D,DataViz!$B23,'Supply planning data'!$C:$C,DataViz!$A$1))</f>
        <v>0</v>
      </c>
      <c r="I25" s="105">
        <f>IF($A$7="All",SUMIFS('Supply planning data'!I:I,'Supply planning data'!$D:$D,DataViz!$B23),SUMIFS('Supply planning data'!I:I,'Supply planning data'!$D:$D,DataViz!$B23,'Supply planning data'!$C:$C,DataViz!$A$1))</f>
        <v>0</v>
      </c>
      <c r="J25" s="105">
        <f>IF($A$7="All",SUMIFS('Supply planning data'!J:J,'Supply planning data'!$D:$D,DataViz!$B23),SUMIFS('Supply planning data'!J:J,'Supply planning data'!$D:$D,DataViz!$B23,'Supply planning data'!$C:$C,DataViz!$A$1))</f>
        <v>0</v>
      </c>
      <c r="K25" s="105">
        <f>IF($A$7="All",SUMIFS('Supply planning data'!L:L,'Supply planning data'!$D:$D,DataViz!$B23),SUMIFS('Supply planning data'!L:L,'Supply planning data'!$D:$D,DataViz!$B23,'Supply planning data'!$C:$C,DataViz!$A$1))</f>
        <v>0</v>
      </c>
      <c r="L25" s="105">
        <f>IF($A$7="All",SUMIFS('Supply planning data'!K:K,'Supply planning data'!$D:$D,DataViz!$B23),SUMIFS('Supply planning data'!K:K,'Supply planning data'!$D:$D,DataViz!$B23,'Supply planning data'!$C:$C,DataViz!$A$1))</f>
        <v>0</v>
      </c>
      <c r="M25" s="105">
        <f>IF($A$7="All",SUMIFS('Supply planning data'!M:M,'Supply planning data'!$D:$D,DataViz!$B23),SUMIFS('Supply planning data'!M:M,'Supply planning data'!$D:$D,DataViz!$B23,'Supply planning data'!$C:$C,DataViz!$A$1))</f>
        <v>0</v>
      </c>
      <c r="N25" s="105">
        <f>IF($A$7="All",SUMIFS('Supply planning data'!N:N,'Supply planning data'!$D:$D,DataViz!$B23),SUMIFS('Supply planning data'!N:N,'Supply planning data'!$D:$D,DataViz!$B23,'Supply planning data'!$C:$C,DataViz!$A$1))+IF($A$7="All",SUMIFS('Supply planning data'!P:P,'Supply planning data'!$D:$D,DataViz!$B23),SUMIFS('Supply planning data'!P:P,'Supply planning data'!$D:$D,DataViz!$B23,'Supply planning data'!$C:$C,DataViz!$A$1))</f>
        <v>0</v>
      </c>
      <c r="O25" s="105">
        <f>IF($A$7="All",SUMIFS('Supply planning data'!R:R,'Supply planning data'!$D:$D,DataViz!$B23),SUMIFS('Supply planning data'!R:R,'Supply planning data'!$D:$D,DataViz!$B23,'Supply planning data'!$C:$C,DataViz!$A$1))</f>
        <v>0</v>
      </c>
      <c r="P25" s="105">
        <f>IF($A$7="All",SUMIFS('Supply planning data'!S:S,'Supply planning data'!$D:$D,DataViz!$B23),SUMIFS('Supply planning data'!S:S,'Supply planning data'!$D:$D,DataViz!$B23,'Supply planning data'!$C:$C,DataViz!$A$1))</f>
        <v>0</v>
      </c>
      <c r="Q25" s="105">
        <f>IF($A$7="All",SUMIFS('Supply planning data'!V:V,'Supply planning data'!$D:$D,DataViz!$B23),SUMIFS('Supply planning data'!V:V,'Supply planning data'!$D:$D,DataViz!$B23,'Supply planning data'!$C:$C,DataViz!$A$1))</f>
        <v>5058747</v>
      </c>
      <c r="R25" s="241" t="str">
        <f t="shared" si="18"/>
        <v/>
      </c>
      <c r="S25" s="280">
        <f t="shared" si="13"/>
        <v>44805</v>
      </c>
      <c r="T25" s="281">
        <f t="shared" si="14"/>
        <v>3000377</v>
      </c>
      <c r="U25" s="281">
        <f>IF($A$7="All",SUMIFS('Supply planning data'!M:M,'Supply planning data'!$D:$D,DataViz!$B23),SUMIFS('Supply planning data'!M:M,'Supply planning data'!$D:$D,DataViz!$B23,'Supply planning data'!$C:$C,DataViz!$A$1))</f>
        <v>0</v>
      </c>
      <c r="V25" s="282">
        <v>400000</v>
      </c>
      <c r="W25" s="283"/>
      <c r="X25" s="281">
        <f t="shared" si="0"/>
        <v>400000</v>
      </c>
      <c r="Y25" s="281">
        <f t="shared" si="8"/>
        <v>400000</v>
      </c>
      <c r="Z25" s="281">
        <f>IF($A$7="All",SUMIFS('Supply planning data'!N:N,'Supply planning data'!$D:$D,DataViz!$B23),SUMIFS('Supply planning data'!N:N,'Supply planning data'!$D:$D,DataViz!$B23,'Supply planning data'!$C:$C,DataViz!$A$1))+IF($A$7="All",SUMIFS('Supply planning data'!P:P,'Supply planning data'!$D:$D,DataViz!$B23),SUMIFS('Supply planning data'!P:P,'Supply planning data'!$D:$D,DataViz!$B23,'Supply planning data'!$C:$C,DataViz!$A$1))</f>
        <v>0</v>
      </c>
      <c r="AA25" s="281">
        <f>IF($A$7="All",SUMIFS('Supply planning data'!R:R,'Supply planning data'!$D:$D,DataViz!$B23),SUMIFS('Supply planning data'!R:R,'Supply planning data'!$D:$D,DataViz!$B23,'Supply planning data'!$C:$C,DataViz!$A$1))</f>
        <v>0</v>
      </c>
      <c r="AB25" s="281">
        <f>IF($A$7="All",SUMIFS('Supply planning data'!S:S,'Supply planning data'!$D:$D,DataViz!$B23),SUMIFS('Supply planning data'!S:S,'Supply planning data'!$D:$D,DataViz!$B23,'Supply planning data'!$C:$C,DataViz!$A$1))</f>
        <v>0</v>
      </c>
      <c r="AC25" s="282"/>
      <c r="AD25" s="281">
        <f t="shared" si="19"/>
        <v>2600377</v>
      </c>
      <c r="AE25" s="284">
        <f t="shared" si="20"/>
        <v>6.5009424999999998</v>
      </c>
      <c r="AF25" s="281">
        <f t="shared" si="15"/>
        <v>0</v>
      </c>
      <c r="AG25" s="285">
        <f t="shared" si="16"/>
        <v>5.7260220290405103E-2</v>
      </c>
      <c r="AH25" s="281">
        <f>SUM($V$8:V25)+SUM($J$8:J25)</f>
        <v>5097992</v>
      </c>
      <c r="AI25" s="281">
        <f>IFERROR(D25+(SUM($V$8:V25)/Dashboard!$W$6),"")</f>
        <v>3435613.2174243061</v>
      </c>
      <c r="AJ25" s="281">
        <f t="shared" si="17"/>
        <v>5008377</v>
      </c>
      <c r="AK25" s="281">
        <f>IF($A$7="All",SUMIFS('Supply planning data'!M:M,'Supply planning data'!$D:$D,DataViz!$B23),SUMIFS('Supply planning data'!M:M,'Supply planning data'!$D:$D,DataViz!$B23,'Supply planning data'!$C:$C,DataViz!$A$1))</f>
        <v>0</v>
      </c>
      <c r="AL25" s="282"/>
      <c r="AM25" s="283"/>
      <c r="AN25" s="281">
        <f t="shared" si="2"/>
        <v>0</v>
      </c>
      <c r="AO25" s="281" t="e">
        <f t="shared" si="3"/>
        <v>#N/A</v>
      </c>
      <c r="AP25" s="281">
        <f>IF($A$7="All",SUMIFS('Supply planning data'!N:N,'Supply planning data'!$D:$D,DataViz!$B23),SUMIFS('Supply planning data'!N:N,'Supply planning data'!$D:$D,DataViz!$B23,'Supply planning data'!$C:$C,DataViz!$A$1))+IF($A$7="All",SUMIFS('Supply planning data'!P:P,'Supply planning data'!$D:$D,DataViz!$B23),SUMIFS('Supply planning data'!P:P,'Supply planning data'!$D:$D,DataViz!$B23,'Supply planning data'!$C:$C,DataViz!$A$1))</f>
        <v>0</v>
      </c>
      <c r="AQ25" s="281">
        <f t="shared" si="4"/>
        <v>0</v>
      </c>
      <c r="AR25" s="281">
        <f t="shared" si="5"/>
        <v>0</v>
      </c>
      <c r="AS25" s="282"/>
      <c r="AT25" s="281">
        <f t="shared" si="9"/>
        <v>5008377</v>
      </c>
      <c r="AU25" s="284" t="e">
        <f t="shared" si="21"/>
        <v>#N/A</v>
      </c>
      <c r="AV25" s="281" t="e">
        <f t="shared" si="10"/>
        <v>#N/A</v>
      </c>
      <c r="AW25" s="285">
        <f t="shared" si="11"/>
        <v>2.9492566666666668E-2</v>
      </c>
      <c r="AX25" s="281">
        <f>SUM($AL$8:AL25)+SUM($J$8:J25)</f>
        <v>2697992</v>
      </c>
      <c r="AY25" s="286">
        <f>IFERROR(D25+(SUM($AL$8:AL25)/Dashboard!$W$6),"")</f>
        <v>1769554</v>
      </c>
    </row>
    <row r="26" spans="1:65" x14ac:dyDescent="0.25">
      <c r="A26" s="222">
        <v>19</v>
      </c>
      <c r="B26" s="225">
        <f t="shared" si="12"/>
        <v>44835</v>
      </c>
      <c r="C26" s="98">
        <f>IF(VLOOKUP(Dashboard!$M$6,Start!$B$10:$E$12,4,FALSE)&gt;0,VLOOKUP(Dashboard!$M$6,Start!$B$10:$E$12,4,FALSE),VLOOKUP(Dashboard!$M$6,Start!$B$10:$E$12,3,FALSE))</f>
        <v>60000000</v>
      </c>
      <c r="D26" s="98">
        <f>IF($A$7="Jansen",SUMIFS('Supply planning data'!G:G,'Supply planning data'!$D:$D,"&lt;="&amp;DataViz!$B24,'Supply planning data'!$C:$C,"jansen"),IF($A$7="All",SUMIFS('Supply planning data'!H:H,'Supply planning data'!$D:$D,"&lt;="&amp;DataViz!$B24)+SUMIFS('Supply planning data'!G:G,'Supply planning data'!$D:$D,"&lt;="&amp;DataViz!$B24,'Supply planning data'!$C:$C,"Jansen"),SUMIFS('Supply planning data'!H:H,'Supply planning data'!$D:$D,"&lt;="&amp;DataViz!$B24,'Supply planning data'!$C:$C,DataViz!$A$1)))</f>
        <v>1769554</v>
      </c>
      <c r="E26" s="175">
        <f t="shared" si="7"/>
        <v>2.9492566666666668E-2</v>
      </c>
      <c r="F26" s="98">
        <f>IF($A$7="All",SUMIFS('Supply planning data'!F:F,'Supply planning data'!$D:$D,DataViz!$B24),SUMIFS('Supply planning data'!F:F,'Supply planning data'!$D:$D,DataViz!$B24,'Supply planning data'!$C:$C,DataViz!$A$1))</f>
        <v>5058747</v>
      </c>
      <c r="G26" s="98">
        <f>IF($A$7="All",SUMIFS('Supply planning data'!G:G,'Supply planning data'!$D:$D,DataViz!$B24),SUMIFS('Supply planning data'!G:G,'Supply planning data'!$D:$D,DataViz!$B24,'Supply planning data'!$C:$C,DataViz!$A$1))</f>
        <v>0</v>
      </c>
      <c r="H26" s="98">
        <f>IF($A$7="All",SUMIFS('Supply planning data'!H:H,'Supply planning data'!$D:$D,DataViz!$B24),SUMIFS('Supply planning data'!H:H,'Supply planning data'!$D:$D,DataViz!$B24,'Supply planning data'!$C:$C,DataViz!$A$1))</f>
        <v>0</v>
      </c>
      <c r="I26" s="98">
        <f>IF($A$7="All",SUMIFS('Supply planning data'!I:I,'Supply planning data'!$D:$D,DataViz!$B24),SUMIFS('Supply planning data'!I:I,'Supply planning data'!$D:$D,DataViz!$B24,'Supply planning data'!$C:$C,DataViz!$A$1))</f>
        <v>0</v>
      </c>
      <c r="J26" s="98">
        <f>IF($A$7="All",SUMIFS('Supply planning data'!J:J,'Supply planning data'!$D:$D,DataViz!$B24),SUMIFS('Supply planning data'!J:J,'Supply planning data'!$D:$D,DataViz!$B24,'Supply planning data'!$C:$C,DataViz!$A$1))</f>
        <v>0</v>
      </c>
      <c r="K26" s="98">
        <f>IF($A$7="All",SUMIFS('Supply planning data'!L:L,'Supply planning data'!$D:$D,DataViz!$B24),SUMIFS('Supply planning data'!L:L,'Supply planning data'!$D:$D,DataViz!$B24,'Supply planning data'!$C:$C,DataViz!$A$1))</f>
        <v>0</v>
      </c>
      <c r="L26" s="98">
        <f>IF($A$7="All",SUMIFS('Supply planning data'!K:K,'Supply planning data'!$D:$D,DataViz!$B24),SUMIFS('Supply planning data'!K:K,'Supply planning data'!$D:$D,DataViz!$B24,'Supply planning data'!$C:$C,DataViz!$A$1))</f>
        <v>0</v>
      </c>
      <c r="M26" s="98">
        <f>IF($A$7="All",SUMIFS('Supply planning data'!M:M,'Supply planning data'!$D:$D,DataViz!$B24),SUMIFS('Supply planning data'!M:M,'Supply planning data'!$D:$D,DataViz!$B24,'Supply planning data'!$C:$C,DataViz!$A$1))</f>
        <v>0</v>
      </c>
      <c r="N26" s="98">
        <f>IF($A$7="All",SUMIFS('Supply planning data'!N:N,'Supply planning data'!$D:$D,DataViz!$B24),SUMIFS('Supply planning data'!N:N,'Supply planning data'!$D:$D,DataViz!$B24,'Supply planning data'!$C:$C,DataViz!$A$1))+IF($A$7="All",SUMIFS('Supply planning data'!P:P,'Supply planning data'!$D:$D,DataViz!$B24),SUMIFS('Supply planning data'!P:P,'Supply planning data'!$D:$D,DataViz!$B24,'Supply planning data'!$C:$C,DataViz!$A$1))</f>
        <v>0</v>
      </c>
      <c r="O26" s="98">
        <f>IF($A$7="All",SUMIFS('Supply planning data'!R:R,'Supply planning data'!$D:$D,DataViz!$B24),SUMIFS('Supply planning data'!R:R,'Supply planning data'!$D:$D,DataViz!$B24,'Supply planning data'!$C:$C,DataViz!$A$1))</f>
        <v>0</v>
      </c>
      <c r="P26" s="98">
        <f>IF($A$7="All",SUMIFS('Supply planning data'!S:S,'Supply planning data'!$D:$D,DataViz!$B24),SUMIFS('Supply planning data'!S:S,'Supply planning data'!$D:$D,DataViz!$B24,'Supply planning data'!$C:$C,DataViz!$A$1))</f>
        <v>0</v>
      </c>
      <c r="Q26" s="98">
        <f>IF($A$7="All",SUMIFS('Supply planning data'!V:V,'Supply planning data'!$D:$D,DataViz!$B24),SUMIFS('Supply planning data'!V:V,'Supply planning data'!$D:$D,DataViz!$B24,'Supply planning data'!$C:$C,DataViz!$A$1))</f>
        <v>5058747</v>
      </c>
      <c r="R26" s="240" t="str">
        <f t="shared" si="18"/>
        <v/>
      </c>
      <c r="S26" s="272">
        <f t="shared" si="13"/>
        <v>44835</v>
      </c>
      <c r="T26" s="273">
        <f t="shared" si="14"/>
        <v>2600377</v>
      </c>
      <c r="U26" s="273">
        <f>IF($A$7="All",SUMIFS('Supply planning data'!M:M,'Supply planning data'!$D:$D,DataViz!$B24),SUMIFS('Supply planning data'!M:M,'Supply planning data'!$D:$D,DataViz!$B24,'Supply planning data'!$C:$C,DataViz!$A$1))</f>
        <v>0</v>
      </c>
      <c r="V26" s="274">
        <v>400000</v>
      </c>
      <c r="W26" s="275"/>
      <c r="X26" s="273">
        <f t="shared" si="0"/>
        <v>400000</v>
      </c>
      <c r="Y26" s="273">
        <f t="shared" si="8"/>
        <v>400000</v>
      </c>
      <c r="Z26" s="273">
        <f>IF($A$7="All",SUMIFS('Supply planning data'!N:N,'Supply planning data'!$D:$D,DataViz!$B24),SUMIFS('Supply planning data'!N:N,'Supply planning data'!$D:$D,DataViz!$B24,'Supply planning data'!$C:$C,DataViz!$A$1))+IF($A$7="All",SUMIFS('Supply planning data'!P:P,'Supply planning data'!$D:$D,DataViz!$B24),SUMIFS('Supply planning data'!P:P,'Supply planning data'!$D:$D,DataViz!$B24,'Supply planning data'!$C:$C,DataViz!$A$1))</f>
        <v>0</v>
      </c>
      <c r="AA26" s="273">
        <f>IF($A$7="All",SUMIFS('Supply planning data'!R:R,'Supply planning data'!$D:$D,DataViz!$B24),SUMIFS('Supply planning data'!R:R,'Supply planning data'!$D:$D,DataViz!$B24,'Supply planning data'!$C:$C,DataViz!$A$1))</f>
        <v>0</v>
      </c>
      <c r="AB26" s="273">
        <f>IF($A$7="All",SUMIFS('Supply planning data'!S:S,'Supply planning data'!$D:$D,DataViz!$B24),SUMIFS('Supply planning data'!S:S,'Supply planning data'!$D:$D,DataViz!$B24,'Supply planning data'!$C:$C,DataViz!$A$1))</f>
        <v>0</v>
      </c>
      <c r="AC26" s="274"/>
      <c r="AD26" s="273">
        <f t="shared" si="19"/>
        <v>2200377</v>
      </c>
      <c r="AE26" s="288">
        <f t="shared" si="20"/>
        <v>5.5009424999999998</v>
      </c>
      <c r="AF26" s="273">
        <f t="shared" si="15"/>
        <v>199623</v>
      </c>
      <c r="AG26" s="276">
        <f t="shared" si="16"/>
        <v>6.1888162561028172E-2</v>
      </c>
      <c r="AH26" s="273">
        <f>SUM($V$8:V26)+SUM($J$8:J26)</f>
        <v>5497992</v>
      </c>
      <c r="AI26" s="273">
        <f>IFERROR(D26+(SUM($V$8:V26)/Dashboard!$W$6),"")</f>
        <v>3713289.7536616903</v>
      </c>
      <c r="AJ26" s="273">
        <f t="shared" si="17"/>
        <v>5008377</v>
      </c>
      <c r="AK26" s="273">
        <f>IF($A$7="All",SUMIFS('Supply planning data'!M:M,'Supply planning data'!$D:$D,DataViz!$B24),SUMIFS('Supply planning data'!M:M,'Supply planning data'!$D:$D,DataViz!$B24,'Supply planning data'!$C:$C,DataViz!$A$1))</f>
        <v>0</v>
      </c>
      <c r="AL26" s="274"/>
      <c r="AM26" s="275"/>
      <c r="AN26" s="273">
        <f t="shared" si="2"/>
        <v>0</v>
      </c>
      <c r="AO26" s="273" t="e">
        <f t="shared" si="3"/>
        <v>#N/A</v>
      </c>
      <c r="AP26" s="273">
        <f>IF($A$7="All",SUMIFS('Supply planning data'!N:N,'Supply planning data'!$D:$D,DataViz!$B24),SUMIFS('Supply planning data'!N:N,'Supply planning data'!$D:$D,DataViz!$B24,'Supply planning data'!$C:$C,DataViz!$A$1))+IF($A$7="All",SUMIFS('Supply planning data'!P:P,'Supply planning data'!$D:$D,DataViz!$B24),SUMIFS('Supply planning data'!P:P,'Supply planning data'!$D:$D,DataViz!$B24,'Supply planning data'!$C:$C,DataViz!$A$1))</f>
        <v>0</v>
      </c>
      <c r="AQ26" s="273">
        <f t="shared" si="4"/>
        <v>0</v>
      </c>
      <c r="AR26" s="273">
        <f t="shared" si="5"/>
        <v>0</v>
      </c>
      <c r="AS26" s="274"/>
      <c r="AT26" s="273">
        <f t="shared" si="9"/>
        <v>5008377</v>
      </c>
      <c r="AU26" s="288" t="e">
        <f t="shared" si="21"/>
        <v>#N/A</v>
      </c>
      <c r="AV26" s="273" t="e">
        <f t="shared" si="10"/>
        <v>#N/A</v>
      </c>
      <c r="AW26" s="276">
        <f t="shared" si="11"/>
        <v>2.9492566666666668E-2</v>
      </c>
      <c r="AX26" s="273">
        <f>SUM($AL$8:AL26)+SUM($J$8:J26)</f>
        <v>2697992</v>
      </c>
      <c r="AY26" s="277">
        <f>IFERROR(D26+(SUM($AL$8:AL26)/Dashboard!$W$6),"")</f>
        <v>1769554</v>
      </c>
      <c r="BA26" s="24"/>
    </row>
    <row r="27" spans="1:65" x14ac:dyDescent="0.25">
      <c r="A27" s="222">
        <v>20</v>
      </c>
      <c r="B27" s="226">
        <f t="shared" si="12"/>
        <v>44866</v>
      </c>
      <c r="C27" s="105">
        <f>IF(VLOOKUP(Dashboard!$M$6,Start!$B$10:$E$12,4,FALSE)&gt;0,VLOOKUP(Dashboard!$M$6,Start!$B$10:$E$12,4,FALSE),VLOOKUP(Dashboard!$M$6,Start!$B$10:$E$12,3,FALSE))</f>
        <v>60000000</v>
      </c>
      <c r="D27" s="105">
        <f>IF($A$7="Jansen",SUMIFS('Supply planning data'!G:G,'Supply planning data'!$D:$D,"&lt;="&amp;DataViz!$B25,'Supply planning data'!$C:$C,"jansen"),IF($A$7="All",SUMIFS('Supply planning data'!H:H,'Supply planning data'!$D:$D,"&lt;="&amp;DataViz!$B25)+SUMIFS('Supply planning data'!G:G,'Supply planning data'!$D:$D,"&lt;="&amp;DataViz!$B25,'Supply planning data'!$C:$C,"Jansen"),SUMIFS('Supply planning data'!H:H,'Supply planning data'!$D:$D,"&lt;="&amp;DataViz!$B25,'Supply planning data'!$C:$C,DataViz!$A$1)))</f>
        <v>1769554</v>
      </c>
      <c r="E27" s="177">
        <f t="shared" si="7"/>
        <v>2.9492566666666668E-2</v>
      </c>
      <c r="F27" s="105">
        <f>IF($A$7="All",SUMIFS('Supply planning data'!F:F,'Supply planning data'!$D:$D,DataViz!$B25),SUMIFS('Supply planning data'!F:F,'Supply planning data'!$D:$D,DataViz!$B25,'Supply planning data'!$C:$C,DataViz!$A$1))</f>
        <v>5058747</v>
      </c>
      <c r="G27" s="105">
        <f>IF($A$7="All",SUMIFS('Supply planning data'!G:G,'Supply planning data'!$D:$D,DataViz!$B25),SUMIFS('Supply planning data'!G:G,'Supply planning data'!$D:$D,DataViz!$B25,'Supply planning data'!$C:$C,DataViz!$A$1))</f>
        <v>0</v>
      </c>
      <c r="H27" s="105">
        <f>IF($A$7="All",SUMIFS('Supply planning data'!H:H,'Supply planning data'!$D:$D,DataViz!$B25),SUMIFS('Supply planning data'!H:H,'Supply planning data'!$D:$D,DataViz!$B25,'Supply planning data'!$C:$C,DataViz!$A$1))</f>
        <v>0</v>
      </c>
      <c r="I27" s="105">
        <f>IF($A$7="All",SUMIFS('Supply planning data'!I:I,'Supply planning data'!$D:$D,DataViz!$B25),SUMIFS('Supply planning data'!I:I,'Supply planning data'!$D:$D,DataViz!$B25,'Supply planning data'!$C:$C,DataViz!$A$1))</f>
        <v>0</v>
      </c>
      <c r="J27" s="105">
        <f>IF($A$7="All",SUMIFS('Supply planning data'!J:J,'Supply planning data'!$D:$D,DataViz!$B25),SUMIFS('Supply planning data'!J:J,'Supply planning data'!$D:$D,DataViz!$B25,'Supply planning data'!$C:$C,DataViz!$A$1))</f>
        <v>0</v>
      </c>
      <c r="K27" s="105">
        <f>IF($A$7="All",SUMIFS('Supply planning data'!L:L,'Supply planning data'!$D:$D,DataViz!$B25),SUMIFS('Supply planning data'!L:L,'Supply planning data'!$D:$D,DataViz!$B25,'Supply planning data'!$C:$C,DataViz!$A$1))</f>
        <v>0</v>
      </c>
      <c r="L27" s="105">
        <f>IF($A$7="All",SUMIFS('Supply planning data'!K:K,'Supply planning data'!$D:$D,DataViz!$B25),SUMIFS('Supply planning data'!K:K,'Supply planning data'!$D:$D,DataViz!$B25,'Supply planning data'!$C:$C,DataViz!$A$1))</f>
        <v>0</v>
      </c>
      <c r="M27" s="105">
        <f>IF($A$7="All",SUMIFS('Supply planning data'!M:M,'Supply planning data'!$D:$D,DataViz!$B25),SUMIFS('Supply planning data'!M:M,'Supply planning data'!$D:$D,DataViz!$B25,'Supply planning data'!$C:$C,DataViz!$A$1))</f>
        <v>0</v>
      </c>
      <c r="N27" s="105">
        <f>IF($A$7="All",SUMIFS('Supply planning data'!N:N,'Supply planning data'!$D:$D,DataViz!$B25),SUMIFS('Supply planning data'!N:N,'Supply planning data'!$D:$D,DataViz!$B25,'Supply planning data'!$C:$C,DataViz!$A$1))+IF($A$7="All",SUMIFS('Supply planning data'!P:P,'Supply planning data'!$D:$D,DataViz!$B25),SUMIFS('Supply planning data'!P:P,'Supply planning data'!$D:$D,DataViz!$B25,'Supply planning data'!$C:$C,DataViz!$A$1))</f>
        <v>0</v>
      </c>
      <c r="O27" s="105">
        <f>IF($A$7="All",SUMIFS('Supply planning data'!R:R,'Supply planning data'!$D:$D,DataViz!$B25),SUMIFS('Supply planning data'!R:R,'Supply planning data'!$D:$D,DataViz!$B25,'Supply planning data'!$C:$C,DataViz!$A$1))</f>
        <v>200000</v>
      </c>
      <c r="P27" s="105">
        <f>IF($A$7="All",SUMIFS('Supply planning data'!S:S,'Supply planning data'!$D:$D,DataViz!$B25),SUMIFS('Supply planning data'!S:S,'Supply planning data'!$D:$D,DataViz!$B25,'Supply planning data'!$C:$C,DataViz!$A$1))</f>
        <v>0</v>
      </c>
      <c r="Q27" s="105">
        <f>IF($A$7="All",SUMIFS('Supply planning data'!V:V,'Supply planning data'!$D:$D,DataViz!$B25),SUMIFS('Supply planning data'!V:V,'Supply planning data'!$D:$D,DataViz!$B25,'Supply planning data'!$C:$C,DataViz!$A$1))</f>
        <v>5258747</v>
      </c>
      <c r="R27" s="241" t="str">
        <f t="shared" si="18"/>
        <v/>
      </c>
      <c r="S27" s="278">
        <f t="shared" si="13"/>
        <v>44866</v>
      </c>
      <c r="T27" s="246">
        <f t="shared" si="14"/>
        <v>2200377</v>
      </c>
      <c r="U27" s="246">
        <f>IF($A$7="All",SUMIFS('Supply planning data'!M:M,'Supply planning data'!$D:$D,DataViz!$B25),SUMIFS('Supply planning data'!M:M,'Supply planning data'!$D:$D,DataViz!$B25,'Supply planning data'!$C:$C,DataViz!$A$1))</f>
        <v>0</v>
      </c>
      <c r="V27" s="242">
        <v>400000</v>
      </c>
      <c r="W27" s="243"/>
      <c r="X27" s="246">
        <f t="shared" si="0"/>
        <v>400000</v>
      </c>
      <c r="Y27" s="246">
        <f t="shared" si="8"/>
        <v>400000</v>
      </c>
      <c r="Z27" s="246">
        <f>IF($A$7="All",SUMIFS('Supply planning data'!N:N,'Supply planning data'!$D:$D,DataViz!$B25),SUMIFS('Supply planning data'!N:N,'Supply planning data'!$D:$D,DataViz!$B25,'Supply planning data'!$C:$C,DataViz!$A$1))+IF($A$7="All",SUMIFS('Supply planning data'!P:P,'Supply planning data'!$D:$D,DataViz!$B25),SUMIFS('Supply planning data'!P:P,'Supply planning data'!$D:$D,DataViz!$B25,'Supply planning data'!$C:$C,DataViz!$A$1))</f>
        <v>0</v>
      </c>
      <c r="AA27" s="246">
        <f>IF($A$7="All",SUMIFS('Supply planning data'!R:R,'Supply planning data'!$D:$D,DataViz!$B25),SUMIFS('Supply planning data'!R:R,'Supply planning data'!$D:$D,DataViz!$B25,'Supply planning data'!$C:$C,DataViz!$A$1))</f>
        <v>200000</v>
      </c>
      <c r="AB27" s="246">
        <f>IF($A$7="All",SUMIFS('Supply planning data'!S:S,'Supply planning data'!$D:$D,DataViz!$B25),SUMIFS('Supply planning data'!S:S,'Supply planning data'!$D:$D,DataViz!$B25,'Supply planning data'!$C:$C,DataViz!$A$1))</f>
        <v>0</v>
      </c>
      <c r="AC27" s="242"/>
      <c r="AD27" s="246">
        <f t="shared" si="19"/>
        <v>2000377</v>
      </c>
      <c r="AE27" s="252">
        <f t="shared" si="20"/>
        <v>5.0009424999999998</v>
      </c>
      <c r="AF27" s="246">
        <f t="shared" si="15"/>
        <v>399623</v>
      </c>
      <c r="AG27" s="249">
        <f t="shared" si="16"/>
        <v>6.651610483165124E-2</v>
      </c>
      <c r="AH27" s="246">
        <f>SUM($V$8:V27)+SUM($J$8:J27)</f>
        <v>5897992</v>
      </c>
      <c r="AI27" s="246">
        <f>IFERROR(D27+(SUM($V$8:V27)/Dashboard!$W$6),"")</f>
        <v>3990966.2898990745</v>
      </c>
      <c r="AJ27" s="246">
        <f t="shared" si="17"/>
        <v>5008377</v>
      </c>
      <c r="AK27" s="246">
        <f>IF($A$7="All",SUMIFS('Supply planning data'!M:M,'Supply planning data'!$D:$D,DataViz!$B25),SUMIFS('Supply planning data'!M:M,'Supply planning data'!$D:$D,DataViz!$B25,'Supply planning data'!$C:$C,DataViz!$A$1))</f>
        <v>0</v>
      </c>
      <c r="AL27" s="242"/>
      <c r="AM27" s="243"/>
      <c r="AN27" s="246">
        <f t="shared" si="2"/>
        <v>0</v>
      </c>
      <c r="AO27" s="246" t="e">
        <f t="shared" si="3"/>
        <v>#N/A</v>
      </c>
      <c r="AP27" s="246">
        <f>IF($A$7="All",SUMIFS('Supply planning data'!N:N,'Supply planning data'!$D:$D,DataViz!$B25),SUMIFS('Supply planning data'!N:N,'Supply planning data'!$D:$D,DataViz!$B25,'Supply planning data'!$C:$C,DataViz!$A$1))+IF($A$7="All",SUMIFS('Supply planning data'!P:P,'Supply planning data'!$D:$D,DataViz!$B25),SUMIFS('Supply planning data'!P:P,'Supply planning data'!$D:$D,DataViz!$B25,'Supply planning data'!$C:$C,DataViz!$A$1))</f>
        <v>0</v>
      </c>
      <c r="AQ27" s="246">
        <f t="shared" si="4"/>
        <v>200000</v>
      </c>
      <c r="AR27" s="246">
        <f t="shared" si="5"/>
        <v>0</v>
      </c>
      <c r="AS27" s="242"/>
      <c r="AT27" s="246">
        <f t="shared" si="9"/>
        <v>5208377</v>
      </c>
      <c r="AU27" s="252" t="e">
        <f t="shared" si="21"/>
        <v>#N/A</v>
      </c>
      <c r="AV27" s="246" t="e">
        <f t="shared" si="10"/>
        <v>#N/A</v>
      </c>
      <c r="AW27" s="249">
        <f t="shared" si="11"/>
        <v>2.9492566666666668E-2</v>
      </c>
      <c r="AX27" s="246">
        <f>SUM($AL$8:AL27)+SUM($J$8:J27)</f>
        <v>2697992</v>
      </c>
      <c r="AY27" s="279">
        <f>IFERROR(D27+(SUM($AL$8:AL27)/Dashboard!$W$6),"")</f>
        <v>1769554</v>
      </c>
      <c r="BA27" s="24"/>
    </row>
    <row r="28" spans="1:65" x14ac:dyDescent="0.25">
      <c r="A28" s="222">
        <v>21</v>
      </c>
      <c r="B28" s="225">
        <f t="shared" si="12"/>
        <v>44896</v>
      </c>
      <c r="C28" s="98">
        <f>IF(VLOOKUP(Dashboard!$M$6,Start!$B$10:$E$12,4,FALSE)&gt;0,VLOOKUP(Dashboard!$M$6,Start!$B$10:$E$12,4,FALSE),VLOOKUP(Dashboard!$M$6,Start!$B$10:$E$12,3,FALSE))</f>
        <v>60000000</v>
      </c>
      <c r="D28" s="98">
        <f>IF($A$7="Jansen",SUMIFS('Supply planning data'!G:G,'Supply planning data'!$D:$D,"&lt;="&amp;DataViz!$B26,'Supply planning data'!$C:$C,"jansen"),IF($A$7="All",SUMIFS('Supply planning data'!H:H,'Supply planning data'!$D:$D,"&lt;="&amp;DataViz!$B26)+SUMIFS('Supply planning data'!G:G,'Supply planning data'!$D:$D,"&lt;="&amp;DataViz!$B26,'Supply planning data'!$C:$C,"Jansen"),SUMIFS('Supply planning data'!H:H,'Supply planning data'!$D:$D,"&lt;="&amp;DataViz!$B26,'Supply planning data'!$C:$C,DataViz!$A$1)))</f>
        <v>1769554</v>
      </c>
      <c r="E28" s="175">
        <f t="shared" si="7"/>
        <v>2.9492566666666668E-2</v>
      </c>
      <c r="F28" s="98">
        <f>IF($A$7="All",SUMIFS('Supply planning data'!F:F,'Supply planning data'!$D:$D,DataViz!$B26),SUMIFS('Supply planning data'!F:F,'Supply planning data'!$D:$D,DataViz!$B26,'Supply planning data'!$C:$C,DataViz!$A$1))</f>
        <v>5258747</v>
      </c>
      <c r="G28" s="98">
        <f>IF($A$7="All",SUMIFS('Supply planning data'!G:G,'Supply planning data'!$D:$D,DataViz!$B26),SUMIFS('Supply planning data'!G:G,'Supply planning data'!$D:$D,DataViz!$B26,'Supply planning data'!$C:$C,DataViz!$A$1))</f>
        <v>0</v>
      </c>
      <c r="H28" s="98">
        <f>IF($A$7="All",SUMIFS('Supply planning data'!H:H,'Supply planning data'!$D:$D,DataViz!$B26),SUMIFS('Supply planning data'!H:H,'Supply planning data'!$D:$D,DataViz!$B26,'Supply planning data'!$C:$C,DataViz!$A$1))</f>
        <v>0</v>
      </c>
      <c r="I28" s="98">
        <f>IF($A$7="All",SUMIFS('Supply planning data'!I:I,'Supply planning data'!$D:$D,DataViz!$B26),SUMIFS('Supply planning data'!I:I,'Supply planning data'!$D:$D,DataViz!$B26,'Supply planning data'!$C:$C,DataViz!$A$1))</f>
        <v>0</v>
      </c>
      <c r="J28" s="98">
        <f>IF($A$7="All",SUMIFS('Supply planning data'!J:J,'Supply planning data'!$D:$D,DataViz!$B26),SUMIFS('Supply planning data'!J:J,'Supply planning data'!$D:$D,DataViz!$B26,'Supply planning data'!$C:$C,DataViz!$A$1))</f>
        <v>0</v>
      </c>
      <c r="K28" s="98">
        <f>IF($A$7="All",SUMIFS('Supply planning data'!L:L,'Supply planning data'!$D:$D,DataViz!$B26),SUMIFS('Supply planning data'!L:L,'Supply planning data'!$D:$D,DataViz!$B26,'Supply planning data'!$C:$C,DataViz!$A$1))</f>
        <v>0</v>
      </c>
      <c r="L28" s="98">
        <f>IF($A$7="All",SUMIFS('Supply planning data'!K:K,'Supply planning data'!$D:$D,DataViz!$B26),SUMIFS('Supply planning data'!K:K,'Supply planning data'!$D:$D,DataViz!$B26,'Supply planning data'!$C:$C,DataViz!$A$1))</f>
        <v>0</v>
      </c>
      <c r="M28" s="98">
        <f>IF($A$7="All",SUMIFS('Supply planning data'!M:M,'Supply planning data'!$D:$D,DataViz!$B26),SUMIFS('Supply planning data'!M:M,'Supply planning data'!$D:$D,DataViz!$B26,'Supply planning data'!$C:$C,DataViz!$A$1))</f>
        <v>0</v>
      </c>
      <c r="N28" s="98">
        <f>IF($A$7="All",SUMIFS('Supply planning data'!N:N,'Supply planning data'!$D:$D,DataViz!$B26),SUMIFS('Supply planning data'!N:N,'Supply planning data'!$D:$D,DataViz!$B26,'Supply planning data'!$C:$C,DataViz!$A$1))+IF($A$7="All",SUMIFS('Supply planning data'!P:P,'Supply planning data'!$D:$D,DataViz!$B26),SUMIFS('Supply planning data'!P:P,'Supply planning data'!$D:$D,DataViz!$B26,'Supply planning data'!$C:$C,DataViz!$A$1))</f>
        <v>0</v>
      </c>
      <c r="O28" s="98">
        <f>IF($A$7="All",SUMIFS('Supply planning data'!R:R,'Supply planning data'!$D:$D,DataViz!$B26),SUMIFS('Supply planning data'!R:R,'Supply planning data'!$D:$D,DataViz!$B26,'Supply planning data'!$C:$C,DataViz!$A$1))</f>
        <v>0</v>
      </c>
      <c r="P28" s="98">
        <f>IF($A$7="All",SUMIFS('Supply planning data'!S:S,'Supply planning data'!$D:$D,DataViz!$B26),SUMIFS('Supply planning data'!S:S,'Supply planning data'!$D:$D,DataViz!$B26,'Supply planning data'!$C:$C,DataViz!$A$1))</f>
        <v>0</v>
      </c>
      <c r="Q28" s="98">
        <f>IF($A$7="All",SUMIFS('Supply planning data'!V:V,'Supply planning data'!$D:$D,DataViz!$B26),SUMIFS('Supply planning data'!V:V,'Supply planning data'!$D:$D,DataViz!$B26,'Supply planning data'!$C:$C,DataViz!$A$1))</f>
        <v>5258747</v>
      </c>
      <c r="R28" s="240" t="str">
        <f t="shared" si="18"/>
        <v/>
      </c>
      <c r="S28" s="280">
        <f t="shared" si="13"/>
        <v>44896</v>
      </c>
      <c r="T28" s="281">
        <f t="shared" si="14"/>
        <v>2000377</v>
      </c>
      <c r="U28" s="281">
        <f>IF($A$7="All",SUMIFS('Supply planning data'!M:M,'Supply planning data'!$D:$D,DataViz!$B26),SUMIFS('Supply planning data'!M:M,'Supply planning data'!$D:$D,DataViz!$B26,'Supply planning data'!$C:$C,DataViz!$A$1))</f>
        <v>0</v>
      </c>
      <c r="V28" s="282">
        <v>400000</v>
      </c>
      <c r="W28" s="283"/>
      <c r="X28" s="281">
        <f t="shared" si="0"/>
        <v>400000</v>
      </c>
      <c r="Y28" s="281">
        <f t="shared" si="8"/>
        <v>400000</v>
      </c>
      <c r="Z28" s="281">
        <f>IF($A$7="All",SUMIFS('Supply planning data'!N:N,'Supply planning data'!$D:$D,DataViz!$B26),SUMIFS('Supply planning data'!N:N,'Supply planning data'!$D:$D,DataViz!$B26,'Supply planning data'!$C:$C,DataViz!$A$1))+IF($A$7="All",SUMIFS('Supply planning data'!P:P,'Supply planning data'!$D:$D,DataViz!$B26),SUMIFS('Supply planning data'!P:P,'Supply planning data'!$D:$D,DataViz!$B26,'Supply planning data'!$C:$C,DataViz!$A$1))</f>
        <v>0</v>
      </c>
      <c r="AA28" s="281">
        <f>IF($A$7="All",SUMIFS('Supply planning data'!R:R,'Supply planning data'!$D:$D,DataViz!$B26),SUMIFS('Supply planning data'!R:R,'Supply planning data'!$D:$D,DataViz!$B26,'Supply planning data'!$C:$C,DataViz!$A$1))</f>
        <v>0</v>
      </c>
      <c r="AB28" s="281">
        <f>IF($A$7="All",SUMIFS('Supply planning data'!S:S,'Supply planning data'!$D:$D,DataViz!$B26),SUMIFS('Supply planning data'!S:S,'Supply planning data'!$D:$D,DataViz!$B26,'Supply planning data'!$C:$C,DataViz!$A$1))</f>
        <v>0</v>
      </c>
      <c r="AC28" s="282">
        <v>1000000</v>
      </c>
      <c r="AD28" s="281">
        <f t="shared" si="19"/>
        <v>2600377</v>
      </c>
      <c r="AE28" s="284">
        <f t="shared" si="20"/>
        <v>6.5009424999999998</v>
      </c>
      <c r="AF28" s="281">
        <f t="shared" si="15"/>
        <v>0</v>
      </c>
      <c r="AG28" s="285">
        <f t="shared" si="16"/>
        <v>7.1144047102274316E-2</v>
      </c>
      <c r="AH28" s="281">
        <f>SUM($V$8:V28)+SUM($J$8:J28)</f>
        <v>6297992</v>
      </c>
      <c r="AI28" s="281">
        <f>IFERROR(D28+(SUM($V$8:V28)/Dashboard!$W$6),"")</f>
        <v>4268642.8261364587</v>
      </c>
      <c r="AJ28" s="281">
        <f t="shared" si="17"/>
        <v>5208377</v>
      </c>
      <c r="AK28" s="281">
        <f>IF($A$7="All",SUMIFS('Supply planning data'!M:M,'Supply planning data'!$D:$D,DataViz!$B26),SUMIFS('Supply planning data'!M:M,'Supply planning data'!$D:$D,DataViz!$B26,'Supply planning data'!$C:$C,DataViz!$A$1))</f>
        <v>0</v>
      </c>
      <c r="AL28" s="282"/>
      <c r="AM28" s="283"/>
      <c r="AN28" s="281">
        <f t="shared" si="2"/>
        <v>0</v>
      </c>
      <c r="AO28" s="281" t="e">
        <f t="shared" si="3"/>
        <v>#N/A</v>
      </c>
      <c r="AP28" s="281">
        <f>IF($A$7="All",SUMIFS('Supply planning data'!N:N,'Supply planning data'!$D:$D,DataViz!$B26),SUMIFS('Supply planning data'!N:N,'Supply planning data'!$D:$D,DataViz!$B26,'Supply planning data'!$C:$C,DataViz!$A$1))+IF($A$7="All",SUMIFS('Supply planning data'!P:P,'Supply planning data'!$D:$D,DataViz!$B26),SUMIFS('Supply planning data'!P:P,'Supply planning data'!$D:$D,DataViz!$B26,'Supply planning data'!$C:$C,DataViz!$A$1))</f>
        <v>0</v>
      </c>
      <c r="AQ28" s="281">
        <f t="shared" si="4"/>
        <v>0</v>
      </c>
      <c r="AR28" s="281">
        <f t="shared" si="5"/>
        <v>0</v>
      </c>
      <c r="AS28" s="282"/>
      <c r="AT28" s="281">
        <f t="shared" si="9"/>
        <v>5208377</v>
      </c>
      <c r="AU28" s="284" t="e">
        <f t="shared" si="21"/>
        <v>#N/A</v>
      </c>
      <c r="AV28" s="281" t="e">
        <f t="shared" si="10"/>
        <v>#N/A</v>
      </c>
      <c r="AW28" s="285">
        <f t="shared" si="11"/>
        <v>2.9492566666666668E-2</v>
      </c>
      <c r="AX28" s="281">
        <f>SUM($AL$8:AL28)+SUM($J$8:J28)</f>
        <v>2697992</v>
      </c>
      <c r="AY28" s="286">
        <f>IFERROR(D28+(SUM($AL$8:AL28)/Dashboard!$W$6),"")</f>
        <v>1769554</v>
      </c>
      <c r="BA28" s="24"/>
    </row>
    <row r="29" spans="1:65" x14ac:dyDescent="0.25">
      <c r="A29" s="222">
        <v>22</v>
      </c>
      <c r="B29" s="226">
        <f t="shared" si="12"/>
        <v>44927</v>
      </c>
      <c r="C29" s="105">
        <f>IF(VLOOKUP(Dashboard!$M$6,Start!$B$10:$E$12,4,FALSE)&gt;0,VLOOKUP(Dashboard!$M$6,Start!$B$10:$E$12,4,FALSE),VLOOKUP(Dashboard!$M$6,Start!$B$10:$E$12,3,FALSE))</f>
        <v>60000000</v>
      </c>
      <c r="D29" s="105">
        <f>IF($A$7="Jansen",SUMIFS('Supply planning data'!G:G,'Supply planning data'!$D:$D,"&lt;="&amp;DataViz!$B27,'Supply planning data'!$C:$C,"jansen"),IF($A$7="All",SUMIFS('Supply planning data'!H:H,'Supply planning data'!$D:$D,"&lt;="&amp;DataViz!$B27)+SUMIFS('Supply planning data'!G:G,'Supply planning data'!$D:$D,"&lt;="&amp;DataViz!$B27,'Supply planning data'!$C:$C,"Jansen"),SUMIFS('Supply planning data'!H:H,'Supply planning data'!$D:$D,"&lt;="&amp;DataViz!$B27,'Supply planning data'!$C:$C,DataViz!$A$1)))</f>
        <v>1769554</v>
      </c>
      <c r="E29" s="177">
        <f t="shared" si="7"/>
        <v>2.9492566666666668E-2</v>
      </c>
      <c r="F29" s="105">
        <f>IF($A$7="All",SUMIFS('Supply planning data'!F:F,'Supply planning data'!$D:$D,DataViz!$B27),SUMIFS('Supply planning data'!F:F,'Supply planning data'!$D:$D,DataViz!$B27,'Supply planning data'!$C:$C,DataViz!$A$1))</f>
        <v>5258747</v>
      </c>
      <c r="G29" s="105">
        <f>IF($A$7="All",SUMIFS('Supply planning data'!G:G,'Supply planning data'!$D:$D,DataViz!$B27),SUMIFS('Supply planning data'!G:G,'Supply planning data'!$D:$D,DataViz!$B27,'Supply planning data'!$C:$C,DataViz!$A$1))</f>
        <v>0</v>
      </c>
      <c r="H29" s="105">
        <f>IF($A$7="All",SUMIFS('Supply planning data'!H:H,'Supply planning data'!$D:$D,DataViz!$B27),SUMIFS('Supply planning data'!H:H,'Supply planning data'!$D:$D,DataViz!$B27,'Supply planning data'!$C:$C,DataViz!$A$1))</f>
        <v>0</v>
      </c>
      <c r="I29" s="105">
        <f>IF($A$7="All",SUMIFS('Supply planning data'!I:I,'Supply planning data'!$D:$D,DataViz!$B27),SUMIFS('Supply planning data'!I:I,'Supply planning data'!$D:$D,DataViz!$B27,'Supply planning data'!$C:$C,DataViz!$A$1))</f>
        <v>0</v>
      </c>
      <c r="J29" s="105">
        <f>IF($A$7="All",SUMIFS('Supply planning data'!J:J,'Supply planning data'!$D:$D,DataViz!$B27),SUMIFS('Supply planning data'!J:J,'Supply planning data'!$D:$D,DataViz!$B27,'Supply planning data'!$C:$C,DataViz!$A$1))</f>
        <v>0</v>
      </c>
      <c r="K29" s="105">
        <f>IF($A$7="All",SUMIFS('Supply planning data'!L:L,'Supply planning data'!$D:$D,DataViz!$B27),SUMIFS('Supply planning data'!L:L,'Supply planning data'!$D:$D,DataViz!$B27,'Supply planning data'!$C:$C,DataViz!$A$1))</f>
        <v>0</v>
      </c>
      <c r="L29" s="105">
        <f>IF($A$7="All",SUMIFS('Supply planning data'!K:K,'Supply planning data'!$D:$D,DataViz!$B27),SUMIFS('Supply planning data'!K:K,'Supply planning data'!$D:$D,DataViz!$B27,'Supply planning data'!$C:$C,DataViz!$A$1))</f>
        <v>0</v>
      </c>
      <c r="M29" s="105">
        <f>IF($A$7="All",SUMIFS('Supply planning data'!M:M,'Supply planning data'!$D:$D,DataViz!$B27),SUMIFS('Supply planning data'!M:M,'Supply planning data'!$D:$D,DataViz!$B27,'Supply planning data'!$C:$C,DataViz!$A$1))</f>
        <v>0</v>
      </c>
      <c r="N29" s="105">
        <f>IF($A$7="All",SUMIFS('Supply planning data'!N:N,'Supply planning data'!$D:$D,DataViz!$B27),SUMIFS('Supply planning data'!N:N,'Supply planning data'!$D:$D,DataViz!$B27,'Supply planning data'!$C:$C,DataViz!$A$1))+IF($A$7="All",SUMIFS('Supply planning data'!P:P,'Supply planning data'!$D:$D,DataViz!$B27),SUMIFS('Supply planning data'!P:P,'Supply planning data'!$D:$D,DataViz!$B27,'Supply planning data'!$C:$C,DataViz!$A$1))</f>
        <v>0</v>
      </c>
      <c r="O29" s="105">
        <f>IF($A$7="All",SUMIFS('Supply planning data'!R:R,'Supply planning data'!$D:$D,DataViz!$B27),SUMIFS('Supply planning data'!R:R,'Supply planning data'!$D:$D,DataViz!$B27,'Supply planning data'!$C:$C,DataViz!$A$1))</f>
        <v>0</v>
      </c>
      <c r="P29" s="105">
        <f>IF($A$7="All",SUMIFS('Supply planning data'!S:S,'Supply planning data'!$D:$D,DataViz!$B27),SUMIFS('Supply planning data'!S:S,'Supply planning data'!$D:$D,DataViz!$B27,'Supply planning data'!$C:$C,DataViz!$A$1))</f>
        <v>0</v>
      </c>
      <c r="Q29" s="105">
        <f>IF($A$7="All",SUMIFS('Supply planning data'!V:V,'Supply planning data'!$D:$D,DataViz!$B27),SUMIFS('Supply planning data'!V:V,'Supply planning data'!$D:$D,DataViz!$B27,'Supply planning data'!$C:$C,DataViz!$A$1))</f>
        <v>5258747</v>
      </c>
      <c r="R29" s="241" t="str">
        <f t="shared" si="18"/>
        <v/>
      </c>
      <c r="S29" s="272">
        <f t="shared" si="13"/>
        <v>44927</v>
      </c>
      <c r="T29" s="273">
        <f t="shared" si="14"/>
        <v>2600377</v>
      </c>
      <c r="U29" s="273">
        <f>IF($A$7="All",SUMIFS('Supply planning data'!M:M,'Supply planning data'!$D:$D,DataViz!$B27),SUMIFS('Supply planning data'!M:M,'Supply planning data'!$D:$D,DataViz!$B27,'Supply planning data'!$C:$C,DataViz!$A$1))</f>
        <v>0</v>
      </c>
      <c r="V29" s="274">
        <v>400000</v>
      </c>
      <c r="W29" s="275"/>
      <c r="X29" s="273">
        <f t="shared" si="0"/>
        <v>400000</v>
      </c>
      <c r="Y29" s="273">
        <f t="shared" si="8"/>
        <v>400000</v>
      </c>
      <c r="Z29" s="273">
        <f>IF($A$7="All",SUMIFS('Supply planning data'!N:N,'Supply planning data'!$D:$D,DataViz!$B27),SUMIFS('Supply planning data'!N:N,'Supply planning data'!$D:$D,DataViz!$B27,'Supply planning data'!$C:$C,DataViz!$A$1))+IF($A$7="All",SUMIFS('Supply planning data'!P:P,'Supply planning data'!$D:$D,DataViz!$B27),SUMIFS('Supply planning data'!P:P,'Supply planning data'!$D:$D,DataViz!$B27,'Supply planning data'!$C:$C,DataViz!$A$1))</f>
        <v>0</v>
      </c>
      <c r="AA29" s="273">
        <f>IF($A$7="All",SUMIFS('Supply planning data'!R:R,'Supply planning data'!$D:$D,DataViz!$B27),SUMIFS('Supply planning data'!R:R,'Supply planning data'!$D:$D,DataViz!$B27,'Supply planning data'!$C:$C,DataViz!$A$1))</f>
        <v>0</v>
      </c>
      <c r="AB29" s="273">
        <f>IF($A$7="All",SUMIFS('Supply planning data'!S:S,'Supply planning data'!$D:$D,DataViz!$B27),SUMIFS('Supply planning data'!S:S,'Supply planning data'!$D:$D,DataViz!$B27,'Supply planning data'!$C:$C,DataViz!$A$1))</f>
        <v>0</v>
      </c>
      <c r="AC29" s="274"/>
      <c r="AD29" s="273">
        <f t="shared" si="19"/>
        <v>2200377</v>
      </c>
      <c r="AE29" s="288">
        <f t="shared" si="20"/>
        <v>5.5009424999999998</v>
      </c>
      <c r="AF29" s="273">
        <f t="shared" si="15"/>
        <v>199623</v>
      </c>
      <c r="AG29" s="276">
        <f t="shared" si="16"/>
        <v>7.5771989372897378E-2</v>
      </c>
      <c r="AH29" s="273">
        <f>SUM($V$8:V29)+SUM($J$8:J29)</f>
        <v>6697992</v>
      </c>
      <c r="AI29" s="273">
        <f>IFERROR(D29+(SUM($V$8:V29)/Dashboard!$W$6),"")</f>
        <v>4546319.3623738429</v>
      </c>
      <c r="AJ29" s="273">
        <f t="shared" si="17"/>
        <v>5208377</v>
      </c>
      <c r="AK29" s="273">
        <f>IF($A$7="All",SUMIFS('Supply planning data'!M:M,'Supply planning data'!$D:$D,DataViz!$B27),SUMIFS('Supply planning data'!M:M,'Supply planning data'!$D:$D,DataViz!$B27,'Supply planning data'!$C:$C,DataViz!$A$1))</f>
        <v>0</v>
      </c>
      <c r="AL29" s="274"/>
      <c r="AM29" s="275"/>
      <c r="AN29" s="273">
        <f t="shared" si="2"/>
        <v>0</v>
      </c>
      <c r="AO29" s="273" t="e">
        <f t="shared" si="3"/>
        <v>#N/A</v>
      </c>
      <c r="AP29" s="273">
        <f>IF($A$7="All",SUMIFS('Supply planning data'!N:N,'Supply planning data'!$D:$D,DataViz!$B27),SUMIFS('Supply planning data'!N:N,'Supply planning data'!$D:$D,DataViz!$B27,'Supply planning data'!$C:$C,DataViz!$A$1))+IF($A$7="All",SUMIFS('Supply planning data'!P:P,'Supply planning data'!$D:$D,DataViz!$B27),SUMIFS('Supply planning data'!P:P,'Supply planning data'!$D:$D,DataViz!$B27,'Supply planning data'!$C:$C,DataViz!$A$1))</f>
        <v>0</v>
      </c>
      <c r="AQ29" s="273">
        <f t="shared" si="4"/>
        <v>0</v>
      </c>
      <c r="AR29" s="273">
        <f t="shared" si="5"/>
        <v>0</v>
      </c>
      <c r="AS29" s="274"/>
      <c r="AT29" s="273">
        <f t="shared" si="9"/>
        <v>5208377</v>
      </c>
      <c r="AU29" s="288" t="e">
        <f t="shared" si="21"/>
        <v>#N/A</v>
      </c>
      <c r="AV29" s="273" t="e">
        <f t="shared" si="10"/>
        <v>#N/A</v>
      </c>
      <c r="AW29" s="276">
        <f t="shared" si="11"/>
        <v>2.9492566666666668E-2</v>
      </c>
      <c r="AX29" s="273">
        <f>SUM($AL$8:AL29)+SUM($J$8:J29)</f>
        <v>2697992</v>
      </c>
      <c r="AY29" s="277">
        <f>IFERROR(D29+(SUM($AL$8:AL29)/Dashboard!$W$6),"")</f>
        <v>1769554</v>
      </c>
      <c r="BA29" s="24"/>
    </row>
    <row r="30" spans="1:65" x14ac:dyDescent="0.25">
      <c r="A30" s="222">
        <v>23</v>
      </c>
      <c r="B30" s="225">
        <f t="shared" si="12"/>
        <v>44958</v>
      </c>
      <c r="C30" s="98">
        <f>IF(VLOOKUP(Dashboard!$M$6,Start!$B$10:$E$12,4,FALSE)&gt;0,VLOOKUP(Dashboard!$M$6,Start!$B$10:$E$12,4,FALSE),VLOOKUP(Dashboard!$M$6,Start!$B$10:$E$12,3,FALSE))</f>
        <v>60000000</v>
      </c>
      <c r="D30" s="98">
        <f>IF($A$7="Jansen",SUMIFS('Supply planning data'!G:G,'Supply planning data'!$D:$D,"&lt;="&amp;DataViz!$B28,'Supply planning data'!$C:$C,"jansen"),IF($A$7="All",SUMIFS('Supply planning data'!H:H,'Supply planning data'!$D:$D,"&lt;="&amp;DataViz!$B28)+SUMIFS('Supply planning data'!G:G,'Supply planning data'!$D:$D,"&lt;="&amp;DataViz!$B28,'Supply planning data'!$C:$C,"Jansen"),SUMIFS('Supply planning data'!H:H,'Supply planning data'!$D:$D,"&lt;="&amp;DataViz!$B28,'Supply planning data'!$C:$C,DataViz!$A$1)))</f>
        <v>1769554</v>
      </c>
      <c r="E30" s="175">
        <f t="shared" si="7"/>
        <v>2.9492566666666668E-2</v>
      </c>
      <c r="F30" s="98">
        <f>IF($A$7="All",SUMIFS('Supply planning data'!F:F,'Supply planning data'!$D:$D,DataViz!$B28),SUMIFS('Supply planning data'!F:F,'Supply planning data'!$D:$D,DataViz!$B28,'Supply planning data'!$C:$C,DataViz!$A$1))</f>
        <v>5258747</v>
      </c>
      <c r="G30" s="98">
        <f>IF($A$7="All",SUMIFS('Supply planning data'!G:G,'Supply planning data'!$D:$D,DataViz!$B28),SUMIFS('Supply planning data'!G:G,'Supply planning data'!$D:$D,DataViz!$B28,'Supply planning data'!$C:$C,DataViz!$A$1))</f>
        <v>0</v>
      </c>
      <c r="H30" s="98">
        <f>IF($A$7="All",SUMIFS('Supply planning data'!H:H,'Supply planning data'!$D:$D,DataViz!$B28),SUMIFS('Supply planning data'!H:H,'Supply planning data'!$D:$D,DataViz!$B28,'Supply planning data'!$C:$C,DataViz!$A$1))</f>
        <v>0</v>
      </c>
      <c r="I30" s="98">
        <f>IF($A$7="All",SUMIFS('Supply planning data'!I:I,'Supply planning data'!$D:$D,DataViz!$B28),SUMIFS('Supply planning data'!I:I,'Supply planning data'!$D:$D,DataViz!$B28,'Supply planning data'!$C:$C,DataViz!$A$1))</f>
        <v>0</v>
      </c>
      <c r="J30" s="98">
        <f>IF($A$7="All",SUMIFS('Supply planning data'!J:J,'Supply planning data'!$D:$D,DataViz!$B28),SUMIFS('Supply planning data'!J:J,'Supply planning data'!$D:$D,DataViz!$B28,'Supply planning data'!$C:$C,DataViz!$A$1))</f>
        <v>0</v>
      </c>
      <c r="K30" s="98">
        <f>IF($A$7="All",SUMIFS('Supply planning data'!L:L,'Supply planning data'!$D:$D,DataViz!$B28),SUMIFS('Supply planning data'!L:L,'Supply planning data'!$D:$D,DataViz!$B28,'Supply planning data'!$C:$C,DataViz!$A$1))</f>
        <v>0</v>
      </c>
      <c r="L30" s="98">
        <f>IF($A$7="All",SUMIFS('Supply planning data'!K:K,'Supply planning data'!$D:$D,DataViz!$B28),SUMIFS('Supply planning data'!K:K,'Supply planning data'!$D:$D,DataViz!$B28,'Supply planning data'!$C:$C,DataViz!$A$1))</f>
        <v>0</v>
      </c>
      <c r="M30" s="98">
        <f>IF($A$7="All",SUMIFS('Supply planning data'!M:M,'Supply planning data'!$D:$D,DataViz!$B28),SUMIFS('Supply planning data'!M:M,'Supply planning data'!$D:$D,DataViz!$B28,'Supply planning data'!$C:$C,DataViz!$A$1))</f>
        <v>0</v>
      </c>
      <c r="N30" s="98">
        <f>IF($A$7="All",SUMIFS('Supply planning data'!N:N,'Supply planning data'!$D:$D,DataViz!$B28),SUMIFS('Supply planning data'!N:N,'Supply planning data'!$D:$D,DataViz!$B28,'Supply planning data'!$C:$C,DataViz!$A$1))+IF($A$7="All",SUMIFS('Supply planning data'!P:P,'Supply planning data'!$D:$D,DataViz!$B28),SUMIFS('Supply planning data'!P:P,'Supply planning data'!$D:$D,DataViz!$B28,'Supply planning data'!$C:$C,DataViz!$A$1))</f>
        <v>0</v>
      </c>
      <c r="O30" s="98">
        <f>IF($A$7="All",SUMIFS('Supply planning data'!R:R,'Supply planning data'!$D:$D,DataViz!$B28),SUMIFS('Supply planning data'!R:R,'Supply planning data'!$D:$D,DataViz!$B28,'Supply planning data'!$C:$C,DataViz!$A$1))</f>
        <v>0</v>
      </c>
      <c r="P30" s="98">
        <f>IF($A$7="All",SUMIFS('Supply planning data'!S:S,'Supply planning data'!$D:$D,DataViz!$B28),SUMIFS('Supply planning data'!S:S,'Supply planning data'!$D:$D,DataViz!$B28,'Supply planning data'!$C:$C,DataViz!$A$1))</f>
        <v>0</v>
      </c>
      <c r="Q30" s="98">
        <f>IF($A$7="All",SUMIFS('Supply planning data'!V:V,'Supply planning data'!$D:$D,DataViz!$B28),SUMIFS('Supply planning data'!V:V,'Supply planning data'!$D:$D,DataViz!$B28,'Supply planning data'!$C:$C,DataViz!$A$1))</f>
        <v>5258747</v>
      </c>
      <c r="R30" s="240" t="str">
        <f t="shared" si="18"/>
        <v/>
      </c>
      <c r="S30" s="278">
        <f t="shared" si="13"/>
        <v>44958</v>
      </c>
      <c r="T30" s="246">
        <f t="shared" si="14"/>
        <v>2200377</v>
      </c>
      <c r="U30" s="246">
        <f>IF($A$7="All",SUMIFS('Supply planning data'!M:M,'Supply planning data'!$D:$D,DataViz!$B28),SUMIFS('Supply planning data'!M:M,'Supply planning data'!$D:$D,DataViz!$B28,'Supply planning data'!$C:$C,DataViz!$A$1))</f>
        <v>0</v>
      </c>
      <c r="V30" s="242">
        <v>400000</v>
      </c>
      <c r="W30" s="243"/>
      <c r="X30" s="246">
        <f t="shared" si="0"/>
        <v>400000</v>
      </c>
      <c r="Y30" s="246">
        <f t="shared" si="8"/>
        <v>400000</v>
      </c>
      <c r="Z30" s="246">
        <f>IF($A$7="All",SUMIFS('Supply planning data'!N:N,'Supply planning data'!$D:$D,DataViz!$B28),SUMIFS('Supply planning data'!N:N,'Supply planning data'!$D:$D,DataViz!$B28,'Supply planning data'!$C:$C,DataViz!$A$1))+IF($A$7="All",SUMIFS('Supply planning data'!P:P,'Supply planning data'!$D:$D,DataViz!$B28),SUMIFS('Supply planning data'!P:P,'Supply planning data'!$D:$D,DataViz!$B28,'Supply planning data'!$C:$C,DataViz!$A$1))</f>
        <v>0</v>
      </c>
      <c r="AA30" s="246">
        <f>IF($A$7="All",SUMIFS('Supply planning data'!R:R,'Supply planning data'!$D:$D,DataViz!$B28),SUMIFS('Supply planning data'!R:R,'Supply planning data'!$D:$D,DataViz!$B28,'Supply planning data'!$C:$C,DataViz!$A$1))</f>
        <v>0</v>
      </c>
      <c r="AB30" s="246">
        <f>IF($A$7="All",SUMIFS('Supply planning data'!S:S,'Supply planning data'!$D:$D,DataViz!$B28),SUMIFS('Supply planning data'!S:S,'Supply planning data'!$D:$D,DataViz!$B28,'Supply planning data'!$C:$C,DataViz!$A$1))</f>
        <v>0</v>
      </c>
      <c r="AC30" s="242"/>
      <c r="AD30" s="246">
        <f t="shared" si="19"/>
        <v>1800377</v>
      </c>
      <c r="AE30" s="252">
        <f t="shared" si="20"/>
        <v>4.5009424999999998</v>
      </c>
      <c r="AF30" s="246">
        <f t="shared" si="15"/>
        <v>599623</v>
      </c>
      <c r="AG30" s="249">
        <f t="shared" si="16"/>
        <v>8.0399931643520453E-2</v>
      </c>
      <c r="AH30" s="246">
        <f>SUM($V$8:V30)+SUM($J$8:J30)</f>
        <v>7097992</v>
      </c>
      <c r="AI30" s="246">
        <f>IFERROR(D30+(SUM($V$8:V30)/Dashboard!$W$6),"")</f>
        <v>4823995.8986112271</v>
      </c>
      <c r="AJ30" s="246">
        <f t="shared" si="17"/>
        <v>5208377</v>
      </c>
      <c r="AK30" s="246">
        <f>IF($A$7="All",SUMIFS('Supply planning data'!M:M,'Supply planning data'!$D:$D,DataViz!$B28),SUMIFS('Supply planning data'!M:M,'Supply planning data'!$D:$D,DataViz!$B28,'Supply planning data'!$C:$C,DataViz!$A$1))</f>
        <v>0</v>
      </c>
      <c r="AL30" s="242"/>
      <c r="AM30" s="243"/>
      <c r="AN30" s="246">
        <f t="shared" si="2"/>
        <v>0</v>
      </c>
      <c r="AO30" s="246" t="e">
        <f t="shared" si="3"/>
        <v>#N/A</v>
      </c>
      <c r="AP30" s="246">
        <f>IF($A$7="All",SUMIFS('Supply planning data'!N:N,'Supply planning data'!$D:$D,DataViz!$B28),SUMIFS('Supply planning data'!N:N,'Supply planning data'!$D:$D,DataViz!$B28,'Supply planning data'!$C:$C,DataViz!$A$1))+IF($A$7="All",SUMIFS('Supply planning data'!P:P,'Supply planning data'!$D:$D,DataViz!$B28),SUMIFS('Supply planning data'!P:P,'Supply planning data'!$D:$D,DataViz!$B28,'Supply planning data'!$C:$C,DataViz!$A$1))</f>
        <v>0</v>
      </c>
      <c r="AQ30" s="246">
        <f t="shared" si="4"/>
        <v>0</v>
      </c>
      <c r="AR30" s="246">
        <f t="shared" si="5"/>
        <v>0</v>
      </c>
      <c r="AS30" s="242"/>
      <c r="AT30" s="246">
        <f t="shared" si="9"/>
        <v>5208377</v>
      </c>
      <c r="AU30" s="252" t="e">
        <f t="shared" si="21"/>
        <v>#N/A</v>
      </c>
      <c r="AV30" s="246" t="e">
        <f t="shared" si="10"/>
        <v>#N/A</v>
      </c>
      <c r="AW30" s="249">
        <f t="shared" si="11"/>
        <v>2.9492566666666668E-2</v>
      </c>
      <c r="AX30" s="246">
        <f>SUM($AL$8:AL30)+SUM($J$8:J30)</f>
        <v>2697992</v>
      </c>
      <c r="AY30" s="279">
        <f>IFERROR(D30+(SUM($AL$8:AL30)/Dashboard!$W$6),"")</f>
        <v>1769554</v>
      </c>
    </row>
    <row r="31" spans="1:65" x14ac:dyDescent="0.25">
      <c r="A31" s="223">
        <v>24</v>
      </c>
      <c r="B31" s="226">
        <f t="shared" si="12"/>
        <v>44986</v>
      </c>
      <c r="C31" s="105">
        <f>IF(VLOOKUP(Dashboard!$M$6,Start!$B$10:$E$12,4,FALSE)&gt;0,VLOOKUP(Dashboard!$M$6,Start!$B$10:$E$12,4,FALSE),VLOOKUP(Dashboard!$M$6,Start!$B$10:$E$12,3,FALSE))</f>
        <v>60000000</v>
      </c>
      <c r="D31" s="105">
        <f>IF($A$7="Jansen",SUMIFS('Supply planning data'!G:G,'Supply planning data'!$D:$D,"&lt;="&amp;DataViz!$B29,'Supply planning data'!$C:$C,"jansen"),IF($A$7="All",SUMIFS('Supply planning data'!H:H,'Supply planning data'!$D:$D,"&lt;="&amp;DataViz!$B29)+SUMIFS('Supply planning data'!G:G,'Supply planning data'!$D:$D,"&lt;="&amp;DataViz!$B29,'Supply planning data'!$C:$C,"Jansen"),SUMIFS('Supply planning data'!H:H,'Supply planning data'!$D:$D,"&lt;="&amp;DataViz!$B29,'Supply planning data'!$C:$C,DataViz!$A$1)))</f>
        <v>1769554</v>
      </c>
      <c r="E31" s="177">
        <f t="shared" si="7"/>
        <v>2.9492566666666668E-2</v>
      </c>
      <c r="F31" s="105">
        <f>IF($A$7="All",SUMIFS('Supply planning data'!F:F,'Supply planning data'!$D:$D,DataViz!$B29),SUMIFS('Supply planning data'!F:F,'Supply planning data'!$D:$D,DataViz!$B29,'Supply planning data'!$C:$C,DataViz!$A$1))</f>
        <v>5258747</v>
      </c>
      <c r="G31" s="105">
        <f>IF($A$7="All",SUMIFS('Supply planning data'!G:G,'Supply planning data'!$D:$D,DataViz!$B29),SUMIFS('Supply planning data'!G:G,'Supply planning data'!$D:$D,DataViz!$B29,'Supply planning data'!$C:$C,DataViz!$A$1))</f>
        <v>0</v>
      </c>
      <c r="H31" s="105">
        <f>IF($A$7="All",SUMIFS('Supply planning data'!H:H,'Supply planning data'!$D:$D,DataViz!$B29),SUMIFS('Supply planning data'!H:H,'Supply planning data'!$D:$D,DataViz!$B29,'Supply planning data'!$C:$C,DataViz!$A$1))</f>
        <v>0</v>
      </c>
      <c r="I31" s="105">
        <f>IF($A$7="All",SUMIFS('Supply planning data'!I:I,'Supply planning data'!$D:$D,DataViz!$B29),SUMIFS('Supply planning data'!I:I,'Supply planning data'!$D:$D,DataViz!$B29,'Supply planning data'!$C:$C,DataViz!$A$1))</f>
        <v>0</v>
      </c>
      <c r="J31" s="105">
        <f>IF($A$7="All",SUMIFS('Supply planning data'!J:J,'Supply planning data'!$D:$D,DataViz!$B29),SUMIFS('Supply planning data'!J:J,'Supply planning data'!$D:$D,DataViz!$B29,'Supply planning data'!$C:$C,DataViz!$A$1))</f>
        <v>0</v>
      </c>
      <c r="K31" s="105">
        <f>IF($A$7="All",SUMIFS('Supply planning data'!L:L,'Supply planning data'!$D:$D,DataViz!$B29),SUMIFS('Supply planning data'!L:L,'Supply planning data'!$D:$D,DataViz!$B29,'Supply planning data'!$C:$C,DataViz!$A$1))</f>
        <v>0</v>
      </c>
      <c r="L31" s="105">
        <f>IF($A$7="All",SUMIFS('Supply planning data'!K:K,'Supply planning data'!$D:$D,DataViz!$B29),SUMIFS('Supply planning data'!K:K,'Supply planning data'!$D:$D,DataViz!$B29,'Supply planning data'!$C:$C,DataViz!$A$1))</f>
        <v>0</v>
      </c>
      <c r="M31" s="105">
        <f>IF($A$7="All",SUMIFS('Supply planning data'!M:M,'Supply planning data'!$D:$D,DataViz!$B29),SUMIFS('Supply planning data'!M:M,'Supply planning data'!$D:$D,DataViz!$B29,'Supply planning data'!$C:$C,DataViz!$A$1))</f>
        <v>0</v>
      </c>
      <c r="N31" s="105">
        <f>IF($A$7="All",SUMIFS('Supply planning data'!N:N,'Supply planning data'!$D:$D,DataViz!$B29),SUMIFS('Supply planning data'!N:N,'Supply planning data'!$D:$D,DataViz!$B29,'Supply planning data'!$C:$C,DataViz!$A$1))+IF($A$7="All",SUMIFS('Supply planning data'!P:P,'Supply planning data'!$D:$D,DataViz!$B29),SUMIFS('Supply planning data'!P:P,'Supply planning data'!$D:$D,DataViz!$B29,'Supply planning data'!$C:$C,DataViz!$A$1))</f>
        <v>0</v>
      </c>
      <c r="O31" s="105">
        <f>IF($A$7="All",SUMIFS('Supply planning data'!R:R,'Supply planning data'!$D:$D,DataViz!$B29),SUMIFS('Supply planning data'!R:R,'Supply planning data'!$D:$D,DataViz!$B29,'Supply planning data'!$C:$C,DataViz!$A$1))</f>
        <v>0</v>
      </c>
      <c r="P31" s="105">
        <f>IF($A$7="All",SUMIFS('Supply planning data'!S:S,'Supply planning data'!$D:$D,DataViz!$B29),SUMIFS('Supply planning data'!S:S,'Supply planning data'!$D:$D,DataViz!$B29,'Supply planning data'!$C:$C,DataViz!$A$1))</f>
        <v>0</v>
      </c>
      <c r="Q31" s="105">
        <f>IF($A$7="All",SUMIFS('Supply planning data'!V:V,'Supply planning data'!$D:$D,DataViz!$B29),SUMIFS('Supply planning data'!V:V,'Supply planning data'!$D:$D,DataViz!$B29,'Supply planning data'!$C:$C,DataViz!$A$1))</f>
        <v>5258747</v>
      </c>
      <c r="R31" s="241" t="str">
        <f t="shared" si="18"/>
        <v/>
      </c>
      <c r="S31" s="247">
        <f t="shared" si="13"/>
        <v>44986</v>
      </c>
      <c r="T31" s="248">
        <f t="shared" si="14"/>
        <v>1800377</v>
      </c>
      <c r="U31" s="248">
        <f>IF($A$7="All",SUMIFS('Supply planning data'!M:M,'Supply planning data'!$D:$D,DataViz!$B29),SUMIFS('Supply planning data'!M:M,'Supply planning data'!$D:$D,DataViz!$B29,'Supply planning data'!$C:$C,DataViz!$A$1))</f>
        <v>0</v>
      </c>
      <c r="V31" s="244">
        <v>400000</v>
      </c>
      <c r="W31" s="245"/>
      <c r="X31" s="248">
        <f t="shared" si="0"/>
        <v>400000</v>
      </c>
      <c r="Y31" s="248">
        <f t="shared" si="8"/>
        <v>400000</v>
      </c>
      <c r="Z31" s="248">
        <f>IF($A$7="All",SUMIFS('Supply planning data'!N:N,'Supply planning data'!$D:$D,DataViz!$B29),SUMIFS('Supply planning data'!N:N,'Supply planning data'!$D:$D,DataViz!$B29,'Supply planning data'!$C:$C,DataViz!$A$1))+IF($A$7="All",SUMIFS('Supply planning data'!P:P,'Supply planning data'!$D:$D,DataViz!$B29),SUMIFS('Supply planning data'!P:P,'Supply planning data'!$D:$D,DataViz!$B29,'Supply planning data'!$C:$C,DataViz!$A$1))</f>
        <v>0</v>
      </c>
      <c r="AA31" s="248">
        <f>IF($A$7="All",SUMIFS('Supply planning data'!R:R,'Supply planning data'!$D:$D,DataViz!$B29),SUMIFS('Supply planning data'!R:R,'Supply planning data'!$D:$D,DataViz!$B29,'Supply planning data'!$C:$C,DataViz!$A$1))</f>
        <v>0</v>
      </c>
      <c r="AB31" s="248">
        <f>IF($A$7="All",SUMIFS('Supply planning data'!S:S,'Supply planning data'!$D:$D,DataViz!$B29),SUMIFS('Supply planning data'!S:S,'Supply planning data'!$D:$D,DataViz!$B29,'Supply planning data'!$C:$C,DataViz!$A$1))</f>
        <v>0</v>
      </c>
      <c r="AC31" s="244"/>
      <c r="AD31" s="248">
        <f t="shared" si="19"/>
        <v>1400377</v>
      </c>
      <c r="AE31" s="250">
        <f t="shared" si="20"/>
        <v>3.5009424999999998</v>
      </c>
      <c r="AF31" s="248">
        <f t="shared" si="15"/>
        <v>999623</v>
      </c>
      <c r="AG31" s="251">
        <f t="shared" si="16"/>
        <v>8.5027873914143542E-2</v>
      </c>
      <c r="AH31" s="248">
        <f>SUM($V$8:V31)+SUM($J$8:J31)</f>
        <v>7497992</v>
      </c>
      <c r="AI31" s="248">
        <f>IFERROR(D31+(SUM($V$8:V31)/Dashboard!$W$6),"")</f>
        <v>5101672.4348486122</v>
      </c>
      <c r="AJ31" s="248">
        <f t="shared" si="17"/>
        <v>5208377</v>
      </c>
      <c r="AK31" s="248">
        <f>IF($A$7="All",SUMIFS('Supply planning data'!M:M,'Supply planning data'!$D:$D,DataViz!$B29),SUMIFS('Supply planning data'!M:M,'Supply planning data'!$D:$D,DataViz!$B29,'Supply planning data'!$C:$C,DataViz!$A$1))</f>
        <v>0</v>
      </c>
      <c r="AL31" s="244"/>
      <c r="AM31" s="244"/>
      <c r="AN31" s="248">
        <f t="shared" si="2"/>
        <v>0</v>
      </c>
      <c r="AO31" s="248" t="e">
        <f t="shared" si="3"/>
        <v>#N/A</v>
      </c>
      <c r="AP31" s="248">
        <f>IF($A$7="All",SUMIFS('Supply planning data'!N:N,'Supply planning data'!$D:$D,DataViz!$B29),SUMIFS('Supply planning data'!N:N,'Supply planning data'!$D:$D,DataViz!$B29,'Supply planning data'!$C:$C,DataViz!$A$1))+IF($A$7="All",SUMIFS('Supply planning data'!P:P,'Supply planning data'!$D:$D,DataViz!$B29),SUMIFS('Supply planning data'!P:P,'Supply planning data'!$D:$D,DataViz!$B29,'Supply planning data'!$C:$C,DataViz!$A$1))</f>
        <v>0</v>
      </c>
      <c r="AQ31" s="248">
        <f t="shared" si="4"/>
        <v>0</v>
      </c>
      <c r="AR31" s="248">
        <f t="shared" si="5"/>
        <v>0</v>
      </c>
      <c r="AS31" s="244"/>
      <c r="AT31" s="248">
        <f t="shared" si="9"/>
        <v>5208377</v>
      </c>
      <c r="AU31" s="250" t="e">
        <f t="shared" si="21"/>
        <v>#N/A</v>
      </c>
      <c r="AV31" s="248" t="e">
        <f t="shared" si="10"/>
        <v>#N/A</v>
      </c>
      <c r="AW31" s="251">
        <f t="shared" si="11"/>
        <v>2.9492566666666668E-2</v>
      </c>
      <c r="AX31" s="248">
        <f>SUM($AL$8:AL31)+SUM($J$8:J31)</f>
        <v>2697992</v>
      </c>
      <c r="AY31" s="253">
        <f>IFERROR(D31+(SUM($AL$8:AL31)/Dashboard!$W$6),"")</f>
        <v>1769554</v>
      </c>
    </row>
    <row r="32" spans="1:65" s="212" customFormat="1" ht="4.5" customHeight="1" x14ac:dyDescent="0.25"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20:65" s="212" customFormat="1" ht="8.25" customHeight="1" x14ac:dyDescent="0.25"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</row>
    <row r="34" spans="20:65" s="212" customFormat="1" ht="15.75" x14ac:dyDescent="0.25">
      <c r="T34" s="215" t="s">
        <v>167</v>
      </c>
      <c r="U34" s="215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7"/>
      <c r="AJ34" s="215" t="s">
        <v>168</v>
      </c>
      <c r="AK34" s="215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7"/>
      <c r="AY34" s="221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</row>
    <row r="35" spans="20:65" s="212" customFormat="1" x14ac:dyDescent="0.25">
      <c r="T35" s="218" t="s">
        <v>169</v>
      </c>
      <c r="U35" s="218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J35" s="218" t="s">
        <v>169</v>
      </c>
      <c r="AK35" s="218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</row>
    <row r="36" spans="20:65" s="212" customFormat="1" x14ac:dyDescent="0.25">
      <c r="T36" s="218"/>
      <c r="U36" s="218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J36" s="218"/>
      <c r="AK36" s="218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</row>
    <row r="37" spans="20:65" s="212" customFormat="1" x14ac:dyDescent="0.25">
      <c r="T37" s="218"/>
      <c r="U37" s="218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J37" s="218"/>
      <c r="AK37" s="218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</row>
    <row r="38" spans="20:65" s="212" customFormat="1" x14ac:dyDescent="0.25">
      <c r="T38" s="218"/>
      <c r="U38" s="218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J38" s="218"/>
      <c r="AK38" s="218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</row>
    <row r="39" spans="20:65" s="212" customFormat="1" x14ac:dyDescent="0.25">
      <c r="T39" s="218"/>
      <c r="U39" s="218"/>
      <c r="V39" s="217"/>
      <c r="W39" s="217"/>
      <c r="X39" s="217"/>
      <c r="Y39" s="217"/>
      <c r="Z39" s="217"/>
      <c r="AA39" s="217"/>
      <c r="AB39" s="217"/>
      <c r="AC39" s="217"/>
      <c r="AD39" s="217"/>
      <c r="AE39" s="217"/>
      <c r="AF39" s="217"/>
      <c r="AG39" s="217"/>
      <c r="AH39" s="217"/>
      <c r="AJ39" s="218"/>
      <c r="AK39" s="218"/>
      <c r="AL39" s="217"/>
      <c r="AM39" s="217"/>
      <c r="AN39" s="217"/>
      <c r="AO39" s="217"/>
      <c r="AP39" s="217"/>
      <c r="AQ39" s="217"/>
      <c r="AR39" s="217"/>
      <c r="AS39" s="217"/>
      <c r="AT39" s="217"/>
      <c r="AU39" s="217"/>
      <c r="AV39" s="217"/>
      <c r="AW39" s="217"/>
      <c r="AX39" s="217"/>
      <c r="AY39" s="217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</row>
    <row r="40" spans="20:65" s="212" customFormat="1" x14ac:dyDescent="0.25">
      <c r="T40" s="218"/>
      <c r="U40" s="218"/>
      <c r="V40" s="217"/>
      <c r="W40" s="217"/>
      <c r="X40" s="217"/>
      <c r="Y40" s="217"/>
      <c r="Z40" s="217"/>
      <c r="AA40" s="217"/>
      <c r="AB40" s="217"/>
      <c r="AC40" s="217"/>
      <c r="AD40" s="217"/>
      <c r="AE40" s="217"/>
      <c r="AF40" s="217"/>
      <c r="AG40" s="217"/>
      <c r="AH40" s="217"/>
      <c r="AJ40" s="218"/>
      <c r="AK40" s="218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</row>
    <row r="41" spans="20:65" s="212" customFormat="1" x14ac:dyDescent="0.25">
      <c r="T41" s="218"/>
      <c r="U41" s="218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J41" s="218"/>
      <c r="AK41" s="218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</row>
    <row r="42" spans="20:65" s="212" customFormat="1" x14ac:dyDescent="0.25">
      <c r="T42" s="218"/>
      <c r="U42" s="218"/>
      <c r="V42" s="217"/>
      <c r="W42" s="217"/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J42" s="218"/>
      <c r="AK42" s="218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</row>
    <row r="43" spans="20:65" s="212" customFormat="1" x14ac:dyDescent="0.25">
      <c r="T43" s="218"/>
      <c r="U43" s="218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J43" s="218"/>
      <c r="AK43" s="218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</row>
    <row r="44" spans="20:65" s="212" customFormat="1" x14ac:dyDescent="0.25"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</row>
    <row r="45" spans="20:65" s="212" customFormat="1" x14ac:dyDescent="0.25"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</row>
    <row r="46" spans="20:65" s="212" customFormat="1" x14ac:dyDescent="0.25"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</row>
    <row r="47" spans="20:65" s="212" customFormat="1" x14ac:dyDescent="0.25"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</row>
    <row r="48" spans="20:65" s="212" customFormat="1" x14ac:dyDescent="0.25"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</row>
    <row r="49" spans="6:65" s="212" customFormat="1" x14ac:dyDescent="0.25"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</row>
    <row r="50" spans="6:65" s="212" customFormat="1" x14ac:dyDescent="0.25"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</row>
    <row r="51" spans="6:65" s="212" customFormat="1" x14ac:dyDescent="0.25"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</row>
    <row r="52" spans="6:65" s="212" customFormat="1" x14ac:dyDescent="0.25"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</row>
    <row r="53" spans="6:65" s="212" customFormat="1" ht="15.75" x14ac:dyDescent="0.25">
      <c r="T53" s="215" t="s">
        <v>170</v>
      </c>
      <c r="U53" s="215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7"/>
      <c r="AI53" s="217"/>
      <c r="AJ53" s="215" t="s">
        <v>171</v>
      </c>
      <c r="AK53" s="215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7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</row>
    <row r="54" spans="6:65" s="212" customFormat="1" x14ac:dyDescent="0.25">
      <c r="T54" s="218" t="s">
        <v>172</v>
      </c>
      <c r="U54" s="218"/>
      <c r="V54" s="217"/>
      <c r="W54" s="217"/>
      <c r="X54" s="217"/>
      <c r="Y54" s="217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8" t="s">
        <v>173</v>
      </c>
      <c r="AK54" s="218"/>
      <c r="AL54" s="217"/>
      <c r="AM54" s="217"/>
      <c r="AN54" s="217"/>
      <c r="AO54" s="217"/>
      <c r="AP54" s="217"/>
      <c r="AQ54" s="217"/>
      <c r="AR54" s="217"/>
      <c r="AS54" s="217"/>
      <c r="AT54" s="219"/>
      <c r="AU54" s="219"/>
      <c r="AV54" s="219"/>
      <c r="AW54" s="219"/>
      <c r="AX54" s="219"/>
      <c r="AY54" s="219"/>
      <c r="AZ54" s="75"/>
      <c r="BA54" s="75"/>
      <c r="BB54" s="75"/>
      <c r="BC54"/>
      <c r="BD54"/>
      <c r="BE54"/>
      <c r="BF54"/>
      <c r="BG54"/>
      <c r="BH54"/>
      <c r="BI54"/>
      <c r="BJ54"/>
      <c r="BK54"/>
      <c r="BL54"/>
      <c r="BM54"/>
    </row>
    <row r="55" spans="6:65" s="212" customFormat="1" x14ac:dyDescent="0.25"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9"/>
      <c r="AU55" s="219"/>
      <c r="AV55" s="219"/>
      <c r="AW55" s="219"/>
      <c r="AX55" s="219"/>
      <c r="AY55" s="219"/>
      <c r="AZ55" s="75"/>
      <c r="BA55" s="75"/>
      <c r="BB55" s="75"/>
      <c r="BC55"/>
      <c r="BD55"/>
      <c r="BE55"/>
      <c r="BF55"/>
      <c r="BG55"/>
      <c r="BH55"/>
      <c r="BI55"/>
      <c r="BJ55"/>
      <c r="BK55"/>
      <c r="BL55"/>
      <c r="BM55"/>
    </row>
    <row r="56" spans="6:65" s="212" customFormat="1" x14ac:dyDescent="0.25"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9"/>
      <c r="AU56" s="219"/>
      <c r="AV56" s="219"/>
      <c r="AW56" s="219"/>
      <c r="AX56" s="219"/>
      <c r="AY56" s="219"/>
      <c r="AZ56" s="75"/>
      <c r="BA56" s="75"/>
      <c r="BB56" s="75"/>
      <c r="BC56"/>
      <c r="BD56"/>
      <c r="BE56"/>
      <c r="BF56"/>
      <c r="BG56"/>
      <c r="BH56"/>
      <c r="BI56"/>
      <c r="BJ56"/>
      <c r="BK56"/>
      <c r="BL56"/>
      <c r="BM56"/>
    </row>
    <row r="57" spans="6:65" s="212" customFormat="1" x14ac:dyDescent="0.25"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9"/>
      <c r="AU57" s="219"/>
      <c r="AV57" s="219"/>
      <c r="AW57" s="219"/>
      <c r="AX57" s="219"/>
      <c r="AY57" s="219"/>
      <c r="AZ57" s="75"/>
      <c r="BA57" s="75"/>
      <c r="BB57" s="75"/>
      <c r="BC57"/>
      <c r="BD57"/>
      <c r="BE57"/>
      <c r="BF57"/>
      <c r="BG57"/>
      <c r="BH57"/>
      <c r="BI57"/>
      <c r="BJ57"/>
      <c r="BK57"/>
      <c r="BL57"/>
      <c r="BM57"/>
    </row>
    <row r="58" spans="6:65" s="212" customFormat="1" x14ac:dyDescent="0.25"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T58" s="217"/>
      <c r="U58" s="217"/>
      <c r="V58" s="217"/>
      <c r="W58" s="217"/>
      <c r="X58" s="217"/>
      <c r="Y58" s="217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  <c r="AP58" s="217"/>
      <c r="AQ58" s="217"/>
      <c r="AR58" s="217"/>
      <c r="AS58" s="217"/>
      <c r="AT58" s="219"/>
      <c r="AU58" s="219"/>
      <c r="AV58" s="219"/>
      <c r="AW58" s="219"/>
      <c r="AX58" s="219"/>
      <c r="AY58" s="219"/>
      <c r="AZ58" s="75"/>
      <c r="BA58" s="75"/>
      <c r="BB58" s="75"/>
      <c r="BC58"/>
      <c r="BD58"/>
      <c r="BE58"/>
      <c r="BF58"/>
      <c r="BG58"/>
      <c r="BH58"/>
      <c r="BI58"/>
      <c r="BJ58"/>
      <c r="BK58"/>
      <c r="BL58"/>
      <c r="BM58"/>
    </row>
    <row r="59" spans="6:65" s="212" customFormat="1" x14ac:dyDescent="0.25"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9"/>
      <c r="AU59" s="219"/>
      <c r="AV59" s="219"/>
      <c r="AW59" s="219"/>
      <c r="AX59" s="219"/>
      <c r="AY59" s="219"/>
      <c r="AZ59" s="75"/>
      <c r="BA59" s="75"/>
      <c r="BB59" s="75"/>
      <c r="BC59"/>
      <c r="BD59"/>
      <c r="BE59"/>
      <c r="BF59"/>
      <c r="BG59"/>
      <c r="BH59"/>
      <c r="BI59"/>
      <c r="BJ59"/>
      <c r="BK59"/>
      <c r="BL59"/>
      <c r="BM59"/>
    </row>
    <row r="60" spans="6:65" s="212" customFormat="1" x14ac:dyDescent="0.25"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9"/>
      <c r="AU60" s="219"/>
      <c r="AV60" s="219"/>
      <c r="AW60" s="219"/>
      <c r="AX60" s="219"/>
      <c r="AY60" s="219"/>
      <c r="AZ60" s="48"/>
      <c r="BA60" s="48"/>
      <c r="BB60" s="48"/>
      <c r="BC60"/>
      <c r="BD60"/>
      <c r="BE60"/>
      <c r="BF60"/>
      <c r="BG60"/>
      <c r="BH60"/>
      <c r="BI60"/>
      <c r="BJ60"/>
      <c r="BK60"/>
      <c r="BL60"/>
      <c r="BM60"/>
    </row>
    <row r="61" spans="6:65" s="212" customFormat="1" x14ac:dyDescent="0.25"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9"/>
      <c r="AU61" s="219"/>
      <c r="AV61" s="219"/>
      <c r="AW61" s="219"/>
      <c r="AX61" s="219"/>
      <c r="AY61" s="219"/>
      <c r="AZ61" s="48"/>
      <c r="BA61" s="48"/>
      <c r="BB61" s="48"/>
      <c r="BC61"/>
      <c r="BD61"/>
      <c r="BE61"/>
      <c r="BF61"/>
      <c r="BG61"/>
      <c r="BH61"/>
      <c r="BI61"/>
      <c r="BJ61"/>
      <c r="BK61"/>
      <c r="BL61"/>
      <c r="BM61"/>
    </row>
    <row r="62" spans="6:65" s="212" customFormat="1" x14ac:dyDescent="0.25"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9"/>
      <c r="AU62" s="219"/>
      <c r="AV62" s="219"/>
      <c r="AW62" s="219"/>
      <c r="AX62" s="219"/>
      <c r="AY62" s="219"/>
      <c r="AZ62" s="48"/>
      <c r="BA62" s="48"/>
      <c r="BB62" s="48"/>
      <c r="BC62"/>
      <c r="BD62"/>
      <c r="BE62"/>
      <c r="BF62"/>
      <c r="BG62"/>
      <c r="BH62"/>
      <c r="BI62"/>
      <c r="BJ62"/>
      <c r="BK62"/>
      <c r="BL62"/>
      <c r="BM62"/>
    </row>
    <row r="63" spans="6:65" s="212" customFormat="1" x14ac:dyDescent="0.25"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9"/>
      <c r="AU63" s="219"/>
      <c r="AV63" s="219"/>
      <c r="AW63" s="219"/>
      <c r="AX63" s="219"/>
      <c r="AY63" s="219"/>
      <c r="AZ63" s="75"/>
      <c r="BA63" s="75"/>
      <c r="BB63" s="75"/>
      <c r="BC63"/>
      <c r="BD63"/>
      <c r="BE63"/>
      <c r="BF63"/>
      <c r="BG63"/>
      <c r="BH63"/>
      <c r="BI63"/>
      <c r="BJ63"/>
      <c r="BK63"/>
      <c r="BL63"/>
      <c r="BM63"/>
    </row>
    <row r="64" spans="6:65" s="212" customFormat="1" x14ac:dyDescent="0.25"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9"/>
      <c r="AU64" s="219"/>
      <c r="AV64" s="219"/>
      <c r="AW64" s="219"/>
      <c r="AX64" s="219"/>
      <c r="AY64" s="219"/>
      <c r="AZ64" s="48"/>
      <c r="BA64" s="48"/>
      <c r="BB64" s="48"/>
      <c r="BC64"/>
      <c r="BD64"/>
      <c r="BE64"/>
      <c r="BF64"/>
      <c r="BG64"/>
      <c r="BH64"/>
      <c r="BI64"/>
      <c r="BJ64"/>
      <c r="BK64"/>
      <c r="BL64"/>
      <c r="BM64"/>
    </row>
    <row r="65" spans="6:65" s="212" customFormat="1" x14ac:dyDescent="0.25"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9"/>
      <c r="AU65" s="219"/>
      <c r="AV65" s="219"/>
      <c r="AW65" s="219"/>
      <c r="AX65" s="219"/>
      <c r="AY65" s="219"/>
      <c r="AZ65" s="48"/>
      <c r="BA65" s="48"/>
      <c r="BB65" s="48"/>
      <c r="BC65"/>
      <c r="BD65"/>
      <c r="BE65"/>
      <c r="BF65"/>
      <c r="BG65"/>
      <c r="BH65"/>
      <c r="BI65"/>
      <c r="BJ65"/>
      <c r="BK65"/>
      <c r="BL65"/>
      <c r="BM65"/>
    </row>
    <row r="66" spans="6:65" s="212" customFormat="1" x14ac:dyDescent="0.25"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9"/>
      <c r="AU66" s="219"/>
      <c r="AV66" s="219"/>
      <c r="AW66" s="219"/>
      <c r="AX66" s="219"/>
      <c r="AY66" s="219"/>
      <c r="AZ66" s="75"/>
      <c r="BA66" s="75"/>
      <c r="BB66" s="75"/>
      <c r="BC66"/>
      <c r="BD66"/>
      <c r="BE66"/>
      <c r="BF66"/>
      <c r="BG66"/>
      <c r="BH66"/>
      <c r="BI66"/>
      <c r="BJ66"/>
      <c r="BK66"/>
      <c r="BL66"/>
      <c r="BM66"/>
    </row>
    <row r="67" spans="6:65" s="212" customFormat="1" x14ac:dyDescent="0.25"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9"/>
      <c r="AU67" s="219"/>
      <c r="AV67" s="219"/>
      <c r="AW67" s="219"/>
      <c r="AX67" s="219"/>
      <c r="AY67" s="219"/>
      <c r="AZ67" s="75"/>
      <c r="BA67" s="75"/>
      <c r="BB67" s="75"/>
      <c r="BC67"/>
      <c r="BD67"/>
      <c r="BE67"/>
      <c r="BF67"/>
      <c r="BG67"/>
      <c r="BH67"/>
      <c r="BI67"/>
      <c r="BJ67"/>
      <c r="BK67"/>
      <c r="BL67"/>
      <c r="BM67"/>
    </row>
    <row r="68" spans="6:65" s="212" customFormat="1" x14ac:dyDescent="0.25"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9"/>
      <c r="AU68" s="219"/>
      <c r="AV68" s="219"/>
      <c r="AW68" s="219"/>
      <c r="AX68" s="219"/>
      <c r="AY68" s="219"/>
      <c r="AZ68" s="75"/>
      <c r="BA68" s="75"/>
      <c r="BB68" s="75"/>
      <c r="BC68"/>
      <c r="BD68"/>
      <c r="BE68"/>
      <c r="BF68"/>
      <c r="BG68"/>
      <c r="BH68"/>
      <c r="BI68"/>
      <c r="BJ68"/>
      <c r="BK68"/>
      <c r="BL68"/>
      <c r="BM68"/>
    </row>
    <row r="69" spans="6:65" s="212" customFormat="1" x14ac:dyDescent="0.25"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9"/>
      <c r="AU69" s="219"/>
      <c r="AV69" s="219"/>
      <c r="AW69" s="219"/>
      <c r="AX69" s="219"/>
      <c r="AY69" s="219"/>
      <c r="AZ69" s="75"/>
      <c r="BA69" s="75"/>
      <c r="BB69" s="75"/>
      <c r="BC69"/>
      <c r="BD69"/>
      <c r="BE69"/>
      <c r="BF69"/>
      <c r="BG69"/>
      <c r="BH69"/>
      <c r="BI69"/>
      <c r="BJ69"/>
      <c r="BK69"/>
      <c r="BL69"/>
      <c r="BM69"/>
    </row>
    <row r="70" spans="6:65" s="212" customFormat="1" x14ac:dyDescent="0.25"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</row>
    <row r="71" spans="6:65" s="212" customFormat="1" x14ac:dyDescent="0.25">
      <c r="F71" s="217"/>
      <c r="G71" s="217"/>
      <c r="H71" s="217"/>
      <c r="I71" s="217"/>
      <c r="J71" s="217"/>
      <c r="K71" s="220"/>
      <c r="L71" s="220"/>
      <c r="M71" s="220"/>
      <c r="N71" s="220"/>
      <c r="O71" s="217"/>
      <c r="P71" s="217"/>
      <c r="Q71" s="217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</row>
    <row r="72" spans="6:65" s="212" customFormat="1" x14ac:dyDescent="0.25"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</row>
    <row r="73" spans="6:65" s="212" customFormat="1" x14ac:dyDescent="0.25"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</row>
    <row r="74" spans="6:65" s="212" customFormat="1" x14ac:dyDescent="0.25"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</row>
    <row r="75" spans="6:65" s="212" customFormat="1" x14ac:dyDescent="0.25"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</row>
    <row r="76" spans="6:65" s="212" customFormat="1" x14ac:dyDescent="0.25"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</row>
    <row r="77" spans="6:65" s="212" customFormat="1" x14ac:dyDescent="0.25"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</row>
    <row r="78" spans="6:65" s="212" customFormat="1" x14ac:dyDescent="0.25"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</row>
    <row r="79" spans="6:65" s="212" customFormat="1" x14ac:dyDescent="0.25"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</row>
    <row r="80" spans="6:65" s="212" customFormat="1" x14ac:dyDescent="0.25"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</row>
    <row r="81" spans="52:65" s="212" customFormat="1" x14ac:dyDescent="0.25"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</row>
    <row r="82" spans="52:65" s="212" customFormat="1" x14ac:dyDescent="0.25"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</row>
    <row r="83" spans="52:65" s="212" customFormat="1" x14ac:dyDescent="0.25"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</row>
    <row r="84" spans="52:65" s="212" customFormat="1" x14ac:dyDescent="0.25"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</row>
    <row r="85" spans="52:65" s="212" customFormat="1" x14ac:dyDescent="0.25"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</row>
    <row r="86" spans="52:65" s="212" customFormat="1" x14ac:dyDescent="0.25"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</row>
    <row r="87" spans="52:65" s="212" customFormat="1" x14ac:dyDescent="0.25"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</row>
    <row r="88" spans="52:65" s="212" customFormat="1" x14ac:dyDescent="0.25"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</row>
    <row r="89" spans="52:65" s="212" customFormat="1" x14ac:dyDescent="0.25"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</row>
    <row r="90" spans="52:65" s="212" customFormat="1" x14ac:dyDescent="0.25"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</row>
    <row r="91" spans="52:65" s="212" customFormat="1" x14ac:dyDescent="0.25"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</row>
    <row r="92" spans="52:65" s="212" customFormat="1" x14ac:dyDescent="0.25"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</row>
    <row r="93" spans="52:65" s="212" customFormat="1" x14ac:dyDescent="0.25"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</row>
    <row r="94" spans="52:65" s="212" customFormat="1" x14ac:dyDescent="0.25"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</row>
    <row r="95" spans="52:65" s="212" customFormat="1" x14ac:dyDescent="0.25"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</row>
    <row r="96" spans="52:65" s="212" customFormat="1" x14ac:dyDescent="0.25"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</row>
    <row r="97" spans="52:65" s="212" customFormat="1" x14ac:dyDescent="0.25"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</row>
    <row r="98" spans="52:65" s="212" customFormat="1" x14ac:dyDescent="0.25"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</row>
    <row r="99" spans="52:65" s="212" customFormat="1" x14ac:dyDescent="0.25"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</row>
    <row r="100" spans="52:65" s="212" customFormat="1" x14ac:dyDescent="0.25"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</row>
    <row r="101" spans="52:65" s="212" customFormat="1" x14ac:dyDescent="0.25"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</row>
    <row r="102" spans="52:65" s="212" customFormat="1" x14ac:dyDescent="0.25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</row>
    <row r="103" spans="52:65" s="212" customFormat="1" x14ac:dyDescent="0.25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</row>
    <row r="104" spans="52:65" s="212" customFormat="1" x14ac:dyDescent="0.25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</row>
    <row r="105" spans="52:65" s="212" customFormat="1" x14ac:dyDescent="0.25"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</row>
    <row r="106" spans="52:65" s="212" customFormat="1" x14ac:dyDescent="0.25"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</row>
    <row r="107" spans="52:65" s="212" customFormat="1" x14ac:dyDescent="0.25"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</row>
    <row r="108" spans="52:65" s="212" customFormat="1" x14ac:dyDescent="0.25"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</row>
    <row r="109" spans="52:65" s="212" customFormat="1" x14ac:dyDescent="0.25"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</row>
    <row r="110" spans="52:65" s="212" customFormat="1" x14ac:dyDescent="0.25"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</row>
    <row r="111" spans="52:65" s="212" customFormat="1" x14ac:dyDescent="0.25"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</row>
    <row r="112" spans="52:65" s="212" customFormat="1" x14ac:dyDescent="0.25"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</row>
    <row r="113" spans="52:65" s="212" customFormat="1" x14ac:dyDescent="0.25"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</row>
    <row r="114" spans="52:65" s="212" customFormat="1" x14ac:dyDescent="0.25"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</row>
    <row r="115" spans="52:65" s="212" customFormat="1" x14ac:dyDescent="0.25"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</row>
    <row r="116" spans="52:65" s="212" customFormat="1" x14ac:dyDescent="0.25"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</row>
    <row r="117" spans="52:65" s="212" customFormat="1" x14ac:dyDescent="0.25"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</row>
    <row r="118" spans="52:65" s="212" customFormat="1" x14ac:dyDescent="0.25"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</row>
    <row r="119" spans="52:65" s="212" customFormat="1" x14ac:dyDescent="0.25"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</row>
    <row r="120" spans="52:65" s="212" customFormat="1" x14ac:dyDescent="0.25"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</row>
    <row r="121" spans="52:65" s="212" customFormat="1" x14ac:dyDescent="0.25"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</row>
    <row r="122" spans="52:65" s="212" customFormat="1" x14ac:dyDescent="0.25"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</row>
    <row r="123" spans="52:65" s="212" customFormat="1" x14ac:dyDescent="0.25"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</row>
    <row r="124" spans="52:65" s="212" customFormat="1" x14ac:dyDescent="0.25"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</row>
    <row r="125" spans="52:65" s="212" customFormat="1" x14ac:dyDescent="0.25"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</row>
    <row r="126" spans="52:65" s="212" customFormat="1" x14ac:dyDescent="0.25"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</row>
    <row r="127" spans="52:65" s="212" customFormat="1" x14ac:dyDescent="0.25"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</row>
    <row r="128" spans="52:65" s="212" customFormat="1" x14ac:dyDescent="0.25"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</row>
    <row r="129" spans="52:65" s="212" customFormat="1" x14ac:dyDescent="0.25"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</row>
    <row r="130" spans="52:65" s="212" customFormat="1" x14ac:dyDescent="0.25"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</row>
    <row r="131" spans="52:65" s="212" customFormat="1" x14ac:dyDescent="0.25"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</row>
    <row r="132" spans="52:65" s="212" customFormat="1" x14ac:dyDescent="0.25"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</row>
    <row r="133" spans="52:65" s="212" customFormat="1" x14ac:dyDescent="0.25"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</row>
    <row r="134" spans="52:65" s="212" customFormat="1" x14ac:dyDescent="0.25"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</row>
    <row r="135" spans="52:65" s="212" customFormat="1" x14ac:dyDescent="0.25"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</row>
    <row r="136" spans="52:65" s="212" customFormat="1" x14ac:dyDescent="0.25"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</row>
    <row r="137" spans="52:65" s="212" customFormat="1" x14ac:dyDescent="0.25"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</row>
    <row r="138" spans="52:65" s="212" customFormat="1" x14ac:dyDescent="0.25"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</row>
    <row r="139" spans="52:65" s="212" customFormat="1" x14ac:dyDescent="0.25"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</row>
    <row r="140" spans="52:65" s="212" customFormat="1" x14ac:dyDescent="0.25"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</row>
    <row r="141" spans="52:65" s="212" customFormat="1" x14ac:dyDescent="0.25"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</row>
    <row r="142" spans="52:65" s="212" customFormat="1" x14ac:dyDescent="0.25"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</row>
    <row r="143" spans="52:65" s="212" customFormat="1" x14ac:dyDescent="0.25"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</row>
    <row r="144" spans="52:65" s="212" customFormat="1" x14ac:dyDescent="0.25"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</row>
    <row r="145" spans="52:65" s="212" customFormat="1" x14ac:dyDescent="0.25"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</row>
    <row r="146" spans="52:65" s="212" customFormat="1" x14ac:dyDescent="0.25"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</row>
    <row r="147" spans="52:65" s="212" customFormat="1" x14ac:dyDescent="0.25"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</row>
    <row r="148" spans="52:65" s="212" customFormat="1" x14ac:dyDescent="0.25"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</row>
    <row r="149" spans="52:65" s="212" customFormat="1" x14ac:dyDescent="0.25"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</row>
    <row r="150" spans="52:65" s="212" customFormat="1" x14ac:dyDescent="0.25"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</row>
    <row r="151" spans="52:65" s="212" customFormat="1" x14ac:dyDescent="0.25"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</row>
    <row r="152" spans="52:65" s="212" customFormat="1" x14ac:dyDescent="0.25"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</row>
    <row r="153" spans="52:65" s="212" customFormat="1" x14ac:dyDescent="0.25"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</row>
    <row r="154" spans="52:65" s="212" customFormat="1" x14ac:dyDescent="0.25"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</row>
    <row r="155" spans="52:65" s="212" customFormat="1" x14ac:dyDescent="0.25"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</row>
    <row r="156" spans="52:65" s="212" customFormat="1" x14ac:dyDescent="0.25"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</row>
    <row r="157" spans="52:65" s="212" customFormat="1" x14ac:dyDescent="0.25"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</row>
    <row r="158" spans="52:65" s="212" customFormat="1" x14ac:dyDescent="0.25"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</row>
    <row r="159" spans="52:65" s="212" customFormat="1" x14ac:dyDescent="0.25"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</row>
    <row r="160" spans="52:65" s="212" customFormat="1" x14ac:dyDescent="0.25"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</row>
    <row r="161" spans="52:65" s="212" customFormat="1" x14ac:dyDescent="0.25"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</row>
    <row r="162" spans="52:65" s="212" customFormat="1" x14ac:dyDescent="0.25"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</row>
    <row r="163" spans="52:65" s="212" customFormat="1" x14ac:dyDescent="0.25"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</row>
    <row r="164" spans="52:65" s="212" customFormat="1" x14ac:dyDescent="0.25"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</row>
    <row r="165" spans="52:65" s="212" customFormat="1" x14ac:dyDescent="0.25"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</row>
    <row r="166" spans="52:65" s="212" customFormat="1" x14ac:dyDescent="0.25"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</row>
    <row r="167" spans="52:65" s="212" customFormat="1" x14ac:dyDescent="0.25"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</row>
    <row r="168" spans="52:65" s="212" customFormat="1" x14ac:dyDescent="0.25"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</row>
    <row r="169" spans="52:65" s="212" customFormat="1" x14ac:dyDescent="0.25"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</row>
    <row r="170" spans="52:65" s="212" customFormat="1" x14ac:dyDescent="0.25"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</row>
    <row r="171" spans="52:65" s="212" customFormat="1" x14ac:dyDescent="0.25"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</row>
    <row r="172" spans="52:65" s="212" customFormat="1" x14ac:dyDescent="0.25"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</row>
    <row r="173" spans="52:65" s="212" customFormat="1" x14ac:dyDescent="0.25"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</row>
    <row r="174" spans="52:65" s="212" customFormat="1" x14ac:dyDescent="0.25"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</row>
    <row r="175" spans="52:65" s="212" customFormat="1" x14ac:dyDescent="0.25"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</row>
    <row r="176" spans="52:65" s="212" customFormat="1" x14ac:dyDescent="0.25"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</row>
    <row r="177" spans="52:65" s="212" customFormat="1" x14ac:dyDescent="0.25"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</row>
    <row r="178" spans="52:65" s="212" customFormat="1" x14ac:dyDescent="0.25"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</row>
    <row r="179" spans="52:65" s="212" customFormat="1" x14ac:dyDescent="0.25"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</row>
    <row r="180" spans="52:65" s="212" customFormat="1" x14ac:dyDescent="0.25"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</row>
    <row r="181" spans="52:65" s="212" customFormat="1" x14ac:dyDescent="0.25"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</row>
    <row r="182" spans="52:65" s="212" customFormat="1" x14ac:dyDescent="0.25"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</row>
    <row r="183" spans="52:65" s="212" customFormat="1" x14ac:dyDescent="0.25"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</row>
    <row r="184" spans="52:65" s="212" customFormat="1" x14ac:dyDescent="0.25"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</row>
    <row r="185" spans="52:65" s="212" customFormat="1" x14ac:dyDescent="0.25"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</row>
    <row r="186" spans="52:65" s="212" customFormat="1" x14ac:dyDescent="0.25"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</row>
    <row r="187" spans="52:65" s="212" customFormat="1" x14ac:dyDescent="0.25"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</row>
    <row r="188" spans="52:65" s="212" customFormat="1" x14ac:dyDescent="0.25"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</row>
    <row r="189" spans="52:65" s="212" customFormat="1" x14ac:dyDescent="0.25"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</row>
    <row r="190" spans="52:65" s="212" customFormat="1" x14ac:dyDescent="0.25"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</row>
    <row r="191" spans="52:65" s="212" customFormat="1" x14ac:dyDescent="0.25"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</row>
    <row r="192" spans="52:65" s="212" customFormat="1" x14ac:dyDescent="0.25"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</row>
    <row r="193" spans="52:65" s="212" customFormat="1" x14ac:dyDescent="0.25"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</row>
    <row r="194" spans="52:65" s="212" customFormat="1" x14ac:dyDescent="0.25"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</row>
    <row r="195" spans="52:65" s="212" customFormat="1" x14ac:dyDescent="0.25"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</row>
    <row r="196" spans="52:65" s="212" customFormat="1" x14ac:dyDescent="0.25"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</row>
    <row r="197" spans="52:65" s="212" customFormat="1" x14ac:dyDescent="0.25"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</row>
    <row r="198" spans="52:65" s="212" customFormat="1" x14ac:dyDescent="0.25"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</row>
    <row r="199" spans="52:65" s="212" customFormat="1" x14ac:dyDescent="0.25"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</row>
    <row r="200" spans="52:65" s="212" customFormat="1" x14ac:dyDescent="0.25"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</row>
    <row r="201" spans="52:65" s="212" customFormat="1" x14ac:dyDescent="0.25"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</row>
    <row r="202" spans="52:65" s="212" customFormat="1" x14ac:dyDescent="0.25"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</row>
    <row r="203" spans="52:65" s="212" customFormat="1" x14ac:dyDescent="0.25"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</row>
    <row r="204" spans="52:65" s="212" customFormat="1" x14ac:dyDescent="0.25"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</row>
    <row r="205" spans="52:65" s="212" customFormat="1" x14ac:dyDescent="0.25"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</row>
    <row r="206" spans="52:65" s="212" customFormat="1" x14ac:dyDescent="0.25"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</row>
    <row r="207" spans="52:65" s="212" customFormat="1" x14ac:dyDescent="0.25"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</row>
    <row r="208" spans="52:65" s="212" customFormat="1" x14ac:dyDescent="0.25"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</row>
    <row r="209" spans="52:65" s="212" customFormat="1" x14ac:dyDescent="0.25"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</row>
    <row r="210" spans="52:65" s="212" customFormat="1" x14ac:dyDescent="0.25"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</row>
    <row r="211" spans="52:65" s="212" customFormat="1" x14ac:dyDescent="0.25"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</row>
    <row r="212" spans="52:65" s="212" customFormat="1" x14ac:dyDescent="0.25"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</row>
    <row r="213" spans="52:65" s="212" customFormat="1" x14ac:dyDescent="0.25"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</row>
    <row r="214" spans="52:65" s="212" customFormat="1" x14ac:dyDescent="0.25"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</row>
    <row r="215" spans="52:65" s="212" customFormat="1" x14ac:dyDescent="0.25"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</row>
    <row r="216" spans="52:65" s="212" customFormat="1" x14ac:dyDescent="0.25"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</row>
    <row r="217" spans="52:65" s="212" customFormat="1" x14ac:dyDescent="0.25"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</row>
    <row r="218" spans="52:65" s="212" customFormat="1" x14ac:dyDescent="0.25"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</row>
    <row r="219" spans="52:65" s="212" customFormat="1" x14ac:dyDescent="0.25"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</row>
    <row r="220" spans="52:65" s="212" customFormat="1" x14ac:dyDescent="0.25"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</row>
    <row r="221" spans="52:65" s="212" customFormat="1" x14ac:dyDescent="0.25"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</row>
    <row r="222" spans="52:65" s="212" customFormat="1" x14ac:dyDescent="0.25"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</row>
    <row r="223" spans="52:65" s="212" customFormat="1" x14ac:dyDescent="0.25"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</row>
    <row r="224" spans="52:65" s="212" customFormat="1" x14ac:dyDescent="0.25"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</row>
    <row r="225" spans="52:65" s="212" customFormat="1" x14ac:dyDescent="0.25"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</row>
    <row r="226" spans="52:65" s="212" customFormat="1" x14ac:dyDescent="0.25"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</row>
    <row r="227" spans="52:65" s="212" customFormat="1" x14ac:dyDescent="0.25"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</row>
    <row r="228" spans="52:65" s="212" customFormat="1" x14ac:dyDescent="0.25"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</row>
    <row r="229" spans="52:65" s="212" customFormat="1" x14ac:dyDescent="0.25"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</row>
    <row r="230" spans="52:65" s="212" customFormat="1" x14ac:dyDescent="0.25"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</row>
    <row r="231" spans="52:65" s="212" customFormat="1" x14ac:dyDescent="0.25"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</row>
    <row r="232" spans="52:65" s="212" customFormat="1" x14ac:dyDescent="0.25"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</row>
    <row r="233" spans="52:65" s="212" customFormat="1" x14ac:dyDescent="0.25"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</row>
    <row r="234" spans="52:65" s="212" customFormat="1" x14ac:dyDescent="0.25"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</row>
    <row r="235" spans="52:65" s="212" customFormat="1" x14ac:dyDescent="0.25"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</row>
    <row r="236" spans="52:65" s="212" customFormat="1" x14ac:dyDescent="0.25"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</row>
    <row r="237" spans="52:65" s="212" customFormat="1" x14ac:dyDescent="0.25"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</row>
  </sheetData>
  <sheetProtection algorithmName="SHA-512" hashValue="mjJ7kHeFgc6wMeQfb4UyNfEViN0OWkwd4SDgubnhWT/SsAMiFR2/+KilNVQMNyefRs/WhCybi+e4bYiIHThWBw==" saltValue="vS+jDvEB2JkAFBMEgiiqRA==" spinCount="100000" sheet="1" formatCells="0" formatColumns="0" formatRows="0" selectLockedCells="1"/>
  <mergeCells count="3">
    <mergeCell ref="T2:AI2"/>
    <mergeCell ref="T6:AI6"/>
    <mergeCell ref="AJ6:AY6"/>
  </mergeCells>
  <conditionalFormatting sqref="Y8:Y31">
    <cfRule type="expression" dxfId="172" priority="40">
      <formula>ISNA(Y8)</formula>
    </cfRule>
  </conditionalFormatting>
  <conditionalFormatting sqref="AE8:AE31">
    <cfRule type="cellIs" dxfId="171" priority="3" operator="greaterThan">
      <formula>$AE$4</formula>
    </cfRule>
    <cfRule type="cellIs" dxfId="170" priority="4" operator="lessThan">
      <formula>$AC$4</formula>
    </cfRule>
    <cfRule type="expression" dxfId="169" priority="35">
      <formula>ISNA(AE8)</formula>
    </cfRule>
  </conditionalFormatting>
  <conditionalFormatting sqref="AO8:AO31">
    <cfRule type="expression" dxfId="168" priority="26">
      <formula>ISNA(AO8)</formula>
    </cfRule>
  </conditionalFormatting>
  <conditionalFormatting sqref="AU8:AU31">
    <cfRule type="cellIs" dxfId="167" priority="1" operator="greaterThan">
      <formula>$AU$4</formula>
    </cfRule>
    <cfRule type="cellIs" dxfId="166" priority="2" operator="lessThan">
      <formula>$AS$4</formula>
    </cfRule>
    <cfRule type="expression" dxfId="165" priority="21">
      <formula>ISNA(AU8)</formula>
    </cfRule>
  </conditionalFormatting>
  <conditionalFormatting sqref="AF10:AF31">
    <cfRule type="expression" dxfId="164" priority="11">
      <formula>ISNA(AF10)</formula>
    </cfRule>
  </conditionalFormatting>
  <conditionalFormatting sqref="AF8:AF9">
    <cfRule type="expression" dxfId="163" priority="9">
      <formula>ISNA(AF8)</formula>
    </cfRule>
  </conditionalFormatting>
  <conditionalFormatting sqref="AV10:AV31">
    <cfRule type="expression" dxfId="162" priority="7">
      <formula>ISNA(AV10)</formula>
    </cfRule>
  </conditionalFormatting>
  <conditionalFormatting sqref="AV8:AV9">
    <cfRule type="expression" dxfId="161" priority="5">
      <formula>ISNA(AV8)</formula>
    </cfRule>
  </conditionalFormatting>
  <conditionalFormatting sqref="Z8:Z31">
    <cfRule type="cellIs" dxfId="160" priority="56" operator="lessThan">
      <formula>0</formula>
    </cfRule>
  </conditionalFormatting>
  <pageMargins left="0.7" right="0.7" top="0.75" bottom="0.75" header="0.3" footer="0.3"/>
  <pageSetup orientation="portrait" r:id="rId1"/>
  <ignoredErrors>
    <ignoredError sqref="AH20:AI30" formulaRange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6" operator="containsText" id="{D743F80A-6B4B-48E9-8CC6-0249AEB4F18E}">
            <xm:f>NOT(ISERROR(SEARCH("-",AE8)))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AE8:AE31</xm:sqref>
        </x14:conditionalFormatting>
        <x14:conditionalFormatting xmlns:xm="http://schemas.microsoft.com/office/excel/2006/main">
          <x14:cfRule type="containsText" priority="22" operator="containsText" id="{03D4D97B-2712-4BB2-9E74-73D2B9AAF351}">
            <xm:f>NOT(ISERROR(SEARCH("-",AU8)))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AU8:AU31</xm:sqref>
        </x14:conditionalFormatting>
        <x14:conditionalFormatting xmlns:xm="http://schemas.microsoft.com/office/excel/2006/main">
          <x14:cfRule type="containsText" priority="111" operator="containsText" id="{6B432F54-F028-4012-9414-DFE7F670C5DB}">
            <xm:f>NOT(ISERROR(SEARCH("-",V8)))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V8:V10</xm:sqref>
        </x14:conditionalFormatting>
        <x14:conditionalFormatting xmlns:xm="http://schemas.microsoft.com/office/excel/2006/main">
          <x14:cfRule type="containsText" priority="110" operator="containsText" id="{1D768614-0F56-459E-85EA-D8BAD6FA78D0}">
            <xm:f>NOT(ISERROR(SEARCH("-",T8)))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T8:U10 T31:U31</xm:sqref>
        </x14:conditionalFormatting>
        <x14:conditionalFormatting xmlns:xm="http://schemas.microsoft.com/office/excel/2006/main">
          <x14:cfRule type="containsText" priority="109" operator="containsText" id="{A84D664B-065E-4AC4-B95F-374EE707AE75}">
            <xm:f>NOT(ISERROR(SEARCH("-",AH8)))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AH8:AH10 AH31</xm:sqref>
        </x14:conditionalFormatting>
        <x14:conditionalFormatting xmlns:xm="http://schemas.microsoft.com/office/excel/2006/main">
          <x14:cfRule type="containsText" priority="108" operator="containsText" id="{C3859E80-3845-434E-A217-8343B0A1076D}">
            <xm:f>NOT(ISERROR(SEARCH("-",X8)))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X8:X10 X31</xm:sqref>
        </x14:conditionalFormatting>
        <x14:conditionalFormatting xmlns:xm="http://schemas.microsoft.com/office/excel/2006/main">
          <x14:cfRule type="containsText" priority="104" operator="containsText" id="{EE8905B9-FC9D-4BF5-A878-1B43359BD651}">
            <xm:f>NOT(ISERROR(SEARCH("-",AI8)))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AI8:AI10 AI31</xm:sqref>
        </x14:conditionalFormatting>
        <x14:conditionalFormatting xmlns:xm="http://schemas.microsoft.com/office/excel/2006/main">
          <x14:cfRule type="containsText" priority="103" operator="containsText" id="{DD45F226-C313-4E06-B1AF-E255DA080DF3}">
            <xm:f>NOT(ISERROR(SEARCH("-",W8)))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W8:W10 W31</xm:sqref>
        </x14:conditionalFormatting>
        <x14:conditionalFormatting xmlns:xm="http://schemas.microsoft.com/office/excel/2006/main">
          <x14:cfRule type="containsText" priority="102" operator="containsText" id="{5054BA9C-1A77-4BC7-A91E-F57541BC5C74}">
            <xm:f>NOT(ISERROR(SEARCH("-",AC8)))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AC8:AC10 AC31</xm:sqref>
        </x14:conditionalFormatting>
        <x14:conditionalFormatting xmlns:xm="http://schemas.microsoft.com/office/excel/2006/main">
          <x14:cfRule type="containsText" priority="100" operator="containsText" id="{3FC898CE-9745-4505-ABAC-A0A916506D10}">
            <xm:f>NOT(ISERROR(SEARCH("-",AL8)))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AL8:AL10</xm:sqref>
        </x14:conditionalFormatting>
        <x14:conditionalFormatting xmlns:xm="http://schemas.microsoft.com/office/excel/2006/main">
          <x14:cfRule type="containsText" priority="99" operator="containsText" id="{D941C876-D12A-4410-A6A2-2C89748FF027}">
            <xm:f>NOT(ISERROR(SEARCH("-",AJ8)))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AJ8:AK10</xm:sqref>
        </x14:conditionalFormatting>
        <x14:conditionalFormatting xmlns:xm="http://schemas.microsoft.com/office/excel/2006/main">
          <x14:cfRule type="containsText" priority="98" operator="containsText" id="{3777252F-0F50-4370-9A21-EFA69BFF8E6A}">
            <xm:f>NOT(ISERROR(SEARCH("-",AX8)))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AX8:AX10</xm:sqref>
        </x14:conditionalFormatting>
        <x14:conditionalFormatting xmlns:xm="http://schemas.microsoft.com/office/excel/2006/main">
          <x14:cfRule type="containsText" priority="97" operator="containsText" id="{9116D1CE-FB0D-45BF-94C0-D6CB19908BF1}">
            <xm:f>NOT(ISERROR(SEARCH("-",AN8)))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AN8:AN10</xm:sqref>
        </x14:conditionalFormatting>
        <x14:conditionalFormatting xmlns:xm="http://schemas.microsoft.com/office/excel/2006/main">
          <x14:cfRule type="containsText" priority="96" operator="containsText" id="{65F8FC9F-F406-4E2C-BDE4-A94CF05D6C2F}">
            <xm:f>NOT(ISERROR(SEARCH("-",AP8)))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AP8:AP10</xm:sqref>
        </x14:conditionalFormatting>
        <x14:conditionalFormatting xmlns:xm="http://schemas.microsoft.com/office/excel/2006/main">
          <x14:cfRule type="containsText" priority="94" operator="containsText" id="{D7163EA3-5D83-44EE-96AC-4E080ADB994E}">
            <xm:f>NOT(ISERROR(SEARCH("-",AY8)))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AY8:AY10</xm:sqref>
        </x14:conditionalFormatting>
        <x14:conditionalFormatting xmlns:xm="http://schemas.microsoft.com/office/excel/2006/main">
          <x14:cfRule type="containsText" priority="93" operator="containsText" id="{680E6448-B3A7-44DD-95A4-C5745AEB5CD9}">
            <xm:f>NOT(ISERROR(SEARCH("-",AM8)))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AM8:AM10</xm:sqref>
        </x14:conditionalFormatting>
        <x14:conditionalFormatting xmlns:xm="http://schemas.microsoft.com/office/excel/2006/main">
          <x14:cfRule type="containsText" priority="92" operator="containsText" id="{4D9F1813-B533-4BEA-9A7D-F2D5545EC6E5}">
            <xm:f>NOT(ISERROR(SEARCH("-",AS8)))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AS8:AS10</xm:sqref>
        </x14:conditionalFormatting>
        <x14:conditionalFormatting xmlns:xm="http://schemas.microsoft.com/office/excel/2006/main">
          <x14:cfRule type="containsText" priority="89" operator="containsText" id="{AB888E0C-595F-423F-9FC0-D08FE0A761F7}">
            <xm:f>NOT(ISERROR(SEARCH("-",R8)))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R8:S10 R31:S31 R11:R30</xm:sqref>
        </x14:conditionalFormatting>
        <x14:conditionalFormatting xmlns:xm="http://schemas.microsoft.com/office/excel/2006/main">
          <x14:cfRule type="containsText" priority="88" operator="containsText" id="{51AA542D-35BE-4B87-8DCE-47A2357B654E}">
            <xm:f>NOT(ISERROR(SEARCH("-",AJ31)))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AJ31:AK31</xm:sqref>
        </x14:conditionalFormatting>
        <x14:conditionalFormatting xmlns:xm="http://schemas.microsoft.com/office/excel/2006/main">
          <x14:cfRule type="containsText" priority="87" operator="containsText" id="{351359A1-EF05-4050-BACB-71BF7A35590C}">
            <xm:f>NOT(ISERROR(SEARCH("-",AX31)))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containsText" priority="86" operator="containsText" id="{AB4ACD2D-92FD-45E5-BA38-80C672893289}">
            <xm:f>NOT(ISERROR(SEARCH("-",AN31)))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containsText" priority="85" operator="containsText" id="{9BD5C0ED-8ADC-4729-9516-9C671616CAF5}">
            <xm:f>NOT(ISERROR(SEARCH("-",AP31)))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containsText" priority="84" operator="containsText" id="{28D45436-443D-4E77-873C-7132380C77EC}">
            <xm:f>NOT(ISERROR(SEARCH("-",AW31)))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AW31:AX31</xm:sqref>
        </x14:conditionalFormatting>
        <x14:conditionalFormatting xmlns:xm="http://schemas.microsoft.com/office/excel/2006/main">
          <x14:cfRule type="containsText" priority="83" operator="containsText" id="{9C2C8ED8-4EA4-4321-B709-06A21BDADA4A}">
            <xm:f>NOT(ISERROR(SEARCH("-",AY31)))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AY31</xm:sqref>
        </x14:conditionalFormatting>
        <x14:conditionalFormatting xmlns:xm="http://schemas.microsoft.com/office/excel/2006/main">
          <x14:cfRule type="containsText" priority="82" operator="containsText" id="{4D62723F-490E-46C7-9C08-B8821074B24B}">
            <xm:f>NOT(ISERROR(SEARCH("-",AL31)))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containsText" priority="81" operator="containsText" id="{54EA043D-D031-4329-8B4C-D89319EE9385}">
            <xm:f>NOT(ISERROR(SEARCH("-",AS31)))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AS31</xm:sqref>
        </x14:conditionalFormatting>
        <x14:conditionalFormatting xmlns:xm="http://schemas.microsoft.com/office/excel/2006/main">
          <x14:cfRule type="containsText" priority="80" operator="containsText" id="{EA344FD9-6964-482A-A941-75A93B9EF8A0}">
            <xm:f>NOT(ISERROR(SEARCH("-",AM31)))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AM31</xm:sqref>
        </x14:conditionalFormatting>
        <x14:conditionalFormatting xmlns:xm="http://schemas.microsoft.com/office/excel/2006/main">
          <x14:cfRule type="containsText" priority="79" operator="containsText" id="{584DDA7C-209B-4467-B2CB-645E055E0A3C}">
            <xm:f>NOT(ISERROR(SEARCH("-",N8)))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N8</xm:sqref>
        </x14:conditionalFormatting>
        <x14:conditionalFormatting xmlns:xm="http://schemas.microsoft.com/office/excel/2006/main">
          <x14:cfRule type="containsText" priority="77" operator="containsText" id="{FC20AF8E-179C-4115-A7BD-95AD6FB7C3BC}">
            <xm:f>NOT(ISERROR(SEARCH("-",V11)))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V11:V16</xm:sqref>
        </x14:conditionalFormatting>
        <x14:conditionalFormatting xmlns:xm="http://schemas.microsoft.com/office/excel/2006/main">
          <x14:cfRule type="containsText" priority="76" operator="containsText" id="{45EE0E7F-5DE2-4109-A5DD-F26E28584091}">
            <xm:f>NOT(ISERROR(SEARCH("-",T11)))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T11:U30</xm:sqref>
        </x14:conditionalFormatting>
        <x14:conditionalFormatting xmlns:xm="http://schemas.microsoft.com/office/excel/2006/main">
          <x14:cfRule type="containsText" priority="75" operator="containsText" id="{BBF569A7-9C57-48B8-8DB3-5A1A854A60CF}">
            <xm:f>NOT(ISERROR(SEARCH("-",AH11)))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AH11:AH30</xm:sqref>
        </x14:conditionalFormatting>
        <x14:conditionalFormatting xmlns:xm="http://schemas.microsoft.com/office/excel/2006/main">
          <x14:cfRule type="containsText" priority="74" operator="containsText" id="{F9A896C7-532D-43D8-AC8F-634AFDA87EB7}">
            <xm:f>NOT(ISERROR(SEARCH("-",X11)))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X11:X30</xm:sqref>
        </x14:conditionalFormatting>
        <x14:conditionalFormatting xmlns:xm="http://schemas.microsoft.com/office/excel/2006/main">
          <x14:cfRule type="containsText" priority="71" operator="containsText" id="{23A6D768-D260-45CA-82D5-A6D34AF0D7F9}">
            <xm:f>NOT(ISERROR(SEARCH("-",AI11)))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AI11:AI30</xm:sqref>
        </x14:conditionalFormatting>
        <x14:conditionalFormatting xmlns:xm="http://schemas.microsoft.com/office/excel/2006/main">
          <x14:cfRule type="containsText" priority="70" operator="containsText" id="{4A72EBC1-1DB4-43E0-96D0-61197F924068}">
            <xm:f>NOT(ISERROR(SEARCH("-",W11)))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W11:W30</xm:sqref>
        </x14:conditionalFormatting>
        <x14:conditionalFormatting xmlns:xm="http://schemas.microsoft.com/office/excel/2006/main">
          <x14:cfRule type="containsText" priority="69" operator="containsText" id="{1DC1421D-D0C9-41F2-B888-5A80B29744ED}">
            <xm:f>NOT(ISERROR(SEARCH("-",AC11)))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AC11:AC30</xm:sqref>
        </x14:conditionalFormatting>
        <x14:conditionalFormatting xmlns:xm="http://schemas.microsoft.com/office/excel/2006/main">
          <x14:cfRule type="containsText" priority="67" operator="containsText" id="{EF53A39A-00A6-458A-863C-1EE234DF1505}">
            <xm:f>NOT(ISERROR(SEARCH("-",AL11)))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AL11:AL30</xm:sqref>
        </x14:conditionalFormatting>
        <x14:conditionalFormatting xmlns:xm="http://schemas.microsoft.com/office/excel/2006/main">
          <x14:cfRule type="containsText" priority="66" operator="containsText" id="{0C7E6168-9C5E-4CA3-98B3-A95D46FFB5EE}">
            <xm:f>NOT(ISERROR(SEARCH("-",AJ11)))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AJ11:AK30</xm:sqref>
        </x14:conditionalFormatting>
        <x14:conditionalFormatting xmlns:xm="http://schemas.microsoft.com/office/excel/2006/main">
          <x14:cfRule type="containsText" priority="65" operator="containsText" id="{7F27C682-69AA-4047-9826-FA847E94FCC5}">
            <xm:f>NOT(ISERROR(SEARCH("-",AX11)))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AX11:AX30</xm:sqref>
        </x14:conditionalFormatting>
        <x14:conditionalFormatting xmlns:xm="http://schemas.microsoft.com/office/excel/2006/main">
          <x14:cfRule type="containsText" priority="64" operator="containsText" id="{ED07FEDC-433F-4984-9466-5CB03725DACD}">
            <xm:f>NOT(ISERROR(SEARCH("-",AN11)))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AN11:AN30</xm:sqref>
        </x14:conditionalFormatting>
        <x14:conditionalFormatting xmlns:xm="http://schemas.microsoft.com/office/excel/2006/main">
          <x14:cfRule type="containsText" priority="63" operator="containsText" id="{59C1F079-6113-40D8-9A2F-86256F596E63}">
            <xm:f>NOT(ISERROR(SEARCH("-",AP11)))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AP11:AP30</xm:sqref>
        </x14:conditionalFormatting>
        <x14:conditionalFormatting xmlns:xm="http://schemas.microsoft.com/office/excel/2006/main">
          <x14:cfRule type="containsText" priority="61" operator="containsText" id="{B89B0B9C-85C1-4B3A-A91D-C13D005253D7}">
            <xm:f>NOT(ISERROR(SEARCH("-",AY11)))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AY11:AY30</xm:sqref>
        </x14:conditionalFormatting>
        <x14:conditionalFormatting xmlns:xm="http://schemas.microsoft.com/office/excel/2006/main">
          <x14:cfRule type="containsText" priority="60" operator="containsText" id="{C2B964A9-3EF3-4680-95A4-C2A1B078FD88}">
            <xm:f>NOT(ISERROR(SEARCH("-",AM11)))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AM11:AM30</xm:sqref>
        </x14:conditionalFormatting>
        <x14:conditionalFormatting xmlns:xm="http://schemas.microsoft.com/office/excel/2006/main">
          <x14:cfRule type="containsText" priority="59" operator="containsText" id="{34A3140C-2673-4A5E-BFB7-2C47E4211F48}">
            <xm:f>NOT(ISERROR(SEARCH("-",AS11)))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AS11:AS30</xm:sqref>
        </x14:conditionalFormatting>
        <x14:conditionalFormatting xmlns:xm="http://schemas.microsoft.com/office/excel/2006/main">
          <x14:cfRule type="containsText" priority="57" operator="containsText" id="{6D85CF71-8C56-4A94-BBF3-C3A3BFFE9239}">
            <xm:f>NOT(ISERROR(SEARCH("-",S11)))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S11:S30</xm:sqref>
        </x14:conditionalFormatting>
        <x14:conditionalFormatting xmlns:xm="http://schemas.microsoft.com/office/excel/2006/main">
          <x14:cfRule type="containsText" priority="50" operator="containsText" id="{7908C36F-6A17-4FD2-8B63-5CB29DDC4162}">
            <xm:f>NOT(ISERROR(SEARCH("-",AG8)))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AG8:AG10 AG31</xm:sqref>
        </x14:conditionalFormatting>
        <x14:conditionalFormatting xmlns:xm="http://schemas.microsoft.com/office/excel/2006/main">
          <x14:cfRule type="containsText" priority="49" operator="containsText" id="{4755299D-F1AE-4562-BE20-4D02BA6478E1}">
            <xm:f>NOT(ISERROR(SEARCH("-",AG11)))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AG11:AG30</xm:sqref>
        </x14:conditionalFormatting>
        <x14:conditionalFormatting xmlns:xm="http://schemas.microsoft.com/office/excel/2006/main">
          <x14:cfRule type="containsText" priority="48" operator="containsText" id="{3776D4E3-9C90-4D09-B48F-148647013886}">
            <xm:f>NOT(ISERROR(SEARCH("-",V17)))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V17:V20</xm:sqref>
        </x14:conditionalFormatting>
        <x14:conditionalFormatting xmlns:xm="http://schemas.microsoft.com/office/excel/2006/main">
          <x14:cfRule type="containsText" priority="43" operator="containsText" id="{05C05F19-BCD5-491F-911D-C3B3A2E3E386}">
            <xm:f>NOT(ISERROR(SEARCH("-",Y8)))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Y8:Y10</xm:sqref>
        </x14:conditionalFormatting>
        <x14:conditionalFormatting xmlns:xm="http://schemas.microsoft.com/office/excel/2006/main">
          <x14:cfRule type="containsText" priority="42" operator="containsText" id="{FA6709A6-E74F-40B0-9527-1A865C8960A7}">
            <xm:f>NOT(ISERROR(SEARCH("-",Y31)))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Y31</xm:sqref>
        </x14:conditionalFormatting>
        <x14:conditionalFormatting xmlns:xm="http://schemas.microsoft.com/office/excel/2006/main">
          <x14:cfRule type="containsText" priority="41" operator="containsText" id="{8E6B2E06-6252-401C-A03E-280A2655455A}">
            <xm:f>NOT(ISERROR(SEARCH("-",Y11)))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Y11:Y30</xm:sqref>
        </x14:conditionalFormatting>
        <x14:conditionalFormatting xmlns:xm="http://schemas.microsoft.com/office/excel/2006/main">
          <x14:cfRule type="containsText" priority="39" operator="containsText" id="{695C21A7-F75B-483F-88F1-E812B0AFA1A1}">
            <xm:f>NOT(ISERROR(SEARCH("-",AD8)))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AD8:AD10</xm:sqref>
        </x14:conditionalFormatting>
        <x14:conditionalFormatting xmlns:xm="http://schemas.microsoft.com/office/excel/2006/main">
          <x14:cfRule type="containsText" priority="38" operator="containsText" id="{91DF09EC-8FA6-4942-B067-4297BDDB9E2A}">
            <xm:f>NOT(ISERROR(SEARCH("-",AD31)))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containsText" priority="37" operator="containsText" id="{DE1E7702-5429-44CF-B005-A260D81F2838}">
            <xm:f>NOT(ISERROR(SEARCH("-",AD11)))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AD11:AD30</xm:sqref>
        </x14:conditionalFormatting>
        <x14:conditionalFormatting xmlns:xm="http://schemas.microsoft.com/office/excel/2006/main">
          <x14:cfRule type="containsText" priority="29" operator="containsText" id="{BE3C645D-1748-42E6-B5D7-4F703D990321}">
            <xm:f>NOT(ISERROR(SEARCH("-",AO8)))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AO8:AO10</xm:sqref>
        </x14:conditionalFormatting>
        <x14:conditionalFormatting xmlns:xm="http://schemas.microsoft.com/office/excel/2006/main">
          <x14:cfRule type="containsText" priority="28" operator="containsText" id="{97DE33D8-21D8-4A4B-953C-60B57385412B}">
            <xm:f>NOT(ISERROR(SEARCH("-",AO31)))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AO31</xm:sqref>
        </x14:conditionalFormatting>
        <x14:conditionalFormatting xmlns:xm="http://schemas.microsoft.com/office/excel/2006/main">
          <x14:cfRule type="containsText" priority="27" operator="containsText" id="{45BDD4EF-40E2-447D-A9DE-454ECC8A5C81}">
            <xm:f>NOT(ISERROR(SEARCH("-",AO11)))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AO11:AO30</xm:sqref>
        </x14:conditionalFormatting>
        <x14:conditionalFormatting xmlns:xm="http://schemas.microsoft.com/office/excel/2006/main">
          <x14:cfRule type="containsText" priority="25" operator="containsText" id="{A7393916-80E0-4DFA-9C13-6D94DA593B4A}">
            <xm:f>NOT(ISERROR(SEARCH("-",AT8)))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AT8:AT10</xm:sqref>
        </x14:conditionalFormatting>
        <x14:conditionalFormatting xmlns:xm="http://schemas.microsoft.com/office/excel/2006/main">
          <x14:cfRule type="containsText" priority="24" operator="containsText" id="{8CCC2B87-E184-48E4-9206-80B1BC03CCC0}">
            <xm:f>NOT(ISERROR(SEARCH("-",AT31)))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containsText" priority="23" operator="containsText" id="{C7A2A42E-CA91-470D-BF27-5EA32E3C831B}">
            <xm:f>NOT(ISERROR(SEARCH("-",AT11)))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AT11:AT30</xm:sqref>
        </x14:conditionalFormatting>
        <x14:conditionalFormatting xmlns:xm="http://schemas.microsoft.com/office/excel/2006/main">
          <x14:cfRule type="containsText" priority="20" operator="containsText" id="{65E86587-7440-488B-9D27-B52E19B27EBD}">
            <xm:f>NOT(ISERROR(SEARCH("-",V31)))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containsText" priority="19" operator="containsText" id="{AF0EA455-42A5-4DD6-B665-3B05D84E66BF}">
            <xm:f>NOT(ISERROR(SEARCH("-",V21)))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V21:V30</xm:sqref>
        </x14:conditionalFormatting>
        <x14:conditionalFormatting xmlns:xm="http://schemas.microsoft.com/office/excel/2006/main">
          <x14:cfRule type="containsText" priority="12" operator="containsText" id="{B2756BEF-B030-4CF2-87A7-2F2627CE0D99}">
            <xm:f>NOT(ISERROR(SEARCH("-",AF11)))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AF11:AF30</xm:sqref>
        </x14:conditionalFormatting>
        <x14:conditionalFormatting xmlns:xm="http://schemas.microsoft.com/office/excel/2006/main">
          <x14:cfRule type="containsText" priority="10" operator="containsText" id="{0A6CB143-EFBE-4F23-9040-0D58DD5BBCAD}">
            <xm:f>NOT(ISERROR(SEARCH("-",AF8)))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AF8:AF9</xm:sqref>
        </x14:conditionalFormatting>
        <x14:conditionalFormatting xmlns:xm="http://schemas.microsoft.com/office/excel/2006/main">
          <x14:cfRule type="containsText" priority="8" operator="containsText" id="{F0E1E8A0-301B-445D-B662-0F2D9D0AA02C}">
            <xm:f>NOT(ISERROR(SEARCH("-",AV11)))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AV11:AV30</xm:sqref>
        </x14:conditionalFormatting>
        <x14:conditionalFormatting xmlns:xm="http://schemas.microsoft.com/office/excel/2006/main">
          <x14:cfRule type="containsText" priority="6" operator="containsText" id="{0AE27B06-9AB1-4052-870C-A3287885FC41}">
            <xm:f>NOT(ISERROR(SEARCH("-",AV8)))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AV8:AV9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BM179"/>
  <sheetViews>
    <sheetView zoomScale="60" zoomScaleNormal="60" workbookViewId="0">
      <selection activeCell="C72" sqref="C72:C95"/>
    </sheetView>
  </sheetViews>
  <sheetFormatPr defaultColWidth="9.140625" defaultRowHeight="15" x14ac:dyDescent="0.25"/>
  <cols>
    <col min="1" max="2" width="9.28515625" bestFit="1" customWidth="1"/>
    <col min="3" max="3" width="15.140625" customWidth="1"/>
    <col min="4" max="5" width="11.85546875" customWidth="1"/>
    <col min="6" max="6" width="14.140625" customWidth="1"/>
    <col min="7" max="7" width="18.85546875" bestFit="1" customWidth="1"/>
    <col min="8" max="9" width="15.7109375" bestFit="1" customWidth="1"/>
    <col min="10" max="10" width="10.7109375" customWidth="1"/>
    <col min="11" max="11" width="9.28515625" bestFit="1" customWidth="1"/>
    <col min="12" max="12" width="21" bestFit="1" customWidth="1"/>
    <col min="13" max="13" width="16.85546875" bestFit="1" customWidth="1"/>
    <col min="14" max="14" width="15.7109375" bestFit="1" customWidth="1"/>
    <col min="15" max="15" width="13" customWidth="1"/>
    <col min="16" max="16" width="12.42578125" customWidth="1"/>
    <col min="17" max="17" width="13.28515625" bestFit="1" customWidth="1"/>
    <col min="18" max="18" width="15.7109375" bestFit="1" customWidth="1"/>
    <col min="19" max="19" width="13.85546875" customWidth="1"/>
    <col min="20" max="20" width="20.140625" bestFit="1" customWidth="1"/>
    <col min="21" max="21" width="14" customWidth="1"/>
    <col min="22" max="22" width="29.140625" bestFit="1" customWidth="1"/>
    <col min="23" max="23" width="14.42578125" bestFit="1" customWidth="1"/>
    <col min="24" max="24" width="11.85546875" bestFit="1" customWidth="1"/>
    <col min="25" max="25" width="13.140625" bestFit="1" customWidth="1"/>
    <col min="26" max="26" width="14.28515625" customWidth="1"/>
    <col min="27" max="27" width="12.28515625" customWidth="1"/>
    <col min="28" max="28" width="14.5703125" customWidth="1"/>
    <col min="29" max="30" width="15.85546875" customWidth="1"/>
    <col min="31" max="31" width="13.85546875" customWidth="1"/>
    <col min="32" max="32" width="19.42578125" customWidth="1"/>
    <col min="33" max="33" width="13.140625" bestFit="1" customWidth="1"/>
    <col min="35" max="36" width="11.28515625" bestFit="1" customWidth="1"/>
    <col min="37" max="37" width="10.42578125" customWidth="1"/>
    <col min="38" max="38" width="13" customWidth="1"/>
    <col min="39" max="39" width="13.5703125" customWidth="1"/>
    <col min="40" max="40" width="10.5703125" customWidth="1"/>
    <col min="41" max="41" width="11.42578125" customWidth="1"/>
    <col min="42" max="42" width="12.28515625" bestFit="1" customWidth="1"/>
  </cols>
  <sheetData>
    <row r="1" spans="1:44" x14ac:dyDescent="0.25">
      <c r="A1" s="27" t="str">
        <f>Dashboard!F6</f>
        <v>All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</row>
    <row r="2" spans="1:44" ht="60" x14ac:dyDescent="0.25">
      <c r="A2" s="27"/>
      <c r="B2" s="27"/>
      <c r="C2" s="27"/>
      <c r="D2" s="27"/>
      <c r="E2" s="27"/>
      <c r="F2" s="26" t="s">
        <v>174</v>
      </c>
      <c r="G2" s="26" t="s">
        <v>175</v>
      </c>
      <c r="H2" s="26" t="s">
        <v>176</v>
      </c>
      <c r="I2" s="26" t="s">
        <v>177</v>
      </c>
      <c r="J2" s="26" t="s">
        <v>178</v>
      </c>
      <c r="K2" s="26" t="s">
        <v>179</v>
      </c>
      <c r="L2" s="26" t="s">
        <v>180</v>
      </c>
      <c r="M2" s="26" t="s">
        <v>181</v>
      </c>
      <c r="N2" s="26" t="s">
        <v>182</v>
      </c>
      <c r="O2" s="26" t="s">
        <v>183</v>
      </c>
      <c r="P2" s="26" t="s">
        <v>184</v>
      </c>
      <c r="Q2" s="26" t="s">
        <v>185</v>
      </c>
      <c r="R2" s="26" t="s">
        <v>186</v>
      </c>
      <c r="S2" s="26" t="s">
        <v>187</v>
      </c>
      <c r="T2" s="26"/>
      <c r="U2" s="26" t="s">
        <v>188</v>
      </c>
      <c r="V2" s="27"/>
      <c r="W2" s="27"/>
      <c r="X2" s="26" t="s">
        <v>189</v>
      </c>
      <c r="Y2" s="548" t="s">
        <v>89</v>
      </c>
      <c r="Z2" s="548"/>
      <c r="AA2" s="548"/>
      <c r="AB2" s="548"/>
      <c r="AC2" s="548"/>
      <c r="AD2" s="548"/>
      <c r="AE2" s="548"/>
      <c r="AF2" s="548"/>
      <c r="AG2" s="548"/>
      <c r="AH2" s="548"/>
      <c r="AI2" s="549" t="s">
        <v>90</v>
      </c>
      <c r="AJ2" s="549"/>
      <c r="AK2" s="549"/>
      <c r="AL2" s="549"/>
      <c r="AM2" s="549"/>
      <c r="AN2" s="549"/>
      <c r="AO2" s="549"/>
      <c r="AP2" s="549"/>
      <c r="AQ2" s="549"/>
      <c r="AR2" s="549"/>
    </row>
    <row r="3" spans="1:44" ht="60" x14ac:dyDescent="0.25">
      <c r="A3" s="25"/>
      <c r="B3" s="25" t="s">
        <v>190</v>
      </c>
      <c r="C3" s="19" t="s">
        <v>140</v>
      </c>
      <c r="D3" s="19" t="s">
        <v>191</v>
      </c>
      <c r="E3" s="19" t="s">
        <v>142</v>
      </c>
      <c r="F3" s="26" t="s">
        <v>174</v>
      </c>
      <c r="G3" s="26" t="s">
        <v>175</v>
      </c>
      <c r="H3" s="26" t="s">
        <v>176</v>
      </c>
      <c r="I3" s="26" t="s">
        <v>177</v>
      </c>
      <c r="J3" s="26" t="s">
        <v>178</v>
      </c>
      <c r="K3" s="26" t="s">
        <v>179</v>
      </c>
      <c r="L3" s="26" t="s">
        <v>180</v>
      </c>
      <c r="M3" s="26" t="s">
        <v>101</v>
      </c>
      <c r="N3" s="26" t="s">
        <v>182</v>
      </c>
      <c r="O3" s="26" t="s">
        <v>159</v>
      </c>
      <c r="P3" s="26" t="s">
        <v>160</v>
      </c>
      <c r="Q3" s="26" t="s">
        <v>185</v>
      </c>
      <c r="R3" s="26" t="s">
        <v>192</v>
      </c>
      <c r="S3" s="26" t="s">
        <v>151</v>
      </c>
      <c r="T3" s="26"/>
      <c r="U3" s="26" t="s">
        <v>188</v>
      </c>
      <c r="V3" s="26" t="s">
        <v>193</v>
      </c>
      <c r="W3" s="27" t="s">
        <v>111</v>
      </c>
      <c r="X3" s="28" cm="1">
        <f t="array" ref="X3">_xlfn.IFS($A$1="Jansen",0,$A$1="all",SUMIFS('Supply planning data'!G:G,'Supply planning data'!$D:$D,"&gt;="&amp;Dashboard!C6)-SUMIFS('Supply planning data'!H:H,'Supply planning data'!$D:$D,"&gt;="&amp;Dashboard!C6),TRUE,SUMIFS('Supply planning data'!G:G,'Supply planning data'!$D:$D,"&gt;="&amp;Dashboard!C6,'Supply planning data'!$C:$C,$A$1)-SUMIFS('Supply planning data'!H:H,'Supply planning data'!$D:$D,"&gt;="&amp;Dashboard!C6,'Supply planning data'!$C:$C,$A$1))</f>
        <v>2160002</v>
      </c>
      <c r="Y3" s="180" t="s">
        <v>152</v>
      </c>
      <c r="Z3" s="180" t="s">
        <v>194</v>
      </c>
      <c r="AA3" s="180" t="s">
        <v>154</v>
      </c>
      <c r="AB3" s="180" t="s">
        <v>195</v>
      </c>
      <c r="AC3" s="180" t="s">
        <v>196</v>
      </c>
      <c r="AD3" s="180" t="s">
        <v>197</v>
      </c>
      <c r="AE3" s="180" t="s">
        <v>198</v>
      </c>
      <c r="AF3" s="333" t="s">
        <v>192</v>
      </c>
      <c r="AG3" s="333" t="s">
        <v>164</v>
      </c>
      <c r="AH3" s="333" t="s">
        <v>199</v>
      </c>
      <c r="AI3" s="179" t="s">
        <v>152</v>
      </c>
      <c r="AJ3" s="179" t="s">
        <v>194</v>
      </c>
      <c r="AK3" s="179" t="s">
        <v>154</v>
      </c>
      <c r="AL3" s="179" t="s">
        <v>195</v>
      </c>
      <c r="AM3" s="179" t="s">
        <v>196</v>
      </c>
      <c r="AN3" s="179" t="s">
        <v>197</v>
      </c>
      <c r="AO3" s="179" t="s">
        <v>198</v>
      </c>
      <c r="AP3" s="179" t="s">
        <v>192</v>
      </c>
      <c r="AQ3" s="179" t="s">
        <v>164</v>
      </c>
      <c r="AR3" s="179" t="s">
        <v>199</v>
      </c>
    </row>
    <row r="4" spans="1:44" x14ac:dyDescent="0.25">
      <c r="A4" s="353">
        <v>-1</v>
      </c>
      <c r="B4" s="21">
        <f>DATE(YEAR(B5),MONTH(B5)-1,1)</f>
        <v>44228</v>
      </c>
      <c r="C4" s="22">
        <f>IF(VLOOKUP(Dashboard!$M$6,Start!$B$10:$E$12,4,FALSE)&gt;0,VLOOKUP(Dashboard!$M$6,Start!$B$10:$E$12,4, FALSE),VLOOKUP(Dashboard!$M$6,Start!$B$10:$E$12,3, FALSE))</f>
        <v>60000000</v>
      </c>
      <c r="D4" s="22">
        <f>IF($A$1="Jansen",SUMIFS('Supply planning data'!G:G,'Supply planning data'!$D:$D,"&lt;="&amp;DataViz!$B4,'Supply planning data'!$C:$C,"jansen"),IF($A$1="All",SUMIFS('Supply planning data'!H:H,'Supply planning data'!$D:$D,"&lt;="&amp;DataViz!$B4)+SUMIFS('Supply planning data'!G:G,'Supply planning data'!$D:$D,"&lt;="&amp;DataViz!$B4,'Supply planning data'!$C:$C,"Jansen"),SUMIFS('Supply planning data'!H:H,'Supply planning data'!$D:$D,"&lt;="&amp;DataViz!$B4,'Supply planning data'!$C:$C,DataViz!$A$1)))</f>
        <v>0</v>
      </c>
      <c r="E4" s="23">
        <f t="shared" ref="E4:E5" si="0">D4/C4</f>
        <v>0</v>
      </c>
      <c r="F4" s="14">
        <f>IF($A$1="All",SUMIFS('Supply planning data'!F:F,'Supply planning data'!$D:$D,DataViz!$B4),SUMIFS('Supply planning data'!F:F,'Supply planning data'!$D:$D,DataViz!$B4,'Supply planning data'!$C:$C,DataViz!$A$1))</f>
        <v>0</v>
      </c>
      <c r="G4" s="14">
        <f>IF($A$1="All",SUMIFS('Supply planning data'!G:G,'Supply planning data'!$D:$D,DataViz!$B4),SUMIFS('Supply planning data'!G:G,'Supply planning data'!$D:$D,DataViz!$B4,'Supply planning data'!$C:$C,DataViz!$A$1))</f>
        <v>0</v>
      </c>
      <c r="H4" s="14">
        <f>IF($A$1="All",SUMIFS('Supply planning data'!H:H,'Supply planning data'!$D:$D,DataViz!$B4),SUMIFS('Supply planning data'!H:H,'Supply planning data'!$D:$D,DataViz!$B4,'Supply planning data'!$C:$C,DataViz!$A$1))</f>
        <v>0</v>
      </c>
      <c r="I4" s="14">
        <f>IF($A$1="All",SUMIFS('Supply planning data'!I:I,'Supply planning data'!$D:$D,DataViz!$B4),SUMIFS('Supply planning data'!I:I,'Supply planning data'!$D:$D,DataViz!$B4,'Supply planning data'!$C:$C,DataViz!$A$1))</f>
        <v>0</v>
      </c>
      <c r="J4" s="14">
        <f>IF($A$1="All",SUMIFS('Supply planning data'!J:J,'Supply planning data'!$D:$D,DataViz!$B4),SUMIFS('Supply planning data'!J:J,'Supply planning data'!$D:$D,DataViz!$B4,'Supply planning data'!$C:$C,DataViz!$A$1))</f>
        <v>0</v>
      </c>
      <c r="K4" s="14">
        <f>IF($A$1="All",SUMIFS('Supply planning data'!L:L,'Supply planning data'!$D:$D,DataViz!$B4),SUMIFS('Supply planning data'!L:L,'Supply planning data'!$D:$D,DataViz!$B4,'Supply planning data'!$C:$C,DataViz!$A$1))</f>
        <v>0</v>
      </c>
      <c r="L4" s="14">
        <f>IF($A$1="All",SUMIFS('Supply planning data'!K:K,'Supply planning data'!$D:$D,DataViz!$B4),SUMIFS('Supply planning data'!K:K,'Supply planning data'!$D:$D,DataViz!$B4,'Supply planning data'!$C:$C,DataViz!$A$1))</f>
        <v>0</v>
      </c>
      <c r="M4" s="14" t="e">
        <f>IF(IF($A$1="All",SUMIFS('Supply planning data'!M:M,'Supply planning data'!$D:$D,DataViz!$B4),SUMIFS('Supply planning data'!M:M,'Supply planning data'!$D:$D,DataViz!$B4,'Supply planning data'!$C:$C,DataViz!$A$1))&lt;=0,NA(),IF($A$1="All",SUMIFS('Supply planning data'!M:M,'Supply planning data'!$D:$D,DataViz!$B4),SUMIFS('Supply planning data'!M:M,'Supply planning data'!$D:$D,DataViz!$B4,'Supply planning data'!$C:$C,DataViz!$A$1)))</f>
        <v>#N/A</v>
      </c>
      <c r="N4" s="14">
        <f>IF($A$1="All",SUMIFS('Supply planning data'!N:N,'Supply planning data'!$D:$D,DataViz!$B4),SUMIFS('Supply planning data'!N:N,'Supply planning data'!$D:$D,DataViz!$B4,'Supply planning data'!$C:$C,DataViz!$A$1))+IF($A$1="All",SUMIFS('Supply planning data'!P:P,'Supply planning data'!$D:$D,DataViz!$B4),SUMIFS('Supply planning data'!P:P,'Supply planning data'!$D:$D,DataViz!$B4,'Supply planning data'!$C:$C,DataViz!$A$1))</f>
        <v>0</v>
      </c>
      <c r="O4" s="14">
        <f>IF($A$1="All",SUMIFS('Supply planning data'!R:R,'Supply planning data'!$D:$D,DataViz!$B4),SUMIFS('Supply planning data'!R:R,'Supply planning data'!$D:$D,DataViz!$B4,'Supply planning data'!$C:$C,DataViz!$A$1))</f>
        <v>0</v>
      </c>
      <c r="P4" s="14">
        <f>IF($A$1="All",SUMIFS('Supply planning data'!S:S,'Supply planning data'!$D:$D,DataViz!$B4),SUMIFS('Supply planning data'!S:S,'Supply planning data'!$D:$D,DataViz!$B4,'Supply planning data'!$C:$C,DataViz!$A$1))</f>
        <v>0</v>
      </c>
      <c r="Q4" s="14">
        <f>IF($A$1="All",SUMIFS('Supply planning data'!T:T,'Supply planning data'!$D:$D,DataViz!$B4),SUMIFS('Supply planning data'!T:T,'Supply planning data'!$D:$D,DataViz!$B4,'Supply planning data'!$C:$C,DataViz!$A$1))</f>
        <v>0</v>
      </c>
      <c r="R4" s="14">
        <f>IF($A$1="All",SUMIFS('Supply planning data'!U:U,'Supply planning data'!$D:$D,DataViz!$B4),SUMIFS('Supply planning data'!U:U,'Supply planning data'!$D:$D,DataViz!$B4,'Supply planning data'!$C:$C,DataViz!$A$1))</f>
        <v>0</v>
      </c>
      <c r="S4" s="14">
        <f>IF($A$1="All",SUMIFS('Supply planning data'!V:V,'Supply planning data'!$D:$D,DataViz!$B4),SUMIFS('Supply planning data'!V:V,'Supply planning data'!$D:$D,DataViz!$B4,'Supply planning data'!$C:$C,DataViz!$A$1))</f>
        <v>0</v>
      </c>
      <c r="T4" s="351"/>
      <c r="U4" s="14">
        <f>IF($A$1="All",SUMIFS('Supply planning data'!Y:Y,'Supply planning data'!$D:$D,DataViz!$B4),SUMIFS('Supply planning data'!Y:Y,'Supply planning data'!$D:$D,DataViz!$B4,'Supply planning data'!$C:$C,DataViz!$A$1))</f>
        <v>0</v>
      </c>
      <c r="V4" s="24">
        <f t="shared" ref="V4:V5" si="1">D4</f>
        <v>0</v>
      </c>
      <c r="W4" s="350" t="e">
        <f t="shared" ref="W4:W7" si="2">IF(M4&lt;=0,NA(),S4/(SUM(L2:L4,J2:J4)/3))</f>
        <v>#N/A</v>
      </c>
      <c r="X4" s="352"/>
      <c r="Y4" s="14">
        <f>IF($A$1="All",SUMIFS('Supply planning data'!$X:$X,'Supply planning data'!$D:$D,DataViz!$B4),SUMIFS('Supply planning data'!$X:$X,'Supply planning data'!$D:$D,DataViz!$B4,'Supply planning data'!$C:$C,DataViz!$A$1))</f>
        <v>0</v>
      </c>
      <c r="Z4" s="14">
        <f>IF($A$1="All",SUMIFS('Supply planning data'!$AB:$AB,'Supply planning data'!$D:$D,DataViz!$B4),SUMIFS('Supply planning data'!$AB:$AB,'Supply planning data'!$D:$D,DataViz!$B4,'Supply planning data'!$C:$C,DataViz!$A$1))</f>
        <v>0</v>
      </c>
      <c r="AA4" s="14">
        <f>IF($A$1="All",SUMIFS('Supply planning data'!$Y:$Y,'Supply planning data'!$D:$D,DataViz!$B4),SUMIFS('Supply planning data'!$Y:$Y,'Supply planning data'!$D:$D,DataViz!$B4,'Supply planning data'!$C:$C,DataViz!$A$1))</f>
        <v>0</v>
      </c>
      <c r="AB4" s="14"/>
      <c r="AC4" s="14" t="e">
        <f>IF(IF($A$1="All",SUMIFS('Supply planning data'!$AA:$AA,'Supply planning data'!$D:$D,DataViz!$B4),SUMIFS('Supply planning data'!$AA:$AA,'Supply planning data'!$D:$D,DataViz!$B4,'Supply planning data'!$C:$C,DataViz!$A$1))&lt;=0,NA(),IF($A$1="All",SUMIFS('Supply planning data'!$AA:$AA,'Supply planning data'!$D:$D,DataViz!$B4),SUMIFS('Supply planning data'!$AA:$AA,'Supply planning data'!$D:$D,DataViz!$B4,'Supply planning data'!$C:$C,DataViz!$A$1)))</f>
        <v>#N/A</v>
      </c>
      <c r="AD4" s="14">
        <f>IF($A$1="All",SUMIFS('Supply planning data'!$AE:$AE,'Supply planning data'!$D:$D,DataViz!$B4),SUMIFS('Supply planning data'!$AE:$AE,'Supply planning data'!$D:$D,DataViz!$B4,'Supply planning data'!$C:$C,DataViz!$A$1))</f>
        <v>0</v>
      </c>
      <c r="AE4" s="18" t="e">
        <f>IF($J4+K4+IF($A$1="All",SUMIFS('Supply planning data'!$AJ:$AJ,'Supply planning data'!$D:$D,DataViz!$B4),SUMIFS('Supply planning data'!$AJ:$AJ,'Supply planning data'!$D:$D,DataViz!$B4,'Supply planning data'!$C:$C,DataViz!$A$1))&lt;=0,NA(),$J4+K4+IF($A$1="All",SUMIFS('Supply planning data'!$AJ:$AJ,'Supply planning data'!$D:$D,DataViz!$B4),SUMIFS('Supply planning data'!$AJ:$AJ,'Supply planning data'!$D:$D,DataViz!$B4,'Supply planning data'!$C:$C,DataViz!$A$1)))</f>
        <v>#N/A</v>
      </c>
      <c r="AF4">
        <f>IF($A$1="All",SUMIFS('Supply planning data'!AD:AD,'Supply planning data'!$D:$D,DataViz!$B4),SUMIFS('Supply planning data'!AD:AD,'Supply planning data'!$D:$D,DataViz!$B4,'Supply planning data'!$C:$C,DataViz!$A$1))</f>
        <v>0</v>
      </c>
      <c r="AG4" s="229">
        <f t="shared" ref="AG4:AG5" si="3">AH4/$C4</f>
        <v>0</v>
      </c>
      <c r="AH4" s="230">
        <f>SUMIFS('Supply planning data'!Y:Y,'Supply planning data'!$D:$D,"&lt;="&amp;DataViz!$B1,'Supply planning data'!$C:$C,"Jansen")+(SUMIFS('Supply planning data'!Y:Y,'Supply planning data'!$D:$D,"&lt;="&amp;DataViz!$B1,'Supply planning data'!$C:$C,"&lt;&gt;Jansen")/2)+D4</f>
        <v>0</v>
      </c>
      <c r="AI4" s="230">
        <f>IF($A$1="All",SUMIFS('Supply planning data'!$AG:$AG,'Supply planning data'!$D:$D,DataViz!$B4),SUMIFS('Supply planning data'!$AG:$AG,'Supply planning data'!$D:$D,DataViz!$B4,'Supply planning data'!$C:$C,DataViz!$A$1))</f>
        <v>0</v>
      </c>
      <c r="AJ4" s="230">
        <f>IF($A$1="All",SUMIFS('Supply planning data'!$AK:$AK,'Supply planning data'!$D:$D,DataViz!$B4),SUMIFS('Supply planning data'!$AK:$AK,'Supply planning data'!$D:$D,DataViz!$B4,'Supply planning data'!$C:$C,DataViz!$A$1))</f>
        <v>0</v>
      </c>
      <c r="AK4" s="230">
        <f>IF($A$1="All",SUMIFS('Supply planning data'!$AH:$AH,'Supply planning data'!$D:$D,DataViz!$B4),SUMIFS('Supply planning data'!$AH:$AH,'Supply planning data'!$D:$D,DataViz!$B4,'Supply planning data'!$C:$C,DataViz!$A$1))</f>
        <v>0</v>
      </c>
      <c r="AL4" s="230"/>
      <c r="AM4" s="230" t="e">
        <f>IF(IF($A$1="All",SUMIFS('Supply planning data'!$AJ:$AJ,'Supply planning data'!$D:$D,DataViz!$B4),SUMIFS('Supply planning data'!$AJ:$AJ,'Supply planning data'!$D:$D,DataViz!$B4,'Supply planning data'!$C:$C,DataViz!$A$1))&lt;=0,NA(),IF($A$1="All",SUMIFS('Supply planning data'!$AJ:$AJ,'Supply planning data'!$D:$D,DataViz!$B4),SUMIFS('Supply planning data'!$AJ:$AJ,'Supply planning data'!$D:$D,DataViz!$B4,'Supply planning data'!$C:$C,DataViz!$A$1)))</f>
        <v>#N/A</v>
      </c>
      <c r="AN4" s="230">
        <f>IF($A$1="All",SUMIFS('Supply planning data'!$AN:$AN,'Supply planning data'!$D:$D,DataViz!$B4),SUMIFS('Supply planning data'!$AN:$AN,'Supply planning data'!$D:$D,DataViz!$B4,'Supply planning data'!$C:$C,DataViz!$A$1))</f>
        <v>0</v>
      </c>
      <c r="AO4" s="231" t="e">
        <f>IF($J4+K4+IF($A$1="All",SUMIFS('Supply planning data'!$AJ:$AJ,'Supply planning data'!$D:$D,DataViz!$B4),SUMIFS('Supply planning data'!$AJ:$AJ,'Supply planning data'!$D:$D,DataViz!$B4,'Supply planning data'!$C:$C,DataViz!$A$1))&lt;=0,NA(),$J4+K4+IF($A$1="All",SUMIFS('Supply planning data'!$AJ:$AJ,'Supply planning data'!$D:$D,DataViz!$B4),SUMIFS('Supply planning data'!$AJ:$AJ,'Supply planning data'!$D:$D,DataViz!$B4,'Supply planning data'!$C:$C,DataViz!$A$1)))</f>
        <v>#N/A</v>
      </c>
      <c r="AP4">
        <f>IF($A$1="All",SUMIFS('Supply planning data'!AM:AM,'Supply planning data'!$D:$D,DataViz!$B4),SUMIFS('Supply planning data'!AM:AM,'Supply planning data'!$D:$D,DataViz!$B4,'Supply planning data'!$C:$C,DataViz!$A$1))</f>
        <v>0</v>
      </c>
      <c r="AQ4" s="229">
        <f t="shared" ref="AQ4:AQ5" si="4">AR4/$C4</f>
        <v>0</v>
      </c>
      <c r="AR4" s="230">
        <f>SUMIFS('Supply planning data'!AH:AH,'Supply planning data'!$D:$D,"&lt;="&amp;DataViz!$B1,'Supply planning data'!$C:$C,"Jansen")+(SUMIFS('Supply planning data'!AH:AH,'Supply planning data'!$D:$D,"&lt;="&amp;DataViz!$B1,'Supply planning data'!$C:$C,"&lt;&gt;Jansen")/2)+D4</f>
        <v>0</v>
      </c>
    </row>
    <row r="5" spans="1:44" x14ac:dyDescent="0.25">
      <c r="A5" s="353">
        <v>0</v>
      </c>
      <c r="B5" s="21">
        <f>DATE(YEAR(B6),MONTH(B6)-1,1)</f>
        <v>44256</v>
      </c>
      <c r="C5" s="22">
        <f>IF(VLOOKUP(Dashboard!$M$6,Start!$B$10:$E$12,4,FALSE)&gt;0,VLOOKUP(Dashboard!$M$6,Start!$B$10:$E$12,4, FALSE),VLOOKUP(Dashboard!$M$6,Start!$B$10:$E$12,3, FALSE))</f>
        <v>60000000</v>
      </c>
      <c r="D5" s="22">
        <f>IF($A$1="Jansen",SUMIFS('Supply planning data'!G:G,'Supply planning data'!$D:$D,"&lt;="&amp;DataViz!$B5,'Supply planning data'!$C:$C,"jansen"),IF($A$1="All",SUMIFS('Supply planning data'!H:H,'Supply planning data'!$D:$D,"&lt;="&amp;DataViz!$B5)+SUMIFS('Supply planning data'!G:G,'Supply planning data'!$D:$D,"&lt;="&amp;DataViz!$B5,'Supply planning data'!$C:$C,"Jansen"),SUMIFS('Supply planning data'!H:H,'Supply planning data'!$D:$D,"&lt;="&amp;DataViz!$B5,'Supply planning data'!$C:$C,DataViz!$A$1)))</f>
        <v>0</v>
      </c>
      <c r="E5" s="23">
        <f t="shared" si="0"/>
        <v>0</v>
      </c>
      <c r="F5" s="14">
        <f>IF($A$1="All",SUMIFS('Supply planning data'!F:F,'Supply planning data'!$D:$D,DataViz!$B5),SUMIFS('Supply planning data'!F:F,'Supply planning data'!$D:$D,DataViz!$B5,'Supply planning data'!$C:$C,DataViz!$A$1))</f>
        <v>0</v>
      </c>
      <c r="G5" s="14">
        <f>IF($A$1="All",SUMIFS('Supply planning data'!G:G,'Supply planning data'!$D:$D,DataViz!$B5),SUMIFS('Supply planning data'!G:G,'Supply planning data'!$D:$D,DataViz!$B5,'Supply planning data'!$C:$C,DataViz!$A$1))</f>
        <v>0</v>
      </c>
      <c r="H5" s="14">
        <f>IF($A$1="All",SUMIFS('Supply planning data'!H:H,'Supply planning data'!$D:$D,DataViz!$B5),SUMIFS('Supply planning data'!H:H,'Supply planning data'!$D:$D,DataViz!$B5,'Supply planning data'!$C:$C,DataViz!$A$1))</f>
        <v>0</v>
      </c>
      <c r="I5" s="14">
        <f>IF($A$1="All",SUMIFS('Supply planning data'!I:I,'Supply planning data'!$D:$D,DataViz!$B5),SUMIFS('Supply planning data'!I:I,'Supply planning data'!$D:$D,DataViz!$B5,'Supply planning data'!$C:$C,DataViz!$A$1))</f>
        <v>0</v>
      </c>
      <c r="J5" s="14">
        <f>IF($A$1="All",SUMIFS('Supply planning data'!J:J,'Supply planning data'!$D:$D,DataViz!$B5),SUMIFS('Supply planning data'!J:J,'Supply planning data'!$D:$D,DataViz!$B5,'Supply planning data'!$C:$C,DataViz!$A$1))</f>
        <v>0</v>
      </c>
      <c r="K5" s="14">
        <f>IF($A$1="All",SUMIFS('Supply planning data'!L:L,'Supply planning data'!$D:$D,DataViz!$B5),SUMIFS('Supply planning data'!L:L,'Supply planning data'!$D:$D,DataViz!$B5,'Supply planning data'!$C:$C,DataViz!$A$1))</f>
        <v>0</v>
      </c>
      <c r="L5" s="14">
        <f>IF($A$1="All",SUMIFS('Supply planning data'!K:K,'Supply planning data'!$D:$D,DataViz!$B5),SUMIFS('Supply planning data'!K:K,'Supply planning data'!$D:$D,DataViz!$B5,'Supply planning data'!$C:$C,DataViz!$A$1))</f>
        <v>0</v>
      </c>
      <c r="M5" s="14" t="e">
        <f>IF(IF($A$1="All",SUMIFS('Supply planning data'!M:M,'Supply planning data'!$D:$D,DataViz!$B5),SUMIFS('Supply planning data'!M:M,'Supply planning data'!$D:$D,DataViz!$B5,'Supply planning data'!$C:$C,DataViz!$A$1))&lt;=0,NA(),IF($A$1="All",SUMIFS('Supply planning data'!M:M,'Supply planning data'!$D:$D,DataViz!$B5),SUMIFS('Supply planning data'!M:M,'Supply planning data'!$D:$D,DataViz!$B5,'Supply planning data'!$C:$C,DataViz!$A$1)))</f>
        <v>#N/A</v>
      </c>
      <c r="N5" s="14">
        <f>IF($A$1="All",SUMIFS('Supply planning data'!N:N,'Supply planning data'!$D:$D,DataViz!$B5),SUMIFS('Supply planning data'!N:N,'Supply planning data'!$D:$D,DataViz!$B5,'Supply planning data'!$C:$C,DataViz!$A$1))+IF($A$1="All",SUMIFS('Supply planning data'!P:P,'Supply planning data'!$D:$D,DataViz!$B5),SUMIFS('Supply planning data'!P:P,'Supply planning data'!$D:$D,DataViz!$B5,'Supply planning data'!$C:$C,DataViz!$A$1))</f>
        <v>0</v>
      </c>
      <c r="O5" s="14">
        <f>IF($A$1="All",SUMIFS('Supply planning data'!R:R,'Supply planning data'!$D:$D,DataViz!$B5),SUMIFS('Supply planning data'!R:R,'Supply planning data'!$D:$D,DataViz!$B5,'Supply planning data'!$C:$C,DataViz!$A$1))</f>
        <v>35000</v>
      </c>
      <c r="P5" s="14">
        <f>IF($A$1="All",SUMIFS('Supply planning data'!S:S,'Supply planning data'!$D:$D,DataViz!$B5),SUMIFS('Supply planning data'!S:S,'Supply planning data'!$D:$D,DataViz!$B5,'Supply planning data'!$C:$C,DataViz!$A$1))</f>
        <v>0</v>
      </c>
      <c r="Q5" s="14">
        <f>IF($A$1="All",SUMIFS('Supply planning data'!T:T,'Supply planning data'!$D:$D,DataViz!$B5),SUMIFS('Supply planning data'!T:T,'Supply planning data'!$D:$D,DataViz!$B5,'Supply planning data'!$C:$C,DataViz!$A$1))</f>
        <v>0</v>
      </c>
      <c r="R5" s="14">
        <f>IF($A$1="All",SUMIFS('Supply planning data'!U:U,'Supply planning data'!$D:$D,DataViz!$B5),SUMIFS('Supply planning data'!U:U,'Supply planning data'!$D:$D,DataViz!$B5,'Supply planning data'!$C:$C,DataViz!$A$1))</f>
        <v>0</v>
      </c>
      <c r="S5" s="14">
        <f>IF($A$1="All",SUMIFS('Supply planning data'!V:V,'Supply planning data'!$D:$D,DataViz!$B5),SUMIFS('Supply planning data'!V:V,'Supply planning data'!$D:$D,DataViz!$B5,'Supply planning data'!$C:$C,DataViz!$A$1))</f>
        <v>35000</v>
      </c>
      <c r="T5" s="351"/>
      <c r="U5" s="14">
        <f>IF($A$1="All",SUMIFS('Supply planning data'!Y:Y,'Supply planning data'!$D:$D,DataViz!$B5),SUMIFS('Supply planning data'!Y:Y,'Supply planning data'!$D:$D,DataViz!$B5,'Supply planning data'!$C:$C,DataViz!$A$1))</f>
        <v>0</v>
      </c>
      <c r="V5" s="24">
        <f t="shared" si="1"/>
        <v>0</v>
      </c>
      <c r="W5" s="350" t="e">
        <f t="shared" si="2"/>
        <v>#N/A</v>
      </c>
      <c r="X5" s="352"/>
      <c r="Y5" s="14">
        <f>IF($A$1="All",SUMIFS('Supply planning data'!$X:$X,'Supply planning data'!$D:$D,DataViz!$B5),SUMIFS('Supply planning data'!$X:$X,'Supply planning data'!$D:$D,DataViz!$B5,'Supply planning data'!$C:$C,DataViz!$A$1))</f>
        <v>0</v>
      </c>
      <c r="Z5" s="14">
        <f>IF($A$1="All",SUMIFS('Supply planning data'!$AB:$AB,'Supply planning data'!$D:$D,DataViz!$B5),SUMIFS('Supply planning data'!$AB:$AB,'Supply planning data'!$D:$D,DataViz!$B5,'Supply planning data'!$C:$C,DataViz!$A$1))</f>
        <v>0</v>
      </c>
      <c r="AA5" s="14">
        <f>IF($A$1="All",SUMIFS('Supply planning data'!$Y:$Y,'Supply planning data'!$D:$D,DataViz!$B5),SUMIFS('Supply planning data'!$Y:$Y,'Supply planning data'!$D:$D,DataViz!$B5,'Supply planning data'!$C:$C,DataViz!$A$1))</f>
        <v>0</v>
      </c>
      <c r="AB5" s="14"/>
      <c r="AC5" s="14" t="e">
        <f>IF(IF($A$1="All",SUMIFS('Supply planning data'!$AA:$AA,'Supply planning data'!$D:$D,DataViz!$B5),SUMIFS('Supply planning data'!$AA:$AA,'Supply planning data'!$D:$D,DataViz!$B5,'Supply planning data'!$C:$C,DataViz!$A$1))&lt;=0,NA(),IF($A$1="All",SUMIFS('Supply planning data'!$AA:$AA,'Supply planning data'!$D:$D,DataViz!$B5),SUMIFS('Supply planning data'!$AA:$AA,'Supply planning data'!$D:$D,DataViz!$B5,'Supply planning data'!$C:$C,DataViz!$A$1)))</f>
        <v>#N/A</v>
      </c>
      <c r="AD5" s="14">
        <f>IF($A$1="All",SUMIFS('Supply planning data'!$AE:$AE,'Supply planning data'!$D:$D,DataViz!$B5),SUMIFS('Supply planning data'!$AE:$AE,'Supply planning data'!$D:$D,DataViz!$B5,'Supply planning data'!$C:$C,DataViz!$A$1))</f>
        <v>35000</v>
      </c>
      <c r="AE5" s="18" t="e">
        <f>IF($J5+K5+IF($A$1="All",SUMIFS('Supply planning data'!$AJ:$AJ,'Supply planning data'!$D:$D,DataViz!$B5),SUMIFS('Supply planning data'!$AJ:$AJ,'Supply planning data'!$D:$D,DataViz!$B5,'Supply planning data'!$C:$C,DataViz!$A$1))&lt;=0,NA(),$J5+K5+IF($A$1="All",SUMIFS('Supply planning data'!$AJ:$AJ,'Supply planning data'!$D:$D,DataViz!$B5),SUMIFS('Supply planning data'!$AJ:$AJ,'Supply planning data'!$D:$D,DataViz!$B5,'Supply planning data'!$C:$C,DataViz!$A$1)))</f>
        <v>#N/A</v>
      </c>
      <c r="AF5">
        <f>IF($A$1="All",SUMIFS('Supply planning data'!AD:AD,'Supply planning data'!$D:$D,DataViz!$B5),SUMIFS('Supply planning data'!AD:AD,'Supply planning data'!$D:$D,DataViz!$B5,'Supply planning data'!$C:$C,DataViz!$A$1))</f>
        <v>0</v>
      </c>
      <c r="AG5" s="229">
        <f t="shared" si="3"/>
        <v>0</v>
      </c>
      <c r="AH5" s="230">
        <f>SUMIFS('Supply planning data'!Y:Y,'Supply planning data'!$D:$D,"&lt;="&amp;DataViz!$B2,'Supply planning data'!$C:$C,"Jansen")+(SUMIFS('Supply planning data'!Y:Y,'Supply planning data'!$D:$D,"&lt;="&amp;DataViz!$B2,'Supply planning data'!$C:$C,"&lt;&gt;Jansen")/2)+D5</f>
        <v>0</v>
      </c>
      <c r="AI5" s="230">
        <f>IF($A$1="All",SUMIFS('Supply planning data'!$AG:$AG,'Supply planning data'!$D:$D,DataViz!$B5),SUMIFS('Supply planning data'!$AG:$AG,'Supply planning data'!$D:$D,DataViz!$B5,'Supply planning data'!$C:$C,DataViz!$A$1))</f>
        <v>0</v>
      </c>
      <c r="AJ5" s="230">
        <f>IF($A$1="All",SUMIFS('Supply planning data'!$AK:$AK,'Supply planning data'!$D:$D,DataViz!$B5),SUMIFS('Supply planning data'!$AK:$AK,'Supply planning data'!$D:$D,DataViz!$B5,'Supply planning data'!$C:$C,DataViz!$A$1))</f>
        <v>0</v>
      </c>
      <c r="AK5" s="230">
        <f>IF($A$1="All",SUMIFS('Supply planning data'!$AH:$AH,'Supply planning data'!$D:$D,DataViz!$B5),SUMIFS('Supply planning data'!$AH:$AH,'Supply planning data'!$D:$D,DataViz!$B5,'Supply planning data'!$C:$C,DataViz!$A$1))</f>
        <v>0</v>
      </c>
      <c r="AL5" s="230"/>
      <c r="AM5" s="230" t="e">
        <f>IF(IF($A$1="All",SUMIFS('Supply planning data'!$AJ:$AJ,'Supply planning data'!$D:$D,DataViz!$B5),SUMIFS('Supply planning data'!$AJ:$AJ,'Supply planning data'!$D:$D,DataViz!$B5,'Supply planning data'!$C:$C,DataViz!$A$1))&lt;=0,NA(),IF($A$1="All",SUMIFS('Supply planning data'!$AJ:$AJ,'Supply planning data'!$D:$D,DataViz!$B5),SUMIFS('Supply planning data'!$AJ:$AJ,'Supply planning data'!$D:$D,DataViz!$B5,'Supply planning data'!$C:$C,DataViz!$A$1)))</f>
        <v>#N/A</v>
      </c>
      <c r="AN5" s="230">
        <f>IF($A$1="All",SUMIFS('Supply planning data'!$AN:$AN,'Supply planning data'!$D:$D,DataViz!$B5),SUMIFS('Supply planning data'!$AN:$AN,'Supply planning data'!$D:$D,DataViz!$B5,'Supply planning data'!$C:$C,DataViz!$A$1))</f>
        <v>35000</v>
      </c>
      <c r="AO5" s="231" t="e">
        <f>IF($J5+K5+IF($A$1="All",SUMIFS('Supply planning data'!$AJ:$AJ,'Supply planning data'!$D:$D,DataViz!$B5),SUMIFS('Supply planning data'!$AJ:$AJ,'Supply planning data'!$D:$D,DataViz!$B5,'Supply planning data'!$C:$C,DataViz!$A$1))&lt;=0,NA(),$J5+K5+IF($A$1="All",SUMIFS('Supply planning data'!$AJ:$AJ,'Supply planning data'!$D:$D,DataViz!$B5),SUMIFS('Supply planning data'!$AJ:$AJ,'Supply planning data'!$D:$D,DataViz!$B5,'Supply planning data'!$C:$C,DataViz!$A$1)))</f>
        <v>#N/A</v>
      </c>
      <c r="AP5">
        <f>IF($A$1="All",SUMIFS('Supply planning data'!AM:AM,'Supply planning data'!$D:$D,DataViz!$B5),SUMIFS('Supply planning data'!AM:AM,'Supply planning data'!$D:$D,DataViz!$B5,'Supply planning data'!$C:$C,DataViz!$A$1))</f>
        <v>0</v>
      </c>
      <c r="AQ5" s="229">
        <f t="shared" si="4"/>
        <v>0</v>
      </c>
      <c r="AR5" s="230">
        <f>SUMIFS('Supply planning data'!AH:AH,'Supply planning data'!$D:$D,"&lt;="&amp;DataViz!$B2,'Supply planning data'!$C:$C,"Jansen")+(SUMIFS('Supply planning data'!AH:AH,'Supply planning data'!$D:$D,"&lt;="&amp;DataViz!$B2,'Supply planning data'!$C:$C,"&lt;&gt;Jansen")/2)+D5</f>
        <v>0</v>
      </c>
    </row>
    <row r="6" spans="1:44" x14ac:dyDescent="0.25">
      <c r="A6" s="20">
        <v>1</v>
      </c>
      <c r="B6" s="21">
        <f>Dashboard!C$6</f>
        <v>44287</v>
      </c>
      <c r="C6" s="22">
        <f>IF(VLOOKUP(Dashboard!$M$6,Start!$B$10:$E$12,4,FALSE)&gt;0,VLOOKUP(Dashboard!$M$6,Start!$B$10:$E$12,4, FALSE),VLOOKUP(Dashboard!$M$6,Start!$B$10:$E$12,3, FALSE))</f>
        <v>60000000</v>
      </c>
      <c r="D6" s="22">
        <f>IF($A$1="Jansen",SUMIFS('Supply planning data'!G:G,'Supply planning data'!$D:$D,"&lt;="&amp;DataViz!$B6,'Supply planning data'!$C:$C,"jansen"),IF($A$1="All",SUMIFS('Supply planning data'!H:H,'Supply planning data'!$D:$D,"&lt;="&amp;DataViz!$B6)+SUMIFS('Supply planning data'!G:G,'Supply planning data'!$D:$D,"&lt;="&amp;DataViz!$B6,'Supply planning data'!$C:$C,"Jansen"),SUMIFS('Supply planning data'!H:H,'Supply planning data'!$D:$D,"&lt;="&amp;DataViz!$B6,'Supply planning data'!$C:$C,DataViz!$A$1)))</f>
        <v>0</v>
      </c>
      <c r="E6" s="23">
        <f>D6/C6</f>
        <v>0</v>
      </c>
      <c r="F6" s="14">
        <f>IF($A$1="All",SUMIFS('Supply planning data'!F:F,'Supply planning data'!$D:$D,DataViz!$B6),SUMIFS('Supply planning data'!F:F,'Supply planning data'!$D:$D,DataViz!$B6,'Supply planning data'!$C:$C,DataViz!$A$1))</f>
        <v>35000</v>
      </c>
      <c r="G6" s="14">
        <f>IF($A$1="All",SUMIFS('Supply planning data'!G:G,'Supply planning data'!$D:$D,DataViz!$B6),SUMIFS('Supply planning data'!G:G,'Supply planning data'!$D:$D,DataViz!$B6,'Supply planning data'!$C:$C,DataViz!$A$1))</f>
        <v>0</v>
      </c>
      <c r="H6" s="14">
        <f>IF($A$1="All",SUMIFS('Supply planning data'!H:H,'Supply planning data'!$D:$D,DataViz!$B6),SUMIFS('Supply planning data'!H:H,'Supply planning data'!$D:$D,DataViz!$B6,'Supply planning data'!$C:$C,DataViz!$A$1))</f>
        <v>0</v>
      </c>
      <c r="I6" s="14">
        <f>IF($A$1="All",SUMIFS('Supply planning data'!I:I,'Supply planning data'!$D:$D,DataViz!$B6),SUMIFS('Supply planning data'!I:I,'Supply planning data'!$D:$D,DataViz!$B6,'Supply planning data'!$C:$C,DataViz!$A$1))</f>
        <v>0</v>
      </c>
      <c r="J6" s="14">
        <f>IF($A$1="All",SUMIFS('Supply planning data'!J:J,'Supply planning data'!$D:$D,DataViz!$B6),SUMIFS('Supply planning data'!J:J,'Supply planning data'!$D:$D,DataViz!$B6,'Supply planning data'!$C:$C,DataViz!$A$1))</f>
        <v>0</v>
      </c>
      <c r="K6" s="14">
        <f>IF($A$1="All",SUMIFS('Supply planning data'!L:L,'Supply planning data'!$D:$D,DataViz!$B6),SUMIFS('Supply planning data'!L:L,'Supply planning data'!$D:$D,DataViz!$B6,'Supply planning data'!$C:$C,DataViz!$A$1))</f>
        <v>0</v>
      </c>
      <c r="L6" s="14">
        <f>IF($A$1="All",SUMIFS('Supply planning data'!K:K,'Supply planning data'!$D:$D,DataViz!$B6),SUMIFS('Supply planning data'!K:K,'Supply planning data'!$D:$D,DataViz!$B6,'Supply planning data'!$C:$C,DataViz!$A$1))</f>
        <v>0</v>
      </c>
      <c r="M6" s="14" t="e">
        <f>IF(IF($A$1="All",SUMIFS('Supply planning data'!M:M,'Supply planning data'!$D:$D,DataViz!$B6),SUMIFS('Supply planning data'!M:M,'Supply planning data'!$D:$D,DataViz!$B6,'Supply planning data'!$C:$C,DataViz!$A$1))&lt;=0,NA(),IF($A$1="All",SUMIFS('Supply planning data'!M:M,'Supply planning data'!$D:$D,DataViz!$B6),SUMIFS('Supply planning data'!M:M,'Supply planning data'!$D:$D,DataViz!$B6,'Supply planning data'!$C:$C,DataViz!$A$1)))</f>
        <v>#N/A</v>
      </c>
      <c r="N6" s="14">
        <f>IF($A$1="All",SUMIFS('Supply planning data'!N:N,'Supply planning data'!$D:$D,DataViz!$B6),SUMIFS('Supply planning data'!N:N,'Supply planning data'!$D:$D,DataViz!$B6,'Supply planning data'!$C:$C,DataViz!$A$1))+IF($A$1="All",SUMIFS('Supply planning data'!P:P,'Supply planning data'!$D:$D,DataViz!$B6),SUMIFS('Supply planning data'!P:P,'Supply planning data'!$D:$D,DataViz!$B6,'Supply planning data'!$C:$C,DataViz!$A$1))</f>
        <v>0</v>
      </c>
      <c r="O6" s="14">
        <f>IF($A$1="All",SUMIFS('Supply planning data'!R:R,'Supply planning data'!$D:$D,DataViz!$B6),SUMIFS('Supply planning data'!R:R,'Supply planning data'!$D:$D,DataViz!$B6,'Supply planning data'!$C:$C,DataViz!$A$1))</f>
        <v>355300</v>
      </c>
      <c r="P6" s="14">
        <f>IF($A$1="All",SUMIFS('Supply planning data'!S:S,'Supply planning data'!$D:$D,DataViz!$B6),SUMIFS('Supply planning data'!S:S,'Supply planning data'!$D:$D,DataViz!$B6,'Supply planning data'!$C:$C,DataViz!$A$1))</f>
        <v>0</v>
      </c>
      <c r="Q6" s="14">
        <f>IF($A$1="All",SUMIFS('Supply planning data'!T:T,'Supply planning data'!$D:$D,DataViz!$B6),SUMIFS('Supply planning data'!T:T,'Supply planning data'!$D:$D,DataViz!$B6,'Supply planning data'!$C:$C,DataViz!$A$1))</f>
        <v>0</v>
      </c>
      <c r="R6" s="14">
        <f>IF($A$1="All",SUMIFS('Supply planning data'!U:U,'Supply planning data'!$D:$D,DataViz!$B6),SUMIFS('Supply planning data'!U:U,'Supply planning data'!$D:$D,DataViz!$B6,'Supply planning data'!$C:$C,DataViz!$A$1))</f>
        <v>0</v>
      </c>
      <c r="S6" s="14">
        <f>IF($A$1="All",SUMIFS('Supply planning data'!V:V,'Supply planning data'!$D:$D,DataViz!$B6),SUMIFS('Supply planning data'!V:V,'Supply planning data'!$D:$D,DataViz!$B6,'Supply planning data'!$C:$C,DataViz!$A$1))</f>
        <v>390300</v>
      </c>
      <c r="T6" s="14"/>
      <c r="U6" s="14">
        <f>IF($A$1="All",SUMIFS('Supply planning data'!Y:Y,'Supply planning data'!$D:$D,DataViz!$B6),SUMIFS('Supply planning data'!Y:Y,'Supply planning data'!$D:$D,DataViz!$B6,'Supply planning data'!$C:$C,DataViz!$A$1))</f>
        <v>0</v>
      </c>
      <c r="V6" s="24">
        <f>D6</f>
        <v>0</v>
      </c>
      <c r="W6" s="350" t="e">
        <f t="shared" si="2"/>
        <v>#N/A</v>
      </c>
      <c r="Y6" s="14">
        <f>IF($A$1="All",SUMIFS('Supply planning data'!$X:$X,'Supply planning data'!$D:$D,DataViz!$B6),SUMIFS('Supply planning data'!$X:$X,'Supply planning data'!$D:$D,DataViz!$B6,'Supply planning data'!$C:$C,DataViz!$A$1))</f>
        <v>35000</v>
      </c>
      <c r="Z6" s="14">
        <f>IF($A$1="All",SUMIFS('Supply planning data'!$AB:$AB,'Supply planning data'!$D:$D,DataViz!$B6),SUMIFS('Supply planning data'!$AB:$AB,'Supply planning data'!$D:$D,DataViz!$B6,'Supply planning data'!$C:$C,DataViz!$A$1))</f>
        <v>0</v>
      </c>
      <c r="AA6" s="14">
        <f>IF($A$1="All",SUMIFS('Supply planning data'!$Y:$Y,'Supply planning data'!$D:$D,DataViz!$B6),SUMIFS('Supply planning data'!$Y:$Y,'Supply planning data'!$D:$D,DataViz!$B6,'Supply planning data'!$C:$C,DataViz!$A$1))</f>
        <v>0</v>
      </c>
      <c r="AB6" s="14"/>
      <c r="AC6" s="14" t="e">
        <f>IF(IF($A$1="All",SUMIFS('Supply planning data'!$AA:$AA,'Supply planning data'!$D:$D,DataViz!$B6),SUMIFS('Supply planning data'!$AA:$AA,'Supply planning data'!$D:$D,DataViz!$B6,'Supply planning data'!$C:$C,DataViz!$A$1))&lt;=0,NA(),IF($A$1="All",SUMIFS('Supply planning data'!$AA:$AA,'Supply planning data'!$D:$D,DataViz!$B6),SUMIFS('Supply planning data'!$AA:$AA,'Supply planning data'!$D:$D,DataViz!$B6,'Supply planning data'!$C:$C,DataViz!$A$1)))</f>
        <v>#N/A</v>
      </c>
      <c r="AD6" s="14">
        <f>IF($A$1="All",SUMIFS('Supply planning data'!$AE:$AE,'Supply planning data'!$D:$D,DataViz!$B6),SUMIFS('Supply planning data'!$AE:$AE,'Supply planning data'!$D:$D,DataViz!$B6,'Supply planning data'!$C:$C,DataViz!$A$1))</f>
        <v>390300</v>
      </c>
      <c r="AE6" s="18" t="e">
        <f>IF($J6+K6+IF($A$1="All",SUMIFS('Supply planning data'!$AJ:$AJ,'Supply planning data'!$D:$D,DataViz!$B6),SUMIFS('Supply planning data'!$AJ:$AJ,'Supply planning data'!$D:$D,DataViz!$B6,'Supply planning data'!$C:$C,DataViz!$A$1))&lt;=0,NA(),$J6+K6+IF($A$1="All",SUMIFS('Supply planning data'!$AJ:$AJ,'Supply planning data'!$D:$D,DataViz!$B6),SUMIFS('Supply planning data'!$AJ:$AJ,'Supply planning data'!$D:$D,DataViz!$B6,'Supply planning data'!$C:$C,DataViz!$A$1)))</f>
        <v>#N/A</v>
      </c>
      <c r="AF6">
        <f>IF($A$1="All",SUMIFS('Supply planning data'!AD:AD,'Supply planning data'!$D:$D,DataViz!$B6),SUMIFS('Supply planning data'!AD:AD,'Supply planning data'!$D:$D,DataViz!$B6,'Supply planning data'!$C:$C,DataViz!$A$1))</f>
        <v>0</v>
      </c>
      <c r="AG6" s="229">
        <f t="shared" ref="AG6:AG29" si="5">AH6/$C6</f>
        <v>0</v>
      </c>
      <c r="AH6" s="230">
        <f>SUMIFS('Supply planning data'!Y:Y,'Supply planning data'!$D:$D,"&lt;="&amp;DataViz!$B3,'Supply planning data'!$C:$C,"Jansen")+(SUMIFS('Supply planning data'!Y:Y,'Supply planning data'!$D:$D,"&lt;="&amp;DataViz!$B3,'Supply planning data'!$C:$C,"&lt;&gt;Jansen")/2)+D6</f>
        <v>0</v>
      </c>
      <c r="AI6" s="230">
        <f>IF($A$1="All",SUMIFS('Supply planning data'!$AG:$AG,'Supply planning data'!$D:$D,DataViz!$B6),SUMIFS('Supply planning data'!$AG:$AG,'Supply planning data'!$D:$D,DataViz!$B6,'Supply planning data'!$C:$C,DataViz!$A$1))</f>
        <v>35000</v>
      </c>
      <c r="AJ6" s="230">
        <f>IF($A$1="All",SUMIFS('Supply planning data'!$AK:$AK,'Supply planning data'!$D:$D,DataViz!$B6),SUMIFS('Supply planning data'!$AK:$AK,'Supply planning data'!$D:$D,DataViz!$B6,'Supply planning data'!$C:$C,DataViz!$A$1))</f>
        <v>0</v>
      </c>
      <c r="AK6" s="230">
        <f>IF($A$1="All",SUMIFS('Supply planning data'!$AH:$AH,'Supply planning data'!$D:$D,DataViz!$B6),SUMIFS('Supply planning data'!$AH:$AH,'Supply planning data'!$D:$D,DataViz!$B6,'Supply planning data'!$C:$C,DataViz!$A$1))</f>
        <v>0</v>
      </c>
      <c r="AL6" s="230"/>
      <c r="AM6" s="230" t="e">
        <f>IF(IF($A$1="All",SUMIFS('Supply planning data'!$AJ:$AJ,'Supply planning data'!$D:$D,DataViz!$B6),SUMIFS('Supply planning data'!$AJ:$AJ,'Supply planning data'!$D:$D,DataViz!$B6,'Supply planning data'!$C:$C,DataViz!$A$1))&lt;=0,NA(),IF($A$1="All",SUMIFS('Supply planning data'!$AJ:$AJ,'Supply planning data'!$D:$D,DataViz!$B6),SUMIFS('Supply planning data'!$AJ:$AJ,'Supply planning data'!$D:$D,DataViz!$B6,'Supply planning data'!$C:$C,DataViz!$A$1)))</f>
        <v>#N/A</v>
      </c>
      <c r="AN6" s="230">
        <f>IF($A$1="All",SUMIFS('Supply planning data'!$AN:$AN,'Supply planning data'!$D:$D,DataViz!$B6),SUMIFS('Supply planning data'!$AN:$AN,'Supply planning data'!$D:$D,DataViz!$B6,'Supply planning data'!$C:$C,DataViz!$A$1))</f>
        <v>390300</v>
      </c>
      <c r="AO6" s="231" t="e">
        <f>IF($J6+K6+IF($A$1="All",SUMIFS('Supply planning data'!$AJ:$AJ,'Supply planning data'!$D:$D,DataViz!$B6),SUMIFS('Supply planning data'!$AJ:$AJ,'Supply planning data'!$D:$D,DataViz!$B6,'Supply planning data'!$C:$C,DataViz!$A$1))&lt;=0,NA(),$J6+K6+IF($A$1="All",SUMIFS('Supply planning data'!$AJ:$AJ,'Supply planning data'!$D:$D,DataViz!$B6),SUMIFS('Supply planning data'!$AJ:$AJ,'Supply planning data'!$D:$D,DataViz!$B6,'Supply planning data'!$C:$C,DataViz!$A$1)))</f>
        <v>#N/A</v>
      </c>
      <c r="AP6">
        <f>IF($A$1="All",SUMIFS('Supply planning data'!AM:AM,'Supply planning data'!$D:$D,DataViz!$B6),SUMIFS('Supply planning data'!AM:AM,'Supply planning data'!$D:$D,DataViz!$B6,'Supply planning data'!$C:$C,DataViz!$A$1))</f>
        <v>0</v>
      </c>
      <c r="AQ6" s="229">
        <f t="shared" ref="AQ6:AQ29" si="6">AR6/$C6</f>
        <v>0</v>
      </c>
      <c r="AR6" s="230">
        <f>SUMIFS('Supply planning data'!AH:AH,'Supply planning data'!$D:$D,"&lt;="&amp;DataViz!$B3,'Supply planning data'!$C:$C,"Jansen")+(SUMIFS('Supply planning data'!AH:AH,'Supply planning data'!$D:$D,"&lt;="&amp;DataViz!$B3,'Supply planning data'!$C:$C,"&lt;&gt;Jansen")/2)+D6</f>
        <v>0</v>
      </c>
    </row>
    <row r="7" spans="1:44" x14ac:dyDescent="0.25">
      <c r="A7" s="20">
        <v>2</v>
      </c>
      <c r="B7" s="21">
        <f>DATE(YEAR(B6),MONTH(B6)+1,1)</f>
        <v>44317</v>
      </c>
      <c r="C7" s="22">
        <f>IF(VLOOKUP(Dashboard!$M$6,Start!$B$10:$E$12,4,FALSE)&gt;0,VLOOKUP(Dashboard!$M$6,Start!$B$10:$E$12,4, FALSE),VLOOKUP(Dashboard!$M$6,Start!$B$10:$E$12,3, FALSE))</f>
        <v>60000000</v>
      </c>
      <c r="D7" s="22">
        <f>IF($A$1="Jansen",SUMIFS('Supply planning data'!G:G,'Supply planning data'!$D:$D,"&lt;="&amp;DataViz!$B7,'Supply planning data'!$C:$C,"jansen"),IF($A$1="All",SUMIFS('Supply planning data'!H:H,'Supply planning data'!$D:$D,"&lt;="&amp;DataViz!$B7)+SUMIFS('Supply planning data'!G:G,'Supply planning data'!$D:$D,"&lt;="&amp;DataViz!$B7,'Supply planning data'!$C:$C,"Jansen"),SUMIFS('Supply planning data'!H:H,'Supply planning data'!$D:$D,"&lt;="&amp;DataViz!$B7,'Supply planning data'!$C:$C,DataViz!$A$1)))</f>
        <v>5</v>
      </c>
      <c r="E7" s="23">
        <f t="shared" ref="E7:E29" si="7">D7/C7</f>
        <v>8.3333333333333338E-8</v>
      </c>
      <c r="F7" s="14">
        <f>IF($A$1="All",SUMIFS('Supply planning data'!F:F,'Supply planning data'!$D:$D,DataViz!$B7),SUMIFS('Supply planning data'!F:F,'Supply planning data'!$D:$D,DataViz!$B7,'Supply planning data'!$C:$C,DataViz!$A$1))</f>
        <v>390300</v>
      </c>
      <c r="G7" s="14">
        <f>IF($A$1="All",SUMIFS('Supply planning data'!G:G,'Supply planning data'!$D:$D,DataViz!$B7),SUMIFS('Supply planning data'!G:G,'Supply planning data'!$D:$D,DataViz!$B7,'Supply planning data'!$C:$C,DataViz!$A$1))</f>
        <v>42440</v>
      </c>
      <c r="H7" s="14">
        <f>IF($A$1="All",SUMIFS('Supply planning data'!H:H,'Supply planning data'!$D:$D,DataViz!$B7),SUMIFS('Supply planning data'!H:H,'Supply planning data'!$D:$D,DataViz!$B7,'Supply planning data'!$C:$C,DataViz!$A$1))</f>
        <v>5</v>
      </c>
      <c r="I7" s="14">
        <f>IF($A$1="All",SUMIFS('Supply planning data'!I:I,'Supply planning data'!$D:$D,DataViz!$B7),SUMIFS('Supply planning data'!I:I,'Supply planning data'!$D:$D,DataViz!$B7,'Supply planning data'!$C:$C,DataViz!$A$1))</f>
        <v>0</v>
      </c>
      <c r="J7" s="14">
        <f>IF($A$1="All",SUMIFS('Supply planning data'!J:J,'Supply planning data'!$D:$D,DataViz!$B7),SUMIFS('Supply planning data'!J:J,'Supply planning data'!$D:$D,DataViz!$B7,'Supply planning data'!$C:$C,DataViz!$A$1))</f>
        <v>42445</v>
      </c>
      <c r="K7" s="14">
        <f>IF($A$1="All",SUMIFS('Supply planning data'!L:L,'Supply planning data'!$D:$D,DataViz!$B7),SUMIFS('Supply planning data'!L:L,'Supply planning data'!$D:$D,DataViz!$B7,'Supply planning data'!$C:$C,DataViz!$A$1))</f>
        <v>0</v>
      </c>
      <c r="L7" s="14">
        <f>IF($A$1="All",SUMIFS('Supply planning data'!K:K,'Supply planning data'!$D:$D,DataViz!$B7),SUMIFS('Supply planning data'!K:K,'Supply planning data'!$D:$D,DataViz!$B7,'Supply planning data'!$C:$C,DataViz!$A$1))</f>
        <v>0</v>
      </c>
      <c r="M7" s="14">
        <f>IF(IF($A$1="All",SUMIFS('Supply planning data'!M:M,'Supply planning data'!$D:$D,DataViz!$B7),SUMIFS('Supply planning data'!M:M,'Supply planning data'!$D:$D,DataViz!$B7,'Supply planning data'!$C:$C,DataViz!$A$1))&lt;=0,NA(),IF($A$1="All",SUMIFS('Supply planning data'!M:M,'Supply planning data'!$D:$D,DataViz!$B7),SUMIFS('Supply planning data'!M:M,'Supply planning data'!$D:$D,DataViz!$B7,'Supply planning data'!$C:$C,DataViz!$A$1)))</f>
        <v>42445</v>
      </c>
      <c r="N7" s="14">
        <f>IF($A$1="All",SUMIFS('Supply planning data'!N:N,'Supply planning data'!$D:$D,DataViz!$B7),SUMIFS('Supply planning data'!N:N,'Supply planning data'!$D:$D,DataViz!$B7,'Supply planning data'!$C:$C,DataViz!$A$1))+IF($A$1="All",SUMIFS('Supply planning data'!P:P,'Supply planning data'!$D:$D,DataViz!$B7),SUMIFS('Supply planning data'!P:P,'Supply planning data'!$D:$D,DataViz!$B7,'Supply planning data'!$C:$C,DataViz!$A$1))</f>
        <v>0</v>
      </c>
      <c r="O7" s="14">
        <f>IF($A$1="All",SUMIFS('Supply planning data'!R:R,'Supply planning data'!$D:$D,DataViz!$B7),SUMIFS('Supply planning data'!R:R,'Supply planning data'!$D:$D,DataViz!$B7,'Supply planning data'!$C:$C,DataViz!$A$1))</f>
        <v>0</v>
      </c>
      <c r="P7" s="14">
        <f>IF($A$1="All",SUMIFS('Supply planning data'!S:S,'Supply planning data'!$D:$D,DataViz!$B7),SUMIFS('Supply planning data'!S:S,'Supply planning data'!$D:$D,DataViz!$B7,'Supply planning data'!$C:$C,DataViz!$A$1))</f>
        <v>0</v>
      </c>
      <c r="Q7" s="14">
        <f>IF($A$1="All",SUMIFS('Supply planning data'!T:T,'Supply planning data'!$D:$D,DataViz!$B7),SUMIFS('Supply planning data'!T:T,'Supply planning data'!$D:$D,DataViz!$B7,'Supply planning data'!$C:$C,DataViz!$A$1))</f>
        <v>0</v>
      </c>
      <c r="R7" s="14">
        <f>IF($A$1="All",SUMIFS('Supply planning data'!U:U,'Supply planning data'!$D:$D,DataViz!$B7),SUMIFS('Supply planning data'!U:U,'Supply planning data'!$D:$D,DataViz!$B7,'Supply planning data'!$C:$C,DataViz!$A$1))</f>
        <v>0</v>
      </c>
      <c r="S7" s="14">
        <f>IF($A$1="All",SUMIFS('Supply planning data'!V:V,'Supply planning data'!$D:$D,DataViz!$B7),SUMIFS('Supply planning data'!V:V,'Supply planning data'!$D:$D,DataViz!$B7,'Supply planning data'!$C:$C,DataViz!$A$1))</f>
        <v>347855</v>
      </c>
      <c r="T7" s="14"/>
      <c r="U7" s="14">
        <f>IF($A$1="All",SUMIFS('Supply planning data'!Y:Y,'Supply planning data'!$D:$D,DataViz!$B7),SUMIFS('Supply planning data'!Y:Y,'Supply planning data'!$D:$D,DataViz!$B7,'Supply planning data'!$C:$C,DataViz!$A$1))</f>
        <v>0</v>
      </c>
      <c r="V7" s="14">
        <f t="shared" ref="V7:V29" si="8">IF(D7-D6=0,D7+U7,D7)</f>
        <v>5</v>
      </c>
      <c r="W7" s="350">
        <f t="shared" si="2"/>
        <v>24.586288137589822</v>
      </c>
      <c r="Y7" s="14">
        <f>IF($A$1="All",SUMIFS('Supply planning data'!$X:$X,'Supply planning data'!$D:$D,DataViz!$B7),SUMIFS('Supply planning data'!$X:$X,'Supply planning data'!$D:$D,DataViz!$B7,'Supply planning data'!$C:$C,DataViz!$A$1))</f>
        <v>390300</v>
      </c>
      <c r="Z7" s="14">
        <f>IF($A$1="All",SUMIFS('Supply planning data'!$AB:$AB,'Supply planning data'!$D:$D,DataViz!$B7),SUMIFS('Supply planning data'!$AB:$AB,'Supply planning data'!$D:$D,DataViz!$B7,'Supply planning data'!$C:$C,DataViz!$A$1))</f>
        <v>0</v>
      </c>
      <c r="AA7" s="14">
        <f>IF($A$1="All",SUMIFS('Supply planning data'!$Y:$Y,'Supply planning data'!$D:$D,DataViz!$B7),SUMIFS('Supply planning data'!$Y:$Y,'Supply planning data'!$D:$D,DataViz!$B7,'Supply planning data'!$C:$C,DataViz!$A$1))</f>
        <v>0</v>
      </c>
      <c r="AB7" s="14"/>
      <c r="AC7" s="14" t="e">
        <f>IF(IF($A$1="All",SUMIFS('Supply planning data'!$AA:$AA,'Supply planning data'!$D:$D,DataViz!$B7),SUMIFS('Supply planning data'!$AA:$AA,'Supply planning data'!$D:$D,DataViz!$B7,'Supply planning data'!$C:$C,DataViz!$A$1))&lt;=0,NA(),IF($A$1="All",SUMIFS('Supply planning data'!$AA:$AA,'Supply planning data'!$D:$D,DataViz!$B7),SUMIFS('Supply planning data'!$AA:$AA,'Supply planning data'!$D:$D,DataViz!$B7,'Supply planning data'!$C:$C,DataViz!$A$1)))</f>
        <v>#N/A</v>
      </c>
      <c r="AD7" s="14">
        <f>IF($A$1="All",SUMIFS('Supply planning data'!$AE:$AE,'Supply planning data'!$D:$D,DataViz!$B7),SUMIFS('Supply planning data'!$AE:$AE,'Supply planning data'!$D:$D,DataViz!$B7,'Supply planning data'!$C:$C,DataViz!$A$1))</f>
        <v>347855</v>
      </c>
      <c r="AE7" s="18">
        <f>IF($J7+K7+IF($A$1="All",SUMIFS('Supply planning data'!$AJ:$AJ,'Supply planning data'!$D:$D,DataViz!$B7),SUMIFS('Supply planning data'!$AJ:$AJ,'Supply planning data'!$D:$D,DataViz!$B7,'Supply planning data'!$C:$C,DataViz!$A$1))&lt;=0,NA(),$J7+K7+IF($A$1="All",SUMIFS('Supply planning data'!$AJ:$AJ,'Supply planning data'!$D:$D,DataViz!$B7),SUMIFS('Supply planning data'!$AJ:$AJ,'Supply planning data'!$D:$D,DataViz!$B7,'Supply planning data'!$C:$C,DataViz!$A$1)))</f>
        <v>42445</v>
      </c>
      <c r="AF7">
        <f>IF($A$1="All",SUMIFS('Supply planning data'!AD:AD,'Supply planning data'!$D:$D,DataViz!$B7),SUMIFS('Supply planning data'!AD:AD,'Supply planning data'!$D:$D,DataViz!$B7,'Supply planning data'!$C:$C,DataViz!$A$1))</f>
        <v>0</v>
      </c>
      <c r="AG7" s="229">
        <f t="shared" si="5"/>
        <v>8.3333333333333338E-8</v>
      </c>
      <c r="AH7" s="230">
        <f>SUMIFS('Supply planning data'!Y:Y,'Supply planning data'!$D:$D,"&lt;="&amp;DataViz!$B6,'Supply planning data'!$C:$C,"Jansen")+(SUMIFS('Supply planning data'!Y:Y,'Supply planning data'!$D:$D,"&lt;="&amp;DataViz!$B6,'Supply planning data'!$C:$C,"&lt;&gt;Jansen")/2)+D7</f>
        <v>5</v>
      </c>
      <c r="AI7" s="230">
        <f>IF($A$1="All",SUMIFS('Supply planning data'!$AG:$AG,'Supply planning data'!$D:$D,DataViz!$B7),SUMIFS('Supply planning data'!$AG:$AG,'Supply planning data'!$D:$D,DataViz!$B7,'Supply planning data'!$C:$C,DataViz!$A$1))</f>
        <v>390300</v>
      </c>
      <c r="AJ7" s="230">
        <f>IF($A$1="All",SUMIFS('Supply planning data'!$AK:$AK,'Supply planning data'!$D:$D,DataViz!$B7),SUMIFS('Supply planning data'!$AK:$AK,'Supply planning data'!$D:$D,DataViz!$B7,'Supply planning data'!$C:$C,DataViz!$A$1))</f>
        <v>0</v>
      </c>
      <c r="AK7" s="230">
        <f>IF($A$1="All",SUMIFS('Supply planning data'!$AH:$AH,'Supply planning data'!$D:$D,DataViz!$B7),SUMIFS('Supply planning data'!$AH:$AH,'Supply planning data'!$D:$D,DataViz!$B7,'Supply planning data'!$C:$C,DataViz!$A$1))</f>
        <v>0</v>
      </c>
      <c r="AL7" s="230"/>
      <c r="AM7" s="230" t="e">
        <f>IF(IF($A$1="All",SUMIFS('Supply planning data'!$AJ:$AJ,'Supply planning data'!$D:$D,DataViz!$B7),SUMIFS('Supply planning data'!$AJ:$AJ,'Supply planning data'!$D:$D,DataViz!$B7,'Supply planning data'!$C:$C,DataViz!$A$1))&lt;=0,NA(),IF($A$1="All",SUMIFS('Supply planning data'!$AJ:$AJ,'Supply planning data'!$D:$D,DataViz!$B7),SUMIFS('Supply planning data'!$AJ:$AJ,'Supply planning data'!$D:$D,DataViz!$B7,'Supply planning data'!$C:$C,DataViz!$A$1)))</f>
        <v>#N/A</v>
      </c>
      <c r="AN7" s="230">
        <f>IF($A$1="All",SUMIFS('Supply planning data'!$AN:$AN,'Supply planning data'!$D:$D,DataViz!$B7),SUMIFS('Supply planning data'!$AN:$AN,'Supply planning data'!$D:$D,DataViz!$B7,'Supply planning data'!$C:$C,DataViz!$A$1))</f>
        <v>347855</v>
      </c>
      <c r="AO7" s="231">
        <f>IF($J7+K7+IF($A$1="All",SUMIFS('Supply planning data'!$AJ:$AJ,'Supply planning data'!$D:$D,DataViz!$B7),SUMIFS('Supply planning data'!$AJ:$AJ,'Supply planning data'!$D:$D,DataViz!$B7,'Supply planning data'!$C:$C,DataViz!$A$1))&lt;=0,NA(),$J7+K7+IF($A$1="All",SUMIFS('Supply planning data'!$AJ:$AJ,'Supply planning data'!$D:$D,DataViz!$B7),SUMIFS('Supply planning data'!$AJ:$AJ,'Supply planning data'!$D:$D,DataViz!$B7,'Supply planning data'!$C:$C,DataViz!$A$1)))</f>
        <v>42445</v>
      </c>
      <c r="AP7">
        <f>IF($A$1="All",SUMIFS('Supply planning data'!AM:AM,'Supply planning data'!$D:$D,DataViz!$B7),SUMIFS('Supply planning data'!AM:AM,'Supply planning data'!$D:$D,DataViz!$B7,'Supply planning data'!$C:$C,DataViz!$A$1))</f>
        <v>0</v>
      </c>
      <c r="AQ7" s="229">
        <f t="shared" si="6"/>
        <v>8.3333333333333338E-8</v>
      </c>
      <c r="AR7" s="230">
        <f>SUMIFS('Supply planning data'!AH:AH,'Supply planning data'!$D:$D,"&lt;="&amp;DataViz!$B6,'Supply planning data'!$C:$C,"Jansen")+(SUMIFS('Supply planning data'!AH:AH,'Supply planning data'!$D:$D,"&lt;="&amp;DataViz!$B6,'Supply planning data'!$C:$C,"&lt;&gt;Jansen")/2)+D7</f>
        <v>5</v>
      </c>
    </row>
    <row r="8" spans="1:44" x14ac:dyDescent="0.25">
      <c r="A8" s="20">
        <v>3</v>
      </c>
      <c r="B8" s="21">
        <f t="shared" ref="B8:B29" si="9">DATE(YEAR(B7),MONTH(B7)+1,1)</f>
        <v>44348</v>
      </c>
      <c r="C8" s="22">
        <f>IF(VLOOKUP(Dashboard!$M$6,Start!$B$10:$E$12,4,FALSE)&gt;0,VLOOKUP(Dashboard!$M$6,Start!$B$10:$E$12,4, FALSE),VLOOKUP(Dashboard!$M$6,Start!$B$10:$E$12,3, FALSE))</f>
        <v>60000000</v>
      </c>
      <c r="D8" s="22">
        <f>IF($A$1="Jansen",SUMIFS('Supply planning data'!G:G,'Supply planning data'!$D:$D,"&lt;="&amp;DataViz!$B8,'Supply planning data'!$C:$C,"jansen"),IF($A$1="All",SUMIFS('Supply planning data'!H:H,'Supply planning data'!$D:$D,"&lt;="&amp;DataViz!$B8)+SUMIFS('Supply planning data'!G:G,'Supply planning data'!$D:$D,"&lt;="&amp;DataViz!$B8,'Supply planning data'!$C:$C,"Jansen"),SUMIFS('Supply planning data'!H:H,'Supply planning data'!$D:$D,"&lt;="&amp;DataViz!$B8,'Supply planning data'!$C:$C,DataViz!$A$1)))</f>
        <v>793</v>
      </c>
      <c r="E8" s="23">
        <f t="shared" si="7"/>
        <v>1.3216666666666667E-5</v>
      </c>
      <c r="F8" s="14">
        <f>IF($A$1="All",SUMIFS('Supply planning data'!F:F,'Supply planning data'!$D:$D,DataViz!$B8),SUMIFS('Supply planning data'!F:F,'Supply planning data'!$D:$D,DataViz!$B8,'Supply planning data'!$C:$C,DataViz!$A$1))</f>
        <v>347855</v>
      </c>
      <c r="G8" s="14">
        <f>IF($A$1="All",SUMIFS('Supply planning data'!G:G,'Supply planning data'!$D:$D,DataViz!$B8),SUMIFS('Supply planning data'!G:G,'Supply planning data'!$D:$D,DataViz!$B8,'Supply planning data'!$C:$C,DataViz!$A$1))</f>
        <v>84087</v>
      </c>
      <c r="H8" s="14">
        <f>IF($A$1="All",SUMIFS('Supply planning data'!H:H,'Supply planning data'!$D:$D,DataViz!$B8),SUMIFS('Supply planning data'!H:H,'Supply planning data'!$D:$D,DataViz!$B8,'Supply planning data'!$C:$C,DataViz!$A$1))</f>
        <v>788</v>
      </c>
      <c r="I8" s="14">
        <f>IF($A$1="All",SUMIFS('Supply planning data'!I:I,'Supply planning data'!$D:$D,DataViz!$B8),SUMIFS('Supply planning data'!I:I,'Supply planning data'!$D:$D,DataViz!$B8,'Supply planning data'!$C:$C,DataViz!$A$1))</f>
        <v>0</v>
      </c>
      <c r="J8" s="14">
        <f>IF($A$1="All",SUMIFS('Supply planning data'!J:J,'Supply planning data'!$D:$D,DataViz!$B8),SUMIFS('Supply planning data'!J:J,'Supply planning data'!$D:$D,DataViz!$B8,'Supply planning data'!$C:$C,DataViz!$A$1))</f>
        <v>84875</v>
      </c>
      <c r="K8" s="14">
        <f>IF($A$1="All",SUMIFS('Supply planning data'!L:L,'Supply planning data'!$D:$D,DataViz!$B8),SUMIFS('Supply planning data'!L:L,'Supply planning data'!$D:$D,DataViz!$B8,'Supply planning data'!$C:$C,DataViz!$A$1))</f>
        <v>0</v>
      </c>
      <c r="L8" s="14">
        <f>IF($A$1="All",SUMIFS('Supply planning data'!K:K,'Supply planning data'!$D:$D,DataViz!$B8),SUMIFS('Supply planning data'!K:K,'Supply planning data'!$D:$D,DataViz!$B8,'Supply planning data'!$C:$C,DataViz!$A$1))</f>
        <v>0</v>
      </c>
      <c r="M8" s="14">
        <f>IF(IF($A$1="All",SUMIFS('Supply planning data'!M:M,'Supply planning data'!$D:$D,DataViz!$B8),SUMIFS('Supply planning data'!M:M,'Supply planning data'!$D:$D,DataViz!$B8,'Supply planning data'!$C:$C,DataViz!$A$1))&lt;=0,NA(),IF($A$1="All",SUMIFS('Supply planning data'!M:M,'Supply planning data'!$D:$D,DataViz!$B8),SUMIFS('Supply planning data'!M:M,'Supply planning data'!$D:$D,DataViz!$B8,'Supply planning data'!$C:$C,DataViz!$A$1)))</f>
        <v>84875</v>
      </c>
      <c r="N8" s="14">
        <f>IF($A$1="All",SUMIFS('Supply planning data'!N:N,'Supply planning data'!$D:$D,DataViz!$B8),SUMIFS('Supply planning data'!N:N,'Supply planning data'!$D:$D,DataViz!$B8,'Supply planning data'!$C:$C,DataViz!$A$1))+IF($A$1="All",SUMIFS('Supply planning data'!P:P,'Supply planning data'!$D:$D,DataViz!$B8),SUMIFS('Supply planning data'!P:P,'Supply planning data'!$D:$D,DataViz!$B8,'Supply planning data'!$C:$C,DataViz!$A$1))</f>
        <v>0</v>
      </c>
      <c r="O8" s="14">
        <f>IF($A$1="All",SUMIFS('Supply planning data'!R:R,'Supply planning data'!$D:$D,DataViz!$B8),SUMIFS('Supply planning data'!R:R,'Supply planning data'!$D:$D,DataViz!$B8,'Supply planning data'!$C:$C,DataViz!$A$1))</f>
        <v>0</v>
      </c>
      <c r="P8" s="14">
        <f>IF($A$1="All",SUMIFS('Supply planning data'!S:S,'Supply planning data'!$D:$D,DataViz!$B8),SUMIFS('Supply planning data'!S:S,'Supply planning data'!$D:$D,DataViz!$B8,'Supply planning data'!$C:$C,DataViz!$A$1))</f>
        <v>0</v>
      </c>
      <c r="Q8" s="14">
        <f>IF($A$1="All",SUMIFS('Supply planning data'!T:T,'Supply planning data'!$D:$D,DataViz!$B8),SUMIFS('Supply planning data'!T:T,'Supply planning data'!$D:$D,DataViz!$B8,'Supply planning data'!$C:$C,DataViz!$A$1))</f>
        <v>0</v>
      </c>
      <c r="R8" s="14">
        <f>IF($A$1="All",SUMIFS('Supply planning data'!U:U,'Supply planning data'!$D:$D,DataViz!$B8),SUMIFS('Supply planning data'!U:U,'Supply planning data'!$D:$D,DataViz!$B8,'Supply planning data'!$C:$C,DataViz!$A$1))</f>
        <v>0</v>
      </c>
      <c r="S8" s="14">
        <f>IF($A$1="All",SUMIFS('Supply planning data'!V:V,'Supply planning data'!$D:$D,DataViz!$B8),SUMIFS('Supply planning data'!V:V,'Supply planning data'!$D:$D,DataViz!$B8,'Supply planning data'!$C:$C,DataViz!$A$1))</f>
        <v>262980</v>
      </c>
      <c r="T8" s="14"/>
      <c r="U8" s="14">
        <f>IF($A$1="All",SUMIFS('Supply planning data'!Y:Y,'Supply planning data'!$D:$D,DataViz!$B8),SUMIFS('Supply planning data'!Y:Y,'Supply planning data'!$D:$D,DataViz!$B8,'Supply planning data'!$C:$C,DataViz!$A$1))</f>
        <v>0</v>
      </c>
      <c r="V8" s="14">
        <f t="shared" si="8"/>
        <v>793</v>
      </c>
      <c r="W8" s="350">
        <f>IF(M8&lt;=0,NA(),S8/(SUM(L6:L8,J6:J8)/3))</f>
        <v>6.1965127238454292</v>
      </c>
      <c r="Y8" s="14">
        <f>IF($A$1="All",SUMIFS('Supply planning data'!$X:$X,'Supply planning data'!$D:$D,DataViz!$B8),SUMIFS('Supply planning data'!$X:$X,'Supply planning data'!$D:$D,DataViz!$B8,'Supply planning data'!$C:$C,DataViz!$A$1))</f>
        <v>347855</v>
      </c>
      <c r="Z8" s="14">
        <f>IF($A$1="All",SUMIFS('Supply planning data'!$AB:$AB,'Supply planning data'!$D:$D,DataViz!$B8),SUMIFS('Supply planning data'!$AB:$AB,'Supply planning data'!$D:$D,DataViz!$B8,'Supply planning data'!$C:$C,DataViz!$A$1))</f>
        <v>0</v>
      </c>
      <c r="AA8" s="14">
        <f>IF($A$1="All",SUMIFS('Supply planning data'!$Y:$Y,'Supply planning data'!$D:$D,DataViz!$B8),SUMIFS('Supply planning data'!$Y:$Y,'Supply planning data'!$D:$D,DataViz!$B8,'Supply planning data'!$C:$C,DataViz!$A$1))</f>
        <v>0</v>
      </c>
      <c r="AB8" s="14"/>
      <c r="AC8" s="14" t="e">
        <f>IF(IF($A$1="All",SUMIFS('Supply planning data'!$AA:$AA,'Supply planning data'!$D:$D,DataViz!$B8),SUMIFS('Supply planning data'!$AA:$AA,'Supply planning data'!$D:$D,DataViz!$B8,'Supply planning data'!$C:$C,DataViz!$A$1))&lt;=0,NA(),IF($A$1="All",SUMIFS('Supply planning data'!$AA:$AA,'Supply planning data'!$D:$D,DataViz!$B8),SUMIFS('Supply planning data'!$AA:$AA,'Supply planning data'!$D:$D,DataViz!$B8,'Supply planning data'!$C:$C,DataViz!$A$1)))</f>
        <v>#N/A</v>
      </c>
      <c r="AD8" s="14">
        <f>IF($A$1="All",SUMIFS('Supply planning data'!$AE:$AE,'Supply planning data'!$D:$D,DataViz!$B8),SUMIFS('Supply planning data'!$AE:$AE,'Supply planning data'!$D:$D,DataViz!$B8,'Supply planning data'!$C:$C,DataViz!$A$1))</f>
        <v>262980</v>
      </c>
      <c r="AE8" s="18">
        <f>IF($J8+K8+IF($A$1="All",SUMIFS('Supply planning data'!$AJ:$AJ,'Supply planning data'!$D:$D,DataViz!$B8),SUMIFS('Supply planning data'!$AJ:$AJ,'Supply planning data'!$D:$D,DataViz!$B8,'Supply planning data'!$C:$C,DataViz!$A$1))&lt;=0,NA(),$J8+K8+IF($A$1="All",SUMIFS('Supply planning data'!$AJ:$AJ,'Supply planning data'!$D:$D,DataViz!$B8),SUMIFS('Supply planning data'!$AJ:$AJ,'Supply planning data'!$D:$D,DataViz!$B8,'Supply planning data'!$C:$C,DataViz!$A$1)))</f>
        <v>84875</v>
      </c>
      <c r="AF8">
        <f>IF($A$1="All",SUMIFS('Supply planning data'!AD:AD,'Supply planning data'!$D:$D,DataViz!$B8),SUMIFS('Supply planning data'!AD:AD,'Supply planning data'!$D:$D,DataViz!$B8,'Supply planning data'!$C:$C,DataViz!$A$1))</f>
        <v>0</v>
      </c>
      <c r="AG8" s="229">
        <f t="shared" si="5"/>
        <v>1.3216666666666667E-5</v>
      </c>
      <c r="AH8" s="230">
        <f>SUMIFS('Supply planning data'!Y:Y,'Supply planning data'!$D:$D,"&lt;="&amp;DataViz!$B7,'Supply planning data'!$C:$C,"Jansen")+(SUMIFS('Supply planning data'!Y:Y,'Supply planning data'!$D:$D,"&lt;="&amp;DataViz!$B7,'Supply planning data'!$C:$C,"&lt;&gt;Jansen")/2)+D8</f>
        <v>793</v>
      </c>
      <c r="AI8" s="230">
        <f>IF($A$1="All",SUMIFS('Supply planning data'!$AG:$AG,'Supply planning data'!$D:$D,DataViz!$B8),SUMIFS('Supply planning data'!$AG:$AG,'Supply planning data'!$D:$D,DataViz!$B8,'Supply planning data'!$C:$C,DataViz!$A$1))</f>
        <v>347855</v>
      </c>
      <c r="AJ8" s="230">
        <f>IF($A$1="All",SUMIFS('Supply planning data'!$AK:$AK,'Supply planning data'!$D:$D,DataViz!$B8),SUMIFS('Supply planning data'!$AK:$AK,'Supply planning data'!$D:$D,DataViz!$B8,'Supply planning data'!$C:$C,DataViz!$A$1))</f>
        <v>0</v>
      </c>
      <c r="AK8" s="230">
        <f>IF($A$1="All",SUMIFS('Supply planning data'!$AH:$AH,'Supply planning data'!$D:$D,DataViz!$B8),SUMIFS('Supply planning data'!$AH:$AH,'Supply planning data'!$D:$D,DataViz!$B8,'Supply planning data'!$C:$C,DataViz!$A$1))</f>
        <v>0</v>
      </c>
      <c r="AL8" s="230"/>
      <c r="AM8" s="230" t="e">
        <f>IF(IF($A$1="All",SUMIFS('Supply planning data'!$AJ:$AJ,'Supply planning data'!$D:$D,DataViz!$B8),SUMIFS('Supply planning data'!$AJ:$AJ,'Supply planning data'!$D:$D,DataViz!$B8,'Supply planning data'!$C:$C,DataViz!$A$1))&lt;=0,NA(),IF($A$1="All",SUMIFS('Supply planning data'!$AJ:$AJ,'Supply planning data'!$D:$D,DataViz!$B8),SUMIFS('Supply planning data'!$AJ:$AJ,'Supply planning data'!$D:$D,DataViz!$B8,'Supply planning data'!$C:$C,DataViz!$A$1)))</f>
        <v>#N/A</v>
      </c>
      <c r="AN8" s="230">
        <f>IF($A$1="All",SUMIFS('Supply planning data'!$AN:$AN,'Supply planning data'!$D:$D,DataViz!$B8),SUMIFS('Supply planning data'!$AN:$AN,'Supply planning data'!$D:$D,DataViz!$B8,'Supply planning data'!$C:$C,DataViz!$A$1))</f>
        <v>262980</v>
      </c>
      <c r="AO8" s="231">
        <f>IF($J8+K8+IF($A$1="All",SUMIFS('Supply planning data'!$AJ:$AJ,'Supply planning data'!$D:$D,DataViz!$B8),SUMIFS('Supply planning data'!$AJ:$AJ,'Supply planning data'!$D:$D,DataViz!$B8,'Supply planning data'!$C:$C,DataViz!$A$1))&lt;=0,NA(),$J8+K8+IF($A$1="All",SUMIFS('Supply planning data'!$AJ:$AJ,'Supply planning data'!$D:$D,DataViz!$B8),SUMIFS('Supply planning data'!$AJ:$AJ,'Supply planning data'!$D:$D,DataViz!$B8,'Supply planning data'!$C:$C,DataViz!$A$1)))</f>
        <v>84875</v>
      </c>
      <c r="AP8">
        <f>IF($A$1="All",SUMIFS('Supply planning data'!AM:AM,'Supply planning data'!$D:$D,DataViz!$B8),SUMIFS('Supply planning data'!AM:AM,'Supply planning data'!$D:$D,DataViz!$B8,'Supply planning data'!$C:$C,DataViz!$A$1))</f>
        <v>0</v>
      </c>
      <c r="AQ8" s="229">
        <f t="shared" si="6"/>
        <v>1.3216666666666667E-5</v>
      </c>
      <c r="AR8" s="230">
        <f>SUMIFS('Supply planning data'!AH:AH,'Supply planning data'!$D:$D,"&lt;="&amp;DataViz!$B7,'Supply planning data'!$C:$C,"Jansen")+(SUMIFS('Supply planning data'!AH:AH,'Supply planning data'!$D:$D,"&lt;="&amp;DataViz!$B7,'Supply planning data'!$C:$C,"&lt;&gt;Jansen")/2)+D8</f>
        <v>793</v>
      </c>
    </row>
    <row r="9" spans="1:44" x14ac:dyDescent="0.25">
      <c r="A9" s="20">
        <v>4</v>
      </c>
      <c r="B9" s="21">
        <f t="shared" si="9"/>
        <v>44378</v>
      </c>
      <c r="C9" s="22">
        <f>IF(VLOOKUP(Dashboard!$M$6,Start!$B$10:$E$12,4,FALSE)&gt;0,VLOOKUP(Dashboard!$M$6,Start!$B$10:$E$12,4, FALSE),VLOOKUP(Dashboard!$M$6,Start!$B$10:$E$12,3, FALSE))</f>
        <v>60000000</v>
      </c>
      <c r="D9" s="22">
        <f>IF($A$1="Jansen",SUMIFS('Supply planning data'!G:G,'Supply planning data'!$D:$D,"&lt;="&amp;DataViz!$B9,'Supply planning data'!$C:$C,"jansen"),IF($A$1="All",SUMIFS('Supply planning data'!H:H,'Supply planning data'!$D:$D,"&lt;="&amp;DataViz!$B9)+SUMIFS('Supply planning data'!G:G,'Supply planning data'!$D:$D,"&lt;="&amp;DataViz!$B9,'Supply planning data'!$C:$C,"Jansen"),SUMIFS('Supply planning data'!H:H,'Supply planning data'!$D:$D,"&lt;="&amp;DataViz!$B9,'Supply planning data'!$C:$C,DataViz!$A$1)))</f>
        <v>12393</v>
      </c>
      <c r="E9" s="23">
        <f t="shared" si="7"/>
        <v>2.0655000000000001E-4</v>
      </c>
      <c r="F9" s="14">
        <f>IF($A$1="All",SUMIFS('Supply planning data'!F:F,'Supply planning data'!$D:$D,DataViz!$B9),SUMIFS('Supply planning data'!F:F,'Supply planning data'!$D:$D,DataViz!$B9,'Supply planning data'!$C:$C,DataViz!$A$1))</f>
        <v>262980</v>
      </c>
      <c r="G9" s="14">
        <f>IF($A$1="All",SUMIFS('Supply planning data'!G:G,'Supply planning data'!$D:$D,DataViz!$B9),SUMIFS('Supply planning data'!G:G,'Supply planning data'!$D:$D,DataViz!$B9,'Supply planning data'!$C:$C,DataViz!$A$1))</f>
        <v>58240</v>
      </c>
      <c r="H9" s="14">
        <f>IF($A$1="All",SUMIFS('Supply planning data'!H:H,'Supply planning data'!$D:$D,DataViz!$B9),SUMIFS('Supply planning data'!H:H,'Supply planning data'!$D:$D,DataViz!$B9,'Supply planning data'!$C:$C,DataViz!$A$1))</f>
        <v>11600</v>
      </c>
      <c r="I9" s="14">
        <f>IF($A$1="All",SUMIFS('Supply planning data'!I:I,'Supply planning data'!$D:$D,DataViz!$B9),SUMIFS('Supply planning data'!I:I,'Supply planning data'!$D:$D,DataViz!$B9,'Supply planning data'!$C:$C,DataViz!$A$1))</f>
        <v>0</v>
      </c>
      <c r="J9" s="14">
        <f>IF($A$1="All",SUMIFS('Supply planning data'!J:J,'Supply planning data'!$D:$D,DataViz!$B9),SUMIFS('Supply planning data'!J:J,'Supply planning data'!$D:$D,DataViz!$B9,'Supply planning data'!$C:$C,DataViz!$A$1))</f>
        <v>69840</v>
      </c>
      <c r="K9" s="14">
        <f>IF($A$1="All",SUMIFS('Supply planning data'!L:L,'Supply planning data'!$D:$D,DataViz!$B9),SUMIFS('Supply planning data'!L:L,'Supply planning data'!$D:$D,DataViz!$B9,'Supply planning data'!$C:$C,DataViz!$A$1))</f>
        <v>0</v>
      </c>
      <c r="L9" s="14">
        <f>IF($A$1="All",SUMIFS('Supply planning data'!K:K,'Supply planning data'!$D:$D,DataViz!$B9),SUMIFS('Supply planning data'!K:K,'Supply planning data'!$D:$D,DataViz!$B9,'Supply planning data'!$C:$C,DataViz!$A$1))</f>
        <v>0</v>
      </c>
      <c r="M9" s="14">
        <f>IF(IF($A$1="All",SUMIFS('Supply planning data'!M:M,'Supply planning data'!$D:$D,DataViz!$B9),SUMIFS('Supply planning data'!M:M,'Supply planning data'!$D:$D,DataViz!$B9,'Supply planning data'!$C:$C,DataViz!$A$1))&lt;=0,NA(),IF($A$1="All",SUMIFS('Supply planning data'!M:M,'Supply planning data'!$D:$D,DataViz!$B9),SUMIFS('Supply planning data'!M:M,'Supply planning data'!$D:$D,DataViz!$B9,'Supply planning data'!$C:$C,DataViz!$A$1)))</f>
        <v>69840</v>
      </c>
      <c r="N9" s="14">
        <f>IF($A$1="All",SUMIFS('Supply planning data'!N:N,'Supply planning data'!$D:$D,DataViz!$B9),SUMIFS('Supply planning data'!N:N,'Supply planning data'!$D:$D,DataViz!$B9,'Supply planning data'!$C:$C,DataViz!$A$1))+IF($A$1="All",SUMIFS('Supply planning data'!P:P,'Supply planning data'!$D:$D,DataViz!$B9),SUMIFS('Supply planning data'!P:P,'Supply planning data'!$D:$D,DataViz!$B9,'Supply planning data'!$C:$C,DataViz!$A$1))</f>
        <v>0</v>
      </c>
      <c r="O9" s="14">
        <f>IF($A$1="All",SUMIFS('Supply planning data'!R:R,'Supply planning data'!$D:$D,DataViz!$B9),SUMIFS('Supply planning data'!R:R,'Supply planning data'!$D:$D,DataViz!$B9,'Supply planning data'!$C:$C,DataViz!$A$1))</f>
        <v>302600</v>
      </c>
      <c r="P9" s="14">
        <f>IF($A$1="All",SUMIFS('Supply planning data'!S:S,'Supply planning data'!$D:$D,DataViz!$B9),SUMIFS('Supply planning data'!S:S,'Supply planning data'!$D:$D,DataViz!$B9,'Supply planning data'!$C:$C,DataViz!$A$1))</f>
        <v>0</v>
      </c>
      <c r="Q9" s="14">
        <f>IF($A$1="All",SUMIFS('Supply planning data'!T:T,'Supply planning data'!$D:$D,DataViz!$B9),SUMIFS('Supply planning data'!T:T,'Supply planning data'!$D:$D,DataViz!$B9,'Supply planning data'!$C:$C,DataViz!$A$1))</f>
        <v>0</v>
      </c>
      <c r="R9" s="14">
        <f>IF($A$1="All",SUMIFS('Supply planning data'!U:U,'Supply planning data'!$D:$D,DataViz!$B9),SUMIFS('Supply planning data'!U:U,'Supply planning data'!$D:$D,DataViz!$B9,'Supply planning data'!$C:$C,DataViz!$A$1))</f>
        <v>0</v>
      </c>
      <c r="S9" s="14">
        <f>IF($A$1="All",SUMIFS('Supply planning data'!V:V,'Supply planning data'!$D:$D,DataViz!$B9),SUMIFS('Supply planning data'!V:V,'Supply planning data'!$D:$D,DataViz!$B9,'Supply planning data'!$C:$C,DataViz!$A$1))</f>
        <v>495740</v>
      </c>
      <c r="T9" s="14"/>
      <c r="U9" s="14">
        <f>IF($A$1="All",SUMIFS('Supply planning data'!Y:Y,'Supply planning data'!$D:$D,DataViz!$B9),SUMIFS('Supply planning data'!Y:Y,'Supply planning data'!$D:$D,DataViz!$B9,'Supply planning data'!$C:$C,DataViz!$A$1))</f>
        <v>0</v>
      </c>
      <c r="V9" s="14">
        <f t="shared" si="8"/>
        <v>12393</v>
      </c>
      <c r="W9" s="350">
        <f>IF(M9&lt;=0,NA(),S9/(SUM(L7:L9,J7:J9)/3))</f>
        <v>7.5432136335970785</v>
      </c>
      <c r="Y9" s="14">
        <f>IF($A$1="All",SUMIFS('Supply planning data'!$X:$X,'Supply planning data'!$D:$D,DataViz!$B9),SUMIFS('Supply planning data'!$X:$X,'Supply planning data'!$D:$D,DataViz!$B9,'Supply planning data'!$C:$C,DataViz!$A$1))</f>
        <v>262980</v>
      </c>
      <c r="Z9" s="14">
        <f>IF($A$1="All",SUMIFS('Supply planning data'!$AB:$AB,'Supply planning data'!$D:$D,DataViz!$B9),SUMIFS('Supply planning data'!$AB:$AB,'Supply planning data'!$D:$D,DataViz!$B9,'Supply planning data'!$C:$C,DataViz!$A$1))</f>
        <v>0</v>
      </c>
      <c r="AA9" s="14">
        <f>IF($A$1="All",SUMIFS('Supply planning data'!$Y:$Y,'Supply planning data'!$D:$D,DataViz!$B9),SUMIFS('Supply planning data'!$Y:$Y,'Supply planning data'!$D:$D,DataViz!$B9,'Supply planning data'!$C:$C,DataViz!$A$1))</f>
        <v>0</v>
      </c>
      <c r="AB9" s="14"/>
      <c r="AC9" s="14" t="e">
        <f>IF(IF($A$1="All",SUMIFS('Supply planning data'!$AA:$AA,'Supply planning data'!$D:$D,DataViz!$B9),SUMIFS('Supply planning data'!$AA:$AA,'Supply planning data'!$D:$D,DataViz!$B9,'Supply planning data'!$C:$C,DataViz!$A$1))&lt;=0,NA(),IF($A$1="All",SUMIFS('Supply planning data'!$AA:$AA,'Supply planning data'!$D:$D,DataViz!$B9),SUMIFS('Supply planning data'!$AA:$AA,'Supply planning data'!$D:$D,DataViz!$B9,'Supply planning data'!$C:$C,DataViz!$A$1)))</f>
        <v>#N/A</v>
      </c>
      <c r="AD9" s="14">
        <f>IF($A$1="All",SUMIFS('Supply planning data'!$AE:$AE,'Supply planning data'!$D:$D,DataViz!$B9),SUMIFS('Supply planning data'!$AE:$AE,'Supply planning data'!$D:$D,DataViz!$B9,'Supply planning data'!$C:$C,DataViz!$A$1))</f>
        <v>495740</v>
      </c>
      <c r="AE9" s="18">
        <f>IF($J9+K9+IF($A$1="All",SUMIFS('Supply planning data'!$AJ:$AJ,'Supply planning data'!$D:$D,DataViz!$B9),SUMIFS('Supply planning data'!$AJ:$AJ,'Supply planning data'!$D:$D,DataViz!$B9,'Supply planning data'!$C:$C,DataViz!$A$1))&lt;=0,NA(),$J9+K9+IF($A$1="All",SUMIFS('Supply planning data'!$AJ:$AJ,'Supply planning data'!$D:$D,DataViz!$B9),SUMIFS('Supply planning data'!$AJ:$AJ,'Supply planning data'!$D:$D,DataViz!$B9,'Supply planning data'!$C:$C,DataViz!$A$1)))</f>
        <v>69840</v>
      </c>
      <c r="AF9">
        <f>IF($A$1="All",SUMIFS('Supply planning data'!AD:AD,'Supply planning data'!$D:$D,DataViz!$B9),SUMIFS('Supply planning data'!AD:AD,'Supply planning data'!$D:$D,DataViz!$B9,'Supply planning data'!$C:$C,DataViz!$A$1))</f>
        <v>0</v>
      </c>
      <c r="AG9" s="229">
        <f t="shared" si="5"/>
        <v>2.0655000000000001E-4</v>
      </c>
      <c r="AH9" s="230">
        <f>SUMIFS('Supply planning data'!Y:Y,'Supply planning data'!$D:$D,"&lt;="&amp;DataViz!$B8,'Supply planning data'!$C:$C,"Jansen")+(SUMIFS('Supply planning data'!Y:Y,'Supply planning data'!$D:$D,"&lt;="&amp;DataViz!$B8,'Supply planning data'!$C:$C,"&lt;&gt;Jansen")/2)+D9</f>
        <v>12393</v>
      </c>
      <c r="AI9" s="230">
        <f>IF($A$1="All",SUMIFS('Supply planning data'!$AG:$AG,'Supply planning data'!$D:$D,DataViz!$B9),SUMIFS('Supply planning data'!$AG:$AG,'Supply planning data'!$D:$D,DataViz!$B9,'Supply planning data'!$C:$C,DataViz!$A$1))</f>
        <v>262980</v>
      </c>
      <c r="AJ9" s="230">
        <f>IF($A$1="All",SUMIFS('Supply planning data'!$AK:$AK,'Supply planning data'!$D:$D,DataViz!$B9),SUMIFS('Supply planning data'!$AK:$AK,'Supply planning data'!$D:$D,DataViz!$B9,'Supply planning data'!$C:$C,DataViz!$A$1))</f>
        <v>0</v>
      </c>
      <c r="AK9" s="230">
        <f>IF($A$1="All",SUMIFS('Supply planning data'!$AH:$AH,'Supply planning data'!$D:$D,DataViz!$B9),SUMIFS('Supply planning data'!$AH:$AH,'Supply planning data'!$D:$D,DataViz!$B9,'Supply planning data'!$C:$C,DataViz!$A$1))</f>
        <v>0</v>
      </c>
      <c r="AL9" s="230"/>
      <c r="AM9" s="230" t="e">
        <f>IF(IF($A$1="All",SUMIFS('Supply planning data'!$AJ:$AJ,'Supply planning data'!$D:$D,DataViz!$B9),SUMIFS('Supply planning data'!$AJ:$AJ,'Supply planning data'!$D:$D,DataViz!$B9,'Supply planning data'!$C:$C,DataViz!$A$1))&lt;=0,NA(),IF($A$1="All",SUMIFS('Supply planning data'!$AJ:$AJ,'Supply planning data'!$D:$D,DataViz!$B9),SUMIFS('Supply planning data'!$AJ:$AJ,'Supply planning data'!$D:$D,DataViz!$B9,'Supply planning data'!$C:$C,DataViz!$A$1)))</f>
        <v>#N/A</v>
      </c>
      <c r="AN9" s="230">
        <f>IF($A$1="All",SUMIFS('Supply planning data'!$AN:$AN,'Supply planning data'!$D:$D,DataViz!$B9),SUMIFS('Supply planning data'!$AN:$AN,'Supply planning data'!$D:$D,DataViz!$B9,'Supply planning data'!$C:$C,DataViz!$A$1))</f>
        <v>495740</v>
      </c>
      <c r="AO9" s="231">
        <f>IF($J9+K9+IF($A$1="All",SUMIFS('Supply planning data'!$AJ:$AJ,'Supply planning data'!$D:$D,DataViz!$B9),SUMIFS('Supply planning data'!$AJ:$AJ,'Supply planning data'!$D:$D,DataViz!$B9,'Supply planning data'!$C:$C,DataViz!$A$1))&lt;=0,NA(),$J9+K9+IF($A$1="All",SUMIFS('Supply planning data'!$AJ:$AJ,'Supply planning data'!$D:$D,DataViz!$B9),SUMIFS('Supply planning data'!$AJ:$AJ,'Supply planning data'!$D:$D,DataViz!$B9,'Supply planning data'!$C:$C,DataViz!$A$1)))</f>
        <v>69840</v>
      </c>
      <c r="AP9">
        <f>IF($A$1="All",SUMIFS('Supply planning data'!AM:AM,'Supply planning data'!$D:$D,DataViz!$B9),SUMIFS('Supply planning data'!AM:AM,'Supply planning data'!$D:$D,DataViz!$B9,'Supply planning data'!$C:$C,DataViz!$A$1))</f>
        <v>0</v>
      </c>
      <c r="AQ9" s="229">
        <f t="shared" si="6"/>
        <v>2.0655000000000001E-4</v>
      </c>
      <c r="AR9" s="230">
        <f>SUMIFS('Supply planning data'!AH:AH,'Supply planning data'!$D:$D,"&lt;="&amp;DataViz!$B8,'Supply planning data'!$C:$C,"Jansen")+(SUMIFS('Supply planning data'!AH:AH,'Supply planning data'!$D:$D,"&lt;="&amp;DataViz!$B8,'Supply planning data'!$C:$C,"&lt;&gt;Jansen")/2)+D9</f>
        <v>12393</v>
      </c>
    </row>
    <row r="10" spans="1:44" x14ac:dyDescent="0.25">
      <c r="A10" s="20">
        <v>5</v>
      </c>
      <c r="B10" s="21">
        <f t="shared" si="9"/>
        <v>44409</v>
      </c>
      <c r="C10" s="22">
        <f>IF(VLOOKUP(Dashboard!$M$6,Start!$B$10:$E$12,4,FALSE)&gt;0,VLOOKUP(Dashboard!$M$6,Start!$B$10:$E$12,4, FALSE),VLOOKUP(Dashboard!$M$6,Start!$B$10:$E$12,3, FALSE))</f>
        <v>60000000</v>
      </c>
      <c r="D10" s="22">
        <f>IF($A$1="Jansen",SUMIFS('Supply planning data'!G:G,'Supply planning data'!$D:$D,"&lt;="&amp;DataViz!$B10,'Supply planning data'!$C:$C,"jansen"),IF($A$1="All",SUMIFS('Supply planning data'!H:H,'Supply planning data'!$D:$D,"&lt;="&amp;DataViz!$B10)+SUMIFS('Supply planning data'!G:G,'Supply planning data'!$D:$D,"&lt;="&amp;DataViz!$B10,'Supply planning data'!$C:$C,"Jansen"),SUMIFS('Supply planning data'!H:H,'Supply planning data'!$D:$D,"&lt;="&amp;DataViz!$B10,'Supply planning data'!$C:$C,DataViz!$A$1)))</f>
        <v>14046</v>
      </c>
      <c r="E10" s="23">
        <f t="shared" si="7"/>
        <v>2.341E-4</v>
      </c>
      <c r="F10" s="14">
        <f>IF($A$1="All",SUMIFS('Supply planning data'!F:F,'Supply planning data'!$D:$D,DataViz!$B10),SUMIFS('Supply planning data'!F:F,'Supply planning data'!$D:$D,DataViz!$B10,'Supply planning data'!$C:$C,DataViz!$A$1))</f>
        <v>495740</v>
      </c>
      <c r="G10" s="14">
        <f>IF($A$1="All",SUMIFS('Supply planning data'!G:G,'Supply planning data'!$D:$D,DataViz!$B10),SUMIFS('Supply planning data'!G:G,'Supply planning data'!$D:$D,DataViz!$B10,'Supply planning data'!$C:$C,DataViz!$A$1))</f>
        <v>1653</v>
      </c>
      <c r="H10" s="14">
        <f>IF($A$1="All",SUMIFS('Supply planning data'!H:H,'Supply planning data'!$D:$D,DataViz!$B10),SUMIFS('Supply planning data'!H:H,'Supply planning data'!$D:$D,DataViz!$B10,'Supply planning data'!$C:$C,DataViz!$A$1))</f>
        <v>0</v>
      </c>
      <c r="I10" s="14">
        <f>IF($A$1="All",SUMIFS('Supply planning data'!I:I,'Supply planning data'!$D:$D,DataViz!$B10),SUMIFS('Supply planning data'!I:I,'Supply planning data'!$D:$D,DataViz!$B10,'Supply planning data'!$C:$C,DataViz!$A$1))</f>
        <v>0</v>
      </c>
      <c r="J10" s="14">
        <f>IF($A$1="All",SUMIFS('Supply planning data'!J:J,'Supply planning data'!$D:$D,DataViz!$B10),SUMIFS('Supply planning data'!J:J,'Supply planning data'!$D:$D,DataViz!$B10,'Supply planning data'!$C:$C,DataViz!$A$1))</f>
        <v>1653</v>
      </c>
      <c r="K10" s="14">
        <f>IF($A$1="All",SUMIFS('Supply planning data'!L:L,'Supply planning data'!$D:$D,DataViz!$B10),SUMIFS('Supply planning data'!L:L,'Supply planning data'!$D:$D,DataViz!$B10,'Supply planning data'!$C:$C,DataViz!$A$1))</f>
        <v>0</v>
      </c>
      <c r="L10" s="14">
        <f>IF($A$1="All",SUMIFS('Supply planning data'!K:K,'Supply planning data'!$D:$D,DataViz!$B10),SUMIFS('Supply planning data'!K:K,'Supply planning data'!$D:$D,DataViz!$B10,'Supply planning data'!$C:$C,DataViz!$A$1))</f>
        <v>0</v>
      </c>
      <c r="M10" s="14">
        <f>IF(IF($A$1="All",SUMIFS('Supply planning data'!M:M,'Supply planning data'!$D:$D,DataViz!$B10),SUMIFS('Supply planning data'!M:M,'Supply planning data'!$D:$D,DataViz!$B10,'Supply planning data'!$C:$C,DataViz!$A$1))&lt;=0,NA(),IF($A$1="All",SUMIFS('Supply planning data'!M:M,'Supply planning data'!$D:$D,DataViz!$B10),SUMIFS('Supply planning data'!M:M,'Supply planning data'!$D:$D,DataViz!$B10,'Supply planning data'!$C:$C,DataViz!$A$1)))</f>
        <v>1653</v>
      </c>
      <c r="N10" s="14">
        <f>IF($A$1="All",SUMIFS('Supply planning data'!N:N,'Supply planning data'!$D:$D,DataViz!$B10),SUMIFS('Supply planning data'!N:N,'Supply planning data'!$D:$D,DataViz!$B10,'Supply planning data'!$C:$C,DataViz!$A$1))+IF($A$1="All",SUMIFS('Supply planning data'!P:P,'Supply planning data'!$D:$D,DataViz!$B10),SUMIFS('Supply planning data'!P:P,'Supply planning data'!$D:$D,DataViz!$B10,'Supply planning data'!$C:$C,DataViz!$A$1))</f>
        <v>-193140</v>
      </c>
      <c r="O10" s="14">
        <f>IF($A$1="All",SUMIFS('Supply planning data'!R:R,'Supply planning data'!$D:$D,DataViz!$B10),SUMIFS('Supply planning data'!R:R,'Supply planning data'!$D:$D,DataViz!$B10,'Supply planning data'!$C:$C,DataViz!$A$1))</f>
        <v>0</v>
      </c>
      <c r="P10" s="14">
        <f>IF($A$1="All",SUMIFS('Supply planning data'!S:S,'Supply planning data'!$D:$D,DataViz!$B10),SUMIFS('Supply planning data'!S:S,'Supply planning data'!$D:$D,DataViz!$B10,'Supply planning data'!$C:$C,DataViz!$A$1))</f>
        <v>0</v>
      </c>
      <c r="Q10" s="14">
        <f>IF($A$1="All",SUMIFS('Supply planning data'!T:T,'Supply planning data'!$D:$D,DataViz!$B10),SUMIFS('Supply planning data'!T:T,'Supply planning data'!$D:$D,DataViz!$B10,'Supply planning data'!$C:$C,DataViz!$A$1))</f>
        <v>0</v>
      </c>
      <c r="R10" s="14">
        <f>IF($A$1="All",SUMIFS('Supply planning data'!U:U,'Supply planning data'!$D:$D,DataViz!$B10),SUMIFS('Supply planning data'!U:U,'Supply planning data'!$D:$D,DataViz!$B10,'Supply planning data'!$C:$C,DataViz!$A$1))</f>
        <v>0</v>
      </c>
      <c r="S10" s="14">
        <f>IF($A$1="All",SUMIFS('Supply planning data'!V:V,'Supply planning data'!$D:$D,DataViz!$B10),SUMIFS('Supply planning data'!V:V,'Supply planning data'!$D:$D,DataViz!$B10,'Supply planning data'!$C:$C,DataViz!$A$1))</f>
        <v>300947</v>
      </c>
      <c r="T10" s="14"/>
      <c r="U10" s="14">
        <f>IF($A$1="All",SUMIFS('Supply planning data'!Y:Y,'Supply planning data'!$D:$D,DataViz!$B10),SUMIFS('Supply planning data'!Y:Y,'Supply planning data'!$D:$D,DataViz!$B10,'Supply planning data'!$C:$C,DataViz!$A$1))</f>
        <v>0</v>
      </c>
      <c r="V10" s="14">
        <f t="shared" si="8"/>
        <v>14046</v>
      </c>
      <c r="W10" s="350">
        <f>IF(M10&lt;=0,NA(),S10/(SUM(L8:L10,J8:J10)/3))</f>
        <v>5.7738220096183364</v>
      </c>
      <c r="Y10" s="14">
        <f>IF($A$1="All",SUMIFS('Supply planning data'!$X:$X,'Supply planning data'!$D:$D,DataViz!$B10),SUMIFS('Supply planning data'!$X:$X,'Supply planning data'!$D:$D,DataViz!$B10,'Supply planning data'!$C:$C,DataViz!$A$1))</f>
        <v>495740</v>
      </c>
      <c r="Z10" s="14">
        <f>IF($A$1="All",SUMIFS('Supply planning data'!$AB:$AB,'Supply planning data'!$D:$D,DataViz!$B10),SUMIFS('Supply planning data'!$AB:$AB,'Supply planning data'!$D:$D,DataViz!$B10,'Supply planning data'!$C:$C,DataViz!$A$1))</f>
        <v>1000000</v>
      </c>
      <c r="AA10" s="14">
        <f>IF($A$1="All",SUMIFS('Supply planning data'!$Y:$Y,'Supply planning data'!$D:$D,DataViz!$B10),SUMIFS('Supply planning data'!$Y:$Y,'Supply planning data'!$D:$D,DataViz!$B10,'Supply planning data'!$C:$C,DataViz!$A$1))</f>
        <v>0</v>
      </c>
      <c r="AB10" s="14"/>
      <c r="AC10" s="14" t="e">
        <f>IF(IF($A$1="All",SUMIFS('Supply planning data'!$AA:$AA,'Supply planning data'!$D:$D,DataViz!$B10),SUMIFS('Supply planning data'!$AA:$AA,'Supply planning data'!$D:$D,DataViz!$B10,'Supply planning data'!$C:$C,DataViz!$A$1))&lt;=0,NA(),IF($A$1="All",SUMIFS('Supply planning data'!$AA:$AA,'Supply planning data'!$D:$D,DataViz!$B10),SUMIFS('Supply planning data'!$AA:$AA,'Supply planning data'!$D:$D,DataViz!$B10,'Supply planning data'!$C:$C,DataViz!$A$1)))</f>
        <v>#N/A</v>
      </c>
      <c r="AD10" s="14">
        <f>IF($A$1="All",SUMIFS('Supply planning data'!$AE:$AE,'Supply planning data'!$D:$D,DataViz!$B10),SUMIFS('Supply planning data'!$AE:$AE,'Supply planning data'!$D:$D,DataViz!$B10,'Supply planning data'!$C:$C,DataViz!$A$1))</f>
        <v>1300947</v>
      </c>
      <c r="AE10" s="18">
        <f>IF($J10+K10+IF($A$1="All",SUMIFS('Supply planning data'!$AJ:$AJ,'Supply planning data'!$D:$D,DataViz!$B10),SUMIFS('Supply planning data'!$AJ:$AJ,'Supply planning data'!$D:$D,DataViz!$B10,'Supply planning data'!$C:$C,DataViz!$A$1))&lt;=0,NA(),$J10+K10+IF($A$1="All",SUMIFS('Supply planning data'!$AJ:$AJ,'Supply planning data'!$D:$D,DataViz!$B10),SUMIFS('Supply planning data'!$AJ:$AJ,'Supply planning data'!$D:$D,DataViz!$B10,'Supply planning data'!$C:$C,DataViz!$A$1)))</f>
        <v>1653</v>
      </c>
      <c r="AF10">
        <f>IF($A$1="All",SUMIFS('Supply planning data'!AD:AD,'Supply planning data'!$D:$D,DataViz!$B10),SUMIFS('Supply planning data'!AD:AD,'Supply planning data'!$D:$D,DataViz!$B10,'Supply planning data'!$C:$C,DataViz!$A$1))</f>
        <v>0</v>
      </c>
      <c r="AG10" s="229">
        <f t="shared" si="5"/>
        <v>2.341E-4</v>
      </c>
      <c r="AH10" s="230">
        <f>SUMIFS('Supply planning data'!Y:Y,'Supply planning data'!$D:$D,"&lt;="&amp;DataViz!$B9,'Supply planning data'!$C:$C,"Jansen")+(SUMIFS('Supply planning data'!Y:Y,'Supply planning data'!$D:$D,"&lt;="&amp;DataViz!$B9,'Supply planning data'!$C:$C,"&lt;&gt;Jansen")/2)+D10</f>
        <v>14046</v>
      </c>
      <c r="AI10" s="230">
        <f>IF($A$1="All",SUMIFS('Supply planning data'!$AG:$AG,'Supply planning data'!$D:$D,DataViz!$B10),SUMIFS('Supply planning data'!$AG:$AG,'Supply planning data'!$D:$D,DataViz!$B10,'Supply planning data'!$C:$C,DataViz!$A$1))</f>
        <v>495740</v>
      </c>
      <c r="AJ10" s="230">
        <f>IF($A$1="All",SUMIFS('Supply planning data'!$AK:$AK,'Supply planning data'!$D:$D,DataViz!$B10),SUMIFS('Supply planning data'!$AK:$AK,'Supply planning data'!$D:$D,DataViz!$B10,'Supply planning data'!$C:$C,DataViz!$A$1))</f>
        <v>0</v>
      </c>
      <c r="AK10" s="230">
        <f>IF($A$1="All",SUMIFS('Supply planning data'!$AH:$AH,'Supply planning data'!$D:$D,DataViz!$B10),SUMIFS('Supply planning data'!$AH:$AH,'Supply planning data'!$D:$D,DataViz!$B10,'Supply planning data'!$C:$C,DataViz!$A$1))</f>
        <v>0</v>
      </c>
      <c r="AL10" s="230"/>
      <c r="AM10" s="230" t="e">
        <f>IF(IF($A$1="All",SUMIFS('Supply planning data'!$AJ:$AJ,'Supply planning data'!$D:$D,DataViz!$B10),SUMIFS('Supply planning data'!$AJ:$AJ,'Supply planning data'!$D:$D,DataViz!$B10,'Supply planning data'!$C:$C,DataViz!$A$1))&lt;=0,NA(),IF($A$1="All",SUMIFS('Supply planning data'!$AJ:$AJ,'Supply planning data'!$D:$D,DataViz!$B10),SUMIFS('Supply planning data'!$AJ:$AJ,'Supply planning data'!$D:$D,DataViz!$B10,'Supply planning data'!$C:$C,DataViz!$A$1)))</f>
        <v>#N/A</v>
      </c>
      <c r="AN10" s="230">
        <f>IF($A$1="All",SUMIFS('Supply planning data'!$AN:$AN,'Supply planning data'!$D:$D,DataViz!$B10),SUMIFS('Supply planning data'!$AN:$AN,'Supply planning data'!$D:$D,DataViz!$B10,'Supply planning data'!$C:$C,DataViz!$A$1))</f>
        <v>300947</v>
      </c>
      <c r="AO10" s="231">
        <f>IF($J10+K10+IF($A$1="All",SUMIFS('Supply planning data'!$AJ:$AJ,'Supply planning data'!$D:$D,DataViz!$B10),SUMIFS('Supply planning data'!$AJ:$AJ,'Supply planning data'!$D:$D,DataViz!$B10,'Supply planning data'!$C:$C,DataViz!$A$1))&lt;=0,NA(),$J10+K10+IF($A$1="All",SUMIFS('Supply planning data'!$AJ:$AJ,'Supply planning data'!$D:$D,DataViz!$B10),SUMIFS('Supply planning data'!$AJ:$AJ,'Supply planning data'!$D:$D,DataViz!$B10,'Supply planning data'!$C:$C,DataViz!$A$1)))</f>
        <v>1653</v>
      </c>
      <c r="AP10">
        <f>IF($A$1="All",SUMIFS('Supply planning data'!AM:AM,'Supply planning data'!$D:$D,DataViz!$B10),SUMIFS('Supply planning data'!AM:AM,'Supply planning data'!$D:$D,DataViz!$B10,'Supply planning data'!$C:$C,DataViz!$A$1))</f>
        <v>0</v>
      </c>
      <c r="AQ10" s="229">
        <f t="shared" si="6"/>
        <v>2.341E-4</v>
      </c>
      <c r="AR10" s="230">
        <f>SUMIFS('Supply planning data'!AH:AH,'Supply planning data'!$D:$D,"&lt;="&amp;DataViz!$B9,'Supply planning data'!$C:$C,"Jansen")+(SUMIFS('Supply planning data'!AH:AH,'Supply planning data'!$D:$D,"&lt;="&amp;DataViz!$B9,'Supply planning data'!$C:$C,"&lt;&gt;Jansen")/2)+D10</f>
        <v>14046</v>
      </c>
    </row>
    <row r="11" spans="1:44" x14ac:dyDescent="0.25">
      <c r="A11" s="20">
        <v>6</v>
      </c>
      <c r="B11" s="21">
        <f t="shared" si="9"/>
        <v>44440</v>
      </c>
      <c r="C11" s="22">
        <f>IF(VLOOKUP(Dashboard!$M$6,Start!$B$10:$E$12,4,FALSE)&gt;0,VLOOKUP(Dashboard!$M$6,Start!$B$10:$E$12,4, FALSE),VLOOKUP(Dashboard!$M$6,Start!$B$10:$E$12,3, FALSE))</f>
        <v>60000000</v>
      </c>
      <c r="D11" s="22">
        <f>IF($A$1="Jansen",SUMIFS('Supply planning data'!G:G,'Supply planning data'!$D:$D,"&lt;="&amp;DataViz!$B11,'Supply planning data'!$C:$C,"jansen"),IF($A$1="All",SUMIFS('Supply planning data'!H:H,'Supply planning data'!$D:$D,"&lt;="&amp;DataViz!$B11)+SUMIFS('Supply planning data'!G:G,'Supply planning data'!$D:$D,"&lt;="&amp;DataViz!$B11,'Supply planning data'!$C:$C,"Jansen"),SUMIFS('Supply planning data'!H:H,'Supply planning data'!$D:$D,"&lt;="&amp;DataViz!$B11,'Supply planning data'!$C:$C,DataViz!$A$1)))</f>
        <v>68876</v>
      </c>
      <c r="E11" s="23">
        <f t="shared" si="7"/>
        <v>1.1479333333333332E-3</v>
      </c>
      <c r="F11" s="14">
        <f>IF($A$1="All",SUMIFS('Supply planning data'!F:F,'Supply planning data'!$D:$D,DataViz!$B11),SUMIFS('Supply planning data'!F:F,'Supply planning data'!$D:$D,DataViz!$B11,'Supply planning data'!$C:$C,DataViz!$A$1))</f>
        <v>300947</v>
      </c>
      <c r="G11" s="14">
        <f>IF($A$1="All",SUMIFS('Supply planning data'!G:G,'Supply planning data'!$D:$D,DataViz!$B11),SUMIFS('Supply planning data'!G:G,'Supply planning data'!$D:$D,DataViz!$B11,'Supply planning data'!$C:$C,DataViz!$A$1))</f>
        <v>354830</v>
      </c>
      <c r="H11" s="14">
        <f>IF($A$1="All",SUMIFS('Supply planning data'!H:H,'Supply planning data'!$D:$D,DataViz!$B11),SUMIFS('Supply planning data'!H:H,'Supply planning data'!$D:$D,DataViz!$B11,'Supply planning data'!$C:$C,DataViz!$A$1))</f>
        <v>0</v>
      </c>
      <c r="I11" s="14">
        <f>IF($A$1="All",SUMIFS('Supply planning data'!I:I,'Supply planning data'!$D:$D,DataViz!$B11),SUMIFS('Supply planning data'!I:I,'Supply planning data'!$D:$D,DataViz!$B11,'Supply planning data'!$C:$C,DataViz!$A$1))</f>
        <v>0</v>
      </c>
      <c r="J11" s="14">
        <f>IF($A$1="All",SUMIFS('Supply planning data'!J:J,'Supply planning data'!$D:$D,DataViz!$B11),SUMIFS('Supply planning data'!J:J,'Supply planning data'!$D:$D,DataViz!$B11,'Supply planning data'!$C:$C,DataViz!$A$1))</f>
        <v>354830</v>
      </c>
      <c r="K11" s="14">
        <f>IF($A$1="All",SUMIFS('Supply planning data'!L:L,'Supply planning data'!$D:$D,DataViz!$B11),SUMIFS('Supply planning data'!L:L,'Supply planning data'!$D:$D,DataViz!$B11,'Supply planning data'!$C:$C,DataViz!$A$1))</f>
        <v>0</v>
      </c>
      <c r="L11" s="14">
        <f>IF($A$1="All",SUMIFS('Supply planning data'!K:K,'Supply planning data'!$D:$D,DataViz!$B11),SUMIFS('Supply planning data'!K:K,'Supply planning data'!$D:$D,DataViz!$B11,'Supply planning data'!$C:$C,DataViz!$A$1))</f>
        <v>0</v>
      </c>
      <c r="M11" s="14">
        <f>IF(IF($A$1="All",SUMIFS('Supply planning data'!M:M,'Supply planning data'!$D:$D,DataViz!$B11),SUMIFS('Supply planning data'!M:M,'Supply planning data'!$D:$D,DataViz!$B11,'Supply planning data'!$C:$C,DataViz!$A$1))&lt;=0,NA(),IF($A$1="All",SUMIFS('Supply planning data'!M:M,'Supply planning data'!$D:$D,DataViz!$B11),SUMIFS('Supply planning data'!M:M,'Supply planning data'!$D:$D,DataViz!$B11,'Supply planning data'!$C:$C,DataViz!$A$1)))</f>
        <v>354830</v>
      </c>
      <c r="N11" s="14">
        <f>IF($A$1="All",SUMIFS('Supply planning data'!N:N,'Supply planning data'!$D:$D,DataViz!$B11),SUMIFS('Supply planning data'!N:N,'Supply planning data'!$D:$D,DataViz!$B11,'Supply planning data'!$C:$C,DataViz!$A$1))+IF($A$1="All",SUMIFS('Supply planning data'!P:P,'Supply planning data'!$D:$D,DataViz!$B11),SUMIFS('Supply planning data'!P:P,'Supply planning data'!$D:$D,DataViz!$B11,'Supply planning data'!$C:$C,DataViz!$A$1))</f>
        <v>0</v>
      </c>
      <c r="O11" s="14">
        <f>IF($A$1="All",SUMIFS('Supply planning data'!R:R,'Supply planning data'!$D:$D,DataViz!$B11),SUMIFS('Supply planning data'!R:R,'Supply planning data'!$D:$D,DataViz!$B11,'Supply planning data'!$C:$C,DataViz!$A$1))</f>
        <v>206400</v>
      </c>
      <c r="P11" s="14">
        <f>IF($A$1="All",SUMIFS('Supply planning data'!S:S,'Supply planning data'!$D:$D,DataViz!$B11),SUMIFS('Supply planning data'!S:S,'Supply planning data'!$D:$D,DataViz!$B11,'Supply planning data'!$C:$C,DataViz!$A$1))</f>
        <v>0</v>
      </c>
      <c r="Q11" s="14">
        <f>IF($A$1="All",SUMIFS('Supply planning data'!T:T,'Supply planning data'!$D:$D,DataViz!$B11),SUMIFS('Supply planning data'!T:T,'Supply planning data'!$D:$D,DataViz!$B11,'Supply planning data'!$C:$C,DataViz!$A$1))</f>
        <v>0</v>
      </c>
      <c r="R11" s="14">
        <f>IF($A$1="All",SUMIFS('Supply planning data'!U:U,'Supply planning data'!$D:$D,DataViz!$B11),SUMIFS('Supply planning data'!U:U,'Supply planning data'!$D:$D,DataViz!$B11,'Supply planning data'!$C:$C,DataViz!$A$1))</f>
        <v>0</v>
      </c>
      <c r="S11" s="14">
        <f>IF($A$1="All",SUMIFS('Supply planning data'!V:V,'Supply planning data'!$D:$D,DataViz!$B11),SUMIFS('Supply planning data'!V:V,'Supply planning data'!$D:$D,DataViz!$B11,'Supply planning data'!$C:$C,DataViz!$A$1))</f>
        <v>246117</v>
      </c>
      <c r="T11" s="14"/>
      <c r="U11" s="14">
        <f>IF($A$1="All",SUMIFS('Supply planning data'!Y:Y,'Supply planning data'!$D:$D,DataViz!$B11),SUMIFS('Supply planning data'!Y:Y,'Supply planning data'!$D:$D,DataViz!$B11,'Supply planning data'!$C:$C,DataViz!$A$1))</f>
        <v>0</v>
      </c>
      <c r="V11" s="14">
        <f t="shared" si="8"/>
        <v>68876</v>
      </c>
      <c r="W11" s="350">
        <f t="shared" ref="W11:W29" si="10">IF(M11&lt;=0,NA(),S11/(SUM(L9:L11,J9:J11)/3))</f>
        <v>1.7319051517276807</v>
      </c>
      <c r="Y11" s="14">
        <f>IF($A$1="All",SUMIFS('Supply planning data'!$X:$X,'Supply planning data'!$D:$D,DataViz!$B11),SUMIFS('Supply planning data'!$X:$X,'Supply planning data'!$D:$D,DataViz!$B11,'Supply planning data'!$C:$C,DataViz!$A$1))</f>
        <v>1300947</v>
      </c>
      <c r="Z11" s="14">
        <f>IF($A$1="All",SUMIFS('Supply planning data'!$AB:$AB,'Supply planning data'!$D:$D,DataViz!$B11),SUMIFS('Supply planning data'!$AB:$AB,'Supply planning data'!$D:$D,DataViz!$B11,'Supply planning data'!$C:$C,DataViz!$A$1))</f>
        <v>0</v>
      </c>
      <c r="AA11" s="14">
        <f>IF($A$1="All",SUMIFS('Supply planning data'!$Y:$Y,'Supply planning data'!$D:$D,DataViz!$B11),SUMIFS('Supply planning data'!$Y:$Y,'Supply planning data'!$D:$D,DataViz!$B11,'Supply planning data'!$C:$C,DataViz!$A$1))</f>
        <v>0</v>
      </c>
      <c r="AB11" s="14"/>
      <c r="AC11" s="14" t="e">
        <f>IF(IF($A$1="All",SUMIFS('Supply planning data'!$AA:$AA,'Supply planning data'!$D:$D,DataViz!$B11),SUMIFS('Supply planning data'!$AA:$AA,'Supply planning data'!$D:$D,DataViz!$B11,'Supply planning data'!$C:$C,DataViz!$A$1))&lt;=0,NA(),IF($A$1="All",SUMIFS('Supply planning data'!$AA:$AA,'Supply planning data'!$D:$D,DataViz!$B11),SUMIFS('Supply planning data'!$AA:$AA,'Supply planning data'!$D:$D,DataViz!$B11,'Supply planning data'!$C:$C,DataViz!$A$1)))</f>
        <v>#N/A</v>
      </c>
      <c r="AD11" s="14">
        <f>IF($A$1="All",SUMIFS('Supply planning data'!$AE:$AE,'Supply planning data'!$D:$D,DataViz!$B11),SUMIFS('Supply planning data'!$AE:$AE,'Supply planning data'!$D:$D,DataViz!$B11,'Supply planning data'!$C:$C,DataViz!$A$1))</f>
        <v>1152517</v>
      </c>
      <c r="AE11" s="18">
        <f>IF($J11+K11+IF($A$1="All",SUMIFS('Supply planning data'!$AJ:$AJ,'Supply planning data'!$D:$D,DataViz!$B11),SUMIFS('Supply planning data'!$AJ:$AJ,'Supply planning data'!$D:$D,DataViz!$B11,'Supply planning data'!$C:$C,DataViz!$A$1))&lt;=0,NA(),$J11+K11+IF($A$1="All",SUMIFS('Supply planning data'!$AJ:$AJ,'Supply planning data'!$D:$D,DataViz!$B11),SUMIFS('Supply planning data'!$AJ:$AJ,'Supply planning data'!$D:$D,DataViz!$B11,'Supply planning data'!$C:$C,DataViz!$A$1)))</f>
        <v>354830</v>
      </c>
      <c r="AF11">
        <f>IF($A$1="All",SUMIFS('Supply planning data'!AD:AD,'Supply planning data'!$D:$D,DataViz!$B11),SUMIFS('Supply planning data'!AD:AD,'Supply planning data'!$D:$D,DataViz!$B11,'Supply planning data'!$C:$C,DataViz!$A$1))</f>
        <v>0</v>
      </c>
      <c r="AG11" s="229">
        <f t="shared" si="5"/>
        <v>1.1479333333333332E-3</v>
      </c>
      <c r="AH11" s="230">
        <f>SUMIFS('Supply planning data'!Y:Y,'Supply planning data'!$D:$D,"&lt;="&amp;DataViz!$B10,'Supply planning data'!$C:$C,"Jansen")+(SUMIFS('Supply planning data'!Y:Y,'Supply planning data'!$D:$D,"&lt;="&amp;DataViz!$B10,'Supply planning data'!$C:$C,"&lt;&gt;Jansen")/2)+D11</f>
        <v>68876</v>
      </c>
      <c r="AI11" s="230">
        <f>IF($A$1="All",SUMIFS('Supply planning data'!$AG:$AG,'Supply planning data'!$D:$D,DataViz!$B11),SUMIFS('Supply planning data'!$AG:$AG,'Supply planning data'!$D:$D,DataViz!$B11,'Supply planning data'!$C:$C,DataViz!$A$1))</f>
        <v>300947</v>
      </c>
      <c r="AJ11" s="230">
        <f>IF($A$1="All",SUMIFS('Supply planning data'!$AK:$AK,'Supply planning data'!$D:$D,DataViz!$B11),SUMIFS('Supply planning data'!$AK:$AK,'Supply planning data'!$D:$D,DataViz!$B11,'Supply planning data'!$C:$C,DataViz!$A$1))</f>
        <v>0</v>
      </c>
      <c r="AK11" s="230">
        <f>IF($A$1="All",SUMIFS('Supply planning data'!$AH:$AH,'Supply planning data'!$D:$D,DataViz!$B11),SUMIFS('Supply planning data'!$AH:$AH,'Supply planning data'!$D:$D,DataViz!$B11,'Supply planning data'!$C:$C,DataViz!$A$1))</f>
        <v>0</v>
      </c>
      <c r="AL11" s="230"/>
      <c r="AM11" s="230" t="e">
        <f>IF(IF($A$1="All",SUMIFS('Supply planning data'!$AJ:$AJ,'Supply planning data'!$D:$D,DataViz!$B11),SUMIFS('Supply planning data'!$AJ:$AJ,'Supply planning data'!$D:$D,DataViz!$B11,'Supply planning data'!$C:$C,DataViz!$A$1))&lt;=0,NA(),IF($A$1="All",SUMIFS('Supply planning data'!$AJ:$AJ,'Supply planning data'!$D:$D,DataViz!$B11),SUMIFS('Supply planning data'!$AJ:$AJ,'Supply planning data'!$D:$D,DataViz!$B11,'Supply planning data'!$C:$C,DataViz!$A$1)))</f>
        <v>#N/A</v>
      </c>
      <c r="AN11" s="230">
        <f>IF($A$1="All",SUMIFS('Supply planning data'!$AN:$AN,'Supply planning data'!$D:$D,DataViz!$B11),SUMIFS('Supply planning data'!$AN:$AN,'Supply planning data'!$D:$D,DataViz!$B11,'Supply planning data'!$C:$C,DataViz!$A$1))</f>
        <v>246117</v>
      </c>
      <c r="AO11" s="231">
        <f>IF($J11+K11+IF($A$1="All",SUMIFS('Supply planning data'!$AJ:$AJ,'Supply planning data'!$D:$D,DataViz!$B11),SUMIFS('Supply planning data'!$AJ:$AJ,'Supply planning data'!$D:$D,DataViz!$B11,'Supply planning data'!$C:$C,DataViz!$A$1))&lt;=0,NA(),$J11+K11+IF($A$1="All",SUMIFS('Supply planning data'!$AJ:$AJ,'Supply planning data'!$D:$D,DataViz!$B11),SUMIFS('Supply planning data'!$AJ:$AJ,'Supply planning data'!$D:$D,DataViz!$B11,'Supply planning data'!$C:$C,DataViz!$A$1)))</f>
        <v>354830</v>
      </c>
      <c r="AP11">
        <f>IF($A$1="All",SUMIFS('Supply planning data'!AM:AM,'Supply planning data'!$D:$D,DataViz!$B11),SUMIFS('Supply planning data'!AM:AM,'Supply planning data'!$D:$D,DataViz!$B11,'Supply planning data'!$C:$C,DataViz!$A$1))</f>
        <v>0</v>
      </c>
      <c r="AQ11" s="229">
        <f t="shared" si="6"/>
        <v>1.1479333333333332E-3</v>
      </c>
      <c r="AR11" s="230">
        <f>SUMIFS('Supply planning data'!AH:AH,'Supply planning data'!$D:$D,"&lt;="&amp;DataViz!$B10,'Supply planning data'!$C:$C,"Jansen")+(SUMIFS('Supply planning data'!AH:AH,'Supply planning data'!$D:$D,"&lt;="&amp;DataViz!$B10,'Supply planning data'!$C:$C,"&lt;&gt;Jansen")/2)+D11</f>
        <v>68876</v>
      </c>
    </row>
    <row r="12" spans="1:44" x14ac:dyDescent="0.25">
      <c r="A12" s="20">
        <v>7</v>
      </c>
      <c r="B12" s="21">
        <f t="shared" si="9"/>
        <v>44470</v>
      </c>
      <c r="C12" s="22">
        <f>IF(VLOOKUP(Dashboard!$M$6,Start!$B$10:$E$12,4,FALSE)&gt;0,VLOOKUP(Dashboard!$M$6,Start!$B$10:$E$12,4, FALSE),VLOOKUP(Dashboard!$M$6,Start!$B$10:$E$12,3, FALSE))</f>
        <v>60000000</v>
      </c>
      <c r="D12" s="22">
        <f>IF($A$1="Jansen",SUMIFS('Supply planning data'!G:G,'Supply planning data'!$D:$D,"&lt;="&amp;DataViz!$B12,'Supply planning data'!$C:$C,"jansen"),IF($A$1="All",SUMIFS('Supply planning data'!H:H,'Supply planning data'!$D:$D,"&lt;="&amp;DataViz!$B12)+SUMIFS('Supply planning data'!G:G,'Supply planning data'!$D:$D,"&lt;="&amp;DataViz!$B12,'Supply planning data'!$C:$C,"Jansen"),SUMIFS('Supply planning data'!H:H,'Supply planning data'!$D:$D,"&lt;="&amp;DataViz!$B12,'Supply planning data'!$C:$C,DataViz!$A$1)))</f>
        <v>292088</v>
      </c>
      <c r="E12" s="23">
        <f t="shared" si="7"/>
        <v>4.8681333333333333E-3</v>
      </c>
      <c r="F12" s="14">
        <f>IF($A$1="All",SUMIFS('Supply planning data'!F:F,'Supply planning data'!$D:$D,DataViz!$B12),SUMIFS('Supply planning data'!F:F,'Supply planning data'!$D:$D,DataViz!$B12,'Supply planning data'!$C:$C,DataViz!$A$1))</f>
        <v>246117</v>
      </c>
      <c r="G12" s="14">
        <f>IF($A$1="All",SUMIFS('Supply planning data'!G:G,'Supply planning data'!$D:$D,DataViz!$B12),SUMIFS('Supply planning data'!G:G,'Supply planning data'!$D:$D,DataViz!$B12,'Supply planning data'!$C:$C,DataViz!$A$1))</f>
        <v>225324</v>
      </c>
      <c r="H12" s="14">
        <f>IF($A$1="All",SUMIFS('Supply planning data'!H:H,'Supply planning data'!$D:$D,DataViz!$B12),SUMIFS('Supply planning data'!H:H,'Supply planning data'!$D:$D,DataViz!$B12,'Supply planning data'!$C:$C,DataViz!$A$1))</f>
        <v>56984</v>
      </c>
      <c r="I12" s="14">
        <f>IF($A$1="All",SUMIFS('Supply planning data'!I:I,'Supply planning data'!$D:$D,DataViz!$B12),SUMIFS('Supply planning data'!I:I,'Supply planning data'!$D:$D,DataViz!$B12,'Supply planning data'!$C:$C,DataViz!$A$1))</f>
        <v>0</v>
      </c>
      <c r="J12" s="14">
        <f>IF($A$1="All",SUMIFS('Supply planning data'!J:J,'Supply planning data'!$D:$D,DataViz!$B12),SUMIFS('Supply planning data'!J:J,'Supply planning data'!$D:$D,DataViz!$B12,'Supply planning data'!$C:$C,DataViz!$A$1))</f>
        <v>282308</v>
      </c>
      <c r="K12" s="14">
        <f>IF($A$1="All",SUMIFS('Supply planning data'!L:L,'Supply planning data'!$D:$D,DataViz!$B12),SUMIFS('Supply planning data'!L:L,'Supply planning data'!$D:$D,DataViz!$B12,'Supply planning data'!$C:$C,DataViz!$A$1))</f>
        <v>0</v>
      </c>
      <c r="L12" s="14">
        <f>IF($A$1="All",SUMIFS('Supply planning data'!K:K,'Supply planning data'!$D:$D,DataViz!$B12),SUMIFS('Supply planning data'!K:K,'Supply planning data'!$D:$D,DataViz!$B12,'Supply planning data'!$C:$C,DataViz!$A$1))</f>
        <v>0</v>
      </c>
      <c r="M12" s="14">
        <f>IF(IF($A$1="All",SUMIFS('Supply planning data'!M:M,'Supply planning data'!$D:$D,DataViz!$B12),SUMIFS('Supply planning data'!M:M,'Supply planning data'!$D:$D,DataViz!$B12,'Supply planning data'!$C:$C,DataViz!$A$1))&lt;=0,NA(),IF($A$1="All",SUMIFS('Supply planning data'!M:M,'Supply planning data'!$D:$D,DataViz!$B12),SUMIFS('Supply planning data'!M:M,'Supply planning data'!$D:$D,DataViz!$B12,'Supply planning data'!$C:$C,DataViz!$A$1)))</f>
        <v>282308</v>
      </c>
      <c r="N12" s="14">
        <f>IF($A$1="All",SUMIFS('Supply planning data'!N:N,'Supply planning data'!$D:$D,DataViz!$B12),SUMIFS('Supply planning data'!N:N,'Supply planning data'!$D:$D,DataViz!$B12,'Supply planning data'!$C:$C,DataViz!$A$1))+IF($A$1="All",SUMIFS('Supply planning data'!P:P,'Supply planning data'!$D:$D,DataViz!$B12),SUMIFS('Supply planning data'!P:P,'Supply planning data'!$D:$D,DataViz!$B12,'Supply planning data'!$C:$C,DataViz!$A$1))</f>
        <v>0</v>
      </c>
      <c r="O12" s="14">
        <f>IF($A$1="All",SUMIFS('Supply planning data'!R:R,'Supply planning data'!$D:$D,DataViz!$B12),SUMIFS('Supply planning data'!R:R,'Supply planning data'!$D:$D,DataViz!$B12,'Supply planning data'!$C:$C,DataViz!$A$1))</f>
        <v>0</v>
      </c>
      <c r="P12" s="14">
        <f>IF($A$1="All",SUMIFS('Supply planning data'!S:S,'Supply planning data'!$D:$D,DataViz!$B12),SUMIFS('Supply planning data'!S:S,'Supply planning data'!$D:$D,DataViz!$B12,'Supply planning data'!$C:$C,DataViz!$A$1))</f>
        <v>0</v>
      </c>
      <c r="Q12" s="14">
        <f>IF($A$1="All",SUMIFS('Supply planning data'!T:T,'Supply planning data'!$D:$D,DataViz!$B12),SUMIFS('Supply planning data'!T:T,'Supply planning data'!$D:$D,DataViz!$B12,'Supply planning data'!$C:$C,DataViz!$A$1))</f>
        <v>0</v>
      </c>
      <c r="R12" s="14">
        <f>IF($A$1="All",SUMIFS('Supply planning data'!U:U,'Supply planning data'!$D:$D,DataViz!$B12),SUMIFS('Supply planning data'!U:U,'Supply planning data'!$D:$D,DataViz!$B12,'Supply planning data'!$C:$C,DataViz!$A$1))</f>
        <v>0</v>
      </c>
      <c r="S12" s="14">
        <f>IF($A$1="All",SUMIFS('Supply planning data'!V:V,'Supply planning data'!$D:$D,DataViz!$B12),SUMIFS('Supply planning data'!V:V,'Supply planning data'!$D:$D,DataViz!$B12,'Supply planning data'!$C:$C,DataViz!$A$1))</f>
        <v>79889</v>
      </c>
      <c r="T12" s="14"/>
      <c r="U12" s="14">
        <f>IF($A$1="All",SUMIFS('Supply planning data'!Y:Y,'Supply planning data'!$D:$D,DataViz!$B12),SUMIFS('Supply planning data'!Y:Y,'Supply planning data'!$D:$D,DataViz!$B12,'Supply planning data'!$C:$C,DataViz!$A$1))</f>
        <v>0</v>
      </c>
      <c r="V12" s="14">
        <f t="shared" si="8"/>
        <v>292088</v>
      </c>
      <c r="W12" s="350">
        <f t="shared" si="10"/>
        <v>0.37518844191605705</v>
      </c>
      <c r="Y12" s="14">
        <f>IF($A$1="All",SUMIFS('Supply planning data'!$X:$X,'Supply planning data'!$D:$D,DataViz!$B12),SUMIFS('Supply planning data'!$X:$X,'Supply planning data'!$D:$D,DataViz!$B12,'Supply planning data'!$C:$C,DataViz!$A$1))</f>
        <v>1152517</v>
      </c>
      <c r="Z12" s="14">
        <f>IF($A$1="All",SUMIFS('Supply planning data'!$AB:$AB,'Supply planning data'!$D:$D,DataViz!$B12),SUMIFS('Supply planning data'!$AB:$AB,'Supply planning data'!$D:$D,DataViz!$B12,'Supply planning data'!$C:$C,DataViz!$A$1))</f>
        <v>0</v>
      </c>
      <c r="AA12" s="14">
        <f>IF($A$1="All",SUMIFS('Supply planning data'!$Y:$Y,'Supply planning data'!$D:$D,DataViz!$B12),SUMIFS('Supply planning data'!$Y:$Y,'Supply planning data'!$D:$D,DataViz!$B12,'Supply planning data'!$C:$C,DataViz!$A$1))</f>
        <v>0</v>
      </c>
      <c r="AB12" s="14"/>
      <c r="AC12" s="14" t="e">
        <f>IF(IF($A$1="All",SUMIFS('Supply planning data'!$AA:$AA,'Supply planning data'!$D:$D,DataViz!$B12),SUMIFS('Supply planning data'!$AA:$AA,'Supply planning data'!$D:$D,DataViz!$B12,'Supply planning data'!$C:$C,DataViz!$A$1))&lt;=0,NA(),IF($A$1="All",SUMIFS('Supply planning data'!$AA:$AA,'Supply planning data'!$D:$D,DataViz!$B12),SUMIFS('Supply planning data'!$AA:$AA,'Supply planning data'!$D:$D,DataViz!$B12,'Supply planning data'!$C:$C,DataViz!$A$1)))</f>
        <v>#N/A</v>
      </c>
      <c r="AD12" s="14">
        <f>IF($A$1="All",SUMIFS('Supply planning data'!$AE:$AE,'Supply planning data'!$D:$D,DataViz!$B12),SUMIFS('Supply planning data'!$AE:$AE,'Supply planning data'!$D:$D,DataViz!$B12,'Supply planning data'!$C:$C,DataViz!$A$1))</f>
        <v>870209</v>
      </c>
      <c r="AE12" s="18">
        <f>IF($J12+K12+IF($A$1="All",SUMIFS('Supply planning data'!$AJ:$AJ,'Supply planning data'!$D:$D,DataViz!$B12),SUMIFS('Supply planning data'!$AJ:$AJ,'Supply planning data'!$D:$D,DataViz!$B12,'Supply planning data'!$C:$C,DataViz!$A$1))&lt;=0,NA(),$J12+K12+IF($A$1="All",SUMIFS('Supply planning data'!$AJ:$AJ,'Supply planning data'!$D:$D,DataViz!$B12),SUMIFS('Supply planning data'!$AJ:$AJ,'Supply planning data'!$D:$D,DataViz!$B12,'Supply planning data'!$C:$C,DataViz!$A$1)))</f>
        <v>282308</v>
      </c>
      <c r="AF12">
        <f>IF($A$1="All",SUMIFS('Supply planning data'!AD:AD,'Supply planning data'!$D:$D,DataViz!$B12),SUMIFS('Supply planning data'!AD:AD,'Supply planning data'!$D:$D,DataViz!$B12,'Supply planning data'!$C:$C,DataViz!$A$1))</f>
        <v>0</v>
      </c>
      <c r="AG12" s="229">
        <f t="shared" si="5"/>
        <v>4.8681333333333333E-3</v>
      </c>
      <c r="AH12" s="230">
        <f>SUMIFS('Supply planning data'!Y:Y,'Supply planning data'!$D:$D,"&lt;="&amp;DataViz!$B11,'Supply planning data'!$C:$C,"Jansen")+(SUMIFS('Supply planning data'!Y:Y,'Supply planning data'!$D:$D,"&lt;="&amp;DataViz!$B11,'Supply planning data'!$C:$C,"&lt;&gt;Jansen")/2)+D12</f>
        <v>292088</v>
      </c>
      <c r="AI12" s="230">
        <f>IF($A$1="All",SUMIFS('Supply planning data'!$AG:$AG,'Supply planning data'!$D:$D,DataViz!$B12),SUMIFS('Supply planning data'!$AG:$AG,'Supply planning data'!$D:$D,DataViz!$B12,'Supply planning data'!$C:$C,DataViz!$A$1))</f>
        <v>246117</v>
      </c>
      <c r="AJ12" s="230">
        <f>IF($A$1="All",SUMIFS('Supply planning data'!$AK:$AK,'Supply planning data'!$D:$D,DataViz!$B12),SUMIFS('Supply planning data'!$AK:$AK,'Supply planning data'!$D:$D,DataViz!$B12,'Supply planning data'!$C:$C,DataViz!$A$1))</f>
        <v>0</v>
      </c>
      <c r="AK12" s="230">
        <f>IF($A$1="All",SUMIFS('Supply planning data'!$AH:$AH,'Supply planning data'!$D:$D,DataViz!$B12),SUMIFS('Supply planning data'!$AH:$AH,'Supply planning data'!$D:$D,DataViz!$B12,'Supply planning data'!$C:$C,DataViz!$A$1))</f>
        <v>0</v>
      </c>
      <c r="AL12" s="230"/>
      <c r="AM12" s="230" t="e">
        <f>IF(IF($A$1="All",SUMIFS('Supply planning data'!$AJ:$AJ,'Supply planning data'!$D:$D,DataViz!$B12),SUMIFS('Supply planning data'!$AJ:$AJ,'Supply planning data'!$D:$D,DataViz!$B12,'Supply planning data'!$C:$C,DataViz!$A$1))&lt;=0,NA(),IF($A$1="All",SUMIFS('Supply planning data'!$AJ:$AJ,'Supply planning data'!$D:$D,DataViz!$B12),SUMIFS('Supply planning data'!$AJ:$AJ,'Supply planning data'!$D:$D,DataViz!$B12,'Supply planning data'!$C:$C,DataViz!$A$1)))</f>
        <v>#N/A</v>
      </c>
      <c r="AN12" s="230">
        <f>IF($A$1="All",SUMIFS('Supply planning data'!$AN:$AN,'Supply planning data'!$D:$D,DataViz!$B12),SUMIFS('Supply planning data'!$AN:$AN,'Supply planning data'!$D:$D,DataViz!$B12,'Supply planning data'!$C:$C,DataViz!$A$1))</f>
        <v>79889</v>
      </c>
      <c r="AO12" s="231">
        <f>IF($J12+K12+IF($A$1="All",SUMIFS('Supply planning data'!$AJ:$AJ,'Supply planning data'!$D:$D,DataViz!$B12),SUMIFS('Supply planning data'!$AJ:$AJ,'Supply planning data'!$D:$D,DataViz!$B12,'Supply planning data'!$C:$C,DataViz!$A$1))&lt;=0,NA(),$J12+K12+IF($A$1="All",SUMIFS('Supply planning data'!$AJ:$AJ,'Supply planning data'!$D:$D,DataViz!$B12),SUMIFS('Supply planning data'!$AJ:$AJ,'Supply planning data'!$D:$D,DataViz!$B12,'Supply planning data'!$C:$C,DataViz!$A$1)))</f>
        <v>282308</v>
      </c>
      <c r="AP12">
        <f>IF($A$1="All",SUMIFS('Supply planning data'!AM:AM,'Supply planning data'!$D:$D,DataViz!$B12),SUMIFS('Supply planning data'!AM:AM,'Supply planning data'!$D:$D,DataViz!$B12,'Supply planning data'!$C:$C,DataViz!$A$1))</f>
        <v>0</v>
      </c>
      <c r="AQ12" s="229">
        <f t="shared" si="6"/>
        <v>4.8681333333333333E-3</v>
      </c>
      <c r="AR12" s="230">
        <f>SUMIFS('Supply planning data'!AH:AH,'Supply planning data'!$D:$D,"&lt;="&amp;DataViz!$B11,'Supply planning data'!$C:$C,"Jansen")+(SUMIFS('Supply planning data'!AH:AH,'Supply planning data'!$D:$D,"&lt;="&amp;DataViz!$B11,'Supply planning data'!$C:$C,"&lt;&gt;Jansen")/2)+D12</f>
        <v>292088</v>
      </c>
    </row>
    <row r="13" spans="1:44" x14ac:dyDescent="0.25">
      <c r="A13" s="20">
        <v>8</v>
      </c>
      <c r="B13" s="21">
        <f t="shared" si="9"/>
        <v>44501</v>
      </c>
      <c r="C13" s="22">
        <f>IF(VLOOKUP(Dashboard!$M$6,Start!$B$10:$E$12,4,FALSE)&gt;0,VLOOKUP(Dashboard!$M$6,Start!$B$10:$E$12,4, FALSE),VLOOKUP(Dashboard!$M$6,Start!$B$10:$E$12,3, FALSE))</f>
        <v>60000000</v>
      </c>
      <c r="D13" s="22">
        <f>IF($A$1="Jansen",SUMIFS('Supply planning data'!G:G,'Supply planning data'!$D:$D,"&lt;="&amp;DataViz!$B13,'Supply planning data'!$C:$C,"jansen"),IF($A$1="All",SUMIFS('Supply planning data'!H:H,'Supply planning data'!$D:$D,"&lt;="&amp;DataViz!$B13)+SUMIFS('Supply planning data'!G:G,'Supply planning data'!$D:$D,"&lt;="&amp;DataViz!$B13,'Supply planning data'!$C:$C,"Jansen"),SUMIFS('Supply planning data'!H:H,'Supply planning data'!$D:$D,"&lt;="&amp;DataViz!$B13,'Supply planning data'!$C:$C,DataViz!$A$1)))</f>
        <v>675083</v>
      </c>
      <c r="E13" s="23">
        <f t="shared" si="7"/>
        <v>1.1251383333333333E-2</v>
      </c>
      <c r="F13" s="14">
        <f>IF($A$1="All",SUMIFS('Supply planning data'!F:F,'Supply planning data'!$D:$D,DataViz!$B13),SUMIFS('Supply planning data'!F:F,'Supply planning data'!$D:$D,DataViz!$B13,'Supply planning data'!$C:$C,DataViz!$A$1))</f>
        <v>79889</v>
      </c>
      <c r="G13" s="14">
        <f>IF($A$1="All",SUMIFS('Supply planning data'!G:G,'Supply planning data'!$D:$D,DataViz!$B13),SUMIFS('Supply planning data'!G:G,'Supply planning data'!$D:$D,DataViz!$B13,'Supply planning data'!$C:$C,DataViz!$A$1))</f>
        <v>382601</v>
      </c>
      <c r="H13" s="14">
        <f>IF($A$1="All",SUMIFS('Supply planning data'!H:H,'Supply planning data'!$D:$D,DataViz!$B13),SUMIFS('Supply planning data'!H:H,'Supply planning data'!$D:$D,DataViz!$B13,'Supply planning data'!$C:$C,DataViz!$A$1))</f>
        <v>18374</v>
      </c>
      <c r="I13" s="14">
        <f>IF($A$1="All",SUMIFS('Supply planning data'!I:I,'Supply planning data'!$D:$D,DataViz!$B13),SUMIFS('Supply planning data'!I:I,'Supply planning data'!$D:$D,DataViz!$B13,'Supply planning data'!$C:$C,DataViz!$A$1))</f>
        <v>0</v>
      </c>
      <c r="J13" s="14">
        <f>IF($A$1="All",SUMIFS('Supply planning data'!J:J,'Supply planning data'!$D:$D,DataViz!$B13),SUMIFS('Supply planning data'!J:J,'Supply planning data'!$D:$D,DataViz!$B13,'Supply planning data'!$C:$C,DataViz!$A$1))</f>
        <v>400975</v>
      </c>
      <c r="K13" s="14">
        <f>IF($A$1="All",SUMIFS('Supply planning data'!L:L,'Supply planning data'!$D:$D,DataViz!$B13),SUMIFS('Supply planning data'!L:L,'Supply planning data'!$D:$D,DataViz!$B13,'Supply planning data'!$C:$C,DataViz!$A$1))</f>
        <v>1.6455442774826463E-3</v>
      </c>
      <c r="L13" s="14">
        <f>IF($A$1="All",SUMIFS('Supply planning data'!K:K,'Supply planning data'!$D:$D,DataViz!$B13),SUMIFS('Supply planning data'!K:K,'Supply planning data'!$D:$D,DataViz!$B13,'Supply planning data'!$C:$C,DataViz!$A$1))</f>
        <v>600</v>
      </c>
      <c r="M13" s="14">
        <f>IF(IF($A$1="All",SUMIFS('Supply planning data'!M:M,'Supply planning data'!$D:$D,DataViz!$B13),SUMIFS('Supply planning data'!M:M,'Supply planning data'!$D:$D,DataViz!$B13,'Supply planning data'!$C:$C,DataViz!$A$1))&lt;=0,NA(),IF($A$1="All",SUMIFS('Supply planning data'!M:M,'Supply planning data'!$D:$D,DataViz!$B13),SUMIFS('Supply planning data'!M:M,'Supply planning data'!$D:$D,DataViz!$B13,'Supply planning data'!$C:$C,DataViz!$A$1)))</f>
        <v>401575</v>
      </c>
      <c r="N13" s="14">
        <f>IF($A$1="All",SUMIFS('Supply planning data'!N:N,'Supply planning data'!$D:$D,DataViz!$B13),SUMIFS('Supply planning data'!N:N,'Supply planning data'!$D:$D,DataViz!$B13,'Supply planning data'!$C:$C,DataViz!$A$1))+IF($A$1="All",SUMIFS('Supply planning data'!P:P,'Supply planning data'!$D:$D,DataViz!$B13),SUMIFS('Supply planning data'!P:P,'Supply planning data'!$D:$D,DataViz!$B13,'Supply planning data'!$C:$C,DataViz!$A$1))</f>
        <v>0</v>
      </c>
      <c r="O13" s="14">
        <f>IF($A$1="All",SUMIFS('Supply planning data'!R:R,'Supply planning data'!$D:$D,DataViz!$B13),SUMIFS('Supply planning data'!R:R,'Supply planning data'!$D:$D,DataViz!$B13,'Supply planning data'!$C:$C,DataViz!$A$1))</f>
        <v>1355200</v>
      </c>
      <c r="P13" s="14">
        <f>IF($A$1="All",SUMIFS('Supply planning data'!S:S,'Supply planning data'!$D:$D,DataViz!$B13),SUMIFS('Supply planning data'!S:S,'Supply planning data'!$D:$D,DataViz!$B13,'Supply planning data'!$C:$C,DataViz!$A$1))</f>
        <v>0</v>
      </c>
      <c r="Q13" s="14">
        <f>IF($A$1="All",SUMIFS('Supply planning data'!T:T,'Supply planning data'!$D:$D,DataViz!$B13),SUMIFS('Supply planning data'!T:T,'Supply planning data'!$D:$D,DataViz!$B13,'Supply planning data'!$C:$C,DataViz!$A$1))</f>
        <v>0</v>
      </c>
      <c r="R13" s="14">
        <f>IF($A$1="All",SUMIFS('Supply planning data'!U:U,'Supply planning data'!$D:$D,DataViz!$B13),SUMIFS('Supply planning data'!U:U,'Supply planning data'!$D:$D,DataViz!$B13,'Supply planning data'!$C:$C,DataViz!$A$1))</f>
        <v>0</v>
      </c>
      <c r="S13" s="14">
        <f>IF($A$1="All",SUMIFS('Supply planning data'!V:V,'Supply planning data'!$D:$D,DataViz!$B13),SUMIFS('Supply planning data'!V:V,'Supply planning data'!$D:$D,DataViz!$B13,'Supply planning data'!$C:$C,DataViz!$A$1))</f>
        <v>1033514</v>
      </c>
      <c r="T13" s="14"/>
      <c r="U13" s="14">
        <f>IF($A$1="All",SUMIFS('Supply planning data'!Y:Y,'Supply planning data'!$D:$D,DataViz!$B13),SUMIFS('Supply planning data'!Y:Y,'Supply planning data'!$D:$D,DataViz!$B13,'Supply planning data'!$C:$C,DataViz!$A$1))</f>
        <v>0</v>
      </c>
      <c r="V13" s="14">
        <f t="shared" si="8"/>
        <v>675083</v>
      </c>
      <c r="W13" s="350">
        <f t="shared" si="10"/>
        <v>2.9849843026899632</v>
      </c>
      <c r="Y13" s="14">
        <f>IF($A$1="All",SUMIFS('Supply planning data'!$X:$X,'Supply planning data'!$D:$D,DataViz!$B13),SUMIFS('Supply planning data'!$X:$X,'Supply planning data'!$D:$D,DataViz!$B13,'Supply planning data'!$C:$C,DataViz!$A$1))</f>
        <v>870209</v>
      </c>
      <c r="Z13" s="14">
        <f>IF($A$1="All",SUMIFS('Supply planning data'!$AB:$AB,'Supply planning data'!$D:$D,DataViz!$B13),SUMIFS('Supply planning data'!$AB:$AB,'Supply planning data'!$D:$D,DataViz!$B13,'Supply planning data'!$C:$C,DataViz!$A$1))</f>
        <v>0</v>
      </c>
      <c r="AA13" s="14">
        <f>IF($A$1="All",SUMIFS('Supply planning data'!$Y:$Y,'Supply planning data'!$D:$D,DataViz!$B13),SUMIFS('Supply planning data'!$Y:$Y,'Supply planning data'!$D:$D,DataViz!$B13,'Supply planning data'!$C:$C,DataViz!$A$1))</f>
        <v>0</v>
      </c>
      <c r="AB13" s="14"/>
      <c r="AC13" s="14" t="e">
        <f>IF(IF($A$1="All",SUMIFS('Supply planning data'!$AA:$AA,'Supply planning data'!$D:$D,DataViz!$B13),SUMIFS('Supply planning data'!$AA:$AA,'Supply planning data'!$D:$D,DataViz!$B13,'Supply planning data'!$C:$C,DataViz!$A$1))&lt;=0,NA(),IF($A$1="All",SUMIFS('Supply planning data'!$AA:$AA,'Supply planning data'!$D:$D,DataViz!$B13),SUMIFS('Supply planning data'!$AA:$AA,'Supply planning data'!$D:$D,DataViz!$B13,'Supply planning data'!$C:$C,DataViz!$A$1)))</f>
        <v>#N/A</v>
      </c>
      <c r="AD13" s="14">
        <f>IF($A$1="All",SUMIFS('Supply planning data'!$AE:$AE,'Supply planning data'!$D:$D,DataViz!$B13),SUMIFS('Supply planning data'!$AE:$AE,'Supply planning data'!$D:$D,DataViz!$B13,'Supply planning data'!$C:$C,DataViz!$A$1))</f>
        <v>1823834</v>
      </c>
      <c r="AE13" s="18">
        <f>IF($J13+K13+IF($A$1="All",SUMIFS('Supply planning data'!$AJ:$AJ,'Supply planning data'!$D:$D,DataViz!$B13),SUMIFS('Supply planning data'!$AJ:$AJ,'Supply planning data'!$D:$D,DataViz!$B13,'Supply planning data'!$C:$C,DataViz!$A$1))&lt;=0,NA(),$J13+K13+IF($A$1="All",SUMIFS('Supply planning data'!$AJ:$AJ,'Supply planning data'!$D:$D,DataViz!$B13),SUMIFS('Supply planning data'!$AJ:$AJ,'Supply planning data'!$D:$D,DataViz!$B13,'Supply planning data'!$C:$C,DataViz!$A$1)))</f>
        <v>400975.00164554425</v>
      </c>
      <c r="AF13">
        <f>IF($A$1="All",SUMIFS('Supply planning data'!AD:AD,'Supply planning data'!$D:$D,DataViz!$B13),SUMIFS('Supply planning data'!AD:AD,'Supply planning data'!$D:$D,DataViz!$B13,'Supply planning data'!$C:$C,DataViz!$A$1))</f>
        <v>0</v>
      </c>
      <c r="AG13" s="229">
        <f t="shared" si="5"/>
        <v>1.1251383333333333E-2</v>
      </c>
      <c r="AH13" s="230">
        <f>SUMIFS('Supply planning data'!Y:Y,'Supply planning data'!$D:$D,"&lt;="&amp;DataViz!$B12,'Supply planning data'!$C:$C,"Jansen")+(SUMIFS('Supply planning data'!Y:Y,'Supply planning data'!$D:$D,"&lt;="&amp;DataViz!$B12,'Supply planning data'!$C:$C,"&lt;&gt;Jansen")/2)+D13</f>
        <v>675083</v>
      </c>
      <c r="AI13" s="230">
        <f>IF($A$1="All",SUMIFS('Supply planning data'!$AG:$AG,'Supply planning data'!$D:$D,DataViz!$B13),SUMIFS('Supply planning data'!$AG:$AG,'Supply planning data'!$D:$D,DataViz!$B13,'Supply planning data'!$C:$C,DataViz!$A$1))</f>
        <v>79889</v>
      </c>
      <c r="AJ13" s="230">
        <f>IF($A$1="All",SUMIFS('Supply planning data'!$AK:$AK,'Supply planning data'!$D:$D,DataViz!$B13),SUMIFS('Supply planning data'!$AK:$AK,'Supply planning data'!$D:$D,DataViz!$B13,'Supply planning data'!$C:$C,DataViz!$A$1))</f>
        <v>0</v>
      </c>
      <c r="AK13" s="230">
        <f>IF($A$1="All",SUMIFS('Supply planning data'!$AH:$AH,'Supply planning data'!$D:$D,DataViz!$B13),SUMIFS('Supply planning data'!$AH:$AH,'Supply planning data'!$D:$D,DataViz!$B13,'Supply planning data'!$C:$C,DataViz!$A$1))</f>
        <v>0</v>
      </c>
      <c r="AL13" s="230"/>
      <c r="AM13" s="230" t="e">
        <f>IF(IF($A$1="All",SUMIFS('Supply planning data'!$AJ:$AJ,'Supply planning data'!$D:$D,DataViz!$B13),SUMIFS('Supply planning data'!$AJ:$AJ,'Supply planning data'!$D:$D,DataViz!$B13,'Supply planning data'!$C:$C,DataViz!$A$1))&lt;=0,NA(),IF($A$1="All",SUMIFS('Supply planning data'!$AJ:$AJ,'Supply planning data'!$D:$D,DataViz!$B13),SUMIFS('Supply planning data'!$AJ:$AJ,'Supply planning data'!$D:$D,DataViz!$B13,'Supply planning data'!$C:$C,DataViz!$A$1)))</f>
        <v>#N/A</v>
      </c>
      <c r="AN13" s="230">
        <f>IF($A$1="All",SUMIFS('Supply planning data'!$AN:$AN,'Supply planning data'!$D:$D,DataViz!$B13),SUMIFS('Supply planning data'!$AN:$AN,'Supply planning data'!$D:$D,DataViz!$B13,'Supply planning data'!$C:$C,DataViz!$A$1))</f>
        <v>1033514</v>
      </c>
      <c r="AO13" s="231">
        <f>IF($J13+K13+IF($A$1="All",SUMIFS('Supply planning data'!$AJ:$AJ,'Supply planning data'!$D:$D,DataViz!$B13),SUMIFS('Supply planning data'!$AJ:$AJ,'Supply planning data'!$D:$D,DataViz!$B13,'Supply planning data'!$C:$C,DataViz!$A$1))&lt;=0,NA(),$J13+K13+IF($A$1="All",SUMIFS('Supply planning data'!$AJ:$AJ,'Supply planning data'!$D:$D,DataViz!$B13),SUMIFS('Supply planning data'!$AJ:$AJ,'Supply planning data'!$D:$D,DataViz!$B13,'Supply planning data'!$C:$C,DataViz!$A$1)))</f>
        <v>400975.00164554425</v>
      </c>
      <c r="AP13">
        <f>IF($A$1="All",SUMIFS('Supply planning data'!AM:AM,'Supply planning data'!$D:$D,DataViz!$B13),SUMIFS('Supply planning data'!AM:AM,'Supply planning data'!$D:$D,DataViz!$B13,'Supply planning data'!$C:$C,DataViz!$A$1))</f>
        <v>0</v>
      </c>
      <c r="AQ13" s="229">
        <f t="shared" si="6"/>
        <v>1.1251383333333333E-2</v>
      </c>
      <c r="AR13" s="230">
        <f>SUMIFS('Supply planning data'!AH:AH,'Supply planning data'!$D:$D,"&lt;="&amp;DataViz!$B12,'Supply planning data'!$C:$C,"Jansen")+(SUMIFS('Supply planning data'!AH:AH,'Supply planning data'!$D:$D,"&lt;="&amp;DataViz!$B12,'Supply planning data'!$C:$C,"&lt;&gt;Jansen")/2)+D13</f>
        <v>675083</v>
      </c>
    </row>
    <row r="14" spans="1:44" x14ac:dyDescent="0.25">
      <c r="A14" s="20">
        <v>9</v>
      </c>
      <c r="B14" s="21">
        <f t="shared" si="9"/>
        <v>44531</v>
      </c>
      <c r="C14" s="22">
        <f>IF(VLOOKUP(Dashboard!$M$6,Start!$B$10:$E$12,4,FALSE)&gt;0,VLOOKUP(Dashboard!$M$6,Start!$B$10:$E$12,4, FALSE),VLOOKUP(Dashboard!$M$6,Start!$B$10:$E$12,3, FALSE))</f>
        <v>60000000</v>
      </c>
      <c r="D14" s="22">
        <f>IF($A$1="Jansen",SUMIFS('Supply planning data'!G:G,'Supply planning data'!$D:$D,"&lt;="&amp;DataViz!$B14,'Supply planning data'!$C:$C,"jansen"),IF($A$1="All",SUMIFS('Supply planning data'!H:H,'Supply planning data'!$D:$D,"&lt;="&amp;DataViz!$B14)+SUMIFS('Supply planning data'!G:G,'Supply planning data'!$D:$D,"&lt;="&amp;DataViz!$B14,'Supply planning data'!$C:$C,"Jansen"),SUMIFS('Supply planning data'!H:H,'Supply planning data'!$D:$D,"&lt;="&amp;DataViz!$B14,'Supply planning data'!$C:$C,DataViz!$A$1)))</f>
        <v>1139671</v>
      </c>
      <c r="E14" s="23">
        <f t="shared" si="7"/>
        <v>1.8994516666666666E-2</v>
      </c>
      <c r="F14" s="14">
        <f>IF($A$1="All",SUMIFS('Supply planning data'!F:F,'Supply planning data'!$D:$D,DataViz!$B14),SUMIFS('Supply planning data'!F:F,'Supply planning data'!$D:$D,DataViz!$B14,'Supply planning data'!$C:$C,DataViz!$A$1))</f>
        <v>1033514</v>
      </c>
      <c r="G14" s="14">
        <f>IF($A$1="All",SUMIFS('Supply planning data'!G:G,'Supply planning data'!$D:$D,DataViz!$B14),SUMIFS('Supply planning data'!G:G,'Supply planning data'!$D:$D,DataViz!$B14,'Supply planning data'!$C:$C,DataViz!$A$1))</f>
        <v>515578</v>
      </c>
      <c r="H14" s="14">
        <f>IF($A$1="All",SUMIFS('Supply planning data'!H:H,'Supply planning data'!$D:$D,DataViz!$B14),SUMIFS('Supply planning data'!H:H,'Supply planning data'!$D:$D,DataViz!$B14,'Supply planning data'!$C:$C,DataViz!$A$1))</f>
        <v>67691</v>
      </c>
      <c r="I14" s="14">
        <f>IF($A$1="All",SUMIFS('Supply planning data'!I:I,'Supply planning data'!$D:$D,DataViz!$B14),SUMIFS('Supply planning data'!I:I,'Supply planning data'!$D:$D,DataViz!$B14,'Supply planning data'!$C:$C,DataViz!$A$1))</f>
        <v>0</v>
      </c>
      <c r="J14" s="14">
        <f>IF($A$1="All",SUMIFS('Supply planning data'!J:J,'Supply planning data'!$D:$D,DataViz!$B14),SUMIFS('Supply planning data'!J:J,'Supply planning data'!$D:$D,DataViz!$B14,'Supply planning data'!$C:$C,DataViz!$A$1))</f>
        <v>583269</v>
      </c>
      <c r="K14" s="14">
        <f>IF($A$1="All",SUMIFS('Supply planning data'!L:L,'Supply planning data'!$D:$D,DataViz!$B14),SUMIFS('Supply planning data'!L:L,'Supply planning data'!$D:$D,DataViz!$B14,'Supply planning data'!$C:$C,DataViz!$A$1))</f>
        <v>6.0469088957588492E-4</v>
      </c>
      <c r="L14" s="14">
        <f>IF($A$1="All",SUMIFS('Supply planning data'!K:K,'Supply planning data'!$D:$D,DataViz!$B14),SUMIFS('Supply planning data'!K:K,'Supply planning data'!$D:$D,DataViz!$B14,'Supply planning data'!$C:$C,DataViz!$A$1))</f>
        <v>240</v>
      </c>
      <c r="M14" s="14">
        <f>IF(IF($A$1="All",SUMIFS('Supply planning data'!M:M,'Supply planning data'!$D:$D,DataViz!$B14),SUMIFS('Supply planning data'!M:M,'Supply planning data'!$D:$D,DataViz!$B14,'Supply planning data'!$C:$C,DataViz!$A$1))&lt;=0,NA(),IF($A$1="All",SUMIFS('Supply planning data'!M:M,'Supply planning data'!$D:$D,DataViz!$B14),SUMIFS('Supply planning data'!M:M,'Supply planning data'!$D:$D,DataViz!$B14,'Supply planning data'!$C:$C,DataViz!$A$1)))</f>
        <v>583509</v>
      </c>
      <c r="N14" s="14">
        <f>IF($A$1="All",SUMIFS('Supply planning data'!N:N,'Supply planning data'!$D:$D,DataViz!$B14),SUMIFS('Supply planning data'!N:N,'Supply planning data'!$D:$D,DataViz!$B14,'Supply planning data'!$C:$C,DataViz!$A$1))+IF($A$1="All",SUMIFS('Supply planning data'!P:P,'Supply planning data'!$D:$D,DataViz!$B14),SUMIFS('Supply planning data'!P:P,'Supply planning data'!$D:$D,DataViz!$B14,'Supply planning data'!$C:$C,DataViz!$A$1))</f>
        <v>0</v>
      </c>
      <c r="O14" s="14">
        <f>IF($A$1="All",SUMIFS('Supply planning data'!R:R,'Supply planning data'!$D:$D,DataViz!$B14),SUMIFS('Supply planning data'!R:R,'Supply planning data'!$D:$D,DataViz!$B14,'Supply planning data'!$C:$C,DataViz!$A$1))</f>
        <v>0</v>
      </c>
      <c r="P14" s="14">
        <f>IF($A$1="All",SUMIFS('Supply planning data'!S:S,'Supply planning data'!$D:$D,DataViz!$B14),SUMIFS('Supply planning data'!S:S,'Supply planning data'!$D:$D,DataViz!$B14,'Supply planning data'!$C:$C,DataViz!$A$1))</f>
        <v>0</v>
      </c>
      <c r="Q14" s="14">
        <f>IF($A$1="All",SUMIFS('Supply planning data'!T:T,'Supply planning data'!$D:$D,DataViz!$B14),SUMIFS('Supply planning data'!T:T,'Supply planning data'!$D:$D,DataViz!$B14,'Supply planning data'!$C:$C,DataViz!$A$1))</f>
        <v>0</v>
      </c>
      <c r="R14" s="14">
        <f>IF($A$1="All",SUMIFS('Supply planning data'!U:U,'Supply planning data'!$D:$D,DataViz!$B14),SUMIFS('Supply planning data'!U:U,'Supply planning data'!$D:$D,DataViz!$B14,'Supply planning data'!$C:$C,DataViz!$A$1))</f>
        <v>0</v>
      </c>
      <c r="S14" s="14">
        <f>IF($A$1="All",SUMIFS('Supply planning data'!V:V,'Supply planning data'!$D:$D,DataViz!$B14),SUMIFS('Supply planning data'!V:V,'Supply planning data'!$D:$D,DataViz!$B14,'Supply planning data'!$C:$C,DataViz!$A$1))</f>
        <v>450005</v>
      </c>
      <c r="T14" s="14"/>
      <c r="U14" s="14">
        <f>IF($A$1="All",SUMIFS('Supply planning data'!Y:Y,'Supply planning data'!$D:$D,DataViz!$B14),SUMIFS('Supply planning data'!Y:Y,'Supply planning data'!$D:$D,DataViz!$B14,'Supply planning data'!$C:$C,DataViz!$A$1))</f>
        <v>0</v>
      </c>
      <c r="V14" s="14">
        <f t="shared" si="8"/>
        <v>1139671</v>
      </c>
      <c r="W14" s="350">
        <f t="shared" si="10"/>
        <v>1.0651913535827904</v>
      </c>
      <c r="Y14" s="14">
        <f>IF($A$1="All",SUMIFS('Supply planning data'!$X:$X,'Supply planning data'!$D:$D,DataViz!$B14),SUMIFS('Supply planning data'!$X:$X,'Supply planning data'!$D:$D,DataViz!$B14,'Supply planning data'!$C:$C,DataViz!$A$1))</f>
        <v>1823834</v>
      </c>
      <c r="Z14" s="14">
        <f>IF($A$1="All",SUMIFS('Supply planning data'!$AB:$AB,'Supply planning data'!$D:$D,DataViz!$B14),SUMIFS('Supply planning data'!$AB:$AB,'Supply planning data'!$D:$D,DataViz!$B14,'Supply planning data'!$C:$C,DataViz!$A$1))</f>
        <v>0</v>
      </c>
      <c r="AA14" s="14">
        <f>IF($A$1="All",SUMIFS('Supply planning data'!$Y:$Y,'Supply planning data'!$D:$D,DataViz!$B14),SUMIFS('Supply planning data'!$Y:$Y,'Supply planning data'!$D:$D,DataViz!$B14,'Supply planning data'!$C:$C,DataViz!$A$1))</f>
        <v>0</v>
      </c>
      <c r="AB14" s="14"/>
      <c r="AC14" s="14" t="e">
        <f>IF(IF($A$1="All",SUMIFS('Supply planning data'!$AA:$AA,'Supply planning data'!$D:$D,DataViz!$B14),SUMIFS('Supply planning data'!$AA:$AA,'Supply planning data'!$D:$D,DataViz!$B14,'Supply planning data'!$C:$C,DataViz!$A$1))&lt;=0,NA(),IF($A$1="All",SUMIFS('Supply planning data'!$AA:$AA,'Supply planning data'!$D:$D,DataViz!$B14),SUMIFS('Supply planning data'!$AA:$AA,'Supply planning data'!$D:$D,DataViz!$B14,'Supply planning data'!$C:$C,DataViz!$A$1)))</f>
        <v>#N/A</v>
      </c>
      <c r="AD14" s="14">
        <f>IF($A$1="All",SUMIFS('Supply planning data'!$AE:$AE,'Supply planning data'!$D:$D,DataViz!$B14),SUMIFS('Supply planning data'!$AE:$AE,'Supply planning data'!$D:$D,DataViz!$B14,'Supply planning data'!$C:$C,DataViz!$A$1))</f>
        <v>1240325</v>
      </c>
      <c r="AE14" s="18">
        <f>IF($J14+K14+IF($A$1="All",SUMIFS('Supply planning data'!$AJ:$AJ,'Supply planning data'!$D:$D,DataViz!$B14),SUMIFS('Supply planning data'!$AJ:$AJ,'Supply planning data'!$D:$D,DataViz!$B14,'Supply planning data'!$C:$C,DataViz!$A$1))&lt;=0,NA(),$J14+K14+IF($A$1="All",SUMIFS('Supply planning data'!$AJ:$AJ,'Supply planning data'!$D:$D,DataViz!$B14),SUMIFS('Supply planning data'!$AJ:$AJ,'Supply planning data'!$D:$D,DataViz!$B14,'Supply planning data'!$C:$C,DataViz!$A$1)))</f>
        <v>583269.00060469087</v>
      </c>
      <c r="AF14">
        <f>IF($A$1="All",SUMIFS('Supply planning data'!AD:AD,'Supply planning data'!$D:$D,DataViz!$B14),SUMIFS('Supply planning data'!AD:AD,'Supply planning data'!$D:$D,DataViz!$B14,'Supply planning data'!$C:$C,DataViz!$A$1))</f>
        <v>0</v>
      </c>
      <c r="AG14" s="229">
        <f t="shared" si="5"/>
        <v>1.8994516666666666E-2</v>
      </c>
      <c r="AH14" s="230">
        <f>SUMIFS('Supply planning data'!Y:Y,'Supply planning data'!$D:$D,"&lt;="&amp;DataViz!$B13,'Supply planning data'!$C:$C,"Jansen")+(SUMIFS('Supply planning data'!Y:Y,'Supply planning data'!$D:$D,"&lt;="&amp;DataViz!$B13,'Supply planning data'!$C:$C,"&lt;&gt;Jansen")/2)+D14</f>
        <v>1139671</v>
      </c>
      <c r="AI14" s="230">
        <f>IF($A$1="All",SUMIFS('Supply planning data'!$AG:$AG,'Supply planning data'!$D:$D,DataViz!$B14),SUMIFS('Supply planning data'!$AG:$AG,'Supply planning data'!$D:$D,DataViz!$B14,'Supply planning data'!$C:$C,DataViz!$A$1))</f>
        <v>1033514</v>
      </c>
      <c r="AJ14" s="230">
        <f>IF($A$1="All",SUMIFS('Supply planning data'!$AK:$AK,'Supply planning data'!$D:$D,DataViz!$B14),SUMIFS('Supply planning data'!$AK:$AK,'Supply planning data'!$D:$D,DataViz!$B14,'Supply planning data'!$C:$C,DataViz!$A$1))</f>
        <v>0</v>
      </c>
      <c r="AK14" s="230">
        <f>IF($A$1="All",SUMIFS('Supply planning data'!$AH:$AH,'Supply planning data'!$D:$D,DataViz!$B14),SUMIFS('Supply planning data'!$AH:$AH,'Supply planning data'!$D:$D,DataViz!$B14,'Supply planning data'!$C:$C,DataViz!$A$1))</f>
        <v>0</v>
      </c>
      <c r="AL14" s="230"/>
      <c r="AM14" s="230" t="e">
        <f>IF(IF($A$1="All",SUMIFS('Supply planning data'!$AJ:$AJ,'Supply planning data'!$D:$D,DataViz!$B14),SUMIFS('Supply planning data'!$AJ:$AJ,'Supply planning data'!$D:$D,DataViz!$B14,'Supply planning data'!$C:$C,DataViz!$A$1))&lt;=0,NA(),IF($A$1="All",SUMIFS('Supply planning data'!$AJ:$AJ,'Supply planning data'!$D:$D,DataViz!$B14),SUMIFS('Supply planning data'!$AJ:$AJ,'Supply planning data'!$D:$D,DataViz!$B14,'Supply planning data'!$C:$C,DataViz!$A$1)))</f>
        <v>#N/A</v>
      </c>
      <c r="AN14" s="230">
        <f>IF($A$1="All",SUMIFS('Supply planning data'!$AN:$AN,'Supply planning data'!$D:$D,DataViz!$B14),SUMIFS('Supply planning data'!$AN:$AN,'Supply planning data'!$D:$D,DataViz!$B14,'Supply planning data'!$C:$C,DataViz!$A$1))</f>
        <v>450005</v>
      </c>
      <c r="AO14" s="231">
        <f>IF($J14+K14+IF($A$1="All",SUMIFS('Supply planning data'!$AJ:$AJ,'Supply planning data'!$D:$D,DataViz!$B14),SUMIFS('Supply planning data'!$AJ:$AJ,'Supply planning data'!$D:$D,DataViz!$B14,'Supply planning data'!$C:$C,DataViz!$A$1))&lt;=0,NA(),$J14+K14+IF($A$1="All",SUMIFS('Supply planning data'!$AJ:$AJ,'Supply planning data'!$D:$D,DataViz!$B14),SUMIFS('Supply planning data'!$AJ:$AJ,'Supply planning data'!$D:$D,DataViz!$B14,'Supply planning data'!$C:$C,DataViz!$A$1)))</f>
        <v>583269.00060469087</v>
      </c>
      <c r="AP14">
        <f>IF($A$1="All",SUMIFS('Supply planning data'!AM:AM,'Supply planning data'!$D:$D,DataViz!$B14),SUMIFS('Supply planning data'!AM:AM,'Supply planning data'!$D:$D,DataViz!$B14,'Supply planning data'!$C:$C,DataViz!$A$1))</f>
        <v>0</v>
      </c>
      <c r="AQ14" s="229">
        <f t="shared" si="6"/>
        <v>1.8994516666666666E-2</v>
      </c>
      <c r="AR14" s="230">
        <f>SUMIFS('Supply planning data'!AH:AH,'Supply planning data'!$D:$D,"&lt;="&amp;DataViz!$B13,'Supply planning data'!$C:$C,"Jansen")+(SUMIFS('Supply planning data'!AH:AH,'Supply planning data'!$D:$D,"&lt;="&amp;DataViz!$B13,'Supply planning data'!$C:$C,"&lt;&gt;Jansen")/2)+D14</f>
        <v>1139671</v>
      </c>
    </row>
    <row r="15" spans="1:44" x14ac:dyDescent="0.25">
      <c r="A15" s="20">
        <v>10</v>
      </c>
      <c r="B15" s="21">
        <f t="shared" si="9"/>
        <v>44562</v>
      </c>
      <c r="C15" s="22">
        <f>IF(VLOOKUP(Dashboard!$M$6,Start!$B$10:$E$12,4,FALSE)&gt;0,VLOOKUP(Dashboard!$M$6,Start!$B$10:$E$12,4, FALSE),VLOOKUP(Dashboard!$M$6,Start!$B$10:$E$12,3, FALSE))</f>
        <v>60000000</v>
      </c>
      <c r="D15" s="22">
        <f>IF($A$1="Jansen",SUMIFS('Supply planning data'!G:G,'Supply planning data'!$D:$D,"&lt;="&amp;DataViz!$B15,'Supply planning data'!$C:$C,"jansen"),IF($A$1="All",SUMIFS('Supply planning data'!H:H,'Supply planning data'!$D:$D,"&lt;="&amp;DataViz!$B15)+SUMIFS('Supply planning data'!G:G,'Supply planning data'!$D:$D,"&lt;="&amp;DataViz!$B15,'Supply planning data'!$C:$C,"Jansen"),SUMIFS('Supply planning data'!H:H,'Supply planning data'!$D:$D,"&lt;="&amp;DataViz!$B15,'Supply planning data'!$C:$C,DataViz!$A$1)))</f>
        <v>1278679</v>
      </c>
      <c r="E15" s="23">
        <f t="shared" si="7"/>
        <v>2.1311316666666667E-2</v>
      </c>
      <c r="F15" s="14">
        <f>IF($A$1="All",SUMIFS('Supply planning data'!F:F,'Supply planning data'!$D:$D,DataViz!$B15),SUMIFS('Supply planning data'!F:F,'Supply planning data'!$D:$D,DataViz!$B15,'Supply planning data'!$C:$C,DataViz!$A$1))</f>
        <v>450005</v>
      </c>
      <c r="G15" s="14">
        <f>IF($A$1="All",SUMIFS('Supply planning data'!G:G,'Supply planning data'!$D:$D,DataViz!$B15),SUMIFS('Supply planning data'!G:G,'Supply planning data'!$D:$D,DataViz!$B15,'Supply planning data'!$C:$C,DataViz!$A$1))</f>
        <v>186650</v>
      </c>
      <c r="H15" s="14">
        <f>IF($A$1="All",SUMIFS('Supply planning data'!H:H,'Supply planning data'!$D:$D,DataViz!$B15),SUMIFS('Supply planning data'!H:H,'Supply planning data'!$D:$D,DataViz!$B15,'Supply planning data'!$C:$C,DataViz!$A$1))</f>
        <v>3445</v>
      </c>
      <c r="I15" s="14">
        <f>IF($A$1="All",SUMIFS('Supply planning data'!I:I,'Supply planning data'!$D:$D,DataViz!$B15),SUMIFS('Supply planning data'!I:I,'Supply planning data'!$D:$D,DataViz!$B15,'Supply planning data'!$C:$C,DataViz!$A$1))</f>
        <v>0</v>
      </c>
      <c r="J15" s="14">
        <f>IF($A$1="All",SUMIFS('Supply planning data'!J:J,'Supply planning data'!$D:$D,DataViz!$B15),SUMIFS('Supply planning data'!J:J,'Supply planning data'!$D:$D,DataViz!$B15,'Supply planning data'!$C:$C,DataViz!$A$1))</f>
        <v>190095</v>
      </c>
      <c r="K15" s="14">
        <f>IF($A$1="All",SUMIFS('Supply planning data'!L:L,'Supply planning data'!$D:$D,DataViz!$B15),SUMIFS('Supply planning data'!L:L,'Supply planning data'!$D:$D,DataViz!$B15,'Supply planning data'!$C:$C,DataViz!$A$1))</f>
        <v>1.1049018773865899E-2</v>
      </c>
      <c r="L15" s="14">
        <f>IF($A$1="All",SUMIFS('Supply planning data'!K:K,'Supply planning data'!$D:$D,DataViz!$B15),SUMIFS('Supply planning data'!K:K,'Supply planning data'!$D:$D,DataViz!$B15,'Supply planning data'!$C:$C,DataViz!$A$1))</f>
        <v>6360</v>
      </c>
      <c r="M15" s="14">
        <f>IF(IF($A$1="All",SUMIFS('Supply planning data'!M:M,'Supply planning data'!$D:$D,DataViz!$B15),SUMIFS('Supply planning data'!M:M,'Supply planning data'!$D:$D,DataViz!$B15,'Supply planning data'!$C:$C,DataViz!$A$1))&lt;=0,NA(),IF($A$1="All",SUMIFS('Supply planning data'!M:M,'Supply planning data'!$D:$D,DataViz!$B15),SUMIFS('Supply planning data'!M:M,'Supply planning data'!$D:$D,DataViz!$B15,'Supply planning data'!$C:$C,DataViz!$A$1)))</f>
        <v>196455</v>
      </c>
      <c r="N15" s="14">
        <f>IF($A$1="All",SUMIFS('Supply planning data'!N:N,'Supply planning data'!$D:$D,DataViz!$B15),SUMIFS('Supply planning data'!N:N,'Supply planning data'!$D:$D,DataViz!$B15,'Supply planning data'!$C:$C,DataViz!$A$1))+IF($A$1="All",SUMIFS('Supply planning data'!P:P,'Supply planning data'!$D:$D,DataViz!$B15),SUMIFS('Supply planning data'!P:P,'Supply planning data'!$D:$D,DataViz!$B15,'Supply planning data'!$C:$C,DataViz!$A$1))</f>
        <v>0</v>
      </c>
      <c r="O15" s="14">
        <f>IF($A$1="All",SUMIFS('Supply planning data'!R:R,'Supply planning data'!$D:$D,DataViz!$B15),SUMIFS('Supply planning data'!R:R,'Supply planning data'!$D:$D,DataViz!$B15,'Supply planning data'!$C:$C,DataViz!$A$1))</f>
        <v>794970</v>
      </c>
      <c r="P15" s="14">
        <f>IF($A$1="All",SUMIFS('Supply planning data'!S:S,'Supply planning data'!$D:$D,DataViz!$B15),SUMIFS('Supply planning data'!S:S,'Supply planning data'!$D:$D,DataViz!$B15,'Supply planning data'!$C:$C,DataViz!$A$1))</f>
        <v>0</v>
      </c>
      <c r="Q15" s="14">
        <f>IF($A$1="All",SUMIFS('Supply planning data'!T:T,'Supply planning data'!$D:$D,DataViz!$B15),SUMIFS('Supply planning data'!T:T,'Supply planning data'!$D:$D,DataViz!$B15,'Supply planning data'!$C:$C,DataViz!$A$1))</f>
        <v>0</v>
      </c>
      <c r="R15" s="14">
        <f>IF($A$1="All",SUMIFS('Supply planning data'!U:U,'Supply planning data'!$D:$D,DataViz!$B15),SUMIFS('Supply planning data'!U:U,'Supply planning data'!$D:$D,DataViz!$B15,'Supply planning data'!$C:$C,DataViz!$A$1))</f>
        <v>0</v>
      </c>
      <c r="S15" s="14">
        <f>IF($A$1="All",SUMIFS('Supply planning data'!V:V,'Supply planning data'!$D:$D,DataViz!$B15),SUMIFS('Supply planning data'!V:V,'Supply planning data'!$D:$D,DataViz!$B15,'Supply planning data'!$C:$C,DataViz!$A$1))</f>
        <v>1053920</v>
      </c>
      <c r="T15" s="14"/>
      <c r="U15" s="14">
        <f>IF($A$1="All",SUMIFS('Supply planning data'!Y:Y,'Supply planning data'!$D:$D,DataViz!$B15),SUMIFS('Supply planning data'!Y:Y,'Supply planning data'!$D:$D,DataViz!$B15,'Supply planning data'!$C:$C,DataViz!$A$1))</f>
        <v>0</v>
      </c>
      <c r="V15" s="14">
        <f t="shared" si="8"/>
        <v>1278679</v>
      </c>
      <c r="W15" s="350">
        <f t="shared" si="10"/>
        <v>2.6759675304835473</v>
      </c>
      <c r="Y15" s="14">
        <f>IF($A$1="All",SUMIFS('Supply planning data'!$X:$X,'Supply planning data'!$D:$D,DataViz!$B15),SUMIFS('Supply planning data'!$X:$X,'Supply planning data'!$D:$D,DataViz!$B15,'Supply planning data'!$C:$C,DataViz!$A$1))</f>
        <v>1240325</v>
      </c>
      <c r="Z15" s="14">
        <f>IF($A$1="All",SUMIFS('Supply planning data'!$AB:$AB,'Supply planning data'!$D:$D,DataViz!$B15),SUMIFS('Supply planning data'!$AB:$AB,'Supply planning data'!$D:$D,DataViz!$B15,'Supply planning data'!$C:$C,DataViz!$A$1))</f>
        <v>0</v>
      </c>
      <c r="AA15" s="14">
        <f>IF($A$1="All",SUMIFS('Supply planning data'!$Y:$Y,'Supply planning data'!$D:$D,DataViz!$B15),SUMIFS('Supply planning data'!$Y:$Y,'Supply planning data'!$D:$D,DataViz!$B15,'Supply planning data'!$C:$C,DataViz!$A$1))</f>
        <v>0</v>
      </c>
      <c r="AB15" s="14"/>
      <c r="AC15" s="14" t="e">
        <f>IF(IF($A$1="All",SUMIFS('Supply planning data'!$AA:$AA,'Supply planning data'!$D:$D,DataViz!$B15),SUMIFS('Supply planning data'!$AA:$AA,'Supply planning data'!$D:$D,DataViz!$B15,'Supply planning data'!$C:$C,DataViz!$A$1))&lt;=0,NA(),IF($A$1="All",SUMIFS('Supply planning data'!$AA:$AA,'Supply planning data'!$D:$D,DataViz!$B15),SUMIFS('Supply planning data'!$AA:$AA,'Supply planning data'!$D:$D,DataViz!$B15,'Supply planning data'!$C:$C,DataViz!$A$1)))</f>
        <v>#N/A</v>
      </c>
      <c r="AD15" s="14">
        <f>IF($A$1="All",SUMIFS('Supply planning data'!$AE:$AE,'Supply planning data'!$D:$D,DataViz!$B15),SUMIFS('Supply planning data'!$AE:$AE,'Supply planning data'!$D:$D,DataViz!$B15,'Supply planning data'!$C:$C,DataViz!$A$1))</f>
        <v>1844240</v>
      </c>
      <c r="AE15" s="18">
        <f>IF($J15+K15+IF($A$1="All",SUMIFS('Supply planning data'!$AJ:$AJ,'Supply planning data'!$D:$D,DataViz!$B15),SUMIFS('Supply planning data'!$AJ:$AJ,'Supply planning data'!$D:$D,DataViz!$B15,'Supply planning data'!$C:$C,DataViz!$A$1))&lt;=0,NA(),$J15+K15+IF($A$1="All",SUMIFS('Supply planning data'!$AJ:$AJ,'Supply planning data'!$D:$D,DataViz!$B15),SUMIFS('Supply planning data'!$AJ:$AJ,'Supply planning data'!$D:$D,DataViz!$B15,'Supply planning data'!$C:$C,DataViz!$A$1)))</f>
        <v>190095.01104901877</v>
      </c>
      <c r="AF15">
        <f>IF($A$1="All",SUMIFS('Supply planning data'!AD:AD,'Supply planning data'!$D:$D,DataViz!$B15),SUMIFS('Supply planning data'!AD:AD,'Supply planning data'!$D:$D,DataViz!$B15,'Supply planning data'!$C:$C,DataViz!$A$1))</f>
        <v>0</v>
      </c>
      <c r="AG15" s="229">
        <f t="shared" si="5"/>
        <v>2.1311316666666667E-2</v>
      </c>
      <c r="AH15" s="230">
        <f>SUMIFS('Supply planning data'!Y:Y,'Supply planning data'!$D:$D,"&lt;="&amp;DataViz!$B14,'Supply planning data'!$C:$C,"Jansen")+(SUMIFS('Supply planning data'!Y:Y,'Supply planning data'!$D:$D,"&lt;="&amp;DataViz!$B14,'Supply planning data'!$C:$C,"&lt;&gt;Jansen")/2)+D15</f>
        <v>1278679</v>
      </c>
      <c r="AI15" s="230">
        <f>IF($A$1="All",SUMIFS('Supply planning data'!$AG:$AG,'Supply planning data'!$D:$D,DataViz!$B15),SUMIFS('Supply planning data'!$AG:$AG,'Supply planning data'!$D:$D,DataViz!$B15,'Supply planning data'!$C:$C,DataViz!$A$1))</f>
        <v>450005</v>
      </c>
      <c r="AJ15" s="230">
        <f>IF($A$1="All",SUMIFS('Supply planning data'!$AK:$AK,'Supply planning data'!$D:$D,DataViz!$B15),SUMIFS('Supply planning data'!$AK:$AK,'Supply planning data'!$D:$D,DataViz!$B15,'Supply planning data'!$C:$C,DataViz!$A$1))</f>
        <v>0</v>
      </c>
      <c r="AK15" s="230">
        <f>IF($A$1="All",SUMIFS('Supply planning data'!$AH:$AH,'Supply planning data'!$D:$D,DataViz!$B15),SUMIFS('Supply planning data'!$AH:$AH,'Supply planning data'!$D:$D,DataViz!$B15,'Supply planning data'!$C:$C,DataViz!$A$1))</f>
        <v>0</v>
      </c>
      <c r="AL15" s="230"/>
      <c r="AM15" s="230" t="e">
        <f>IF(IF($A$1="All",SUMIFS('Supply planning data'!$AJ:$AJ,'Supply planning data'!$D:$D,DataViz!$B15),SUMIFS('Supply planning data'!$AJ:$AJ,'Supply planning data'!$D:$D,DataViz!$B15,'Supply planning data'!$C:$C,DataViz!$A$1))&lt;=0,NA(),IF($A$1="All",SUMIFS('Supply planning data'!$AJ:$AJ,'Supply planning data'!$D:$D,DataViz!$B15),SUMIFS('Supply planning data'!$AJ:$AJ,'Supply planning data'!$D:$D,DataViz!$B15,'Supply planning data'!$C:$C,DataViz!$A$1)))</f>
        <v>#N/A</v>
      </c>
      <c r="AN15" s="230">
        <f>IF($A$1="All",SUMIFS('Supply planning data'!$AN:$AN,'Supply planning data'!$D:$D,DataViz!$B15),SUMIFS('Supply planning data'!$AN:$AN,'Supply planning data'!$D:$D,DataViz!$B15,'Supply planning data'!$C:$C,DataViz!$A$1))</f>
        <v>1053920</v>
      </c>
      <c r="AO15" s="231">
        <f>IF($J15+K15+IF($A$1="All",SUMIFS('Supply planning data'!$AJ:$AJ,'Supply planning data'!$D:$D,DataViz!$B15),SUMIFS('Supply planning data'!$AJ:$AJ,'Supply planning data'!$D:$D,DataViz!$B15,'Supply planning data'!$C:$C,DataViz!$A$1))&lt;=0,NA(),$J15+K15+IF($A$1="All",SUMIFS('Supply planning data'!$AJ:$AJ,'Supply planning data'!$D:$D,DataViz!$B15),SUMIFS('Supply planning data'!$AJ:$AJ,'Supply planning data'!$D:$D,DataViz!$B15,'Supply planning data'!$C:$C,DataViz!$A$1)))</f>
        <v>190095.01104901877</v>
      </c>
      <c r="AP15">
        <f>IF($A$1="All",SUMIFS('Supply planning data'!AM:AM,'Supply planning data'!$D:$D,DataViz!$B15),SUMIFS('Supply planning data'!AM:AM,'Supply planning data'!$D:$D,DataViz!$B15,'Supply planning data'!$C:$C,DataViz!$A$1))</f>
        <v>0</v>
      </c>
      <c r="AQ15" s="229">
        <f t="shared" si="6"/>
        <v>2.1311316666666667E-2</v>
      </c>
      <c r="AR15" s="230">
        <f>SUMIFS('Supply planning data'!AH:AH,'Supply planning data'!$D:$D,"&lt;="&amp;DataViz!$B14,'Supply planning data'!$C:$C,"Jansen")+(SUMIFS('Supply planning data'!AH:AH,'Supply planning data'!$D:$D,"&lt;="&amp;DataViz!$B14,'Supply planning data'!$C:$C,"&lt;&gt;Jansen")/2)+D15</f>
        <v>1278679</v>
      </c>
    </row>
    <row r="16" spans="1:44" x14ac:dyDescent="0.25">
      <c r="A16" s="20">
        <v>11</v>
      </c>
      <c r="B16" s="21">
        <f t="shared" si="9"/>
        <v>44593</v>
      </c>
      <c r="C16" s="22">
        <f>IF(VLOOKUP(Dashboard!$M$6,Start!$B$10:$E$12,4,FALSE)&gt;0,VLOOKUP(Dashboard!$M$6,Start!$B$10:$E$12,4, FALSE),VLOOKUP(Dashboard!$M$6,Start!$B$10:$E$12,3, FALSE))</f>
        <v>60000000</v>
      </c>
      <c r="D16" s="22">
        <f>IF($A$1="Jansen",SUMIFS('Supply planning data'!G:G,'Supply planning data'!$D:$D,"&lt;="&amp;DataViz!$B16,'Supply planning data'!$C:$C,"jansen"),IF($A$1="All",SUMIFS('Supply planning data'!H:H,'Supply planning data'!$D:$D,"&lt;="&amp;DataViz!$B16)+SUMIFS('Supply planning data'!G:G,'Supply planning data'!$D:$D,"&lt;="&amp;DataViz!$B16,'Supply planning data'!$C:$C,"Jansen"),SUMIFS('Supply planning data'!H:H,'Supply planning data'!$D:$D,"&lt;="&amp;DataViz!$B16,'Supply planning data'!$C:$C,DataViz!$A$1)))</f>
        <v>1618261</v>
      </c>
      <c r="E16" s="23">
        <f t="shared" si="7"/>
        <v>2.6971016666666667E-2</v>
      </c>
      <c r="F16" s="14">
        <f>IF($A$1="All",SUMIFS('Supply planning data'!F:F,'Supply planning data'!$D:$D,DataViz!$B16),SUMIFS('Supply planning data'!F:F,'Supply planning data'!$D:$D,DataViz!$B16,'Supply planning data'!$C:$C,DataViz!$A$1))</f>
        <v>1053920</v>
      </c>
      <c r="G16" s="14">
        <f>IF($A$1="All",SUMIFS('Supply planning data'!G:G,'Supply planning data'!$D:$D,DataViz!$B16),SUMIFS('Supply planning data'!G:G,'Supply planning data'!$D:$D,DataViz!$B16,'Supply planning data'!$C:$C,DataViz!$A$1))</f>
        <v>403633</v>
      </c>
      <c r="H16" s="14">
        <f>IF($A$1="All",SUMIFS('Supply planning data'!H:H,'Supply planning data'!$D:$D,DataViz!$B16),SUMIFS('Supply planning data'!H:H,'Supply planning data'!$D:$D,DataViz!$B16,'Supply planning data'!$C:$C,DataViz!$A$1))</f>
        <v>92793</v>
      </c>
      <c r="I16" s="14">
        <f>IF($A$1="All",SUMIFS('Supply planning data'!I:I,'Supply planning data'!$D:$D,DataViz!$B16),SUMIFS('Supply planning data'!I:I,'Supply planning data'!$D:$D,DataViz!$B16,'Supply planning data'!$C:$C,DataViz!$A$1))</f>
        <v>0</v>
      </c>
      <c r="J16" s="14">
        <f>IF($A$1="All",SUMIFS('Supply planning data'!J:J,'Supply planning data'!$D:$D,DataViz!$B16),SUMIFS('Supply planning data'!J:J,'Supply planning data'!$D:$D,DataViz!$B16,'Supply planning data'!$C:$C,DataViz!$A$1))</f>
        <v>496426</v>
      </c>
      <c r="K16" s="14">
        <f>IF($A$1="All",SUMIFS('Supply planning data'!L:L,'Supply planning data'!$D:$D,DataViz!$B16),SUMIFS('Supply planning data'!L:L,'Supply planning data'!$D:$D,DataViz!$B16,'Supply planning data'!$C:$C,DataViz!$A$1))</f>
        <v>1.4556759772143565E-2</v>
      </c>
      <c r="L16" s="14">
        <f>IF($A$1="All",SUMIFS('Supply planning data'!K:K,'Supply planning data'!$D:$D,DataViz!$B16),SUMIFS('Supply planning data'!K:K,'Supply planning data'!$D:$D,DataViz!$B16,'Supply planning data'!$C:$C,DataViz!$A$1))</f>
        <v>3242</v>
      </c>
      <c r="M16" s="14">
        <f>IF(IF($A$1="All",SUMIFS('Supply planning data'!M:M,'Supply planning data'!$D:$D,DataViz!$B16),SUMIFS('Supply planning data'!M:M,'Supply planning data'!$D:$D,DataViz!$B16,'Supply planning data'!$C:$C,DataViz!$A$1))&lt;=0,NA(),IF($A$1="All",SUMIFS('Supply planning data'!M:M,'Supply planning data'!$D:$D,DataViz!$B16),SUMIFS('Supply planning data'!M:M,'Supply planning data'!$D:$D,DataViz!$B16,'Supply planning data'!$C:$C,DataViz!$A$1)))</f>
        <v>499668</v>
      </c>
      <c r="N16" s="14">
        <f>IF($A$1="All",SUMIFS('Supply planning data'!N:N,'Supply planning data'!$D:$D,DataViz!$B16),SUMIFS('Supply planning data'!N:N,'Supply planning data'!$D:$D,DataViz!$B16,'Supply planning data'!$C:$C,DataViz!$A$1))+IF($A$1="All",SUMIFS('Supply planning data'!P:P,'Supply planning data'!$D:$D,DataViz!$B16),SUMIFS('Supply planning data'!P:P,'Supply planning data'!$D:$D,DataViz!$B16,'Supply planning data'!$C:$C,DataViz!$A$1))</f>
        <v>-128057</v>
      </c>
      <c r="O16" s="14">
        <f>IF($A$1="All",SUMIFS('Supply planning data'!R:R,'Supply planning data'!$D:$D,DataViz!$B16),SUMIFS('Supply planning data'!R:R,'Supply planning data'!$D:$D,DataViz!$B16,'Supply planning data'!$C:$C,DataViz!$A$1))</f>
        <v>1309600</v>
      </c>
      <c r="P16" s="14">
        <f>IF($A$1="All",SUMIFS('Supply planning data'!S:S,'Supply planning data'!$D:$D,DataViz!$B16),SUMIFS('Supply planning data'!S:S,'Supply planning data'!$D:$D,DataViz!$B16,'Supply planning data'!$C:$C,DataViz!$A$1))</f>
        <v>0</v>
      </c>
      <c r="Q16" s="14">
        <f>IF($A$1="All",SUMIFS('Supply planning data'!T:T,'Supply planning data'!$D:$D,DataViz!$B16),SUMIFS('Supply planning data'!T:T,'Supply planning data'!$D:$D,DataViz!$B16,'Supply planning data'!$C:$C,DataViz!$A$1))</f>
        <v>0</v>
      </c>
      <c r="R16" s="14">
        <f>IF($A$1="All",SUMIFS('Supply planning data'!U:U,'Supply planning data'!$D:$D,DataViz!$B16),SUMIFS('Supply planning data'!U:U,'Supply planning data'!$D:$D,DataViz!$B16,'Supply planning data'!$C:$C,DataViz!$A$1))</f>
        <v>0</v>
      </c>
      <c r="S16" s="14">
        <f>IF($A$1="All",SUMIFS('Supply planning data'!V:V,'Supply planning data'!$D:$D,DataViz!$B16),SUMIFS('Supply planning data'!V:V,'Supply planning data'!$D:$D,DataViz!$B16,'Supply planning data'!$C:$C,DataViz!$A$1))</f>
        <v>1778564</v>
      </c>
      <c r="T16" s="14"/>
      <c r="U16" s="14">
        <f>IF($A$1="All",SUMIFS('Supply planning data'!Y:Y,'Supply planning data'!$D:$D,DataViz!$B16),SUMIFS('Supply planning data'!Y:Y,'Supply planning data'!$D:$D,DataViz!$B16,'Supply planning data'!$C:$C,DataViz!$A$1))</f>
        <v>0</v>
      </c>
      <c r="V16" s="14">
        <f t="shared" si="8"/>
        <v>1618261</v>
      </c>
      <c r="W16" s="350">
        <f t="shared" si="10"/>
        <v>4.1697081660977533</v>
      </c>
      <c r="Y16" s="14">
        <f>IF($A$1="All",SUMIFS('Supply planning data'!$X:$X,'Supply planning data'!$D:$D,DataViz!$B16),SUMIFS('Supply planning data'!$X:$X,'Supply planning data'!$D:$D,DataViz!$B16,'Supply planning data'!$C:$C,DataViz!$A$1))</f>
        <v>1844240</v>
      </c>
      <c r="Z16" s="14">
        <f>IF($A$1="All",SUMIFS('Supply planning data'!$AB:$AB,'Supply planning data'!$D:$D,DataViz!$B16),SUMIFS('Supply planning data'!$AB:$AB,'Supply planning data'!$D:$D,DataViz!$B16,'Supply planning data'!$C:$C,DataViz!$A$1))</f>
        <v>0</v>
      </c>
      <c r="AA16" s="14">
        <f>IF($A$1="All",SUMIFS('Supply planning data'!$Y:$Y,'Supply planning data'!$D:$D,DataViz!$B16),SUMIFS('Supply planning data'!$Y:$Y,'Supply planning data'!$D:$D,DataViz!$B16,'Supply planning data'!$C:$C,DataViz!$A$1))</f>
        <v>0</v>
      </c>
      <c r="AB16" s="14"/>
      <c r="AC16" s="14" t="e">
        <f>IF(IF($A$1="All",SUMIFS('Supply planning data'!$AA:$AA,'Supply planning data'!$D:$D,DataViz!$B16),SUMIFS('Supply planning data'!$AA:$AA,'Supply planning data'!$D:$D,DataViz!$B16,'Supply planning data'!$C:$C,DataViz!$A$1))&lt;=0,NA(),IF($A$1="All",SUMIFS('Supply planning data'!$AA:$AA,'Supply planning data'!$D:$D,DataViz!$B16),SUMIFS('Supply planning data'!$AA:$AA,'Supply planning data'!$D:$D,DataViz!$B16,'Supply planning data'!$C:$C,DataViz!$A$1)))</f>
        <v>#N/A</v>
      </c>
      <c r="AD16" s="14">
        <f>IF($A$1="All",SUMIFS('Supply planning data'!$AE:$AE,'Supply planning data'!$D:$D,DataViz!$B16),SUMIFS('Supply planning data'!$AE:$AE,'Supply planning data'!$D:$D,DataViz!$B16,'Supply planning data'!$C:$C,DataViz!$A$1))</f>
        <v>2526115</v>
      </c>
      <c r="AE16" s="18">
        <f>IF($J16+K16+IF($A$1="All",SUMIFS('Supply planning data'!$AJ:$AJ,'Supply planning data'!$D:$D,DataViz!$B16),SUMIFS('Supply planning data'!$AJ:$AJ,'Supply planning data'!$D:$D,DataViz!$B16,'Supply planning data'!$C:$C,DataViz!$A$1))&lt;=0,NA(),$J16+K16+IF($A$1="All",SUMIFS('Supply planning data'!$AJ:$AJ,'Supply planning data'!$D:$D,DataViz!$B16),SUMIFS('Supply planning data'!$AJ:$AJ,'Supply planning data'!$D:$D,DataViz!$B16,'Supply planning data'!$C:$C,DataViz!$A$1)))</f>
        <v>496426.01455675979</v>
      </c>
      <c r="AF16">
        <f>IF($A$1="All",SUMIFS('Supply planning data'!AD:AD,'Supply planning data'!$D:$D,DataViz!$B16),SUMIFS('Supply planning data'!AD:AD,'Supply planning data'!$D:$D,DataViz!$B16,'Supply planning data'!$C:$C,DataViz!$A$1))</f>
        <v>0</v>
      </c>
      <c r="AG16" s="229">
        <f t="shared" si="5"/>
        <v>2.6971016666666667E-2</v>
      </c>
      <c r="AH16" s="230">
        <f>SUMIFS('Supply planning data'!Y:Y,'Supply planning data'!$D:$D,"&lt;="&amp;DataViz!$B15,'Supply planning data'!$C:$C,"Jansen")+(SUMIFS('Supply planning data'!Y:Y,'Supply planning data'!$D:$D,"&lt;="&amp;DataViz!$B15,'Supply planning data'!$C:$C,"&lt;&gt;Jansen")/2)+D16</f>
        <v>1618261</v>
      </c>
      <c r="AI16" s="230">
        <f>IF($A$1="All",SUMIFS('Supply planning data'!$AG:$AG,'Supply planning data'!$D:$D,DataViz!$B16),SUMIFS('Supply planning data'!$AG:$AG,'Supply planning data'!$D:$D,DataViz!$B16,'Supply planning data'!$C:$C,DataViz!$A$1))</f>
        <v>1053920</v>
      </c>
      <c r="AJ16" s="230">
        <f>IF($A$1="All",SUMIFS('Supply planning data'!$AK:$AK,'Supply planning data'!$D:$D,DataViz!$B16),SUMIFS('Supply planning data'!$AK:$AK,'Supply planning data'!$D:$D,DataViz!$B16,'Supply planning data'!$C:$C,DataViz!$A$1))</f>
        <v>0</v>
      </c>
      <c r="AK16" s="230">
        <f>IF($A$1="All",SUMIFS('Supply planning data'!$AH:$AH,'Supply planning data'!$D:$D,DataViz!$B16),SUMIFS('Supply planning data'!$AH:$AH,'Supply planning data'!$D:$D,DataViz!$B16,'Supply planning data'!$C:$C,DataViz!$A$1))</f>
        <v>0</v>
      </c>
      <c r="AL16" s="230"/>
      <c r="AM16" s="230" t="e">
        <f>IF(IF($A$1="All",SUMIFS('Supply planning data'!$AJ:$AJ,'Supply planning data'!$D:$D,DataViz!$B16),SUMIFS('Supply planning data'!$AJ:$AJ,'Supply planning data'!$D:$D,DataViz!$B16,'Supply planning data'!$C:$C,DataViz!$A$1))&lt;=0,NA(),IF($A$1="All",SUMIFS('Supply planning data'!$AJ:$AJ,'Supply planning data'!$D:$D,DataViz!$B16),SUMIFS('Supply planning data'!$AJ:$AJ,'Supply planning data'!$D:$D,DataViz!$B16,'Supply planning data'!$C:$C,DataViz!$A$1)))</f>
        <v>#N/A</v>
      </c>
      <c r="AN16" s="230">
        <f>IF($A$1="All",SUMIFS('Supply planning data'!$AN:$AN,'Supply planning data'!$D:$D,DataViz!$B16),SUMIFS('Supply planning data'!$AN:$AN,'Supply planning data'!$D:$D,DataViz!$B16,'Supply planning data'!$C:$C,DataViz!$A$1))</f>
        <v>1778564</v>
      </c>
      <c r="AO16" s="231">
        <f>IF($J16+K16+IF($A$1="All",SUMIFS('Supply planning data'!$AJ:$AJ,'Supply planning data'!$D:$D,DataViz!$B16),SUMIFS('Supply planning data'!$AJ:$AJ,'Supply planning data'!$D:$D,DataViz!$B16,'Supply planning data'!$C:$C,DataViz!$A$1))&lt;=0,NA(),$J16+K16+IF($A$1="All",SUMIFS('Supply planning data'!$AJ:$AJ,'Supply planning data'!$D:$D,DataViz!$B16),SUMIFS('Supply planning data'!$AJ:$AJ,'Supply planning data'!$D:$D,DataViz!$B16,'Supply planning data'!$C:$C,DataViz!$A$1)))</f>
        <v>496426.01455675979</v>
      </c>
      <c r="AP16">
        <f>IF($A$1="All",SUMIFS('Supply planning data'!AM:AM,'Supply planning data'!$D:$D,DataViz!$B16),SUMIFS('Supply planning data'!AM:AM,'Supply planning data'!$D:$D,DataViz!$B16,'Supply planning data'!$C:$C,DataViz!$A$1))</f>
        <v>0</v>
      </c>
      <c r="AQ16" s="229">
        <f t="shared" si="6"/>
        <v>2.6971016666666667E-2</v>
      </c>
      <c r="AR16" s="230">
        <f>SUMIFS('Supply planning data'!AH:AH,'Supply planning data'!$D:$D,"&lt;="&amp;DataViz!$B15,'Supply planning data'!$C:$C,"Jansen")+(SUMIFS('Supply planning data'!AH:AH,'Supply planning data'!$D:$D,"&lt;="&amp;DataViz!$B15,'Supply planning data'!$C:$C,"&lt;&gt;Jansen")/2)+D16</f>
        <v>1618261</v>
      </c>
    </row>
    <row r="17" spans="1:44" x14ac:dyDescent="0.25">
      <c r="A17" s="20">
        <v>12</v>
      </c>
      <c r="B17" s="21">
        <f t="shared" si="9"/>
        <v>44621</v>
      </c>
      <c r="C17" s="22">
        <f>IF(VLOOKUP(Dashboard!$M$6,Start!$B$10:$E$12,4,FALSE)&gt;0,VLOOKUP(Dashboard!$M$6,Start!$B$10:$E$12,4, FALSE),VLOOKUP(Dashboard!$M$6,Start!$B$10:$E$12,3, FALSE))</f>
        <v>60000000</v>
      </c>
      <c r="D17" s="22">
        <f>IF($A$1="Jansen",SUMIFS('Supply planning data'!G:G,'Supply planning data'!$D:$D,"&lt;="&amp;DataViz!$B17,'Supply planning data'!$C:$C,"jansen"),IF($A$1="All",SUMIFS('Supply planning data'!H:H,'Supply planning data'!$D:$D,"&lt;="&amp;DataViz!$B17)+SUMIFS('Supply planning data'!G:G,'Supply planning data'!$D:$D,"&lt;="&amp;DataViz!$B17,'Supply planning data'!$C:$C,"Jansen"),SUMIFS('Supply planning data'!H:H,'Supply planning data'!$D:$D,"&lt;="&amp;DataViz!$B17,'Supply planning data'!$C:$C,DataViz!$A$1)))</f>
        <v>1769554</v>
      </c>
      <c r="E17" s="23">
        <f t="shared" si="7"/>
        <v>2.9492566666666668E-2</v>
      </c>
      <c r="F17" s="14">
        <f>IF($A$1="All",SUMIFS('Supply planning data'!F:F,'Supply planning data'!$D:$D,DataViz!$B17),SUMIFS('Supply planning data'!F:F,'Supply planning data'!$D:$D,DataViz!$B17,'Supply planning data'!$C:$C,DataViz!$A$1))</f>
        <v>1778564</v>
      </c>
      <c r="G17" s="14">
        <f>IF($A$1="All",SUMIFS('Supply planning data'!G:G,'Supply planning data'!$D:$D,DataViz!$B17),SUMIFS('Supply planning data'!G:G,'Supply planning data'!$D:$D,DataViz!$B17,'Supply planning data'!$C:$C,DataViz!$A$1))</f>
        <v>173961</v>
      </c>
      <c r="H17" s="14">
        <f>IF($A$1="All",SUMIFS('Supply planning data'!H:H,'Supply planning data'!$D:$D,DataViz!$B17),SUMIFS('Supply planning data'!H:H,'Supply planning data'!$D:$D,DataViz!$B17,'Supply planning data'!$C:$C,DataViz!$A$1))</f>
        <v>17315</v>
      </c>
      <c r="I17" s="14">
        <f>IF($A$1="All",SUMIFS('Supply planning data'!I:I,'Supply planning data'!$D:$D,DataViz!$B17),SUMIFS('Supply planning data'!I:I,'Supply planning data'!$D:$D,DataViz!$B17,'Supply planning data'!$C:$C,DataViz!$A$1))</f>
        <v>0</v>
      </c>
      <c r="J17" s="14">
        <f>IF($A$1="All",SUMIFS('Supply planning data'!J:J,'Supply planning data'!$D:$D,DataViz!$B17),SUMIFS('Supply planning data'!J:J,'Supply planning data'!$D:$D,DataViz!$B17,'Supply planning data'!$C:$C,DataViz!$A$1))</f>
        <v>191276</v>
      </c>
      <c r="K17" s="14">
        <f>IF($A$1="All",SUMIFS('Supply planning data'!L:L,'Supply planning data'!$D:$D,DataViz!$B17),SUMIFS('Supply planning data'!L:L,'Supply planning data'!$D:$D,DataViz!$B17,'Supply planning data'!$C:$C,DataViz!$A$1))</f>
        <v>0.53856992223321465</v>
      </c>
      <c r="L17" s="14">
        <f>IF($A$1="All",SUMIFS('Supply planning data'!K:K,'Supply planning data'!$D:$D,DataViz!$B17),SUMIFS('Supply planning data'!K:K,'Supply planning data'!$D:$D,DataViz!$B17,'Supply planning data'!$C:$C,DataViz!$A$1))</f>
        <v>12453</v>
      </c>
      <c r="M17" s="14">
        <f>IF(IF($A$1="All",SUMIFS('Supply planning data'!M:M,'Supply planning data'!$D:$D,DataViz!$B17),SUMIFS('Supply planning data'!M:M,'Supply planning data'!$D:$D,DataViz!$B17,'Supply planning data'!$C:$C,DataViz!$A$1))&lt;=0,NA(),IF($A$1="All",SUMIFS('Supply planning data'!M:M,'Supply planning data'!$D:$D,DataViz!$B17),SUMIFS('Supply planning data'!M:M,'Supply planning data'!$D:$D,DataViz!$B17,'Supply planning data'!$C:$C,DataViz!$A$1)))</f>
        <v>203729</v>
      </c>
      <c r="N17" s="14">
        <f>IF($A$1="All",SUMIFS('Supply planning data'!N:N,'Supply planning data'!$D:$D,DataViz!$B17),SUMIFS('Supply planning data'!N:N,'Supply planning data'!$D:$D,DataViz!$B17,'Supply planning data'!$C:$C,DataViz!$A$1))+IF($A$1="All",SUMIFS('Supply planning data'!P:P,'Supply planning data'!$D:$D,DataViz!$B17),SUMIFS('Supply planning data'!P:P,'Supply planning data'!$D:$D,DataViz!$B17,'Supply planning data'!$C:$C,DataViz!$A$1))</f>
        <v>0</v>
      </c>
      <c r="O17" s="14">
        <f>IF($A$1="All",SUMIFS('Supply planning data'!R:R,'Supply planning data'!$D:$D,DataViz!$B17),SUMIFS('Supply planning data'!R:R,'Supply planning data'!$D:$D,DataViz!$B17,'Supply planning data'!$C:$C,DataViz!$A$1))</f>
        <v>561600</v>
      </c>
      <c r="P17" s="14">
        <f>IF($A$1="All",SUMIFS('Supply planning data'!S:S,'Supply planning data'!$D:$D,DataViz!$B17),SUMIFS('Supply planning data'!S:S,'Supply planning data'!$D:$D,DataViz!$B17,'Supply planning data'!$C:$C,DataViz!$A$1))</f>
        <v>0</v>
      </c>
      <c r="Q17" s="14">
        <f>IF($A$1="All",SUMIFS('Supply planning data'!T:T,'Supply planning data'!$D:$D,DataViz!$B17),SUMIFS('Supply planning data'!T:T,'Supply planning data'!$D:$D,DataViz!$B17,'Supply planning data'!$C:$C,DataViz!$A$1))</f>
        <v>0</v>
      </c>
      <c r="R17" s="14">
        <f>IF($A$1="All",SUMIFS('Supply planning data'!U:U,'Supply planning data'!$D:$D,DataViz!$B17),SUMIFS('Supply planning data'!U:U,'Supply planning data'!$D:$D,DataViz!$B17,'Supply planning data'!$C:$C,DataViz!$A$1))</f>
        <v>0</v>
      </c>
      <c r="S17" s="14">
        <f>IF($A$1="All",SUMIFS('Supply planning data'!V:V,'Supply planning data'!$D:$D,DataViz!$B17),SUMIFS('Supply planning data'!V:V,'Supply planning data'!$D:$D,DataViz!$B17,'Supply planning data'!$C:$C,DataViz!$A$1))</f>
        <v>2169285</v>
      </c>
      <c r="T17" s="14"/>
      <c r="U17" s="14">
        <f>IF($A$1="All",SUMIFS('Supply planning data'!Y:Y,'Supply planning data'!$D:$D,DataViz!$B17),SUMIFS('Supply planning data'!Y:Y,'Supply planning data'!$D:$D,DataViz!$B17,'Supply planning data'!$C:$C,DataViz!$A$1))</f>
        <v>0</v>
      </c>
      <c r="V17" s="14">
        <f t="shared" si="8"/>
        <v>1769554</v>
      </c>
      <c r="W17" s="350">
        <f t="shared" si="10"/>
        <v>7.2321392851268866</v>
      </c>
      <c r="Y17" s="14">
        <f>IF($A$1="All",SUMIFS('Supply planning data'!$X:$X,'Supply planning data'!$D:$D,DataViz!$B17),SUMIFS('Supply planning data'!$X:$X,'Supply planning data'!$D:$D,DataViz!$B17,'Supply planning data'!$C:$C,DataViz!$A$1))</f>
        <v>2526115</v>
      </c>
      <c r="Z17" s="14">
        <f>IF($A$1="All",SUMIFS('Supply planning data'!$AB:$AB,'Supply planning data'!$D:$D,DataViz!$B17),SUMIFS('Supply planning data'!$AB:$AB,'Supply planning data'!$D:$D,DataViz!$B17,'Supply planning data'!$C:$C,DataViz!$A$1))</f>
        <v>0</v>
      </c>
      <c r="AA17" s="14">
        <f>IF($A$1="All",SUMIFS('Supply planning data'!$Y:$Y,'Supply planning data'!$D:$D,DataViz!$B17),SUMIFS('Supply planning data'!$Y:$Y,'Supply planning data'!$D:$D,DataViz!$B17,'Supply planning data'!$C:$C,DataViz!$A$1))</f>
        <v>0</v>
      </c>
      <c r="AB17" s="14"/>
      <c r="AC17" s="14" t="e">
        <f>IF(IF($A$1="All",SUMIFS('Supply planning data'!$AA:$AA,'Supply planning data'!$D:$D,DataViz!$B17),SUMIFS('Supply planning data'!$AA:$AA,'Supply planning data'!$D:$D,DataViz!$B17,'Supply planning data'!$C:$C,DataViz!$A$1))&lt;=0,NA(),IF($A$1="All",SUMIFS('Supply planning data'!$AA:$AA,'Supply planning data'!$D:$D,DataViz!$B17),SUMIFS('Supply planning data'!$AA:$AA,'Supply planning data'!$D:$D,DataViz!$B17,'Supply planning data'!$C:$C,DataViz!$A$1)))</f>
        <v>#N/A</v>
      </c>
      <c r="AD17" s="14">
        <f>IF($A$1="All",SUMIFS('Supply planning data'!$AE:$AE,'Supply planning data'!$D:$D,DataViz!$B17),SUMIFS('Supply planning data'!$AE:$AE,'Supply planning data'!$D:$D,DataViz!$B17,'Supply planning data'!$C:$C,DataViz!$A$1))</f>
        <v>2883986</v>
      </c>
      <c r="AE17" s="18">
        <f>IF($J17+K17+IF($A$1="All",SUMIFS('Supply planning data'!$AJ:$AJ,'Supply planning data'!$D:$D,DataViz!$B17),SUMIFS('Supply planning data'!$AJ:$AJ,'Supply planning data'!$D:$D,DataViz!$B17,'Supply planning data'!$C:$C,DataViz!$A$1))&lt;=0,NA(),$J17+K17+IF($A$1="All",SUMIFS('Supply planning data'!$AJ:$AJ,'Supply planning data'!$D:$D,DataViz!$B17),SUMIFS('Supply planning data'!$AJ:$AJ,'Supply planning data'!$D:$D,DataViz!$B17,'Supply planning data'!$C:$C,DataViz!$A$1)))</f>
        <v>191276.53856992224</v>
      </c>
      <c r="AF17">
        <f>IF($A$1="All",SUMIFS('Supply planning data'!AD:AD,'Supply planning data'!$D:$D,DataViz!$B17),SUMIFS('Supply planning data'!AD:AD,'Supply planning data'!$D:$D,DataViz!$B17,'Supply planning data'!$C:$C,DataViz!$A$1))</f>
        <v>0</v>
      </c>
      <c r="AG17" s="229">
        <f t="shared" si="5"/>
        <v>2.9492566666666668E-2</v>
      </c>
      <c r="AH17" s="230">
        <f>SUMIFS('Supply planning data'!Y:Y,'Supply planning data'!$D:$D,"&lt;="&amp;DataViz!$B16,'Supply planning data'!$C:$C,"Jansen")+(SUMIFS('Supply planning data'!Y:Y,'Supply planning data'!$D:$D,"&lt;="&amp;DataViz!$B16,'Supply planning data'!$C:$C,"&lt;&gt;Jansen")/2)+D17</f>
        <v>1769554</v>
      </c>
      <c r="AI17" s="230">
        <f>IF($A$1="All",SUMIFS('Supply planning data'!$AG:$AG,'Supply planning data'!$D:$D,DataViz!$B17),SUMIFS('Supply planning data'!$AG:$AG,'Supply planning data'!$D:$D,DataViz!$B17,'Supply planning data'!$C:$C,DataViz!$A$1))</f>
        <v>1778564</v>
      </c>
      <c r="AJ17" s="230">
        <f>IF($A$1="All",SUMIFS('Supply planning data'!$AK:$AK,'Supply planning data'!$D:$D,DataViz!$B17),SUMIFS('Supply planning data'!$AK:$AK,'Supply planning data'!$D:$D,DataViz!$B17,'Supply planning data'!$C:$C,DataViz!$A$1))</f>
        <v>0</v>
      </c>
      <c r="AK17" s="230">
        <f>IF($A$1="All",SUMIFS('Supply planning data'!$AH:$AH,'Supply planning data'!$D:$D,DataViz!$B17),SUMIFS('Supply planning data'!$AH:$AH,'Supply planning data'!$D:$D,DataViz!$B17,'Supply planning data'!$C:$C,DataViz!$A$1))</f>
        <v>0</v>
      </c>
      <c r="AL17" s="230"/>
      <c r="AM17" s="230" t="e">
        <f>IF(IF($A$1="All",SUMIFS('Supply planning data'!$AJ:$AJ,'Supply planning data'!$D:$D,DataViz!$B17),SUMIFS('Supply planning data'!$AJ:$AJ,'Supply planning data'!$D:$D,DataViz!$B17,'Supply planning data'!$C:$C,DataViz!$A$1))&lt;=0,NA(),IF($A$1="All",SUMIFS('Supply planning data'!$AJ:$AJ,'Supply planning data'!$D:$D,DataViz!$B17),SUMIFS('Supply planning data'!$AJ:$AJ,'Supply planning data'!$D:$D,DataViz!$B17,'Supply planning data'!$C:$C,DataViz!$A$1)))</f>
        <v>#N/A</v>
      </c>
      <c r="AN17" s="230">
        <f>IF($A$1="All",SUMIFS('Supply planning data'!$AN:$AN,'Supply planning data'!$D:$D,DataViz!$B17),SUMIFS('Supply planning data'!$AN:$AN,'Supply planning data'!$D:$D,DataViz!$B17,'Supply planning data'!$C:$C,DataViz!$A$1))</f>
        <v>2169285</v>
      </c>
      <c r="AO17" s="231">
        <f>IF($J17+K17+IF($A$1="All",SUMIFS('Supply planning data'!$AJ:$AJ,'Supply planning data'!$D:$D,DataViz!$B17),SUMIFS('Supply planning data'!$AJ:$AJ,'Supply planning data'!$D:$D,DataViz!$B17,'Supply planning data'!$C:$C,DataViz!$A$1))&lt;=0,NA(),$J17+K17+IF($A$1="All",SUMIFS('Supply planning data'!$AJ:$AJ,'Supply planning data'!$D:$D,DataViz!$B17),SUMIFS('Supply planning data'!$AJ:$AJ,'Supply planning data'!$D:$D,DataViz!$B17,'Supply planning data'!$C:$C,DataViz!$A$1)))</f>
        <v>191276.53856992224</v>
      </c>
      <c r="AP17">
        <f>IF($A$1="All",SUMIFS('Supply planning data'!AM:AM,'Supply planning data'!$D:$D,DataViz!$B17),SUMIFS('Supply planning data'!AM:AM,'Supply planning data'!$D:$D,DataViz!$B17,'Supply planning data'!$C:$C,DataViz!$A$1))</f>
        <v>0</v>
      </c>
      <c r="AQ17" s="229">
        <f t="shared" si="6"/>
        <v>2.9492566666666668E-2</v>
      </c>
      <c r="AR17" s="230">
        <f>SUMIFS('Supply planning data'!AH:AH,'Supply planning data'!$D:$D,"&lt;="&amp;DataViz!$B16,'Supply planning data'!$C:$C,"Jansen")+(SUMIFS('Supply planning data'!AH:AH,'Supply planning data'!$D:$D,"&lt;="&amp;DataViz!$B16,'Supply planning data'!$C:$C,"&lt;&gt;Jansen")/2)+D17</f>
        <v>1769554</v>
      </c>
    </row>
    <row r="18" spans="1:44" x14ac:dyDescent="0.25">
      <c r="A18" s="20">
        <v>13</v>
      </c>
      <c r="B18" s="21">
        <f t="shared" si="9"/>
        <v>44652</v>
      </c>
      <c r="C18" s="22">
        <f>IF(VLOOKUP(Dashboard!$M$6,Start!$B$10:$E$12,4,FALSE)&gt;0,VLOOKUP(Dashboard!$M$6,Start!$B$10:$E$12,4, FALSE),VLOOKUP(Dashboard!$M$6,Start!$B$10:$E$12,3, FALSE))</f>
        <v>60000000</v>
      </c>
      <c r="D18" s="22">
        <f>IF($A$1="Jansen",SUMIFS('Supply planning data'!G:G,'Supply planning data'!$D:$D,"&lt;="&amp;DataViz!$B18,'Supply planning data'!$C:$C,"jansen"),IF($A$1="All",SUMIFS('Supply planning data'!H:H,'Supply planning data'!$D:$D,"&lt;="&amp;DataViz!$B18)+SUMIFS('Supply planning data'!G:G,'Supply planning data'!$D:$D,"&lt;="&amp;DataViz!$B18,'Supply planning data'!$C:$C,"Jansen"),SUMIFS('Supply planning data'!H:H,'Supply planning data'!$D:$D,"&lt;="&amp;DataViz!$B18,'Supply planning data'!$C:$C,DataViz!$A$1)))</f>
        <v>1769554</v>
      </c>
      <c r="E18" s="23">
        <f t="shared" si="7"/>
        <v>2.9492566666666668E-2</v>
      </c>
      <c r="F18" s="14">
        <f>IF($A$1="All",SUMIFS('Supply planning data'!F:F,'Supply planning data'!$D:$D,DataViz!$B18),SUMIFS('Supply planning data'!F:F,'Supply planning data'!$D:$D,DataViz!$B18,'Supply planning data'!$C:$C,DataViz!$A$1))</f>
        <v>2169285</v>
      </c>
      <c r="G18" s="14">
        <f>IF($A$1="All",SUMIFS('Supply planning data'!G:G,'Supply planning data'!$D:$D,DataViz!$B18),SUMIFS('Supply planning data'!G:G,'Supply planning data'!$D:$D,DataViz!$B18,'Supply planning data'!$C:$C,DataViz!$A$1))</f>
        <v>0</v>
      </c>
      <c r="H18" s="14">
        <f>IF($A$1="All",SUMIFS('Supply planning data'!H:H,'Supply planning data'!$D:$D,DataViz!$B18),SUMIFS('Supply planning data'!H:H,'Supply planning data'!$D:$D,DataViz!$B18,'Supply planning data'!$C:$C,DataViz!$A$1))</f>
        <v>0</v>
      </c>
      <c r="I18" s="14">
        <f>IF($A$1="All",SUMIFS('Supply planning data'!I:I,'Supply planning data'!$D:$D,DataViz!$B18),SUMIFS('Supply planning data'!I:I,'Supply planning data'!$D:$D,DataViz!$B18,'Supply planning data'!$C:$C,DataViz!$A$1))</f>
        <v>0</v>
      </c>
      <c r="J18" s="14">
        <f>IF($A$1="All",SUMIFS('Supply planning data'!J:J,'Supply planning data'!$D:$D,DataViz!$B18),SUMIFS('Supply planning data'!J:J,'Supply planning data'!$D:$D,DataViz!$B18,'Supply planning data'!$C:$C,DataViz!$A$1))</f>
        <v>0</v>
      </c>
      <c r="K18" s="14">
        <f>IF($A$1="All",SUMIFS('Supply planning data'!L:L,'Supply planning data'!$D:$D,DataViz!$B18),SUMIFS('Supply planning data'!L:L,'Supply planning data'!$D:$D,DataViz!$B18,'Supply planning data'!$C:$C,DataViz!$A$1))</f>
        <v>0</v>
      </c>
      <c r="L18" s="14">
        <f>IF($A$1="All",SUMIFS('Supply planning data'!K:K,'Supply planning data'!$D:$D,DataViz!$B18),SUMIFS('Supply planning data'!K:K,'Supply planning data'!$D:$D,DataViz!$B18,'Supply planning data'!$C:$C,DataViz!$A$1))</f>
        <v>0</v>
      </c>
      <c r="M18" s="14" t="e">
        <f>IF(IF($A$1="All",SUMIFS('Supply planning data'!M:M,'Supply planning data'!$D:$D,DataViz!$B18),SUMIFS('Supply planning data'!M:M,'Supply planning data'!$D:$D,DataViz!$B18,'Supply planning data'!$C:$C,DataViz!$A$1))&lt;=0,NA(),IF($A$1="All",SUMIFS('Supply planning data'!M:M,'Supply planning data'!$D:$D,DataViz!$B18),SUMIFS('Supply planning data'!M:M,'Supply planning data'!$D:$D,DataViz!$B18,'Supply planning data'!$C:$C,DataViz!$A$1)))</f>
        <v>#N/A</v>
      </c>
      <c r="N18" s="14">
        <f>IF($A$1="All",SUMIFS('Supply planning data'!N:N,'Supply planning data'!$D:$D,DataViz!$B18),SUMIFS('Supply planning data'!N:N,'Supply planning data'!$D:$D,DataViz!$B18,'Supply planning data'!$C:$C,DataViz!$A$1))+IF($A$1="All",SUMIFS('Supply planning data'!P:P,'Supply planning data'!$D:$D,DataViz!$B18),SUMIFS('Supply planning data'!P:P,'Supply planning data'!$D:$D,DataViz!$B18,'Supply planning data'!$C:$C,DataViz!$A$1))</f>
        <v>0</v>
      </c>
      <c r="O18" s="14">
        <f>IF($A$1="All",SUMIFS('Supply planning data'!R:R,'Supply planning data'!$D:$D,DataViz!$B18),SUMIFS('Supply planning data'!R:R,'Supply planning data'!$D:$D,DataViz!$B18,'Supply planning data'!$C:$C,DataViz!$A$1))</f>
        <v>0</v>
      </c>
      <c r="P18" s="14">
        <f>IF($A$1="All",SUMIFS('Supply planning data'!S:S,'Supply planning data'!$D:$D,DataViz!$B18),SUMIFS('Supply planning data'!S:S,'Supply planning data'!$D:$D,DataViz!$B18,'Supply planning data'!$C:$C,DataViz!$A$1))</f>
        <v>0</v>
      </c>
      <c r="Q18" s="14">
        <f>IF($A$1="All",SUMIFS('Supply planning data'!T:T,'Supply planning data'!$D:$D,DataViz!$B18),SUMIFS('Supply planning data'!T:T,'Supply planning data'!$D:$D,DataViz!$B18,'Supply planning data'!$C:$C,DataViz!$A$1))</f>
        <v>0</v>
      </c>
      <c r="R18" s="14">
        <f>IF($A$1="All",SUMIFS('Supply planning data'!U:U,'Supply planning data'!$D:$D,DataViz!$B18),SUMIFS('Supply planning data'!U:U,'Supply planning data'!$D:$D,DataViz!$B18,'Supply planning data'!$C:$C,DataViz!$A$1))</f>
        <v>0</v>
      </c>
      <c r="S18" s="14">
        <f>IF($A$1="All",SUMIFS('Supply planning data'!V:V,'Supply planning data'!$D:$D,DataViz!$B18),SUMIFS('Supply planning data'!V:V,'Supply planning data'!$D:$D,DataViz!$B18,'Supply planning data'!$C:$C,DataViz!$A$1))</f>
        <v>2169285</v>
      </c>
      <c r="T18" s="14"/>
      <c r="U18" s="14">
        <f>IF($A$1="All",SUMIFS('Supply planning data'!Y:Y,'Supply planning data'!$D:$D,DataViz!$B18),SUMIFS('Supply planning data'!Y:Y,'Supply planning data'!$D:$D,DataViz!$B18,'Supply planning data'!$C:$C,DataViz!$A$1))</f>
        <v>0</v>
      </c>
      <c r="V18" s="14">
        <f t="shared" si="8"/>
        <v>1769554</v>
      </c>
      <c r="W18" s="350" t="e">
        <f t="shared" si="10"/>
        <v>#N/A</v>
      </c>
      <c r="Y18" s="14">
        <f>IF($A$1="All",SUMIFS('Supply planning data'!$X:$X,'Supply planning data'!$D:$D,DataViz!$B18),SUMIFS('Supply planning data'!$X:$X,'Supply planning data'!$D:$D,DataViz!$B18,'Supply planning data'!$C:$C,DataViz!$A$1))</f>
        <v>2883986</v>
      </c>
      <c r="Z18" s="14">
        <f>IF($A$1="All",SUMIFS('Supply planning data'!$AB:$AB,'Supply planning data'!$D:$D,DataViz!$B18),SUMIFS('Supply planning data'!$AB:$AB,'Supply planning data'!$D:$D,DataViz!$B18,'Supply planning data'!$C:$C,DataViz!$A$1))</f>
        <v>0</v>
      </c>
      <c r="AA18" s="14">
        <f>IF($A$1="All",SUMIFS('Supply planning data'!$Y:$Y,'Supply planning data'!$D:$D,DataViz!$B18),SUMIFS('Supply planning data'!$Y:$Y,'Supply planning data'!$D:$D,DataViz!$B18,'Supply planning data'!$C:$C,DataViz!$A$1))</f>
        <v>0</v>
      </c>
      <c r="AB18" s="14"/>
      <c r="AC18" s="14" t="e">
        <f>IF(IF($A$1="All",SUMIFS('Supply planning data'!$AA:$AA,'Supply planning data'!$D:$D,DataViz!$B18),SUMIFS('Supply planning data'!$AA:$AA,'Supply planning data'!$D:$D,DataViz!$B18,'Supply planning data'!$C:$C,DataViz!$A$1))&lt;=0,NA(),IF($A$1="All",SUMIFS('Supply planning data'!$AA:$AA,'Supply planning data'!$D:$D,DataViz!$B18),SUMIFS('Supply planning data'!$AA:$AA,'Supply planning data'!$D:$D,DataViz!$B18,'Supply planning data'!$C:$C,DataViz!$A$1)))</f>
        <v>#N/A</v>
      </c>
      <c r="AD18" s="14">
        <f>IF($A$1="All",SUMIFS('Supply planning data'!$AE:$AE,'Supply planning data'!$D:$D,DataViz!$B18),SUMIFS('Supply planning data'!$AE:$AE,'Supply planning data'!$D:$D,DataViz!$B18,'Supply planning data'!$C:$C,DataViz!$A$1))</f>
        <v>2883986</v>
      </c>
      <c r="AE18" s="18" t="e">
        <f>IF($J18+K18+IF($A$1="All",SUMIFS('Supply planning data'!$AJ:$AJ,'Supply planning data'!$D:$D,DataViz!$B18),SUMIFS('Supply planning data'!$AJ:$AJ,'Supply planning data'!$D:$D,DataViz!$B18,'Supply planning data'!$C:$C,DataViz!$A$1))&lt;=0,NA(),$J18+K18+IF($A$1="All",SUMIFS('Supply planning data'!$AJ:$AJ,'Supply planning data'!$D:$D,DataViz!$B18),SUMIFS('Supply planning data'!$AJ:$AJ,'Supply planning data'!$D:$D,DataViz!$B18,'Supply planning data'!$C:$C,DataViz!$A$1)))</f>
        <v>#N/A</v>
      </c>
      <c r="AF18">
        <f>IF($A$1="All",SUMIFS('Supply planning data'!AD:AD,'Supply planning data'!$D:$D,DataViz!$B18),SUMIFS('Supply planning data'!AD:AD,'Supply planning data'!$D:$D,DataViz!$B18,'Supply planning data'!$C:$C,DataViz!$A$1))</f>
        <v>0</v>
      </c>
      <c r="AG18" s="229">
        <f t="shared" si="5"/>
        <v>2.9492566666666668E-2</v>
      </c>
      <c r="AH18" s="230">
        <f>SUMIFS('Supply planning data'!Y:Y,'Supply planning data'!$D:$D,"&lt;="&amp;DataViz!$B17,'Supply planning data'!$C:$C,"Jansen")+(SUMIFS('Supply planning data'!Y:Y,'Supply planning data'!$D:$D,"&lt;="&amp;DataViz!$B17,'Supply planning data'!$C:$C,"&lt;&gt;Jansen")/2)+D18</f>
        <v>1769554</v>
      </c>
      <c r="AI18" s="230">
        <f>IF($A$1="All",SUMIFS('Supply planning data'!$AG:$AG,'Supply planning data'!$D:$D,DataViz!$B18),SUMIFS('Supply planning data'!$AG:$AG,'Supply planning data'!$D:$D,DataViz!$B18,'Supply planning data'!$C:$C,DataViz!$A$1))</f>
        <v>2169285</v>
      </c>
      <c r="AJ18" s="230">
        <f>IF($A$1="All",SUMIFS('Supply planning data'!$AK:$AK,'Supply planning data'!$D:$D,DataViz!$B18),SUMIFS('Supply planning data'!$AK:$AK,'Supply planning data'!$D:$D,DataViz!$B18,'Supply planning data'!$C:$C,DataViz!$A$1))</f>
        <v>0</v>
      </c>
      <c r="AK18" s="230">
        <f>IF($A$1="All",SUMIFS('Supply planning data'!$AH:$AH,'Supply planning data'!$D:$D,DataViz!$B18),SUMIFS('Supply planning data'!$AH:$AH,'Supply planning data'!$D:$D,DataViz!$B18,'Supply planning data'!$C:$C,DataViz!$A$1))</f>
        <v>0</v>
      </c>
      <c r="AL18" s="230"/>
      <c r="AM18" s="230" t="e">
        <f>IF(IF($A$1="All",SUMIFS('Supply planning data'!$AJ:$AJ,'Supply planning data'!$D:$D,DataViz!$B18),SUMIFS('Supply planning data'!$AJ:$AJ,'Supply planning data'!$D:$D,DataViz!$B18,'Supply planning data'!$C:$C,DataViz!$A$1))&lt;=0,NA(),IF($A$1="All",SUMIFS('Supply planning data'!$AJ:$AJ,'Supply planning data'!$D:$D,DataViz!$B18),SUMIFS('Supply planning data'!$AJ:$AJ,'Supply planning data'!$D:$D,DataViz!$B18,'Supply planning data'!$C:$C,DataViz!$A$1)))</f>
        <v>#N/A</v>
      </c>
      <c r="AN18" s="230">
        <f>IF($A$1="All",SUMIFS('Supply planning data'!$AN:$AN,'Supply planning data'!$D:$D,DataViz!$B18),SUMIFS('Supply planning data'!$AN:$AN,'Supply planning data'!$D:$D,DataViz!$B18,'Supply planning data'!$C:$C,DataViz!$A$1))</f>
        <v>2169285</v>
      </c>
      <c r="AO18" s="231" t="e">
        <f>IF($J18+K18+IF($A$1="All",SUMIFS('Supply planning data'!$AJ:$AJ,'Supply planning data'!$D:$D,DataViz!$B18),SUMIFS('Supply planning data'!$AJ:$AJ,'Supply planning data'!$D:$D,DataViz!$B18,'Supply planning data'!$C:$C,DataViz!$A$1))&lt;=0,NA(),$J18+K18+IF($A$1="All",SUMIFS('Supply planning data'!$AJ:$AJ,'Supply planning data'!$D:$D,DataViz!$B18),SUMIFS('Supply planning data'!$AJ:$AJ,'Supply planning data'!$D:$D,DataViz!$B18,'Supply planning data'!$C:$C,DataViz!$A$1)))</f>
        <v>#N/A</v>
      </c>
      <c r="AP18">
        <f>IF($A$1="All",SUMIFS('Supply planning data'!AM:AM,'Supply planning data'!$D:$D,DataViz!$B18),SUMIFS('Supply planning data'!AM:AM,'Supply planning data'!$D:$D,DataViz!$B18,'Supply planning data'!$C:$C,DataViz!$A$1))</f>
        <v>0</v>
      </c>
      <c r="AQ18" s="229">
        <f t="shared" si="6"/>
        <v>2.9492566666666668E-2</v>
      </c>
      <c r="AR18" s="230">
        <f>SUMIFS('Supply planning data'!AH:AH,'Supply planning data'!$D:$D,"&lt;="&amp;DataViz!$B17,'Supply planning data'!$C:$C,"Jansen")+(SUMIFS('Supply planning data'!AH:AH,'Supply planning data'!$D:$D,"&lt;="&amp;DataViz!$B17,'Supply planning data'!$C:$C,"&lt;&gt;Jansen")/2)+D18</f>
        <v>1769554</v>
      </c>
    </row>
    <row r="19" spans="1:44" x14ac:dyDescent="0.25">
      <c r="A19" s="20">
        <v>14</v>
      </c>
      <c r="B19" s="21">
        <f t="shared" si="9"/>
        <v>44682</v>
      </c>
      <c r="C19" s="22">
        <f>IF(VLOOKUP(Dashboard!$M$6,Start!$B$10:$E$12,4,FALSE)&gt;0,VLOOKUP(Dashboard!$M$6,Start!$B$10:$E$12,4, FALSE),VLOOKUP(Dashboard!$M$6,Start!$B$10:$E$12,3, FALSE))</f>
        <v>60000000</v>
      </c>
      <c r="D19" s="22">
        <f>IF($A$1="Jansen",SUMIFS('Supply planning data'!G:G,'Supply planning data'!$D:$D,"&lt;="&amp;DataViz!$B19,'Supply planning data'!$C:$C,"jansen"),IF($A$1="All",SUMIFS('Supply planning data'!H:H,'Supply planning data'!$D:$D,"&lt;="&amp;DataViz!$B19)+SUMIFS('Supply planning data'!G:G,'Supply planning data'!$D:$D,"&lt;="&amp;DataViz!$B19,'Supply planning data'!$C:$C,"Jansen"),SUMIFS('Supply planning data'!H:H,'Supply planning data'!$D:$D,"&lt;="&amp;DataViz!$B19,'Supply planning data'!$C:$C,DataViz!$A$1)))</f>
        <v>1769554</v>
      </c>
      <c r="E19" s="23">
        <f t="shared" si="7"/>
        <v>2.9492566666666668E-2</v>
      </c>
      <c r="F19" s="14">
        <f>IF($A$1="All",SUMIFS('Supply planning data'!F:F,'Supply planning data'!$D:$D,DataViz!$B19),SUMIFS('Supply planning data'!F:F,'Supply planning data'!$D:$D,DataViz!$B19,'Supply planning data'!$C:$C,DataViz!$A$1))</f>
        <v>2169285</v>
      </c>
      <c r="G19" s="14">
        <f>IF($A$1="All",SUMIFS('Supply planning data'!G:G,'Supply planning data'!$D:$D,DataViz!$B19),SUMIFS('Supply planning data'!G:G,'Supply planning data'!$D:$D,DataViz!$B19,'Supply planning data'!$C:$C,DataViz!$A$1))</f>
        <v>0</v>
      </c>
      <c r="H19" s="14">
        <f>IF($A$1="All",SUMIFS('Supply planning data'!H:H,'Supply planning data'!$D:$D,DataViz!$B19),SUMIFS('Supply planning data'!H:H,'Supply planning data'!$D:$D,DataViz!$B19,'Supply planning data'!$C:$C,DataViz!$A$1))</f>
        <v>0</v>
      </c>
      <c r="I19" s="14">
        <f>IF($A$1="All",SUMIFS('Supply planning data'!I:I,'Supply planning data'!$D:$D,DataViz!$B19),SUMIFS('Supply planning data'!I:I,'Supply planning data'!$D:$D,DataViz!$B19,'Supply planning data'!$C:$C,DataViz!$A$1))</f>
        <v>0</v>
      </c>
      <c r="J19" s="14">
        <f>IF($A$1="All",SUMIFS('Supply planning data'!J:J,'Supply planning data'!$D:$D,DataViz!$B19),SUMIFS('Supply planning data'!J:J,'Supply planning data'!$D:$D,DataViz!$B19,'Supply planning data'!$C:$C,DataViz!$A$1))</f>
        <v>0</v>
      </c>
      <c r="K19" s="14">
        <f>IF($A$1="All",SUMIFS('Supply planning data'!L:L,'Supply planning data'!$D:$D,DataViz!$B19),SUMIFS('Supply planning data'!L:L,'Supply planning data'!$D:$D,DataViz!$B19,'Supply planning data'!$C:$C,DataViz!$A$1))</f>
        <v>0</v>
      </c>
      <c r="L19" s="14">
        <f>IF($A$1="All",SUMIFS('Supply planning data'!K:K,'Supply planning data'!$D:$D,DataViz!$B19),SUMIFS('Supply planning data'!K:K,'Supply planning data'!$D:$D,DataViz!$B19,'Supply planning data'!$C:$C,DataViz!$A$1))</f>
        <v>0</v>
      </c>
      <c r="M19" s="14" t="e">
        <f>IF(IF($A$1="All",SUMIFS('Supply planning data'!M:M,'Supply planning data'!$D:$D,DataViz!$B19),SUMIFS('Supply planning data'!M:M,'Supply planning data'!$D:$D,DataViz!$B19,'Supply planning data'!$C:$C,DataViz!$A$1))&lt;=0,NA(),IF($A$1="All",SUMIFS('Supply planning data'!M:M,'Supply planning data'!$D:$D,DataViz!$B19),SUMIFS('Supply planning data'!M:M,'Supply planning data'!$D:$D,DataViz!$B19,'Supply planning data'!$C:$C,DataViz!$A$1)))</f>
        <v>#N/A</v>
      </c>
      <c r="N19" s="14">
        <f>IF($A$1="All",SUMIFS('Supply planning data'!N:N,'Supply planning data'!$D:$D,DataViz!$B19),SUMIFS('Supply planning data'!N:N,'Supply planning data'!$D:$D,DataViz!$B19,'Supply planning data'!$C:$C,DataViz!$A$1))+IF($A$1="All",SUMIFS('Supply planning data'!P:P,'Supply planning data'!$D:$D,DataViz!$B19),SUMIFS('Supply planning data'!P:P,'Supply planning data'!$D:$D,DataViz!$B19,'Supply planning data'!$C:$C,DataViz!$A$1))</f>
        <v>0</v>
      </c>
      <c r="O19" s="14">
        <f>IF($A$1="All",SUMIFS('Supply planning data'!R:R,'Supply planning data'!$D:$D,DataViz!$B19),SUMIFS('Supply planning data'!R:R,'Supply planning data'!$D:$D,DataViz!$B19,'Supply planning data'!$C:$C,DataViz!$A$1))</f>
        <v>0</v>
      </c>
      <c r="P19" s="14">
        <f>IF($A$1="All",SUMIFS('Supply planning data'!S:S,'Supply planning data'!$D:$D,DataViz!$B19),SUMIFS('Supply planning data'!S:S,'Supply planning data'!$D:$D,DataViz!$B19,'Supply planning data'!$C:$C,DataViz!$A$1))</f>
        <v>0</v>
      </c>
      <c r="Q19" s="14">
        <f>IF($A$1="All",SUMIFS('Supply planning data'!T:T,'Supply planning data'!$D:$D,DataViz!$B19),SUMIFS('Supply planning data'!T:T,'Supply planning data'!$D:$D,DataViz!$B19,'Supply planning data'!$C:$C,DataViz!$A$1))</f>
        <v>0</v>
      </c>
      <c r="R19" s="14">
        <f>IF($A$1="All",SUMIFS('Supply planning data'!U:U,'Supply planning data'!$D:$D,DataViz!$B19),SUMIFS('Supply planning data'!U:U,'Supply planning data'!$D:$D,DataViz!$B19,'Supply planning data'!$C:$C,DataViz!$A$1))</f>
        <v>0</v>
      </c>
      <c r="S19" s="14">
        <f>IF($A$1="All",SUMIFS('Supply planning data'!V:V,'Supply planning data'!$D:$D,DataViz!$B19),SUMIFS('Supply planning data'!V:V,'Supply planning data'!$D:$D,DataViz!$B19,'Supply planning data'!$C:$C,DataViz!$A$1))</f>
        <v>2169285</v>
      </c>
      <c r="T19" s="14"/>
      <c r="U19" s="14">
        <f>IF($A$1="All",SUMIFS('Supply planning data'!Y:Y,'Supply planning data'!$D:$D,DataViz!$B19),SUMIFS('Supply planning data'!Y:Y,'Supply planning data'!$D:$D,DataViz!$B19,'Supply planning data'!$C:$C,DataViz!$A$1))</f>
        <v>400000</v>
      </c>
      <c r="V19" s="14">
        <f t="shared" si="8"/>
        <v>2169554</v>
      </c>
      <c r="W19" s="350" t="e">
        <f t="shared" si="10"/>
        <v>#N/A</v>
      </c>
      <c r="Y19" s="14">
        <f>IF($A$1="All",SUMIFS('Supply planning data'!$X:$X,'Supply planning data'!$D:$D,DataViz!$B19),SUMIFS('Supply planning data'!$X:$X,'Supply planning data'!$D:$D,DataViz!$B19,'Supply planning data'!$C:$C,DataViz!$A$1))</f>
        <v>2883986</v>
      </c>
      <c r="Z19" s="14">
        <f>IF($A$1="All",SUMIFS('Supply planning data'!$AB:$AB,'Supply planning data'!$D:$D,DataViz!$B19),SUMIFS('Supply planning data'!$AB:$AB,'Supply planning data'!$D:$D,DataViz!$B19,'Supply planning data'!$C:$C,DataViz!$A$1))</f>
        <v>0</v>
      </c>
      <c r="AA19" s="14">
        <f>IF($A$1="All",SUMIFS('Supply planning data'!$Y:$Y,'Supply planning data'!$D:$D,DataViz!$B19),SUMIFS('Supply planning data'!$Y:$Y,'Supply planning data'!$D:$D,DataViz!$B19,'Supply planning data'!$C:$C,DataViz!$A$1))</f>
        <v>400000</v>
      </c>
      <c r="AB19" s="14"/>
      <c r="AC19" s="14">
        <f>IF(IF($A$1="All",SUMIFS('Supply planning data'!$AA:$AA,'Supply planning data'!$D:$D,DataViz!$B19),SUMIFS('Supply planning data'!$AA:$AA,'Supply planning data'!$D:$D,DataViz!$B19,'Supply planning data'!$C:$C,DataViz!$A$1))&lt;=0,NA(),IF($A$1="All",SUMIFS('Supply planning data'!$AA:$AA,'Supply planning data'!$D:$D,DataViz!$B19),SUMIFS('Supply planning data'!$AA:$AA,'Supply planning data'!$D:$D,DataViz!$B19,'Supply planning data'!$C:$C,DataViz!$A$1)))</f>
        <v>400000</v>
      </c>
      <c r="AD19" s="14">
        <f>IF($A$1="All",SUMIFS('Supply planning data'!$AE:$AE,'Supply planning data'!$D:$D,DataViz!$B19),SUMIFS('Supply planning data'!$AE:$AE,'Supply planning data'!$D:$D,DataViz!$B19,'Supply planning data'!$C:$C,DataViz!$A$1))</f>
        <v>2643986</v>
      </c>
      <c r="AE19" s="18" t="e">
        <f>IF($J19+K19+IF($A$1="All",SUMIFS('Supply planning data'!$AJ:$AJ,'Supply planning data'!$D:$D,DataViz!$B19),SUMIFS('Supply planning data'!$AJ:$AJ,'Supply planning data'!$D:$D,DataViz!$B19,'Supply planning data'!$C:$C,DataViz!$A$1))&lt;=0,NA(),$J19+K19+IF($A$1="All",SUMIFS('Supply planning data'!$AJ:$AJ,'Supply planning data'!$D:$D,DataViz!$B19),SUMIFS('Supply planning data'!$AJ:$AJ,'Supply planning data'!$D:$D,DataViz!$B19,'Supply planning data'!$C:$C,DataViz!$A$1)))</f>
        <v>#N/A</v>
      </c>
      <c r="AF19">
        <f>IF($A$1="All",SUMIFS('Supply planning data'!AD:AD,'Supply planning data'!$D:$D,DataViz!$B19),SUMIFS('Supply planning data'!AD:AD,'Supply planning data'!$D:$D,DataViz!$B19,'Supply planning data'!$C:$C,DataViz!$A$1))</f>
        <v>0</v>
      </c>
      <c r="AG19" s="229">
        <f t="shared" si="5"/>
        <v>2.9492566666666668E-2</v>
      </c>
      <c r="AH19" s="230">
        <f>SUMIFS('Supply planning data'!Y:Y,'Supply planning data'!$D:$D,"&lt;="&amp;DataViz!$B18,'Supply planning data'!$C:$C,"Jansen")+(SUMIFS('Supply planning data'!Y:Y,'Supply planning data'!$D:$D,"&lt;="&amp;DataViz!$B18,'Supply planning data'!$C:$C,"&lt;&gt;Jansen")/2)+D19</f>
        <v>1769554</v>
      </c>
      <c r="AI19" s="230">
        <f>IF($A$1="All",SUMIFS('Supply planning data'!$AG:$AG,'Supply planning data'!$D:$D,DataViz!$B19),SUMIFS('Supply planning data'!$AG:$AG,'Supply planning data'!$D:$D,DataViz!$B19,'Supply planning data'!$C:$C,DataViz!$A$1))</f>
        <v>2169285</v>
      </c>
      <c r="AJ19" s="230">
        <f>IF($A$1="All",SUMIFS('Supply planning data'!$AK:$AK,'Supply planning data'!$D:$D,DataViz!$B19),SUMIFS('Supply planning data'!$AK:$AK,'Supply planning data'!$D:$D,DataViz!$B19,'Supply planning data'!$C:$C,DataViz!$A$1))</f>
        <v>0</v>
      </c>
      <c r="AK19" s="230">
        <f>IF($A$1="All",SUMIFS('Supply planning data'!$AH:$AH,'Supply planning data'!$D:$D,DataViz!$B19),SUMIFS('Supply planning data'!$AH:$AH,'Supply planning data'!$D:$D,DataViz!$B19,'Supply planning data'!$C:$C,DataViz!$A$1))</f>
        <v>0</v>
      </c>
      <c r="AL19" s="230"/>
      <c r="AM19" s="230" t="e">
        <f>IF(IF($A$1="All",SUMIFS('Supply planning data'!$AJ:$AJ,'Supply planning data'!$D:$D,DataViz!$B19),SUMIFS('Supply planning data'!$AJ:$AJ,'Supply planning data'!$D:$D,DataViz!$B19,'Supply planning data'!$C:$C,DataViz!$A$1))&lt;=0,NA(),IF($A$1="All",SUMIFS('Supply planning data'!$AJ:$AJ,'Supply planning data'!$D:$D,DataViz!$B19),SUMIFS('Supply planning data'!$AJ:$AJ,'Supply planning data'!$D:$D,DataViz!$B19,'Supply planning data'!$C:$C,DataViz!$A$1)))</f>
        <v>#N/A</v>
      </c>
      <c r="AN19" s="230">
        <f>IF($A$1="All",SUMIFS('Supply planning data'!$AN:$AN,'Supply planning data'!$D:$D,DataViz!$B19),SUMIFS('Supply planning data'!$AN:$AN,'Supply planning data'!$D:$D,DataViz!$B19,'Supply planning data'!$C:$C,DataViz!$A$1))</f>
        <v>2169285</v>
      </c>
      <c r="AO19" s="231" t="e">
        <f>IF($J19+K19+IF($A$1="All",SUMIFS('Supply planning data'!$AJ:$AJ,'Supply planning data'!$D:$D,DataViz!$B19),SUMIFS('Supply planning data'!$AJ:$AJ,'Supply planning data'!$D:$D,DataViz!$B19,'Supply planning data'!$C:$C,DataViz!$A$1))&lt;=0,NA(),$J19+K19+IF($A$1="All",SUMIFS('Supply planning data'!$AJ:$AJ,'Supply planning data'!$D:$D,DataViz!$B19),SUMIFS('Supply planning data'!$AJ:$AJ,'Supply planning data'!$D:$D,DataViz!$B19,'Supply planning data'!$C:$C,DataViz!$A$1)))</f>
        <v>#N/A</v>
      </c>
      <c r="AP19">
        <f>IF($A$1="All",SUMIFS('Supply planning data'!AM:AM,'Supply planning data'!$D:$D,DataViz!$B19),SUMIFS('Supply planning data'!AM:AM,'Supply planning data'!$D:$D,DataViz!$B19,'Supply planning data'!$C:$C,DataViz!$A$1))</f>
        <v>0</v>
      </c>
      <c r="AQ19" s="229">
        <f t="shared" si="6"/>
        <v>2.9492566666666668E-2</v>
      </c>
      <c r="AR19" s="230">
        <f>SUMIFS('Supply planning data'!AH:AH,'Supply planning data'!$D:$D,"&lt;="&amp;DataViz!$B18,'Supply planning data'!$C:$C,"Jansen")+(SUMIFS('Supply planning data'!AH:AH,'Supply planning data'!$D:$D,"&lt;="&amp;DataViz!$B18,'Supply planning data'!$C:$C,"&lt;&gt;Jansen")/2)+D19</f>
        <v>1769554</v>
      </c>
    </row>
    <row r="20" spans="1:44" x14ac:dyDescent="0.25">
      <c r="A20" s="20">
        <v>15</v>
      </c>
      <c r="B20" s="21">
        <f t="shared" si="9"/>
        <v>44713</v>
      </c>
      <c r="C20" s="22">
        <f>IF(VLOOKUP(Dashboard!$M$6,Start!$B$10:$E$12,4,FALSE)&gt;0,VLOOKUP(Dashboard!$M$6,Start!$B$10:$E$12,4, FALSE),VLOOKUP(Dashboard!$M$6,Start!$B$10:$E$12,3, FALSE))</f>
        <v>60000000</v>
      </c>
      <c r="D20" s="22">
        <f>IF($A$1="Jansen",SUMIFS('Supply planning data'!G:G,'Supply planning data'!$D:$D,"&lt;="&amp;DataViz!$B20,'Supply planning data'!$C:$C,"jansen"),IF($A$1="All",SUMIFS('Supply planning data'!H:H,'Supply planning data'!$D:$D,"&lt;="&amp;DataViz!$B20)+SUMIFS('Supply planning data'!G:G,'Supply planning data'!$D:$D,"&lt;="&amp;DataViz!$B20,'Supply planning data'!$C:$C,"Jansen"),SUMIFS('Supply planning data'!H:H,'Supply planning data'!$D:$D,"&lt;="&amp;DataViz!$B20,'Supply planning data'!$C:$C,DataViz!$A$1)))</f>
        <v>1769554</v>
      </c>
      <c r="E20" s="23">
        <f t="shared" si="7"/>
        <v>2.9492566666666668E-2</v>
      </c>
      <c r="F20" s="14">
        <f>IF($A$1="All",SUMIFS('Supply planning data'!F:F,'Supply planning data'!$D:$D,DataViz!$B20),SUMIFS('Supply planning data'!F:F,'Supply planning data'!$D:$D,DataViz!$B20,'Supply planning data'!$C:$C,DataViz!$A$1))</f>
        <v>2169285</v>
      </c>
      <c r="G20" s="14">
        <f>IF($A$1="All",SUMIFS('Supply planning data'!G:G,'Supply planning data'!$D:$D,DataViz!$B20),SUMIFS('Supply planning data'!G:G,'Supply planning data'!$D:$D,DataViz!$B20,'Supply planning data'!$C:$C,DataViz!$A$1))</f>
        <v>0</v>
      </c>
      <c r="H20" s="14">
        <f>IF($A$1="All",SUMIFS('Supply planning data'!H:H,'Supply planning data'!$D:$D,DataViz!$B20),SUMIFS('Supply planning data'!H:H,'Supply planning data'!$D:$D,DataViz!$B20,'Supply planning data'!$C:$C,DataViz!$A$1))</f>
        <v>0</v>
      </c>
      <c r="I20" s="14">
        <f>IF($A$1="All",SUMIFS('Supply planning data'!I:I,'Supply planning data'!$D:$D,DataViz!$B20),SUMIFS('Supply planning data'!I:I,'Supply planning data'!$D:$D,DataViz!$B20,'Supply planning data'!$C:$C,DataViz!$A$1))</f>
        <v>0</v>
      </c>
      <c r="J20" s="14">
        <f>IF($A$1="All",SUMIFS('Supply planning data'!J:J,'Supply planning data'!$D:$D,DataViz!$B20),SUMIFS('Supply planning data'!J:J,'Supply planning data'!$D:$D,DataViz!$B20,'Supply planning data'!$C:$C,DataViz!$A$1))</f>
        <v>0</v>
      </c>
      <c r="K20" s="14">
        <f>IF($A$1="All",SUMIFS('Supply planning data'!L:L,'Supply planning data'!$D:$D,DataViz!$B20),SUMIFS('Supply planning data'!L:L,'Supply planning data'!$D:$D,DataViz!$B20,'Supply planning data'!$C:$C,DataViz!$A$1))</f>
        <v>0</v>
      </c>
      <c r="L20" s="14">
        <f>IF($A$1="All",SUMIFS('Supply planning data'!K:K,'Supply planning data'!$D:$D,DataViz!$B20),SUMIFS('Supply planning data'!K:K,'Supply planning data'!$D:$D,DataViz!$B20,'Supply planning data'!$C:$C,DataViz!$A$1))</f>
        <v>0</v>
      </c>
      <c r="M20" s="14" t="e">
        <f>IF(IF($A$1="All",SUMIFS('Supply planning data'!M:M,'Supply planning data'!$D:$D,DataViz!$B20),SUMIFS('Supply planning data'!M:M,'Supply planning data'!$D:$D,DataViz!$B20,'Supply planning data'!$C:$C,DataViz!$A$1))&lt;=0,NA(),IF($A$1="All",SUMIFS('Supply planning data'!M:M,'Supply planning data'!$D:$D,DataViz!$B20),SUMIFS('Supply planning data'!M:M,'Supply planning data'!$D:$D,DataViz!$B20,'Supply planning data'!$C:$C,DataViz!$A$1)))</f>
        <v>#N/A</v>
      </c>
      <c r="N20" s="14">
        <f>IF($A$1="All",SUMIFS('Supply planning data'!N:N,'Supply planning data'!$D:$D,DataViz!$B20),SUMIFS('Supply planning data'!N:N,'Supply planning data'!$D:$D,DataViz!$B20,'Supply planning data'!$C:$C,DataViz!$A$1))+IF($A$1="All",SUMIFS('Supply planning data'!P:P,'Supply planning data'!$D:$D,DataViz!$B20),SUMIFS('Supply planning data'!P:P,'Supply planning data'!$D:$D,DataViz!$B20,'Supply planning data'!$C:$C,DataViz!$A$1))</f>
        <v>0</v>
      </c>
      <c r="O20" s="14">
        <f>IF($A$1="All",SUMIFS('Supply planning data'!R:R,'Supply planning data'!$D:$D,DataViz!$B20),SUMIFS('Supply planning data'!R:R,'Supply planning data'!$D:$D,DataViz!$B20,'Supply planning data'!$C:$C,DataViz!$A$1))</f>
        <v>0</v>
      </c>
      <c r="P20" s="14">
        <f>IF($A$1="All",SUMIFS('Supply planning data'!S:S,'Supply planning data'!$D:$D,DataViz!$B20),SUMIFS('Supply planning data'!S:S,'Supply planning data'!$D:$D,DataViz!$B20,'Supply planning data'!$C:$C,DataViz!$A$1))</f>
        <v>1000000</v>
      </c>
      <c r="Q20" s="14">
        <f>IF($A$1="All",SUMIFS('Supply planning data'!T:T,'Supply planning data'!$D:$D,DataViz!$B20),SUMIFS('Supply planning data'!T:T,'Supply planning data'!$D:$D,DataViz!$B20,'Supply planning data'!$C:$C,DataViz!$A$1))</f>
        <v>0</v>
      </c>
      <c r="R20" s="14">
        <f>IF($A$1="All",SUMIFS('Supply planning data'!U:U,'Supply planning data'!$D:$D,DataViz!$B20),SUMIFS('Supply planning data'!U:U,'Supply planning data'!$D:$D,DataViz!$B20,'Supply planning data'!$C:$C,DataViz!$A$1))</f>
        <v>0</v>
      </c>
      <c r="S20" s="14">
        <f>IF($A$1="All",SUMIFS('Supply planning data'!V:V,'Supply planning data'!$D:$D,DataViz!$B20),SUMIFS('Supply planning data'!V:V,'Supply planning data'!$D:$D,DataViz!$B20,'Supply planning data'!$C:$C,DataViz!$A$1))</f>
        <v>3169285</v>
      </c>
      <c r="T20" s="14"/>
      <c r="U20" s="14">
        <f>IF($A$1="All",SUMIFS('Supply planning data'!Y:Y,'Supply planning data'!$D:$D,DataViz!$B20),SUMIFS('Supply planning data'!Y:Y,'Supply planning data'!$D:$D,DataViz!$B20,'Supply planning data'!$C:$C,DataViz!$A$1))</f>
        <v>400000</v>
      </c>
      <c r="V20" s="14">
        <f t="shared" si="8"/>
        <v>2169554</v>
      </c>
      <c r="W20" s="350" t="e">
        <f t="shared" si="10"/>
        <v>#N/A</v>
      </c>
      <c r="Y20" s="14">
        <f>IF($A$1="All",SUMIFS('Supply planning data'!$X:$X,'Supply planning data'!$D:$D,DataViz!$B20),SUMIFS('Supply planning data'!$X:$X,'Supply planning data'!$D:$D,DataViz!$B20,'Supply planning data'!$C:$C,DataViz!$A$1))</f>
        <v>2643986</v>
      </c>
      <c r="Z20" s="14">
        <f>IF($A$1="All",SUMIFS('Supply planning data'!$AB:$AB,'Supply planning data'!$D:$D,DataViz!$B20),SUMIFS('Supply planning data'!$AB:$AB,'Supply planning data'!$D:$D,DataViz!$B20,'Supply planning data'!$C:$C,DataViz!$A$1))</f>
        <v>0</v>
      </c>
      <c r="AA20" s="14">
        <f>IF($A$1="All",SUMIFS('Supply planning data'!$Y:$Y,'Supply planning data'!$D:$D,DataViz!$B20),SUMIFS('Supply planning data'!$Y:$Y,'Supply planning data'!$D:$D,DataViz!$B20,'Supply planning data'!$C:$C,DataViz!$A$1))</f>
        <v>400000</v>
      </c>
      <c r="AB20" s="14"/>
      <c r="AC20" s="14">
        <f>IF(IF($A$1="All",SUMIFS('Supply planning data'!$AA:$AA,'Supply planning data'!$D:$D,DataViz!$B20),SUMIFS('Supply planning data'!$AA:$AA,'Supply planning data'!$D:$D,DataViz!$B20,'Supply planning data'!$C:$C,DataViz!$A$1))&lt;=0,NA(),IF($A$1="All",SUMIFS('Supply planning data'!$AA:$AA,'Supply planning data'!$D:$D,DataViz!$B20),SUMIFS('Supply planning data'!$AA:$AA,'Supply planning data'!$D:$D,DataViz!$B20,'Supply planning data'!$C:$C,DataViz!$A$1)))</f>
        <v>400000</v>
      </c>
      <c r="AD20" s="14">
        <f>IF($A$1="All",SUMIFS('Supply planning data'!$AE:$AE,'Supply planning data'!$D:$D,DataViz!$B20),SUMIFS('Supply planning data'!$AE:$AE,'Supply planning data'!$D:$D,DataViz!$B20,'Supply planning data'!$C:$C,DataViz!$A$1))</f>
        <v>3403986</v>
      </c>
      <c r="AE20" s="18" t="e">
        <f>IF($J20+K20+IF($A$1="All",SUMIFS('Supply planning data'!$AJ:$AJ,'Supply planning data'!$D:$D,DataViz!$B20),SUMIFS('Supply planning data'!$AJ:$AJ,'Supply planning data'!$D:$D,DataViz!$B20,'Supply planning data'!$C:$C,DataViz!$A$1))&lt;=0,NA(),$J20+K20+IF($A$1="All",SUMIFS('Supply planning data'!$AJ:$AJ,'Supply planning data'!$D:$D,DataViz!$B20),SUMIFS('Supply planning data'!$AJ:$AJ,'Supply planning data'!$D:$D,DataViz!$B20,'Supply planning data'!$C:$C,DataViz!$A$1)))</f>
        <v>#N/A</v>
      </c>
      <c r="AF20">
        <f>IF($A$1="All",SUMIFS('Supply planning data'!AD:AD,'Supply planning data'!$D:$D,DataViz!$B20),SUMIFS('Supply planning data'!AD:AD,'Supply planning data'!$D:$D,DataViz!$B20,'Supply planning data'!$C:$C,DataViz!$A$1))</f>
        <v>0</v>
      </c>
      <c r="AG20" s="229">
        <f t="shared" si="5"/>
        <v>3.3492566666666668E-2</v>
      </c>
      <c r="AH20" s="230">
        <f>SUMIFS('Supply planning data'!Y:Y,'Supply planning data'!$D:$D,"&lt;="&amp;DataViz!$B19,'Supply planning data'!$C:$C,"Jansen")+(SUMIFS('Supply planning data'!Y:Y,'Supply planning data'!$D:$D,"&lt;="&amp;DataViz!$B19,'Supply planning data'!$C:$C,"&lt;&gt;Jansen")/2)+D20</f>
        <v>2009554</v>
      </c>
      <c r="AI20" s="230">
        <f>IF($A$1="All",SUMIFS('Supply planning data'!$AG:$AG,'Supply planning data'!$D:$D,DataViz!$B20),SUMIFS('Supply planning data'!$AG:$AG,'Supply planning data'!$D:$D,DataViz!$B20,'Supply planning data'!$C:$C,DataViz!$A$1))</f>
        <v>2169285</v>
      </c>
      <c r="AJ20" s="230">
        <f>IF($A$1="All",SUMIFS('Supply planning data'!$AK:$AK,'Supply planning data'!$D:$D,DataViz!$B20),SUMIFS('Supply planning data'!$AK:$AK,'Supply planning data'!$D:$D,DataViz!$B20,'Supply planning data'!$C:$C,DataViz!$A$1))</f>
        <v>0</v>
      </c>
      <c r="AK20" s="230">
        <f>IF($A$1="All",SUMIFS('Supply planning data'!$AH:$AH,'Supply planning data'!$D:$D,DataViz!$B20),SUMIFS('Supply planning data'!$AH:$AH,'Supply planning data'!$D:$D,DataViz!$B20,'Supply planning data'!$C:$C,DataViz!$A$1))</f>
        <v>0</v>
      </c>
      <c r="AL20" s="230"/>
      <c r="AM20" s="230" t="e">
        <f>IF(IF($A$1="All",SUMIFS('Supply planning data'!$AJ:$AJ,'Supply planning data'!$D:$D,DataViz!$B20),SUMIFS('Supply planning data'!$AJ:$AJ,'Supply planning data'!$D:$D,DataViz!$B20,'Supply planning data'!$C:$C,DataViz!$A$1))&lt;=0,NA(),IF($A$1="All",SUMIFS('Supply planning data'!$AJ:$AJ,'Supply planning data'!$D:$D,DataViz!$B20),SUMIFS('Supply planning data'!$AJ:$AJ,'Supply planning data'!$D:$D,DataViz!$B20,'Supply planning data'!$C:$C,DataViz!$A$1)))</f>
        <v>#N/A</v>
      </c>
      <c r="AN20" s="230">
        <f>IF($A$1="All",SUMIFS('Supply planning data'!$AN:$AN,'Supply planning data'!$D:$D,DataViz!$B20),SUMIFS('Supply planning data'!$AN:$AN,'Supply planning data'!$D:$D,DataViz!$B20,'Supply planning data'!$C:$C,DataViz!$A$1))</f>
        <v>3169285</v>
      </c>
      <c r="AO20" s="231" t="e">
        <f>IF($J20+K20+IF($A$1="All",SUMIFS('Supply planning data'!$AJ:$AJ,'Supply planning data'!$D:$D,DataViz!$B20),SUMIFS('Supply planning data'!$AJ:$AJ,'Supply planning data'!$D:$D,DataViz!$B20,'Supply planning data'!$C:$C,DataViz!$A$1))&lt;=0,NA(),$J20+K20+IF($A$1="All",SUMIFS('Supply planning data'!$AJ:$AJ,'Supply planning data'!$D:$D,DataViz!$B20),SUMIFS('Supply planning data'!$AJ:$AJ,'Supply planning data'!$D:$D,DataViz!$B20,'Supply planning data'!$C:$C,DataViz!$A$1)))</f>
        <v>#N/A</v>
      </c>
      <c r="AP20">
        <f>IF($A$1="All",SUMIFS('Supply planning data'!AM:AM,'Supply planning data'!$D:$D,DataViz!$B20),SUMIFS('Supply planning data'!AM:AM,'Supply planning data'!$D:$D,DataViz!$B20,'Supply planning data'!$C:$C,DataViz!$A$1))</f>
        <v>0</v>
      </c>
      <c r="AQ20" s="229">
        <f t="shared" si="6"/>
        <v>2.9492566666666668E-2</v>
      </c>
      <c r="AR20" s="230">
        <f>SUMIFS('Supply planning data'!AH:AH,'Supply planning data'!$D:$D,"&lt;="&amp;DataViz!$B19,'Supply planning data'!$C:$C,"Jansen")+(SUMIFS('Supply planning data'!AH:AH,'Supply planning data'!$D:$D,"&lt;="&amp;DataViz!$B19,'Supply planning data'!$C:$C,"&lt;&gt;Jansen")/2)+D20</f>
        <v>1769554</v>
      </c>
    </row>
    <row r="21" spans="1:44" x14ac:dyDescent="0.25">
      <c r="A21" s="20">
        <v>16</v>
      </c>
      <c r="B21" s="21">
        <f t="shared" si="9"/>
        <v>44743</v>
      </c>
      <c r="C21" s="22">
        <f>IF(VLOOKUP(Dashboard!$M$6,Start!$B$10:$E$12,4,FALSE)&gt;0,VLOOKUP(Dashboard!$M$6,Start!$B$10:$E$12,4, FALSE),VLOOKUP(Dashboard!$M$6,Start!$B$10:$E$12,3, FALSE))</f>
        <v>60000000</v>
      </c>
      <c r="D21" s="22">
        <f>IF($A$1="Jansen",SUMIFS('Supply planning data'!G:G,'Supply planning data'!$D:$D,"&lt;="&amp;DataViz!$B21,'Supply planning data'!$C:$C,"jansen"),IF($A$1="All",SUMIFS('Supply planning data'!H:H,'Supply planning data'!$D:$D,"&lt;="&amp;DataViz!$B21)+SUMIFS('Supply planning data'!G:G,'Supply planning data'!$D:$D,"&lt;="&amp;DataViz!$B21,'Supply planning data'!$C:$C,"Jansen"),SUMIFS('Supply planning data'!H:H,'Supply planning data'!$D:$D,"&lt;="&amp;DataViz!$B21,'Supply planning data'!$C:$C,DataViz!$A$1)))</f>
        <v>1769554</v>
      </c>
      <c r="E21" s="23">
        <f t="shared" si="7"/>
        <v>2.9492566666666668E-2</v>
      </c>
      <c r="F21" s="14">
        <f>IF($A$1="All",SUMIFS('Supply planning data'!F:F,'Supply planning data'!$D:$D,DataViz!$B21),SUMIFS('Supply planning data'!F:F,'Supply planning data'!$D:$D,DataViz!$B21,'Supply planning data'!$C:$C,DataViz!$A$1))</f>
        <v>3169285</v>
      </c>
      <c r="G21" s="14">
        <f>IF($A$1="All",SUMIFS('Supply planning data'!G:G,'Supply planning data'!$D:$D,DataViz!$B21),SUMIFS('Supply planning data'!G:G,'Supply planning data'!$D:$D,DataViz!$B21,'Supply planning data'!$C:$C,DataViz!$A$1))</f>
        <v>0</v>
      </c>
      <c r="H21" s="14">
        <f>IF($A$1="All",SUMIFS('Supply planning data'!H:H,'Supply planning data'!$D:$D,DataViz!$B21),SUMIFS('Supply planning data'!H:H,'Supply planning data'!$D:$D,DataViz!$B21,'Supply planning data'!$C:$C,DataViz!$A$1))</f>
        <v>0</v>
      </c>
      <c r="I21" s="14">
        <f>IF($A$1="All",SUMIFS('Supply planning data'!I:I,'Supply planning data'!$D:$D,DataViz!$B21),SUMIFS('Supply planning data'!I:I,'Supply planning data'!$D:$D,DataViz!$B21,'Supply planning data'!$C:$C,DataViz!$A$1))</f>
        <v>0</v>
      </c>
      <c r="J21" s="14">
        <f>IF($A$1="All",SUMIFS('Supply planning data'!J:J,'Supply planning data'!$D:$D,DataViz!$B21),SUMIFS('Supply planning data'!J:J,'Supply planning data'!$D:$D,DataViz!$B21,'Supply planning data'!$C:$C,DataViz!$A$1))</f>
        <v>0</v>
      </c>
      <c r="K21" s="14">
        <f>IF($A$1="All",SUMIFS('Supply planning data'!L:L,'Supply planning data'!$D:$D,DataViz!$B21),SUMIFS('Supply planning data'!L:L,'Supply planning data'!$D:$D,DataViz!$B21,'Supply planning data'!$C:$C,DataViz!$A$1))</f>
        <v>0</v>
      </c>
      <c r="L21" s="14">
        <f>IF($A$1="All",SUMIFS('Supply planning data'!K:K,'Supply planning data'!$D:$D,DataViz!$B21),SUMIFS('Supply planning data'!K:K,'Supply planning data'!$D:$D,DataViz!$B21,'Supply planning data'!$C:$C,DataViz!$A$1))</f>
        <v>0</v>
      </c>
      <c r="M21" s="14" t="e">
        <f>IF(IF($A$1="All",SUMIFS('Supply planning data'!M:M,'Supply planning data'!$D:$D,DataViz!$B21),SUMIFS('Supply planning data'!M:M,'Supply planning data'!$D:$D,DataViz!$B21,'Supply planning data'!$C:$C,DataViz!$A$1))&lt;=0,NA(),IF($A$1="All",SUMIFS('Supply planning data'!M:M,'Supply planning data'!$D:$D,DataViz!$B21),SUMIFS('Supply planning data'!M:M,'Supply planning data'!$D:$D,DataViz!$B21,'Supply planning data'!$C:$C,DataViz!$A$1)))</f>
        <v>#N/A</v>
      </c>
      <c r="N21" s="14">
        <f>IF($A$1="All",SUMIFS('Supply planning data'!N:N,'Supply planning data'!$D:$D,DataViz!$B21),SUMIFS('Supply planning data'!N:N,'Supply planning data'!$D:$D,DataViz!$B21,'Supply planning data'!$C:$C,DataViz!$A$1))+IF($A$1="All",SUMIFS('Supply planning data'!P:P,'Supply planning data'!$D:$D,DataViz!$B21),SUMIFS('Supply planning data'!P:P,'Supply planning data'!$D:$D,DataViz!$B21,'Supply planning data'!$C:$C,DataViz!$A$1))</f>
        <v>0</v>
      </c>
      <c r="O21" s="14">
        <f>IF($A$1="All",SUMIFS('Supply planning data'!R:R,'Supply planning data'!$D:$D,DataViz!$B21),SUMIFS('Supply planning data'!R:R,'Supply planning data'!$D:$D,DataViz!$B21,'Supply planning data'!$C:$C,DataViz!$A$1))</f>
        <v>0</v>
      </c>
      <c r="P21" s="14">
        <f>IF($A$1="All",SUMIFS('Supply planning data'!S:S,'Supply planning data'!$D:$D,DataViz!$B21),SUMIFS('Supply planning data'!S:S,'Supply planning data'!$D:$D,DataViz!$B21,'Supply planning data'!$C:$C,DataViz!$A$1))</f>
        <v>1000000</v>
      </c>
      <c r="Q21" s="14">
        <f>IF($A$1="All",SUMIFS('Supply planning data'!T:T,'Supply planning data'!$D:$D,DataViz!$B21),SUMIFS('Supply planning data'!T:T,'Supply planning data'!$D:$D,DataViz!$B21,'Supply planning data'!$C:$C,DataViz!$A$1))</f>
        <v>110538</v>
      </c>
      <c r="R21" s="14">
        <f>IF($A$1="All",SUMIFS('Supply planning data'!U:U,'Supply planning data'!$D:$D,DataViz!$B21),SUMIFS('Supply planning data'!U:U,'Supply planning data'!$D:$D,DataViz!$B21,'Supply planning data'!$C:$C,DataViz!$A$1))</f>
        <v>110538</v>
      </c>
      <c r="S21" s="14">
        <f>IF($A$1="All",SUMIFS('Supply planning data'!V:V,'Supply planning data'!$D:$D,DataViz!$B21),SUMIFS('Supply planning data'!V:V,'Supply planning data'!$D:$D,DataViz!$B21,'Supply planning data'!$C:$C,DataViz!$A$1))</f>
        <v>4058747</v>
      </c>
      <c r="T21" s="14"/>
      <c r="U21" s="14">
        <f>IF($A$1="All",SUMIFS('Supply planning data'!Y:Y,'Supply planning data'!$D:$D,DataViz!$B21),SUMIFS('Supply planning data'!Y:Y,'Supply planning data'!$D:$D,DataViz!$B21,'Supply planning data'!$C:$C,DataViz!$A$1))</f>
        <v>400000</v>
      </c>
      <c r="V21" s="14">
        <f t="shared" si="8"/>
        <v>2169554</v>
      </c>
      <c r="W21" s="350" t="e">
        <f t="shared" si="10"/>
        <v>#N/A</v>
      </c>
      <c r="Y21" s="14">
        <f>IF($A$1="All",SUMIFS('Supply planning data'!$X:$X,'Supply planning data'!$D:$D,DataViz!$B21),SUMIFS('Supply planning data'!$X:$X,'Supply planning data'!$D:$D,DataViz!$B21,'Supply planning data'!$C:$C,DataViz!$A$1))</f>
        <v>3403986</v>
      </c>
      <c r="Z21" s="14">
        <f>IF($A$1="All",SUMIFS('Supply planning data'!$AB:$AB,'Supply planning data'!$D:$D,DataViz!$B21),SUMIFS('Supply planning data'!$AB:$AB,'Supply planning data'!$D:$D,DataViz!$B21,'Supply planning data'!$C:$C,DataViz!$A$1))</f>
        <v>0</v>
      </c>
      <c r="AA21" s="14">
        <f>IF($A$1="All",SUMIFS('Supply planning data'!$Y:$Y,'Supply planning data'!$D:$D,DataViz!$B21),SUMIFS('Supply planning data'!$Y:$Y,'Supply planning data'!$D:$D,DataViz!$B21,'Supply planning data'!$C:$C,DataViz!$A$1))</f>
        <v>400000</v>
      </c>
      <c r="AB21" s="14"/>
      <c r="AC21" s="14">
        <f>IF(IF($A$1="All",SUMIFS('Supply planning data'!$AA:$AA,'Supply planning data'!$D:$D,DataViz!$B21),SUMIFS('Supply planning data'!$AA:$AA,'Supply planning data'!$D:$D,DataViz!$B21,'Supply planning data'!$C:$C,DataViz!$A$1))&lt;=0,NA(),IF($A$1="All",SUMIFS('Supply planning data'!$AA:$AA,'Supply planning data'!$D:$D,DataViz!$B21),SUMIFS('Supply planning data'!$AA:$AA,'Supply planning data'!$D:$D,DataViz!$B21,'Supply planning data'!$C:$C,DataViz!$A$1)))</f>
        <v>400000</v>
      </c>
      <c r="AD21" s="14">
        <f>IF($A$1="All",SUMIFS('Supply planning data'!$AE:$AE,'Supply planning data'!$D:$D,DataViz!$B21),SUMIFS('Supply planning data'!$AE:$AE,'Supply planning data'!$D:$D,DataViz!$B21,'Supply planning data'!$C:$C,DataViz!$A$1))</f>
        <v>4053448</v>
      </c>
      <c r="AE21" s="18" t="e">
        <f>IF($J21+K21+IF($A$1="All",SUMIFS('Supply planning data'!$AJ:$AJ,'Supply planning data'!$D:$D,DataViz!$B21),SUMIFS('Supply planning data'!$AJ:$AJ,'Supply planning data'!$D:$D,DataViz!$B21,'Supply planning data'!$C:$C,DataViz!$A$1))&lt;=0,NA(),$J21+K21+IF($A$1="All",SUMIFS('Supply planning data'!$AJ:$AJ,'Supply planning data'!$D:$D,DataViz!$B21),SUMIFS('Supply planning data'!$AJ:$AJ,'Supply planning data'!$D:$D,DataViz!$B21,'Supply planning data'!$C:$C,DataViz!$A$1)))</f>
        <v>#N/A</v>
      </c>
      <c r="AF21">
        <f>IF($A$1="All",SUMIFS('Supply planning data'!AD:AD,'Supply planning data'!$D:$D,DataViz!$B21),SUMIFS('Supply planning data'!AD:AD,'Supply planning data'!$D:$D,DataViz!$B21,'Supply planning data'!$C:$C,DataViz!$A$1))</f>
        <v>0</v>
      </c>
      <c r="AG21" s="229">
        <f t="shared" si="5"/>
        <v>3.7492566666666664E-2</v>
      </c>
      <c r="AH21" s="230">
        <f>SUMIFS('Supply planning data'!Y:Y,'Supply planning data'!$D:$D,"&lt;="&amp;DataViz!$B20,'Supply planning data'!$C:$C,"Jansen")+(SUMIFS('Supply planning data'!Y:Y,'Supply planning data'!$D:$D,"&lt;="&amp;DataViz!$B20,'Supply planning data'!$C:$C,"&lt;&gt;Jansen")/2)+D21</f>
        <v>2249554</v>
      </c>
      <c r="AI21" s="230">
        <f>IF($A$1="All",SUMIFS('Supply planning data'!$AG:$AG,'Supply planning data'!$D:$D,DataViz!$B21),SUMIFS('Supply planning data'!$AG:$AG,'Supply planning data'!$D:$D,DataViz!$B21,'Supply planning data'!$C:$C,DataViz!$A$1))</f>
        <v>3169285</v>
      </c>
      <c r="AJ21" s="230">
        <f>IF($A$1="All",SUMIFS('Supply planning data'!$AK:$AK,'Supply planning data'!$D:$D,DataViz!$B21),SUMIFS('Supply planning data'!$AK:$AK,'Supply planning data'!$D:$D,DataViz!$B21,'Supply planning data'!$C:$C,DataViz!$A$1))</f>
        <v>0</v>
      </c>
      <c r="AK21" s="230">
        <f>IF($A$1="All",SUMIFS('Supply planning data'!$AH:$AH,'Supply planning data'!$D:$D,DataViz!$B21),SUMIFS('Supply planning data'!$AH:$AH,'Supply planning data'!$D:$D,DataViz!$B21,'Supply planning data'!$C:$C,DataViz!$A$1))</f>
        <v>0</v>
      </c>
      <c r="AL21" s="230"/>
      <c r="AM21" s="230" t="e">
        <f>IF(IF($A$1="All",SUMIFS('Supply planning data'!$AJ:$AJ,'Supply planning data'!$D:$D,DataViz!$B21),SUMIFS('Supply planning data'!$AJ:$AJ,'Supply planning data'!$D:$D,DataViz!$B21,'Supply planning data'!$C:$C,DataViz!$A$1))&lt;=0,NA(),IF($A$1="All",SUMIFS('Supply planning data'!$AJ:$AJ,'Supply planning data'!$D:$D,DataViz!$B21),SUMIFS('Supply planning data'!$AJ:$AJ,'Supply planning data'!$D:$D,DataViz!$B21,'Supply planning data'!$C:$C,DataViz!$A$1)))</f>
        <v>#N/A</v>
      </c>
      <c r="AN21" s="230">
        <f>IF($A$1="All",SUMIFS('Supply planning data'!$AN:$AN,'Supply planning data'!$D:$D,DataViz!$B21),SUMIFS('Supply planning data'!$AN:$AN,'Supply planning data'!$D:$D,DataViz!$B21,'Supply planning data'!$C:$C,DataViz!$A$1))</f>
        <v>4058747</v>
      </c>
      <c r="AO21" s="231" t="e">
        <f>IF($J21+K21+IF($A$1="All",SUMIFS('Supply planning data'!$AJ:$AJ,'Supply planning data'!$D:$D,DataViz!$B21),SUMIFS('Supply planning data'!$AJ:$AJ,'Supply planning data'!$D:$D,DataViz!$B21,'Supply planning data'!$C:$C,DataViz!$A$1))&lt;=0,NA(),$J21+K21+IF($A$1="All",SUMIFS('Supply planning data'!$AJ:$AJ,'Supply planning data'!$D:$D,DataViz!$B21),SUMIFS('Supply planning data'!$AJ:$AJ,'Supply planning data'!$D:$D,DataViz!$B21,'Supply planning data'!$C:$C,DataViz!$A$1)))</f>
        <v>#N/A</v>
      </c>
      <c r="AP21">
        <f>IF($A$1="All",SUMIFS('Supply planning data'!AM:AM,'Supply planning data'!$D:$D,DataViz!$B21),SUMIFS('Supply planning data'!AM:AM,'Supply planning data'!$D:$D,DataViz!$B21,'Supply planning data'!$C:$C,DataViz!$A$1))</f>
        <v>110538</v>
      </c>
      <c r="AQ21" s="229">
        <f t="shared" si="6"/>
        <v>2.9492566666666668E-2</v>
      </c>
      <c r="AR21" s="230">
        <f>SUMIFS('Supply planning data'!AH:AH,'Supply planning data'!$D:$D,"&lt;="&amp;DataViz!$B20,'Supply planning data'!$C:$C,"Jansen")+(SUMIFS('Supply planning data'!AH:AH,'Supply planning data'!$D:$D,"&lt;="&amp;DataViz!$B20,'Supply planning data'!$C:$C,"&lt;&gt;Jansen")/2)+D21</f>
        <v>1769554</v>
      </c>
    </row>
    <row r="22" spans="1:44" x14ac:dyDescent="0.25">
      <c r="A22" s="20">
        <v>17</v>
      </c>
      <c r="B22" s="21">
        <f t="shared" si="9"/>
        <v>44774</v>
      </c>
      <c r="C22" s="22">
        <f>IF(VLOOKUP(Dashboard!$M$6,Start!$B$10:$E$12,4,FALSE)&gt;0,VLOOKUP(Dashboard!$M$6,Start!$B$10:$E$12,4, FALSE),VLOOKUP(Dashboard!$M$6,Start!$B$10:$E$12,3, FALSE))</f>
        <v>60000000</v>
      </c>
      <c r="D22" s="22">
        <f>IF($A$1="Jansen",SUMIFS('Supply planning data'!G:G,'Supply planning data'!$D:$D,"&lt;="&amp;DataViz!$B22,'Supply planning data'!$C:$C,"jansen"),IF($A$1="All",SUMIFS('Supply planning data'!H:H,'Supply planning data'!$D:$D,"&lt;="&amp;DataViz!$B22)+SUMIFS('Supply planning data'!G:G,'Supply planning data'!$D:$D,"&lt;="&amp;DataViz!$B22,'Supply planning data'!$C:$C,"Jansen"),SUMIFS('Supply planning data'!H:H,'Supply planning data'!$D:$D,"&lt;="&amp;DataViz!$B22,'Supply planning data'!$C:$C,DataViz!$A$1)))</f>
        <v>1769554</v>
      </c>
      <c r="E22" s="23">
        <f t="shared" si="7"/>
        <v>2.9492566666666668E-2</v>
      </c>
      <c r="F22" s="14">
        <f>IF($A$1="All",SUMIFS('Supply planning data'!F:F,'Supply planning data'!$D:$D,DataViz!$B22),SUMIFS('Supply planning data'!F:F,'Supply planning data'!$D:$D,DataViz!$B22,'Supply planning data'!$C:$C,DataViz!$A$1))</f>
        <v>4058747</v>
      </c>
      <c r="G22" s="14">
        <f>IF($A$1="All",SUMIFS('Supply planning data'!G:G,'Supply planning data'!$D:$D,DataViz!$B22),SUMIFS('Supply planning data'!G:G,'Supply planning data'!$D:$D,DataViz!$B22,'Supply planning data'!$C:$C,DataViz!$A$1))</f>
        <v>0</v>
      </c>
      <c r="H22" s="14">
        <f>IF($A$1="All",SUMIFS('Supply planning data'!H:H,'Supply planning data'!$D:$D,DataViz!$B22),SUMIFS('Supply planning data'!H:H,'Supply planning data'!$D:$D,DataViz!$B22,'Supply planning data'!$C:$C,DataViz!$A$1))</f>
        <v>0</v>
      </c>
      <c r="I22" s="14">
        <f>IF($A$1="All",SUMIFS('Supply planning data'!I:I,'Supply planning data'!$D:$D,DataViz!$B22),SUMIFS('Supply planning data'!I:I,'Supply planning data'!$D:$D,DataViz!$B22,'Supply planning data'!$C:$C,DataViz!$A$1))</f>
        <v>0</v>
      </c>
      <c r="J22" s="14">
        <f>IF($A$1="All",SUMIFS('Supply planning data'!J:J,'Supply planning data'!$D:$D,DataViz!$B22),SUMIFS('Supply planning data'!J:J,'Supply planning data'!$D:$D,DataViz!$B22,'Supply planning data'!$C:$C,DataViz!$A$1))</f>
        <v>0</v>
      </c>
      <c r="K22" s="14">
        <f>IF($A$1="All",SUMIFS('Supply planning data'!L:L,'Supply planning data'!$D:$D,DataViz!$B22),SUMIFS('Supply planning data'!L:L,'Supply planning data'!$D:$D,DataViz!$B22,'Supply planning data'!$C:$C,DataViz!$A$1))</f>
        <v>0</v>
      </c>
      <c r="L22" s="14">
        <f>IF($A$1="All",SUMIFS('Supply planning data'!K:K,'Supply planning data'!$D:$D,DataViz!$B22),SUMIFS('Supply planning data'!K:K,'Supply planning data'!$D:$D,DataViz!$B22,'Supply planning data'!$C:$C,DataViz!$A$1))</f>
        <v>0</v>
      </c>
      <c r="M22" s="14" t="e">
        <f>IF(IF($A$1="All",SUMIFS('Supply planning data'!M:M,'Supply planning data'!$D:$D,DataViz!$B22),SUMIFS('Supply planning data'!M:M,'Supply planning data'!$D:$D,DataViz!$B22,'Supply planning data'!$C:$C,DataViz!$A$1))&lt;=0,NA(),IF($A$1="All",SUMIFS('Supply planning data'!M:M,'Supply planning data'!$D:$D,DataViz!$B22),SUMIFS('Supply planning data'!M:M,'Supply planning data'!$D:$D,DataViz!$B22,'Supply planning data'!$C:$C,DataViz!$A$1)))</f>
        <v>#N/A</v>
      </c>
      <c r="N22" s="14">
        <f>IF($A$1="All",SUMIFS('Supply planning data'!N:N,'Supply planning data'!$D:$D,DataViz!$B22),SUMIFS('Supply planning data'!N:N,'Supply planning data'!$D:$D,DataViz!$B22,'Supply planning data'!$C:$C,DataViz!$A$1))+IF($A$1="All",SUMIFS('Supply planning data'!P:P,'Supply planning data'!$D:$D,DataViz!$B22),SUMIFS('Supply planning data'!P:P,'Supply planning data'!$D:$D,DataViz!$B22,'Supply planning data'!$C:$C,DataViz!$A$1))</f>
        <v>0</v>
      </c>
      <c r="O22" s="14">
        <f>IF($A$1="All",SUMIFS('Supply planning data'!R:R,'Supply planning data'!$D:$D,DataViz!$B22),SUMIFS('Supply planning data'!R:R,'Supply planning data'!$D:$D,DataViz!$B22,'Supply planning data'!$C:$C,DataViz!$A$1))</f>
        <v>0</v>
      </c>
      <c r="P22" s="14">
        <f>IF($A$1="All",SUMIFS('Supply planning data'!S:S,'Supply planning data'!$D:$D,DataViz!$B22),SUMIFS('Supply planning data'!S:S,'Supply planning data'!$D:$D,DataViz!$B22,'Supply planning data'!$C:$C,DataViz!$A$1))</f>
        <v>1000000</v>
      </c>
      <c r="Q22" s="14">
        <f>IF($A$1="All",SUMIFS('Supply planning data'!T:T,'Supply planning data'!$D:$D,DataViz!$B22),SUMIFS('Supply planning data'!T:T,'Supply planning data'!$D:$D,DataViz!$B22,'Supply planning data'!$C:$C,DataViz!$A$1))</f>
        <v>110538</v>
      </c>
      <c r="R22" s="14">
        <f>IF($A$1="All",SUMIFS('Supply planning data'!U:U,'Supply planning data'!$D:$D,DataViz!$B22),SUMIFS('Supply planning data'!U:U,'Supply planning data'!$D:$D,DataViz!$B22,'Supply planning data'!$C:$C,DataViz!$A$1))</f>
        <v>0</v>
      </c>
      <c r="S22" s="14">
        <f>IF($A$1="All",SUMIFS('Supply planning data'!V:V,'Supply planning data'!$D:$D,DataViz!$B22),SUMIFS('Supply planning data'!V:V,'Supply planning data'!$D:$D,DataViz!$B22,'Supply planning data'!$C:$C,DataViz!$A$1))</f>
        <v>5058747</v>
      </c>
      <c r="T22" s="14"/>
      <c r="U22" s="14">
        <f>IF($A$1="All",SUMIFS('Supply planning data'!Y:Y,'Supply planning data'!$D:$D,DataViz!$B22),SUMIFS('Supply planning data'!Y:Y,'Supply planning data'!$D:$D,DataViz!$B22,'Supply planning data'!$C:$C,DataViz!$A$1))</f>
        <v>400000</v>
      </c>
      <c r="V22" s="14">
        <f t="shared" si="8"/>
        <v>2169554</v>
      </c>
      <c r="W22" s="350" t="e">
        <f t="shared" si="10"/>
        <v>#N/A</v>
      </c>
      <c r="Y22" s="14">
        <f>IF($A$1="All",SUMIFS('Supply planning data'!$X:$X,'Supply planning data'!$D:$D,DataViz!$B22),SUMIFS('Supply planning data'!$X:$X,'Supply planning data'!$D:$D,DataViz!$B22,'Supply planning data'!$C:$C,DataViz!$A$1))</f>
        <v>4053448</v>
      </c>
      <c r="Z22" s="14">
        <f>IF($A$1="All",SUMIFS('Supply planning data'!$AB:$AB,'Supply planning data'!$D:$D,DataViz!$B22),SUMIFS('Supply planning data'!$AB:$AB,'Supply planning data'!$D:$D,DataViz!$B22,'Supply planning data'!$C:$C,DataViz!$A$1))</f>
        <v>0</v>
      </c>
      <c r="AA22" s="14">
        <f>IF($A$1="All",SUMIFS('Supply planning data'!$Y:$Y,'Supply planning data'!$D:$D,DataViz!$B22),SUMIFS('Supply planning data'!$Y:$Y,'Supply planning data'!$D:$D,DataViz!$B22,'Supply planning data'!$C:$C,DataViz!$A$1))</f>
        <v>400000</v>
      </c>
      <c r="AB22" s="14"/>
      <c r="AC22" s="14">
        <f>IF(IF($A$1="All",SUMIFS('Supply planning data'!$AA:$AA,'Supply planning data'!$D:$D,DataViz!$B22),SUMIFS('Supply planning data'!$AA:$AA,'Supply planning data'!$D:$D,DataViz!$B22,'Supply planning data'!$C:$C,DataViz!$A$1))&lt;=0,NA(),IF($A$1="All",SUMIFS('Supply planning data'!$AA:$AA,'Supply planning data'!$D:$D,DataViz!$B22),SUMIFS('Supply planning data'!$AA:$AA,'Supply planning data'!$D:$D,DataViz!$B22,'Supply planning data'!$C:$C,DataViz!$A$1)))</f>
        <v>400000</v>
      </c>
      <c r="AD22" s="14">
        <f>IF($A$1="All",SUMIFS('Supply planning data'!$AE:$AE,'Supply planning data'!$D:$D,DataViz!$B22),SUMIFS('Supply planning data'!$AE:$AE,'Supply planning data'!$D:$D,DataViz!$B22,'Supply planning data'!$C:$C,DataViz!$A$1))</f>
        <v>4813448</v>
      </c>
      <c r="AE22" s="18" t="e">
        <f>IF($J22+K22+IF($A$1="All",SUMIFS('Supply planning data'!$AJ:$AJ,'Supply planning data'!$D:$D,DataViz!$B22),SUMIFS('Supply planning data'!$AJ:$AJ,'Supply planning data'!$D:$D,DataViz!$B22,'Supply planning data'!$C:$C,DataViz!$A$1))&lt;=0,NA(),$J22+K22+IF($A$1="All",SUMIFS('Supply planning data'!$AJ:$AJ,'Supply planning data'!$D:$D,DataViz!$B22),SUMIFS('Supply planning data'!$AJ:$AJ,'Supply planning data'!$D:$D,DataViz!$B22,'Supply planning data'!$C:$C,DataViz!$A$1)))</f>
        <v>#N/A</v>
      </c>
      <c r="AF22">
        <f>IF($A$1="All",SUMIFS('Supply planning data'!AD:AD,'Supply planning data'!$D:$D,DataViz!$B22),SUMIFS('Supply planning data'!AD:AD,'Supply planning data'!$D:$D,DataViz!$B22,'Supply planning data'!$C:$C,DataViz!$A$1))</f>
        <v>0</v>
      </c>
      <c r="AG22" s="229">
        <f t="shared" si="5"/>
        <v>4.1492566666666668E-2</v>
      </c>
      <c r="AH22" s="230">
        <f>SUMIFS('Supply planning data'!Y:Y,'Supply planning data'!$D:$D,"&lt;="&amp;DataViz!$B21,'Supply planning data'!$C:$C,"Jansen")+(SUMIFS('Supply planning data'!Y:Y,'Supply planning data'!$D:$D,"&lt;="&amp;DataViz!$B21,'Supply planning data'!$C:$C,"&lt;&gt;Jansen")/2)+D22</f>
        <v>2489554</v>
      </c>
      <c r="AI22" s="230">
        <f>IF($A$1="All",SUMIFS('Supply planning data'!$AG:$AG,'Supply planning data'!$D:$D,DataViz!$B22),SUMIFS('Supply planning data'!$AG:$AG,'Supply planning data'!$D:$D,DataViz!$B22,'Supply planning data'!$C:$C,DataViz!$A$1))</f>
        <v>4058747</v>
      </c>
      <c r="AJ22" s="230">
        <f>IF($A$1="All",SUMIFS('Supply planning data'!$AK:$AK,'Supply planning data'!$D:$D,DataViz!$B22),SUMIFS('Supply planning data'!$AK:$AK,'Supply planning data'!$D:$D,DataViz!$B22,'Supply planning data'!$C:$C,DataViz!$A$1))</f>
        <v>0</v>
      </c>
      <c r="AK22" s="230">
        <f>IF($A$1="All",SUMIFS('Supply planning data'!$AH:$AH,'Supply planning data'!$D:$D,DataViz!$B22),SUMIFS('Supply planning data'!$AH:$AH,'Supply planning data'!$D:$D,DataViz!$B22,'Supply planning data'!$C:$C,DataViz!$A$1))</f>
        <v>0</v>
      </c>
      <c r="AL22" s="230"/>
      <c r="AM22" s="230" t="e">
        <f>IF(IF($A$1="All",SUMIFS('Supply planning data'!$AJ:$AJ,'Supply planning data'!$D:$D,DataViz!$B22),SUMIFS('Supply planning data'!$AJ:$AJ,'Supply planning data'!$D:$D,DataViz!$B22,'Supply planning data'!$C:$C,DataViz!$A$1))&lt;=0,NA(),IF($A$1="All",SUMIFS('Supply planning data'!$AJ:$AJ,'Supply planning data'!$D:$D,DataViz!$B22),SUMIFS('Supply planning data'!$AJ:$AJ,'Supply planning data'!$D:$D,DataViz!$B22,'Supply planning data'!$C:$C,DataViz!$A$1)))</f>
        <v>#N/A</v>
      </c>
      <c r="AN22" s="230">
        <f>IF($A$1="All",SUMIFS('Supply planning data'!$AN:$AN,'Supply planning data'!$D:$D,DataViz!$B22),SUMIFS('Supply planning data'!$AN:$AN,'Supply planning data'!$D:$D,DataViz!$B22,'Supply planning data'!$C:$C,DataViz!$A$1))</f>
        <v>5058747</v>
      </c>
      <c r="AO22" s="231" t="e">
        <f>IF($J22+K22+IF($A$1="All",SUMIFS('Supply planning data'!$AJ:$AJ,'Supply planning data'!$D:$D,DataViz!$B22),SUMIFS('Supply planning data'!$AJ:$AJ,'Supply planning data'!$D:$D,DataViz!$B22,'Supply planning data'!$C:$C,DataViz!$A$1))&lt;=0,NA(),$J22+K22+IF($A$1="All",SUMIFS('Supply planning data'!$AJ:$AJ,'Supply planning data'!$D:$D,DataViz!$B22),SUMIFS('Supply planning data'!$AJ:$AJ,'Supply planning data'!$D:$D,DataViz!$B22,'Supply planning data'!$C:$C,DataViz!$A$1)))</f>
        <v>#N/A</v>
      </c>
      <c r="AP22">
        <f>IF($A$1="All",SUMIFS('Supply planning data'!AM:AM,'Supply planning data'!$D:$D,DataViz!$B22),SUMIFS('Supply planning data'!AM:AM,'Supply planning data'!$D:$D,DataViz!$B22,'Supply planning data'!$C:$C,DataViz!$A$1))</f>
        <v>0</v>
      </c>
      <c r="AQ22" s="229">
        <f t="shared" si="6"/>
        <v>2.9492566666666668E-2</v>
      </c>
      <c r="AR22" s="230">
        <f>SUMIFS('Supply planning data'!AH:AH,'Supply planning data'!$D:$D,"&lt;="&amp;DataViz!$B21,'Supply planning data'!$C:$C,"Jansen")+(SUMIFS('Supply planning data'!AH:AH,'Supply planning data'!$D:$D,"&lt;="&amp;DataViz!$B21,'Supply planning data'!$C:$C,"&lt;&gt;Jansen")/2)+D22</f>
        <v>1769554</v>
      </c>
    </row>
    <row r="23" spans="1:44" x14ac:dyDescent="0.25">
      <c r="A23" s="20">
        <v>18</v>
      </c>
      <c r="B23" s="21">
        <f t="shared" si="9"/>
        <v>44805</v>
      </c>
      <c r="C23" s="22">
        <f>IF(VLOOKUP(Dashboard!$M$6,Start!$B$10:$E$12,4,FALSE)&gt;0,VLOOKUP(Dashboard!$M$6,Start!$B$10:$E$12,4, FALSE),VLOOKUP(Dashboard!$M$6,Start!$B$10:$E$12,3, FALSE))</f>
        <v>60000000</v>
      </c>
      <c r="D23" s="22">
        <f>IF($A$1="Jansen",SUMIFS('Supply planning data'!G:G,'Supply planning data'!$D:$D,"&lt;="&amp;DataViz!$B23,'Supply planning data'!$C:$C,"jansen"),IF($A$1="All",SUMIFS('Supply planning data'!H:H,'Supply planning data'!$D:$D,"&lt;="&amp;DataViz!$B23)+SUMIFS('Supply planning data'!G:G,'Supply planning data'!$D:$D,"&lt;="&amp;DataViz!$B23,'Supply planning data'!$C:$C,"Jansen"),SUMIFS('Supply planning data'!H:H,'Supply planning data'!$D:$D,"&lt;="&amp;DataViz!$B23,'Supply planning data'!$C:$C,DataViz!$A$1)))</f>
        <v>1769554</v>
      </c>
      <c r="E23" s="23">
        <f t="shared" si="7"/>
        <v>2.9492566666666668E-2</v>
      </c>
      <c r="F23" s="14">
        <f>IF($A$1="All",SUMIFS('Supply planning data'!F:F,'Supply planning data'!$D:$D,DataViz!$B23),SUMIFS('Supply planning data'!F:F,'Supply planning data'!$D:$D,DataViz!$B23,'Supply planning data'!$C:$C,DataViz!$A$1))</f>
        <v>5058747</v>
      </c>
      <c r="G23" s="14">
        <f>IF($A$1="All",SUMIFS('Supply planning data'!G:G,'Supply planning data'!$D:$D,DataViz!$B23),SUMIFS('Supply planning data'!G:G,'Supply planning data'!$D:$D,DataViz!$B23,'Supply planning data'!$C:$C,DataViz!$A$1))</f>
        <v>0</v>
      </c>
      <c r="H23" s="14">
        <f>IF($A$1="All",SUMIFS('Supply planning data'!H:H,'Supply planning data'!$D:$D,DataViz!$B23),SUMIFS('Supply planning data'!H:H,'Supply planning data'!$D:$D,DataViz!$B23,'Supply planning data'!$C:$C,DataViz!$A$1))</f>
        <v>0</v>
      </c>
      <c r="I23" s="14">
        <f>IF($A$1="All",SUMIFS('Supply planning data'!I:I,'Supply planning data'!$D:$D,DataViz!$B23),SUMIFS('Supply planning data'!I:I,'Supply planning data'!$D:$D,DataViz!$B23,'Supply planning data'!$C:$C,DataViz!$A$1))</f>
        <v>0</v>
      </c>
      <c r="J23" s="14">
        <f>IF($A$1="All",SUMIFS('Supply planning data'!J:J,'Supply planning data'!$D:$D,DataViz!$B23),SUMIFS('Supply planning data'!J:J,'Supply planning data'!$D:$D,DataViz!$B23,'Supply planning data'!$C:$C,DataViz!$A$1))</f>
        <v>0</v>
      </c>
      <c r="K23" s="14">
        <f>IF($A$1="All",SUMIFS('Supply planning data'!L:L,'Supply planning data'!$D:$D,DataViz!$B23),SUMIFS('Supply planning data'!L:L,'Supply planning data'!$D:$D,DataViz!$B23,'Supply planning data'!$C:$C,DataViz!$A$1))</f>
        <v>0</v>
      </c>
      <c r="L23" s="14">
        <f>IF($A$1="All",SUMIFS('Supply planning data'!K:K,'Supply planning data'!$D:$D,DataViz!$B23),SUMIFS('Supply planning data'!K:K,'Supply planning data'!$D:$D,DataViz!$B23,'Supply planning data'!$C:$C,DataViz!$A$1))</f>
        <v>0</v>
      </c>
      <c r="M23" s="14" t="e">
        <f>IF(IF($A$1="All",SUMIFS('Supply planning data'!M:M,'Supply planning data'!$D:$D,DataViz!$B23),SUMIFS('Supply planning data'!M:M,'Supply planning data'!$D:$D,DataViz!$B23,'Supply planning data'!$C:$C,DataViz!$A$1))&lt;=0,NA(),IF($A$1="All",SUMIFS('Supply planning data'!M:M,'Supply planning data'!$D:$D,DataViz!$B23),SUMIFS('Supply planning data'!M:M,'Supply planning data'!$D:$D,DataViz!$B23,'Supply planning data'!$C:$C,DataViz!$A$1)))</f>
        <v>#N/A</v>
      </c>
      <c r="N23" s="14">
        <f>IF($A$1="All",SUMIFS('Supply planning data'!N:N,'Supply planning data'!$D:$D,DataViz!$B23),SUMIFS('Supply planning data'!N:N,'Supply planning data'!$D:$D,DataViz!$B23,'Supply planning data'!$C:$C,DataViz!$A$1))+IF($A$1="All",SUMIFS('Supply planning data'!P:P,'Supply planning data'!$D:$D,DataViz!$B23),SUMIFS('Supply planning data'!P:P,'Supply planning data'!$D:$D,DataViz!$B23,'Supply planning data'!$C:$C,DataViz!$A$1))</f>
        <v>0</v>
      </c>
      <c r="O23" s="14">
        <f>IF($A$1="All",SUMIFS('Supply planning data'!R:R,'Supply planning data'!$D:$D,DataViz!$B23),SUMIFS('Supply planning data'!R:R,'Supply planning data'!$D:$D,DataViz!$B23,'Supply planning data'!$C:$C,DataViz!$A$1))</f>
        <v>0</v>
      </c>
      <c r="P23" s="14">
        <f>IF($A$1="All",SUMIFS('Supply planning data'!S:S,'Supply planning data'!$D:$D,DataViz!$B23),SUMIFS('Supply planning data'!S:S,'Supply planning data'!$D:$D,DataViz!$B23,'Supply planning data'!$C:$C,DataViz!$A$1))</f>
        <v>0</v>
      </c>
      <c r="Q23" s="14">
        <f>IF($A$1="All",SUMIFS('Supply planning data'!T:T,'Supply planning data'!$D:$D,DataViz!$B23),SUMIFS('Supply planning data'!T:T,'Supply planning data'!$D:$D,DataViz!$B23,'Supply planning data'!$C:$C,DataViz!$A$1))</f>
        <v>110538</v>
      </c>
      <c r="R23" s="14">
        <f>IF($A$1="All",SUMIFS('Supply planning data'!U:U,'Supply planning data'!$D:$D,DataViz!$B23),SUMIFS('Supply planning data'!U:U,'Supply planning data'!$D:$D,DataViz!$B23,'Supply planning data'!$C:$C,DataViz!$A$1))</f>
        <v>0</v>
      </c>
      <c r="S23" s="14">
        <f>IF($A$1="All",SUMIFS('Supply planning data'!V:V,'Supply planning data'!$D:$D,DataViz!$B23),SUMIFS('Supply planning data'!V:V,'Supply planning data'!$D:$D,DataViz!$B23,'Supply planning data'!$C:$C,DataViz!$A$1))</f>
        <v>5058747</v>
      </c>
      <c r="T23" s="14"/>
      <c r="U23" s="14">
        <f>IF($A$1="All",SUMIFS('Supply planning data'!Y:Y,'Supply planning data'!$D:$D,DataViz!$B23),SUMIFS('Supply planning data'!Y:Y,'Supply planning data'!$D:$D,DataViz!$B23,'Supply planning data'!$C:$C,DataViz!$A$1))</f>
        <v>400000</v>
      </c>
      <c r="V23" s="14">
        <f t="shared" si="8"/>
        <v>2169554</v>
      </c>
      <c r="W23" s="350" t="e">
        <f t="shared" si="10"/>
        <v>#N/A</v>
      </c>
      <c r="Y23" s="14">
        <f>IF($A$1="All",SUMIFS('Supply planning data'!$X:$X,'Supply planning data'!$D:$D,DataViz!$B23),SUMIFS('Supply planning data'!$X:$X,'Supply planning data'!$D:$D,DataViz!$B23,'Supply planning data'!$C:$C,DataViz!$A$1))</f>
        <v>4813448</v>
      </c>
      <c r="Z23" s="14">
        <f>IF($A$1="All",SUMIFS('Supply planning data'!$AB:$AB,'Supply planning data'!$D:$D,DataViz!$B23),SUMIFS('Supply planning data'!$AB:$AB,'Supply planning data'!$D:$D,DataViz!$B23,'Supply planning data'!$C:$C,DataViz!$A$1))</f>
        <v>0</v>
      </c>
      <c r="AA23" s="14">
        <f>IF($A$1="All",SUMIFS('Supply planning data'!$Y:$Y,'Supply planning data'!$D:$D,DataViz!$B23),SUMIFS('Supply planning data'!$Y:$Y,'Supply planning data'!$D:$D,DataViz!$B23,'Supply planning data'!$C:$C,DataViz!$A$1))</f>
        <v>400000</v>
      </c>
      <c r="AB23" s="14"/>
      <c r="AC23" s="14">
        <f>IF(IF($A$1="All",SUMIFS('Supply planning data'!$AA:$AA,'Supply planning data'!$D:$D,DataViz!$B23),SUMIFS('Supply planning data'!$AA:$AA,'Supply planning data'!$D:$D,DataViz!$B23,'Supply planning data'!$C:$C,DataViz!$A$1))&lt;=0,NA(),IF($A$1="All",SUMIFS('Supply planning data'!$AA:$AA,'Supply planning data'!$D:$D,DataViz!$B23),SUMIFS('Supply planning data'!$AA:$AA,'Supply planning data'!$D:$D,DataViz!$B23,'Supply planning data'!$C:$C,DataViz!$A$1)))</f>
        <v>400000</v>
      </c>
      <c r="AD23" s="14">
        <f>IF($A$1="All",SUMIFS('Supply planning data'!$AE:$AE,'Supply planning data'!$D:$D,DataViz!$B23),SUMIFS('Supply planning data'!$AE:$AE,'Supply planning data'!$D:$D,DataViz!$B23,'Supply planning data'!$C:$C,DataViz!$A$1))</f>
        <v>4573448</v>
      </c>
      <c r="AE23" s="18" t="e">
        <f>IF($J23+K23+IF($A$1="All",SUMIFS('Supply planning data'!$AJ:$AJ,'Supply planning data'!$D:$D,DataViz!$B23),SUMIFS('Supply planning data'!$AJ:$AJ,'Supply planning data'!$D:$D,DataViz!$B23,'Supply planning data'!$C:$C,DataViz!$A$1))&lt;=0,NA(),$J23+K23+IF($A$1="All",SUMIFS('Supply planning data'!$AJ:$AJ,'Supply planning data'!$D:$D,DataViz!$B23),SUMIFS('Supply planning data'!$AJ:$AJ,'Supply planning data'!$D:$D,DataViz!$B23,'Supply planning data'!$C:$C,DataViz!$A$1)))</f>
        <v>#N/A</v>
      </c>
      <c r="AF23">
        <f>IF($A$1="All",SUMIFS('Supply planning data'!AD:AD,'Supply planning data'!$D:$D,DataViz!$B23),SUMIFS('Supply planning data'!AD:AD,'Supply planning data'!$D:$D,DataViz!$B23,'Supply planning data'!$C:$C,DataViz!$A$1))</f>
        <v>0</v>
      </c>
      <c r="AG23" s="229">
        <f t="shared" si="5"/>
        <v>4.5492566666666664E-2</v>
      </c>
      <c r="AH23" s="230">
        <f>SUMIFS('Supply planning data'!Y:Y,'Supply planning data'!$D:$D,"&lt;="&amp;DataViz!$B22,'Supply planning data'!$C:$C,"Jansen")+(SUMIFS('Supply planning data'!Y:Y,'Supply planning data'!$D:$D,"&lt;="&amp;DataViz!$B22,'Supply planning data'!$C:$C,"&lt;&gt;Jansen")/2)+D23</f>
        <v>2729554</v>
      </c>
      <c r="AI23" s="230">
        <f>IF($A$1="All",SUMIFS('Supply planning data'!$AG:$AG,'Supply planning data'!$D:$D,DataViz!$B23),SUMIFS('Supply planning data'!$AG:$AG,'Supply planning data'!$D:$D,DataViz!$B23,'Supply planning data'!$C:$C,DataViz!$A$1))</f>
        <v>5058747</v>
      </c>
      <c r="AJ23" s="230">
        <f>IF($A$1="All",SUMIFS('Supply planning data'!$AK:$AK,'Supply planning data'!$D:$D,DataViz!$B23),SUMIFS('Supply planning data'!$AK:$AK,'Supply planning data'!$D:$D,DataViz!$B23,'Supply planning data'!$C:$C,DataViz!$A$1))</f>
        <v>0</v>
      </c>
      <c r="AK23" s="230">
        <f>IF($A$1="All",SUMIFS('Supply planning data'!$AH:$AH,'Supply planning data'!$D:$D,DataViz!$B23),SUMIFS('Supply planning data'!$AH:$AH,'Supply planning data'!$D:$D,DataViz!$B23,'Supply planning data'!$C:$C,DataViz!$A$1))</f>
        <v>0</v>
      </c>
      <c r="AL23" s="230"/>
      <c r="AM23" s="230" t="e">
        <f>IF(IF($A$1="All",SUMIFS('Supply planning data'!$AJ:$AJ,'Supply planning data'!$D:$D,DataViz!$B23),SUMIFS('Supply planning data'!$AJ:$AJ,'Supply planning data'!$D:$D,DataViz!$B23,'Supply planning data'!$C:$C,DataViz!$A$1))&lt;=0,NA(),IF($A$1="All",SUMIFS('Supply planning data'!$AJ:$AJ,'Supply planning data'!$D:$D,DataViz!$B23),SUMIFS('Supply planning data'!$AJ:$AJ,'Supply planning data'!$D:$D,DataViz!$B23,'Supply planning data'!$C:$C,DataViz!$A$1)))</f>
        <v>#N/A</v>
      </c>
      <c r="AN23" s="230">
        <f>IF($A$1="All",SUMIFS('Supply planning data'!$AN:$AN,'Supply planning data'!$D:$D,DataViz!$B23),SUMIFS('Supply planning data'!$AN:$AN,'Supply planning data'!$D:$D,DataViz!$B23,'Supply planning data'!$C:$C,DataViz!$A$1))</f>
        <v>5058747</v>
      </c>
      <c r="AO23" s="231" t="e">
        <f>IF($J23+K23+IF($A$1="All",SUMIFS('Supply planning data'!$AJ:$AJ,'Supply planning data'!$D:$D,DataViz!$B23),SUMIFS('Supply planning data'!$AJ:$AJ,'Supply planning data'!$D:$D,DataViz!$B23,'Supply planning data'!$C:$C,DataViz!$A$1))&lt;=0,NA(),$J23+K23+IF($A$1="All",SUMIFS('Supply planning data'!$AJ:$AJ,'Supply planning data'!$D:$D,DataViz!$B23),SUMIFS('Supply planning data'!$AJ:$AJ,'Supply planning data'!$D:$D,DataViz!$B23,'Supply planning data'!$C:$C,DataViz!$A$1)))</f>
        <v>#N/A</v>
      </c>
      <c r="AP23">
        <f>IF($A$1="All",SUMIFS('Supply planning data'!AM:AM,'Supply planning data'!$D:$D,DataViz!$B23),SUMIFS('Supply planning data'!AM:AM,'Supply planning data'!$D:$D,DataViz!$B23,'Supply planning data'!$C:$C,DataViz!$A$1))</f>
        <v>0</v>
      </c>
      <c r="AQ23" s="229">
        <f t="shared" si="6"/>
        <v>2.9492566666666668E-2</v>
      </c>
      <c r="AR23" s="230">
        <f>SUMIFS('Supply planning data'!AH:AH,'Supply planning data'!$D:$D,"&lt;="&amp;DataViz!$B22,'Supply planning data'!$C:$C,"Jansen")+(SUMIFS('Supply planning data'!AH:AH,'Supply planning data'!$D:$D,"&lt;="&amp;DataViz!$B22,'Supply planning data'!$C:$C,"&lt;&gt;Jansen")/2)+D23</f>
        <v>1769554</v>
      </c>
    </row>
    <row r="24" spans="1:44" x14ac:dyDescent="0.25">
      <c r="A24" s="20">
        <v>19</v>
      </c>
      <c r="B24" s="21">
        <f t="shared" si="9"/>
        <v>44835</v>
      </c>
      <c r="C24" s="22">
        <f>IF(VLOOKUP(Dashboard!$M$6,Start!$B$10:$E$12,4,FALSE)&gt;0,VLOOKUP(Dashboard!$M$6,Start!$B$10:$E$12,4, FALSE),VLOOKUP(Dashboard!$M$6,Start!$B$10:$E$12,3, FALSE))</f>
        <v>60000000</v>
      </c>
      <c r="D24" s="22">
        <f>IF($A$1="Jansen",SUMIFS('Supply planning data'!G:G,'Supply planning data'!$D:$D,"&lt;="&amp;DataViz!$B24,'Supply planning data'!$C:$C,"jansen"),IF($A$1="All",SUMIFS('Supply planning data'!H:H,'Supply planning data'!$D:$D,"&lt;="&amp;DataViz!$B24)+SUMIFS('Supply planning data'!G:G,'Supply planning data'!$D:$D,"&lt;="&amp;DataViz!$B24,'Supply planning data'!$C:$C,"Jansen"),SUMIFS('Supply planning data'!H:H,'Supply planning data'!$D:$D,"&lt;="&amp;DataViz!$B24,'Supply planning data'!$C:$C,DataViz!$A$1)))</f>
        <v>1769554</v>
      </c>
      <c r="E24" s="23">
        <f t="shared" si="7"/>
        <v>2.9492566666666668E-2</v>
      </c>
      <c r="F24" s="14">
        <f>IF($A$1="All",SUMIFS('Supply planning data'!F:F,'Supply planning data'!$D:$D,DataViz!$B24),SUMIFS('Supply planning data'!F:F,'Supply planning data'!$D:$D,DataViz!$B24,'Supply planning data'!$C:$C,DataViz!$A$1))</f>
        <v>5058747</v>
      </c>
      <c r="G24" s="14">
        <f>IF($A$1="All",SUMIFS('Supply planning data'!G:G,'Supply planning data'!$D:$D,DataViz!$B24),SUMIFS('Supply planning data'!G:G,'Supply planning data'!$D:$D,DataViz!$B24,'Supply planning data'!$C:$C,DataViz!$A$1))</f>
        <v>0</v>
      </c>
      <c r="H24" s="14">
        <f>IF($A$1="All",SUMIFS('Supply planning data'!H:H,'Supply planning data'!$D:$D,DataViz!$B24),SUMIFS('Supply planning data'!H:H,'Supply planning data'!$D:$D,DataViz!$B24,'Supply planning data'!$C:$C,DataViz!$A$1))</f>
        <v>0</v>
      </c>
      <c r="I24" s="14">
        <f>IF($A$1="All",SUMIFS('Supply planning data'!I:I,'Supply planning data'!$D:$D,DataViz!$B24),SUMIFS('Supply planning data'!I:I,'Supply planning data'!$D:$D,DataViz!$B24,'Supply planning data'!$C:$C,DataViz!$A$1))</f>
        <v>0</v>
      </c>
      <c r="J24" s="14">
        <f>IF($A$1="All",SUMIFS('Supply planning data'!J:J,'Supply planning data'!$D:$D,DataViz!$B24),SUMIFS('Supply planning data'!J:J,'Supply planning data'!$D:$D,DataViz!$B24,'Supply planning data'!$C:$C,DataViz!$A$1))</f>
        <v>0</v>
      </c>
      <c r="K24" s="14">
        <f>IF($A$1="All",SUMIFS('Supply planning data'!L:L,'Supply planning data'!$D:$D,DataViz!$B24),SUMIFS('Supply planning data'!L:L,'Supply planning data'!$D:$D,DataViz!$B24,'Supply planning data'!$C:$C,DataViz!$A$1))</f>
        <v>0</v>
      </c>
      <c r="L24" s="14">
        <f>IF($A$1="All",SUMIFS('Supply planning data'!K:K,'Supply planning data'!$D:$D,DataViz!$B24),SUMIFS('Supply planning data'!K:K,'Supply planning data'!$D:$D,DataViz!$B24,'Supply planning data'!$C:$C,DataViz!$A$1))</f>
        <v>0</v>
      </c>
      <c r="M24" s="14" t="e">
        <f>IF(IF($A$1="All",SUMIFS('Supply planning data'!M:M,'Supply planning data'!$D:$D,DataViz!$B24),SUMIFS('Supply planning data'!M:M,'Supply planning data'!$D:$D,DataViz!$B24,'Supply planning data'!$C:$C,DataViz!$A$1))&lt;=0,NA(),IF($A$1="All",SUMIFS('Supply planning data'!M:M,'Supply planning data'!$D:$D,DataViz!$B24),SUMIFS('Supply planning data'!M:M,'Supply planning data'!$D:$D,DataViz!$B24,'Supply planning data'!$C:$C,DataViz!$A$1)))</f>
        <v>#N/A</v>
      </c>
      <c r="N24" s="14">
        <f>IF($A$1="All",SUMIFS('Supply planning data'!N:N,'Supply planning data'!$D:$D,DataViz!$B24),SUMIFS('Supply planning data'!N:N,'Supply planning data'!$D:$D,DataViz!$B24,'Supply planning data'!$C:$C,DataViz!$A$1))+IF($A$1="All",SUMIFS('Supply planning data'!P:P,'Supply planning data'!$D:$D,DataViz!$B24),SUMIFS('Supply planning data'!P:P,'Supply planning data'!$D:$D,DataViz!$B24,'Supply planning data'!$C:$C,DataViz!$A$1))</f>
        <v>0</v>
      </c>
      <c r="O24" s="14">
        <f>IF($A$1="All",SUMIFS('Supply planning data'!R:R,'Supply planning data'!$D:$D,DataViz!$B24),SUMIFS('Supply planning data'!R:R,'Supply planning data'!$D:$D,DataViz!$B24,'Supply planning data'!$C:$C,DataViz!$A$1))</f>
        <v>0</v>
      </c>
      <c r="P24" s="14">
        <f>IF($A$1="All",SUMIFS('Supply planning data'!S:S,'Supply planning data'!$D:$D,DataViz!$B24),SUMIFS('Supply planning data'!S:S,'Supply planning data'!$D:$D,DataViz!$B24,'Supply planning data'!$C:$C,DataViz!$A$1))</f>
        <v>0</v>
      </c>
      <c r="Q24" s="14">
        <f>IF($A$1="All",SUMIFS('Supply planning data'!T:T,'Supply planning data'!$D:$D,DataViz!$B24),SUMIFS('Supply planning data'!T:T,'Supply planning data'!$D:$D,DataViz!$B24,'Supply planning data'!$C:$C,DataViz!$A$1))</f>
        <v>110538</v>
      </c>
      <c r="R24" s="14">
        <f>IF($A$1="All",SUMIFS('Supply planning data'!U:U,'Supply planning data'!$D:$D,DataViz!$B24),SUMIFS('Supply planning data'!U:U,'Supply planning data'!$D:$D,DataViz!$B24,'Supply planning data'!$C:$C,DataViz!$A$1))</f>
        <v>0</v>
      </c>
      <c r="S24" s="14">
        <f>IF($A$1="All",SUMIFS('Supply planning data'!V:V,'Supply planning data'!$D:$D,DataViz!$B24),SUMIFS('Supply planning data'!V:V,'Supply planning data'!$D:$D,DataViz!$B24,'Supply planning data'!$C:$C,DataViz!$A$1))</f>
        <v>5058747</v>
      </c>
      <c r="T24" s="14"/>
      <c r="U24" s="14">
        <f>IF($A$1="All",SUMIFS('Supply planning data'!Y:Y,'Supply planning data'!$D:$D,DataViz!$B24),SUMIFS('Supply planning data'!Y:Y,'Supply planning data'!$D:$D,DataViz!$B24,'Supply planning data'!$C:$C,DataViz!$A$1))</f>
        <v>400000</v>
      </c>
      <c r="V24" s="14">
        <f t="shared" si="8"/>
        <v>2169554</v>
      </c>
      <c r="W24" s="350" t="e">
        <f t="shared" si="10"/>
        <v>#N/A</v>
      </c>
      <c r="Y24" s="14">
        <f>IF($A$1="All",SUMIFS('Supply planning data'!$X:$X,'Supply planning data'!$D:$D,DataViz!$B24),SUMIFS('Supply planning data'!$X:$X,'Supply planning data'!$D:$D,DataViz!$B24,'Supply planning data'!$C:$C,DataViz!$A$1))</f>
        <v>4573448</v>
      </c>
      <c r="Z24" s="14">
        <f>IF($A$1="All",SUMIFS('Supply planning data'!$AB:$AB,'Supply planning data'!$D:$D,DataViz!$B24),SUMIFS('Supply planning data'!$AB:$AB,'Supply planning data'!$D:$D,DataViz!$B24,'Supply planning data'!$C:$C,DataViz!$A$1))</f>
        <v>0</v>
      </c>
      <c r="AA24" s="14">
        <f>IF($A$1="All",SUMIFS('Supply planning data'!$Y:$Y,'Supply planning data'!$D:$D,DataViz!$B24),SUMIFS('Supply planning data'!$Y:$Y,'Supply planning data'!$D:$D,DataViz!$B24,'Supply planning data'!$C:$C,DataViz!$A$1))</f>
        <v>400000</v>
      </c>
      <c r="AB24" s="14"/>
      <c r="AC24" s="14">
        <f>IF(IF($A$1="All",SUMIFS('Supply planning data'!$AA:$AA,'Supply planning data'!$D:$D,DataViz!$B24),SUMIFS('Supply planning data'!$AA:$AA,'Supply planning data'!$D:$D,DataViz!$B24,'Supply planning data'!$C:$C,DataViz!$A$1))&lt;=0,NA(),IF($A$1="All",SUMIFS('Supply planning data'!$AA:$AA,'Supply planning data'!$D:$D,DataViz!$B24),SUMIFS('Supply planning data'!$AA:$AA,'Supply planning data'!$D:$D,DataViz!$B24,'Supply planning data'!$C:$C,DataViz!$A$1)))</f>
        <v>400000</v>
      </c>
      <c r="AD24" s="14">
        <f>IF($A$1="All",SUMIFS('Supply planning data'!$AE:$AE,'Supply planning data'!$D:$D,DataViz!$B24),SUMIFS('Supply planning data'!$AE:$AE,'Supply planning data'!$D:$D,DataViz!$B24,'Supply planning data'!$C:$C,DataViz!$A$1))</f>
        <v>4333448</v>
      </c>
      <c r="AE24" s="18" t="e">
        <f>IF($J24+K24+IF($A$1="All",SUMIFS('Supply planning data'!$AJ:$AJ,'Supply planning data'!$D:$D,DataViz!$B24),SUMIFS('Supply planning data'!$AJ:$AJ,'Supply planning data'!$D:$D,DataViz!$B24,'Supply planning data'!$C:$C,DataViz!$A$1))&lt;=0,NA(),$J24+K24+IF($A$1="All",SUMIFS('Supply planning data'!$AJ:$AJ,'Supply planning data'!$D:$D,DataViz!$B24),SUMIFS('Supply planning data'!$AJ:$AJ,'Supply planning data'!$D:$D,DataViz!$B24,'Supply planning data'!$C:$C,DataViz!$A$1)))</f>
        <v>#N/A</v>
      </c>
      <c r="AF24">
        <f>IF($A$1="All",SUMIFS('Supply planning data'!AD:AD,'Supply planning data'!$D:$D,DataViz!$B24),SUMIFS('Supply planning data'!AD:AD,'Supply planning data'!$D:$D,DataViz!$B24,'Supply planning data'!$C:$C,DataViz!$A$1))</f>
        <v>0</v>
      </c>
      <c r="AG24" s="229">
        <f t="shared" si="5"/>
        <v>4.9492566666666668E-2</v>
      </c>
      <c r="AH24" s="230">
        <f>SUMIFS('Supply planning data'!Y:Y,'Supply planning data'!$D:$D,"&lt;="&amp;DataViz!$B23,'Supply planning data'!$C:$C,"Jansen")+(SUMIFS('Supply planning data'!Y:Y,'Supply planning data'!$D:$D,"&lt;="&amp;DataViz!$B23,'Supply planning data'!$C:$C,"&lt;&gt;Jansen")/2)+D24</f>
        <v>2969554</v>
      </c>
      <c r="AI24" s="230">
        <f>IF($A$1="All",SUMIFS('Supply planning data'!$AG:$AG,'Supply planning data'!$D:$D,DataViz!$B24),SUMIFS('Supply planning data'!$AG:$AG,'Supply planning data'!$D:$D,DataViz!$B24,'Supply planning data'!$C:$C,DataViz!$A$1))</f>
        <v>5058747</v>
      </c>
      <c r="AJ24" s="230">
        <f>IF($A$1="All",SUMIFS('Supply planning data'!$AK:$AK,'Supply planning data'!$D:$D,DataViz!$B24),SUMIFS('Supply planning data'!$AK:$AK,'Supply planning data'!$D:$D,DataViz!$B24,'Supply planning data'!$C:$C,DataViz!$A$1))</f>
        <v>0</v>
      </c>
      <c r="AK24" s="230">
        <f>IF($A$1="All",SUMIFS('Supply planning data'!$AH:$AH,'Supply planning data'!$D:$D,DataViz!$B24),SUMIFS('Supply planning data'!$AH:$AH,'Supply planning data'!$D:$D,DataViz!$B24,'Supply planning data'!$C:$C,DataViz!$A$1))</f>
        <v>0</v>
      </c>
      <c r="AL24" s="230"/>
      <c r="AM24" s="230" t="e">
        <f>IF(IF($A$1="All",SUMIFS('Supply planning data'!$AJ:$AJ,'Supply planning data'!$D:$D,DataViz!$B24),SUMIFS('Supply planning data'!$AJ:$AJ,'Supply planning data'!$D:$D,DataViz!$B24,'Supply planning data'!$C:$C,DataViz!$A$1))&lt;=0,NA(),IF($A$1="All",SUMIFS('Supply planning data'!$AJ:$AJ,'Supply planning data'!$D:$D,DataViz!$B24),SUMIFS('Supply planning data'!$AJ:$AJ,'Supply planning data'!$D:$D,DataViz!$B24,'Supply planning data'!$C:$C,DataViz!$A$1)))</f>
        <v>#N/A</v>
      </c>
      <c r="AN24" s="230">
        <f>IF($A$1="All",SUMIFS('Supply planning data'!$AN:$AN,'Supply planning data'!$D:$D,DataViz!$B24),SUMIFS('Supply planning data'!$AN:$AN,'Supply planning data'!$D:$D,DataViz!$B24,'Supply planning data'!$C:$C,DataViz!$A$1))</f>
        <v>5058747</v>
      </c>
      <c r="AO24" s="231" t="e">
        <f>IF($J24+K24+IF($A$1="All",SUMIFS('Supply planning data'!$AJ:$AJ,'Supply planning data'!$D:$D,DataViz!$B24),SUMIFS('Supply planning data'!$AJ:$AJ,'Supply planning data'!$D:$D,DataViz!$B24,'Supply planning data'!$C:$C,DataViz!$A$1))&lt;=0,NA(),$J24+K24+IF($A$1="All",SUMIFS('Supply planning data'!$AJ:$AJ,'Supply planning data'!$D:$D,DataViz!$B24),SUMIFS('Supply planning data'!$AJ:$AJ,'Supply planning data'!$D:$D,DataViz!$B24,'Supply planning data'!$C:$C,DataViz!$A$1)))</f>
        <v>#N/A</v>
      </c>
      <c r="AP24">
        <f>IF($A$1="All",SUMIFS('Supply planning data'!AM:AM,'Supply planning data'!$D:$D,DataViz!$B24),SUMIFS('Supply planning data'!AM:AM,'Supply planning data'!$D:$D,DataViz!$B24,'Supply planning data'!$C:$C,DataViz!$A$1))</f>
        <v>0</v>
      </c>
      <c r="AQ24" s="229">
        <f t="shared" si="6"/>
        <v>2.9492566666666668E-2</v>
      </c>
      <c r="AR24" s="230">
        <f>SUMIFS('Supply planning data'!AH:AH,'Supply planning data'!$D:$D,"&lt;="&amp;DataViz!$B23,'Supply planning data'!$C:$C,"Jansen")+(SUMIFS('Supply planning data'!AH:AH,'Supply planning data'!$D:$D,"&lt;="&amp;DataViz!$B23,'Supply planning data'!$C:$C,"&lt;&gt;Jansen")/2)+D24</f>
        <v>1769554</v>
      </c>
    </row>
    <row r="25" spans="1:44" x14ac:dyDescent="0.25">
      <c r="A25" s="20">
        <v>20</v>
      </c>
      <c r="B25" s="21">
        <f t="shared" si="9"/>
        <v>44866</v>
      </c>
      <c r="C25" s="22">
        <f>IF(VLOOKUP(Dashboard!$M$6,Start!$B$10:$E$12,4,FALSE)&gt;0,VLOOKUP(Dashboard!$M$6,Start!$B$10:$E$12,4, FALSE),VLOOKUP(Dashboard!$M$6,Start!$B$10:$E$12,3, FALSE))</f>
        <v>60000000</v>
      </c>
      <c r="D25" s="22">
        <f>IF($A$1="Jansen",SUMIFS('Supply planning data'!G:G,'Supply planning data'!$D:$D,"&lt;="&amp;DataViz!$B25,'Supply planning data'!$C:$C,"jansen"),IF($A$1="All",SUMIFS('Supply planning data'!H:H,'Supply planning data'!$D:$D,"&lt;="&amp;DataViz!$B25)+SUMIFS('Supply planning data'!G:G,'Supply planning data'!$D:$D,"&lt;="&amp;DataViz!$B25,'Supply planning data'!$C:$C,"Jansen"),SUMIFS('Supply planning data'!H:H,'Supply planning data'!$D:$D,"&lt;="&amp;DataViz!$B25,'Supply planning data'!$C:$C,DataViz!$A$1)))</f>
        <v>1769554</v>
      </c>
      <c r="E25" s="23">
        <f t="shared" si="7"/>
        <v>2.9492566666666668E-2</v>
      </c>
      <c r="F25" s="14">
        <f>IF($A$1="All",SUMIFS('Supply planning data'!F:F,'Supply planning data'!$D:$D,DataViz!$B25),SUMIFS('Supply planning data'!F:F,'Supply planning data'!$D:$D,DataViz!$B25,'Supply planning data'!$C:$C,DataViz!$A$1))</f>
        <v>5058747</v>
      </c>
      <c r="G25" s="14">
        <f>IF($A$1="All",SUMIFS('Supply planning data'!G:G,'Supply planning data'!$D:$D,DataViz!$B25),SUMIFS('Supply planning data'!G:G,'Supply planning data'!$D:$D,DataViz!$B25,'Supply planning data'!$C:$C,DataViz!$A$1))</f>
        <v>0</v>
      </c>
      <c r="H25" s="14">
        <f>IF($A$1="All",SUMIFS('Supply planning data'!H:H,'Supply planning data'!$D:$D,DataViz!$B25),SUMIFS('Supply planning data'!H:H,'Supply planning data'!$D:$D,DataViz!$B25,'Supply planning data'!$C:$C,DataViz!$A$1))</f>
        <v>0</v>
      </c>
      <c r="I25" s="14">
        <f>IF($A$1="All",SUMIFS('Supply planning data'!I:I,'Supply planning data'!$D:$D,DataViz!$B25),SUMIFS('Supply planning data'!I:I,'Supply planning data'!$D:$D,DataViz!$B25,'Supply planning data'!$C:$C,DataViz!$A$1))</f>
        <v>0</v>
      </c>
      <c r="J25" s="14">
        <f>IF($A$1="All",SUMIFS('Supply planning data'!J:J,'Supply planning data'!$D:$D,DataViz!$B25),SUMIFS('Supply planning data'!J:J,'Supply planning data'!$D:$D,DataViz!$B25,'Supply planning data'!$C:$C,DataViz!$A$1))</f>
        <v>0</v>
      </c>
      <c r="K25" s="14">
        <f>IF($A$1="All",SUMIFS('Supply planning data'!L:L,'Supply planning data'!$D:$D,DataViz!$B25),SUMIFS('Supply planning data'!L:L,'Supply planning data'!$D:$D,DataViz!$B25,'Supply planning data'!$C:$C,DataViz!$A$1))</f>
        <v>0</v>
      </c>
      <c r="L25" s="14">
        <f>IF($A$1="All",SUMIFS('Supply planning data'!K:K,'Supply planning data'!$D:$D,DataViz!$B25),SUMIFS('Supply planning data'!K:K,'Supply planning data'!$D:$D,DataViz!$B25,'Supply planning data'!$C:$C,DataViz!$A$1))</f>
        <v>0</v>
      </c>
      <c r="M25" s="14" t="e">
        <f>IF(IF($A$1="All",SUMIFS('Supply planning data'!M:M,'Supply planning data'!$D:$D,DataViz!$B25),SUMIFS('Supply planning data'!M:M,'Supply planning data'!$D:$D,DataViz!$B25,'Supply planning data'!$C:$C,DataViz!$A$1))&lt;=0,NA(),IF($A$1="All",SUMIFS('Supply planning data'!M:M,'Supply planning data'!$D:$D,DataViz!$B25),SUMIFS('Supply planning data'!M:M,'Supply planning data'!$D:$D,DataViz!$B25,'Supply planning data'!$C:$C,DataViz!$A$1)))</f>
        <v>#N/A</v>
      </c>
      <c r="N25" s="14">
        <f>IF($A$1="All",SUMIFS('Supply planning data'!N:N,'Supply planning data'!$D:$D,DataViz!$B25),SUMIFS('Supply planning data'!N:N,'Supply planning data'!$D:$D,DataViz!$B25,'Supply planning data'!$C:$C,DataViz!$A$1))+IF($A$1="All",SUMIFS('Supply planning data'!P:P,'Supply planning data'!$D:$D,DataViz!$B25),SUMIFS('Supply planning data'!P:P,'Supply planning data'!$D:$D,DataViz!$B25,'Supply planning data'!$C:$C,DataViz!$A$1))</f>
        <v>0</v>
      </c>
      <c r="O25" s="14">
        <f>IF($A$1="All",SUMIFS('Supply planning data'!R:R,'Supply planning data'!$D:$D,DataViz!$B25),SUMIFS('Supply planning data'!R:R,'Supply planning data'!$D:$D,DataViz!$B25,'Supply planning data'!$C:$C,DataViz!$A$1))</f>
        <v>200000</v>
      </c>
      <c r="P25" s="14">
        <f>IF($A$1="All",SUMIFS('Supply planning data'!S:S,'Supply planning data'!$D:$D,DataViz!$B25),SUMIFS('Supply planning data'!S:S,'Supply planning data'!$D:$D,DataViz!$B25,'Supply planning data'!$C:$C,DataViz!$A$1))</f>
        <v>0</v>
      </c>
      <c r="Q25" s="14">
        <f>IF($A$1="All",SUMIFS('Supply planning data'!T:T,'Supply planning data'!$D:$D,DataViz!$B25),SUMIFS('Supply planning data'!T:T,'Supply planning data'!$D:$D,DataViz!$B25,'Supply planning data'!$C:$C,DataViz!$A$1))</f>
        <v>110538</v>
      </c>
      <c r="R25" s="14">
        <f>IF($A$1="All",SUMIFS('Supply planning data'!U:U,'Supply planning data'!$D:$D,DataViz!$B25),SUMIFS('Supply planning data'!U:U,'Supply planning data'!$D:$D,DataViz!$B25,'Supply planning data'!$C:$C,DataViz!$A$1))</f>
        <v>0</v>
      </c>
      <c r="S25" s="14">
        <f>IF($A$1="All",SUMIFS('Supply planning data'!V:V,'Supply planning data'!$D:$D,DataViz!$B25),SUMIFS('Supply planning data'!V:V,'Supply planning data'!$D:$D,DataViz!$B25,'Supply planning data'!$C:$C,DataViz!$A$1))</f>
        <v>5258747</v>
      </c>
      <c r="T25" s="14"/>
      <c r="U25" s="14">
        <f>IF($A$1="All",SUMIFS('Supply planning data'!Y:Y,'Supply planning data'!$D:$D,DataViz!$B25),SUMIFS('Supply planning data'!Y:Y,'Supply planning data'!$D:$D,DataViz!$B25,'Supply planning data'!$C:$C,DataViz!$A$1))</f>
        <v>400000</v>
      </c>
      <c r="V25" s="14">
        <f t="shared" si="8"/>
        <v>2169554</v>
      </c>
      <c r="W25" s="350" t="e">
        <f t="shared" si="10"/>
        <v>#N/A</v>
      </c>
      <c r="Y25" s="14">
        <f>IF($A$1="All",SUMIFS('Supply planning data'!$X:$X,'Supply planning data'!$D:$D,DataViz!$B25),SUMIFS('Supply planning data'!$X:$X,'Supply planning data'!$D:$D,DataViz!$B25,'Supply planning data'!$C:$C,DataViz!$A$1))</f>
        <v>4333448</v>
      </c>
      <c r="Z25" s="14">
        <f>IF($A$1="All",SUMIFS('Supply planning data'!$AB:$AB,'Supply planning data'!$D:$D,DataViz!$B25),SUMIFS('Supply planning data'!$AB:$AB,'Supply planning data'!$D:$D,DataViz!$B25,'Supply planning data'!$C:$C,DataViz!$A$1))</f>
        <v>0</v>
      </c>
      <c r="AA25" s="14">
        <f>IF($A$1="All",SUMIFS('Supply planning data'!$Y:$Y,'Supply planning data'!$D:$D,DataViz!$B25),SUMIFS('Supply planning data'!$Y:$Y,'Supply planning data'!$D:$D,DataViz!$B25,'Supply planning data'!$C:$C,DataViz!$A$1))</f>
        <v>400000</v>
      </c>
      <c r="AB25" s="14"/>
      <c r="AC25" s="14">
        <f>IF(IF($A$1="All",SUMIFS('Supply planning data'!$AA:$AA,'Supply planning data'!$D:$D,DataViz!$B25),SUMIFS('Supply planning data'!$AA:$AA,'Supply planning data'!$D:$D,DataViz!$B25,'Supply planning data'!$C:$C,DataViz!$A$1))&lt;=0,NA(),IF($A$1="All",SUMIFS('Supply planning data'!$AA:$AA,'Supply planning data'!$D:$D,DataViz!$B25),SUMIFS('Supply planning data'!$AA:$AA,'Supply planning data'!$D:$D,DataViz!$B25,'Supply planning data'!$C:$C,DataViz!$A$1)))</f>
        <v>400000</v>
      </c>
      <c r="AD25" s="14">
        <f>IF($A$1="All",SUMIFS('Supply planning data'!$AE:$AE,'Supply planning data'!$D:$D,DataViz!$B25),SUMIFS('Supply planning data'!$AE:$AE,'Supply planning data'!$D:$D,DataViz!$B25,'Supply planning data'!$C:$C,DataViz!$A$1))</f>
        <v>4293448</v>
      </c>
      <c r="AE25" s="18" t="e">
        <f>IF($J25+K25+IF($A$1="All",SUMIFS('Supply planning data'!$AJ:$AJ,'Supply planning data'!$D:$D,DataViz!$B25),SUMIFS('Supply planning data'!$AJ:$AJ,'Supply planning data'!$D:$D,DataViz!$B25,'Supply planning data'!$C:$C,DataViz!$A$1))&lt;=0,NA(),$J25+K25+IF($A$1="All",SUMIFS('Supply planning data'!$AJ:$AJ,'Supply planning data'!$D:$D,DataViz!$B25),SUMIFS('Supply planning data'!$AJ:$AJ,'Supply planning data'!$D:$D,DataViz!$B25,'Supply planning data'!$C:$C,DataViz!$A$1)))</f>
        <v>#N/A</v>
      </c>
      <c r="AF25">
        <f>IF($A$1="All",SUMIFS('Supply planning data'!AD:AD,'Supply planning data'!$D:$D,DataViz!$B25),SUMIFS('Supply planning data'!AD:AD,'Supply planning data'!$D:$D,DataViz!$B25,'Supply planning data'!$C:$C,DataViz!$A$1))</f>
        <v>0</v>
      </c>
      <c r="AG25" s="229">
        <f t="shared" si="5"/>
        <v>5.3492566666666665E-2</v>
      </c>
      <c r="AH25" s="230">
        <f>SUMIFS('Supply planning data'!Y:Y,'Supply planning data'!$D:$D,"&lt;="&amp;DataViz!$B24,'Supply planning data'!$C:$C,"Jansen")+(SUMIFS('Supply planning data'!Y:Y,'Supply planning data'!$D:$D,"&lt;="&amp;DataViz!$B24,'Supply planning data'!$C:$C,"&lt;&gt;Jansen")/2)+D25</f>
        <v>3209554</v>
      </c>
      <c r="AI25" s="230">
        <f>IF($A$1="All",SUMIFS('Supply planning data'!$AG:$AG,'Supply planning data'!$D:$D,DataViz!$B25),SUMIFS('Supply planning data'!$AG:$AG,'Supply planning data'!$D:$D,DataViz!$B25,'Supply planning data'!$C:$C,DataViz!$A$1))</f>
        <v>5058747</v>
      </c>
      <c r="AJ25" s="230">
        <f>IF($A$1="All",SUMIFS('Supply planning data'!$AK:$AK,'Supply planning data'!$D:$D,DataViz!$B25),SUMIFS('Supply planning data'!$AK:$AK,'Supply planning data'!$D:$D,DataViz!$B25,'Supply planning data'!$C:$C,DataViz!$A$1))</f>
        <v>0</v>
      </c>
      <c r="AK25" s="230">
        <f>IF($A$1="All",SUMIFS('Supply planning data'!$AH:$AH,'Supply planning data'!$D:$D,DataViz!$B25),SUMIFS('Supply planning data'!$AH:$AH,'Supply planning data'!$D:$D,DataViz!$B25,'Supply planning data'!$C:$C,DataViz!$A$1))</f>
        <v>0</v>
      </c>
      <c r="AL25" s="230"/>
      <c r="AM25" s="230" t="e">
        <f>IF(IF($A$1="All",SUMIFS('Supply planning data'!$AJ:$AJ,'Supply planning data'!$D:$D,DataViz!$B25),SUMIFS('Supply planning data'!$AJ:$AJ,'Supply planning data'!$D:$D,DataViz!$B25,'Supply planning data'!$C:$C,DataViz!$A$1))&lt;=0,NA(),IF($A$1="All",SUMIFS('Supply planning data'!$AJ:$AJ,'Supply planning data'!$D:$D,DataViz!$B25),SUMIFS('Supply planning data'!$AJ:$AJ,'Supply planning data'!$D:$D,DataViz!$B25,'Supply planning data'!$C:$C,DataViz!$A$1)))</f>
        <v>#N/A</v>
      </c>
      <c r="AN25" s="230">
        <f>IF($A$1="All",SUMIFS('Supply planning data'!$AN:$AN,'Supply planning data'!$D:$D,DataViz!$B25),SUMIFS('Supply planning data'!$AN:$AN,'Supply planning data'!$D:$D,DataViz!$B25,'Supply planning data'!$C:$C,DataViz!$A$1))</f>
        <v>5258747</v>
      </c>
      <c r="AO25" s="231" t="e">
        <f>IF($J25+K25+IF($A$1="All",SUMIFS('Supply planning data'!$AJ:$AJ,'Supply planning data'!$D:$D,DataViz!$B25),SUMIFS('Supply planning data'!$AJ:$AJ,'Supply planning data'!$D:$D,DataViz!$B25,'Supply planning data'!$C:$C,DataViz!$A$1))&lt;=0,NA(),$J25+K25+IF($A$1="All",SUMIFS('Supply planning data'!$AJ:$AJ,'Supply planning data'!$D:$D,DataViz!$B25),SUMIFS('Supply planning data'!$AJ:$AJ,'Supply planning data'!$D:$D,DataViz!$B25,'Supply planning data'!$C:$C,DataViz!$A$1)))</f>
        <v>#N/A</v>
      </c>
      <c r="AP25">
        <f>IF($A$1="All",SUMIFS('Supply planning data'!AM:AM,'Supply planning data'!$D:$D,DataViz!$B25),SUMIFS('Supply planning data'!AM:AM,'Supply planning data'!$D:$D,DataViz!$B25,'Supply planning data'!$C:$C,DataViz!$A$1))</f>
        <v>0</v>
      </c>
      <c r="AQ25" s="229">
        <f t="shared" si="6"/>
        <v>2.9492566666666668E-2</v>
      </c>
      <c r="AR25" s="230">
        <f>SUMIFS('Supply planning data'!AH:AH,'Supply planning data'!$D:$D,"&lt;="&amp;DataViz!$B24,'Supply planning data'!$C:$C,"Jansen")+(SUMIFS('Supply planning data'!AH:AH,'Supply planning data'!$D:$D,"&lt;="&amp;DataViz!$B24,'Supply planning data'!$C:$C,"&lt;&gt;Jansen")/2)+D25</f>
        <v>1769554</v>
      </c>
    </row>
    <row r="26" spans="1:44" x14ac:dyDescent="0.25">
      <c r="A26" s="20">
        <v>21</v>
      </c>
      <c r="B26" s="21">
        <f t="shared" si="9"/>
        <v>44896</v>
      </c>
      <c r="C26" s="22">
        <f>IF(VLOOKUP(Dashboard!$M$6,Start!$B$10:$E$12,4,FALSE)&gt;0,VLOOKUP(Dashboard!$M$6,Start!$B$10:$E$12,4, FALSE),VLOOKUP(Dashboard!$M$6,Start!$B$10:$E$12,3, FALSE))</f>
        <v>60000000</v>
      </c>
      <c r="D26" s="22">
        <f>IF($A$1="Jansen",SUMIFS('Supply planning data'!G:G,'Supply planning data'!$D:$D,"&lt;="&amp;DataViz!$B26,'Supply planning data'!$C:$C,"jansen"),IF($A$1="All",SUMIFS('Supply planning data'!H:H,'Supply planning data'!$D:$D,"&lt;="&amp;DataViz!$B26)+SUMIFS('Supply planning data'!G:G,'Supply planning data'!$D:$D,"&lt;="&amp;DataViz!$B26,'Supply planning data'!$C:$C,"Jansen"),SUMIFS('Supply planning data'!H:H,'Supply planning data'!$D:$D,"&lt;="&amp;DataViz!$B26,'Supply planning data'!$C:$C,DataViz!$A$1)))</f>
        <v>1769554</v>
      </c>
      <c r="E26" s="23">
        <f t="shared" si="7"/>
        <v>2.9492566666666668E-2</v>
      </c>
      <c r="F26" s="14">
        <f>IF($A$1="All",SUMIFS('Supply planning data'!F:F,'Supply planning data'!$D:$D,DataViz!$B26),SUMIFS('Supply planning data'!F:F,'Supply planning data'!$D:$D,DataViz!$B26,'Supply planning data'!$C:$C,DataViz!$A$1))</f>
        <v>5258747</v>
      </c>
      <c r="G26" s="14">
        <f>IF($A$1="All",SUMIFS('Supply planning data'!G:G,'Supply planning data'!$D:$D,DataViz!$B26),SUMIFS('Supply planning data'!G:G,'Supply planning data'!$D:$D,DataViz!$B26,'Supply planning data'!$C:$C,DataViz!$A$1))</f>
        <v>0</v>
      </c>
      <c r="H26" s="14">
        <f>IF($A$1="All",SUMIFS('Supply planning data'!H:H,'Supply planning data'!$D:$D,DataViz!$B26),SUMIFS('Supply planning data'!H:H,'Supply planning data'!$D:$D,DataViz!$B26,'Supply planning data'!$C:$C,DataViz!$A$1))</f>
        <v>0</v>
      </c>
      <c r="I26" s="14">
        <f>IF($A$1="All",SUMIFS('Supply planning data'!I:I,'Supply planning data'!$D:$D,DataViz!$B26),SUMIFS('Supply planning data'!I:I,'Supply planning data'!$D:$D,DataViz!$B26,'Supply planning data'!$C:$C,DataViz!$A$1))</f>
        <v>0</v>
      </c>
      <c r="J26" s="14">
        <f>IF($A$1="All",SUMIFS('Supply planning data'!J:J,'Supply planning data'!$D:$D,DataViz!$B26),SUMIFS('Supply planning data'!J:J,'Supply planning data'!$D:$D,DataViz!$B26,'Supply planning data'!$C:$C,DataViz!$A$1))</f>
        <v>0</v>
      </c>
      <c r="K26" s="14">
        <f>IF($A$1="All",SUMIFS('Supply planning data'!L:L,'Supply planning data'!$D:$D,DataViz!$B26),SUMIFS('Supply planning data'!L:L,'Supply planning data'!$D:$D,DataViz!$B26,'Supply planning data'!$C:$C,DataViz!$A$1))</f>
        <v>0</v>
      </c>
      <c r="L26" s="14">
        <f>IF($A$1="All",SUMIFS('Supply planning data'!K:K,'Supply planning data'!$D:$D,DataViz!$B26),SUMIFS('Supply planning data'!K:K,'Supply planning data'!$D:$D,DataViz!$B26,'Supply planning data'!$C:$C,DataViz!$A$1))</f>
        <v>0</v>
      </c>
      <c r="M26" s="14" t="e">
        <f>IF(IF($A$1="All",SUMIFS('Supply planning data'!M:M,'Supply planning data'!$D:$D,DataViz!$B26),SUMIFS('Supply planning data'!M:M,'Supply planning data'!$D:$D,DataViz!$B26,'Supply planning data'!$C:$C,DataViz!$A$1))&lt;=0,NA(),IF($A$1="All",SUMIFS('Supply planning data'!M:M,'Supply planning data'!$D:$D,DataViz!$B26),SUMIFS('Supply planning data'!M:M,'Supply planning data'!$D:$D,DataViz!$B26,'Supply planning data'!$C:$C,DataViz!$A$1)))</f>
        <v>#N/A</v>
      </c>
      <c r="N26" s="14">
        <f>IF($A$1="All",SUMIFS('Supply planning data'!N:N,'Supply planning data'!$D:$D,DataViz!$B26),SUMIFS('Supply planning data'!N:N,'Supply planning data'!$D:$D,DataViz!$B26,'Supply planning data'!$C:$C,DataViz!$A$1))+IF($A$1="All",SUMIFS('Supply planning data'!P:P,'Supply planning data'!$D:$D,DataViz!$B26),SUMIFS('Supply planning data'!P:P,'Supply planning data'!$D:$D,DataViz!$B26,'Supply planning data'!$C:$C,DataViz!$A$1))</f>
        <v>0</v>
      </c>
      <c r="O26" s="14">
        <f>IF($A$1="All",SUMIFS('Supply planning data'!R:R,'Supply planning data'!$D:$D,DataViz!$B26),SUMIFS('Supply planning data'!R:R,'Supply planning data'!$D:$D,DataViz!$B26,'Supply planning data'!$C:$C,DataViz!$A$1))</f>
        <v>0</v>
      </c>
      <c r="P26" s="14">
        <f>IF($A$1="All",SUMIFS('Supply planning data'!S:S,'Supply planning data'!$D:$D,DataViz!$B26),SUMIFS('Supply planning data'!S:S,'Supply planning data'!$D:$D,DataViz!$B26,'Supply planning data'!$C:$C,DataViz!$A$1))</f>
        <v>0</v>
      </c>
      <c r="Q26" s="14">
        <f>IF($A$1="All",SUMIFS('Supply planning data'!T:T,'Supply planning data'!$D:$D,DataViz!$B26),SUMIFS('Supply planning data'!T:T,'Supply planning data'!$D:$D,DataViz!$B26,'Supply planning data'!$C:$C,DataViz!$A$1))</f>
        <v>110538</v>
      </c>
      <c r="R26" s="14">
        <f>IF($A$1="All",SUMIFS('Supply planning data'!U:U,'Supply planning data'!$D:$D,DataViz!$B26),SUMIFS('Supply planning data'!U:U,'Supply planning data'!$D:$D,DataViz!$B26,'Supply planning data'!$C:$C,DataViz!$A$1))</f>
        <v>0</v>
      </c>
      <c r="S26" s="14">
        <f>IF($A$1="All",SUMIFS('Supply planning data'!V:V,'Supply planning data'!$D:$D,DataViz!$B26),SUMIFS('Supply planning data'!V:V,'Supply planning data'!$D:$D,DataViz!$B26,'Supply planning data'!$C:$C,DataViz!$A$1))</f>
        <v>5258747</v>
      </c>
      <c r="T26" s="14"/>
      <c r="U26" s="14">
        <f>IF($A$1="All",SUMIFS('Supply planning data'!Y:Y,'Supply planning data'!$D:$D,DataViz!$B26),SUMIFS('Supply planning data'!Y:Y,'Supply planning data'!$D:$D,DataViz!$B26,'Supply planning data'!$C:$C,DataViz!$A$1))</f>
        <v>0</v>
      </c>
      <c r="V26" s="14">
        <f t="shared" si="8"/>
        <v>1769554</v>
      </c>
      <c r="W26" s="350" t="e">
        <f t="shared" si="10"/>
        <v>#N/A</v>
      </c>
      <c r="Y26" s="14">
        <f>IF($A$1="All",SUMIFS('Supply planning data'!$X:$X,'Supply planning data'!$D:$D,DataViz!$B26),SUMIFS('Supply planning data'!$X:$X,'Supply planning data'!$D:$D,DataViz!$B26,'Supply planning data'!$C:$C,DataViz!$A$1))</f>
        <v>4293448</v>
      </c>
      <c r="Z26" s="14">
        <f>IF($A$1="All",SUMIFS('Supply planning data'!$AB:$AB,'Supply planning data'!$D:$D,DataViz!$B26),SUMIFS('Supply planning data'!$AB:$AB,'Supply planning data'!$D:$D,DataViz!$B26,'Supply planning data'!$C:$C,DataViz!$A$1))</f>
        <v>0</v>
      </c>
      <c r="AA26" s="14">
        <f>IF($A$1="All",SUMIFS('Supply planning data'!$Y:$Y,'Supply planning data'!$D:$D,DataViz!$B26),SUMIFS('Supply planning data'!$Y:$Y,'Supply planning data'!$D:$D,DataViz!$B26,'Supply planning data'!$C:$C,DataViz!$A$1))</f>
        <v>0</v>
      </c>
      <c r="AB26" s="14"/>
      <c r="AC26" s="14" t="e">
        <f>IF(IF($A$1="All",SUMIFS('Supply planning data'!$AA:$AA,'Supply planning data'!$D:$D,DataViz!$B26),SUMIFS('Supply planning data'!$AA:$AA,'Supply planning data'!$D:$D,DataViz!$B26,'Supply planning data'!$C:$C,DataViz!$A$1))&lt;=0,NA(),IF($A$1="All",SUMIFS('Supply planning data'!$AA:$AA,'Supply planning data'!$D:$D,DataViz!$B26),SUMIFS('Supply planning data'!$AA:$AA,'Supply planning data'!$D:$D,DataViz!$B26,'Supply planning data'!$C:$C,DataViz!$A$1)))</f>
        <v>#N/A</v>
      </c>
      <c r="AD26" s="14">
        <f>IF($A$1="All",SUMIFS('Supply planning data'!$AE:$AE,'Supply planning data'!$D:$D,DataViz!$B26),SUMIFS('Supply planning data'!$AE:$AE,'Supply planning data'!$D:$D,DataViz!$B26,'Supply planning data'!$C:$C,DataViz!$A$1))</f>
        <v>4293448</v>
      </c>
      <c r="AE26" s="18" t="e">
        <f>IF($J26+K26+IF($A$1="All",SUMIFS('Supply planning data'!$AJ:$AJ,'Supply planning data'!$D:$D,DataViz!$B26),SUMIFS('Supply planning data'!$AJ:$AJ,'Supply planning data'!$D:$D,DataViz!$B26,'Supply planning data'!$C:$C,DataViz!$A$1))&lt;=0,NA(),$J26+K26+IF($A$1="All",SUMIFS('Supply planning data'!$AJ:$AJ,'Supply planning data'!$D:$D,DataViz!$B26),SUMIFS('Supply planning data'!$AJ:$AJ,'Supply planning data'!$D:$D,DataViz!$B26,'Supply planning data'!$C:$C,DataViz!$A$1)))</f>
        <v>#N/A</v>
      </c>
      <c r="AF26">
        <f>IF($A$1="All",SUMIFS('Supply planning data'!AD:AD,'Supply planning data'!$D:$D,DataViz!$B26),SUMIFS('Supply planning data'!AD:AD,'Supply planning data'!$D:$D,DataViz!$B26,'Supply planning data'!$C:$C,DataViz!$A$1))</f>
        <v>0</v>
      </c>
      <c r="AG26" s="229">
        <f t="shared" si="5"/>
        <v>5.7492566666666668E-2</v>
      </c>
      <c r="AH26" s="230">
        <f>SUMIFS('Supply planning data'!Y:Y,'Supply planning data'!$D:$D,"&lt;="&amp;DataViz!$B25,'Supply planning data'!$C:$C,"Jansen")+(SUMIFS('Supply planning data'!Y:Y,'Supply planning data'!$D:$D,"&lt;="&amp;DataViz!$B25,'Supply planning data'!$C:$C,"&lt;&gt;Jansen")/2)+D26</f>
        <v>3449554</v>
      </c>
      <c r="AI26" s="230">
        <f>IF($A$1="All",SUMIFS('Supply planning data'!$AG:$AG,'Supply planning data'!$D:$D,DataViz!$B26),SUMIFS('Supply planning data'!$AG:$AG,'Supply planning data'!$D:$D,DataViz!$B26,'Supply planning data'!$C:$C,DataViz!$A$1))</f>
        <v>5258747</v>
      </c>
      <c r="AJ26" s="230">
        <f>IF($A$1="All",SUMIFS('Supply planning data'!$AK:$AK,'Supply planning data'!$D:$D,DataViz!$B26),SUMIFS('Supply planning data'!$AK:$AK,'Supply planning data'!$D:$D,DataViz!$B26,'Supply planning data'!$C:$C,DataViz!$A$1))</f>
        <v>0</v>
      </c>
      <c r="AK26" s="230">
        <f>IF($A$1="All",SUMIFS('Supply planning data'!$AH:$AH,'Supply planning data'!$D:$D,DataViz!$B26),SUMIFS('Supply planning data'!$AH:$AH,'Supply planning data'!$D:$D,DataViz!$B26,'Supply planning data'!$C:$C,DataViz!$A$1))</f>
        <v>0</v>
      </c>
      <c r="AL26" s="230"/>
      <c r="AM26" s="230" t="e">
        <f>IF(IF($A$1="All",SUMIFS('Supply planning data'!$AJ:$AJ,'Supply planning data'!$D:$D,DataViz!$B26),SUMIFS('Supply planning data'!$AJ:$AJ,'Supply planning data'!$D:$D,DataViz!$B26,'Supply planning data'!$C:$C,DataViz!$A$1))&lt;=0,NA(),IF($A$1="All",SUMIFS('Supply planning data'!$AJ:$AJ,'Supply planning data'!$D:$D,DataViz!$B26),SUMIFS('Supply planning data'!$AJ:$AJ,'Supply planning data'!$D:$D,DataViz!$B26,'Supply planning data'!$C:$C,DataViz!$A$1)))</f>
        <v>#N/A</v>
      </c>
      <c r="AN26" s="230">
        <f>IF($A$1="All",SUMIFS('Supply planning data'!$AN:$AN,'Supply planning data'!$D:$D,DataViz!$B26),SUMIFS('Supply planning data'!$AN:$AN,'Supply planning data'!$D:$D,DataViz!$B26,'Supply planning data'!$C:$C,DataViz!$A$1))</f>
        <v>5258747</v>
      </c>
      <c r="AO26" s="231" t="e">
        <f>IF($J26+K26+IF($A$1="All",SUMIFS('Supply planning data'!$AJ:$AJ,'Supply planning data'!$D:$D,DataViz!$B26),SUMIFS('Supply planning data'!$AJ:$AJ,'Supply planning data'!$D:$D,DataViz!$B26,'Supply planning data'!$C:$C,DataViz!$A$1))&lt;=0,NA(),$J26+K26+IF($A$1="All",SUMIFS('Supply planning data'!$AJ:$AJ,'Supply planning data'!$D:$D,DataViz!$B26),SUMIFS('Supply planning data'!$AJ:$AJ,'Supply planning data'!$D:$D,DataViz!$B26,'Supply planning data'!$C:$C,DataViz!$A$1)))</f>
        <v>#N/A</v>
      </c>
      <c r="AP26">
        <f>IF($A$1="All",SUMIFS('Supply planning data'!AM:AM,'Supply planning data'!$D:$D,DataViz!$B26),SUMIFS('Supply planning data'!AM:AM,'Supply planning data'!$D:$D,DataViz!$B26,'Supply planning data'!$C:$C,DataViz!$A$1))</f>
        <v>0</v>
      </c>
      <c r="AQ26" s="229">
        <f t="shared" si="6"/>
        <v>2.9492566666666668E-2</v>
      </c>
      <c r="AR26" s="230">
        <f>SUMIFS('Supply planning data'!AH:AH,'Supply planning data'!$D:$D,"&lt;="&amp;DataViz!$B25,'Supply planning data'!$C:$C,"Jansen")+(SUMIFS('Supply planning data'!AH:AH,'Supply planning data'!$D:$D,"&lt;="&amp;DataViz!$B25,'Supply planning data'!$C:$C,"&lt;&gt;Jansen")/2)+D26</f>
        <v>1769554</v>
      </c>
    </row>
    <row r="27" spans="1:44" x14ac:dyDescent="0.25">
      <c r="A27" s="20">
        <v>22</v>
      </c>
      <c r="B27" s="21">
        <f t="shared" si="9"/>
        <v>44927</v>
      </c>
      <c r="C27" s="22">
        <f>IF(VLOOKUP(Dashboard!$M$6,Start!$B$10:$E$12,4,FALSE)&gt;0,VLOOKUP(Dashboard!$M$6,Start!$B$10:$E$12,4, FALSE),VLOOKUP(Dashboard!$M$6,Start!$B$10:$E$12,3, FALSE))</f>
        <v>60000000</v>
      </c>
      <c r="D27" s="22">
        <f>IF($A$1="Jansen",SUMIFS('Supply planning data'!G:G,'Supply planning data'!$D:$D,"&lt;="&amp;DataViz!$B27,'Supply planning data'!$C:$C,"jansen"),IF($A$1="All",SUMIFS('Supply planning data'!H:H,'Supply planning data'!$D:$D,"&lt;="&amp;DataViz!$B27)+SUMIFS('Supply planning data'!G:G,'Supply planning data'!$D:$D,"&lt;="&amp;DataViz!$B27,'Supply planning data'!$C:$C,"Jansen"),SUMIFS('Supply planning data'!H:H,'Supply planning data'!$D:$D,"&lt;="&amp;DataViz!$B27,'Supply planning data'!$C:$C,DataViz!$A$1)))</f>
        <v>1769554</v>
      </c>
      <c r="E27" s="23">
        <f t="shared" si="7"/>
        <v>2.9492566666666668E-2</v>
      </c>
      <c r="F27" s="14">
        <f>IF($A$1="All",SUMIFS('Supply planning data'!F:F,'Supply planning data'!$D:$D,DataViz!$B27),SUMIFS('Supply planning data'!F:F,'Supply planning data'!$D:$D,DataViz!$B27,'Supply planning data'!$C:$C,DataViz!$A$1))</f>
        <v>5258747</v>
      </c>
      <c r="G27" s="14">
        <f>IF($A$1="All",SUMIFS('Supply planning data'!G:G,'Supply planning data'!$D:$D,DataViz!$B27),SUMIFS('Supply planning data'!G:G,'Supply planning data'!$D:$D,DataViz!$B27,'Supply planning data'!$C:$C,DataViz!$A$1))</f>
        <v>0</v>
      </c>
      <c r="H27" s="14">
        <f>IF($A$1="All",SUMIFS('Supply planning data'!H:H,'Supply planning data'!$D:$D,DataViz!$B27),SUMIFS('Supply planning data'!H:H,'Supply planning data'!$D:$D,DataViz!$B27,'Supply planning data'!$C:$C,DataViz!$A$1))</f>
        <v>0</v>
      </c>
      <c r="I27" s="14">
        <f>IF($A$1="All",SUMIFS('Supply planning data'!I:I,'Supply planning data'!$D:$D,DataViz!$B27),SUMIFS('Supply planning data'!I:I,'Supply planning data'!$D:$D,DataViz!$B27,'Supply planning data'!$C:$C,DataViz!$A$1))</f>
        <v>0</v>
      </c>
      <c r="J27" s="14">
        <f>IF($A$1="All",SUMIFS('Supply planning data'!J:J,'Supply planning data'!$D:$D,DataViz!$B27),SUMIFS('Supply planning data'!J:J,'Supply planning data'!$D:$D,DataViz!$B27,'Supply planning data'!$C:$C,DataViz!$A$1))</f>
        <v>0</v>
      </c>
      <c r="K27" s="14">
        <f>IF($A$1="All",SUMIFS('Supply planning data'!L:L,'Supply planning data'!$D:$D,DataViz!$B27),SUMIFS('Supply planning data'!L:L,'Supply planning data'!$D:$D,DataViz!$B27,'Supply planning data'!$C:$C,DataViz!$A$1))</f>
        <v>0</v>
      </c>
      <c r="L27" s="14">
        <f>IF($A$1="All",SUMIFS('Supply planning data'!K:K,'Supply planning data'!$D:$D,DataViz!$B27),SUMIFS('Supply planning data'!K:K,'Supply planning data'!$D:$D,DataViz!$B27,'Supply planning data'!$C:$C,DataViz!$A$1))</f>
        <v>0</v>
      </c>
      <c r="M27" s="14" t="e">
        <f>IF(IF($A$1="All",SUMIFS('Supply planning data'!M:M,'Supply planning data'!$D:$D,DataViz!$B27),SUMIFS('Supply planning data'!M:M,'Supply planning data'!$D:$D,DataViz!$B27,'Supply planning data'!$C:$C,DataViz!$A$1))&lt;=0,NA(),IF($A$1="All",SUMIFS('Supply planning data'!M:M,'Supply planning data'!$D:$D,DataViz!$B27),SUMIFS('Supply planning data'!M:M,'Supply planning data'!$D:$D,DataViz!$B27,'Supply planning data'!$C:$C,DataViz!$A$1)))</f>
        <v>#N/A</v>
      </c>
      <c r="N27" s="14">
        <f>IF($A$1="All",SUMIFS('Supply planning data'!N:N,'Supply planning data'!$D:$D,DataViz!$B27),SUMIFS('Supply planning data'!N:N,'Supply planning data'!$D:$D,DataViz!$B27,'Supply planning data'!$C:$C,DataViz!$A$1))+IF($A$1="All",SUMIFS('Supply planning data'!P:P,'Supply planning data'!$D:$D,DataViz!$B27),SUMIFS('Supply planning data'!P:P,'Supply planning data'!$D:$D,DataViz!$B27,'Supply planning data'!$C:$C,DataViz!$A$1))</f>
        <v>0</v>
      </c>
      <c r="O27" s="14">
        <f>IF($A$1="All",SUMIFS('Supply planning data'!R:R,'Supply planning data'!$D:$D,DataViz!$B27),SUMIFS('Supply planning data'!R:R,'Supply planning data'!$D:$D,DataViz!$B27,'Supply planning data'!$C:$C,DataViz!$A$1))</f>
        <v>0</v>
      </c>
      <c r="P27" s="14">
        <f>IF($A$1="All",SUMIFS('Supply planning data'!S:S,'Supply planning data'!$D:$D,DataViz!$B27),SUMIFS('Supply planning data'!S:S,'Supply planning data'!$D:$D,DataViz!$B27,'Supply planning data'!$C:$C,DataViz!$A$1))</f>
        <v>0</v>
      </c>
      <c r="Q27" s="14">
        <f>IF($A$1="All",SUMIFS('Supply planning data'!T:T,'Supply planning data'!$D:$D,DataViz!$B27),SUMIFS('Supply planning data'!T:T,'Supply planning data'!$D:$D,DataViz!$B27,'Supply planning data'!$C:$C,DataViz!$A$1))</f>
        <v>110538</v>
      </c>
      <c r="R27" s="14">
        <f>IF($A$1="All",SUMIFS('Supply planning data'!U:U,'Supply planning data'!$D:$D,DataViz!$B27),SUMIFS('Supply planning data'!U:U,'Supply planning data'!$D:$D,DataViz!$B27,'Supply planning data'!$C:$C,DataViz!$A$1))</f>
        <v>0</v>
      </c>
      <c r="S27" s="14">
        <f>IF($A$1="All",SUMIFS('Supply planning data'!V:V,'Supply planning data'!$D:$D,DataViz!$B27),SUMIFS('Supply planning data'!V:V,'Supply planning data'!$D:$D,DataViz!$B27,'Supply planning data'!$C:$C,DataViz!$A$1))</f>
        <v>5258747</v>
      </c>
      <c r="T27" s="14"/>
      <c r="U27" s="14">
        <f>IF($A$1="All",SUMIFS('Supply planning data'!Y:Y,'Supply planning data'!$D:$D,DataViz!$B27),SUMIFS('Supply planning data'!Y:Y,'Supply planning data'!$D:$D,DataViz!$B27,'Supply planning data'!$C:$C,DataViz!$A$1))</f>
        <v>0</v>
      </c>
      <c r="V27" s="14">
        <f t="shared" si="8"/>
        <v>1769554</v>
      </c>
      <c r="W27" s="350" t="e">
        <f t="shared" si="10"/>
        <v>#N/A</v>
      </c>
      <c r="Y27" s="14">
        <f>IF($A$1="All",SUMIFS('Supply planning data'!$X:$X,'Supply planning data'!$D:$D,DataViz!$B27),SUMIFS('Supply planning data'!$X:$X,'Supply planning data'!$D:$D,DataViz!$B27,'Supply planning data'!$C:$C,DataViz!$A$1))</f>
        <v>4293448</v>
      </c>
      <c r="Z27" s="14">
        <f>IF($A$1="All",SUMIFS('Supply planning data'!$AB:$AB,'Supply planning data'!$D:$D,DataViz!$B27),SUMIFS('Supply planning data'!$AB:$AB,'Supply planning data'!$D:$D,DataViz!$B27,'Supply planning data'!$C:$C,DataViz!$A$1))</f>
        <v>0</v>
      </c>
      <c r="AA27" s="14">
        <f>IF($A$1="All",SUMIFS('Supply planning data'!$Y:$Y,'Supply planning data'!$D:$D,DataViz!$B27),SUMIFS('Supply planning data'!$Y:$Y,'Supply planning data'!$D:$D,DataViz!$B27,'Supply planning data'!$C:$C,DataViz!$A$1))</f>
        <v>0</v>
      </c>
      <c r="AB27" s="14"/>
      <c r="AC27" s="14" t="e">
        <f>IF(IF($A$1="All",SUMIFS('Supply planning data'!$AA:$AA,'Supply planning data'!$D:$D,DataViz!$B27),SUMIFS('Supply planning data'!$AA:$AA,'Supply planning data'!$D:$D,DataViz!$B27,'Supply planning data'!$C:$C,DataViz!$A$1))&lt;=0,NA(),IF($A$1="All",SUMIFS('Supply planning data'!$AA:$AA,'Supply planning data'!$D:$D,DataViz!$B27),SUMIFS('Supply planning data'!$AA:$AA,'Supply planning data'!$D:$D,DataViz!$B27,'Supply planning data'!$C:$C,DataViz!$A$1)))</f>
        <v>#N/A</v>
      </c>
      <c r="AD27" s="14">
        <f>IF($A$1="All",SUMIFS('Supply planning data'!$AE:$AE,'Supply planning data'!$D:$D,DataViz!$B27),SUMIFS('Supply planning data'!$AE:$AE,'Supply planning data'!$D:$D,DataViz!$B27,'Supply planning data'!$C:$C,DataViz!$A$1))</f>
        <v>4293448</v>
      </c>
      <c r="AE27" s="18" t="e">
        <f>IF($J27+K27+IF($A$1="All",SUMIFS('Supply planning data'!$AJ:$AJ,'Supply planning data'!$D:$D,DataViz!$B27),SUMIFS('Supply planning data'!$AJ:$AJ,'Supply planning data'!$D:$D,DataViz!$B27,'Supply planning data'!$C:$C,DataViz!$A$1))&lt;=0,NA(),$J27+K27+IF($A$1="All",SUMIFS('Supply planning data'!$AJ:$AJ,'Supply planning data'!$D:$D,DataViz!$B27),SUMIFS('Supply planning data'!$AJ:$AJ,'Supply planning data'!$D:$D,DataViz!$B27,'Supply planning data'!$C:$C,DataViz!$A$1)))</f>
        <v>#N/A</v>
      </c>
      <c r="AF27">
        <f>IF($A$1="All",SUMIFS('Supply planning data'!AD:AD,'Supply planning data'!$D:$D,DataViz!$B27),SUMIFS('Supply planning data'!AD:AD,'Supply planning data'!$D:$D,DataViz!$B27,'Supply planning data'!$C:$C,DataViz!$A$1))</f>
        <v>0</v>
      </c>
      <c r="AG27" s="229">
        <f t="shared" si="5"/>
        <v>5.7492566666666668E-2</v>
      </c>
      <c r="AH27" s="230">
        <f>SUMIFS('Supply planning data'!Y:Y,'Supply planning data'!$D:$D,"&lt;="&amp;DataViz!$B26,'Supply planning data'!$C:$C,"Jansen")+(SUMIFS('Supply planning data'!Y:Y,'Supply planning data'!$D:$D,"&lt;="&amp;DataViz!$B26,'Supply planning data'!$C:$C,"&lt;&gt;Jansen")/2)+D27</f>
        <v>3449554</v>
      </c>
      <c r="AI27" s="230">
        <f>IF($A$1="All",SUMIFS('Supply planning data'!$AG:$AG,'Supply planning data'!$D:$D,DataViz!$B27),SUMIFS('Supply planning data'!$AG:$AG,'Supply planning data'!$D:$D,DataViz!$B27,'Supply planning data'!$C:$C,DataViz!$A$1))</f>
        <v>5258747</v>
      </c>
      <c r="AJ27" s="230">
        <f>IF($A$1="All",SUMIFS('Supply planning data'!$AK:$AK,'Supply planning data'!$D:$D,DataViz!$B27),SUMIFS('Supply planning data'!$AK:$AK,'Supply planning data'!$D:$D,DataViz!$B27,'Supply planning data'!$C:$C,DataViz!$A$1))</f>
        <v>0</v>
      </c>
      <c r="AK27" s="230">
        <f>IF($A$1="All",SUMIFS('Supply planning data'!$AH:$AH,'Supply planning data'!$D:$D,DataViz!$B27),SUMIFS('Supply planning data'!$AH:$AH,'Supply planning data'!$D:$D,DataViz!$B27,'Supply planning data'!$C:$C,DataViz!$A$1))</f>
        <v>0</v>
      </c>
      <c r="AL27" s="230"/>
      <c r="AM27" s="230" t="e">
        <f>IF(IF($A$1="All",SUMIFS('Supply planning data'!$AJ:$AJ,'Supply planning data'!$D:$D,DataViz!$B27),SUMIFS('Supply planning data'!$AJ:$AJ,'Supply planning data'!$D:$D,DataViz!$B27,'Supply planning data'!$C:$C,DataViz!$A$1))&lt;=0,NA(),IF($A$1="All",SUMIFS('Supply planning data'!$AJ:$AJ,'Supply planning data'!$D:$D,DataViz!$B27),SUMIFS('Supply planning data'!$AJ:$AJ,'Supply planning data'!$D:$D,DataViz!$B27,'Supply planning data'!$C:$C,DataViz!$A$1)))</f>
        <v>#N/A</v>
      </c>
      <c r="AN27" s="230">
        <f>IF($A$1="All",SUMIFS('Supply planning data'!$AN:$AN,'Supply planning data'!$D:$D,DataViz!$B27),SUMIFS('Supply planning data'!$AN:$AN,'Supply planning data'!$D:$D,DataViz!$B27,'Supply planning data'!$C:$C,DataViz!$A$1))</f>
        <v>5258747</v>
      </c>
      <c r="AO27" s="231" t="e">
        <f>IF($J27+K27+IF($A$1="All",SUMIFS('Supply planning data'!$AJ:$AJ,'Supply planning data'!$D:$D,DataViz!$B27),SUMIFS('Supply planning data'!$AJ:$AJ,'Supply planning data'!$D:$D,DataViz!$B27,'Supply planning data'!$C:$C,DataViz!$A$1))&lt;=0,NA(),$J27+K27+IF($A$1="All",SUMIFS('Supply planning data'!$AJ:$AJ,'Supply planning data'!$D:$D,DataViz!$B27),SUMIFS('Supply planning data'!$AJ:$AJ,'Supply planning data'!$D:$D,DataViz!$B27,'Supply planning data'!$C:$C,DataViz!$A$1)))</f>
        <v>#N/A</v>
      </c>
      <c r="AP27">
        <f>IF($A$1="All",SUMIFS('Supply planning data'!AM:AM,'Supply planning data'!$D:$D,DataViz!$B27),SUMIFS('Supply planning data'!AM:AM,'Supply planning data'!$D:$D,DataViz!$B27,'Supply planning data'!$C:$C,DataViz!$A$1))</f>
        <v>0</v>
      </c>
      <c r="AQ27" s="229">
        <f t="shared" si="6"/>
        <v>2.9492566666666668E-2</v>
      </c>
      <c r="AR27" s="230">
        <f>SUMIFS('Supply planning data'!AH:AH,'Supply planning data'!$D:$D,"&lt;="&amp;DataViz!$B26,'Supply planning data'!$C:$C,"Jansen")+(SUMIFS('Supply planning data'!AH:AH,'Supply planning data'!$D:$D,"&lt;="&amp;DataViz!$B26,'Supply planning data'!$C:$C,"&lt;&gt;Jansen")/2)+D27</f>
        <v>1769554</v>
      </c>
    </row>
    <row r="28" spans="1:44" x14ac:dyDescent="0.25">
      <c r="A28" s="20">
        <v>23</v>
      </c>
      <c r="B28" s="21">
        <f t="shared" si="9"/>
        <v>44958</v>
      </c>
      <c r="C28" s="22">
        <f>IF(VLOOKUP(Dashboard!$M$6,Start!$B$10:$E$12,4,FALSE)&gt;0,VLOOKUP(Dashboard!$M$6,Start!$B$10:$E$12,4, FALSE),VLOOKUP(Dashboard!$M$6,Start!$B$10:$E$12,3, FALSE))</f>
        <v>60000000</v>
      </c>
      <c r="D28" s="22">
        <f>IF($A$1="Jansen",SUMIFS('Supply planning data'!G:G,'Supply planning data'!$D:$D,"&lt;="&amp;DataViz!$B28,'Supply planning data'!$C:$C,"jansen"),IF($A$1="All",SUMIFS('Supply planning data'!H:H,'Supply planning data'!$D:$D,"&lt;="&amp;DataViz!$B28)+SUMIFS('Supply planning data'!G:G,'Supply planning data'!$D:$D,"&lt;="&amp;DataViz!$B28,'Supply planning data'!$C:$C,"Jansen"),SUMIFS('Supply planning data'!H:H,'Supply planning data'!$D:$D,"&lt;="&amp;DataViz!$B28,'Supply planning data'!$C:$C,DataViz!$A$1)))</f>
        <v>1769554</v>
      </c>
      <c r="E28" s="23">
        <f t="shared" si="7"/>
        <v>2.9492566666666668E-2</v>
      </c>
      <c r="F28" s="14">
        <f>IF($A$1="All",SUMIFS('Supply planning data'!F:F,'Supply planning data'!$D:$D,DataViz!$B28),SUMIFS('Supply planning data'!F:F,'Supply planning data'!$D:$D,DataViz!$B28,'Supply planning data'!$C:$C,DataViz!$A$1))</f>
        <v>5258747</v>
      </c>
      <c r="G28" s="14">
        <f>IF($A$1="All",SUMIFS('Supply planning data'!G:G,'Supply planning data'!$D:$D,DataViz!$B28),SUMIFS('Supply planning data'!G:G,'Supply planning data'!$D:$D,DataViz!$B28,'Supply planning data'!$C:$C,DataViz!$A$1))</f>
        <v>0</v>
      </c>
      <c r="H28" s="14">
        <f>IF($A$1="All",SUMIFS('Supply planning data'!H:H,'Supply planning data'!$D:$D,DataViz!$B28),SUMIFS('Supply planning data'!H:H,'Supply planning data'!$D:$D,DataViz!$B28,'Supply planning data'!$C:$C,DataViz!$A$1))</f>
        <v>0</v>
      </c>
      <c r="I28" s="14">
        <f>IF($A$1="All",SUMIFS('Supply planning data'!I:I,'Supply planning data'!$D:$D,DataViz!$B28),SUMIFS('Supply planning data'!I:I,'Supply planning data'!$D:$D,DataViz!$B28,'Supply planning data'!$C:$C,DataViz!$A$1))</f>
        <v>0</v>
      </c>
      <c r="J28" s="14">
        <f>IF($A$1="All",SUMIFS('Supply planning data'!J:J,'Supply planning data'!$D:$D,DataViz!$B28),SUMIFS('Supply planning data'!J:J,'Supply planning data'!$D:$D,DataViz!$B28,'Supply planning data'!$C:$C,DataViz!$A$1))</f>
        <v>0</v>
      </c>
      <c r="K28" s="14">
        <f>IF($A$1="All",SUMIFS('Supply planning data'!L:L,'Supply planning data'!$D:$D,DataViz!$B28),SUMIFS('Supply planning data'!L:L,'Supply planning data'!$D:$D,DataViz!$B28,'Supply planning data'!$C:$C,DataViz!$A$1))</f>
        <v>0</v>
      </c>
      <c r="L28" s="14">
        <f>IF($A$1="All",SUMIFS('Supply planning data'!K:K,'Supply planning data'!$D:$D,DataViz!$B28),SUMIFS('Supply planning data'!K:K,'Supply planning data'!$D:$D,DataViz!$B28,'Supply planning data'!$C:$C,DataViz!$A$1))</f>
        <v>0</v>
      </c>
      <c r="M28" s="14" t="e">
        <f>IF(IF($A$1="All",SUMIFS('Supply planning data'!M:M,'Supply planning data'!$D:$D,DataViz!$B28),SUMIFS('Supply planning data'!M:M,'Supply planning data'!$D:$D,DataViz!$B28,'Supply planning data'!$C:$C,DataViz!$A$1))&lt;=0,NA(),IF($A$1="All",SUMIFS('Supply planning data'!M:M,'Supply planning data'!$D:$D,DataViz!$B28),SUMIFS('Supply planning data'!M:M,'Supply planning data'!$D:$D,DataViz!$B28,'Supply planning data'!$C:$C,DataViz!$A$1)))</f>
        <v>#N/A</v>
      </c>
      <c r="N28" s="14">
        <f>IF($A$1="All",SUMIFS('Supply planning data'!N:N,'Supply planning data'!$D:$D,DataViz!$B28),SUMIFS('Supply planning data'!N:N,'Supply planning data'!$D:$D,DataViz!$B28,'Supply planning data'!$C:$C,DataViz!$A$1))+IF($A$1="All",SUMIFS('Supply planning data'!P:P,'Supply planning data'!$D:$D,DataViz!$B28),SUMIFS('Supply planning data'!P:P,'Supply planning data'!$D:$D,DataViz!$B28,'Supply planning data'!$C:$C,DataViz!$A$1))</f>
        <v>0</v>
      </c>
      <c r="O28" s="14">
        <f>IF($A$1="All",SUMIFS('Supply planning data'!R:R,'Supply planning data'!$D:$D,DataViz!$B28),SUMIFS('Supply planning data'!R:R,'Supply planning data'!$D:$D,DataViz!$B28,'Supply planning data'!$C:$C,DataViz!$A$1))</f>
        <v>0</v>
      </c>
      <c r="P28" s="14">
        <f>IF($A$1="All",SUMIFS('Supply planning data'!S:S,'Supply planning data'!$D:$D,DataViz!$B28),SUMIFS('Supply planning data'!S:S,'Supply planning data'!$D:$D,DataViz!$B28,'Supply planning data'!$C:$C,DataViz!$A$1))</f>
        <v>0</v>
      </c>
      <c r="Q28" s="14">
        <f>IF($A$1="All",SUMIFS('Supply planning data'!T:T,'Supply planning data'!$D:$D,DataViz!$B28),SUMIFS('Supply planning data'!T:T,'Supply planning data'!$D:$D,DataViz!$B28,'Supply planning data'!$C:$C,DataViz!$A$1))</f>
        <v>110538</v>
      </c>
      <c r="R28" s="14">
        <f>IF($A$1="All",SUMIFS('Supply planning data'!U:U,'Supply planning data'!$D:$D,DataViz!$B28),SUMIFS('Supply planning data'!U:U,'Supply planning data'!$D:$D,DataViz!$B28,'Supply planning data'!$C:$C,DataViz!$A$1))</f>
        <v>0</v>
      </c>
      <c r="S28" s="14">
        <f>IF($A$1="All",SUMIFS('Supply planning data'!V:V,'Supply planning data'!$D:$D,DataViz!$B28),SUMIFS('Supply planning data'!V:V,'Supply planning data'!$D:$D,DataViz!$B28,'Supply planning data'!$C:$C,DataViz!$A$1))</f>
        <v>5258747</v>
      </c>
      <c r="T28" s="14"/>
      <c r="U28" s="14">
        <f>IF($A$1="All",SUMIFS('Supply planning data'!Y:Y,'Supply planning data'!$D:$D,DataViz!$B28),SUMIFS('Supply planning data'!Y:Y,'Supply planning data'!$D:$D,DataViz!$B28,'Supply planning data'!$C:$C,DataViz!$A$1))</f>
        <v>0</v>
      </c>
      <c r="V28" s="14">
        <f t="shared" si="8"/>
        <v>1769554</v>
      </c>
      <c r="W28" s="350" t="e">
        <f t="shared" si="10"/>
        <v>#N/A</v>
      </c>
      <c r="Y28" s="14">
        <f>IF($A$1="All",SUMIFS('Supply planning data'!$X:$X,'Supply planning data'!$D:$D,DataViz!$B28),SUMIFS('Supply planning data'!$X:$X,'Supply planning data'!$D:$D,DataViz!$B28,'Supply planning data'!$C:$C,DataViz!$A$1))</f>
        <v>4293448</v>
      </c>
      <c r="Z28" s="14">
        <f>IF($A$1="All",SUMIFS('Supply planning data'!$AB:$AB,'Supply planning data'!$D:$D,DataViz!$B28),SUMIFS('Supply planning data'!$AB:$AB,'Supply planning data'!$D:$D,DataViz!$B28,'Supply planning data'!$C:$C,DataViz!$A$1))</f>
        <v>0</v>
      </c>
      <c r="AA28" s="14">
        <f>IF($A$1="All",SUMIFS('Supply planning data'!$Y:$Y,'Supply planning data'!$D:$D,DataViz!$B28),SUMIFS('Supply planning data'!$Y:$Y,'Supply planning data'!$D:$D,DataViz!$B28,'Supply planning data'!$C:$C,DataViz!$A$1))</f>
        <v>0</v>
      </c>
      <c r="AB28" s="14"/>
      <c r="AC28" s="14" t="e">
        <f>IF(IF($A$1="All",SUMIFS('Supply planning data'!$AA:$AA,'Supply planning data'!$D:$D,DataViz!$B28),SUMIFS('Supply planning data'!$AA:$AA,'Supply planning data'!$D:$D,DataViz!$B28,'Supply planning data'!$C:$C,DataViz!$A$1))&lt;=0,NA(),IF($A$1="All",SUMIFS('Supply planning data'!$AA:$AA,'Supply planning data'!$D:$D,DataViz!$B28),SUMIFS('Supply planning data'!$AA:$AA,'Supply planning data'!$D:$D,DataViz!$B28,'Supply planning data'!$C:$C,DataViz!$A$1)))</f>
        <v>#N/A</v>
      </c>
      <c r="AD28" s="14">
        <f>IF($A$1="All",SUMIFS('Supply planning data'!$AE:$AE,'Supply planning data'!$D:$D,DataViz!$B28),SUMIFS('Supply planning data'!$AE:$AE,'Supply planning data'!$D:$D,DataViz!$B28,'Supply planning data'!$C:$C,DataViz!$A$1))</f>
        <v>4293448</v>
      </c>
      <c r="AE28" s="18" t="e">
        <f>IF($J28+K28+IF($A$1="All",SUMIFS('Supply planning data'!$AJ:$AJ,'Supply planning data'!$D:$D,DataViz!$B28),SUMIFS('Supply planning data'!$AJ:$AJ,'Supply planning data'!$D:$D,DataViz!$B28,'Supply planning data'!$C:$C,DataViz!$A$1))&lt;=0,NA(),$J28+K28+IF($A$1="All",SUMIFS('Supply planning data'!$AJ:$AJ,'Supply planning data'!$D:$D,DataViz!$B28),SUMIFS('Supply planning data'!$AJ:$AJ,'Supply planning data'!$D:$D,DataViz!$B28,'Supply planning data'!$C:$C,DataViz!$A$1)))</f>
        <v>#N/A</v>
      </c>
      <c r="AF28">
        <f>IF($A$1="All",SUMIFS('Supply planning data'!AD:AD,'Supply planning data'!$D:$D,DataViz!$B28),SUMIFS('Supply planning data'!AD:AD,'Supply planning data'!$D:$D,DataViz!$B28,'Supply planning data'!$C:$C,DataViz!$A$1))</f>
        <v>0</v>
      </c>
      <c r="AG28" s="229">
        <f t="shared" si="5"/>
        <v>5.7492566666666668E-2</v>
      </c>
      <c r="AH28" s="230">
        <f>SUMIFS('Supply planning data'!Y:Y,'Supply planning data'!$D:$D,"&lt;="&amp;DataViz!$B27,'Supply planning data'!$C:$C,"Jansen")+(SUMIFS('Supply planning data'!Y:Y,'Supply planning data'!$D:$D,"&lt;="&amp;DataViz!$B27,'Supply planning data'!$C:$C,"&lt;&gt;Jansen")/2)+D28</f>
        <v>3449554</v>
      </c>
      <c r="AI28" s="230">
        <f>IF($A$1="All",SUMIFS('Supply planning data'!$AG:$AG,'Supply planning data'!$D:$D,DataViz!$B28),SUMIFS('Supply planning data'!$AG:$AG,'Supply planning data'!$D:$D,DataViz!$B28,'Supply planning data'!$C:$C,DataViz!$A$1))</f>
        <v>5258747</v>
      </c>
      <c r="AJ28" s="230">
        <f>IF($A$1="All",SUMIFS('Supply planning data'!$AK:$AK,'Supply planning data'!$D:$D,DataViz!$B28),SUMIFS('Supply planning data'!$AK:$AK,'Supply planning data'!$D:$D,DataViz!$B28,'Supply planning data'!$C:$C,DataViz!$A$1))</f>
        <v>0</v>
      </c>
      <c r="AK28" s="230">
        <f>IF($A$1="All",SUMIFS('Supply planning data'!$AH:$AH,'Supply planning data'!$D:$D,DataViz!$B28),SUMIFS('Supply planning data'!$AH:$AH,'Supply planning data'!$D:$D,DataViz!$B28,'Supply planning data'!$C:$C,DataViz!$A$1))</f>
        <v>0</v>
      </c>
      <c r="AL28" s="230"/>
      <c r="AM28" s="230" t="e">
        <f>IF(IF($A$1="All",SUMIFS('Supply planning data'!$AJ:$AJ,'Supply planning data'!$D:$D,DataViz!$B28),SUMIFS('Supply planning data'!$AJ:$AJ,'Supply planning data'!$D:$D,DataViz!$B28,'Supply planning data'!$C:$C,DataViz!$A$1))&lt;=0,NA(),IF($A$1="All",SUMIFS('Supply planning data'!$AJ:$AJ,'Supply planning data'!$D:$D,DataViz!$B28),SUMIFS('Supply planning data'!$AJ:$AJ,'Supply planning data'!$D:$D,DataViz!$B28,'Supply planning data'!$C:$C,DataViz!$A$1)))</f>
        <v>#N/A</v>
      </c>
      <c r="AN28" s="230">
        <f>IF($A$1="All",SUMIFS('Supply planning data'!$AN:$AN,'Supply planning data'!$D:$D,DataViz!$B28),SUMIFS('Supply planning data'!$AN:$AN,'Supply planning data'!$D:$D,DataViz!$B28,'Supply planning data'!$C:$C,DataViz!$A$1))</f>
        <v>5258747</v>
      </c>
      <c r="AO28" s="231" t="e">
        <f>IF($J28+K28+IF($A$1="All",SUMIFS('Supply planning data'!$AJ:$AJ,'Supply planning data'!$D:$D,DataViz!$B28),SUMIFS('Supply planning data'!$AJ:$AJ,'Supply planning data'!$D:$D,DataViz!$B28,'Supply planning data'!$C:$C,DataViz!$A$1))&lt;=0,NA(),$J28+K28+IF($A$1="All",SUMIFS('Supply planning data'!$AJ:$AJ,'Supply planning data'!$D:$D,DataViz!$B28),SUMIFS('Supply planning data'!$AJ:$AJ,'Supply planning data'!$D:$D,DataViz!$B28,'Supply planning data'!$C:$C,DataViz!$A$1)))</f>
        <v>#N/A</v>
      </c>
      <c r="AP28">
        <f>IF($A$1="All",SUMIFS('Supply planning data'!AM:AM,'Supply planning data'!$D:$D,DataViz!$B28),SUMIFS('Supply planning data'!AM:AM,'Supply planning data'!$D:$D,DataViz!$B28,'Supply planning data'!$C:$C,DataViz!$A$1))</f>
        <v>0</v>
      </c>
      <c r="AQ28" s="229">
        <f t="shared" si="6"/>
        <v>2.9492566666666668E-2</v>
      </c>
      <c r="AR28" s="230">
        <f>SUMIFS('Supply planning data'!AH:AH,'Supply planning data'!$D:$D,"&lt;="&amp;DataViz!$B27,'Supply planning data'!$C:$C,"Jansen")+(SUMIFS('Supply planning data'!AH:AH,'Supply planning data'!$D:$D,"&lt;="&amp;DataViz!$B27,'Supply planning data'!$C:$C,"&lt;&gt;Jansen")/2)+D28</f>
        <v>1769554</v>
      </c>
    </row>
    <row r="29" spans="1:44" x14ac:dyDescent="0.25">
      <c r="A29" s="20">
        <v>24</v>
      </c>
      <c r="B29" s="21">
        <f t="shared" si="9"/>
        <v>44986</v>
      </c>
      <c r="C29" s="22">
        <f>IF(VLOOKUP(Dashboard!$M$6,Start!$B$10:$E$12,4,FALSE)&gt;0,VLOOKUP(Dashboard!$M$6,Start!$B$10:$E$12,4, FALSE),VLOOKUP(Dashboard!$M$6,Start!$B$10:$E$12,3, FALSE))</f>
        <v>60000000</v>
      </c>
      <c r="D29" s="22">
        <f>IF($A$1="Jansen",SUMIFS('Supply planning data'!G:G,'Supply planning data'!$D:$D,"&lt;="&amp;DataViz!$B29,'Supply planning data'!$C:$C,"jansen"),IF($A$1="All",SUMIFS('Supply planning data'!H:H,'Supply planning data'!$D:$D,"&lt;="&amp;DataViz!$B29)+SUMIFS('Supply planning data'!G:G,'Supply planning data'!$D:$D,"&lt;="&amp;DataViz!$B29,'Supply planning data'!$C:$C,"Jansen"),SUMIFS('Supply planning data'!H:H,'Supply planning data'!$D:$D,"&lt;="&amp;DataViz!$B29,'Supply planning data'!$C:$C,DataViz!$A$1)))</f>
        <v>1769554</v>
      </c>
      <c r="E29" s="23">
        <f t="shared" si="7"/>
        <v>2.9492566666666668E-2</v>
      </c>
      <c r="F29" s="14">
        <f>IF($A$1="All",SUMIFS('Supply planning data'!F:F,'Supply planning data'!$D:$D,DataViz!$B29),SUMIFS('Supply planning data'!F:F,'Supply planning data'!$D:$D,DataViz!$B29,'Supply planning data'!$C:$C,DataViz!$A$1))</f>
        <v>5258747</v>
      </c>
      <c r="G29" s="14">
        <f>IF($A$1="All",SUMIFS('Supply planning data'!G:G,'Supply planning data'!$D:$D,DataViz!$B29),SUMIFS('Supply planning data'!G:G,'Supply planning data'!$D:$D,DataViz!$B29,'Supply planning data'!$C:$C,DataViz!$A$1))</f>
        <v>0</v>
      </c>
      <c r="H29" s="14">
        <f>IF($A$1="All",SUMIFS('Supply planning data'!H:H,'Supply planning data'!$D:$D,DataViz!$B29),SUMIFS('Supply planning data'!H:H,'Supply planning data'!$D:$D,DataViz!$B29,'Supply planning data'!$C:$C,DataViz!$A$1))</f>
        <v>0</v>
      </c>
      <c r="I29" s="14">
        <f>IF($A$1="All",SUMIFS('Supply planning data'!I:I,'Supply planning data'!$D:$D,DataViz!$B29),SUMIFS('Supply planning data'!I:I,'Supply planning data'!$D:$D,DataViz!$B29,'Supply planning data'!$C:$C,DataViz!$A$1))</f>
        <v>0</v>
      </c>
      <c r="J29" s="14">
        <f>IF($A$1="All",SUMIFS('Supply planning data'!J:J,'Supply planning data'!$D:$D,DataViz!$B29),SUMIFS('Supply planning data'!J:J,'Supply planning data'!$D:$D,DataViz!$B29,'Supply planning data'!$C:$C,DataViz!$A$1))</f>
        <v>0</v>
      </c>
      <c r="K29" s="14">
        <f>IF($A$1="All",SUMIFS('Supply planning data'!L:L,'Supply planning data'!$D:$D,DataViz!$B29),SUMIFS('Supply planning data'!L:L,'Supply planning data'!$D:$D,DataViz!$B29,'Supply planning data'!$C:$C,DataViz!$A$1))</f>
        <v>0</v>
      </c>
      <c r="L29" s="14">
        <f>IF($A$1="All",SUMIFS('Supply planning data'!K:K,'Supply planning data'!$D:$D,DataViz!$B29),SUMIFS('Supply planning data'!K:K,'Supply planning data'!$D:$D,DataViz!$B29,'Supply planning data'!$C:$C,DataViz!$A$1))</f>
        <v>0</v>
      </c>
      <c r="M29" s="14" t="e">
        <f>IF(IF($A$1="All",SUMIFS('Supply planning data'!M:M,'Supply planning data'!$D:$D,DataViz!$B29),SUMIFS('Supply planning data'!M:M,'Supply planning data'!$D:$D,DataViz!$B29,'Supply planning data'!$C:$C,DataViz!$A$1))&lt;=0,NA(),IF($A$1="All",SUMIFS('Supply planning data'!M:M,'Supply planning data'!$D:$D,DataViz!$B29),SUMIFS('Supply planning data'!M:M,'Supply planning data'!$D:$D,DataViz!$B29,'Supply planning data'!$C:$C,DataViz!$A$1)))</f>
        <v>#N/A</v>
      </c>
      <c r="N29" s="14">
        <f>IF($A$1="All",SUMIFS('Supply planning data'!N:N,'Supply planning data'!$D:$D,DataViz!$B29),SUMIFS('Supply planning data'!N:N,'Supply planning data'!$D:$D,DataViz!$B29,'Supply planning data'!$C:$C,DataViz!$A$1))+IF($A$1="All",SUMIFS('Supply planning data'!P:P,'Supply planning data'!$D:$D,DataViz!$B29),SUMIFS('Supply planning data'!P:P,'Supply planning data'!$D:$D,DataViz!$B29,'Supply planning data'!$C:$C,DataViz!$A$1))</f>
        <v>0</v>
      </c>
      <c r="O29" s="14">
        <f>IF($A$1="All",SUMIFS('Supply planning data'!R:R,'Supply planning data'!$D:$D,DataViz!$B29),SUMIFS('Supply planning data'!R:R,'Supply planning data'!$D:$D,DataViz!$B29,'Supply planning data'!$C:$C,DataViz!$A$1))</f>
        <v>0</v>
      </c>
      <c r="P29" s="14">
        <f>IF($A$1="All",SUMIFS('Supply planning data'!S:S,'Supply planning data'!$D:$D,DataViz!$B29),SUMIFS('Supply planning data'!S:S,'Supply planning data'!$D:$D,DataViz!$B29,'Supply planning data'!$C:$C,DataViz!$A$1))</f>
        <v>0</v>
      </c>
      <c r="Q29" s="14">
        <f>IF($A$1="All",SUMIFS('Supply planning data'!T:T,'Supply planning data'!$D:$D,DataViz!$B29),SUMIFS('Supply planning data'!T:T,'Supply planning data'!$D:$D,DataViz!$B29,'Supply planning data'!$C:$C,DataViz!$A$1))</f>
        <v>110538</v>
      </c>
      <c r="R29" s="14">
        <f>IF($A$1="All",SUMIFS('Supply planning data'!U:U,'Supply planning data'!$D:$D,DataViz!$B29),SUMIFS('Supply planning data'!U:U,'Supply planning data'!$D:$D,DataViz!$B29,'Supply planning data'!$C:$C,DataViz!$A$1))</f>
        <v>0</v>
      </c>
      <c r="S29" s="14">
        <f>IF($A$1="All",SUMIFS('Supply planning data'!V:V,'Supply planning data'!$D:$D,DataViz!$B29),SUMIFS('Supply planning data'!V:V,'Supply planning data'!$D:$D,DataViz!$B29,'Supply planning data'!$C:$C,DataViz!$A$1))</f>
        <v>5258747</v>
      </c>
      <c r="T29" s="14"/>
      <c r="U29" s="14">
        <f>IF($A$1="All",SUMIFS('Supply planning data'!Y:Y,'Supply planning data'!$D:$D,DataViz!$B29),SUMIFS('Supply planning data'!Y:Y,'Supply planning data'!$D:$D,DataViz!$B29,'Supply planning data'!$C:$C,DataViz!$A$1))</f>
        <v>0</v>
      </c>
      <c r="V29" s="14">
        <f t="shared" si="8"/>
        <v>1769554</v>
      </c>
      <c r="W29" s="350" t="e">
        <f t="shared" si="10"/>
        <v>#N/A</v>
      </c>
      <c r="Y29" s="14">
        <f>IF($A$1="All",SUMIFS('Supply planning data'!$X:$X,'Supply planning data'!$D:$D,DataViz!$B29),SUMIFS('Supply planning data'!$X:$X,'Supply planning data'!$D:$D,DataViz!$B29,'Supply planning data'!$C:$C,DataViz!$A$1))</f>
        <v>4293448</v>
      </c>
      <c r="Z29" s="14">
        <f>IF($A$1="All",SUMIFS('Supply planning data'!$AB:$AB,'Supply planning data'!$D:$D,DataViz!$B29),SUMIFS('Supply planning data'!$AB:$AB,'Supply planning data'!$D:$D,DataViz!$B29,'Supply planning data'!$C:$C,DataViz!$A$1))</f>
        <v>0</v>
      </c>
      <c r="AA29" s="14">
        <f>IF($A$1="All",SUMIFS('Supply planning data'!$Y:$Y,'Supply planning data'!$D:$D,DataViz!$B29),SUMIFS('Supply planning data'!$Y:$Y,'Supply planning data'!$D:$D,DataViz!$B29,'Supply planning data'!$C:$C,DataViz!$A$1))</f>
        <v>0</v>
      </c>
      <c r="AB29" s="14"/>
      <c r="AC29" s="14" t="e">
        <f>IF(IF($A$1="All",SUMIFS('Supply planning data'!$AA:$AA,'Supply planning data'!$D:$D,DataViz!$B29),SUMIFS('Supply planning data'!$AA:$AA,'Supply planning data'!$D:$D,DataViz!$B29,'Supply planning data'!$C:$C,DataViz!$A$1))&lt;=0,NA(),IF($A$1="All",SUMIFS('Supply planning data'!$AA:$AA,'Supply planning data'!$D:$D,DataViz!$B29),SUMIFS('Supply planning data'!$AA:$AA,'Supply planning data'!$D:$D,DataViz!$B29,'Supply planning data'!$C:$C,DataViz!$A$1)))</f>
        <v>#N/A</v>
      </c>
      <c r="AD29" s="14">
        <f>IF($A$1="All",SUMIFS('Supply planning data'!$AE:$AE,'Supply planning data'!$D:$D,DataViz!$B29),SUMIFS('Supply planning data'!$AE:$AE,'Supply planning data'!$D:$D,DataViz!$B29,'Supply planning data'!$C:$C,DataViz!$A$1))</f>
        <v>4293448</v>
      </c>
      <c r="AE29" s="18" t="e">
        <f>IF($J29+K29+IF($A$1="All",SUMIFS('Supply planning data'!$AJ:$AJ,'Supply planning data'!$D:$D,DataViz!$B29),SUMIFS('Supply planning data'!$AJ:$AJ,'Supply planning data'!$D:$D,DataViz!$B29,'Supply planning data'!$C:$C,DataViz!$A$1))&lt;=0,NA(),$J29+K29+IF($A$1="All",SUMIFS('Supply planning data'!$AJ:$AJ,'Supply planning data'!$D:$D,DataViz!$B29),SUMIFS('Supply planning data'!$AJ:$AJ,'Supply planning data'!$D:$D,DataViz!$B29,'Supply planning data'!$C:$C,DataViz!$A$1)))</f>
        <v>#N/A</v>
      </c>
      <c r="AF29">
        <f>IF($A$1="All",SUMIFS('Supply planning data'!AD:AD,'Supply planning data'!$D:$D,DataViz!$B29),SUMIFS('Supply planning data'!AD:AD,'Supply planning data'!$D:$D,DataViz!$B29,'Supply planning data'!$C:$C,DataViz!$A$1))</f>
        <v>0</v>
      </c>
      <c r="AG29" s="229">
        <f t="shared" si="5"/>
        <v>5.7492566666666668E-2</v>
      </c>
      <c r="AH29" s="230">
        <f>SUMIFS('Supply planning data'!Y:Y,'Supply planning data'!$D:$D,"&lt;="&amp;DataViz!$B28,'Supply planning data'!$C:$C,"Jansen")+(SUMIFS('Supply planning data'!Y:Y,'Supply planning data'!$D:$D,"&lt;="&amp;DataViz!$B28,'Supply planning data'!$C:$C,"&lt;&gt;Jansen")/2)+D29</f>
        <v>3449554</v>
      </c>
      <c r="AI29" s="230">
        <f>IF($A$1="All",SUMIFS('Supply planning data'!$AG:$AG,'Supply planning data'!$D:$D,DataViz!$B29),SUMIFS('Supply planning data'!$AG:$AG,'Supply planning data'!$D:$D,DataViz!$B29,'Supply planning data'!$C:$C,DataViz!$A$1))</f>
        <v>5258747</v>
      </c>
      <c r="AJ29" s="230">
        <f>IF($A$1="All",SUMIFS('Supply planning data'!$AK:$AK,'Supply planning data'!$D:$D,DataViz!$B29),SUMIFS('Supply planning data'!$AK:$AK,'Supply planning data'!$D:$D,DataViz!$B29,'Supply planning data'!$C:$C,DataViz!$A$1))</f>
        <v>0</v>
      </c>
      <c r="AK29" s="230">
        <f>IF($A$1="All",SUMIFS('Supply planning data'!$AH:$AH,'Supply planning data'!$D:$D,DataViz!$B29),SUMIFS('Supply planning data'!$AH:$AH,'Supply planning data'!$D:$D,DataViz!$B29,'Supply planning data'!$C:$C,DataViz!$A$1))</f>
        <v>0</v>
      </c>
      <c r="AL29" s="230"/>
      <c r="AM29" s="230" t="e">
        <f>IF(IF($A$1="All",SUMIFS('Supply planning data'!$AJ:$AJ,'Supply planning data'!$D:$D,DataViz!$B29),SUMIFS('Supply planning data'!$AJ:$AJ,'Supply planning data'!$D:$D,DataViz!$B29,'Supply planning data'!$C:$C,DataViz!$A$1))&lt;=0,NA(),IF($A$1="All",SUMIFS('Supply planning data'!$AJ:$AJ,'Supply planning data'!$D:$D,DataViz!$B29),SUMIFS('Supply planning data'!$AJ:$AJ,'Supply planning data'!$D:$D,DataViz!$B29,'Supply planning data'!$C:$C,DataViz!$A$1)))</f>
        <v>#N/A</v>
      </c>
      <c r="AN29" s="230">
        <f>IF($A$1="All",SUMIFS('Supply planning data'!$AN:$AN,'Supply planning data'!$D:$D,DataViz!$B29),SUMIFS('Supply planning data'!$AN:$AN,'Supply planning data'!$D:$D,DataViz!$B29,'Supply planning data'!$C:$C,DataViz!$A$1))</f>
        <v>5258747</v>
      </c>
      <c r="AO29" s="231" t="e">
        <f>IF($J29+K29+IF($A$1="All",SUMIFS('Supply planning data'!$AJ:$AJ,'Supply planning data'!$D:$D,DataViz!$B29),SUMIFS('Supply planning data'!$AJ:$AJ,'Supply planning data'!$D:$D,DataViz!$B29,'Supply planning data'!$C:$C,DataViz!$A$1))&lt;=0,NA(),$J29+K29+IF($A$1="All",SUMIFS('Supply planning data'!$AJ:$AJ,'Supply planning data'!$D:$D,DataViz!$B29),SUMIFS('Supply planning data'!$AJ:$AJ,'Supply planning data'!$D:$D,DataViz!$B29,'Supply planning data'!$C:$C,DataViz!$A$1)))</f>
        <v>#N/A</v>
      </c>
      <c r="AP29">
        <f>IF($A$1="All",SUMIFS('Supply planning data'!AM:AM,'Supply planning data'!$D:$D,DataViz!$B29),SUMIFS('Supply planning data'!AM:AM,'Supply planning data'!$D:$D,DataViz!$B29,'Supply planning data'!$C:$C,DataViz!$A$1))</f>
        <v>0</v>
      </c>
      <c r="AQ29" s="229">
        <f t="shared" si="6"/>
        <v>2.9492566666666668E-2</v>
      </c>
      <c r="AR29" s="230">
        <f>SUMIFS('Supply planning data'!AH:AH,'Supply planning data'!$D:$D,"&lt;="&amp;DataViz!$B28,'Supply planning data'!$C:$C,"Jansen")+(SUMIFS('Supply planning data'!AH:AH,'Supply planning data'!$D:$D,"&lt;="&amp;DataViz!$B28,'Supply planning data'!$C:$C,"&lt;&gt;Jansen")/2)+D29</f>
        <v>1769554</v>
      </c>
    </row>
    <row r="31" spans="1:44" x14ac:dyDescent="0.25">
      <c r="O31" s="24"/>
    </row>
    <row r="33" spans="1:64" x14ac:dyDescent="0.25">
      <c r="E33" s="24">
        <f>IFERROR(SUM(E39:E62),0)</f>
        <v>746932</v>
      </c>
      <c r="F33" s="24">
        <f t="shared" ref="F33:BL33" si="11">IFERROR(SUM(F39:F62),0)</f>
        <v>164020</v>
      </c>
      <c r="G33" s="24">
        <f t="shared" si="11"/>
        <v>0</v>
      </c>
      <c r="H33" s="24">
        <f t="shared" si="11"/>
        <v>4250</v>
      </c>
      <c r="I33" s="24">
        <f t="shared" si="11"/>
        <v>1500559</v>
      </c>
      <c r="J33" s="24">
        <f t="shared" si="11"/>
        <v>8900</v>
      </c>
      <c r="K33" s="24">
        <f t="shared" si="11"/>
        <v>0</v>
      </c>
      <c r="L33" s="24">
        <f t="shared" si="11"/>
        <v>2394</v>
      </c>
      <c r="M33" s="24">
        <f t="shared" si="11"/>
        <v>0</v>
      </c>
      <c r="N33" s="24">
        <f t="shared" si="11"/>
        <v>0</v>
      </c>
      <c r="O33" s="24">
        <f t="shared" si="11"/>
        <v>0</v>
      </c>
      <c r="P33" s="24">
        <f t="shared" si="11"/>
        <v>5400</v>
      </c>
      <c r="Q33" s="24">
        <f t="shared" si="11"/>
        <v>181506</v>
      </c>
      <c r="R33" s="24">
        <f t="shared" si="11"/>
        <v>96075</v>
      </c>
      <c r="S33" s="24">
        <f t="shared" si="11"/>
        <v>0</v>
      </c>
      <c r="T33" s="24">
        <f t="shared" si="11"/>
        <v>10851</v>
      </c>
      <c r="U33" s="24">
        <f t="shared" si="11"/>
        <v>0</v>
      </c>
      <c r="V33" s="24">
        <f t="shared" si="11"/>
        <v>0</v>
      </c>
      <c r="W33" s="24">
        <f t="shared" si="11"/>
        <v>0</v>
      </c>
      <c r="X33" s="24">
        <f t="shared" si="11"/>
        <v>0</v>
      </c>
      <c r="Y33" s="24">
        <f t="shared" si="11"/>
        <v>0</v>
      </c>
      <c r="Z33" s="24">
        <f t="shared" si="11"/>
        <v>0</v>
      </c>
      <c r="AA33" s="24">
        <f t="shared" si="11"/>
        <v>0</v>
      </c>
      <c r="AB33" s="24">
        <f t="shared" si="11"/>
        <v>0</v>
      </c>
      <c r="AC33" s="24">
        <f t="shared" si="11"/>
        <v>0</v>
      </c>
      <c r="AD33" s="24">
        <f t="shared" si="11"/>
        <v>0</v>
      </c>
      <c r="AE33" s="24">
        <f t="shared" si="11"/>
        <v>0</v>
      </c>
      <c r="AF33" s="24">
        <f t="shared" si="11"/>
        <v>0</v>
      </c>
      <c r="AG33" s="24">
        <f t="shared" si="11"/>
        <v>0</v>
      </c>
      <c r="AH33" s="24">
        <f t="shared" si="11"/>
        <v>0</v>
      </c>
      <c r="AI33" s="24">
        <f t="shared" si="11"/>
        <v>0</v>
      </c>
      <c r="AJ33" s="24">
        <f t="shared" si="11"/>
        <v>0</v>
      </c>
      <c r="AK33" s="24">
        <f t="shared" si="11"/>
        <v>0</v>
      </c>
      <c r="AL33" s="24">
        <f t="shared" si="11"/>
        <v>0</v>
      </c>
      <c r="AM33" s="24">
        <f t="shared" si="11"/>
        <v>0</v>
      </c>
      <c r="AN33" s="24">
        <f t="shared" si="11"/>
        <v>0</v>
      </c>
      <c r="AO33" s="24">
        <f t="shared" si="11"/>
        <v>0</v>
      </c>
      <c r="AP33" s="24">
        <f t="shared" si="11"/>
        <v>0</v>
      </c>
      <c r="AQ33" s="24">
        <f t="shared" si="11"/>
        <v>0</v>
      </c>
      <c r="AR33" s="24">
        <f t="shared" si="11"/>
        <v>0</v>
      </c>
      <c r="AS33" s="24">
        <f t="shared" si="11"/>
        <v>0</v>
      </c>
      <c r="AT33" s="24">
        <f t="shared" si="11"/>
        <v>0</v>
      </c>
      <c r="AU33" s="24">
        <f t="shared" si="11"/>
        <v>0</v>
      </c>
      <c r="AV33" s="24">
        <f t="shared" si="11"/>
        <v>0</v>
      </c>
      <c r="AW33" s="24">
        <f t="shared" si="11"/>
        <v>0</v>
      </c>
      <c r="AX33" s="24">
        <f t="shared" si="11"/>
        <v>0</v>
      </c>
      <c r="AY33" s="24">
        <f t="shared" si="11"/>
        <v>0</v>
      </c>
      <c r="AZ33" s="24">
        <f t="shared" si="11"/>
        <v>0</v>
      </c>
      <c r="BA33" s="24">
        <f t="shared" si="11"/>
        <v>0</v>
      </c>
      <c r="BB33" s="24">
        <f t="shared" si="11"/>
        <v>0</v>
      </c>
      <c r="BC33" s="24">
        <f t="shared" si="11"/>
        <v>0</v>
      </c>
      <c r="BD33" s="24">
        <f t="shared" si="11"/>
        <v>0</v>
      </c>
      <c r="BE33" s="24">
        <f t="shared" si="11"/>
        <v>0</v>
      </c>
      <c r="BF33" s="24">
        <f t="shared" si="11"/>
        <v>0</v>
      </c>
      <c r="BG33" s="24">
        <f t="shared" si="11"/>
        <v>0</v>
      </c>
      <c r="BH33" s="24">
        <f t="shared" si="11"/>
        <v>0</v>
      </c>
      <c r="BI33" s="24">
        <f t="shared" si="11"/>
        <v>0</v>
      </c>
      <c r="BJ33" s="24">
        <f t="shared" si="11"/>
        <v>0</v>
      </c>
      <c r="BK33" s="24">
        <f t="shared" si="11"/>
        <v>0</v>
      </c>
      <c r="BL33" s="24">
        <f t="shared" si="11"/>
        <v>0</v>
      </c>
    </row>
    <row r="34" spans="1:64" x14ac:dyDescent="0.25">
      <c r="E34" s="43" t="str">
        <f>Start!$C$17</f>
        <v>AstraZeneca</v>
      </c>
      <c r="F34" s="43" t="str">
        <f>Start!$C$17</f>
        <v>AstraZeneca</v>
      </c>
      <c r="G34" s="43" t="str">
        <f>Start!$C$17</f>
        <v>AstraZeneca</v>
      </c>
      <c r="H34" s="43" t="str">
        <f>Start!$C$17</f>
        <v>AstraZeneca</v>
      </c>
      <c r="I34" s="42" t="str">
        <f>Start!$C$18</f>
        <v>Jansen</v>
      </c>
      <c r="J34" s="42" t="str">
        <f>Start!$C$18</f>
        <v>Jansen</v>
      </c>
      <c r="K34" s="42" t="str">
        <f>Start!$C$18</f>
        <v>Jansen</v>
      </c>
      <c r="L34" s="42" t="str">
        <f>Start!$C$18</f>
        <v>Jansen</v>
      </c>
      <c r="M34" s="43" t="str">
        <f>Start!$C$19</f>
        <v>Moderna</v>
      </c>
      <c r="N34" s="43" t="str">
        <f>Start!$C$19</f>
        <v>Moderna</v>
      </c>
      <c r="O34" s="43" t="str">
        <f>Start!$C$19</f>
        <v>Moderna</v>
      </c>
      <c r="P34" s="43" t="str">
        <f>Start!$C$19</f>
        <v>Moderna</v>
      </c>
      <c r="Q34" s="42" t="str">
        <f>Start!$C$20</f>
        <v>Pfizer</v>
      </c>
      <c r="R34" s="42" t="str">
        <f>Start!$C$20</f>
        <v>Pfizer</v>
      </c>
      <c r="S34" s="42" t="str">
        <f>Start!$C$20</f>
        <v>Pfizer</v>
      </c>
      <c r="T34" s="42" t="str">
        <f>Start!$C$20</f>
        <v>Pfizer</v>
      </c>
      <c r="U34" s="43" t="str">
        <f>Start!$C$21</f>
        <v>Sinovac</v>
      </c>
      <c r="V34" s="43" t="str">
        <f>Start!$C$21</f>
        <v>Sinovac</v>
      </c>
      <c r="W34" s="43" t="str">
        <f>Start!$C$21</f>
        <v>Sinovac</v>
      </c>
      <c r="X34" s="43" t="str">
        <f>Start!$C$21</f>
        <v>Sinovac</v>
      </c>
      <c r="Y34" s="42">
        <f>Start!$C$22</f>
        <v>0</v>
      </c>
      <c r="Z34" s="42">
        <f>Start!$C$22</f>
        <v>0</v>
      </c>
      <c r="AA34" s="42">
        <f>Start!$C$22</f>
        <v>0</v>
      </c>
      <c r="AB34" s="42">
        <f>Start!$C$22</f>
        <v>0</v>
      </c>
      <c r="AC34" s="43">
        <f>Start!$C$23</f>
        <v>0</v>
      </c>
      <c r="AD34" s="43">
        <f>Start!$C$23</f>
        <v>0</v>
      </c>
      <c r="AE34" s="43">
        <f>Start!$C$23</f>
        <v>0</v>
      </c>
      <c r="AF34" s="43">
        <f>Start!$C$23</f>
        <v>0</v>
      </c>
      <c r="AG34" s="42">
        <f>Start!$C$24</f>
        <v>0</v>
      </c>
      <c r="AH34" s="42">
        <f>Start!$C$24</f>
        <v>0</v>
      </c>
      <c r="AI34" s="42">
        <f>Start!$C$24</f>
        <v>0</v>
      </c>
      <c r="AJ34" s="42">
        <f>Start!$C$24</f>
        <v>0</v>
      </c>
      <c r="AK34" s="43">
        <f>Start!$C$25</f>
        <v>0</v>
      </c>
      <c r="AL34" s="43">
        <f>Start!$C$25</f>
        <v>0</v>
      </c>
      <c r="AM34" s="43">
        <f>Start!$C$25</f>
        <v>0</v>
      </c>
      <c r="AN34" s="43">
        <f>Start!$C$25</f>
        <v>0</v>
      </c>
      <c r="AO34" s="42">
        <f>Start!$C$26</f>
        <v>0</v>
      </c>
      <c r="AP34" s="42">
        <f>Start!$C$26</f>
        <v>0</v>
      </c>
      <c r="AQ34" s="42">
        <f>Start!$C$26</f>
        <v>0</v>
      </c>
      <c r="AR34" s="42">
        <f>Start!$C$26</f>
        <v>0</v>
      </c>
      <c r="AS34" s="43">
        <f>Start!$C$27</f>
        <v>0</v>
      </c>
      <c r="AT34" s="43">
        <f>Start!$C$27</f>
        <v>0</v>
      </c>
      <c r="AU34" s="43">
        <f>Start!$C$27</f>
        <v>0</v>
      </c>
      <c r="AV34" s="43">
        <f>Start!$C$27</f>
        <v>0</v>
      </c>
      <c r="AW34" s="42">
        <f>Start!$C$28</f>
        <v>0</v>
      </c>
      <c r="AX34" s="42">
        <f>Start!$C$28</f>
        <v>0</v>
      </c>
      <c r="AY34" s="42">
        <f>Start!$C$28</f>
        <v>0</v>
      </c>
      <c r="AZ34" s="42">
        <f>Start!$C$28</f>
        <v>0</v>
      </c>
      <c r="BA34" s="43">
        <f>Start!$C$29</f>
        <v>0</v>
      </c>
      <c r="BB34" s="43">
        <f>Start!$C$29</f>
        <v>0</v>
      </c>
      <c r="BC34" s="43">
        <f>Start!$C$29</f>
        <v>0</v>
      </c>
      <c r="BD34" s="43">
        <f>Start!$C$29</f>
        <v>0</v>
      </c>
      <c r="BE34" s="42">
        <f>Start!$C$30</f>
        <v>0</v>
      </c>
      <c r="BF34" s="42">
        <f>Start!$C$30</f>
        <v>0</v>
      </c>
      <c r="BG34" s="42">
        <f>Start!$C$30</f>
        <v>0</v>
      </c>
      <c r="BH34" s="42">
        <f>Start!$C$30</f>
        <v>0</v>
      </c>
      <c r="BI34" s="43">
        <f>Start!$C$31</f>
        <v>0</v>
      </c>
      <c r="BJ34" s="43">
        <f>Start!$C$31</f>
        <v>0</v>
      </c>
      <c r="BK34" s="43">
        <f>Start!$C$31</f>
        <v>0</v>
      </c>
      <c r="BL34" s="43">
        <f>Start!$C$31</f>
        <v>0</v>
      </c>
    </row>
    <row r="35" spans="1:64" x14ac:dyDescent="0.25">
      <c r="E35" s="43" t="s">
        <v>200</v>
      </c>
      <c r="F35" s="43" t="s">
        <v>201</v>
      </c>
      <c r="G35" s="43" t="s">
        <v>202</v>
      </c>
      <c r="H35" s="43" t="s">
        <v>203</v>
      </c>
      <c r="I35" s="42" t="s">
        <v>200</v>
      </c>
      <c r="J35" s="42" t="s">
        <v>201</v>
      </c>
      <c r="K35" s="42" t="s">
        <v>202</v>
      </c>
      <c r="L35" s="42" t="s">
        <v>203</v>
      </c>
      <c r="M35" s="43" t="s">
        <v>200</v>
      </c>
      <c r="N35" s="43" t="s">
        <v>201</v>
      </c>
      <c r="O35" s="43" t="s">
        <v>202</v>
      </c>
      <c r="P35" s="43" t="s">
        <v>203</v>
      </c>
      <c r="Q35" s="42" t="s">
        <v>200</v>
      </c>
      <c r="R35" s="42" t="s">
        <v>201</v>
      </c>
      <c r="S35" s="42" t="s">
        <v>202</v>
      </c>
      <c r="T35" s="42" t="s">
        <v>203</v>
      </c>
      <c r="U35" s="43" t="s">
        <v>200</v>
      </c>
      <c r="V35" s="43" t="s">
        <v>201</v>
      </c>
      <c r="W35" s="43" t="s">
        <v>202</v>
      </c>
      <c r="X35" s="43" t="s">
        <v>203</v>
      </c>
      <c r="Y35" s="42" t="s">
        <v>200</v>
      </c>
      <c r="Z35" s="42" t="s">
        <v>201</v>
      </c>
      <c r="AA35" s="42" t="s">
        <v>202</v>
      </c>
      <c r="AB35" s="42" t="s">
        <v>203</v>
      </c>
      <c r="AC35" s="43" t="s">
        <v>200</v>
      </c>
      <c r="AD35" s="43" t="s">
        <v>201</v>
      </c>
      <c r="AE35" s="43" t="s">
        <v>202</v>
      </c>
      <c r="AF35" s="43" t="s">
        <v>203</v>
      </c>
      <c r="AG35" s="42" t="s">
        <v>200</v>
      </c>
      <c r="AH35" s="42" t="s">
        <v>201</v>
      </c>
      <c r="AI35" s="42" t="s">
        <v>202</v>
      </c>
      <c r="AJ35" s="42" t="s">
        <v>203</v>
      </c>
      <c r="AK35" s="43" t="s">
        <v>200</v>
      </c>
      <c r="AL35" s="43" t="s">
        <v>201</v>
      </c>
      <c r="AM35" s="43" t="s">
        <v>202</v>
      </c>
      <c r="AN35" s="43" t="s">
        <v>203</v>
      </c>
      <c r="AO35" s="42" t="s">
        <v>200</v>
      </c>
      <c r="AP35" s="42" t="s">
        <v>201</v>
      </c>
      <c r="AQ35" s="42" t="s">
        <v>202</v>
      </c>
      <c r="AR35" s="42" t="s">
        <v>203</v>
      </c>
      <c r="AS35" s="43" t="s">
        <v>200</v>
      </c>
      <c r="AT35" s="43" t="s">
        <v>201</v>
      </c>
      <c r="AU35" s="43" t="s">
        <v>202</v>
      </c>
      <c r="AV35" s="43" t="s">
        <v>203</v>
      </c>
      <c r="AW35" s="42" t="s">
        <v>200</v>
      </c>
      <c r="AX35" s="42" t="s">
        <v>201</v>
      </c>
      <c r="AY35" s="42" t="s">
        <v>202</v>
      </c>
      <c r="AZ35" s="42" t="s">
        <v>203</v>
      </c>
      <c r="BA35" s="43" t="s">
        <v>200</v>
      </c>
      <c r="BB35" s="43" t="s">
        <v>201</v>
      </c>
      <c r="BC35" s="43" t="s">
        <v>202</v>
      </c>
      <c r="BD35" s="43" t="s">
        <v>203</v>
      </c>
      <c r="BE35" s="42" t="s">
        <v>200</v>
      </c>
      <c r="BF35" s="42" t="s">
        <v>201</v>
      </c>
      <c r="BG35" s="42" t="s">
        <v>202</v>
      </c>
      <c r="BH35" s="42" t="s">
        <v>203</v>
      </c>
      <c r="BI35" s="43" t="s">
        <v>200</v>
      </c>
      <c r="BJ35" s="43" t="s">
        <v>201</v>
      </c>
      <c r="BK35" s="43" t="s">
        <v>202</v>
      </c>
      <c r="BL35" s="43" t="s">
        <v>203</v>
      </c>
    </row>
    <row r="36" spans="1:64" x14ac:dyDescent="0.25">
      <c r="N36" s="31"/>
    </row>
    <row r="37" spans="1:64" x14ac:dyDescent="0.25">
      <c r="E37" t="str">
        <f>IF(E33&gt;0,E34,"")</f>
        <v>AstraZeneca</v>
      </c>
      <c r="F37" t="str">
        <f t="shared" ref="F37" si="12">IF(F33&gt;0,F34,"")</f>
        <v>AstraZeneca</v>
      </c>
      <c r="G37" t="str">
        <f>IF(G33&gt;0,G34,"")</f>
        <v/>
      </c>
      <c r="H37" t="str">
        <f>IF(H33&gt;0,H34,"")</f>
        <v>AstraZeneca</v>
      </c>
      <c r="I37" t="str">
        <f>IF(I33&gt;0,I34,"")</f>
        <v>Jansen</v>
      </c>
      <c r="J37" t="str">
        <f>IF(J33&gt;0,J34,"")</f>
        <v>Jansen</v>
      </c>
      <c r="K37" t="str">
        <f t="shared" ref="K37:BL37" si="13">IF(K33&gt;0,K34,"")</f>
        <v/>
      </c>
      <c r="L37" t="str">
        <f t="shared" si="13"/>
        <v>Jansen</v>
      </c>
      <c r="M37" t="str">
        <f t="shared" si="13"/>
        <v/>
      </c>
      <c r="N37" t="str">
        <f t="shared" si="13"/>
        <v/>
      </c>
      <c r="O37" t="str">
        <f t="shared" si="13"/>
        <v/>
      </c>
      <c r="P37" t="str">
        <f t="shared" si="13"/>
        <v>Moderna</v>
      </c>
      <c r="Q37" t="str">
        <f t="shared" si="13"/>
        <v>Pfizer</v>
      </c>
      <c r="R37" t="str">
        <f t="shared" si="13"/>
        <v>Pfizer</v>
      </c>
      <c r="S37" t="str">
        <f t="shared" si="13"/>
        <v/>
      </c>
      <c r="T37" t="str">
        <f t="shared" si="13"/>
        <v>Pfizer</v>
      </c>
      <c r="U37" t="str">
        <f t="shared" si="13"/>
        <v/>
      </c>
      <c r="V37" t="str">
        <f t="shared" si="13"/>
        <v/>
      </c>
      <c r="W37" t="str">
        <f t="shared" si="13"/>
        <v/>
      </c>
      <c r="X37" t="str">
        <f t="shared" si="13"/>
        <v/>
      </c>
      <c r="Y37" t="str">
        <f t="shared" si="13"/>
        <v/>
      </c>
      <c r="Z37" t="str">
        <f t="shared" si="13"/>
        <v/>
      </c>
      <c r="AA37" t="str">
        <f t="shared" si="13"/>
        <v/>
      </c>
      <c r="AB37" t="str">
        <f t="shared" si="13"/>
        <v/>
      </c>
      <c r="AC37" t="str">
        <f t="shared" si="13"/>
        <v/>
      </c>
      <c r="AD37" t="str">
        <f t="shared" si="13"/>
        <v/>
      </c>
      <c r="AE37" t="str">
        <f t="shared" si="13"/>
        <v/>
      </c>
      <c r="AF37" t="str">
        <f t="shared" si="13"/>
        <v/>
      </c>
      <c r="AG37" t="str">
        <f t="shared" si="13"/>
        <v/>
      </c>
      <c r="AH37" t="str">
        <f t="shared" si="13"/>
        <v/>
      </c>
      <c r="AI37" t="str">
        <f t="shared" si="13"/>
        <v/>
      </c>
      <c r="AJ37" t="str">
        <f t="shared" si="13"/>
        <v/>
      </c>
      <c r="AK37" t="str">
        <f t="shared" si="13"/>
        <v/>
      </c>
      <c r="AL37" t="str">
        <f t="shared" si="13"/>
        <v/>
      </c>
      <c r="AM37" t="str">
        <f t="shared" si="13"/>
        <v/>
      </c>
      <c r="AN37" t="str">
        <f t="shared" si="13"/>
        <v/>
      </c>
      <c r="AO37" t="str">
        <f t="shared" si="13"/>
        <v/>
      </c>
      <c r="AP37" t="str">
        <f t="shared" si="13"/>
        <v/>
      </c>
      <c r="AQ37" t="str">
        <f t="shared" si="13"/>
        <v/>
      </c>
      <c r="AR37" t="str">
        <f t="shared" si="13"/>
        <v/>
      </c>
      <c r="AS37" t="str">
        <f t="shared" si="13"/>
        <v/>
      </c>
      <c r="AT37" t="str">
        <f t="shared" si="13"/>
        <v/>
      </c>
      <c r="AU37" t="str">
        <f t="shared" si="13"/>
        <v/>
      </c>
      <c r="AV37" t="str">
        <f t="shared" si="13"/>
        <v/>
      </c>
      <c r="AW37" t="str">
        <f t="shared" si="13"/>
        <v/>
      </c>
      <c r="AX37" t="str">
        <f t="shared" si="13"/>
        <v/>
      </c>
      <c r="AY37" t="str">
        <f t="shared" si="13"/>
        <v/>
      </c>
      <c r="AZ37" t="str">
        <f t="shared" si="13"/>
        <v/>
      </c>
      <c r="BA37" t="str">
        <f t="shared" si="13"/>
        <v/>
      </c>
      <c r="BB37" t="str">
        <f t="shared" si="13"/>
        <v/>
      </c>
      <c r="BC37" t="str">
        <f t="shared" si="13"/>
        <v/>
      </c>
      <c r="BD37" t="str">
        <f t="shared" si="13"/>
        <v/>
      </c>
      <c r="BE37" t="str">
        <f t="shared" si="13"/>
        <v/>
      </c>
      <c r="BF37" t="str">
        <f t="shared" si="13"/>
        <v/>
      </c>
      <c r="BG37" t="str">
        <f t="shared" si="13"/>
        <v/>
      </c>
      <c r="BH37" t="str">
        <f t="shared" si="13"/>
        <v/>
      </c>
      <c r="BI37" t="str">
        <f t="shared" si="13"/>
        <v/>
      </c>
      <c r="BJ37" t="str">
        <f t="shared" si="13"/>
        <v/>
      </c>
      <c r="BK37" t="str">
        <f t="shared" si="13"/>
        <v/>
      </c>
      <c r="BL37" t="str">
        <f t="shared" si="13"/>
        <v/>
      </c>
    </row>
    <row r="38" spans="1:64" s="10" customFormat="1" ht="45" x14ac:dyDescent="0.25">
      <c r="B38" s="10" t="s">
        <v>190</v>
      </c>
      <c r="C38" s="10" t="s">
        <v>140</v>
      </c>
      <c r="D38" s="10" t="s">
        <v>101</v>
      </c>
      <c r="E38" s="44" t="str">
        <f>IF(E37="","",E34&amp;"-"&amp;E35)</f>
        <v>AstraZeneca-Dose 1</v>
      </c>
      <c r="F38" s="44" t="str">
        <f t="shared" ref="F38:BL38" si="14">IF(F37="","",F34&amp;"-"&amp;F35)</f>
        <v>AstraZeneca-Dose 2</v>
      </c>
      <c r="G38" s="44" t="str">
        <f t="shared" si="14"/>
        <v/>
      </c>
      <c r="H38" s="44" t="str">
        <f t="shared" si="14"/>
        <v>AstraZeneca-Wastage</v>
      </c>
      <c r="I38" s="45" t="str">
        <f t="shared" si="14"/>
        <v>Jansen-Dose 1</v>
      </c>
      <c r="J38" s="45" t="str">
        <f t="shared" si="14"/>
        <v>Jansen-Dose 2</v>
      </c>
      <c r="K38" s="45" t="str">
        <f t="shared" si="14"/>
        <v/>
      </c>
      <c r="L38" s="45" t="str">
        <f t="shared" si="14"/>
        <v>Jansen-Wastage</v>
      </c>
      <c r="M38" s="44" t="str">
        <f t="shared" si="14"/>
        <v/>
      </c>
      <c r="N38" s="44" t="str">
        <f t="shared" si="14"/>
        <v/>
      </c>
      <c r="O38" s="44" t="str">
        <f t="shared" si="14"/>
        <v/>
      </c>
      <c r="P38" s="44" t="str">
        <f t="shared" si="14"/>
        <v>Moderna-Wastage</v>
      </c>
      <c r="Q38" s="45" t="str">
        <f t="shared" si="14"/>
        <v>Pfizer-Dose 1</v>
      </c>
      <c r="R38" s="45" t="str">
        <f t="shared" si="14"/>
        <v>Pfizer-Dose 2</v>
      </c>
      <c r="S38" s="45" t="str">
        <f t="shared" si="14"/>
        <v/>
      </c>
      <c r="T38" s="45" t="str">
        <f t="shared" si="14"/>
        <v>Pfizer-Wastage</v>
      </c>
      <c r="U38" s="44" t="str">
        <f t="shared" si="14"/>
        <v/>
      </c>
      <c r="V38" s="44" t="str">
        <f t="shared" si="14"/>
        <v/>
      </c>
      <c r="W38" s="44" t="str">
        <f t="shared" si="14"/>
        <v/>
      </c>
      <c r="X38" s="44" t="str">
        <f t="shared" si="14"/>
        <v/>
      </c>
      <c r="Y38" s="45" t="str">
        <f t="shared" si="14"/>
        <v/>
      </c>
      <c r="Z38" s="45" t="str">
        <f t="shared" si="14"/>
        <v/>
      </c>
      <c r="AA38" s="45" t="str">
        <f t="shared" si="14"/>
        <v/>
      </c>
      <c r="AB38" s="45" t="str">
        <f t="shared" si="14"/>
        <v/>
      </c>
      <c r="AC38" s="44" t="str">
        <f t="shared" si="14"/>
        <v/>
      </c>
      <c r="AD38" s="44" t="str">
        <f t="shared" si="14"/>
        <v/>
      </c>
      <c r="AE38" s="44" t="str">
        <f t="shared" si="14"/>
        <v/>
      </c>
      <c r="AF38" s="44" t="str">
        <f t="shared" si="14"/>
        <v/>
      </c>
      <c r="AG38" s="45" t="str">
        <f t="shared" si="14"/>
        <v/>
      </c>
      <c r="AH38" s="45" t="str">
        <f t="shared" si="14"/>
        <v/>
      </c>
      <c r="AI38" s="45" t="str">
        <f t="shared" si="14"/>
        <v/>
      </c>
      <c r="AJ38" s="45" t="str">
        <f t="shared" si="14"/>
        <v/>
      </c>
      <c r="AK38" s="44" t="str">
        <f t="shared" si="14"/>
        <v/>
      </c>
      <c r="AL38" s="44" t="str">
        <f t="shared" si="14"/>
        <v/>
      </c>
      <c r="AM38" s="44" t="str">
        <f t="shared" si="14"/>
        <v/>
      </c>
      <c r="AN38" s="44" t="str">
        <f t="shared" si="14"/>
        <v/>
      </c>
      <c r="AO38" s="45" t="str">
        <f t="shared" si="14"/>
        <v/>
      </c>
      <c r="AP38" s="45" t="str">
        <f t="shared" si="14"/>
        <v/>
      </c>
      <c r="AQ38" s="45" t="str">
        <f t="shared" si="14"/>
        <v/>
      </c>
      <c r="AR38" s="45" t="str">
        <f t="shared" si="14"/>
        <v/>
      </c>
      <c r="AS38" s="44" t="str">
        <f t="shared" si="14"/>
        <v/>
      </c>
      <c r="AT38" s="44" t="str">
        <f t="shared" si="14"/>
        <v/>
      </c>
      <c r="AU38" s="44" t="str">
        <f t="shared" si="14"/>
        <v/>
      </c>
      <c r="AV38" s="44" t="str">
        <f t="shared" si="14"/>
        <v/>
      </c>
      <c r="AW38" s="45" t="str">
        <f t="shared" si="14"/>
        <v/>
      </c>
      <c r="AX38" s="45" t="str">
        <f t="shared" si="14"/>
        <v/>
      </c>
      <c r="AY38" s="45" t="str">
        <f t="shared" si="14"/>
        <v/>
      </c>
      <c r="AZ38" s="45" t="str">
        <f t="shared" si="14"/>
        <v/>
      </c>
      <c r="BA38" s="44" t="str">
        <f t="shared" si="14"/>
        <v/>
      </c>
      <c r="BB38" s="44" t="str">
        <f t="shared" si="14"/>
        <v/>
      </c>
      <c r="BC38" s="44" t="str">
        <f t="shared" si="14"/>
        <v/>
      </c>
      <c r="BD38" s="44" t="str">
        <f t="shared" si="14"/>
        <v/>
      </c>
      <c r="BE38" s="45" t="str">
        <f t="shared" si="14"/>
        <v/>
      </c>
      <c r="BF38" s="45" t="str">
        <f t="shared" si="14"/>
        <v/>
      </c>
      <c r="BG38" s="45" t="str">
        <f t="shared" si="14"/>
        <v/>
      </c>
      <c r="BH38" s="45" t="str">
        <f t="shared" si="14"/>
        <v/>
      </c>
      <c r="BI38" s="44" t="str">
        <f t="shared" si="14"/>
        <v/>
      </c>
      <c r="BJ38" s="44" t="str">
        <f t="shared" si="14"/>
        <v/>
      </c>
      <c r="BK38" s="44" t="str">
        <f t="shared" si="14"/>
        <v/>
      </c>
      <c r="BL38" s="44" t="str">
        <f t="shared" si="14"/>
        <v/>
      </c>
    </row>
    <row r="39" spans="1:64" x14ac:dyDescent="0.25">
      <c r="A39" s="20">
        <v>1</v>
      </c>
      <c r="B39" s="21">
        <f>Dashboard!C$6</f>
        <v>44287</v>
      </c>
      <c r="C39" s="22">
        <f>IF(VLOOKUP(Dashboard!$M$6,Start!$B$10:$E$12,4,FALSE)&gt;0,VLOOKUP(Dashboard!$M$6,Start!$B$10:$E$12,4, FALSE),VLOOKUP(Dashboard!$M$6,Start!$B$10:$E$12,3, FALSE))</f>
        <v>60000000</v>
      </c>
      <c r="D39" s="22">
        <f>SUMIFS('Supply planning data'!M:M,'Supply planning data'!D:D,"&lt;="&amp;DataViz!B39)</f>
        <v>0</v>
      </c>
      <c r="E39" s="22">
        <f>IF(E$35="Dose 1",SUMIFS('Supply planning data'!$G:$G,'Supply planning data'!$D:$D,DataViz!$B39,'Supply planning data'!$C:$C,DataViz!E$34),
IF(E$35="Dose 2",SUMIFS('Supply planning data'!$H:$H,'Supply planning data'!$D:$D,DataViz!$B39,'Supply planning data'!$C:$C,DataViz!E$34),
IF(E$35="Wastage",SUMIFS('Supply planning data'!$K:$K,'Supply planning data'!$D:$D,DataViz!$B39,'Supply planning data'!$C:$C,DataViz!E$34),
IF(E$35="Additional",SUMIFS('Supply planning data'!$I:$I,'Supply planning data'!$D:$D,DataViz!$B39,'Supply planning data'!$C:$C,DataViz!E$34),
0))))</f>
        <v>0</v>
      </c>
      <c r="F39" s="22">
        <f>IF(F$35="Dose 1",SUMIFS('Supply planning data'!$G:$G,'Supply planning data'!$D:$D,DataViz!$B39,'Supply planning data'!$C:$C,DataViz!F$34),
IF(F$35="Dose 2",SUMIFS('Supply planning data'!$H:$H,'Supply planning data'!$D:$D,DataViz!$B39,'Supply planning data'!$C:$C,DataViz!F$34),
IF(F$35="Wastage",SUMIFS('Supply planning data'!$K:$K,'Supply planning data'!$D:$D,DataViz!$B39,'Supply planning data'!$C:$C,DataViz!F$34),
IF(F$35="Additional",SUMIFS('Supply planning data'!$I:$I,'Supply planning data'!$D:$D,DataViz!$B39,'Supply planning data'!$C:$C,DataViz!F$34),
0))))</f>
        <v>0</v>
      </c>
      <c r="G39" s="22">
        <f>IF(G$35="Dose 1",SUMIFS('Supply planning data'!$G:$G,'Supply planning data'!$D:$D,DataViz!$B39,'Supply planning data'!$C:$C,DataViz!G$34),
IF(G$35="Dose 2",SUMIFS('Supply planning data'!$H:$H,'Supply planning data'!$D:$D,DataViz!$B39,'Supply planning data'!$C:$C,DataViz!G$34),
IF(G$35="Wastage",SUMIFS('Supply planning data'!$K:$K,'Supply planning data'!$D:$D,DataViz!$B39,'Supply planning data'!$C:$C,DataViz!G$34),
IF(G$35="Additional",SUMIFS('Supply planning data'!$I:$I,'Supply planning data'!$D:$D,DataViz!$B39,'Supply planning data'!$C:$C,DataViz!G$34),
0))))</f>
        <v>0</v>
      </c>
      <c r="H39" s="22">
        <f>IF(H$35="Dose 1",SUMIFS('Supply planning data'!$G:$G,'Supply planning data'!$D:$D,DataViz!$B39,'Supply planning data'!$C:$C,DataViz!H$34),
IF(H$35="Dose 2",SUMIFS('Supply planning data'!$H:$H,'Supply planning data'!$D:$D,DataViz!$B39,'Supply planning data'!$C:$C,DataViz!H$34),
IF(H$35="Wastage",SUMIFS('Supply planning data'!$K:$K,'Supply planning data'!$D:$D,DataViz!$B39,'Supply planning data'!$C:$C,DataViz!H$34),
IF(H$35="Additional",SUMIFS('Supply planning data'!$I:$I,'Supply planning data'!$D:$D,DataViz!$B39,'Supply planning data'!$C:$C,DataViz!H$34),
0))))</f>
        <v>0</v>
      </c>
      <c r="I39" s="22">
        <f>IF(I$35="Dose 1",SUMIFS('Supply planning data'!$G:$G,'Supply planning data'!$D:$D,DataViz!$B39,'Supply planning data'!$C:$C,DataViz!I$34),
IF(I$35="Dose 2",SUMIFS('Supply planning data'!$H:$H,'Supply planning data'!$D:$D,DataViz!$B39,'Supply planning data'!$C:$C,DataViz!I$34),
IF(I$35="Wastage",SUMIFS('Supply planning data'!$K:$K,'Supply planning data'!$D:$D,DataViz!$B39,'Supply planning data'!$C:$C,DataViz!I$34),
IF(I$35="Additional",SUMIFS('Supply planning data'!$I:$I,'Supply planning data'!$D:$D,DataViz!$B39,'Supply planning data'!$C:$C,DataViz!I$34),
0))))</f>
        <v>0</v>
      </c>
      <c r="J39" s="22">
        <f>IF(J$35="Dose 1",SUMIFS('Supply planning data'!$G:$G,'Supply planning data'!$D:$D,DataViz!$B39,'Supply planning data'!$C:$C,DataViz!J$34),
IF(J$35="Dose 2",SUMIFS('Supply planning data'!$H:$H,'Supply planning data'!$D:$D,DataViz!$B39,'Supply planning data'!$C:$C,DataViz!J$34),
IF(J$35="Wastage",SUMIFS('Supply planning data'!$K:$K,'Supply planning data'!$D:$D,DataViz!$B39,'Supply planning data'!$C:$C,DataViz!J$34),
IF(J$35="Additional",SUMIFS('Supply planning data'!$I:$I,'Supply planning data'!$D:$D,DataViz!$B39,'Supply planning data'!$C:$C,DataViz!J$34),
0))))</f>
        <v>0</v>
      </c>
      <c r="K39" s="22">
        <f>IF(K$35="Dose 1",SUMIFS('Supply planning data'!$G:$G,'Supply planning data'!$D:$D,DataViz!$B39,'Supply planning data'!$C:$C,DataViz!K$34),
IF(K$35="Dose 2",SUMIFS('Supply planning data'!$H:$H,'Supply planning data'!$D:$D,DataViz!$B39,'Supply planning data'!$C:$C,DataViz!K$34),
IF(K$35="Wastage",SUMIFS('Supply planning data'!$K:$K,'Supply planning data'!$D:$D,DataViz!$B39,'Supply planning data'!$C:$C,DataViz!K$34),
IF(K$35="Additional",SUMIFS('Supply planning data'!$I:$I,'Supply planning data'!$D:$D,DataViz!$B39,'Supply planning data'!$C:$C,DataViz!K$34),
0))))</f>
        <v>0</v>
      </c>
      <c r="L39" s="22">
        <f>IF(L$35="Dose 1",SUMIFS('Supply planning data'!$G:$G,'Supply planning data'!$D:$D,DataViz!$B39,'Supply planning data'!$C:$C,DataViz!L$34),
IF(L$35="Dose 2",SUMIFS('Supply planning data'!$H:$H,'Supply planning data'!$D:$D,DataViz!$B39,'Supply planning data'!$C:$C,DataViz!L$34),
IF(L$35="Wastage",SUMIFS('Supply planning data'!$K:$K,'Supply planning data'!$D:$D,DataViz!$B39,'Supply planning data'!$C:$C,DataViz!L$34),
IF(L$35="Additional",SUMIFS('Supply planning data'!$I:$I,'Supply planning data'!$D:$D,DataViz!$B39,'Supply planning data'!$C:$C,DataViz!L$34),
0))))</f>
        <v>0</v>
      </c>
      <c r="M39" s="22">
        <f>IF(M$35="Dose 1",SUMIFS('Supply planning data'!$G:$G,'Supply planning data'!$D:$D,DataViz!$B39,'Supply planning data'!$C:$C,DataViz!M$34),
IF(M$35="Dose 2",SUMIFS('Supply planning data'!$H:$H,'Supply planning data'!$D:$D,DataViz!$B39,'Supply planning data'!$C:$C,DataViz!M$34),
IF(M$35="Wastage",SUMIFS('Supply planning data'!$K:$K,'Supply planning data'!$D:$D,DataViz!$B39,'Supply planning data'!$C:$C,DataViz!M$34),
IF(M$35="Additional",SUMIFS('Supply planning data'!$I:$I,'Supply planning data'!$D:$D,DataViz!$B39,'Supply planning data'!$C:$C,DataViz!M$34),
0))))</f>
        <v>0</v>
      </c>
      <c r="N39" s="22">
        <f>IF(N$35="Dose 1",SUMIFS('Supply planning data'!$G:$G,'Supply planning data'!$D:$D,DataViz!$B39,'Supply planning data'!$C:$C,DataViz!N$34),
IF(N$35="Dose 2",SUMIFS('Supply planning data'!$H:$H,'Supply planning data'!$D:$D,DataViz!$B39,'Supply planning data'!$C:$C,DataViz!N$34),
IF(N$35="Wastage",SUMIFS('Supply planning data'!$K:$K,'Supply planning data'!$D:$D,DataViz!$B39,'Supply planning data'!$C:$C,DataViz!N$34),
IF(N$35="Additional",SUMIFS('Supply planning data'!$I:$I,'Supply planning data'!$D:$D,DataViz!$B39,'Supply planning data'!$C:$C,DataViz!N$34),
0))))</f>
        <v>0</v>
      </c>
      <c r="O39" s="22">
        <f>IF(O$35="Dose 1",SUMIFS('Supply planning data'!$G:$G,'Supply planning data'!$D:$D,DataViz!$B39,'Supply planning data'!$C:$C,DataViz!O$34),
IF(O$35="Dose 2",SUMIFS('Supply planning data'!$H:$H,'Supply planning data'!$D:$D,DataViz!$B39,'Supply planning data'!$C:$C,DataViz!O$34),
IF(O$35="Wastage",SUMIFS('Supply planning data'!$K:$K,'Supply planning data'!$D:$D,DataViz!$B39,'Supply planning data'!$C:$C,DataViz!O$34),
IF(O$35="Additional",SUMIFS('Supply planning data'!$I:$I,'Supply planning data'!$D:$D,DataViz!$B39,'Supply planning data'!$C:$C,DataViz!O$34),
0))))</f>
        <v>0</v>
      </c>
      <c r="P39" s="22">
        <f>IF(P$35="Dose 1",SUMIFS('Supply planning data'!$G:$G,'Supply planning data'!$D:$D,DataViz!$B39,'Supply planning data'!$C:$C,DataViz!P$34),
IF(P$35="Dose 2",SUMIFS('Supply planning data'!$H:$H,'Supply planning data'!$D:$D,DataViz!$B39,'Supply planning data'!$C:$C,DataViz!P$34),
IF(P$35="Wastage",SUMIFS('Supply planning data'!$K:$K,'Supply planning data'!$D:$D,DataViz!$B39,'Supply planning data'!$C:$C,DataViz!P$34),
IF(P$35="Additional",SUMIFS('Supply planning data'!$I:$I,'Supply planning data'!$D:$D,DataViz!$B39,'Supply planning data'!$C:$C,DataViz!P$34),
0))))</f>
        <v>0</v>
      </c>
      <c r="Q39" s="22">
        <f>IF(Q$35="Dose 1",SUMIFS('Supply planning data'!$G:$G,'Supply planning data'!$D:$D,DataViz!$B39,'Supply planning data'!$C:$C,DataViz!Q$34),
IF(Q$35="Dose 2",SUMIFS('Supply planning data'!$H:$H,'Supply planning data'!$D:$D,DataViz!$B39,'Supply planning data'!$C:$C,DataViz!Q$34),
IF(Q$35="Wastage",SUMIFS('Supply planning data'!$K:$K,'Supply planning data'!$D:$D,DataViz!$B39,'Supply planning data'!$C:$C,DataViz!Q$34),
IF(Q$35="Additional",SUMIFS('Supply planning data'!$I:$I,'Supply planning data'!$D:$D,DataViz!$B39,'Supply planning data'!$C:$C,DataViz!Q$34),
0))))</f>
        <v>0</v>
      </c>
      <c r="R39" s="22">
        <f>IF(R$35="Dose 1",SUMIFS('Supply planning data'!$G:$G,'Supply planning data'!$D:$D,DataViz!$B39,'Supply planning data'!$C:$C,DataViz!R$34),
IF(R$35="Dose 2",SUMIFS('Supply planning data'!$H:$H,'Supply planning data'!$D:$D,DataViz!$B39,'Supply planning data'!$C:$C,DataViz!R$34),
IF(R$35="Wastage",SUMIFS('Supply planning data'!$K:$K,'Supply planning data'!$D:$D,DataViz!$B39,'Supply planning data'!$C:$C,DataViz!R$34),
IF(R$35="Additional",SUMIFS('Supply planning data'!$I:$I,'Supply planning data'!$D:$D,DataViz!$B39,'Supply planning data'!$C:$C,DataViz!R$34),
0))))</f>
        <v>0</v>
      </c>
      <c r="S39" s="22">
        <f>IF(S$35="Dose 1",SUMIFS('Supply planning data'!$G:$G,'Supply planning data'!$D:$D,DataViz!$B39,'Supply planning data'!$C:$C,DataViz!S$34),
IF(S$35="Dose 2",SUMIFS('Supply planning data'!$H:$H,'Supply planning data'!$D:$D,DataViz!$B39,'Supply planning data'!$C:$C,DataViz!S$34),
IF(S$35="Wastage",SUMIFS('Supply planning data'!$K:$K,'Supply planning data'!$D:$D,DataViz!$B39,'Supply planning data'!$C:$C,DataViz!S$34),
IF(S$35="Additional",SUMIFS('Supply planning data'!$I:$I,'Supply planning data'!$D:$D,DataViz!$B39,'Supply planning data'!$C:$C,DataViz!S$34),
0))))</f>
        <v>0</v>
      </c>
      <c r="T39" s="22">
        <f>IF(T$35="Dose 1",SUMIFS('Supply planning data'!$G:$G,'Supply planning data'!$D:$D,DataViz!$B39,'Supply planning data'!$C:$C,DataViz!T$34),
IF(T$35="Dose 2",SUMIFS('Supply planning data'!$H:$H,'Supply planning data'!$D:$D,DataViz!$B39,'Supply planning data'!$C:$C,DataViz!T$34),
IF(T$35="Wastage",SUMIFS('Supply planning data'!$K:$K,'Supply planning data'!$D:$D,DataViz!$B39,'Supply planning data'!$C:$C,DataViz!T$34),
IF(T$35="Additional",SUMIFS('Supply planning data'!$I:$I,'Supply planning data'!$D:$D,DataViz!$B39,'Supply planning data'!$C:$C,DataViz!T$34),
0))))</f>
        <v>0</v>
      </c>
      <c r="U39" s="22">
        <f>IF(U$35="Dose 1",SUMIFS('Supply planning data'!$G:$G,'Supply planning data'!$D:$D,DataViz!$B39,'Supply planning data'!$C:$C,DataViz!U$34),
IF(U$35="Dose 2",SUMIFS('Supply planning data'!$H:$H,'Supply planning data'!$D:$D,DataViz!$B39,'Supply planning data'!$C:$C,DataViz!U$34),
IF(U$35="Wastage",SUMIFS('Supply planning data'!$K:$K,'Supply planning data'!$D:$D,DataViz!$B39,'Supply planning data'!$C:$C,DataViz!U$34),
IF(U$35="Additional",SUMIFS('Supply planning data'!$I:$I,'Supply planning data'!$D:$D,DataViz!$B39,'Supply planning data'!$C:$C,DataViz!U$34),
0))))</f>
        <v>0</v>
      </c>
      <c r="V39" s="22">
        <f>IF(V$35="Dose 1",SUMIFS('Supply planning data'!$G:$G,'Supply planning data'!$D:$D,DataViz!$B39,'Supply planning data'!$C:$C,DataViz!V$34),
IF(V$35="Dose 2",SUMIFS('Supply planning data'!$H:$H,'Supply planning data'!$D:$D,DataViz!$B39,'Supply planning data'!$C:$C,DataViz!V$34),
IF(V$35="Wastage",SUMIFS('Supply planning data'!$K:$K,'Supply planning data'!$D:$D,DataViz!$B39,'Supply planning data'!$C:$C,DataViz!V$34),
IF(V$35="Additional",SUMIFS('Supply planning data'!$I:$I,'Supply planning data'!$D:$D,DataViz!$B39,'Supply planning data'!$C:$C,DataViz!V$34),
0))))</f>
        <v>0</v>
      </c>
      <c r="W39" s="22">
        <f>IF(W$35="Dose 1",SUMIFS('Supply planning data'!$G:$G,'Supply planning data'!$D:$D,DataViz!$B39,'Supply planning data'!$C:$C,DataViz!W$34),
IF(W$35="Dose 2",SUMIFS('Supply planning data'!$H:$H,'Supply planning data'!$D:$D,DataViz!$B39,'Supply planning data'!$C:$C,DataViz!W$34),
IF(W$35="Wastage",SUMIFS('Supply planning data'!$K:$K,'Supply planning data'!$D:$D,DataViz!$B39,'Supply planning data'!$C:$C,DataViz!W$34),
IF(W$35="Additional",SUMIFS('Supply planning data'!$I:$I,'Supply planning data'!$D:$D,DataViz!$B39,'Supply planning data'!$C:$C,DataViz!W$34),
0))))</f>
        <v>0</v>
      </c>
      <c r="X39" s="22">
        <f>IF(X$35="Dose 1",SUMIFS('Supply planning data'!$G:$G,'Supply planning data'!$D:$D,DataViz!$B39,'Supply planning data'!$C:$C,DataViz!X$34),
IF(X$35="Dose 2",SUMIFS('Supply planning data'!$H:$H,'Supply planning data'!$D:$D,DataViz!$B39,'Supply planning data'!$C:$C,DataViz!X$34),
IF(X$35="Wastage",SUMIFS('Supply planning data'!$K:$K,'Supply planning data'!$D:$D,DataViz!$B39,'Supply planning data'!$C:$C,DataViz!X$34),
IF(X$35="Additional",SUMIFS('Supply planning data'!$I:$I,'Supply planning data'!$D:$D,DataViz!$B39,'Supply planning data'!$C:$C,DataViz!X$34),
0))))</f>
        <v>0</v>
      </c>
      <c r="Y39" s="22">
        <f>IF(Y$35="Dose 1",SUMIFS('Supply planning data'!$G:$G,'Supply planning data'!$D:$D,DataViz!$B39,'Supply planning data'!$C:$C,DataViz!Y$34),
IF(Y$35="Dose 2",SUMIFS('Supply planning data'!$H:$H,'Supply planning data'!$D:$D,DataViz!$B39,'Supply planning data'!$C:$C,DataViz!Y$34),
IF(Y$35="Wastage",SUMIFS('Supply planning data'!$K:$K,'Supply planning data'!$D:$D,DataViz!$B39,'Supply planning data'!$C:$C,DataViz!Y$34),
IF(Y$35="Additional",SUMIFS('Supply planning data'!$I:$I,'Supply planning data'!$D:$D,DataViz!$B39,'Supply planning data'!$C:$C,DataViz!Y$34),
0))))</f>
        <v>0</v>
      </c>
      <c r="Z39" s="22">
        <f>IF(Z$35="Dose 1",SUMIFS('Supply planning data'!$G:$G,'Supply planning data'!$D:$D,DataViz!$B39,'Supply planning data'!$C:$C,DataViz!Z$34),
IF(Z$35="Dose 2",SUMIFS('Supply planning data'!$H:$H,'Supply planning data'!$D:$D,DataViz!$B39,'Supply planning data'!$C:$C,DataViz!Z$34),
IF(Z$35="Wastage",SUMIFS('Supply planning data'!$K:$K,'Supply planning data'!$D:$D,DataViz!$B39,'Supply planning data'!$C:$C,DataViz!Z$34),
IF(Z$35="Additional",SUMIFS('Supply planning data'!$I:$I,'Supply planning data'!$D:$D,DataViz!$B39,'Supply planning data'!$C:$C,DataViz!Z$34),
0))))</f>
        <v>0</v>
      </c>
      <c r="AA39" s="22">
        <f>IF(AA$35="Dose 1",SUMIFS('Supply planning data'!$G:$G,'Supply planning data'!$D:$D,DataViz!$B39,'Supply planning data'!$C:$C,DataViz!AA$34),
IF(AA$35="Dose 2",SUMIFS('Supply planning data'!$H:$H,'Supply planning data'!$D:$D,DataViz!$B39,'Supply planning data'!$C:$C,DataViz!AA$34),
IF(AA$35="Wastage",SUMIFS('Supply planning data'!$K:$K,'Supply planning data'!$D:$D,DataViz!$B39,'Supply planning data'!$C:$C,DataViz!AA$34),
IF(AA$35="Additional",SUMIFS('Supply planning data'!$I:$I,'Supply planning data'!$D:$D,DataViz!$B39,'Supply planning data'!$C:$C,DataViz!AA$34),
0))))</f>
        <v>0</v>
      </c>
      <c r="AB39" s="22">
        <f>IF(AB$35="Dose 1",SUMIFS('Supply planning data'!$G:$G,'Supply planning data'!$D:$D,DataViz!$B39,'Supply planning data'!$C:$C,DataViz!AB$34),
IF(AB$35="Dose 2",SUMIFS('Supply planning data'!$H:$H,'Supply planning data'!$D:$D,DataViz!$B39,'Supply planning data'!$C:$C,DataViz!AB$34),
IF(AB$35="Wastage",SUMIFS('Supply planning data'!$K:$K,'Supply planning data'!$D:$D,DataViz!$B39,'Supply planning data'!$C:$C,DataViz!AB$34),
IF(AB$35="Additional",SUMIFS('Supply planning data'!$I:$I,'Supply planning data'!$D:$D,DataViz!$B39,'Supply planning data'!$C:$C,DataViz!AB$34),
0))))</f>
        <v>0</v>
      </c>
      <c r="AC39" s="22">
        <f>IF(AC$35="Dose 1",SUMIFS('Supply planning data'!$G:$G,'Supply planning data'!$D:$D,DataViz!$B39,'Supply planning data'!$C:$C,DataViz!AC$34),
IF(AC$35="Dose 2",SUMIFS('Supply planning data'!$H:$H,'Supply planning data'!$D:$D,DataViz!$B39,'Supply planning data'!$C:$C,DataViz!AC$34),
IF(AC$35="Wastage",SUMIFS('Supply planning data'!$K:$K,'Supply planning data'!$D:$D,DataViz!$B39,'Supply planning data'!$C:$C,DataViz!AC$34),
IF(AC$35="Additional",SUMIFS('Supply planning data'!$I:$I,'Supply planning data'!$D:$D,DataViz!$B39,'Supply planning data'!$C:$C,DataViz!AC$34),
0))))</f>
        <v>0</v>
      </c>
      <c r="AD39" s="22">
        <f>IF(AD$35="Dose 1",SUMIFS('Supply planning data'!$G:$G,'Supply planning data'!$D:$D,DataViz!$B39,'Supply planning data'!$C:$C,DataViz!AD$34),
IF(AD$35="Dose 2",SUMIFS('Supply planning data'!$H:$H,'Supply planning data'!$D:$D,DataViz!$B39,'Supply planning data'!$C:$C,DataViz!AD$34),
IF(AD$35="Wastage",SUMIFS('Supply planning data'!$K:$K,'Supply planning data'!$D:$D,DataViz!$B39,'Supply planning data'!$C:$C,DataViz!AD$34),
IF(AD$35="Additional",SUMIFS('Supply planning data'!$I:$I,'Supply planning data'!$D:$D,DataViz!$B39,'Supply planning data'!$C:$C,DataViz!AD$34),
0))))</f>
        <v>0</v>
      </c>
      <c r="AE39" s="22">
        <f>IF(AE$35="Dose 1",SUMIFS('Supply planning data'!$G:$G,'Supply planning data'!$D:$D,DataViz!$B39,'Supply planning data'!$C:$C,DataViz!AE$34),
IF(AE$35="Dose 2",SUMIFS('Supply planning data'!$H:$H,'Supply planning data'!$D:$D,DataViz!$B39,'Supply planning data'!$C:$C,DataViz!AE$34),
IF(AE$35="Wastage",SUMIFS('Supply planning data'!$K:$K,'Supply planning data'!$D:$D,DataViz!$B39,'Supply planning data'!$C:$C,DataViz!AE$34),
IF(AE$35="Additional",SUMIFS('Supply planning data'!$I:$I,'Supply planning data'!$D:$D,DataViz!$B39,'Supply planning data'!$C:$C,DataViz!AE$34),
0))))</f>
        <v>0</v>
      </c>
      <c r="AF39" s="22">
        <f>IF(AF$35="Dose 1",SUMIFS('Supply planning data'!$G:$G,'Supply planning data'!$D:$D,DataViz!$B39,'Supply planning data'!$C:$C,DataViz!AF$34),
IF(AF$35="Dose 2",SUMIFS('Supply planning data'!$H:$H,'Supply planning data'!$D:$D,DataViz!$B39,'Supply planning data'!$C:$C,DataViz!AF$34),
IF(AF$35="Wastage",SUMIFS('Supply planning data'!$K:$K,'Supply planning data'!$D:$D,DataViz!$B39,'Supply planning data'!$C:$C,DataViz!AF$34),
IF(AF$35="Additional",SUMIFS('Supply planning data'!$I:$I,'Supply planning data'!$D:$D,DataViz!$B39,'Supply planning data'!$C:$C,DataViz!AF$34),
0))))</f>
        <v>0</v>
      </c>
      <c r="AG39" s="22">
        <f>IF(AG$35="Dose 1",SUMIFS('Supply planning data'!$G:$G,'Supply planning data'!$D:$D,DataViz!$B39,'Supply planning data'!$C:$C,DataViz!AG$34),
IF(AG$35="Dose 2",SUMIFS('Supply planning data'!$H:$H,'Supply planning data'!$D:$D,DataViz!$B39,'Supply planning data'!$C:$C,DataViz!AG$34),
IF(AG$35="Wastage",SUMIFS('Supply planning data'!$K:$K,'Supply planning data'!$D:$D,DataViz!$B39,'Supply planning data'!$C:$C,DataViz!AG$34),
IF(AG$35="Additional",SUMIFS('Supply planning data'!$I:$I,'Supply planning data'!$D:$D,DataViz!$B39,'Supply planning data'!$C:$C,DataViz!AG$34),
0))))</f>
        <v>0</v>
      </c>
      <c r="AH39" s="22">
        <f>IF(AH$35="Dose 1",SUMIFS('Supply planning data'!$G:$G,'Supply planning data'!$D:$D,DataViz!$B39,'Supply planning data'!$C:$C,DataViz!AH$34),
IF(AH$35="Dose 2",SUMIFS('Supply planning data'!$H:$H,'Supply planning data'!$D:$D,DataViz!$B39,'Supply planning data'!$C:$C,DataViz!AH$34),
IF(AH$35="Wastage",SUMIFS('Supply planning data'!$K:$K,'Supply planning data'!$D:$D,DataViz!$B39,'Supply planning data'!$C:$C,DataViz!AH$34),
IF(AH$35="Additional",SUMIFS('Supply planning data'!$I:$I,'Supply planning data'!$D:$D,DataViz!$B39,'Supply planning data'!$C:$C,DataViz!AH$34),
0))))</f>
        <v>0</v>
      </c>
      <c r="AI39" s="22">
        <f>IF(AI$35="Dose 1",SUMIFS('Supply planning data'!$G:$G,'Supply planning data'!$D:$D,DataViz!$B39,'Supply planning data'!$C:$C,DataViz!AI$34),
IF(AI$35="Dose 2",SUMIFS('Supply planning data'!$H:$H,'Supply planning data'!$D:$D,DataViz!$B39,'Supply planning data'!$C:$C,DataViz!AI$34),
IF(AI$35="Wastage",SUMIFS('Supply planning data'!$K:$K,'Supply planning data'!$D:$D,DataViz!$B39,'Supply planning data'!$C:$C,DataViz!AI$34),
IF(AI$35="Additional",SUMIFS('Supply planning data'!$I:$I,'Supply planning data'!$D:$D,DataViz!$B39,'Supply planning data'!$C:$C,DataViz!AI$34),
0))))</f>
        <v>0</v>
      </c>
      <c r="AJ39" s="22">
        <f>IF(AJ$35="Dose 1",SUMIFS('Supply planning data'!$G:$G,'Supply planning data'!$D:$D,DataViz!$B39,'Supply planning data'!$C:$C,DataViz!AJ$34),
IF(AJ$35="Dose 2",SUMIFS('Supply planning data'!$H:$H,'Supply planning data'!$D:$D,DataViz!$B39,'Supply planning data'!$C:$C,DataViz!AJ$34),
IF(AJ$35="Wastage",SUMIFS('Supply planning data'!$K:$K,'Supply planning data'!$D:$D,DataViz!$B39,'Supply planning data'!$C:$C,DataViz!AJ$34),
IF(AJ$35="Additional",SUMIFS('Supply planning data'!$I:$I,'Supply planning data'!$D:$D,DataViz!$B39,'Supply planning data'!$C:$C,DataViz!AJ$34),
0))))</f>
        <v>0</v>
      </c>
      <c r="AK39" s="22">
        <f>IF(AK$35="Dose 1",SUMIFS('Supply planning data'!$G:$G,'Supply planning data'!$D:$D,DataViz!$B39,'Supply planning data'!$C:$C,DataViz!AK$34),
IF(AK$35="Dose 2",SUMIFS('Supply planning data'!$H:$H,'Supply planning data'!$D:$D,DataViz!$B39,'Supply planning data'!$C:$C,DataViz!AK$34),
IF(AK$35="Wastage",SUMIFS('Supply planning data'!$K:$K,'Supply planning data'!$D:$D,DataViz!$B39,'Supply planning data'!$C:$C,DataViz!AK$34),
IF(AK$35="Additional",SUMIFS('Supply planning data'!$I:$I,'Supply planning data'!$D:$D,DataViz!$B39,'Supply planning data'!$C:$C,DataViz!AK$34),
0))))</f>
        <v>0</v>
      </c>
      <c r="AL39" s="22">
        <f>IF(AL$35="Dose 1",SUMIFS('Supply planning data'!$G:$G,'Supply planning data'!$D:$D,DataViz!$B39,'Supply planning data'!$C:$C,DataViz!AL$34),
IF(AL$35="Dose 2",SUMIFS('Supply planning data'!$H:$H,'Supply planning data'!$D:$D,DataViz!$B39,'Supply planning data'!$C:$C,DataViz!AL$34),
IF(AL$35="Wastage",SUMIFS('Supply planning data'!$K:$K,'Supply planning data'!$D:$D,DataViz!$B39,'Supply planning data'!$C:$C,DataViz!AL$34),
IF(AL$35="Additional",SUMIFS('Supply planning data'!$I:$I,'Supply planning data'!$D:$D,DataViz!$B39,'Supply planning data'!$C:$C,DataViz!AL$34),
0))))</f>
        <v>0</v>
      </c>
      <c r="AM39" s="22">
        <f>IF(AM$35="Dose 1",SUMIFS('Supply planning data'!$G:$G,'Supply planning data'!$D:$D,DataViz!$B39,'Supply planning data'!$C:$C,DataViz!AM$34),
IF(AM$35="Dose 2",SUMIFS('Supply planning data'!$H:$H,'Supply planning data'!$D:$D,DataViz!$B39,'Supply planning data'!$C:$C,DataViz!AM$34),
IF(AM$35="Wastage",SUMIFS('Supply planning data'!$K:$K,'Supply planning data'!$D:$D,DataViz!$B39,'Supply planning data'!$C:$C,DataViz!AM$34),
IF(AM$35="Additional",SUMIFS('Supply planning data'!$I:$I,'Supply planning data'!$D:$D,DataViz!$B39,'Supply planning data'!$C:$C,DataViz!AM$34),
0))))</f>
        <v>0</v>
      </c>
      <c r="AN39" s="22">
        <f>IF(AN$35="Dose 1",SUMIFS('Supply planning data'!$G:$G,'Supply planning data'!$D:$D,DataViz!$B39,'Supply planning data'!$C:$C,DataViz!AN$34),
IF(AN$35="Dose 2",SUMIFS('Supply planning data'!$H:$H,'Supply planning data'!$D:$D,DataViz!$B39,'Supply planning data'!$C:$C,DataViz!AN$34),
IF(AN$35="Wastage",SUMIFS('Supply planning data'!$K:$K,'Supply planning data'!$D:$D,DataViz!$B39,'Supply planning data'!$C:$C,DataViz!AN$34),
IF(AN$35="Additional",SUMIFS('Supply planning data'!$I:$I,'Supply planning data'!$D:$D,DataViz!$B39,'Supply planning data'!$C:$C,DataViz!AN$34),
0))))</f>
        <v>0</v>
      </c>
      <c r="AO39" s="22">
        <f>IF(AO$35="Dose 1",SUMIFS('Supply planning data'!$G:$G,'Supply planning data'!$D:$D,DataViz!$B39,'Supply planning data'!$C:$C,DataViz!AO$34),
IF(AO$35="Dose 2",SUMIFS('Supply planning data'!$H:$H,'Supply planning data'!$D:$D,DataViz!$B39,'Supply planning data'!$C:$C,DataViz!AO$34),
IF(AO$35="Wastage",SUMIFS('Supply planning data'!$K:$K,'Supply planning data'!$D:$D,DataViz!$B39,'Supply planning data'!$C:$C,DataViz!AO$34),
IF(AO$35="Additional",SUMIFS('Supply planning data'!$I:$I,'Supply planning data'!$D:$D,DataViz!$B39,'Supply planning data'!$C:$C,DataViz!AO$34),
0))))</f>
        <v>0</v>
      </c>
      <c r="AP39" s="22">
        <f>IF(AP$35="Dose 1",SUMIFS('Supply planning data'!$G:$G,'Supply planning data'!$D:$D,DataViz!$B39,'Supply planning data'!$C:$C,DataViz!AP$34),
IF(AP$35="Dose 2",SUMIFS('Supply planning data'!$H:$H,'Supply planning data'!$D:$D,DataViz!$B39,'Supply planning data'!$C:$C,DataViz!AP$34),
IF(AP$35="Wastage",SUMIFS('Supply planning data'!$K:$K,'Supply planning data'!$D:$D,DataViz!$B39,'Supply planning data'!$C:$C,DataViz!AP$34),
IF(AP$35="Additional",SUMIFS('Supply planning data'!$I:$I,'Supply planning data'!$D:$D,DataViz!$B39,'Supply planning data'!$C:$C,DataViz!AP$34),
0))))</f>
        <v>0</v>
      </c>
      <c r="AQ39" s="22">
        <f>IF(AQ$35="Dose 1",SUMIFS('Supply planning data'!$G:$G,'Supply planning data'!$D:$D,DataViz!$B39,'Supply planning data'!$C:$C,DataViz!AQ$34),
IF(AQ$35="Dose 2",SUMIFS('Supply planning data'!$H:$H,'Supply planning data'!$D:$D,DataViz!$B39,'Supply planning data'!$C:$C,DataViz!AQ$34),
IF(AQ$35="Wastage",SUMIFS('Supply planning data'!$K:$K,'Supply planning data'!$D:$D,DataViz!$B39,'Supply planning data'!$C:$C,DataViz!AQ$34),
IF(AQ$35="Additional",SUMIFS('Supply planning data'!$I:$I,'Supply planning data'!$D:$D,DataViz!$B39,'Supply planning data'!$C:$C,DataViz!AQ$34),
0))))</f>
        <v>0</v>
      </c>
      <c r="AR39" s="22">
        <f>IF(AR$35="Dose 1",SUMIFS('Supply planning data'!$G:$G,'Supply planning data'!$D:$D,DataViz!$B39,'Supply planning data'!$C:$C,DataViz!AR$34),
IF(AR$35="Dose 2",SUMIFS('Supply planning data'!$H:$H,'Supply planning data'!$D:$D,DataViz!$B39,'Supply planning data'!$C:$C,DataViz!AR$34),
IF(AR$35="Wastage",SUMIFS('Supply planning data'!$K:$K,'Supply planning data'!$D:$D,DataViz!$B39,'Supply planning data'!$C:$C,DataViz!AR$34),
IF(AR$35="Additional",SUMIFS('Supply planning data'!$I:$I,'Supply planning data'!$D:$D,DataViz!$B39,'Supply planning data'!$C:$C,DataViz!AR$34),
0))))</f>
        <v>0</v>
      </c>
      <c r="AS39" s="22">
        <f>IF(AS$35="Dose 1",SUMIFS('Supply planning data'!$G:$G,'Supply planning data'!$D:$D,DataViz!$B39,'Supply planning data'!$C:$C,DataViz!AS$34),
IF(AS$35="Dose 2",SUMIFS('Supply planning data'!$H:$H,'Supply planning data'!$D:$D,DataViz!$B39,'Supply planning data'!$C:$C,DataViz!AS$34),
IF(AS$35="Wastage",SUMIFS('Supply planning data'!$K:$K,'Supply planning data'!$D:$D,DataViz!$B39,'Supply planning data'!$C:$C,DataViz!AS$34),
IF(AS$35="Additional",SUMIFS('Supply planning data'!$I:$I,'Supply planning data'!$D:$D,DataViz!$B39,'Supply planning data'!$C:$C,DataViz!AS$34),
0))))</f>
        <v>0</v>
      </c>
      <c r="AT39" s="22">
        <f>IF(AT$35="Dose 1",SUMIFS('Supply planning data'!$G:$G,'Supply planning data'!$D:$D,DataViz!$B39,'Supply planning data'!$C:$C,DataViz!AT$34),
IF(AT$35="Dose 2",SUMIFS('Supply planning data'!$H:$H,'Supply planning data'!$D:$D,DataViz!$B39,'Supply planning data'!$C:$C,DataViz!AT$34),
IF(AT$35="Wastage",SUMIFS('Supply planning data'!$K:$K,'Supply planning data'!$D:$D,DataViz!$B39,'Supply planning data'!$C:$C,DataViz!AT$34),
IF(AT$35="Additional",SUMIFS('Supply planning data'!$I:$I,'Supply planning data'!$D:$D,DataViz!$B39,'Supply planning data'!$C:$C,DataViz!AT$34),
0))))</f>
        <v>0</v>
      </c>
      <c r="AU39" s="22">
        <f>IF(AU$35="Dose 1",SUMIFS('Supply planning data'!$G:$G,'Supply planning data'!$D:$D,DataViz!$B39,'Supply planning data'!$C:$C,DataViz!AU$34),
IF(AU$35="Dose 2",SUMIFS('Supply planning data'!$H:$H,'Supply planning data'!$D:$D,DataViz!$B39,'Supply planning data'!$C:$C,DataViz!AU$34),
IF(AU$35="Wastage",SUMIFS('Supply planning data'!$K:$K,'Supply planning data'!$D:$D,DataViz!$B39,'Supply planning data'!$C:$C,DataViz!AU$34),
IF(AU$35="Additional",SUMIFS('Supply planning data'!$I:$I,'Supply planning data'!$D:$D,DataViz!$B39,'Supply planning data'!$C:$C,DataViz!AU$34),
0))))</f>
        <v>0</v>
      </c>
      <c r="AV39" s="22">
        <f>IF(AV$35="Dose 1",SUMIFS('Supply planning data'!$G:$G,'Supply planning data'!$D:$D,DataViz!$B39,'Supply planning data'!$C:$C,DataViz!AV$34),
IF(AV$35="Dose 2",SUMIFS('Supply planning data'!$H:$H,'Supply planning data'!$D:$D,DataViz!$B39,'Supply planning data'!$C:$C,DataViz!AV$34),
IF(AV$35="Wastage",SUMIFS('Supply planning data'!$K:$K,'Supply planning data'!$D:$D,DataViz!$B39,'Supply planning data'!$C:$C,DataViz!AV$34),
IF(AV$35="Additional",SUMIFS('Supply planning data'!$I:$I,'Supply planning data'!$D:$D,DataViz!$B39,'Supply planning data'!$C:$C,DataViz!AV$34),
0))))</f>
        <v>0</v>
      </c>
      <c r="AW39" s="22">
        <f>IF(AW$35="Dose 1",SUMIFS('Supply planning data'!$G:$G,'Supply planning data'!$D:$D,DataViz!$B39,'Supply planning data'!$C:$C,DataViz!AW$34),
IF(AW$35="Dose 2",SUMIFS('Supply planning data'!$H:$H,'Supply planning data'!$D:$D,DataViz!$B39,'Supply planning data'!$C:$C,DataViz!AW$34),
IF(AW$35="Wastage",SUMIFS('Supply planning data'!$K:$K,'Supply planning data'!$D:$D,DataViz!$B39,'Supply planning data'!$C:$C,DataViz!AW$34),
IF(AW$35="Additional",SUMIFS('Supply planning data'!$I:$I,'Supply planning data'!$D:$D,DataViz!$B39,'Supply planning data'!$C:$C,DataViz!AW$34),
0))))</f>
        <v>0</v>
      </c>
      <c r="AX39" s="22">
        <f>IF(AX$35="Dose 1",SUMIFS('Supply planning data'!$G:$G,'Supply planning data'!$D:$D,DataViz!$B39,'Supply planning data'!$C:$C,DataViz!AX$34),
IF(AX$35="Dose 2",SUMIFS('Supply planning data'!$H:$H,'Supply planning data'!$D:$D,DataViz!$B39,'Supply planning data'!$C:$C,DataViz!AX$34),
IF(AX$35="Wastage",SUMIFS('Supply planning data'!$K:$K,'Supply planning data'!$D:$D,DataViz!$B39,'Supply planning data'!$C:$C,DataViz!AX$34),
IF(AX$35="Additional",SUMIFS('Supply planning data'!$I:$I,'Supply planning data'!$D:$D,DataViz!$B39,'Supply planning data'!$C:$C,DataViz!AX$34),
0))))</f>
        <v>0</v>
      </c>
      <c r="AY39" s="22">
        <f>IF(AY$35="Dose 1",SUMIFS('Supply planning data'!$G:$G,'Supply planning data'!$D:$D,DataViz!$B39,'Supply planning data'!$C:$C,DataViz!AY$34),
IF(AY$35="Dose 2",SUMIFS('Supply planning data'!$H:$H,'Supply planning data'!$D:$D,DataViz!$B39,'Supply planning data'!$C:$C,DataViz!AY$34),
IF(AY$35="Wastage",SUMIFS('Supply planning data'!$K:$K,'Supply planning data'!$D:$D,DataViz!$B39,'Supply planning data'!$C:$C,DataViz!AY$34),
IF(AY$35="Additional",SUMIFS('Supply planning data'!$I:$I,'Supply planning data'!$D:$D,DataViz!$B39,'Supply planning data'!$C:$C,DataViz!AY$34),
0))))</f>
        <v>0</v>
      </c>
      <c r="AZ39" s="22">
        <f>IF(AZ$35="Dose 1",SUMIFS('Supply planning data'!$G:$G,'Supply planning data'!$D:$D,DataViz!$B39,'Supply planning data'!$C:$C,DataViz!AZ$34),
IF(AZ$35="Dose 2",SUMIFS('Supply planning data'!$H:$H,'Supply planning data'!$D:$D,DataViz!$B39,'Supply planning data'!$C:$C,DataViz!AZ$34),
IF(AZ$35="Wastage",SUMIFS('Supply planning data'!$K:$K,'Supply planning data'!$D:$D,DataViz!$B39,'Supply planning data'!$C:$C,DataViz!AZ$34),
IF(AZ$35="Additional",SUMIFS('Supply planning data'!$I:$I,'Supply planning data'!$D:$D,DataViz!$B39,'Supply planning data'!$C:$C,DataViz!AZ$34),
0))))</f>
        <v>0</v>
      </c>
      <c r="BA39" s="22">
        <f>IF(BA$35="Dose 1",SUMIFS('Supply planning data'!$G:$G,'Supply planning data'!$D:$D,DataViz!$B39,'Supply planning data'!$C:$C,DataViz!BA$34),
IF(BA$35="Dose 2",SUMIFS('Supply planning data'!$H:$H,'Supply planning data'!$D:$D,DataViz!$B39,'Supply planning data'!$C:$C,DataViz!BA$34),
IF(BA$35="Wastage",SUMIFS('Supply planning data'!$K:$K,'Supply planning data'!$D:$D,DataViz!$B39,'Supply planning data'!$C:$C,DataViz!BA$34),
IF(BA$35="Additional",SUMIFS('Supply planning data'!$I:$I,'Supply planning data'!$D:$D,DataViz!$B39,'Supply planning data'!$C:$C,DataViz!BA$34),
0))))</f>
        <v>0</v>
      </c>
      <c r="BB39" s="22">
        <f>IF(BB$35="Dose 1",SUMIFS('Supply planning data'!$G:$G,'Supply planning data'!$D:$D,DataViz!$B39,'Supply planning data'!$C:$C,DataViz!BB$34),
IF(BB$35="Dose 2",SUMIFS('Supply planning data'!$H:$H,'Supply planning data'!$D:$D,DataViz!$B39,'Supply planning data'!$C:$C,DataViz!BB$34),
IF(BB$35="Wastage",SUMIFS('Supply planning data'!$K:$K,'Supply planning data'!$D:$D,DataViz!$B39,'Supply planning data'!$C:$C,DataViz!BB$34),
IF(BB$35="Additional",SUMIFS('Supply planning data'!$I:$I,'Supply planning data'!$D:$D,DataViz!$B39,'Supply planning data'!$C:$C,DataViz!BB$34),
0))))</f>
        <v>0</v>
      </c>
      <c r="BC39" s="22">
        <f>IF(BC$35="Dose 1",SUMIFS('Supply planning data'!$G:$G,'Supply planning data'!$D:$D,DataViz!$B39,'Supply planning data'!$C:$C,DataViz!BC$34),
IF(BC$35="Dose 2",SUMIFS('Supply planning data'!$H:$H,'Supply planning data'!$D:$D,DataViz!$B39,'Supply planning data'!$C:$C,DataViz!BC$34),
IF(BC$35="Wastage",SUMIFS('Supply planning data'!$K:$K,'Supply planning data'!$D:$D,DataViz!$B39,'Supply planning data'!$C:$C,DataViz!BC$34),
IF(BC$35="Additional",SUMIFS('Supply planning data'!$I:$I,'Supply planning data'!$D:$D,DataViz!$B39,'Supply planning data'!$C:$C,DataViz!BC$34),
0))))</f>
        <v>0</v>
      </c>
      <c r="BD39" s="22">
        <f>IF(BD$35="Dose 1",SUMIFS('Supply planning data'!$G:$G,'Supply planning data'!$D:$D,DataViz!$B39,'Supply planning data'!$C:$C,DataViz!BD$34),
IF(BD$35="Dose 2",SUMIFS('Supply planning data'!$H:$H,'Supply planning data'!$D:$D,DataViz!$B39,'Supply planning data'!$C:$C,DataViz!BD$34),
IF(BD$35="Wastage",SUMIFS('Supply planning data'!$K:$K,'Supply planning data'!$D:$D,DataViz!$B39,'Supply planning data'!$C:$C,DataViz!BD$34),
IF(BD$35="Additional",SUMIFS('Supply planning data'!$I:$I,'Supply planning data'!$D:$D,DataViz!$B39,'Supply planning data'!$C:$C,DataViz!BD$34),
0))))</f>
        <v>0</v>
      </c>
      <c r="BE39" s="22">
        <f>IF(BE$35="Dose 1",SUMIFS('Supply planning data'!$G:$G,'Supply planning data'!$D:$D,DataViz!$B39,'Supply planning data'!$C:$C,DataViz!BE$34),
IF(BE$35="Dose 2",SUMIFS('Supply planning data'!$H:$H,'Supply planning data'!$D:$D,DataViz!$B39,'Supply planning data'!$C:$C,DataViz!BE$34),
IF(BE$35="Wastage",SUMIFS('Supply planning data'!$K:$K,'Supply planning data'!$D:$D,DataViz!$B39,'Supply planning data'!$C:$C,DataViz!BE$34),
IF(BE$35="Additional",SUMIFS('Supply planning data'!$I:$I,'Supply planning data'!$D:$D,DataViz!$B39,'Supply planning data'!$C:$C,DataViz!BE$34),
0))))</f>
        <v>0</v>
      </c>
      <c r="BF39" s="22">
        <f>IF(BF$35="Dose 1",SUMIFS('Supply planning data'!$G:$G,'Supply planning data'!$D:$D,DataViz!$B39,'Supply planning data'!$C:$C,DataViz!BF$34),
IF(BF$35="Dose 2",SUMIFS('Supply planning data'!$H:$H,'Supply planning data'!$D:$D,DataViz!$B39,'Supply planning data'!$C:$C,DataViz!BF$34),
IF(BF$35="Wastage",SUMIFS('Supply planning data'!$K:$K,'Supply planning data'!$D:$D,DataViz!$B39,'Supply planning data'!$C:$C,DataViz!BF$34),
IF(BF$35="Additional",SUMIFS('Supply planning data'!$I:$I,'Supply planning data'!$D:$D,DataViz!$B39,'Supply planning data'!$C:$C,DataViz!BF$34),
0))))</f>
        <v>0</v>
      </c>
      <c r="BG39" s="22">
        <f>IF(BG$35="Dose 1",SUMIFS('Supply planning data'!$G:$G,'Supply planning data'!$D:$D,DataViz!$B39,'Supply planning data'!$C:$C,DataViz!BG$34),
IF(BG$35="Dose 2",SUMIFS('Supply planning data'!$H:$H,'Supply planning data'!$D:$D,DataViz!$B39,'Supply planning data'!$C:$C,DataViz!BG$34),
IF(BG$35="Wastage",SUMIFS('Supply planning data'!$K:$K,'Supply planning data'!$D:$D,DataViz!$B39,'Supply planning data'!$C:$C,DataViz!BG$34),
IF(BG$35="Additional",SUMIFS('Supply planning data'!$I:$I,'Supply planning data'!$D:$D,DataViz!$B39,'Supply planning data'!$C:$C,DataViz!BG$34),
0))))</f>
        <v>0</v>
      </c>
      <c r="BH39" s="22">
        <f>IF(BH$35="Dose 1",SUMIFS('Supply planning data'!$G:$G,'Supply planning data'!$D:$D,DataViz!$B39,'Supply planning data'!$C:$C,DataViz!BH$34),
IF(BH$35="Dose 2",SUMIFS('Supply planning data'!$H:$H,'Supply planning data'!$D:$D,DataViz!$B39,'Supply planning data'!$C:$C,DataViz!BH$34),
IF(BH$35="Wastage",SUMIFS('Supply planning data'!$K:$K,'Supply planning data'!$D:$D,DataViz!$B39,'Supply planning data'!$C:$C,DataViz!BH$34),
IF(BH$35="Additional",SUMIFS('Supply planning data'!$I:$I,'Supply planning data'!$D:$D,DataViz!$B39,'Supply planning data'!$C:$C,DataViz!BH$34),
0))))</f>
        <v>0</v>
      </c>
      <c r="BI39" s="22">
        <f>IF(BI$35="Dose 1",SUMIFS('Supply planning data'!$G:$G,'Supply planning data'!$D:$D,DataViz!$B39,'Supply planning data'!$C:$C,DataViz!BI$34),
IF(BI$35="Dose 2",SUMIFS('Supply planning data'!$H:$H,'Supply planning data'!$D:$D,DataViz!$B39,'Supply planning data'!$C:$C,DataViz!BI$34),
IF(BI$35="Wastage",SUMIFS('Supply planning data'!$K:$K,'Supply planning data'!$D:$D,DataViz!$B39,'Supply planning data'!$C:$C,DataViz!BI$34),
IF(BI$35="Additional",SUMIFS('Supply planning data'!$I:$I,'Supply planning data'!$D:$D,DataViz!$B39,'Supply planning data'!$C:$C,DataViz!BI$34),
0))))</f>
        <v>0</v>
      </c>
      <c r="BJ39" s="22">
        <f>IF(BJ$35="Dose 1",SUMIFS('Supply planning data'!$G:$G,'Supply planning data'!$D:$D,DataViz!$B39,'Supply planning data'!$C:$C,DataViz!BJ$34),
IF(BJ$35="Dose 2",SUMIFS('Supply planning data'!$H:$H,'Supply planning data'!$D:$D,DataViz!$B39,'Supply planning data'!$C:$C,DataViz!BJ$34),
IF(BJ$35="Wastage",SUMIFS('Supply planning data'!$K:$K,'Supply planning data'!$D:$D,DataViz!$B39,'Supply planning data'!$C:$C,DataViz!BJ$34),
IF(BJ$35="Additional",SUMIFS('Supply planning data'!$I:$I,'Supply planning data'!$D:$D,DataViz!$B39,'Supply planning data'!$C:$C,DataViz!BJ$34),
0))))</f>
        <v>0</v>
      </c>
      <c r="BK39" s="22">
        <f>IF(BK$35="Dose 1",SUMIFS('Supply planning data'!$G:$G,'Supply planning data'!$D:$D,DataViz!$B39,'Supply planning data'!$C:$C,DataViz!BK$34),
IF(BK$35="Dose 2",SUMIFS('Supply planning data'!$H:$H,'Supply planning data'!$D:$D,DataViz!$B39,'Supply planning data'!$C:$C,DataViz!BK$34),
IF(BK$35="Wastage",SUMIFS('Supply planning data'!$K:$K,'Supply planning data'!$D:$D,DataViz!$B39,'Supply planning data'!$C:$C,DataViz!BK$34),
IF(BK$35="Additional",SUMIFS('Supply planning data'!$I:$I,'Supply planning data'!$D:$D,DataViz!$B39,'Supply planning data'!$C:$C,DataViz!BK$34),
0))))</f>
        <v>0</v>
      </c>
      <c r="BL39" s="22">
        <f>IF(BL$35="Dose 1",SUMIFS('Supply planning data'!$G:$G,'Supply planning data'!$D:$D,DataViz!$B39,'Supply planning data'!$C:$C,DataViz!BL$34),
IF(BL$35="Dose 2",SUMIFS('Supply planning data'!$H:$H,'Supply planning data'!$D:$D,DataViz!$B39,'Supply planning data'!$C:$C,DataViz!BL$34),
IF(BL$35="Wastage",SUMIFS('Supply planning data'!$K:$K,'Supply planning data'!$D:$D,DataViz!$B39,'Supply planning data'!$C:$C,DataViz!BL$34),
IF(BL$35="Additional",SUMIFS('Supply planning data'!$I:$I,'Supply planning data'!$D:$D,DataViz!$B39,'Supply planning data'!$C:$C,DataViz!BL$34),
0))))</f>
        <v>0</v>
      </c>
    </row>
    <row r="40" spans="1:64" x14ac:dyDescent="0.25">
      <c r="A40" s="20">
        <v>2</v>
      </c>
      <c r="B40" s="21">
        <f>DATE(YEAR(B39),MONTH(B39)+1,1)</f>
        <v>44317</v>
      </c>
      <c r="C40" s="22">
        <f>IF(VLOOKUP(Dashboard!$M$6,Start!$B$10:$E$12,4,FALSE)&gt;0,VLOOKUP(Dashboard!$M$6,Start!$B$10:$E$12,4, FALSE),VLOOKUP(Dashboard!$M$6,Start!$B$10:$E$12,3, FALSE))</f>
        <v>60000000</v>
      </c>
      <c r="D40" s="22">
        <f>SUMIFS('Supply planning data'!M:M,'Supply planning data'!D:D,"&lt;="&amp;DataViz!B40)</f>
        <v>42445</v>
      </c>
      <c r="E40" s="22">
        <f>IF(E$35="Dose 1",SUMIFS('Supply planning data'!$G:$G,'Supply planning data'!$D:$D,DataViz!$B40,'Supply planning data'!$C:$C,DataViz!E$34),
IF(E$35="Dose 2",SUMIFS('Supply planning data'!$H:$H,'Supply planning data'!$D:$D,DataViz!$B40,'Supply planning data'!$C:$C,DataViz!E$34),
IF(E$35="Wastage",SUMIFS('Supply planning data'!$K:$K,'Supply planning data'!$D:$D,DataViz!$B40,'Supply planning data'!$C:$C,DataViz!E$34),
IF(E$35="Additional",SUMIFS('Supply planning data'!$I:$I,'Supply planning data'!$D:$D,DataViz!$B40,'Supply planning data'!$C:$C,DataViz!E$34),
0))))</f>
        <v>42440</v>
      </c>
      <c r="F40" s="22">
        <f>IF(F$35="Dose 1",SUMIFS('Supply planning data'!$G:$G,'Supply planning data'!$D:$D,DataViz!$B40,'Supply planning data'!$C:$C,DataViz!F$34),
IF(F$35="Dose 2",SUMIFS('Supply planning data'!$H:$H,'Supply planning data'!$D:$D,DataViz!$B40,'Supply planning data'!$C:$C,DataViz!F$34),
IF(F$35="Wastage",SUMIFS('Supply planning data'!$K:$K,'Supply planning data'!$D:$D,DataViz!$B40,'Supply planning data'!$C:$C,DataViz!F$34),
IF(F$35="Additional",SUMIFS('Supply planning data'!$I:$I,'Supply planning data'!$D:$D,DataViz!$B40,'Supply planning data'!$C:$C,DataViz!F$34),
0))))</f>
        <v>5</v>
      </c>
      <c r="G40" s="22">
        <f>IF(G$35="Dose 1",SUMIFS('Supply planning data'!$G:$G,'Supply planning data'!$D:$D,DataViz!$B40,'Supply planning data'!$C:$C,DataViz!G$34),
IF(G$35="Dose 2",SUMIFS('Supply planning data'!$H:$H,'Supply planning data'!$D:$D,DataViz!$B40,'Supply planning data'!$C:$C,DataViz!G$34),
IF(G$35="Wastage",SUMIFS('Supply planning data'!$K:$K,'Supply planning data'!$D:$D,DataViz!$B40,'Supply planning data'!$C:$C,DataViz!G$34),
IF(G$35="Additional",SUMIFS('Supply planning data'!$I:$I,'Supply planning data'!$D:$D,DataViz!$B40,'Supply planning data'!$C:$C,DataViz!G$34),
0))))</f>
        <v>0</v>
      </c>
      <c r="H40" s="22">
        <f>IF(H$35="Dose 1",SUMIFS('Supply planning data'!$G:$G,'Supply planning data'!$D:$D,DataViz!$B40,'Supply planning data'!$C:$C,DataViz!H$34),
IF(H$35="Dose 2",SUMIFS('Supply planning data'!$H:$H,'Supply planning data'!$D:$D,DataViz!$B40,'Supply planning data'!$C:$C,DataViz!H$34),
IF(H$35="Wastage",SUMIFS('Supply planning data'!$K:$K,'Supply planning data'!$D:$D,DataViz!$B40,'Supply planning data'!$C:$C,DataViz!H$34),
IF(H$35="Additional",SUMIFS('Supply planning data'!$I:$I,'Supply planning data'!$D:$D,DataViz!$B40,'Supply planning data'!$C:$C,DataViz!H$34),
0))))</f>
        <v>0</v>
      </c>
      <c r="I40" s="22">
        <f>IF(I$35="Dose 1",SUMIFS('Supply planning data'!$G:$G,'Supply planning data'!$D:$D,DataViz!$B40,'Supply planning data'!$C:$C,DataViz!I$34),
IF(I$35="Dose 2",SUMIFS('Supply planning data'!$H:$H,'Supply planning data'!$D:$D,DataViz!$B40,'Supply planning data'!$C:$C,DataViz!I$34),
IF(I$35="Wastage",SUMIFS('Supply planning data'!$K:$K,'Supply planning data'!$D:$D,DataViz!$B40,'Supply planning data'!$C:$C,DataViz!I$34),
IF(I$35="Additional",SUMIFS('Supply planning data'!$I:$I,'Supply planning data'!$D:$D,DataViz!$B40,'Supply planning data'!$C:$C,DataViz!I$34),
0))))</f>
        <v>0</v>
      </c>
      <c r="J40" s="22">
        <f>IF(J$35="Dose 1",SUMIFS('Supply planning data'!$G:$G,'Supply planning data'!$D:$D,DataViz!$B40,'Supply planning data'!$C:$C,DataViz!J$34),
IF(J$35="Dose 2",SUMIFS('Supply planning data'!$H:$H,'Supply planning data'!$D:$D,DataViz!$B40,'Supply planning data'!$C:$C,DataViz!J$34),
IF(J$35="Wastage",SUMIFS('Supply planning data'!$K:$K,'Supply planning data'!$D:$D,DataViz!$B40,'Supply planning data'!$C:$C,DataViz!J$34),
IF(J$35="Additional",SUMIFS('Supply planning data'!$I:$I,'Supply planning data'!$D:$D,DataViz!$B40,'Supply planning data'!$C:$C,DataViz!J$34),
0))))</f>
        <v>0</v>
      </c>
      <c r="K40" s="22">
        <f>IF(K$35="Dose 1",SUMIFS('Supply planning data'!$G:$G,'Supply planning data'!$D:$D,DataViz!$B40,'Supply planning data'!$C:$C,DataViz!K$34),
IF(K$35="Dose 2",SUMIFS('Supply planning data'!$H:$H,'Supply planning data'!$D:$D,DataViz!$B40,'Supply planning data'!$C:$C,DataViz!K$34),
IF(K$35="Wastage",SUMIFS('Supply planning data'!$K:$K,'Supply planning data'!$D:$D,DataViz!$B40,'Supply planning data'!$C:$C,DataViz!K$34),
IF(K$35="Additional",SUMIFS('Supply planning data'!$I:$I,'Supply planning data'!$D:$D,DataViz!$B40,'Supply planning data'!$C:$C,DataViz!K$34),
0))))</f>
        <v>0</v>
      </c>
      <c r="L40" s="22">
        <f>IF(L$35="Dose 1",SUMIFS('Supply planning data'!$G:$G,'Supply planning data'!$D:$D,DataViz!$B40,'Supply planning data'!$C:$C,DataViz!L$34),
IF(L$35="Dose 2",SUMIFS('Supply planning data'!$H:$H,'Supply planning data'!$D:$D,DataViz!$B40,'Supply planning data'!$C:$C,DataViz!L$34),
IF(L$35="Wastage",SUMIFS('Supply planning data'!$K:$K,'Supply planning data'!$D:$D,DataViz!$B40,'Supply planning data'!$C:$C,DataViz!L$34),
IF(L$35="Additional",SUMIFS('Supply planning data'!$I:$I,'Supply planning data'!$D:$D,DataViz!$B40,'Supply planning data'!$C:$C,DataViz!L$34),
0))))</f>
        <v>0</v>
      </c>
      <c r="M40" s="22">
        <f>IF(M$35="Dose 1",SUMIFS('Supply planning data'!$G:$G,'Supply planning data'!$D:$D,DataViz!$B40,'Supply planning data'!$C:$C,DataViz!M$34),
IF(M$35="Dose 2",SUMIFS('Supply planning data'!$H:$H,'Supply planning data'!$D:$D,DataViz!$B40,'Supply planning data'!$C:$C,DataViz!M$34),
IF(M$35="Wastage",SUMIFS('Supply planning data'!$K:$K,'Supply planning data'!$D:$D,DataViz!$B40,'Supply planning data'!$C:$C,DataViz!M$34),
IF(M$35="Additional",SUMIFS('Supply planning data'!$I:$I,'Supply planning data'!$D:$D,DataViz!$B40,'Supply planning data'!$C:$C,DataViz!M$34),
0))))</f>
        <v>0</v>
      </c>
      <c r="N40" s="22">
        <f>IF(N$35="Dose 1",SUMIFS('Supply planning data'!$G:$G,'Supply planning data'!$D:$D,DataViz!$B40,'Supply planning data'!$C:$C,DataViz!N$34),
IF(N$35="Dose 2",SUMIFS('Supply planning data'!$H:$H,'Supply planning data'!$D:$D,DataViz!$B40,'Supply planning data'!$C:$C,DataViz!N$34),
IF(N$35="Wastage",SUMIFS('Supply planning data'!$K:$K,'Supply planning data'!$D:$D,DataViz!$B40,'Supply planning data'!$C:$C,DataViz!N$34),
IF(N$35="Additional",SUMIFS('Supply planning data'!$I:$I,'Supply planning data'!$D:$D,DataViz!$B40,'Supply planning data'!$C:$C,DataViz!N$34),
0))))</f>
        <v>0</v>
      </c>
      <c r="O40" s="22">
        <f>IF(O$35="Dose 1",SUMIFS('Supply planning data'!$G:$G,'Supply planning data'!$D:$D,DataViz!$B40,'Supply planning data'!$C:$C,DataViz!O$34),
IF(O$35="Dose 2",SUMIFS('Supply planning data'!$H:$H,'Supply planning data'!$D:$D,DataViz!$B40,'Supply planning data'!$C:$C,DataViz!O$34),
IF(O$35="Wastage",SUMIFS('Supply planning data'!$K:$K,'Supply planning data'!$D:$D,DataViz!$B40,'Supply planning data'!$C:$C,DataViz!O$34),
IF(O$35="Additional",SUMIFS('Supply planning data'!$I:$I,'Supply planning data'!$D:$D,DataViz!$B40,'Supply planning data'!$C:$C,DataViz!O$34),
0))))</f>
        <v>0</v>
      </c>
      <c r="P40" s="22">
        <f>IF(P$35="Dose 1",SUMIFS('Supply planning data'!$G:$G,'Supply planning data'!$D:$D,DataViz!$B40,'Supply planning data'!$C:$C,DataViz!P$34),
IF(P$35="Dose 2",SUMIFS('Supply planning data'!$H:$H,'Supply planning data'!$D:$D,DataViz!$B40,'Supply planning data'!$C:$C,DataViz!P$34),
IF(P$35="Wastage",SUMIFS('Supply planning data'!$K:$K,'Supply planning data'!$D:$D,DataViz!$B40,'Supply planning data'!$C:$C,DataViz!P$34),
IF(P$35="Additional",SUMIFS('Supply planning data'!$I:$I,'Supply planning data'!$D:$D,DataViz!$B40,'Supply planning data'!$C:$C,DataViz!P$34),
0))))</f>
        <v>0</v>
      </c>
      <c r="Q40" s="22">
        <f>IF(Q$35="Dose 1",SUMIFS('Supply planning data'!$G:$G,'Supply planning data'!$D:$D,DataViz!$B40,'Supply planning data'!$C:$C,DataViz!Q$34),
IF(Q$35="Dose 2",SUMIFS('Supply planning data'!$H:$H,'Supply planning data'!$D:$D,DataViz!$B40,'Supply planning data'!$C:$C,DataViz!Q$34),
IF(Q$35="Wastage",SUMIFS('Supply planning data'!$K:$K,'Supply planning data'!$D:$D,DataViz!$B40,'Supply planning data'!$C:$C,DataViz!Q$34),
IF(Q$35="Additional",SUMIFS('Supply planning data'!$I:$I,'Supply planning data'!$D:$D,DataViz!$B40,'Supply planning data'!$C:$C,DataViz!Q$34),
0))))</f>
        <v>0</v>
      </c>
      <c r="R40" s="22">
        <f>IF(R$35="Dose 1",SUMIFS('Supply planning data'!$G:$G,'Supply planning data'!$D:$D,DataViz!$B40,'Supply planning data'!$C:$C,DataViz!R$34),
IF(R$35="Dose 2",SUMIFS('Supply planning data'!$H:$H,'Supply planning data'!$D:$D,DataViz!$B40,'Supply planning data'!$C:$C,DataViz!R$34),
IF(R$35="Wastage",SUMIFS('Supply planning data'!$K:$K,'Supply planning data'!$D:$D,DataViz!$B40,'Supply planning data'!$C:$C,DataViz!R$34),
IF(R$35="Additional",SUMIFS('Supply planning data'!$I:$I,'Supply planning data'!$D:$D,DataViz!$B40,'Supply planning data'!$C:$C,DataViz!R$34),
0))))</f>
        <v>0</v>
      </c>
      <c r="S40" s="22">
        <f>IF(S$35="Dose 1",SUMIFS('Supply planning data'!$G:$G,'Supply planning data'!$D:$D,DataViz!$B40,'Supply planning data'!$C:$C,DataViz!S$34),
IF(S$35="Dose 2",SUMIFS('Supply planning data'!$H:$H,'Supply planning data'!$D:$D,DataViz!$B40,'Supply planning data'!$C:$C,DataViz!S$34),
IF(S$35="Wastage",SUMIFS('Supply planning data'!$K:$K,'Supply planning data'!$D:$D,DataViz!$B40,'Supply planning data'!$C:$C,DataViz!S$34),
IF(S$35="Additional",SUMIFS('Supply planning data'!$I:$I,'Supply planning data'!$D:$D,DataViz!$B40,'Supply planning data'!$C:$C,DataViz!S$34),
0))))</f>
        <v>0</v>
      </c>
      <c r="T40" s="22">
        <f>IF(T$35="Dose 1",SUMIFS('Supply planning data'!$G:$G,'Supply planning data'!$D:$D,DataViz!$B40,'Supply planning data'!$C:$C,DataViz!T$34),
IF(T$35="Dose 2",SUMIFS('Supply planning data'!$H:$H,'Supply planning data'!$D:$D,DataViz!$B40,'Supply planning data'!$C:$C,DataViz!T$34),
IF(T$35="Wastage",SUMIFS('Supply planning data'!$K:$K,'Supply planning data'!$D:$D,DataViz!$B40,'Supply planning data'!$C:$C,DataViz!T$34),
IF(T$35="Additional",SUMIFS('Supply planning data'!$I:$I,'Supply planning data'!$D:$D,DataViz!$B40,'Supply planning data'!$C:$C,DataViz!T$34),
0))))</f>
        <v>0</v>
      </c>
      <c r="U40" s="22">
        <f>IF(U$35="Dose 1",SUMIFS('Supply planning data'!$G:$G,'Supply planning data'!$D:$D,DataViz!$B40,'Supply planning data'!$C:$C,DataViz!U$34),
IF(U$35="Dose 2",SUMIFS('Supply planning data'!$H:$H,'Supply planning data'!$D:$D,DataViz!$B40,'Supply planning data'!$C:$C,DataViz!U$34),
IF(U$35="Wastage",SUMIFS('Supply planning data'!$K:$K,'Supply planning data'!$D:$D,DataViz!$B40,'Supply planning data'!$C:$C,DataViz!U$34),
IF(U$35="Additional",SUMIFS('Supply planning data'!$I:$I,'Supply planning data'!$D:$D,DataViz!$B40,'Supply planning data'!$C:$C,DataViz!U$34),
0))))</f>
        <v>0</v>
      </c>
      <c r="V40" s="22">
        <f>IF(V$35="Dose 1",SUMIFS('Supply planning data'!$G:$G,'Supply planning data'!$D:$D,DataViz!$B40,'Supply planning data'!$C:$C,DataViz!V$34),
IF(V$35="Dose 2",SUMIFS('Supply planning data'!$H:$H,'Supply planning data'!$D:$D,DataViz!$B40,'Supply planning data'!$C:$C,DataViz!V$34),
IF(V$35="Wastage",SUMIFS('Supply planning data'!$K:$K,'Supply planning data'!$D:$D,DataViz!$B40,'Supply planning data'!$C:$C,DataViz!V$34),
IF(V$35="Additional",SUMIFS('Supply planning data'!$I:$I,'Supply planning data'!$D:$D,DataViz!$B40,'Supply planning data'!$C:$C,DataViz!V$34),
0))))</f>
        <v>0</v>
      </c>
      <c r="W40" s="22">
        <f>IF(W$35="Dose 1",SUMIFS('Supply planning data'!$G:$G,'Supply planning data'!$D:$D,DataViz!$B40,'Supply planning data'!$C:$C,DataViz!W$34),
IF(W$35="Dose 2",SUMIFS('Supply planning data'!$H:$H,'Supply planning data'!$D:$D,DataViz!$B40,'Supply planning data'!$C:$C,DataViz!W$34),
IF(W$35="Wastage",SUMIFS('Supply planning data'!$K:$K,'Supply planning data'!$D:$D,DataViz!$B40,'Supply planning data'!$C:$C,DataViz!W$34),
IF(W$35="Additional",SUMIFS('Supply planning data'!$I:$I,'Supply planning data'!$D:$D,DataViz!$B40,'Supply planning data'!$C:$C,DataViz!W$34),
0))))</f>
        <v>0</v>
      </c>
      <c r="X40" s="22">
        <f>IF(X$35="Dose 1",SUMIFS('Supply planning data'!$G:$G,'Supply planning data'!$D:$D,DataViz!$B40,'Supply planning data'!$C:$C,DataViz!X$34),
IF(X$35="Dose 2",SUMIFS('Supply planning data'!$H:$H,'Supply planning data'!$D:$D,DataViz!$B40,'Supply planning data'!$C:$C,DataViz!X$34),
IF(X$35="Wastage",SUMIFS('Supply planning data'!$K:$K,'Supply planning data'!$D:$D,DataViz!$B40,'Supply planning data'!$C:$C,DataViz!X$34),
IF(X$35="Additional",SUMIFS('Supply planning data'!$I:$I,'Supply planning data'!$D:$D,DataViz!$B40,'Supply planning data'!$C:$C,DataViz!X$34),
0))))</f>
        <v>0</v>
      </c>
      <c r="Y40" s="22">
        <f>IF(Y$35="Dose 1",SUMIFS('Supply planning data'!$G:$G,'Supply planning data'!$D:$D,DataViz!$B40,'Supply planning data'!$C:$C,DataViz!Y$34),
IF(Y$35="Dose 2",SUMIFS('Supply planning data'!$H:$H,'Supply planning data'!$D:$D,DataViz!$B40,'Supply planning data'!$C:$C,DataViz!Y$34),
IF(Y$35="Wastage",SUMIFS('Supply planning data'!$K:$K,'Supply planning data'!$D:$D,DataViz!$B40,'Supply planning data'!$C:$C,DataViz!Y$34),
IF(Y$35="Additional",SUMIFS('Supply planning data'!$I:$I,'Supply planning data'!$D:$D,DataViz!$B40,'Supply planning data'!$C:$C,DataViz!Y$34),
0))))</f>
        <v>0</v>
      </c>
      <c r="Z40" s="22">
        <f>IF(Z$35="Dose 1",SUMIFS('Supply planning data'!$G:$G,'Supply planning data'!$D:$D,DataViz!$B40,'Supply planning data'!$C:$C,DataViz!Z$34),
IF(Z$35="Dose 2",SUMIFS('Supply planning data'!$H:$H,'Supply planning data'!$D:$D,DataViz!$B40,'Supply planning data'!$C:$C,DataViz!Z$34),
IF(Z$35="Wastage",SUMIFS('Supply planning data'!$K:$K,'Supply planning data'!$D:$D,DataViz!$B40,'Supply planning data'!$C:$C,DataViz!Z$34),
IF(Z$35="Additional",SUMIFS('Supply planning data'!$I:$I,'Supply planning data'!$D:$D,DataViz!$B40,'Supply planning data'!$C:$C,DataViz!Z$34),
0))))</f>
        <v>0</v>
      </c>
      <c r="AA40" s="22">
        <f>IF(AA$35="Dose 1",SUMIFS('Supply planning data'!$G:$G,'Supply planning data'!$D:$D,DataViz!$B40,'Supply planning data'!$C:$C,DataViz!AA$34),
IF(AA$35="Dose 2",SUMIFS('Supply planning data'!$H:$H,'Supply planning data'!$D:$D,DataViz!$B40,'Supply planning data'!$C:$C,DataViz!AA$34),
IF(AA$35="Wastage",SUMIFS('Supply planning data'!$K:$K,'Supply planning data'!$D:$D,DataViz!$B40,'Supply planning data'!$C:$C,DataViz!AA$34),
IF(AA$35="Additional",SUMIFS('Supply planning data'!$I:$I,'Supply planning data'!$D:$D,DataViz!$B40,'Supply planning data'!$C:$C,DataViz!AA$34),
0))))</f>
        <v>0</v>
      </c>
      <c r="AB40" s="22">
        <f>IF(AB$35="Dose 1",SUMIFS('Supply planning data'!$G:$G,'Supply planning data'!$D:$D,DataViz!$B40,'Supply planning data'!$C:$C,DataViz!AB$34),
IF(AB$35="Dose 2",SUMIFS('Supply planning data'!$H:$H,'Supply planning data'!$D:$D,DataViz!$B40,'Supply planning data'!$C:$C,DataViz!AB$34),
IF(AB$35="Wastage",SUMIFS('Supply planning data'!$K:$K,'Supply planning data'!$D:$D,DataViz!$B40,'Supply planning data'!$C:$C,DataViz!AB$34),
IF(AB$35="Additional",SUMIFS('Supply planning data'!$I:$I,'Supply planning data'!$D:$D,DataViz!$B40,'Supply planning data'!$C:$C,DataViz!AB$34),
0))))</f>
        <v>0</v>
      </c>
      <c r="AC40" s="22">
        <f>IF(AC$35="Dose 1",SUMIFS('Supply planning data'!$G:$G,'Supply planning data'!$D:$D,DataViz!$B40,'Supply planning data'!$C:$C,DataViz!AC$34),
IF(AC$35="Dose 2",SUMIFS('Supply planning data'!$H:$H,'Supply planning data'!$D:$D,DataViz!$B40,'Supply planning data'!$C:$C,DataViz!AC$34),
IF(AC$35="Wastage",SUMIFS('Supply planning data'!$K:$K,'Supply planning data'!$D:$D,DataViz!$B40,'Supply planning data'!$C:$C,DataViz!AC$34),
IF(AC$35="Additional",SUMIFS('Supply planning data'!$I:$I,'Supply planning data'!$D:$D,DataViz!$B40,'Supply planning data'!$C:$C,DataViz!AC$34),
0))))</f>
        <v>0</v>
      </c>
      <c r="AD40" s="22">
        <f>IF(AD$35="Dose 1",SUMIFS('Supply planning data'!$G:$G,'Supply planning data'!$D:$D,DataViz!$B40,'Supply planning data'!$C:$C,DataViz!AD$34),
IF(AD$35="Dose 2",SUMIFS('Supply planning data'!$H:$H,'Supply planning data'!$D:$D,DataViz!$B40,'Supply planning data'!$C:$C,DataViz!AD$34),
IF(AD$35="Wastage",SUMIFS('Supply planning data'!$K:$K,'Supply planning data'!$D:$D,DataViz!$B40,'Supply planning data'!$C:$C,DataViz!AD$34),
IF(AD$35="Additional",SUMIFS('Supply planning data'!$I:$I,'Supply planning data'!$D:$D,DataViz!$B40,'Supply planning data'!$C:$C,DataViz!AD$34),
0))))</f>
        <v>0</v>
      </c>
      <c r="AE40" s="22">
        <f>IF(AE$35="Dose 1",SUMIFS('Supply planning data'!$G:$G,'Supply planning data'!$D:$D,DataViz!$B40,'Supply planning data'!$C:$C,DataViz!AE$34),
IF(AE$35="Dose 2",SUMIFS('Supply planning data'!$H:$H,'Supply planning data'!$D:$D,DataViz!$B40,'Supply planning data'!$C:$C,DataViz!AE$34),
IF(AE$35="Wastage",SUMIFS('Supply planning data'!$K:$K,'Supply planning data'!$D:$D,DataViz!$B40,'Supply planning data'!$C:$C,DataViz!AE$34),
IF(AE$35="Additional",SUMIFS('Supply planning data'!$I:$I,'Supply planning data'!$D:$D,DataViz!$B40,'Supply planning data'!$C:$C,DataViz!AE$34),
0))))</f>
        <v>0</v>
      </c>
      <c r="AF40" s="22">
        <f>IF(AF$35="Dose 1",SUMIFS('Supply planning data'!$G:$G,'Supply planning data'!$D:$D,DataViz!$B40,'Supply planning data'!$C:$C,DataViz!AF$34),
IF(AF$35="Dose 2",SUMIFS('Supply planning data'!$H:$H,'Supply planning data'!$D:$D,DataViz!$B40,'Supply planning data'!$C:$C,DataViz!AF$34),
IF(AF$35="Wastage",SUMIFS('Supply planning data'!$K:$K,'Supply planning data'!$D:$D,DataViz!$B40,'Supply planning data'!$C:$C,DataViz!AF$34),
IF(AF$35="Additional",SUMIFS('Supply planning data'!$I:$I,'Supply planning data'!$D:$D,DataViz!$B40,'Supply planning data'!$C:$C,DataViz!AF$34),
0))))</f>
        <v>0</v>
      </c>
      <c r="AG40" s="22">
        <f>IF(AG$35="Dose 1",SUMIFS('Supply planning data'!$G:$G,'Supply planning data'!$D:$D,DataViz!$B40,'Supply planning data'!$C:$C,DataViz!AG$34),
IF(AG$35="Dose 2",SUMIFS('Supply planning data'!$H:$H,'Supply planning data'!$D:$D,DataViz!$B40,'Supply planning data'!$C:$C,DataViz!AG$34),
IF(AG$35="Wastage",SUMIFS('Supply planning data'!$K:$K,'Supply planning data'!$D:$D,DataViz!$B40,'Supply planning data'!$C:$C,DataViz!AG$34),
IF(AG$35="Additional",SUMIFS('Supply planning data'!$I:$I,'Supply planning data'!$D:$D,DataViz!$B40,'Supply planning data'!$C:$C,DataViz!AG$34),
0))))</f>
        <v>0</v>
      </c>
      <c r="AH40" s="22">
        <f>IF(AH$35="Dose 1",SUMIFS('Supply planning data'!$G:$G,'Supply planning data'!$D:$D,DataViz!$B40,'Supply planning data'!$C:$C,DataViz!AH$34),
IF(AH$35="Dose 2",SUMIFS('Supply planning data'!$H:$H,'Supply planning data'!$D:$D,DataViz!$B40,'Supply planning data'!$C:$C,DataViz!AH$34),
IF(AH$35="Wastage",SUMIFS('Supply planning data'!$K:$K,'Supply planning data'!$D:$D,DataViz!$B40,'Supply planning data'!$C:$C,DataViz!AH$34),
IF(AH$35="Additional",SUMIFS('Supply planning data'!$I:$I,'Supply planning data'!$D:$D,DataViz!$B40,'Supply planning data'!$C:$C,DataViz!AH$34),
0))))</f>
        <v>0</v>
      </c>
      <c r="AI40" s="22">
        <f>IF(AI$35="Dose 1",SUMIFS('Supply planning data'!$G:$G,'Supply planning data'!$D:$D,DataViz!$B40,'Supply planning data'!$C:$C,DataViz!AI$34),
IF(AI$35="Dose 2",SUMIFS('Supply planning data'!$H:$H,'Supply planning data'!$D:$D,DataViz!$B40,'Supply planning data'!$C:$C,DataViz!AI$34),
IF(AI$35="Wastage",SUMIFS('Supply planning data'!$K:$K,'Supply planning data'!$D:$D,DataViz!$B40,'Supply planning data'!$C:$C,DataViz!AI$34),
IF(AI$35="Additional",SUMIFS('Supply planning data'!$I:$I,'Supply planning data'!$D:$D,DataViz!$B40,'Supply planning data'!$C:$C,DataViz!AI$34),
0))))</f>
        <v>0</v>
      </c>
      <c r="AJ40" s="22">
        <f>IF(AJ$35="Dose 1",SUMIFS('Supply planning data'!$G:$G,'Supply planning data'!$D:$D,DataViz!$B40,'Supply planning data'!$C:$C,DataViz!AJ$34),
IF(AJ$35="Dose 2",SUMIFS('Supply planning data'!$H:$H,'Supply planning data'!$D:$D,DataViz!$B40,'Supply planning data'!$C:$C,DataViz!AJ$34),
IF(AJ$35="Wastage",SUMIFS('Supply planning data'!$K:$K,'Supply planning data'!$D:$D,DataViz!$B40,'Supply planning data'!$C:$C,DataViz!AJ$34),
IF(AJ$35="Additional",SUMIFS('Supply planning data'!$I:$I,'Supply planning data'!$D:$D,DataViz!$B40,'Supply planning data'!$C:$C,DataViz!AJ$34),
0))))</f>
        <v>0</v>
      </c>
      <c r="AK40" s="22">
        <f>IF(AK$35="Dose 1",SUMIFS('Supply planning data'!$G:$G,'Supply planning data'!$D:$D,DataViz!$B40,'Supply planning data'!$C:$C,DataViz!AK$34),
IF(AK$35="Dose 2",SUMIFS('Supply planning data'!$H:$H,'Supply planning data'!$D:$D,DataViz!$B40,'Supply planning data'!$C:$C,DataViz!AK$34),
IF(AK$35="Wastage",SUMIFS('Supply planning data'!$K:$K,'Supply planning data'!$D:$D,DataViz!$B40,'Supply planning data'!$C:$C,DataViz!AK$34),
IF(AK$35="Additional",SUMIFS('Supply planning data'!$I:$I,'Supply planning data'!$D:$D,DataViz!$B40,'Supply planning data'!$C:$C,DataViz!AK$34),
0))))</f>
        <v>0</v>
      </c>
      <c r="AL40" s="22">
        <f>IF(AL$35="Dose 1",SUMIFS('Supply planning data'!$G:$G,'Supply planning data'!$D:$D,DataViz!$B40,'Supply planning data'!$C:$C,DataViz!AL$34),
IF(AL$35="Dose 2",SUMIFS('Supply planning data'!$H:$H,'Supply planning data'!$D:$D,DataViz!$B40,'Supply planning data'!$C:$C,DataViz!AL$34),
IF(AL$35="Wastage",SUMIFS('Supply planning data'!$K:$K,'Supply planning data'!$D:$D,DataViz!$B40,'Supply planning data'!$C:$C,DataViz!AL$34),
IF(AL$35="Additional",SUMIFS('Supply planning data'!$I:$I,'Supply planning data'!$D:$D,DataViz!$B40,'Supply planning data'!$C:$C,DataViz!AL$34),
0))))</f>
        <v>0</v>
      </c>
      <c r="AM40" s="22">
        <f>IF(AM$35="Dose 1",SUMIFS('Supply planning data'!$G:$G,'Supply planning data'!$D:$D,DataViz!$B40,'Supply planning data'!$C:$C,DataViz!AM$34),
IF(AM$35="Dose 2",SUMIFS('Supply planning data'!$H:$H,'Supply planning data'!$D:$D,DataViz!$B40,'Supply planning data'!$C:$C,DataViz!AM$34),
IF(AM$35="Wastage",SUMIFS('Supply planning data'!$K:$K,'Supply planning data'!$D:$D,DataViz!$B40,'Supply planning data'!$C:$C,DataViz!AM$34),
IF(AM$35="Additional",SUMIFS('Supply planning data'!$I:$I,'Supply planning data'!$D:$D,DataViz!$B40,'Supply planning data'!$C:$C,DataViz!AM$34),
0))))</f>
        <v>0</v>
      </c>
      <c r="AN40" s="22">
        <f>IF(AN$35="Dose 1",SUMIFS('Supply planning data'!$G:$G,'Supply planning data'!$D:$D,DataViz!$B40,'Supply planning data'!$C:$C,DataViz!AN$34),
IF(AN$35="Dose 2",SUMIFS('Supply planning data'!$H:$H,'Supply planning data'!$D:$D,DataViz!$B40,'Supply planning data'!$C:$C,DataViz!AN$34),
IF(AN$35="Wastage",SUMIFS('Supply planning data'!$K:$K,'Supply planning data'!$D:$D,DataViz!$B40,'Supply planning data'!$C:$C,DataViz!AN$34),
IF(AN$35="Additional",SUMIFS('Supply planning data'!$I:$I,'Supply planning data'!$D:$D,DataViz!$B40,'Supply planning data'!$C:$C,DataViz!AN$34),
0))))</f>
        <v>0</v>
      </c>
      <c r="AO40" s="22">
        <f>IF(AO$35="Dose 1",SUMIFS('Supply planning data'!$G:$G,'Supply planning data'!$D:$D,DataViz!$B40,'Supply planning data'!$C:$C,DataViz!AO$34),
IF(AO$35="Dose 2",SUMIFS('Supply planning data'!$H:$H,'Supply planning data'!$D:$D,DataViz!$B40,'Supply planning data'!$C:$C,DataViz!AO$34),
IF(AO$35="Wastage",SUMIFS('Supply planning data'!$K:$K,'Supply planning data'!$D:$D,DataViz!$B40,'Supply planning data'!$C:$C,DataViz!AO$34),
IF(AO$35="Additional",SUMIFS('Supply planning data'!$I:$I,'Supply planning data'!$D:$D,DataViz!$B40,'Supply planning data'!$C:$C,DataViz!AO$34),
0))))</f>
        <v>0</v>
      </c>
      <c r="AP40" s="22">
        <f>IF(AP$35="Dose 1",SUMIFS('Supply planning data'!$G:$G,'Supply planning data'!$D:$D,DataViz!$B40,'Supply planning data'!$C:$C,DataViz!AP$34),
IF(AP$35="Dose 2",SUMIFS('Supply planning data'!$H:$H,'Supply planning data'!$D:$D,DataViz!$B40,'Supply planning data'!$C:$C,DataViz!AP$34),
IF(AP$35="Wastage",SUMIFS('Supply planning data'!$K:$K,'Supply planning data'!$D:$D,DataViz!$B40,'Supply planning data'!$C:$C,DataViz!AP$34),
IF(AP$35="Additional",SUMIFS('Supply planning data'!$I:$I,'Supply planning data'!$D:$D,DataViz!$B40,'Supply planning data'!$C:$C,DataViz!AP$34),
0))))</f>
        <v>0</v>
      </c>
      <c r="AQ40" s="22">
        <f>IF(AQ$35="Dose 1",SUMIFS('Supply planning data'!$G:$G,'Supply planning data'!$D:$D,DataViz!$B40,'Supply planning data'!$C:$C,DataViz!AQ$34),
IF(AQ$35="Dose 2",SUMIFS('Supply planning data'!$H:$H,'Supply planning data'!$D:$D,DataViz!$B40,'Supply planning data'!$C:$C,DataViz!AQ$34),
IF(AQ$35="Wastage",SUMIFS('Supply planning data'!$K:$K,'Supply planning data'!$D:$D,DataViz!$B40,'Supply planning data'!$C:$C,DataViz!AQ$34),
IF(AQ$35="Additional",SUMIFS('Supply planning data'!$I:$I,'Supply planning data'!$D:$D,DataViz!$B40,'Supply planning data'!$C:$C,DataViz!AQ$34),
0))))</f>
        <v>0</v>
      </c>
      <c r="AR40" s="22">
        <f>IF(AR$35="Dose 1",SUMIFS('Supply planning data'!$G:$G,'Supply planning data'!$D:$D,DataViz!$B40,'Supply planning data'!$C:$C,DataViz!AR$34),
IF(AR$35="Dose 2",SUMIFS('Supply planning data'!$H:$H,'Supply planning data'!$D:$D,DataViz!$B40,'Supply planning data'!$C:$C,DataViz!AR$34),
IF(AR$35="Wastage",SUMIFS('Supply planning data'!$K:$K,'Supply planning data'!$D:$D,DataViz!$B40,'Supply planning data'!$C:$C,DataViz!AR$34),
IF(AR$35="Additional",SUMIFS('Supply planning data'!$I:$I,'Supply planning data'!$D:$D,DataViz!$B40,'Supply planning data'!$C:$C,DataViz!AR$34),
0))))</f>
        <v>0</v>
      </c>
      <c r="AS40" s="22">
        <f>IF(AS$35="Dose 1",SUMIFS('Supply planning data'!$G:$G,'Supply planning data'!$D:$D,DataViz!$B40,'Supply planning data'!$C:$C,DataViz!AS$34),
IF(AS$35="Dose 2",SUMIFS('Supply planning data'!$H:$H,'Supply planning data'!$D:$D,DataViz!$B40,'Supply planning data'!$C:$C,DataViz!AS$34),
IF(AS$35="Wastage",SUMIFS('Supply planning data'!$K:$K,'Supply planning data'!$D:$D,DataViz!$B40,'Supply planning data'!$C:$C,DataViz!AS$34),
IF(AS$35="Additional",SUMIFS('Supply planning data'!$I:$I,'Supply planning data'!$D:$D,DataViz!$B40,'Supply planning data'!$C:$C,DataViz!AS$34),
0))))</f>
        <v>0</v>
      </c>
      <c r="AT40" s="22">
        <f>IF(AT$35="Dose 1",SUMIFS('Supply planning data'!$G:$G,'Supply planning data'!$D:$D,DataViz!$B40,'Supply planning data'!$C:$C,DataViz!AT$34),
IF(AT$35="Dose 2",SUMIFS('Supply planning data'!$H:$H,'Supply planning data'!$D:$D,DataViz!$B40,'Supply planning data'!$C:$C,DataViz!AT$34),
IF(AT$35="Wastage",SUMIFS('Supply planning data'!$K:$K,'Supply planning data'!$D:$D,DataViz!$B40,'Supply planning data'!$C:$C,DataViz!AT$34),
IF(AT$35="Additional",SUMIFS('Supply planning data'!$I:$I,'Supply planning data'!$D:$D,DataViz!$B40,'Supply planning data'!$C:$C,DataViz!AT$34),
0))))</f>
        <v>0</v>
      </c>
      <c r="AU40" s="22">
        <f>IF(AU$35="Dose 1",SUMIFS('Supply planning data'!$G:$G,'Supply planning data'!$D:$D,DataViz!$B40,'Supply planning data'!$C:$C,DataViz!AU$34),
IF(AU$35="Dose 2",SUMIFS('Supply planning data'!$H:$H,'Supply planning data'!$D:$D,DataViz!$B40,'Supply planning data'!$C:$C,DataViz!AU$34),
IF(AU$35="Wastage",SUMIFS('Supply planning data'!$K:$K,'Supply planning data'!$D:$D,DataViz!$B40,'Supply planning data'!$C:$C,DataViz!AU$34),
IF(AU$35="Additional",SUMIFS('Supply planning data'!$I:$I,'Supply planning data'!$D:$D,DataViz!$B40,'Supply planning data'!$C:$C,DataViz!AU$34),
0))))</f>
        <v>0</v>
      </c>
      <c r="AV40" s="22">
        <f>IF(AV$35="Dose 1",SUMIFS('Supply planning data'!$G:$G,'Supply planning data'!$D:$D,DataViz!$B40,'Supply planning data'!$C:$C,DataViz!AV$34),
IF(AV$35="Dose 2",SUMIFS('Supply planning data'!$H:$H,'Supply planning data'!$D:$D,DataViz!$B40,'Supply planning data'!$C:$C,DataViz!AV$34),
IF(AV$35="Wastage",SUMIFS('Supply planning data'!$K:$K,'Supply planning data'!$D:$D,DataViz!$B40,'Supply planning data'!$C:$C,DataViz!AV$34),
IF(AV$35="Additional",SUMIFS('Supply planning data'!$I:$I,'Supply planning data'!$D:$D,DataViz!$B40,'Supply planning data'!$C:$C,DataViz!AV$34),
0))))</f>
        <v>0</v>
      </c>
      <c r="AW40" s="22">
        <f>IF(AW$35="Dose 1",SUMIFS('Supply planning data'!$G:$G,'Supply planning data'!$D:$D,DataViz!$B40,'Supply planning data'!$C:$C,DataViz!AW$34),
IF(AW$35="Dose 2",SUMIFS('Supply planning data'!$H:$H,'Supply planning data'!$D:$D,DataViz!$B40,'Supply planning data'!$C:$C,DataViz!AW$34),
IF(AW$35="Wastage",SUMIFS('Supply planning data'!$K:$K,'Supply planning data'!$D:$D,DataViz!$B40,'Supply planning data'!$C:$C,DataViz!AW$34),
IF(AW$35="Additional",SUMIFS('Supply planning data'!$I:$I,'Supply planning data'!$D:$D,DataViz!$B40,'Supply planning data'!$C:$C,DataViz!AW$34),
0))))</f>
        <v>0</v>
      </c>
      <c r="AX40" s="22">
        <f>IF(AX$35="Dose 1",SUMIFS('Supply planning data'!$G:$G,'Supply planning data'!$D:$D,DataViz!$B40,'Supply planning data'!$C:$C,DataViz!AX$34),
IF(AX$35="Dose 2",SUMIFS('Supply planning data'!$H:$H,'Supply planning data'!$D:$D,DataViz!$B40,'Supply planning data'!$C:$C,DataViz!AX$34),
IF(AX$35="Wastage",SUMIFS('Supply planning data'!$K:$K,'Supply planning data'!$D:$D,DataViz!$B40,'Supply planning data'!$C:$C,DataViz!AX$34),
IF(AX$35="Additional",SUMIFS('Supply planning data'!$I:$I,'Supply planning data'!$D:$D,DataViz!$B40,'Supply planning data'!$C:$C,DataViz!AX$34),
0))))</f>
        <v>0</v>
      </c>
      <c r="AY40" s="22">
        <f>IF(AY$35="Dose 1",SUMIFS('Supply planning data'!$G:$G,'Supply planning data'!$D:$D,DataViz!$B40,'Supply planning data'!$C:$C,DataViz!AY$34),
IF(AY$35="Dose 2",SUMIFS('Supply planning data'!$H:$H,'Supply planning data'!$D:$D,DataViz!$B40,'Supply planning data'!$C:$C,DataViz!AY$34),
IF(AY$35="Wastage",SUMIFS('Supply planning data'!$K:$K,'Supply planning data'!$D:$D,DataViz!$B40,'Supply planning data'!$C:$C,DataViz!AY$34),
IF(AY$35="Additional",SUMIFS('Supply planning data'!$I:$I,'Supply planning data'!$D:$D,DataViz!$B40,'Supply planning data'!$C:$C,DataViz!AY$34),
0))))</f>
        <v>0</v>
      </c>
      <c r="AZ40" s="22">
        <f>IF(AZ$35="Dose 1",SUMIFS('Supply planning data'!$G:$G,'Supply planning data'!$D:$D,DataViz!$B40,'Supply planning data'!$C:$C,DataViz!AZ$34),
IF(AZ$35="Dose 2",SUMIFS('Supply planning data'!$H:$H,'Supply planning data'!$D:$D,DataViz!$B40,'Supply planning data'!$C:$C,DataViz!AZ$34),
IF(AZ$35="Wastage",SUMIFS('Supply planning data'!$K:$K,'Supply planning data'!$D:$D,DataViz!$B40,'Supply planning data'!$C:$C,DataViz!AZ$34),
IF(AZ$35="Additional",SUMIFS('Supply planning data'!$I:$I,'Supply planning data'!$D:$D,DataViz!$B40,'Supply planning data'!$C:$C,DataViz!AZ$34),
0))))</f>
        <v>0</v>
      </c>
      <c r="BA40" s="22">
        <f>IF(BA$35="Dose 1",SUMIFS('Supply planning data'!$G:$G,'Supply planning data'!$D:$D,DataViz!$B40,'Supply planning data'!$C:$C,DataViz!BA$34),
IF(BA$35="Dose 2",SUMIFS('Supply planning data'!$H:$H,'Supply planning data'!$D:$D,DataViz!$B40,'Supply planning data'!$C:$C,DataViz!BA$34),
IF(BA$35="Wastage",SUMIFS('Supply planning data'!$K:$K,'Supply planning data'!$D:$D,DataViz!$B40,'Supply planning data'!$C:$C,DataViz!BA$34),
IF(BA$35="Additional",SUMIFS('Supply planning data'!$I:$I,'Supply planning data'!$D:$D,DataViz!$B40,'Supply planning data'!$C:$C,DataViz!BA$34),
0))))</f>
        <v>0</v>
      </c>
      <c r="BB40" s="22">
        <f>IF(BB$35="Dose 1",SUMIFS('Supply planning data'!$G:$G,'Supply planning data'!$D:$D,DataViz!$B40,'Supply planning data'!$C:$C,DataViz!BB$34),
IF(BB$35="Dose 2",SUMIFS('Supply planning data'!$H:$H,'Supply planning data'!$D:$D,DataViz!$B40,'Supply planning data'!$C:$C,DataViz!BB$34),
IF(BB$35="Wastage",SUMIFS('Supply planning data'!$K:$K,'Supply planning data'!$D:$D,DataViz!$B40,'Supply planning data'!$C:$C,DataViz!BB$34),
IF(BB$35="Additional",SUMIFS('Supply planning data'!$I:$I,'Supply planning data'!$D:$D,DataViz!$B40,'Supply planning data'!$C:$C,DataViz!BB$34),
0))))</f>
        <v>0</v>
      </c>
      <c r="BC40" s="22">
        <f>IF(BC$35="Dose 1",SUMIFS('Supply planning data'!$G:$G,'Supply planning data'!$D:$D,DataViz!$B40,'Supply planning data'!$C:$C,DataViz!BC$34),
IF(BC$35="Dose 2",SUMIFS('Supply planning data'!$H:$H,'Supply planning data'!$D:$D,DataViz!$B40,'Supply planning data'!$C:$C,DataViz!BC$34),
IF(BC$35="Wastage",SUMIFS('Supply planning data'!$K:$K,'Supply planning data'!$D:$D,DataViz!$B40,'Supply planning data'!$C:$C,DataViz!BC$34),
IF(BC$35="Additional",SUMIFS('Supply planning data'!$I:$I,'Supply planning data'!$D:$D,DataViz!$B40,'Supply planning data'!$C:$C,DataViz!BC$34),
0))))</f>
        <v>0</v>
      </c>
      <c r="BD40" s="22">
        <f>IF(BD$35="Dose 1",SUMIFS('Supply planning data'!$G:$G,'Supply planning data'!$D:$D,DataViz!$B40,'Supply planning data'!$C:$C,DataViz!BD$34),
IF(BD$35="Dose 2",SUMIFS('Supply planning data'!$H:$H,'Supply planning data'!$D:$D,DataViz!$B40,'Supply planning data'!$C:$C,DataViz!BD$34),
IF(BD$35="Wastage",SUMIFS('Supply planning data'!$K:$K,'Supply planning data'!$D:$D,DataViz!$B40,'Supply planning data'!$C:$C,DataViz!BD$34),
IF(BD$35="Additional",SUMIFS('Supply planning data'!$I:$I,'Supply planning data'!$D:$D,DataViz!$B40,'Supply planning data'!$C:$C,DataViz!BD$34),
0))))</f>
        <v>0</v>
      </c>
      <c r="BE40" s="22">
        <f>IF(BE$35="Dose 1",SUMIFS('Supply planning data'!$G:$G,'Supply planning data'!$D:$D,DataViz!$B40,'Supply planning data'!$C:$C,DataViz!BE$34),
IF(BE$35="Dose 2",SUMIFS('Supply planning data'!$H:$H,'Supply planning data'!$D:$D,DataViz!$B40,'Supply planning data'!$C:$C,DataViz!BE$34),
IF(BE$35="Wastage",SUMIFS('Supply planning data'!$K:$K,'Supply planning data'!$D:$D,DataViz!$B40,'Supply planning data'!$C:$C,DataViz!BE$34),
IF(BE$35="Additional",SUMIFS('Supply planning data'!$I:$I,'Supply planning data'!$D:$D,DataViz!$B40,'Supply planning data'!$C:$C,DataViz!BE$34),
0))))</f>
        <v>0</v>
      </c>
      <c r="BF40" s="22">
        <f>IF(BF$35="Dose 1",SUMIFS('Supply planning data'!$G:$G,'Supply planning data'!$D:$D,DataViz!$B40,'Supply planning data'!$C:$C,DataViz!BF$34),
IF(BF$35="Dose 2",SUMIFS('Supply planning data'!$H:$H,'Supply planning data'!$D:$D,DataViz!$B40,'Supply planning data'!$C:$C,DataViz!BF$34),
IF(BF$35="Wastage",SUMIFS('Supply planning data'!$K:$K,'Supply planning data'!$D:$D,DataViz!$B40,'Supply planning data'!$C:$C,DataViz!BF$34),
IF(BF$35="Additional",SUMIFS('Supply planning data'!$I:$I,'Supply planning data'!$D:$D,DataViz!$B40,'Supply planning data'!$C:$C,DataViz!BF$34),
0))))</f>
        <v>0</v>
      </c>
      <c r="BG40" s="22">
        <f>IF(BG$35="Dose 1",SUMIFS('Supply planning data'!$G:$G,'Supply planning data'!$D:$D,DataViz!$B40,'Supply planning data'!$C:$C,DataViz!BG$34),
IF(BG$35="Dose 2",SUMIFS('Supply planning data'!$H:$H,'Supply planning data'!$D:$D,DataViz!$B40,'Supply planning data'!$C:$C,DataViz!BG$34),
IF(BG$35="Wastage",SUMIFS('Supply planning data'!$K:$K,'Supply planning data'!$D:$D,DataViz!$B40,'Supply planning data'!$C:$C,DataViz!BG$34),
IF(BG$35="Additional",SUMIFS('Supply planning data'!$I:$I,'Supply planning data'!$D:$D,DataViz!$B40,'Supply planning data'!$C:$C,DataViz!BG$34),
0))))</f>
        <v>0</v>
      </c>
      <c r="BH40" s="22">
        <f>IF(BH$35="Dose 1",SUMIFS('Supply planning data'!$G:$G,'Supply planning data'!$D:$D,DataViz!$B40,'Supply planning data'!$C:$C,DataViz!BH$34),
IF(BH$35="Dose 2",SUMIFS('Supply planning data'!$H:$H,'Supply planning data'!$D:$D,DataViz!$B40,'Supply planning data'!$C:$C,DataViz!BH$34),
IF(BH$35="Wastage",SUMIFS('Supply planning data'!$K:$K,'Supply planning data'!$D:$D,DataViz!$B40,'Supply planning data'!$C:$C,DataViz!BH$34),
IF(BH$35="Additional",SUMIFS('Supply planning data'!$I:$I,'Supply planning data'!$D:$D,DataViz!$B40,'Supply planning data'!$C:$C,DataViz!BH$34),
0))))</f>
        <v>0</v>
      </c>
      <c r="BI40" s="22">
        <f>IF(BI$35="Dose 1",SUMIFS('Supply planning data'!$G:$G,'Supply planning data'!$D:$D,DataViz!$B40,'Supply planning data'!$C:$C,DataViz!BI$34),
IF(BI$35="Dose 2",SUMIFS('Supply planning data'!$H:$H,'Supply planning data'!$D:$D,DataViz!$B40,'Supply planning data'!$C:$C,DataViz!BI$34),
IF(BI$35="Wastage",SUMIFS('Supply planning data'!$K:$K,'Supply planning data'!$D:$D,DataViz!$B40,'Supply planning data'!$C:$C,DataViz!BI$34),
IF(BI$35="Additional",SUMIFS('Supply planning data'!$I:$I,'Supply planning data'!$D:$D,DataViz!$B40,'Supply planning data'!$C:$C,DataViz!BI$34),
0))))</f>
        <v>0</v>
      </c>
      <c r="BJ40" s="22">
        <f>IF(BJ$35="Dose 1",SUMIFS('Supply planning data'!$G:$G,'Supply planning data'!$D:$D,DataViz!$B40,'Supply planning data'!$C:$C,DataViz!BJ$34),
IF(BJ$35="Dose 2",SUMIFS('Supply planning data'!$H:$H,'Supply planning data'!$D:$D,DataViz!$B40,'Supply planning data'!$C:$C,DataViz!BJ$34),
IF(BJ$35="Wastage",SUMIFS('Supply planning data'!$K:$K,'Supply planning data'!$D:$D,DataViz!$B40,'Supply planning data'!$C:$C,DataViz!BJ$34),
IF(BJ$35="Additional",SUMIFS('Supply planning data'!$I:$I,'Supply planning data'!$D:$D,DataViz!$B40,'Supply planning data'!$C:$C,DataViz!BJ$34),
0))))</f>
        <v>0</v>
      </c>
      <c r="BK40" s="22">
        <f>IF(BK$35="Dose 1",SUMIFS('Supply planning data'!$G:$G,'Supply planning data'!$D:$D,DataViz!$B40,'Supply planning data'!$C:$C,DataViz!BK$34),
IF(BK$35="Dose 2",SUMIFS('Supply planning data'!$H:$H,'Supply planning data'!$D:$D,DataViz!$B40,'Supply planning data'!$C:$C,DataViz!BK$34),
IF(BK$35="Wastage",SUMIFS('Supply planning data'!$K:$K,'Supply planning data'!$D:$D,DataViz!$B40,'Supply planning data'!$C:$C,DataViz!BK$34),
IF(BK$35="Additional",SUMIFS('Supply planning data'!$I:$I,'Supply planning data'!$D:$D,DataViz!$B40,'Supply planning data'!$C:$C,DataViz!BK$34),
0))))</f>
        <v>0</v>
      </c>
      <c r="BL40" s="22">
        <f>IF(BL$35="Dose 1",SUMIFS('Supply planning data'!$G:$G,'Supply planning data'!$D:$D,DataViz!$B40,'Supply planning data'!$C:$C,DataViz!BL$34),
IF(BL$35="Dose 2",SUMIFS('Supply planning data'!$H:$H,'Supply planning data'!$D:$D,DataViz!$B40,'Supply planning data'!$C:$C,DataViz!BL$34),
IF(BL$35="Wastage",SUMIFS('Supply planning data'!$K:$K,'Supply planning data'!$D:$D,DataViz!$B40,'Supply planning data'!$C:$C,DataViz!BL$34),
IF(BL$35="Additional",SUMIFS('Supply planning data'!$I:$I,'Supply planning data'!$D:$D,DataViz!$B40,'Supply planning data'!$C:$C,DataViz!BL$34),
0))))</f>
        <v>0</v>
      </c>
    </row>
    <row r="41" spans="1:64" x14ac:dyDescent="0.25">
      <c r="A41" s="20">
        <v>3</v>
      </c>
      <c r="B41" s="21">
        <f t="shared" ref="B41:B62" si="15">DATE(YEAR(B40),MONTH(B40)+1,1)</f>
        <v>44348</v>
      </c>
      <c r="C41" s="22">
        <f>IF(VLOOKUP(Dashboard!$M$6,Start!$B$10:$E$12,4,FALSE)&gt;0,VLOOKUP(Dashboard!$M$6,Start!$B$10:$E$12,4, FALSE),VLOOKUP(Dashboard!$M$6,Start!$B$10:$E$12,3, FALSE))</f>
        <v>60000000</v>
      </c>
      <c r="D41" s="22">
        <f>SUMIFS('Supply planning data'!M:M,'Supply planning data'!D:D,"&lt;="&amp;DataViz!B41)</f>
        <v>127320</v>
      </c>
      <c r="E41" s="22">
        <f>IF(E$35="Dose 1",SUMIFS('Supply planning data'!$G:$G,'Supply planning data'!$D:$D,DataViz!$B41,'Supply planning data'!$C:$C,DataViz!E$34),
IF(E$35="Dose 2",SUMIFS('Supply planning data'!$H:$H,'Supply planning data'!$D:$D,DataViz!$B41,'Supply planning data'!$C:$C,DataViz!E$34),
IF(E$35="Wastage",SUMIFS('Supply planning data'!$K:$K,'Supply planning data'!$D:$D,DataViz!$B41,'Supply planning data'!$C:$C,DataViz!E$34),
IF(E$35="Additional",SUMIFS('Supply planning data'!$I:$I,'Supply planning data'!$D:$D,DataViz!$B41,'Supply planning data'!$C:$C,DataViz!E$34),
0))))</f>
        <v>84087</v>
      </c>
      <c r="F41" s="22">
        <f>IF(F$35="Dose 1",SUMIFS('Supply planning data'!$G:$G,'Supply planning data'!$D:$D,DataViz!$B41,'Supply planning data'!$C:$C,DataViz!F$34),
IF(F$35="Dose 2",SUMIFS('Supply planning data'!$H:$H,'Supply planning data'!$D:$D,DataViz!$B41,'Supply planning data'!$C:$C,DataViz!F$34),
IF(F$35="Wastage",SUMIFS('Supply planning data'!$K:$K,'Supply planning data'!$D:$D,DataViz!$B41,'Supply planning data'!$C:$C,DataViz!F$34),
IF(F$35="Additional",SUMIFS('Supply planning data'!$I:$I,'Supply planning data'!$D:$D,DataViz!$B41,'Supply planning data'!$C:$C,DataViz!F$34),
0))))</f>
        <v>788</v>
      </c>
      <c r="G41" s="22">
        <f>IF(G$35="Dose 1",SUMIFS('Supply planning data'!$G:$G,'Supply planning data'!$D:$D,DataViz!$B41,'Supply planning data'!$C:$C,DataViz!G$34),
IF(G$35="Dose 2",SUMIFS('Supply planning data'!$H:$H,'Supply planning data'!$D:$D,DataViz!$B41,'Supply planning data'!$C:$C,DataViz!G$34),
IF(G$35="Wastage",SUMIFS('Supply planning data'!$K:$K,'Supply planning data'!$D:$D,DataViz!$B41,'Supply planning data'!$C:$C,DataViz!G$34),
IF(G$35="Additional",SUMIFS('Supply planning data'!$I:$I,'Supply planning data'!$D:$D,DataViz!$B41,'Supply planning data'!$C:$C,DataViz!G$34),
0))))</f>
        <v>0</v>
      </c>
      <c r="H41" s="22">
        <f>IF(H$35="Dose 1",SUMIFS('Supply planning data'!$G:$G,'Supply planning data'!$D:$D,DataViz!$B41,'Supply planning data'!$C:$C,DataViz!H$34),
IF(H$35="Dose 2",SUMIFS('Supply planning data'!$H:$H,'Supply planning data'!$D:$D,DataViz!$B41,'Supply planning data'!$C:$C,DataViz!H$34),
IF(H$35="Wastage",SUMIFS('Supply planning data'!$K:$K,'Supply planning data'!$D:$D,DataViz!$B41,'Supply planning data'!$C:$C,DataViz!H$34),
IF(H$35="Additional",SUMIFS('Supply planning data'!$I:$I,'Supply planning data'!$D:$D,DataViz!$B41,'Supply planning data'!$C:$C,DataViz!H$34),
0))))</f>
        <v>0</v>
      </c>
      <c r="I41" s="22">
        <f>IF(I$35="Dose 1",SUMIFS('Supply planning data'!$G:$G,'Supply planning data'!$D:$D,DataViz!$B41,'Supply planning data'!$C:$C,DataViz!I$34),
IF(I$35="Dose 2",SUMIFS('Supply planning data'!$H:$H,'Supply planning data'!$D:$D,DataViz!$B41,'Supply planning data'!$C:$C,DataViz!I$34),
IF(I$35="Wastage",SUMIFS('Supply planning data'!$K:$K,'Supply planning data'!$D:$D,DataViz!$B41,'Supply planning data'!$C:$C,DataViz!I$34),
IF(I$35="Additional",SUMIFS('Supply planning data'!$I:$I,'Supply planning data'!$D:$D,DataViz!$B41,'Supply planning data'!$C:$C,DataViz!I$34),
0))))</f>
        <v>0</v>
      </c>
      <c r="J41" s="22">
        <f>IF(J$35="Dose 1",SUMIFS('Supply planning data'!$G:$G,'Supply planning data'!$D:$D,DataViz!$B41,'Supply planning data'!$C:$C,DataViz!J$34),
IF(J$35="Dose 2",SUMIFS('Supply planning data'!$H:$H,'Supply planning data'!$D:$D,DataViz!$B41,'Supply planning data'!$C:$C,DataViz!J$34),
IF(J$35="Wastage",SUMIFS('Supply planning data'!$K:$K,'Supply planning data'!$D:$D,DataViz!$B41,'Supply planning data'!$C:$C,DataViz!J$34),
IF(J$35="Additional",SUMIFS('Supply planning data'!$I:$I,'Supply planning data'!$D:$D,DataViz!$B41,'Supply planning data'!$C:$C,DataViz!J$34),
0))))</f>
        <v>0</v>
      </c>
      <c r="K41" s="22">
        <f>IF(K$35="Dose 1",SUMIFS('Supply planning data'!$G:$G,'Supply planning data'!$D:$D,DataViz!$B41,'Supply planning data'!$C:$C,DataViz!K$34),
IF(K$35="Dose 2",SUMIFS('Supply planning data'!$H:$H,'Supply planning data'!$D:$D,DataViz!$B41,'Supply planning data'!$C:$C,DataViz!K$34),
IF(K$35="Wastage",SUMIFS('Supply planning data'!$K:$K,'Supply planning data'!$D:$D,DataViz!$B41,'Supply planning data'!$C:$C,DataViz!K$34),
IF(K$35="Additional",SUMIFS('Supply planning data'!$I:$I,'Supply planning data'!$D:$D,DataViz!$B41,'Supply planning data'!$C:$C,DataViz!K$34),
0))))</f>
        <v>0</v>
      </c>
      <c r="L41" s="22">
        <f>IF(L$35="Dose 1",SUMIFS('Supply planning data'!$G:$G,'Supply planning data'!$D:$D,DataViz!$B41,'Supply planning data'!$C:$C,DataViz!L$34),
IF(L$35="Dose 2",SUMIFS('Supply planning data'!$H:$H,'Supply planning data'!$D:$D,DataViz!$B41,'Supply planning data'!$C:$C,DataViz!L$34),
IF(L$35="Wastage",SUMIFS('Supply planning data'!$K:$K,'Supply planning data'!$D:$D,DataViz!$B41,'Supply planning data'!$C:$C,DataViz!L$34),
IF(L$35="Additional",SUMIFS('Supply planning data'!$I:$I,'Supply planning data'!$D:$D,DataViz!$B41,'Supply planning data'!$C:$C,DataViz!L$34),
0))))</f>
        <v>0</v>
      </c>
      <c r="M41" s="22">
        <f>IF(M$35="Dose 1",SUMIFS('Supply planning data'!$G:$G,'Supply planning data'!$D:$D,DataViz!$B41,'Supply planning data'!$C:$C,DataViz!M$34),
IF(M$35="Dose 2",SUMIFS('Supply planning data'!$H:$H,'Supply planning data'!$D:$D,DataViz!$B41,'Supply planning data'!$C:$C,DataViz!M$34),
IF(M$35="Wastage",SUMIFS('Supply planning data'!$K:$K,'Supply planning data'!$D:$D,DataViz!$B41,'Supply planning data'!$C:$C,DataViz!M$34),
IF(M$35="Additional",SUMIFS('Supply planning data'!$I:$I,'Supply planning data'!$D:$D,DataViz!$B41,'Supply planning data'!$C:$C,DataViz!M$34),
0))))</f>
        <v>0</v>
      </c>
      <c r="N41" s="22">
        <f>IF(N$35="Dose 1",SUMIFS('Supply planning data'!$G:$G,'Supply planning data'!$D:$D,DataViz!$B41,'Supply planning data'!$C:$C,DataViz!N$34),
IF(N$35="Dose 2",SUMIFS('Supply planning data'!$H:$H,'Supply planning data'!$D:$D,DataViz!$B41,'Supply planning data'!$C:$C,DataViz!N$34),
IF(N$35="Wastage",SUMIFS('Supply planning data'!$K:$K,'Supply planning data'!$D:$D,DataViz!$B41,'Supply planning data'!$C:$C,DataViz!N$34),
IF(N$35="Additional",SUMIFS('Supply planning data'!$I:$I,'Supply planning data'!$D:$D,DataViz!$B41,'Supply planning data'!$C:$C,DataViz!N$34),
0))))</f>
        <v>0</v>
      </c>
      <c r="O41" s="22">
        <f>IF(O$35="Dose 1",SUMIFS('Supply planning data'!$G:$G,'Supply planning data'!$D:$D,DataViz!$B41,'Supply planning data'!$C:$C,DataViz!O$34),
IF(O$35="Dose 2",SUMIFS('Supply planning data'!$H:$H,'Supply planning data'!$D:$D,DataViz!$B41,'Supply planning data'!$C:$C,DataViz!O$34),
IF(O$35="Wastage",SUMIFS('Supply planning data'!$K:$K,'Supply planning data'!$D:$D,DataViz!$B41,'Supply planning data'!$C:$C,DataViz!O$34),
IF(O$35="Additional",SUMIFS('Supply planning data'!$I:$I,'Supply planning data'!$D:$D,DataViz!$B41,'Supply planning data'!$C:$C,DataViz!O$34),
0))))</f>
        <v>0</v>
      </c>
      <c r="P41" s="22">
        <f>IF(P$35="Dose 1",SUMIFS('Supply planning data'!$G:$G,'Supply planning data'!$D:$D,DataViz!$B41,'Supply planning data'!$C:$C,DataViz!P$34),
IF(P$35="Dose 2",SUMIFS('Supply planning data'!$H:$H,'Supply planning data'!$D:$D,DataViz!$B41,'Supply planning data'!$C:$C,DataViz!P$34),
IF(P$35="Wastage",SUMIFS('Supply planning data'!$K:$K,'Supply planning data'!$D:$D,DataViz!$B41,'Supply planning data'!$C:$C,DataViz!P$34),
IF(P$35="Additional",SUMIFS('Supply planning data'!$I:$I,'Supply planning data'!$D:$D,DataViz!$B41,'Supply planning data'!$C:$C,DataViz!P$34),
0))))</f>
        <v>0</v>
      </c>
      <c r="Q41" s="22">
        <f>IF(Q$35="Dose 1",SUMIFS('Supply planning data'!$G:$G,'Supply planning data'!$D:$D,DataViz!$B41,'Supply planning data'!$C:$C,DataViz!Q$34),
IF(Q$35="Dose 2",SUMIFS('Supply planning data'!$H:$H,'Supply planning data'!$D:$D,DataViz!$B41,'Supply planning data'!$C:$C,DataViz!Q$34),
IF(Q$35="Wastage",SUMIFS('Supply planning data'!$K:$K,'Supply planning data'!$D:$D,DataViz!$B41,'Supply planning data'!$C:$C,DataViz!Q$34),
IF(Q$35="Additional",SUMIFS('Supply planning data'!$I:$I,'Supply planning data'!$D:$D,DataViz!$B41,'Supply planning data'!$C:$C,DataViz!Q$34),
0))))</f>
        <v>0</v>
      </c>
      <c r="R41" s="22">
        <f>IF(R$35="Dose 1",SUMIFS('Supply planning data'!$G:$G,'Supply planning data'!$D:$D,DataViz!$B41,'Supply planning data'!$C:$C,DataViz!R$34),
IF(R$35="Dose 2",SUMIFS('Supply planning data'!$H:$H,'Supply planning data'!$D:$D,DataViz!$B41,'Supply planning data'!$C:$C,DataViz!R$34),
IF(R$35="Wastage",SUMIFS('Supply planning data'!$K:$K,'Supply planning data'!$D:$D,DataViz!$B41,'Supply planning data'!$C:$C,DataViz!R$34),
IF(R$35="Additional",SUMIFS('Supply planning data'!$I:$I,'Supply planning data'!$D:$D,DataViz!$B41,'Supply planning data'!$C:$C,DataViz!R$34),
0))))</f>
        <v>0</v>
      </c>
      <c r="S41" s="22">
        <f>IF(S$35="Dose 1",SUMIFS('Supply planning data'!$G:$G,'Supply planning data'!$D:$D,DataViz!$B41,'Supply planning data'!$C:$C,DataViz!S$34),
IF(S$35="Dose 2",SUMIFS('Supply planning data'!$H:$H,'Supply planning data'!$D:$D,DataViz!$B41,'Supply planning data'!$C:$C,DataViz!S$34),
IF(S$35="Wastage",SUMIFS('Supply planning data'!$K:$K,'Supply planning data'!$D:$D,DataViz!$B41,'Supply planning data'!$C:$C,DataViz!S$34),
IF(S$35="Additional",SUMIFS('Supply planning data'!$I:$I,'Supply planning data'!$D:$D,DataViz!$B41,'Supply planning data'!$C:$C,DataViz!S$34),
0))))</f>
        <v>0</v>
      </c>
      <c r="T41" s="22">
        <f>IF(T$35="Dose 1",SUMIFS('Supply planning data'!$G:$G,'Supply planning data'!$D:$D,DataViz!$B41,'Supply planning data'!$C:$C,DataViz!T$34),
IF(T$35="Dose 2",SUMIFS('Supply planning data'!$H:$H,'Supply planning data'!$D:$D,DataViz!$B41,'Supply planning data'!$C:$C,DataViz!T$34),
IF(T$35="Wastage",SUMIFS('Supply planning data'!$K:$K,'Supply planning data'!$D:$D,DataViz!$B41,'Supply planning data'!$C:$C,DataViz!T$34),
IF(T$35="Additional",SUMIFS('Supply planning data'!$I:$I,'Supply planning data'!$D:$D,DataViz!$B41,'Supply planning data'!$C:$C,DataViz!T$34),
0))))</f>
        <v>0</v>
      </c>
      <c r="U41" s="22">
        <f>IF(U$35="Dose 1",SUMIFS('Supply planning data'!$G:$G,'Supply planning data'!$D:$D,DataViz!$B41,'Supply planning data'!$C:$C,DataViz!U$34),
IF(U$35="Dose 2",SUMIFS('Supply planning data'!$H:$H,'Supply planning data'!$D:$D,DataViz!$B41,'Supply planning data'!$C:$C,DataViz!U$34),
IF(U$35="Wastage",SUMIFS('Supply planning data'!$K:$K,'Supply planning data'!$D:$D,DataViz!$B41,'Supply planning data'!$C:$C,DataViz!U$34),
IF(U$35="Additional",SUMIFS('Supply planning data'!$I:$I,'Supply planning data'!$D:$D,DataViz!$B41,'Supply planning data'!$C:$C,DataViz!U$34),
0))))</f>
        <v>0</v>
      </c>
      <c r="V41" s="22">
        <f>IF(V$35="Dose 1",SUMIFS('Supply planning data'!$G:$G,'Supply planning data'!$D:$D,DataViz!$B41,'Supply planning data'!$C:$C,DataViz!V$34),
IF(V$35="Dose 2",SUMIFS('Supply planning data'!$H:$H,'Supply planning data'!$D:$D,DataViz!$B41,'Supply planning data'!$C:$C,DataViz!V$34),
IF(V$35="Wastage",SUMIFS('Supply planning data'!$K:$K,'Supply planning data'!$D:$D,DataViz!$B41,'Supply planning data'!$C:$C,DataViz!V$34),
IF(V$35="Additional",SUMIFS('Supply planning data'!$I:$I,'Supply planning data'!$D:$D,DataViz!$B41,'Supply planning data'!$C:$C,DataViz!V$34),
0))))</f>
        <v>0</v>
      </c>
      <c r="W41" s="22">
        <f>IF(W$35="Dose 1",SUMIFS('Supply planning data'!$G:$G,'Supply planning data'!$D:$D,DataViz!$B41,'Supply planning data'!$C:$C,DataViz!W$34),
IF(W$35="Dose 2",SUMIFS('Supply planning data'!$H:$H,'Supply planning data'!$D:$D,DataViz!$B41,'Supply planning data'!$C:$C,DataViz!W$34),
IF(W$35="Wastage",SUMIFS('Supply planning data'!$K:$K,'Supply planning data'!$D:$D,DataViz!$B41,'Supply planning data'!$C:$C,DataViz!W$34),
IF(W$35="Additional",SUMIFS('Supply planning data'!$I:$I,'Supply planning data'!$D:$D,DataViz!$B41,'Supply planning data'!$C:$C,DataViz!W$34),
0))))</f>
        <v>0</v>
      </c>
      <c r="X41" s="22">
        <f>IF(X$35="Dose 1",SUMIFS('Supply planning data'!$G:$G,'Supply planning data'!$D:$D,DataViz!$B41,'Supply planning data'!$C:$C,DataViz!X$34),
IF(X$35="Dose 2",SUMIFS('Supply planning data'!$H:$H,'Supply planning data'!$D:$D,DataViz!$B41,'Supply planning data'!$C:$C,DataViz!X$34),
IF(X$35="Wastage",SUMIFS('Supply planning data'!$K:$K,'Supply planning data'!$D:$D,DataViz!$B41,'Supply planning data'!$C:$C,DataViz!X$34),
IF(X$35="Additional",SUMIFS('Supply planning data'!$I:$I,'Supply planning data'!$D:$D,DataViz!$B41,'Supply planning data'!$C:$C,DataViz!X$34),
0))))</f>
        <v>0</v>
      </c>
      <c r="Y41" s="22">
        <f>IF(Y$35="Dose 1",SUMIFS('Supply planning data'!$G:$G,'Supply planning data'!$D:$D,DataViz!$B41,'Supply planning data'!$C:$C,DataViz!Y$34),
IF(Y$35="Dose 2",SUMIFS('Supply planning data'!$H:$H,'Supply planning data'!$D:$D,DataViz!$B41,'Supply planning data'!$C:$C,DataViz!Y$34),
IF(Y$35="Wastage",SUMIFS('Supply planning data'!$K:$K,'Supply planning data'!$D:$D,DataViz!$B41,'Supply planning data'!$C:$C,DataViz!Y$34),
IF(Y$35="Additional",SUMIFS('Supply planning data'!$I:$I,'Supply planning data'!$D:$D,DataViz!$B41,'Supply planning data'!$C:$C,DataViz!Y$34),
0))))</f>
        <v>0</v>
      </c>
      <c r="Z41" s="22">
        <f>IF(Z$35="Dose 1",SUMIFS('Supply planning data'!$G:$G,'Supply planning data'!$D:$D,DataViz!$B41,'Supply planning data'!$C:$C,DataViz!Z$34),
IF(Z$35="Dose 2",SUMIFS('Supply planning data'!$H:$H,'Supply planning data'!$D:$D,DataViz!$B41,'Supply planning data'!$C:$C,DataViz!Z$34),
IF(Z$35="Wastage",SUMIFS('Supply planning data'!$K:$K,'Supply planning data'!$D:$D,DataViz!$B41,'Supply planning data'!$C:$C,DataViz!Z$34),
IF(Z$35="Additional",SUMIFS('Supply planning data'!$I:$I,'Supply planning data'!$D:$D,DataViz!$B41,'Supply planning data'!$C:$C,DataViz!Z$34),
0))))</f>
        <v>0</v>
      </c>
      <c r="AA41" s="22">
        <f>IF(AA$35="Dose 1",SUMIFS('Supply planning data'!$G:$G,'Supply planning data'!$D:$D,DataViz!$B41,'Supply planning data'!$C:$C,DataViz!AA$34),
IF(AA$35="Dose 2",SUMIFS('Supply planning data'!$H:$H,'Supply planning data'!$D:$D,DataViz!$B41,'Supply planning data'!$C:$C,DataViz!AA$34),
IF(AA$35="Wastage",SUMIFS('Supply planning data'!$K:$K,'Supply planning data'!$D:$D,DataViz!$B41,'Supply planning data'!$C:$C,DataViz!AA$34),
IF(AA$35="Additional",SUMIFS('Supply planning data'!$I:$I,'Supply planning data'!$D:$D,DataViz!$B41,'Supply planning data'!$C:$C,DataViz!AA$34),
0))))</f>
        <v>0</v>
      </c>
      <c r="AB41" s="22">
        <f>IF(AB$35="Dose 1",SUMIFS('Supply planning data'!$G:$G,'Supply planning data'!$D:$D,DataViz!$B41,'Supply planning data'!$C:$C,DataViz!AB$34),
IF(AB$35="Dose 2",SUMIFS('Supply planning data'!$H:$H,'Supply planning data'!$D:$D,DataViz!$B41,'Supply planning data'!$C:$C,DataViz!AB$34),
IF(AB$35="Wastage",SUMIFS('Supply planning data'!$K:$K,'Supply planning data'!$D:$D,DataViz!$B41,'Supply planning data'!$C:$C,DataViz!AB$34),
IF(AB$35="Additional",SUMIFS('Supply planning data'!$I:$I,'Supply planning data'!$D:$D,DataViz!$B41,'Supply planning data'!$C:$C,DataViz!AB$34),
0))))</f>
        <v>0</v>
      </c>
      <c r="AC41" s="22">
        <f>IF(AC$35="Dose 1",SUMIFS('Supply planning data'!$G:$G,'Supply planning data'!$D:$D,DataViz!$B41,'Supply planning data'!$C:$C,DataViz!AC$34),
IF(AC$35="Dose 2",SUMIFS('Supply planning data'!$H:$H,'Supply planning data'!$D:$D,DataViz!$B41,'Supply planning data'!$C:$C,DataViz!AC$34),
IF(AC$35="Wastage",SUMIFS('Supply planning data'!$K:$K,'Supply planning data'!$D:$D,DataViz!$B41,'Supply planning data'!$C:$C,DataViz!AC$34),
IF(AC$35="Additional",SUMIFS('Supply planning data'!$I:$I,'Supply planning data'!$D:$D,DataViz!$B41,'Supply planning data'!$C:$C,DataViz!AC$34),
0))))</f>
        <v>0</v>
      </c>
      <c r="AD41" s="22">
        <f>IF(AD$35="Dose 1",SUMIFS('Supply planning data'!$G:$G,'Supply planning data'!$D:$D,DataViz!$B41,'Supply planning data'!$C:$C,DataViz!AD$34),
IF(AD$35="Dose 2",SUMIFS('Supply planning data'!$H:$H,'Supply planning data'!$D:$D,DataViz!$B41,'Supply planning data'!$C:$C,DataViz!AD$34),
IF(AD$35="Wastage",SUMIFS('Supply planning data'!$K:$K,'Supply planning data'!$D:$D,DataViz!$B41,'Supply planning data'!$C:$C,DataViz!AD$34),
IF(AD$35="Additional",SUMIFS('Supply planning data'!$I:$I,'Supply planning data'!$D:$D,DataViz!$B41,'Supply planning data'!$C:$C,DataViz!AD$34),
0))))</f>
        <v>0</v>
      </c>
      <c r="AE41" s="22">
        <f>IF(AE$35="Dose 1",SUMIFS('Supply planning data'!$G:$G,'Supply planning data'!$D:$D,DataViz!$B41,'Supply planning data'!$C:$C,DataViz!AE$34),
IF(AE$35="Dose 2",SUMIFS('Supply planning data'!$H:$H,'Supply planning data'!$D:$D,DataViz!$B41,'Supply planning data'!$C:$C,DataViz!AE$34),
IF(AE$35="Wastage",SUMIFS('Supply planning data'!$K:$K,'Supply planning data'!$D:$D,DataViz!$B41,'Supply planning data'!$C:$C,DataViz!AE$34),
IF(AE$35="Additional",SUMIFS('Supply planning data'!$I:$I,'Supply planning data'!$D:$D,DataViz!$B41,'Supply planning data'!$C:$C,DataViz!AE$34),
0))))</f>
        <v>0</v>
      </c>
      <c r="AF41" s="22">
        <f>IF(AF$35="Dose 1",SUMIFS('Supply planning data'!$G:$G,'Supply planning data'!$D:$D,DataViz!$B41,'Supply planning data'!$C:$C,DataViz!AF$34),
IF(AF$35="Dose 2",SUMIFS('Supply planning data'!$H:$H,'Supply planning data'!$D:$D,DataViz!$B41,'Supply planning data'!$C:$C,DataViz!AF$34),
IF(AF$35="Wastage",SUMIFS('Supply planning data'!$K:$K,'Supply planning data'!$D:$D,DataViz!$B41,'Supply planning data'!$C:$C,DataViz!AF$34),
IF(AF$35="Additional",SUMIFS('Supply planning data'!$I:$I,'Supply planning data'!$D:$D,DataViz!$B41,'Supply planning data'!$C:$C,DataViz!AF$34),
0))))</f>
        <v>0</v>
      </c>
      <c r="AG41" s="22">
        <f>IF(AG$35="Dose 1",SUMIFS('Supply planning data'!$G:$G,'Supply planning data'!$D:$D,DataViz!$B41,'Supply planning data'!$C:$C,DataViz!AG$34),
IF(AG$35="Dose 2",SUMIFS('Supply planning data'!$H:$H,'Supply planning data'!$D:$D,DataViz!$B41,'Supply planning data'!$C:$C,DataViz!AG$34),
IF(AG$35="Wastage",SUMIFS('Supply planning data'!$K:$K,'Supply planning data'!$D:$D,DataViz!$B41,'Supply planning data'!$C:$C,DataViz!AG$34),
IF(AG$35="Additional",SUMIFS('Supply planning data'!$I:$I,'Supply planning data'!$D:$D,DataViz!$B41,'Supply planning data'!$C:$C,DataViz!AG$34),
0))))</f>
        <v>0</v>
      </c>
      <c r="AH41" s="22">
        <f>IF(AH$35="Dose 1",SUMIFS('Supply planning data'!$G:$G,'Supply planning data'!$D:$D,DataViz!$B41,'Supply planning data'!$C:$C,DataViz!AH$34),
IF(AH$35="Dose 2",SUMIFS('Supply planning data'!$H:$H,'Supply planning data'!$D:$D,DataViz!$B41,'Supply planning data'!$C:$C,DataViz!AH$34),
IF(AH$35="Wastage",SUMIFS('Supply planning data'!$K:$K,'Supply planning data'!$D:$D,DataViz!$B41,'Supply planning data'!$C:$C,DataViz!AH$34),
IF(AH$35="Additional",SUMIFS('Supply planning data'!$I:$I,'Supply planning data'!$D:$D,DataViz!$B41,'Supply planning data'!$C:$C,DataViz!AH$34),
0))))</f>
        <v>0</v>
      </c>
      <c r="AI41" s="22">
        <f>IF(AI$35="Dose 1",SUMIFS('Supply planning data'!$G:$G,'Supply planning data'!$D:$D,DataViz!$B41,'Supply planning data'!$C:$C,DataViz!AI$34),
IF(AI$35="Dose 2",SUMIFS('Supply planning data'!$H:$H,'Supply planning data'!$D:$D,DataViz!$B41,'Supply planning data'!$C:$C,DataViz!AI$34),
IF(AI$35="Wastage",SUMIFS('Supply planning data'!$K:$K,'Supply planning data'!$D:$D,DataViz!$B41,'Supply planning data'!$C:$C,DataViz!AI$34),
IF(AI$35="Additional",SUMIFS('Supply planning data'!$I:$I,'Supply planning data'!$D:$D,DataViz!$B41,'Supply planning data'!$C:$C,DataViz!AI$34),
0))))</f>
        <v>0</v>
      </c>
      <c r="AJ41" s="22">
        <f>IF(AJ$35="Dose 1",SUMIFS('Supply planning data'!$G:$G,'Supply planning data'!$D:$D,DataViz!$B41,'Supply planning data'!$C:$C,DataViz!AJ$34),
IF(AJ$35="Dose 2",SUMIFS('Supply planning data'!$H:$H,'Supply planning data'!$D:$D,DataViz!$B41,'Supply planning data'!$C:$C,DataViz!AJ$34),
IF(AJ$35="Wastage",SUMIFS('Supply planning data'!$K:$K,'Supply planning data'!$D:$D,DataViz!$B41,'Supply planning data'!$C:$C,DataViz!AJ$34),
IF(AJ$35="Additional",SUMIFS('Supply planning data'!$I:$I,'Supply planning data'!$D:$D,DataViz!$B41,'Supply planning data'!$C:$C,DataViz!AJ$34),
0))))</f>
        <v>0</v>
      </c>
      <c r="AK41" s="22">
        <f>IF(AK$35="Dose 1",SUMIFS('Supply planning data'!$G:$G,'Supply planning data'!$D:$D,DataViz!$B41,'Supply planning data'!$C:$C,DataViz!AK$34),
IF(AK$35="Dose 2",SUMIFS('Supply planning data'!$H:$H,'Supply planning data'!$D:$D,DataViz!$B41,'Supply planning data'!$C:$C,DataViz!AK$34),
IF(AK$35="Wastage",SUMIFS('Supply planning data'!$K:$K,'Supply planning data'!$D:$D,DataViz!$B41,'Supply planning data'!$C:$C,DataViz!AK$34),
IF(AK$35="Additional",SUMIFS('Supply planning data'!$I:$I,'Supply planning data'!$D:$D,DataViz!$B41,'Supply planning data'!$C:$C,DataViz!AK$34),
0))))</f>
        <v>0</v>
      </c>
      <c r="AL41" s="22">
        <f>IF(AL$35="Dose 1",SUMIFS('Supply planning data'!$G:$G,'Supply planning data'!$D:$D,DataViz!$B41,'Supply planning data'!$C:$C,DataViz!AL$34),
IF(AL$35="Dose 2",SUMIFS('Supply planning data'!$H:$H,'Supply planning data'!$D:$D,DataViz!$B41,'Supply planning data'!$C:$C,DataViz!AL$34),
IF(AL$35="Wastage",SUMIFS('Supply planning data'!$K:$K,'Supply planning data'!$D:$D,DataViz!$B41,'Supply planning data'!$C:$C,DataViz!AL$34),
IF(AL$35="Additional",SUMIFS('Supply planning data'!$I:$I,'Supply planning data'!$D:$D,DataViz!$B41,'Supply planning data'!$C:$C,DataViz!AL$34),
0))))</f>
        <v>0</v>
      </c>
      <c r="AM41" s="22">
        <f>IF(AM$35="Dose 1",SUMIFS('Supply planning data'!$G:$G,'Supply planning data'!$D:$D,DataViz!$B41,'Supply planning data'!$C:$C,DataViz!AM$34),
IF(AM$35="Dose 2",SUMIFS('Supply planning data'!$H:$H,'Supply planning data'!$D:$D,DataViz!$B41,'Supply planning data'!$C:$C,DataViz!AM$34),
IF(AM$35="Wastage",SUMIFS('Supply planning data'!$K:$K,'Supply planning data'!$D:$D,DataViz!$B41,'Supply planning data'!$C:$C,DataViz!AM$34),
IF(AM$35="Additional",SUMIFS('Supply planning data'!$I:$I,'Supply planning data'!$D:$D,DataViz!$B41,'Supply planning data'!$C:$C,DataViz!AM$34),
0))))</f>
        <v>0</v>
      </c>
      <c r="AN41" s="22">
        <f>IF(AN$35="Dose 1",SUMIFS('Supply planning data'!$G:$G,'Supply planning data'!$D:$D,DataViz!$B41,'Supply planning data'!$C:$C,DataViz!AN$34),
IF(AN$35="Dose 2",SUMIFS('Supply planning data'!$H:$H,'Supply planning data'!$D:$D,DataViz!$B41,'Supply planning data'!$C:$C,DataViz!AN$34),
IF(AN$35="Wastage",SUMIFS('Supply planning data'!$K:$K,'Supply planning data'!$D:$D,DataViz!$B41,'Supply planning data'!$C:$C,DataViz!AN$34),
IF(AN$35="Additional",SUMIFS('Supply planning data'!$I:$I,'Supply planning data'!$D:$D,DataViz!$B41,'Supply planning data'!$C:$C,DataViz!AN$34),
0))))</f>
        <v>0</v>
      </c>
      <c r="AO41" s="22">
        <f>IF(AO$35="Dose 1",SUMIFS('Supply planning data'!$G:$G,'Supply planning data'!$D:$D,DataViz!$B41,'Supply planning data'!$C:$C,DataViz!AO$34),
IF(AO$35="Dose 2",SUMIFS('Supply planning data'!$H:$H,'Supply planning data'!$D:$D,DataViz!$B41,'Supply planning data'!$C:$C,DataViz!AO$34),
IF(AO$35="Wastage",SUMIFS('Supply planning data'!$K:$K,'Supply planning data'!$D:$D,DataViz!$B41,'Supply planning data'!$C:$C,DataViz!AO$34),
IF(AO$35="Additional",SUMIFS('Supply planning data'!$I:$I,'Supply planning data'!$D:$D,DataViz!$B41,'Supply planning data'!$C:$C,DataViz!AO$34),
0))))</f>
        <v>0</v>
      </c>
      <c r="AP41" s="22">
        <f>IF(AP$35="Dose 1",SUMIFS('Supply planning data'!$G:$G,'Supply planning data'!$D:$D,DataViz!$B41,'Supply planning data'!$C:$C,DataViz!AP$34),
IF(AP$35="Dose 2",SUMIFS('Supply planning data'!$H:$H,'Supply planning data'!$D:$D,DataViz!$B41,'Supply planning data'!$C:$C,DataViz!AP$34),
IF(AP$35="Wastage",SUMIFS('Supply planning data'!$K:$K,'Supply planning data'!$D:$D,DataViz!$B41,'Supply planning data'!$C:$C,DataViz!AP$34),
IF(AP$35="Additional",SUMIFS('Supply planning data'!$I:$I,'Supply planning data'!$D:$D,DataViz!$B41,'Supply planning data'!$C:$C,DataViz!AP$34),
0))))</f>
        <v>0</v>
      </c>
      <c r="AQ41" s="22">
        <f>IF(AQ$35="Dose 1",SUMIFS('Supply planning data'!$G:$G,'Supply planning data'!$D:$D,DataViz!$B41,'Supply planning data'!$C:$C,DataViz!AQ$34),
IF(AQ$35="Dose 2",SUMIFS('Supply planning data'!$H:$H,'Supply planning data'!$D:$D,DataViz!$B41,'Supply planning data'!$C:$C,DataViz!AQ$34),
IF(AQ$35="Wastage",SUMIFS('Supply planning data'!$K:$K,'Supply planning data'!$D:$D,DataViz!$B41,'Supply planning data'!$C:$C,DataViz!AQ$34),
IF(AQ$35="Additional",SUMIFS('Supply planning data'!$I:$I,'Supply planning data'!$D:$D,DataViz!$B41,'Supply planning data'!$C:$C,DataViz!AQ$34),
0))))</f>
        <v>0</v>
      </c>
      <c r="AR41" s="22">
        <f>IF(AR$35="Dose 1",SUMIFS('Supply planning data'!$G:$G,'Supply planning data'!$D:$D,DataViz!$B41,'Supply planning data'!$C:$C,DataViz!AR$34),
IF(AR$35="Dose 2",SUMIFS('Supply planning data'!$H:$H,'Supply planning data'!$D:$D,DataViz!$B41,'Supply planning data'!$C:$C,DataViz!AR$34),
IF(AR$35="Wastage",SUMIFS('Supply planning data'!$K:$K,'Supply planning data'!$D:$D,DataViz!$B41,'Supply planning data'!$C:$C,DataViz!AR$34),
IF(AR$35="Additional",SUMIFS('Supply planning data'!$I:$I,'Supply planning data'!$D:$D,DataViz!$B41,'Supply planning data'!$C:$C,DataViz!AR$34),
0))))</f>
        <v>0</v>
      </c>
      <c r="AS41" s="22">
        <f>IF(AS$35="Dose 1",SUMIFS('Supply planning data'!$G:$G,'Supply planning data'!$D:$D,DataViz!$B41,'Supply planning data'!$C:$C,DataViz!AS$34),
IF(AS$35="Dose 2",SUMIFS('Supply planning data'!$H:$H,'Supply planning data'!$D:$D,DataViz!$B41,'Supply planning data'!$C:$C,DataViz!AS$34),
IF(AS$35="Wastage",SUMIFS('Supply planning data'!$K:$K,'Supply planning data'!$D:$D,DataViz!$B41,'Supply planning data'!$C:$C,DataViz!AS$34),
IF(AS$35="Additional",SUMIFS('Supply planning data'!$I:$I,'Supply planning data'!$D:$D,DataViz!$B41,'Supply planning data'!$C:$C,DataViz!AS$34),
0))))</f>
        <v>0</v>
      </c>
      <c r="AT41" s="22">
        <f>IF(AT$35="Dose 1",SUMIFS('Supply planning data'!$G:$G,'Supply planning data'!$D:$D,DataViz!$B41,'Supply planning data'!$C:$C,DataViz!AT$34),
IF(AT$35="Dose 2",SUMIFS('Supply planning data'!$H:$H,'Supply planning data'!$D:$D,DataViz!$B41,'Supply planning data'!$C:$C,DataViz!AT$34),
IF(AT$35="Wastage",SUMIFS('Supply planning data'!$K:$K,'Supply planning data'!$D:$D,DataViz!$B41,'Supply planning data'!$C:$C,DataViz!AT$34),
IF(AT$35="Additional",SUMIFS('Supply planning data'!$I:$I,'Supply planning data'!$D:$D,DataViz!$B41,'Supply planning data'!$C:$C,DataViz!AT$34),
0))))</f>
        <v>0</v>
      </c>
      <c r="AU41" s="22">
        <f>IF(AU$35="Dose 1",SUMIFS('Supply planning data'!$G:$G,'Supply planning data'!$D:$D,DataViz!$B41,'Supply planning data'!$C:$C,DataViz!AU$34),
IF(AU$35="Dose 2",SUMIFS('Supply planning data'!$H:$H,'Supply planning data'!$D:$D,DataViz!$B41,'Supply planning data'!$C:$C,DataViz!AU$34),
IF(AU$35="Wastage",SUMIFS('Supply planning data'!$K:$K,'Supply planning data'!$D:$D,DataViz!$B41,'Supply planning data'!$C:$C,DataViz!AU$34),
IF(AU$35="Additional",SUMIFS('Supply planning data'!$I:$I,'Supply planning data'!$D:$D,DataViz!$B41,'Supply planning data'!$C:$C,DataViz!AU$34),
0))))</f>
        <v>0</v>
      </c>
      <c r="AV41" s="22">
        <f>IF(AV$35="Dose 1",SUMIFS('Supply planning data'!$G:$G,'Supply planning data'!$D:$D,DataViz!$B41,'Supply planning data'!$C:$C,DataViz!AV$34),
IF(AV$35="Dose 2",SUMIFS('Supply planning data'!$H:$H,'Supply planning data'!$D:$D,DataViz!$B41,'Supply planning data'!$C:$C,DataViz!AV$34),
IF(AV$35="Wastage",SUMIFS('Supply planning data'!$K:$K,'Supply planning data'!$D:$D,DataViz!$B41,'Supply planning data'!$C:$C,DataViz!AV$34),
IF(AV$35="Additional",SUMIFS('Supply planning data'!$I:$I,'Supply planning data'!$D:$D,DataViz!$B41,'Supply planning data'!$C:$C,DataViz!AV$34),
0))))</f>
        <v>0</v>
      </c>
      <c r="AW41" s="22">
        <f>IF(AW$35="Dose 1",SUMIFS('Supply planning data'!$G:$G,'Supply planning data'!$D:$D,DataViz!$B41,'Supply planning data'!$C:$C,DataViz!AW$34),
IF(AW$35="Dose 2",SUMIFS('Supply planning data'!$H:$H,'Supply planning data'!$D:$D,DataViz!$B41,'Supply planning data'!$C:$C,DataViz!AW$34),
IF(AW$35="Wastage",SUMIFS('Supply planning data'!$K:$K,'Supply planning data'!$D:$D,DataViz!$B41,'Supply planning data'!$C:$C,DataViz!AW$34),
IF(AW$35="Additional",SUMIFS('Supply planning data'!$I:$I,'Supply planning data'!$D:$D,DataViz!$B41,'Supply planning data'!$C:$C,DataViz!AW$34),
0))))</f>
        <v>0</v>
      </c>
      <c r="AX41" s="22">
        <f>IF(AX$35="Dose 1",SUMIFS('Supply planning data'!$G:$G,'Supply planning data'!$D:$D,DataViz!$B41,'Supply planning data'!$C:$C,DataViz!AX$34),
IF(AX$35="Dose 2",SUMIFS('Supply planning data'!$H:$H,'Supply planning data'!$D:$D,DataViz!$B41,'Supply planning data'!$C:$C,DataViz!AX$34),
IF(AX$35="Wastage",SUMIFS('Supply planning data'!$K:$K,'Supply planning data'!$D:$D,DataViz!$B41,'Supply planning data'!$C:$C,DataViz!AX$34),
IF(AX$35="Additional",SUMIFS('Supply planning data'!$I:$I,'Supply planning data'!$D:$D,DataViz!$B41,'Supply planning data'!$C:$C,DataViz!AX$34),
0))))</f>
        <v>0</v>
      </c>
      <c r="AY41" s="22">
        <f>IF(AY$35="Dose 1",SUMIFS('Supply planning data'!$G:$G,'Supply planning data'!$D:$D,DataViz!$B41,'Supply planning data'!$C:$C,DataViz!AY$34),
IF(AY$35="Dose 2",SUMIFS('Supply planning data'!$H:$H,'Supply planning data'!$D:$D,DataViz!$B41,'Supply planning data'!$C:$C,DataViz!AY$34),
IF(AY$35="Wastage",SUMIFS('Supply planning data'!$K:$K,'Supply planning data'!$D:$D,DataViz!$B41,'Supply planning data'!$C:$C,DataViz!AY$34),
IF(AY$35="Additional",SUMIFS('Supply planning data'!$I:$I,'Supply planning data'!$D:$D,DataViz!$B41,'Supply planning data'!$C:$C,DataViz!AY$34),
0))))</f>
        <v>0</v>
      </c>
      <c r="AZ41" s="22">
        <f>IF(AZ$35="Dose 1",SUMIFS('Supply planning data'!$G:$G,'Supply planning data'!$D:$D,DataViz!$B41,'Supply planning data'!$C:$C,DataViz!AZ$34),
IF(AZ$35="Dose 2",SUMIFS('Supply planning data'!$H:$H,'Supply planning data'!$D:$D,DataViz!$B41,'Supply planning data'!$C:$C,DataViz!AZ$34),
IF(AZ$35="Wastage",SUMIFS('Supply planning data'!$K:$K,'Supply planning data'!$D:$D,DataViz!$B41,'Supply planning data'!$C:$C,DataViz!AZ$34),
IF(AZ$35="Additional",SUMIFS('Supply planning data'!$I:$I,'Supply planning data'!$D:$D,DataViz!$B41,'Supply planning data'!$C:$C,DataViz!AZ$34),
0))))</f>
        <v>0</v>
      </c>
      <c r="BA41" s="22">
        <f>IF(BA$35="Dose 1",SUMIFS('Supply planning data'!$G:$G,'Supply planning data'!$D:$D,DataViz!$B41,'Supply planning data'!$C:$C,DataViz!BA$34),
IF(BA$35="Dose 2",SUMIFS('Supply planning data'!$H:$H,'Supply planning data'!$D:$D,DataViz!$B41,'Supply planning data'!$C:$C,DataViz!BA$34),
IF(BA$35="Wastage",SUMIFS('Supply planning data'!$K:$K,'Supply planning data'!$D:$D,DataViz!$B41,'Supply planning data'!$C:$C,DataViz!BA$34),
IF(BA$35="Additional",SUMIFS('Supply planning data'!$I:$I,'Supply planning data'!$D:$D,DataViz!$B41,'Supply planning data'!$C:$C,DataViz!BA$34),
0))))</f>
        <v>0</v>
      </c>
      <c r="BB41" s="22">
        <f>IF(BB$35="Dose 1",SUMIFS('Supply planning data'!$G:$G,'Supply planning data'!$D:$D,DataViz!$B41,'Supply planning data'!$C:$C,DataViz!BB$34),
IF(BB$35="Dose 2",SUMIFS('Supply planning data'!$H:$H,'Supply planning data'!$D:$D,DataViz!$B41,'Supply planning data'!$C:$C,DataViz!BB$34),
IF(BB$35="Wastage",SUMIFS('Supply planning data'!$K:$K,'Supply planning data'!$D:$D,DataViz!$B41,'Supply planning data'!$C:$C,DataViz!BB$34),
IF(BB$35="Additional",SUMIFS('Supply planning data'!$I:$I,'Supply planning data'!$D:$D,DataViz!$B41,'Supply planning data'!$C:$C,DataViz!BB$34),
0))))</f>
        <v>0</v>
      </c>
      <c r="BC41" s="22">
        <f>IF(BC$35="Dose 1",SUMIFS('Supply planning data'!$G:$G,'Supply planning data'!$D:$D,DataViz!$B41,'Supply planning data'!$C:$C,DataViz!BC$34),
IF(BC$35="Dose 2",SUMIFS('Supply planning data'!$H:$H,'Supply planning data'!$D:$D,DataViz!$B41,'Supply planning data'!$C:$C,DataViz!BC$34),
IF(BC$35="Wastage",SUMIFS('Supply planning data'!$K:$K,'Supply planning data'!$D:$D,DataViz!$B41,'Supply planning data'!$C:$C,DataViz!BC$34),
IF(BC$35="Additional",SUMIFS('Supply planning data'!$I:$I,'Supply planning data'!$D:$D,DataViz!$B41,'Supply planning data'!$C:$C,DataViz!BC$34),
0))))</f>
        <v>0</v>
      </c>
      <c r="BD41" s="22">
        <f>IF(BD$35="Dose 1",SUMIFS('Supply planning data'!$G:$G,'Supply planning data'!$D:$D,DataViz!$B41,'Supply planning data'!$C:$C,DataViz!BD$34),
IF(BD$35="Dose 2",SUMIFS('Supply planning data'!$H:$H,'Supply planning data'!$D:$D,DataViz!$B41,'Supply planning data'!$C:$C,DataViz!BD$34),
IF(BD$35="Wastage",SUMIFS('Supply planning data'!$K:$K,'Supply planning data'!$D:$D,DataViz!$B41,'Supply planning data'!$C:$C,DataViz!BD$34),
IF(BD$35="Additional",SUMIFS('Supply planning data'!$I:$I,'Supply planning data'!$D:$D,DataViz!$B41,'Supply planning data'!$C:$C,DataViz!BD$34),
0))))</f>
        <v>0</v>
      </c>
      <c r="BE41" s="22">
        <f>IF(BE$35="Dose 1",SUMIFS('Supply planning data'!$G:$G,'Supply planning data'!$D:$D,DataViz!$B41,'Supply planning data'!$C:$C,DataViz!BE$34),
IF(BE$35="Dose 2",SUMIFS('Supply planning data'!$H:$H,'Supply planning data'!$D:$D,DataViz!$B41,'Supply planning data'!$C:$C,DataViz!BE$34),
IF(BE$35="Wastage",SUMIFS('Supply planning data'!$K:$K,'Supply planning data'!$D:$D,DataViz!$B41,'Supply planning data'!$C:$C,DataViz!BE$34),
IF(BE$35="Additional",SUMIFS('Supply planning data'!$I:$I,'Supply planning data'!$D:$D,DataViz!$B41,'Supply planning data'!$C:$C,DataViz!BE$34),
0))))</f>
        <v>0</v>
      </c>
      <c r="BF41" s="22">
        <f>IF(BF$35="Dose 1",SUMIFS('Supply planning data'!$G:$G,'Supply planning data'!$D:$D,DataViz!$B41,'Supply planning data'!$C:$C,DataViz!BF$34),
IF(BF$35="Dose 2",SUMIFS('Supply planning data'!$H:$H,'Supply planning data'!$D:$D,DataViz!$B41,'Supply planning data'!$C:$C,DataViz!BF$34),
IF(BF$35="Wastage",SUMIFS('Supply planning data'!$K:$K,'Supply planning data'!$D:$D,DataViz!$B41,'Supply planning data'!$C:$C,DataViz!BF$34),
IF(BF$35="Additional",SUMIFS('Supply planning data'!$I:$I,'Supply planning data'!$D:$D,DataViz!$B41,'Supply planning data'!$C:$C,DataViz!BF$34),
0))))</f>
        <v>0</v>
      </c>
      <c r="BG41" s="22">
        <f>IF(BG$35="Dose 1",SUMIFS('Supply planning data'!$G:$G,'Supply planning data'!$D:$D,DataViz!$B41,'Supply planning data'!$C:$C,DataViz!BG$34),
IF(BG$35="Dose 2",SUMIFS('Supply planning data'!$H:$H,'Supply planning data'!$D:$D,DataViz!$B41,'Supply planning data'!$C:$C,DataViz!BG$34),
IF(BG$35="Wastage",SUMIFS('Supply planning data'!$K:$K,'Supply planning data'!$D:$D,DataViz!$B41,'Supply planning data'!$C:$C,DataViz!BG$34),
IF(BG$35="Additional",SUMIFS('Supply planning data'!$I:$I,'Supply planning data'!$D:$D,DataViz!$B41,'Supply planning data'!$C:$C,DataViz!BG$34),
0))))</f>
        <v>0</v>
      </c>
      <c r="BH41" s="22">
        <f>IF(BH$35="Dose 1",SUMIFS('Supply planning data'!$G:$G,'Supply planning data'!$D:$D,DataViz!$B41,'Supply planning data'!$C:$C,DataViz!BH$34),
IF(BH$35="Dose 2",SUMIFS('Supply planning data'!$H:$H,'Supply planning data'!$D:$D,DataViz!$B41,'Supply planning data'!$C:$C,DataViz!BH$34),
IF(BH$35="Wastage",SUMIFS('Supply planning data'!$K:$K,'Supply planning data'!$D:$D,DataViz!$B41,'Supply planning data'!$C:$C,DataViz!BH$34),
IF(BH$35="Additional",SUMIFS('Supply planning data'!$I:$I,'Supply planning data'!$D:$D,DataViz!$B41,'Supply planning data'!$C:$C,DataViz!BH$34),
0))))</f>
        <v>0</v>
      </c>
      <c r="BI41" s="22">
        <f>IF(BI$35="Dose 1",SUMIFS('Supply planning data'!$G:$G,'Supply planning data'!$D:$D,DataViz!$B41,'Supply planning data'!$C:$C,DataViz!BI$34),
IF(BI$35="Dose 2",SUMIFS('Supply planning data'!$H:$H,'Supply planning data'!$D:$D,DataViz!$B41,'Supply planning data'!$C:$C,DataViz!BI$34),
IF(BI$35="Wastage",SUMIFS('Supply planning data'!$K:$K,'Supply planning data'!$D:$D,DataViz!$B41,'Supply planning data'!$C:$C,DataViz!BI$34),
IF(BI$35="Additional",SUMIFS('Supply planning data'!$I:$I,'Supply planning data'!$D:$D,DataViz!$B41,'Supply planning data'!$C:$C,DataViz!BI$34),
0))))</f>
        <v>0</v>
      </c>
      <c r="BJ41" s="22">
        <f>IF(BJ$35="Dose 1",SUMIFS('Supply planning data'!$G:$G,'Supply planning data'!$D:$D,DataViz!$B41,'Supply planning data'!$C:$C,DataViz!BJ$34),
IF(BJ$35="Dose 2",SUMIFS('Supply planning data'!$H:$H,'Supply planning data'!$D:$D,DataViz!$B41,'Supply planning data'!$C:$C,DataViz!BJ$34),
IF(BJ$35="Wastage",SUMIFS('Supply planning data'!$K:$K,'Supply planning data'!$D:$D,DataViz!$B41,'Supply planning data'!$C:$C,DataViz!BJ$34),
IF(BJ$35="Additional",SUMIFS('Supply planning data'!$I:$I,'Supply planning data'!$D:$D,DataViz!$B41,'Supply planning data'!$C:$C,DataViz!BJ$34),
0))))</f>
        <v>0</v>
      </c>
      <c r="BK41" s="22">
        <f>IF(BK$35="Dose 1",SUMIFS('Supply planning data'!$G:$G,'Supply planning data'!$D:$D,DataViz!$B41,'Supply planning data'!$C:$C,DataViz!BK$34),
IF(BK$35="Dose 2",SUMIFS('Supply planning data'!$H:$H,'Supply planning data'!$D:$D,DataViz!$B41,'Supply planning data'!$C:$C,DataViz!BK$34),
IF(BK$35="Wastage",SUMIFS('Supply planning data'!$K:$K,'Supply planning data'!$D:$D,DataViz!$B41,'Supply planning data'!$C:$C,DataViz!BK$34),
IF(BK$35="Additional",SUMIFS('Supply planning data'!$I:$I,'Supply planning data'!$D:$D,DataViz!$B41,'Supply planning data'!$C:$C,DataViz!BK$34),
0))))</f>
        <v>0</v>
      </c>
      <c r="BL41" s="22">
        <f>IF(BL$35="Dose 1",SUMIFS('Supply planning data'!$G:$G,'Supply planning data'!$D:$D,DataViz!$B41,'Supply planning data'!$C:$C,DataViz!BL$34),
IF(BL$35="Dose 2",SUMIFS('Supply planning data'!$H:$H,'Supply planning data'!$D:$D,DataViz!$B41,'Supply planning data'!$C:$C,DataViz!BL$34),
IF(BL$35="Wastage",SUMIFS('Supply planning data'!$K:$K,'Supply planning data'!$D:$D,DataViz!$B41,'Supply planning data'!$C:$C,DataViz!BL$34),
IF(BL$35="Additional",SUMIFS('Supply planning data'!$I:$I,'Supply planning data'!$D:$D,DataViz!$B41,'Supply planning data'!$C:$C,DataViz!BL$34),
0))))</f>
        <v>0</v>
      </c>
    </row>
    <row r="42" spans="1:64" x14ac:dyDescent="0.25">
      <c r="A42" s="20">
        <v>4</v>
      </c>
      <c r="B42" s="21">
        <f t="shared" si="15"/>
        <v>44378</v>
      </c>
      <c r="C42" s="22">
        <f>IF(VLOOKUP(Dashboard!$M$6,Start!$B$10:$E$12,4,FALSE)&gt;0,VLOOKUP(Dashboard!$M$6,Start!$B$10:$E$12,4, FALSE),VLOOKUP(Dashboard!$M$6,Start!$B$10:$E$12,3, FALSE))</f>
        <v>60000000</v>
      </c>
      <c r="D42" s="22">
        <f>SUMIFS('Supply planning data'!M:M,'Supply planning data'!D:D,"&lt;="&amp;DataViz!B42)</f>
        <v>197160</v>
      </c>
      <c r="E42" s="22">
        <f>IF(E$35="Dose 1",SUMIFS('Supply planning data'!$G:$G,'Supply planning data'!$D:$D,DataViz!$B42,'Supply planning data'!$C:$C,DataViz!E$34),
IF(E$35="Dose 2",SUMIFS('Supply planning data'!$H:$H,'Supply planning data'!$D:$D,DataViz!$B42,'Supply planning data'!$C:$C,DataViz!E$34),
IF(E$35="Wastage",SUMIFS('Supply planning data'!$K:$K,'Supply planning data'!$D:$D,DataViz!$B42,'Supply planning data'!$C:$C,DataViz!E$34),
IF(E$35="Additional",SUMIFS('Supply planning data'!$I:$I,'Supply planning data'!$D:$D,DataViz!$B42,'Supply planning data'!$C:$C,DataViz!E$34),
0))))</f>
        <v>58240</v>
      </c>
      <c r="F42" s="22">
        <f>IF(F$35="Dose 1",SUMIFS('Supply planning data'!$G:$G,'Supply planning data'!$D:$D,DataViz!$B42,'Supply planning data'!$C:$C,DataViz!F$34),
IF(F$35="Dose 2",SUMIFS('Supply planning data'!$H:$H,'Supply planning data'!$D:$D,DataViz!$B42,'Supply planning data'!$C:$C,DataViz!F$34),
IF(F$35="Wastage",SUMIFS('Supply planning data'!$K:$K,'Supply planning data'!$D:$D,DataViz!$B42,'Supply planning data'!$C:$C,DataViz!F$34),
IF(F$35="Additional",SUMIFS('Supply planning data'!$I:$I,'Supply planning data'!$D:$D,DataViz!$B42,'Supply planning data'!$C:$C,DataViz!F$34),
0))))</f>
        <v>11600</v>
      </c>
      <c r="G42" s="22">
        <f>IF(G$35="Dose 1",SUMIFS('Supply planning data'!$G:$G,'Supply planning data'!$D:$D,DataViz!$B42,'Supply planning data'!$C:$C,DataViz!G$34),
IF(G$35="Dose 2",SUMIFS('Supply planning data'!$H:$H,'Supply planning data'!$D:$D,DataViz!$B42,'Supply planning data'!$C:$C,DataViz!G$34),
IF(G$35="Wastage",SUMIFS('Supply planning data'!$K:$K,'Supply planning data'!$D:$D,DataViz!$B42,'Supply planning data'!$C:$C,DataViz!G$34),
IF(G$35="Additional",SUMIFS('Supply planning data'!$I:$I,'Supply planning data'!$D:$D,DataViz!$B42,'Supply planning data'!$C:$C,DataViz!G$34),
0))))</f>
        <v>0</v>
      </c>
      <c r="H42" s="22">
        <f>IF(H$35="Dose 1",SUMIFS('Supply planning data'!$G:$G,'Supply planning data'!$D:$D,DataViz!$B42,'Supply planning data'!$C:$C,DataViz!H$34),
IF(H$35="Dose 2",SUMIFS('Supply planning data'!$H:$H,'Supply planning data'!$D:$D,DataViz!$B42,'Supply planning data'!$C:$C,DataViz!H$34),
IF(H$35="Wastage",SUMIFS('Supply planning data'!$K:$K,'Supply planning data'!$D:$D,DataViz!$B42,'Supply planning data'!$C:$C,DataViz!H$34),
IF(H$35="Additional",SUMIFS('Supply planning data'!$I:$I,'Supply planning data'!$D:$D,DataViz!$B42,'Supply planning data'!$C:$C,DataViz!H$34),
0))))</f>
        <v>0</v>
      </c>
      <c r="I42" s="22">
        <f>IF(I$35="Dose 1",SUMIFS('Supply planning data'!$G:$G,'Supply planning data'!$D:$D,DataViz!$B42,'Supply planning data'!$C:$C,DataViz!I$34),
IF(I$35="Dose 2",SUMIFS('Supply planning data'!$H:$H,'Supply planning data'!$D:$D,DataViz!$B42,'Supply planning data'!$C:$C,DataViz!I$34),
IF(I$35="Wastage",SUMIFS('Supply planning data'!$K:$K,'Supply planning data'!$D:$D,DataViz!$B42,'Supply planning data'!$C:$C,DataViz!I$34),
IF(I$35="Additional",SUMIFS('Supply planning data'!$I:$I,'Supply planning data'!$D:$D,DataViz!$B42,'Supply planning data'!$C:$C,DataViz!I$34),
0))))</f>
        <v>0</v>
      </c>
      <c r="J42" s="22">
        <f>IF(J$35="Dose 1",SUMIFS('Supply planning data'!$G:$G,'Supply planning data'!$D:$D,DataViz!$B42,'Supply planning data'!$C:$C,DataViz!J$34),
IF(J$35="Dose 2",SUMIFS('Supply planning data'!$H:$H,'Supply planning data'!$D:$D,DataViz!$B42,'Supply planning data'!$C:$C,DataViz!J$34),
IF(J$35="Wastage",SUMIFS('Supply planning data'!$K:$K,'Supply planning data'!$D:$D,DataViz!$B42,'Supply planning data'!$C:$C,DataViz!J$34),
IF(J$35="Additional",SUMIFS('Supply planning data'!$I:$I,'Supply planning data'!$D:$D,DataViz!$B42,'Supply planning data'!$C:$C,DataViz!J$34),
0))))</f>
        <v>0</v>
      </c>
      <c r="K42" s="22">
        <f>IF(K$35="Dose 1",SUMIFS('Supply planning data'!$G:$G,'Supply planning data'!$D:$D,DataViz!$B42,'Supply planning data'!$C:$C,DataViz!K$34),
IF(K$35="Dose 2",SUMIFS('Supply planning data'!$H:$H,'Supply planning data'!$D:$D,DataViz!$B42,'Supply planning data'!$C:$C,DataViz!K$34),
IF(K$35="Wastage",SUMIFS('Supply planning data'!$K:$K,'Supply planning data'!$D:$D,DataViz!$B42,'Supply planning data'!$C:$C,DataViz!K$34),
IF(K$35="Additional",SUMIFS('Supply planning data'!$I:$I,'Supply planning data'!$D:$D,DataViz!$B42,'Supply planning data'!$C:$C,DataViz!K$34),
0))))</f>
        <v>0</v>
      </c>
      <c r="L42" s="22">
        <f>IF(L$35="Dose 1",SUMIFS('Supply planning data'!$G:$G,'Supply planning data'!$D:$D,DataViz!$B42,'Supply planning data'!$C:$C,DataViz!L$34),
IF(L$35="Dose 2",SUMIFS('Supply planning data'!$H:$H,'Supply planning data'!$D:$D,DataViz!$B42,'Supply planning data'!$C:$C,DataViz!L$34),
IF(L$35="Wastage",SUMIFS('Supply planning data'!$K:$K,'Supply planning data'!$D:$D,DataViz!$B42,'Supply planning data'!$C:$C,DataViz!L$34),
IF(L$35="Additional",SUMIFS('Supply planning data'!$I:$I,'Supply planning data'!$D:$D,DataViz!$B42,'Supply planning data'!$C:$C,DataViz!L$34),
0))))</f>
        <v>0</v>
      </c>
      <c r="M42" s="22">
        <f>IF(M$35="Dose 1",SUMIFS('Supply planning data'!$G:$G,'Supply planning data'!$D:$D,DataViz!$B42,'Supply planning data'!$C:$C,DataViz!M$34),
IF(M$35="Dose 2",SUMIFS('Supply planning data'!$H:$H,'Supply planning data'!$D:$D,DataViz!$B42,'Supply planning data'!$C:$C,DataViz!M$34),
IF(M$35="Wastage",SUMIFS('Supply planning data'!$K:$K,'Supply planning data'!$D:$D,DataViz!$B42,'Supply planning data'!$C:$C,DataViz!M$34),
IF(M$35="Additional",SUMIFS('Supply planning data'!$I:$I,'Supply planning data'!$D:$D,DataViz!$B42,'Supply planning data'!$C:$C,DataViz!M$34),
0))))</f>
        <v>0</v>
      </c>
      <c r="N42" s="22">
        <f>IF(N$35="Dose 1",SUMIFS('Supply planning data'!$G:$G,'Supply planning data'!$D:$D,DataViz!$B42,'Supply planning data'!$C:$C,DataViz!N$34),
IF(N$35="Dose 2",SUMIFS('Supply planning data'!$H:$H,'Supply planning data'!$D:$D,DataViz!$B42,'Supply planning data'!$C:$C,DataViz!N$34),
IF(N$35="Wastage",SUMIFS('Supply planning data'!$K:$K,'Supply planning data'!$D:$D,DataViz!$B42,'Supply planning data'!$C:$C,DataViz!N$34),
IF(N$35="Additional",SUMIFS('Supply planning data'!$I:$I,'Supply planning data'!$D:$D,DataViz!$B42,'Supply planning data'!$C:$C,DataViz!N$34),
0))))</f>
        <v>0</v>
      </c>
      <c r="O42" s="22">
        <f>IF(O$35="Dose 1",SUMIFS('Supply planning data'!$G:$G,'Supply planning data'!$D:$D,DataViz!$B42,'Supply planning data'!$C:$C,DataViz!O$34),
IF(O$35="Dose 2",SUMIFS('Supply planning data'!$H:$H,'Supply planning data'!$D:$D,DataViz!$B42,'Supply planning data'!$C:$C,DataViz!O$34),
IF(O$35="Wastage",SUMIFS('Supply planning data'!$K:$K,'Supply planning data'!$D:$D,DataViz!$B42,'Supply planning data'!$C:$C,DataViz!O$34),
IF(O$35="Additional",SUMIFS('Supply planning data'!$I:$I,'Supply planning data'!$D:$D,DataViz!$B42,'Supply planning data'!$C:$C,DataViz!O$34),
0))))</f>
        <v>0</v>
      </c>
      <c r="P42" s="22">
        <f>IF(P$35="Dose 1",SUMIFS('Supply planning data'!$G:$G,'Supply planning data'!$D:$D,DataViz!$B42,'Supply planning data'!$C:$C,DataViz!P$34),
IF(P$35="Dose 2",SUMIFS('Supply planning data'!$H:$H,'Supply planning data'!$D:$D,DataViz!$B42,'Supply planning data'!$C:$C,DataViz!P$34),
IF(P$35="Wastage",SUMIFS('Supply planning data'!$K:$K,'Supply planning data'!$D:$D,DataViz!$B42,'Supply planning data'!$C:$C,DataViz!P$34),
IF(P$35="Additional",SUMIFS('Supply planning data'!$I:$I,'Supply planning data'!$D:$D,DataViz!$B42,'Supply planning data'!$C:$C,DataViz!P$34),
0))))</f>
        <v>0</v>
      </c>
      <c r="Q42" s="22">
        <f>IF(Q$35="Dose 1",SUMIFS('Supply planning data'!$G:$G,'Supply planning data'!$D:$D,DataViz!$B42,'Supply planning data'!$C:$C,DataViz!Q$34),
IF(Q$35="Dose 2",SUMIFS('Supply planning data'!$H:$H,'Supply planning data'!$D:$D,DataViz!$B42,'Supply planning data'!$C:$C,DataViz!Q$34),
IF(Q$35="Wastage",SUMIFS('Supply planning data'!$K:$K,'Supply planning data'!$D:$D,DataViz!$B42,'Supply planning data'!$C:$C,DataViz!Q$34),
IF(Q$35="Additional",SUMIFS('Supply planning data'!$I:$I,'Supply planning data'!$D:$D,DataViz!$B42,'Supply planning data'!$C:$C,DataViz!Q$34),
0))))</f>
        <v>0</v>
      </c>
      <c r="R42" s="22">
        <f>IF(R$35="Dose 1",SUMIFS('Supply planning data'!$G:$G,'Supply planning data'!$D:$D,DataViz!$B42,'Supply planning data'!$C:$C,DataViz!R$34),
IF(R$35="Dose 2",SUMIFS('Supply planning data'!$H:$H,'Supply planning data'!$D:$D,DataViz!$B42,'Supply planning data'!$C:$C,DataViz!R$34),
IF(R$35="Wastage",SUMIFS('Supply planning data'!$K:$K,'Supply planning data'!$D:$D,DataViz!$B42,'Supply planning data'!$C:$C,DataViz!R$34),
IF(R$35="Additional",SUMIFS('Supply planning data'!$I:$I,'Supply planning data'!$D:$D,DataViz!$B42,'Supply planning data'!$C:$C,DataViz!R$34),
0))))</f>
        <v>0</v>
      </c>
      <c r="S42" s="22">
        <f>IF(S$35="Dose 1",SUMIFS('Supply planning data'!$G:$G,'Supply planning data'!$D:$D,DataViz!$B42,'Supply planning data'!$C:$C,DataViz!S$34),
IF(S$35="Dose 2",SUMIFS('Supply planning data'!$H:$H,'Supply planning data'!$D:$D,DataViz!$B42,'Supply planning data'!$C:$C,DataViz!S$34),
IF(S$35="Wastage",SUMIFS('Supply planning data'!$K:$K,'Supply planning data'!$D:$D,DataViz!$B42,'Supply planning data'!$C:$C,DataViz!S$34),
IF(S$35="Additional",SUMIFS('Supply planning data'!$I:$I,'Supply planning data'!$D:$D,DataViz!$B42,'Supply planning data'!$C:$C,DataViz!S$34),
0))))</f>
        <v>0</v>
      </c>
      <c r="T42" s="22">
        <f>IF(T$35="Dose 1",SUMIFS('Supply planning data'!$G:$G,'Supply planning data'!$D:$D,DataViz!$B42,'Supply planning data'!$C:$C,DataViz!T$34),
IF(T$35="Dose 2",SUMIFS('Supply planning data'!$H:$H,'Supply planning data'!$D:$D,DataViz!$B42,'Supply planning data'!$C:$C,DataViz!T$34),
IF(T$35="Wastage",SUMIFS('Supply planning data'!$K:$K,'Supply planning data'!$D:$D,DataViz!$B42,'Supply planning data'!$C:$C,DataViz!T$34),
IF(T$35="Additional",SUMIFS('Supply planning data'!$I:$I,'Supply planning data'!$D:$D,DataViz!$B42,'Supply planning data'!$C:$C,DataViz!T$34),
0))))</f>
        <v>0</v>
      </c>
      <c r="U42" s="22">
        <f>IF(U$35="Dose 1",SUMIFS('Supply planning data'!$G:$G,'Supply planning data'!$D:$D,DataViz!$B42,'Supply planning data'!$C:$C,DataViz!U$34),
IF(U$35="Dose 2",SUMIFS('Supply planning data'!$H:$H,'Supply planning data'!$D:$D,DataViz!$B42,'Supply planning data'!$C:$C,DataViz!U$34),
IF(U$35="Wastage",SUMIFS('Supply planning data'!$K:$K,'Supply planning data'!$D:$D,DataViz!$B42,'Supply planning data'!$C:$C,DataViz!U$34),
IF(U$35="Additional",SUMIFS('Supply planning data'!$I:$I,'Supply planning data'!$D:$D,DataViz!$B42,'Supply planning data'!$C:$C,DataViz!U$34),
0))))</f>
        <v>0</v>
      </c>
      <c r="V42" s="22">
        <f>IF(V$35="Dose 1",SUMIFS('Supply planning data'!$G:$G,'Supply planning data'!$D:$D,DataViz!$B42,'Supply planning data'!$C:$C,DataViz!V$34),
IF(V$35="Dose 2",SUMIFS('Supply planning data'!$H:$H,'Supply planning data'!$D:$D,DataViz!$B42,'Supply planning data'!$C:$C,DataViz!V$34),
IF(V$35="Wastage",SUMIFS('Supply planning data'!$K:$K,'Supply planning data'!$D:$D,DataViz!$B42,'Supply planning data'!$C:$C,DataViz!V$34),
IF(V$35="Additional",SUMIFS('Supply planning data'!$I:$I,'Supply planning data'!$D:$D,DataViz!$B42,'Supply planning data'!$C:$C,DataViz!V$34),
0))))</f>
        <v>0</v>
      </c>
      <c r="W42" s="22">
        <f>IF(W$35="Dose 1",SUMIFS('Supply planning data'!$G:$G,'Supply planning data'!$D:$D,DataViz!$B42,'Supply planning data'!$C:$C,DataViz!W$34),
IF(W$35="Dose 2",SUMIFS('Supply planning data'!$H:$H,'Supply planning data'!$D:$D,DataViz!$B42,'Supply planning data'!$C:$C,DataViz!W$34),
IF(W$35="Wastage",SUMIFS('Supply planning data'!$K:$K,'Supply planning data'!$D:$D,DataViz!$B42,'Supply planning data'!$C:$C,DataViz!W$34),
IF(W$35="Additional",SUMIFS('Supply planning data'!$I:$I,'Supply planning data'!$D:$D,DataViz!$B42,'Supply planning data'!$C:$C,DataViz!W$34),
0))))</f>
        <v>0</v>
      </c>
      <c r="X42" s="22">
        <f>IF(X$35="Dose 1",SUMIFS('Supply planning data'!$G:$G,'Supply planning data'!$D:$D,DataViz!$B42,'Supply planning data'!$C:$C,DataViz!X$34),
IF(X$35="Dose 2",SUMIFS('Supply planning data'!$H:$H,'Supply planning data'!$D:$D,DataViz!$B42,'Supply planning data'!$C:$C,DataViz!X$34),
IF(X$35="Wastage",SUMIFS('Supply planning data'!$K:$K,'Supply planning data'!$D:$D,DataViz!$B42,'Supply planning data'!$C:$C,DataViz!X$34),
IF(X$35="Additional",SUMIFS('Supply planning data'!$I:$I,'Supply planning data'!$D:$D,DataViz!$B42,'Supply planning data'!$C:$C,DataViz!X$34),
0))))</f>
        <v>0</v>
      </c>
      <c r="Y42" s="22">
        <f>IF(Y$35="Dose 1",SUMIFS('Supply planning data'!$G:$G,'Supply planning data'!$D:$D,DataViz!$B42,'Supply planning data'!$C:$C,DataViz!Y$34),
IF(Y$35="Dose 2",SUMIFS('Supply planning data'!$H:$H,'Supply planning data'!$D:$D,DataViz!$B42,'Supply planning data'!$C:$C,DataViz!Y$34),
IF(Y$35="Wastage",SUMIFS('Supply planning data'!$K:$K,'Supply planning data'!$D:$D,DataViz!$B42,'Supply planning data'!$C:$C,DataViz!Y$34),
IF(Y$35="Additional",SUMIFS('Supply planning data'!$I:$I,'Supply planning data'!$D:$D,DataViz!$B42,'Supply planning data'!$C:$C,DataViz!Y$34),
0))))</f>
        <v>0</v>
      </c>
      <c r="Z42" s="22">
        <f>IF(Z$35="Dose 1",SUMIFS('Supply planning data'!$G:$G,'Supply planning data'!$D:$D,DataViz!$B42,'Supply planning data'!$C:$C,DataViz!Z$34),
IF(Z$35="Dose 2",SUMIFS('Supply planning data'!$H:$H,'Supply planning data'!$D:$D,DataViz!$B42,'Supply planning data'!$C:$C,DataViz!Z$34),
IF(Z$35="Wastage",SUMIFS('Supply planning data'!$K:$K,'Supply planning data'!$D:$D,DataViz!$B42,'Supply planning data'!$C:$C,DataViz!Z$34),
IF(Z$35="Additional",SUMIFS('Supply planning data'!$I:$I,'Supply planning data'!$D:$D,DataViz!$B42,'Supply planning data'!$C:$C,DataViz!Z$34),
0))))</f>
        <v>0</v>
      </c>
      <c r="AA42" s="22">
        <f>IF(AA$35="Dose 1",SUMIFS('Supply planning data'!$G:$G,'Supply planning data'!$D:$D,DataViz!$B42,'Supply planning data'!$C:$C,DataViz!AA$34),
IF(AA$35="Dose 2",SUMIFS('Supply planning data'!$H:$H,'Supply planning data'!$D:$D,DataViz!$B42,'Supply planning data'!$C:$C,DataViz!AA$34),
IF(AA$35="Wastage",SUMIFS('Supply planning data'!$K:$K,'Supply planning data'!$D:$D,DataViz!$B42,'Supply planning data'!$C:$C,DataViz!AA$34),
IF(AA$35="Additional",SUMIFS('Supply planning data'!$I:$I,'Supply planning data'!$D:$D,DataViz!$B42,'Supply planning data'!$C:$C,DataViz!AA$34),
0))))</f>
        <v>0</v>
      </c>
      <c r="AB42" s="22">
        <f>IF(AB$35="Dose 1",SUMIFS('Supply planning data'!$G:$G,'Supply planning data'!$D:$D,DataViz!$B42,'Supply planning data'!$C:$C,DataViz!AB$34),
IF(AB$35="Dose 2",SUMIFS('Supply planning data'!$H:$H,'Supply planning data'!$D:$D,DataViz!$B42,'Supply planning data'!$C:$C,DataViz!AB$34),
IF(AB$35="Wastage",SUMIFS('Supply planning data'!$K:$K,'Supply planning data'!$D:$D,DataViz!$B42,'Supply planning data'!$C:$C,DataViz!AB$34),
IF(AB$35="Additional",SUMIFS('Supply planning data'!$I:$I,'Supply planning data'!$D:$D,DataViz!$B42,'Supply planning data'!$C:$C,DataViz!AB$34),
0))))</f>
        <v>0</v>
      </c>
      <c r="AC42" s="22">
        <f>IF(AC$35="Dose 1",SUMIFS('Supply planning data'!$G:$G,'Supply planning data'!$D:$D,DataViz!$B42,'Supply planning data'!$C:$C,DataViz!AC$34),
IF(AC$35="Dose 2",SUMIFS('Supply planning data'!$H:$H,'Supply planning data'!$D:$D,DataViz!$B42,'Supply planning data'!$C:$C,DataViz!AC$34),
IF(AC$35="Wastage",SUMIFS('Supply planning data'!$K:$K,'Supply planning data'!$D:$D,DataViz!$B42,'Supply planning data'!$C:$C,DataViz!AC$34),
IF(AC$35="Additional",SUMIFS('Supply planning data'!$I:$I,'Supply planning data'!$D:$D,DataViz!$B42,'Supply planning data'!$C:$C,DataViz!AC$34),
0))))</f>
        <v>0</v>
      </c>
      <c r="AD42" s="22">
        <f>IF(AD$35="Dose 1",SUMIFS('Supply planning data'!$G:$G,'Supply planning data'!$D:$D,DataViz!$B42,'Supply planning data'!$C:$C,DataViz!AD$34),
IF(AD$35="Dose 2",SUMIFS('Supply planning data'!$H:$H,'Supply planning data'!$D:$D,DataViz!$B42,'Supply planning data'!$C:$C,DataViz!AD$34),
IF(AD$35="Wastage",SUMIFS('Supply planning data'!$K:$K,'Supply planning data'!$D:$D,DataViz!$B42,'Supply planning data'!$C:$C,DataViz!AD$34),
IF(AD$35="Additional",SUMIFS('Supply planning data'!$I:$I,'Supply planning data'!$D:$D,DataViz!$B42,'Supply planning data'!$C:$C,DataViz!AD$34),
0))))</f>
        <v>0</v>
      </c>
      <c r="AE42" s="22">
        <f>IF(AE$35="Dose 1",SUMIFS('Supply planning data'!$G:$G,'Supply planning data'!$D:$D,DataViz!$B42,'Supply planning data'!$C:$C,DataViz!AE$34),
IF(AE$35="Dose 2",SUMIFS('Supply planning data'!$H:$H,'Supply planning data'!$D:$D,DataViz!$B42,'Supply planning data'!$C:$C,DataViz!AE$34),
IF(AE$35="Wastage",SUMIFS('Supply planning data'!$K:$K,'Supply planning data'!$D:$D,DataViz!$B42,'Supply planning data'!$C:$C,DataViz!AE$34),
IF(AE$35="Additional",SUMIFS('Supply planning data'!$I:$I,'Supply planning data'!$D:$D,DataViz!$B42,'Supply planning data'!$C:$C,DataViz!AE$34),
0))))</f>
        <v>0</v>
      </c>
      <c r="AF42" s="22">
        <f>IF(AF$35="Dose 1",SUMIFS('Supply planning data'!$G:$G,'Supply planning data'!$D:$D,DataViz!$B42,'Supply planning data'!$C:$C,DataViz!AF$34),
IF(AF$35="Dose 2",SUMIFS('Supply planning data'!$H:$H,'Supply planning data'!$D:$D,DataViz!$B42,'Supply planning data'!$C:$C,DataViz!AF$34),
IF(AF$35="Wastage",SUMIFS('Supply planning data'!$K:$K,'Supply planning data'!$D:$D,DataViz!$B42,'Supply planning data'!$C:$C,DataViz!AF$34),
IF(AF$35="Additional",SUMIFS('Supply planning data'!$I:$I,'Supply planning data'!$D:$D,DataViz!$B42,'Supply planning data'!$C:$C,DataViz!AF$34),
0))))</f>
        <v>0</v>
      </c>
      <c r="AG42" s="22">
        <f>IF(AG$35="Dose 1",SUMIFS('Supply planning data'!$G:$G,'Supply planning data'!$D:$D,DataViz!$B42,'Supply planning data'!$C:$C,DataViz!AG$34),
IF(AG$35="Dose 2",SUMIFS('Supply planning data'!$H:$H,'Supply planning data'!$D:$D,DataViz!$B42,'Supply planning data'!$C:$C,DataViz!AG$34),
IF(AG$35="Wastage",SUMIFS('Supply planning data'!$K:$K,'Supply planning data'!$D:$D,DataViz!$B42,'Supply planning data'!$C:$C,DataViz!AG$34),
IF(AG$35="Additional",SUMIFS('Supply planning data'!$I:$I,'Supply planning data'!$D:$D,DataViz!$B42,'Supply planning data'!$C:$C,DataViz!AG$34),
0))))</f>
        <v>0</v>
      </c>
      <c r="AH42" s="22">
        <f>IF(AH$35="Dose 1",SUMIFS('Supply planning data'!$G:$G,'Supply planning data'!$D:$D,DataViz!$B42,'Supply planning data'!$C:$C,DataViz!AH$34),
IF(AH$35="Dose 2",SUMIFS('Supply planning data'!$H:$H,'Supply planning data'!$D:$D,DataViz!$B42,'Supply planning data'!$C:$C,DataViz!AH$34),
IF(AH$35="Wastage",SUMIFS('Supply planning data'!$K:$K,'Supply planning data'!$D:$D,DataViz!$B42,'Supply planning data'!$C:$C,DataViz!AH$34),
IF(AH$35="Additional",SUMIFS('Supply planning data'!$I:$I,'Supply planning data'!$D:$D,DataViz!$B42,'Supply planning data'!$C:$C,DataViz!AH$34),
0))))</f>
        <v>0</v>
      </c>
      <c r="AI42" s="22">
        <f>IF(AI$35="Dose 1",SUMIFS('Supply planning data'!$G:$G,'Supply planning data'!$D:$D,DataViz!$B42,'Supply planning data'!$C:$C,DataViz!AI$34),
IF(AI$35="Dose 2",SUMIFS('Supply planning data'!$H:$H,'Supply planning data'!$D:$D,DataViz!$B42,'Supply planning data'!$C:$C,DataViz!AI$34),
IF(AI$35="Wastage",SUMIFS('Supply planning data'!$K:$K,'Supply planning data'!$D:$D,DataViz!$B42,'Supply planning data'!$C:$C,DataViz!AI$34),
IF(AI$35="Additional",SUMIFS('Supply planning data'!$I:$I,'Supply planning data'!$D:$D,DataViz!$B42,'Supply planning data'!$C:$C,DataViz!AI$34),
0))))</f>
        <v>0</v>
      </c>
      <c r="AJ42" s="22">
        <f>IF(AJ$35="Dose 1",SUMIFS('Supply planning data'!$G:$G,'Supply planning data'!$D:$D,DataViz!$B42,'Supply planning data'!$C:$C,DataViz!AJ$34),
IF(AJ$35="Dose 2",SUMIFS('Supply planning data'!$H:$H,'Supply planning data'!$D:$D,DataViz!$B42,'Supply planning data'!$C:$C,DataViz!AJ$34),
IF(AJ$35="Wastage",SUMIFS('Supply planning data'!$K:$K,'Supply planning data'!$D:$D,DataViz!$B42,'Supply planning data'!$C:$C,DataViz!AJ$34),
IF(AJ$35="Additional",SUMIFS('Supply planning data'!$I:$I,'Supply planning data'!$D:$D,DataViz!$B42,'Supply planning data'!$C:$C,DataViz!AJ$34),
0))))</f>
        <v>0</v>
      </c>
      <c r="AK42" s="22">
        <f>IF(AK$35="Dose 1",SUMIFS('Supply planning data'!$G:$G,'Supply planning data'!$D:$D,DataViz!$B42,'Supply planning data'!$C:$C,DataViz!AK$34),
IF(AK$35="Dose 2",SUMIFS('Supply planning data'!$H:$H,'Supply planning data'!$D:$D,DataViz!$B42,'Supply planning data'!$C:$C,DataViz!AK$34),
IF(AK$35="Wastage",SUMIFS('Supply planning data'!$K:$K,'Supply planning data'!$D:$D,DataViz!$B42,'Supply planning data'!$C:$C,DataViz!AK$34),
IF(AK$35="Additional",SUMIFS('Supply planning data'!$I:$I,'Supply planning data'!$D:$D,DataViz!$B42,'Supply planning data'!$C:$C,DataViz!AK$34),
0))))</f>
        <v>0</v>
      </c>
      <c r="AL42" s="22">
        <f>IF(AL$35="Dose 1",SUMIFS('Supply planning data'!$G:$G,'Supply planning data'!$D:$D,DataViz!$B42,'Supply planning data'!$C:$C,DataViz!AL$34),
IF(AL$35="Dose 2",SUMIFS('Supply planning data'!$H:$H,'Supply planning data'!$D:$D,DataViz!$B42,'Supply planning data'!$C:$C,DataViz!AL$34),
IF(AL$35="Wastage",SUMIFS('Supply planning data'!$K:$K,'Supply planning data'!$D:$D,DataViz!$B42,'Supply planning data'!$C:$C,DataViz!AL$34),
IF(AL$35="Additional",SUMIFS('Supply planning data'!$I:$I,'Supply planning data'!$D:$D,DataViz!$B42,'Supply planning data'!$C:$C,DataViz!AL$34),
0))))</f>
        <v>0</v>
      </c>
      <c r="AM42" s="22">
        <f>IF(AM$35="Dose 1",SUMIFS('Supply planning data'!$G:$G,'Supply planning data'!$D:$D,DataViz!$B42,'Supply planning data'!$C:$C,DataViz!AM$34),
IF(AM$35="Dose 2",SUMIFS('Supply planning data'!$H:$H,'Supply planning data'!$D:$D,DataViz!$B42,'Supply planning data'!$C:$C,DataViz!AM$34),
IF(AM$35="Wastage",SUMIFS('Supply planning data'!$K:$K,'Supply planning data'!$D:$D,DataViz!$B42,'Supply planning data'!$C:$C,DataViz!AM$34),
IF(AM$35="Additional",SUMIFS('Supply planning data'!$I:$I,'Supply planning data'!$D:$D,DataViz!$B42,'Supply planning data'!$C:$C,DataViz!AM$34),
0))))</f>
        <v>0</v>
      </c>
      <c r="AN42" s="22">
        <f>IF(AN$35="Dose 1",SUMIFS('Supply planning data'!$G:$G,'Supply planning data'!$D:$D,DataViz!$B42,'Supply planning data'!$C:$C,DataViz!AN$34),
IF(AN$35="Dose 2",SUMIFS('Supply planning data'!$H:$H,'Supply planning data'!$D:$D,DataViz!$B42,'Supply planning data'!$C:$C,DataViz!AN$34),
IF(AN$35="Wastage",SUMIFS('Supply planning data'!$K:$K,'Supply planning data'!$D:$D,DataViz!$B42,'Supply planning data'!$C:$C,DataViz!AN$34),
IF(AN$35="Additional",SUMIFS('Supply planning data'!$I:$I,'Supply planning data'!$D:$D,DataViz!$B42,'Supply planning data'!$C:$C,DataViz!AN$34),
0))))</f>
        <v>0</v>
      </c>
      <c r="AO42" s="22">
        <f>IF(AO$35="Dose 1",SUMIFS('Supply planning data'!$G:$G,'Supply planning data'!$D:$D,DataViz!$B42,'Supply planning data'!$C:$C,DataViz!AO$34),
IF(AO$35="Dose 2",SUMIFS('Supply planning data'!$H:$H,'Supply planning data'!$D:$D,DataViz!$B42,'Supply planning data'!$C:$C,DataViz!AO$34),
IF(AO$35="Wastage",SUMIFS('Supply planning data'!$K:$K,'Supply planning data'!$D:$D,DataViz!$B42,'Supply planning data'!$C:$C,DataViz!AO$34),
IF(AO$35="Additional",SUMIFS('Supply planning data'!$I:$I,'Supply planning data'!$D:$D,DataViz!$B42,'Supply planning data'!$C:$C,DataViz!AO$34),
0))))</f>
        <v>0</v>
      </c>
      <c r="AP42" s="22">
        <f>IF(AP$35="Dose 1",SUMIFS('Supply planning data'!$G:$G,'Supply planning data'!$D:$D,DataViz!$B42,'Supply planning data'!$C:$C,DataViz!AP$34),
IF(AP$35="Dose 2",SUMIFS('Supply planning data'!$H:$H,'Supply planning data'!$D:$D,DataViz!$B42,'Supply planning data'!$C:$C,DataViz!AP$34),
IF(AP$35="Wastage",SUMIFS('Supply planning data'!$K:$K,'Supply planning data'!$D:$D,DataViz!$B42,'Supply planning data'!$C:$C,DataViz!AP$34),
IF(AP$35="Additional",SUMIFS('Supply planning data'!$I:$I,'Supply planning data'!$D:$D,DataViz!$B42,'Supply planning data'!$C:$C,DataViz!AP$34),
0))))</f>
        <v>0</v>
      </c>
      <c r="AQ42" s="22">
        <f>IF(AQ$35="Dose 1",SUMIFS('Supply planning data'!$G:$G,'Supply planning data'!$D:$D,DataViz!$B42,'Supply planning data'!$C:$C,DataViz!AQ$34),
IF(AQ$35="Dose 2",SUMIFS('Supply planning data'!$H:$H,'Supply planning data'!$D:$D,DataViz!$B42,'Supply planning data'!$C:$C,DataViz!AQ$34),
IF(AQ$35="Wastage",SUMIFS('Supply planning data'!$K:$K,'Supply planning data'!$D:$D,DataViz!$B42,'Supply planning data'!$C:$C,DataViz!AQ$34),
IF(AQ$35="Additional",SUMIFS('Supply planning data'!$I:$I,'Supply planning data'!$D:$D,DataViz!$B42,'Supply planning data'!$C:$C,DataViz!AQ$34),
0))))</f>
        <v>0</v>
      </c>
      <c r="AR42" s="22">
        <f>IF(AR$35="Dose 1",SUMIFS('Supply planning data'!$G:$G,'Supply planning data'!$D:$D,DataViz!$B42,'Supply planning data'!$C:$C,DataViz!AR$34),
IF(AR$35="Dose 2",SUMIFS('Supply planning data'!$H:$H,'Supply planning data'!$D:$D,DataViz!$B42,'Supply planning data'!$C:$C,DataViz!AR$34),
IF(AR$35="Wastage",SUMIFS('Supply planning data'!$K:$K,'Supply planning data'!$D:$D,DataViz!$B42,'Supply planning data'!$C:$C,DataViz!AR$34),
IF(AR$35="Additional",SUMIFS('Supply planning data'!$I:$I,'Supply planning data'!$D:$D,DataViz!$B42,'Supply planning data'!$C:$C,DataViz!AR$34),
0))))</f>
        <v>0</v>
      </c>
      <c r="AS42" s="22">
        <f>IF(AS$35="Dose 1",SUMIFS('Supply planning data'!$G:$G,'Supply planning data'!$D:$D,DataViz!$B42,'Supply planning data'!$C:$C,DataViz!AS$34),
IF(AS$35="Dose 2",SUMIFS('Supply planning data'!$H:$H,'Supply planning data'!$D:$D,DataViz!$B42,'Supply planning data'!$C:$C,DataViz!AS$34),
IF(AS$35="Wastage",SUMIFS('Supply planning data'!$K:$K,'Supply planning data'!$D:$D,DataViz!$B42,'Supply planning data'!$C:$C,DataViz!AS$34),
IF(AS$35="Additional",SUMIFS('Supply planning data'!$I:$I,'Supply planning data'!$D:$D,DataViz!$B42,'Supply planning data'!$C:$C,DataViz!AS$34),
0))))</f>
        <v>0</v>
      </c>
      <c r="AT42" s="22">
        <f>IF(AT$35="Dose 1",SUMIFS('Supply planning data'!$G:$G,'Supply planning data'!$D:$D,DataViz!$B42,'Supply planning data'!$C:$C,DataViz!AT$34),
IF(AT$35="Dose 2",SUMIFS('Supply planning data'!$H:$H,'Supply planning data'!$D:$D,DataViz!$B42,'Supply planning data'!$C:$C,DataViz!AT$34),
IF(AT$35="Wastage",SUMIFS('Supply planning data'!$K:$K,'Supply planning data'!$D:$D,DataViz!$B42,'Supply planning data'!$C:$C,DataViz!AT$34),
IF(AT$35="Additional",SUMIFS('Supply planning data'!$I:$I,'Supply planning data'!$D:$D,DataViz!$B42,'Supply planning data'!$C:$C,DataViz!AT$34),
0))))</f>
        <v>0</v>
      </c>
      <c r="AU42" s="22">
        <f>IF(AU$35="Dose 1",SUMIFS('Supply planning data'!$G:$G,'Supply planning data'!$D:$D,DataViz!$B42,'Supply planning data'!$C:$C,DataViz!AU$34),
IF(AU$35="Dose 2",SUMIFS('Supply planning data'!$H:$H,'Supply planning data'!$D:$D,DataViz!$B42,'Supply planning data'!$C:$C,DataViz!AU$34),
IF(AU$35="Wastage",SUMIFS('Supply planning data'!$K:$K,'Supply planning data'!$D:$D,DataViz!$B42,'Supply planning data'!$C:$C,DataViz!AU$34),
IF(AU$35="Additional",SUMIFS('Supply planning data'!$I:$I,'Supply planning data'!$D:$D,DataViz!$B42,'Supply planning data'!$C:$C,DataViz!AU$34),
0))))</f>
        <v>0</v>
      </c>
      <c r="AV42" s="22">
        <f>IF(AV$35="Dose 1",SUMIFS('Supply planning data'!$G:$G,'Supply planning data'!$D:$D,DataViz!$B42,'Supply planning data'!$C:$C,DataViz!AV$34),
IF(AV$35="Dose 2",SUMIFS('Supply planning data'!$H:$H,'Supply planning data'!$D:$D,DataViz!$B42,'Supply planning data'!$C:$C,DataViz!AV$34),
IF(AV$35="Wastage",SUMIFS('Supply planning data'!$K:$K,'Supply planning data'!$D:$D,DataViz!$B42,'Supply planning data'!$C:$C,DataViz!AV$34),
IF(AV$35="Additional",SUMIFS('Supply planning data'!$I:$I,'Supply planning data'!$D:$D,DataViz!$B42,'Supply planning data'!$C:$C,DataViz!AV$34),
0))))</f>
        <v>0</v>
      </c>
      <c r="AW42" s="22">
        <f>IF(AW$35="Dose 1",SUMIFS('Supply planning data'!$G:$G,'Supply planning data'!$D:$D,DataViz!$B42,'Supply planning data'!$C:$C,DataViz!AW$34),
IF(AW$35="Dose 2",SUMIFS('Supply planning data'!$H:$H,'Supply planning data'!$D:$D,DataViz!$B42,'Supply planning data'!$C:$C,DataViz!AW$34),
IF(AW$35="Wastage",SUMIFS('Supply planning data'!$K:$K,'Supply planning data'!$D:$D,DataViz!$B42,'Supply planning data'!$C:$C,DataViz!AW$34),
IF(AW$35="Additional",SUMIFS('Supply planning data'!$I:$I,'Supply planning data'!$D:$D,DataViz!$B42,'Supply planning data'!$C:$C,DataViz!AW$34),
0))))</f>
        <v>0</v>
      </c>
      <c r="AX42" s="22">
        <f>IF(AX$35="Dose 1",SUMIFS('Supply planning data'!$G:$G,'Supply planning data'!$D:$D,DataViz!$B42,'Supply planning data'!$C:$C,DataViz!AX$34),
IF(AX$35="Dose 2",SUMIFS('Supply planning data'!$H:$H,'Supply planning data'!$D:$D,DataViz!$B42,'Supply planning data'!$C:$C,DataViz!AX$34),
IF(AX$35="Wastage",SUMIFS('Supply planning data'!$K:$K,'Supply planning data'!$D:$D,DataViz!$B42,'Supply planning data'!$C:$C,DataViz!AX$34),
IF(AX$35="Additional",SUMIFS('Supply planning data'!$I:$I,'Supply planning data'!$D:$D,DataViz!$B42,'Supply planning data'!$C:$C,DataViz!AX$34),
0))))</f>
        <v>0</v>
      </c>
      <c r="AY42" s="22">
        <f>IF(AY$35="Dose 1",SUMIFS('Supply planning data'!$G:$G,'Supply planning data'!$D:$D,DataViz!$B42,'Supply planning data'!$C:$C,DataViz!AY$34),
IF(AY$35="Dose 2",SUMIFS('Supply planning data'!$H:$H,'Supply planning data'!$D:$D,DataViz!$B42,'Supply planning data'!$C:$C,DataViz!AY$34),
IF(AY$35="Wastage",SUMIFS('Supply planning data'!$K:$K,'Supply planning data'!$D:$D,DataViz!$B42,'Supply planning data'!$C:$C,DataViz!AY$34),
IF(AY$35="Additional",SUMIFS('Supply planning data'!$I:$I,'Supply planning data'!$D:$D,DataViz!$B42,'Supply planning data'!$C:$C,DataViz!AY$34),
0))))</f>
        <v>0</v>
      </c>
      <c r="AZ42" s="22">
        <f>IF(AZ$35="Dose 1",SUMIFS('Supply planning data'!$G:$G,'Supply planning data'!$D:$D,DataViz!$B42,'Supply planning data'!$C:$C,DataViz!AZ$34),
IF(AZ$35="Dose 2",SUMIFS('Supply planning data'!$H:$H,'Supply planning data'!$D:$D,DataViz!$B42,'Supply planning data'!$C:$C,DataViz!AZ$34),
IF(AZ$35="Wastage",SUMIFS('Supply planning data'!$K:$K,'Supply planning data'!$D:$D,DataViz!$B42,'Supply planning data'!$C:$C,DataViz!AZ$34),
IF(AZ$35="Additional",SUMIFS('Supply planning data'!$I:$I,'Supply planning data'!$D:$D,DataViz!$B42,'Supply planning data'!$C:$C,DataViz!AZ$34),
0))))</f>
        <v>0</v>
      </c>
      <c r="BA42" s="22">
        <f>IF(BA$35="Dose 1",SUMIFS('Supply planning data'!$G:$G,'Supply planning data'!$D:$D,DataViz!$B42,'Supply planning data'!$C:$C,DataViz!BA$34),
IF(BA$35="Dose 2",SUMIFS('Supply planning data'!$H:$H,'Supply planning data'!$D:$D,DataViz!$B42,'Supply planning data'!$C:$C,DataViz!BA$34),
IF(BA$35="Wastage",SUMIFS('Supply planning data'!$K:$K,'Supply planning data'!$D:$D,DataViz!$B42,'Supply planning data'!$C:$C,DataViz!BA$34),
IF(BA$35="Additional",SUMIFS('Supply planning data'!$I:$I,'Supply planning data'!$D:$D,DataViz!$B42,'Supply planning data'!$C:$C,DataViz!BA$34),
0))))</f>
        <v>0</v>
      </c>
      <c r="BB42" s="22">
        <f>IF(BB$35="Dose 1",SUMIFS('Supply planning data'!$G:$G,'Supply planning data'!$D:$D,DataViz!$B42,'Supply planning data'!$C:$C,DataViz!BB$34),
IF(BB$35="Dose 2",SUMIFS('Supply planning data'!$H:$H,'Supply planning data'!$D:$D,DataViz!$B42,'Supply planning data'!$C:$C,DataViz!BB$34),
IF(BB$35="Wastage",SUMIFS('Supply planning data'!$K:$K,'Supply planning data'!$D:$D,DataViz!$B42,'Supply planning data'!$C:$C,DataViz!BB$34),
IF(BB$35="Additional",SUMIFS('Supply planning data'!$I:$I,'Supply planning data'!$D:$D,DataViz!$B42,'Supply planning data'!$C:$C,DataViz!BB$34),
0))))</f>
        <v>0</v>
      </c>
      <c r="BC42" s="22">
        <f>IF(BC$35="Dose 1",SUMIFS('Supply planning data'!$G:$G,'Supply planning data'!$D:$D,DataViz!$B42,'Supply planning data'!$C:$C,DataViz!BC$34),
IF(BC$35="Dose 2",SUMIFS('Supply planning data'!$H:$H,'Supply planning data'!$D:$D,DataViz!$B42,'Supply planning data'!$C:$C,DataViz!BC$34),
IF(BC$35="Wastage",SUMIFS('Supply planning data'!$K:$K,'Supply planning data'!$D:$D,DataViz!$B42,'Supply planning data'!$C:$C,DataViz!BC$34),
IF(BC$35="Additional",SUMIFS('Supply planning data'!$I:$I,'Supply planning data'!$D:$D,DataViz!$B42,'Supply planning data'!$C:$C,DataViz!BC$34),
0))))</f>
        <v>0</v>
      </c>
      <c r="BD42" s="22">
        <f>IF(BD$35="Dose 1",SUMIFS('Supply planning data'!$G:$G,'Supply planning data'!$D:$D,DataViz!$B42,'Supply planning data'!$C:$C,DataViz!BD$34),
IF(BD$35="Dose 2",SUMIFS('Supply planning data'!$H:$H,'Supply planning data'!$D:$D,DataViz!$B42,'Supply planning data'!$C:$C,DataViz!BD$34),
IF(BD$35="Wastage",SUMIFS('Supply planning data'!$K:$K,'Supply planning data'!$D:$D,DataViz!$B42,'Supply planning data'!$C:$C,DataViz!BD$34),
IF(BD$35="Additional",SUMIFS('Supply planning data'!$I:$I,'Supply planning data'!$D:$D,DataViz!$B42,'Supply planning data'!$C:$C,DataViz!BD$34),
0))))</f>
        <v>0</v>
      </c>
      <c r="BE42" s="22">
        <f>IF(BE$35="Dose 1",SUMIFS('Supply planning data'!$G:$G,'Supply planning data'!$D:$D,DataViz!$B42,'Supply planning data'!$C:$C,DataViz!BE$34),
IF(BE$35="Dose 2",SUMIFS('Supply planning data'!$H:$H,'Supply planning data'!$D:$D,DataViz!$B42,'Supply planning data'!$C:$C,DataViz!BE$34),
IF(BE$35="Wastage",SUMIFS('Supply planning data'!$K:$K,'Supply planning data'!$D:$D,DataViz!$B42,'Supply planning data'!$C:$C,DataViz!BE$34),
IF(BE$35="Additional",SUMIFS('Supply planning data'!$I:$I,'Supply planning data'!$D:$D,DataViz!$B42,'Supply planning data'!$C:$C,DataViz!BE$34),
0))))</f>
        <v>0</v>
      </c>
      <c r="BF42" s="22">
        <f>IF(BF$35="Dose 1",SUMIFS('Supply planning data'!$G:$G,'Supply planning data'!$D:$D,DataViz!$B42,'Supply planning data'!$C:$C,DataViz!BF$34),
IF(BF$35="Dose 2",SUMIFS('Supply planning data'!$H:$H,'Supply planning data'!$D:$D,DataViz!$B42,'Supply planning data'!$C:$C,DataViz!BF$34),
IF(BF$35="Wastage",SUMIFS('Supply planning data'!$K:$K,'Supply planning data'!$D:$D,DataViz!$B42,'Supply planning data'!$C:$C,DataViz!BF$34),
IF(BF$35="Additional",SUMIFS('Supply planning data'!$I:$I,'Supply planning data'!$D:$D,DataViz!$B42,'Supply planning data'!$C:$C,DataViz!BF$34),
0))))</f>
        <v>0</v>
      </c>
      <c r="BG42" s="22">
        <f>IF(BG$35="Dose 1",SUMIFS('Supply planning data'!$G:$G,'Supply planning data'!$D:$D,DataViz!$B42,'Supply planning data'!$C:$C,DataViz!BG$34),
IF(BG$35="Dose 2",SUMIFS('Supply planning data'!$H:$H,'Supply planning data'!$D:$D,DataViz!$B42,'Supply planning data'!$C:$C,DataViz!BG$34),
IF(BG$35="Wastage",SUMIFS('Supply planning data'!$K:$K,'Supply planning data'!$D:$D,DataViz!$B42,'Supply planning data'!$C:$C,DataViz!BG$34),
IF(BG$35="Additional",SUMIFS('Supply planning data'!$I:$I,'Supply planning data'!$D:$D,DataViz!$B42,'Supply planning data'!$C:$C,DataViz!BG$34),
0))))</f>
        <v>0</v>
      </c>
      <c r="BH42" s="22">
        <f>IF(BH$35="Dose 1",SUMIFS('Supply planning data'!$G:$G,'Supply planning data'!$D:$D,DataViz!$B42,'Supply planning data'!$C:$C,DataViz!BH$34),
IF(BH$35="Dose 2",SUMIFS('Supply planning data'!$H:$H,'Supply planning data'!$D:$D,DataViz!$B42,'Supply planning data'!$C:$C,DataViz!BH$34),
IF(BH$35="Wastage",SUMIFS('Supply planning data'!$K:$K,'Supply planning data'!$D:$D,DataViz!$B42,'Supply planning data'!$C:$C,DataViz!BH$34),
IF(BH$35="Additional",SUMIFS('Supply planning data'!$I:$I,'Supply planning data'!$D:$D,DataViz!$B42,'Supply planning data'!$C:$C,DataViz!BH$34),
0))))</f>
        <v>0</v>
      </c>
      <c r="BI42" s="22">
        <f>IF(BI$35="Dose 1",SUMIFS('Supply planning data'!$G:$G,'Supply planning data'!$D:$D,DataViz!$B42,'Supply planning data'!$C:$C,DataViz!BI$34),
IF(BI$35="Dose 2",SUMIFS('Supply planning data'!$H:$H,'Supply planning data'!$D:$D,DataViz!$B42,'Supply planning data'!$C:$C,DataViz!BI$34),
IF(BI$35="Wastage",SUMIFS('Supply planning data'!$K:$K,'Supply planning data'!$D:$D,DataViz!$B42,'Supply planning data'!$C:$C,DataViz!BI$34),
IF(BI$35="Additional",SUMIFS('Supply planning data'!$I:$I,'Supply planning data'!$D:$D,DataViz!$B42,'Supply planning data'!$C:$C,DataViz!BI$34),
0))))</f>
        <v>0</v>
      </c>
      <c r="BJ42" s="22">
        <f>IF(BJ$35="Dose 1",SUMIFS('Supply planning data'!$G:$G,'Supply planning data'!$D:$D,DataViz!$B42,'Supply planning data'!$C:$C,DataViz!BJ$34),
IF(BJ$35="Dose 2",SUMIFS('Supply planning data'!$H:$H,'Supply planning data'!$D:$D,DataViz!$B42,'Supply planning data'!$C:$C,DataViz!BJ$34),
IF(BJ$35="Wastage",SUMIFS('Supply planning data'!$K:$K,'Supply planning data'!$D:$D,DataViz!$B42,'Supply planning data'!$C:$C,DataViz!BJ$34),
IF(BJ$35="Additional",SUMIFS('Supply planning data'!$I:$I,'Supply planning data'!$D:$D,DataViz!$B42,'Supply planning data'!$C:$C,DataViz!BJ$34),
0))))</f>
        <v>0</v>
      </c>
      <c r="BK42" s="22">
        <f>IF(BK$35="Dose 1",SUMIFS('Supply planning data'!$G:$G,'Supply planning data'!$D:$D,DataViz!$B42,'Supply planning data'!$C:$C,DataViz!BK$34),
IF(BK$35="Dose 2",SUMIFS('Supply planning data'!$H:$H,'Supply planning data'!$D:$D,DataViz!$B42,'Supply planning data'!$C:$C,DataViz!BK$34),
IF(BK$35="Wastage",SUMIFS('Supply planning data'!$K:$K,'Supply planning data'!$D:$D,DataViz!$B42,'Supply planning data'!$C:$C,DataViz!BK$34),
IF(BK$35="Additional",SUMIFS('Supply planning data'!$I:$I,'Supply planning data'!$D:$D,DataViz!$B42,'Supply planning data'!$C:$C,DataViz!BK$34),
0))))</f>
        <v>0</v>
      </c>
      <c r="BL42" s="22">
        <f>IF(BL$35="Dose 1",SUMIFS('Supply planning data'!$G:$G,'Supply planning data'!$D:$D,DataViz!$B42,'Supply planning data'!$C:$C,DataViz!BL$34),
IF(BL$35="Dose 2",SUMIFS('Supply planning data'!$H:$H,'Supply planning data'!$D:$D,DataViz!$B42,'Supply planning data'!$C:$C,DataViz!BL$34),
IF(BL$35="Wastage",SUMIFS('Supply planning data'!$K:$K,'Supply planning data'!$D:$D,DataViz!$B42,'Supply planning data'!$C:$C,DataViz!BL$34),
IF(BL$35="Additional",SUMIFS('Supply planning data'!$I:$I,'Supply planning data'!$D:$D,DataViz!$B42,'Supply planning data'!$C:$C,DataViz!BL$34),
0))))</f>
        <v>0</v>
      </c>
    </row>
    <row r="43" spans="1:64" x14ac:dyDescent="0.25">
      <c r="A43" s="20">
        <v>5</v>
      </c>
      <c r="B43" s="21">
        <f t="shared" si="15"/>
        <v>44409</v>
      </c>
      <c r="C43" s="22">
        <f>IF(VLOOKUP(Dashboard!$M$6,Start!$B$10:$E$12,4,FALSE)&gt;0,VLOOKUP(Dashboard!$M$6,Start!$B$10:$E$12,4, FALSE),VLOOKUP(Dashboard!$M$6,Start!$B$10:$E$12,3, FALSE))</f>
        <v>60000000</v>
      </c>
      <c r="D43" s="22">
        <f>SUMIFS('Supply planning data'!M:M,'Supply planning data'!D:D,"&lt;="&amp;DataViz!B43)</f>
        <v>198813</v>
      </c>
      <c r="E43" s="22">
        <f>IF(E$35="Dose 1",SUMIFS('Supply planning data'!$G:$G,'Supply planning data'!$D:$D,DataViz!$B43,'Supply planning data'!$C:$C,DataViz!E$34),
IF(E$35="Dose 2",SUMIFS('Supply planning data'!$H:$H,'Supply planning data'!$D:$D,DataViz!$B43,'Supply planning data'!$C:$C,DataViz!E$34),
IF(E$35="Wastage",SUMIFS('Supply planning data'!$K:$K,'Supply planning data'!$D:$D,DataViz!$B43,'Supply planning data'!$C:$C,DataViz!E$34),
IF(E$35="Additional",SUMIFS('Supply planning data'!$I:$I,'Supply planning data'!$D:$D,DataViz!$B43,'Supply planning data'!$C:$C,DataViz!E$34),
0))))</f>
        <v>0</v>
      </c>
      <c r="F43" s="22">
        <f>IF(F$35="Dose 1",SUMIFS('Supply planning data'!$G:$G,'Supply planning data'!$D:$D,DataViz!$B43,'Supply planning data'!$C:$C,DataViz!F$34),
IF(F$35="Dose 2",SUMIFS('Supply planning data'!$H:$H,'Supply planning data'!$D:$D,DataViz!$B43,'Supply planning data'!$C:$C,DataViz!F$34),
IF(F$35="Wastage",SUMIFS('Supply planning data'!$K:$K,'Supply planning data'!$D:$D,DataViz!$B43,'Supply planning data'!$C:$C,DataViz!F$34),
IF(F$35="Additional",SUMIFS('Supply planning data'!$I:$I,'Supply planning data'!$D:$D,DataViz!$B43,'Supply planning data'!$C:$C,DataViz!F$34),
0))))</f>
        <v>0</v>
      </c>
      <c r="G43" s="22">
        <f>IF(G$35="Dose 1",SUMIFS('Supply planning data'!$G:$G,'Supply planning data'!$D:$D,DataViz!$B43,'Supply planning data'!$C:$C,DataViz!G$34),
IF(G$35="Dose 2",SUMIFS('Supply planning data'!$H:$H,'Supply planning data'!$D:$D,DataViz!$B43,'Supply planning data'!$C:$C,DataViz!G$34),
IF(G$35="Wastage",SUMIFS('Supply planning data'!$K:$K,'Supply planning data'!$D:$D,DataViz!$B43,'Supply planning data'!$C:$C,DataViz!G$34),
IF(G$35="Additional",SUMIFS('Supply planning data'!$I:$I,'Supply planning data'!$D:$D,DataViz!$B43,'Supply planning data'!$C:$C,DataViz!G$34),
0))))</f>
        <v>0</v>
      </c>
      <c r="H43" s="22">
        <f>IF(H$35="Dose 1",SUMIFS('Supply planning data'!$G:$G,'Supply planning data'!$D:$D,DataViz!$B43,'Supply planning data'!$C:$C,DataViz!H$34),
IF(H$35="Dose 2",SUMIFS('Supply planning data'!$H:$H,'Supply planning data'!$D:$D,DataViz!$B43,'Supply planning data'!$C:$C,DataViz!H$34),
IF(H$35="Wastage",SUMIFS('Supply planning data'!$K:$K,'Supply planning data'!$D:$D,DataViz!$B43,'Supply planning data'!$C:$C,DataViz!H$34),
IF(H$35="Additional",SUMIFS('Supply planning data'!$I:$I,'Supply planning data'!$D:$D,DataViz!$B43,'Supply planning data'!$C:$C,DataViz!H$34),
0))))</f>
        <v>0</v>
      </c>
      <c r="I43" s="22">
        <f>IF(I$35="Dose 1",SUMIFS('Supply planning data'!$G:$G,'Supply planning data'!$D:$D,DataViz!$B43,'Supply planning data'!$C:$C,DataViz!I$34),
IF(I$35="Dose 2",SUMIFS('Supply planning data'!$H:$H,'Supply planning data'!$D:$D,DataViz!$B43,'Supply planning data'!$C:$C,DataViz!I$34),
IF(I$35="Wastage",SUMIFS('Supply planning data'!$K:$K,'Supply planning data'!$D:$D,DataViz!$B43,'Supply planning data'!$C:$C,DataViz!I$34),
IF(I$35="Additional",SUMIFS('Supply planning data'!$I:$I,'Supply planning data'!$D:$D,DataViz!$B43,'Supply planning data'!$C:$C,DataViz!I$34),
0))))</f>
        <v>1653</v>
      </c>
      <c r="J43" s="22">
        <f>IF(J$35="Dose 1",SUMIFS('Supply planning data'!$G:$G,'Supply planning data'!$D:$D,DataViz!$B43,'Supply planning data'!$C:$C,DataViz!J$34),
IF(J$35="Dose 2",SUMIFS('Supply planning data'!$H:$H,'Supply planning data'!$D:$D,DataViz!$B43,'Supply planning data'!$C:$C,DataViz!J$34),
IF(J$35="Wastage",SUMIFS('Supply planning data'!$K:$K,'Supply planning data'!$D:$D,DataViz!$B43,'Supply planning data'!$C:$C,DataViz!J$34),
IF(J$35="Additional",SUMIFS('Supply planning data'!$I:$I,'Supply planning data'!$D:$D,DataViz!$B43,'Supply planning data'!$C:$C,DataViz!J$34),
0))))</f>
        <v>0</v>
      </c>
      <c r="K43" s="22">
        <f>IF(K$35="Dose 1",SUMIFS('Supply planning data'!$G:$G,'Supply planning data'!$D:$D,DataViz!$B43,'Supply planning data'!$C:$C,DataViz!K$34),
IF(K$35="Dose 2",SUMIFS('Supply planning data'!$H:$H,'Supply planning data'!$D:$D,DataViz!$B43,'Supply planning data'!$C:$C,DataViz!K$34),
IF(K$35="Wastage",SUMIFS('Supply planning data'!$K:$K,'Supply planning data'!$D:$D,DataViz!$B43,'Supply planning data'!$C:$C,DataViz!K$34),
IF(K$35="Additional",SUMIFS('Supply planning data'!$I:$I,'Supply planning data'!$D:$D,DataViz!$B43,'Supply planning data'!$C:$C,DataViz!K$34),
0))))</f>
        <v>0</v>
      </c>
      <c r="L43" s="22">
        <f>IF(L$35="Dose 1",SUMIFS('Supply planning data'!$G:$G,'Supply planning data'!$D:$D,DataViz!$B43,'Supply planning data'!$C:$C,DataViz!L$34),
IF(L$35="Dose 2",SUMIFS('Supply planning data'!$H:$H,'Supply planning data'!$D:$D,DataViz!$B43,'Supply planning data'!$C:$C,DataViz!L$34),
IF(L$35="Wastage",SUMIFS('Supply planning data'!$K:$K,'Supply planning data'!$D:$D,DataViz!$B43,'Supply planning data'!$C:$C,DataViz!L$34),
IF(L$35="Additional",SUMIFS('Supply planning data'!$I:$I,'Supply planning data'!$D:$D,DataViz!$B43,'Supply planning data'!$C:$C,DataViz!L$34),
0))))</f>
        <v>0</v>
      </c>
      <c r="M43" s="22">
        <f>IF(M$35="Dose 1",SUMIFS('Supply planning data'!$G:$G,'Supply planning data'!$D:$D,DataViz!$B43,'Supply planning data'!$C:$C,DataViz!M$34),
IF(M$35="Dose 2",SUMIFS('Supply planning data'!$H:$H,'Supply planning data'!$D:$D,DataViz!$B43,'Supply planning data'!$C:$C,DataViz!M$34),
IF(M$35="Wastage",SUMIFS('Supply planning data'!$K:$K,'Supply planning data'!$D:$D,DataViz!$B43,'Supply planning data'!$C:$C,DataViz!M$34),
IF(M$35="Additional",SUMIFS('Supply planning data'!$I:$I,'Supply planning data'!$D:$D,DataViz!$B43,'Supply planning data'!$C:$C,DataViz!M$34),
0))))</f>
        <v>0</v>
      </c>
      <c r="N43" s="22">
        <f>IF(N$35="Dose 1",SUMIFS('Supply planning data'!$G:$G,'Supply planning data'!$D:$D,DataViz!$B43,'Supply planning data'!$C:$C,DataViz!N$34),
IF(N$35="Dose 2",SUMIFS('Supply planning data'!$H:$H,'Supply planning data'!$D:$D,DataViz!$B43,'Supply planning data'!$C:$C,DataViz!N$34),
IF(N$35="Wastage",SUMIFS('Supply planning data'!$K:$K,'Supply planning data'!$D:$D,DataViz!$B43,'Supply planning data'!$C:$C,DataViz!N$34),
IF(N$35="Additional",SUMIFS('Supply planning data'!$I:$I,'Supply planning data'!$D:$D,DataViz!$B43,'Supply planning data'!$C:$C,DataViz!N$34),
0))))</f>
        <v>0</v>
      </c>
      <c r="O43" s="22">
        <f>IF(O$35="Dose 1",SUMIFS('Supply planning data'!$G:$G,'Supply planning data'!$D:$D,DataViz!$B43,'Supply planning data'!$C:$C,DataViz!O$34),
IF(O$35="Dose 2",SUMIFS('Supply planning data'!$H:$H,'Supply planning data'!$D:$D,DataViz!$B43,'Supply planning data'!$C:$C,DataViz!O$34),
IF(O$35="Wastage",SUMIFS('Supply planning data'!$K:$K,'Supply planning data'!$D:$D,DataViz!$B43,'Supply planning data'!$C:$C,DataViz!O$34),
IF(O$35="Additional",SUMIFS('Supply planning data'!$I:$I,'Supply planning data'!$D:$D,DataViz!$B43,'Supply planning data'!$C:$C,DataViz!O$34),
0))))</f>
        <v>0</v>
      </c>
      <c r="P43" s="22">
        <f>IF(P$35="Dose 1",SUMIFS('Supply planning data'!$G:$G,'Supply planning data'!$D:$D,DataViz!$B43,'Supply planning data'!$C:$C,DataViz!P$34),
IF(P$35="Dose 2",SUMIFS('Supply planning data'!$H:$H,'Supply planning data'!$D:$D,DataViz!$B43,'Supply planning data'!$C:$C,DataViz!P$34),
IF(P$35="Wastage",SUMIFS('Supply planning data'!$K:$K,'Supply planning data'!$D:$D,DataViz!$B43,'Supply planning data'!$C:$C,DataViz!P$34),
IF(P$35="Additional",SUMIFS('Supply planning data'!$I:$I,'Supply planning data'!$D:$D,DataViz!$B43,'Supply planning data'!$C:$C,DataViz!P$34),
0))))</f>
        <v>0</v>
      </c>
      <c r="Q43" s="22">
        <f>IF(Q$35="Dose 1",SUMIFS('Supply planning data'!$G:$G,'Supply planning data'!$D:$D,DataViz!$B43,'Supply planning data'!$C:$C,DataViz!Q$34),
IF(Q$35="Dose 2",SUMIFS('Supply planning data'!$H:$H,'Supply planning data'!$D:$D,DataViz!$B43,'Supply planning data'!$C:$C,DataViz!Q$34),
IF(Q$35="Wastage",SUMIFS('Supply planning data'!$K:$K,'Supply planning data'!$D:$D,DataViz!$B43,'Supply planning data'!$C:$C,DataViz!Q$34),
IF(Q$35="Additional",SUMIFS('Supply planning data'!$I:$I,'Supply planning data'!$D:$D,DataViz!$B43,'Supply planning data'!$C:$C,DataViz!Q$34),
0))))</f>
        <v>0</v>
      </c>
      <c r="R43" s="22">
        <f>IF(R$35="Dose 1",SUMIFS('Supply planning data'!$G:$G,'Supply planning data'!$D:$D,DataViz!$B43,'Supply planning data'!$C:$C,DataViz!R$34),
IF(R$35="Dose 2",SUMIFS('Supply planning data'!$H:$H,'Supply planning data'!$D:$D,DataViz!$B43,'Supply planning data'!$C:$C,DataViz!R$34),
IF(R$35="Wastage",SUMIFS('Supply planning data'!$K:$K,'Supply planning data'!$D:$D,DataViz!$B43,'Supply planning data'!$C:$C,DataViz!R$34),
IF(R$35="Additional",SUMIFS('Supply planning data'!$I:$I,'Supply planning data'!$D:$D,DataViz!$B43,'Supply planning data'!$C:$C,DataViz!R$34),
0))))</f>
        <v>0</v>
      </c>
      <c r="S43" s="22">
        <f>IF(S$35="Dose 1",SUMIFS('Supply planning data'!$G:$G,'Supply planning data'!$D:$D,DataViz!$B43,'Supply planning data'!$C:$C,DataViz!S$34),
IF(S$35="Dose 2",SUMIFS('Supply planning data'!$H:$H,'Supply planning data'!$D:$D,DataViz!$B43,'Supply planning data'!$C:$C,DataViz!S$34),
IF(S$35="Wastage",SUMIFS('Supply planning data'!$K:$K,'Supply planning data'!$D:$D,DataViz!$B43,'Supply planning data'!$C:$C,DataViz!S$34),
IF(S$35="Additional",SUMIFS('Supply planning data'!$I:$I,'Supply planning data'!$D:$D,DataViz!$B43,'Supply planning data'!$C:$C,DataViz!S$34),
0))))</f>
        <v>0</v>
      </c>
      <c r="T43" s="22">
        <f>IF(T$35="Dose 1",SUMIFS('Supply planning data'!$G:$G,'Supply planning data'!$D:$D,DataViz!$B43,'Supply planning data'!$C:$C,DataViz!T$34),
IF(T$35="Dose 2",SUMIFS('Supply planning data'!$H:$H,'Supply planning data'!$D:$D,DataViz!$B43,'Supply planning data'!$C:$C,DataViz!T$34),
IF(T$35="Wastage",SUMIFS('Supply planning data'!$K:$K,'Supply planning data'!$D:$D,DataViz!$B43,'Supply planning data'!$C:$C,DataViz!T$34),
IF(T$35="Additional",SUMIFS('Supply planning data'!$I:$I,'Supply planning data'!$D:$D,DataViz!$B43,'Supply planning data'!$C:$C,DataViz!T$34),
0))))</f>
        <v>0</v>
      </c>
      <c r="U43" s="22">
        <f>IF(U$35="Dose 1",SUMIFS('Supply planning data'!$G:$G,'Supply planning data'!$D:$D,DataViz!$B43,'Supply planning data'!$C:$C,DataViz!U$34),
IF(U$35="Dose 2",SUMIFS('Supply planning data'!$H:$H,'Supply planning data'!$D:$D,DataViz!$B43,'Supply planning data'!$C:$C,DataViz!U$34),
IF(U$35="Wastage",SUMIFS('Supply planning data'!$K:$K,'Supply planning data'!$D:$D,DataViz!$B43,'Supply planning data'!$C:$C,DataViz!U$34),
IF(U$35="Additional",SUMIFS('Supply planning data'!$I:$I,'Supply planning data'!$D:$D,DataViz!$B43,'Supply planning data'!$C:$C,DataViz!U$34),
0))))</f>
        <v>0</v>
      </c>
      <c r="V43" s="22">
        <f>IF(V$35="Dose 1",SUMIFS('Supply planning data'!$G:$G,'Supply planning data'!$D:$D,DataViz!$B43,'Supply planning data'!$C:$C,DataViz!V$34),
IF(V$35="Dose 2",SUMIFS('Supply planning data'!$H:$H,'Supply planning data'!$D:$D,DataViz!$B43,'Supply planning data'!$C:$C,DataViz!V$34),
IF(V$35="Wastage",SUMIFS('Supply planning data'!$K:$K,'Supply planning data'!$D:$D,DataViz!$B43,'Supply planning data'!$C:$C,DataViz!V$34),
IF(V$35="Additional",SUMIFS('Supply planning data'!$I:$I,'Supply planning data'!$D:$D,DataViz!$B43,'Supply planning data'!$C:$C,DataViz!V$34),
0))))</f>
        <v>0</v>
      </c>
      <c r="W43" s="22">
        <f>IF(W$35="Dose 1",SUMIFS('Supply planning data'!$G:$G,'Supply planning data'!$D:$D,DataViz!$B43,'Supply planning data'!$C:$C,DataViz!W$34),
IF(W$35="Dose 2",SUMIFS('Supply planning data'!$H:$H,'Supply planning data'!$D:$D,DataViz!$B43,'Supply planning data'!$C:$C,DataViz!W$34),
IF(W$35="Wastage",SUMIFS('Supply planning data'!$K:$K,'Supply planning data'!$D:$D,DataViz!$B43,'Supply planning data'!$C:$C,DataViz!W$34),
IF(W$35="Additional",SUMIFS('Supply planning data'!$I:$I,'Supply planning data'!$D:$D,DataViz!$B43,'Supply planning data'!$C:$C,DataViz!W$34),
0))))</f>
        <v>0</v>
      </c>
      <c r="X43" s="22">
        <f>IF(X$35="Dose 1",SUMIFS('Supply planning data'!$G:$G,'Supply planning data'!$D:$D,DataViz!$B43,'Supply planning data'!$C:$C,DataViz!X$34),
IF(X$35="Dose 2",SUMIFS('Supply planning data'!$H:$H,'Supply planning data'!$D:$D,DataViz!$B43,'Supply planning data'!$C:$C,DataViz!X$34),
IF(X$35="Wastage",SUMIFS('Supply planning data'!$K:$K,'Supply planning data'!$D:$D,DataViz!$B43,'Supply planning data'!$C:$C,DataViz!X$34),
IF(X$35="Additional",SUMIFS('Supply planning data'!$I:$I,'Supply planning data'!$D:$D,DataViz!$B43,'Supply planning data'!$C:$C,DataViz!X$34),
0))))</f>
        <v>0</v>
      </c>
      <c r="Y43" s="22">
        <f>IF(Y$35="Dose 1",SUMIFS('Supply planning data'!$G:$G,'Supply planning data'!$D:$D,DataViz!$B43,'Supply planning data'!$C:$C,DataViz!Y$34),
IF(Y$35="Dose 2",SUMIFS('Supply planning data'!$H:$H,'Supply planning data'!$D:$D,DataViz!$B43,'Supply planning data'!$C:$C,DataViz!Y$34),
IF(Y$35="Wastage",SUMIFS('Supply planning data'!$K:$K,'Supply planning data'!$D:$D,DataViz!$B43,'Supply planning data'!$C:$C,DataViz!Y$34),
IF(Y$35="Additional",SUMIFS('Supply planning data'!$I:$I,'Supply planning data'!$D:$D,DataViz!$B43,'Supply planning data'!$C:$C,DataViz!Y$34),
0))))</f>
        <v>0</v>
      </c>
      <c r="Z43" s="22">
        <f>IF(Z$35="Dose 1",SUMIFS('Supply planning data'!$G:$G,'Supply planning data'!$D:$D,DataViz!$B43,'Supply planning data'!$C:$C,DataViz!Z$34),
IF(Z$35="Dose 2",SUMIFS('Supply planning data'!$H:$H,'Supply planning data'!$D:$D,DataViz!$B43,'Supply planning data'!$C:$C,DataViz!Z$34),
IF(Z$35="Wastage",SUMIFS('Supply planning data'!$K:$K,'Supply planning data'!$D:$D,DataViz!$B43,'Supply planning data'!$C:$C,DataViz!Z$34),
IF(Z$35="Additional",SUMIFS('Supply planning data'!$I:$I,'Supply planning data'!$D:$D,DataViz!$B43,'Supply planning data'!$C:$C,DataViz!Z$34),
0))))</f>
        <v>0</v>
      </c>
      <c r="AA43" s="22">
        <f>IF(AA$35="Dose 1",SUMIFS('Supply planning data'!$G:$G,'Supply planning data'!$D:$D,DataViz!$B43,'Supply planning data'!$C:$C,DataViz!AA$34),
IF(AA$35="Dose 2",SUMIFS('Supply planning data'!$H:$H,'Supply planning data'!$D:$D,DataViz!$B43,'Supply planning data'!$C:$C,DataViz!AA$34),
IF(AA$35="Wastage",SUMIFS('Supply planning data'!$K:$K,'Supply planning data'!$D:$D,DataViz!$B43,'Supply planning data'!$C:$C,DataViz!AA$34),
IF(AA$35="Additional",SUMIFS('Supply planning data'!$I:$I,'Supply planning data'!$D:$D,DataViz!$B43,'Supply planning data'!$C:$C,DataViz!AA$34),
0))))</f>
        <v>0</v>
      </c>
      <c r="AB43" s="22">
        <f>IF(AB$35="Dose 1",SUMIFS('Supply planning data'!$G:$G,'Supply planning data'!$D:$D,DataViz!$B43,'Supply planning data'!$C:$C,DataViz!AB$34),
IF(AB$35="Dose 2",SUMIFS('Supply planning data'!$H:$H,'Supply planning data'!$D:$D,DataViz!$B43,'Supply planning data'!$C:$C,DataViz!AB$34),
IF(AB$35="Wastage",SUMIFS('Supply planning data'!$K:$K,'Supply planning data'!$D:$D,DataViz!$B43,'Supply planning data'!$C:$C,DataViz!AB$34),
IF(AB$35="Additional",SUMIFS('Supply planning data'!$I:$I,'Supply planning data'!$D:$D,DataViz!$B43,'Supply planning data'!$C:$C,DataViz!AB$34),
0))))</f>
        <v>0</v>
      </c>
      <c r="AC43" s="22">
        <f>IF(AC$35="Dose 1",SUMIFS('Supply planning data'!$G:$G,'Supply planning data'!$D:$D,DataViz!$B43,'Supply planning data'!$C:$C,DataViz!AC$34),
IF(AC$35="Dose 2",SUMIFS('Supply planning data'!$H:$H,'Supply planning data'!$D:$D,DataViz!$B43,'Supply planning data'!$C:$C,DataViz!AC$34),
IF(AC$35="Wastage",SUMIFS('Supply planning data'!$K:$K,'Supply planning data'!$D:$D,DataViz!$B43,'Supply planning data'!$C:$C,DataViz!AC$34),
IF(AC$35="Additional",SUMIFS('Supply planning data'!$I:$I,'Supply planning data'!$D:$D,DataViz!$B43,'Supply planning data'!$C:$C,DataViz!AC$34),
0))))</f>
        <v>0</v>
      </c>
      <c r="AD43" s="22">
        <f>IF(AD$35="Dose 1",SUMIFS('Supply planning data'!$G:$G,'Supply planning data'!$D:$D,DataViz!$B43,'Supply planning data'!$C:$C,DataViz!AD$34),
IF(AD$35="Dose 2",SUMIFS('Supply planning data'!$H:$H,'Supply planning data'!$D:$D,DataViz!$B43,'Supply planning data'!$C:$C,DataViz!AD$34),
IF(AD$35="Wastage",SUMIFS('Supply planning data'!$K:$K,'Supply planning data'!$D:$D,DataViz!$B43,'Supply planning data'!$C:$C,DataViz!AD$34),
IF(AD$35="Additional",SUMIFS('Supply planning data'!$I:$I,'Supply planning data'!$D:$D,DataViz!$B43,'Supply planning data'!$C:$C,DataViz!AD$34),
0))))</f>
        <v>0</v>
      </c>
      <c r="AE43" s="22">
        <f>IF(AE$35="Dose 1",SUMIFS('Supply planning data'!$G:$G,'Supply planning data'!$D:$D,DataViz!$B43,'Supply planning data'!$C:$C,DataViz!AE$34),
IF(AE$35="Dose 2",SUMIFS('Supply planning data'!$H:$H,'Supply planning data'!$D:$D,DataViz!$B43,'Supply planning data'!$C:$C,DataViz!AE$34),
IF(AE$35="Wastage",SUMIFS('Supply planning data'!$K:$K,'Supply planning data'!$D:$D,DataViz!$B43,'Supply planning data'!$C:$C,DataViz!AE$34),
IF(AE$35="Additional",SUMIFS('Supply planning data'!$I:$I,'Supply planning data'!$D:$D,DataViz!$B43,'Supply planning data'!$C:$C,DataViz!AE$34),
0))))</f>
        <v>0</v>
      </c>
      <c r="AF43" s="22">
        <f>IF(AF$35="Dose 1",SUMIFS('Supply planning data'!$G:$G,'Supply planning data'!$D:$D,DataViz!$B43,'Supply planning data'!$C:$C,DataViz!AF$34),
IF(AF$35="Dose 2",SUMIFS('Supply planning data'!$H:$H,'Supply planning data'!$D:$D,DataViz!$B43,'Supply planning data'!$C:$C,DataViz!AF$34),
IF(AF$35="Wastage",SUMIFS('Supply planning data'!$K:$K,'Supply planning data'!$D:$D,DataViz!$B43,'Supply planning data'!$C:$C,DataViz!AF$34),
IF(AF$35="Additional",SUMIFS('Supply planning data'!$I:$I,'Supply planning data'!$D:$D,DataViz!$B43,'Supply planning data'!$C:$C,DataViz!AF$34),
0))))</f>
        <v>0</v>
      </c>
      <c r="AG43" s="22">
        <f>IF(AG$35="Dose 1",SUMIFS('Supply planning data'!$G:$G,'Supply planning data'!$D:$D,DataViz!$B43,'Supply planning data'!$C:$C,DataViz!AG$34),
IF(AG$35="Dose 2",SUMIFS('Supply planning data'!$H:$H,'Supply planning data'!$D:$D,DataViz!$B43,'Supply planning data'!$C:$C,DataViz!AG$34),
IF(AG$35="Wastage",SUMIFS('Supply planning data'!$K:$K,'Supply planning data'!$D:$D,DataViz!$B43,'Supply planning data'!$C:$C,DataViz!AG$34),
IF(AG$35="Additional",SUMIFS('Supply planning data'!$I:$I,'Supply planning data'!$D:$D,DataViz!$B43,'Supply planning data'!$C:$C,DataViz!AG$34),
0))))</f>
        <v>0</v>
      </c>
      <c r="AH43" s="22">
        <f>IF(AH$35="Dose 1",SUMIFS('Supply planning data'!$G:$G,'Supply planning data'!$D:$D,DataViz!$B43,'Supply planning data'!$C:$C,DataViz!AH$34),
IF(AH$35="Dose 2",SUMIFS('Supply planning data'!$H:$H,'Supply planning data'!$D:$D,DataViz!$B43,'Supply planning data'!$C:$C,DataViz!AH$34),
IF(AH$35="Wastage",SUMIFS('Supply planning data'!$K:$K,'Supply planning data'!$D:$D,DataViz!$B43,'Supply planning data'!$C:$C,DataViz!AH$34),
IF(AH$35="Additional",SUMIFS('Supply planning data'!$I:$I,'Supply planning data'!$D:$D,DataViz!$B43,'Supply planning data'!$C:$C,DataViz!AH$34),
0))))</f>
        <v>0</v>
      </c>
      <c r="AI43" s="22">
        <f>IF(AI$35="Dose 1",SUMIFS('Supply planning data'!$G:$G,'Supply planning data'!$D:$D,DataViz!$B43,'Supply planning data'!$C:$C,DataViz!AI$34),
IF(AI$35="Dose 2",SUMIFS('Supply planning data'!$H:$H,'Supply planning data'!$D:$D,DataViz!$B43,'Supply planning data'!$C:$C,DataViz!AI$34),
IF(AI$35="Wastage",SUMIFS('Supply planning data'!$K:$K,'Supply planning data'!$D:$D,DataViz!$B43,'Supply planning data'!$C:$C,DataViz!AI$34),
IF(AI$35="Additional",SUMIFS('Supply planning data'!$I:$I,'Supply planning data'!$D:$D,DataViz!$B43,'Supply planning data'!$C:$C,DataViz!AI$34),
0))))</f>
        <v>0</v>
      </c>
      <c r="AJ43" s="22">
        <f>IF(AJ$35="Dose 1",SUMIFS('Supply planning data'!$G:$G,'Supply planning data'!$D:$D,DataViz!$B43,'Supply planning data'!$C:$C,DataViz!AJ$34),
IF(AJ$35="Dose 2",SUMIFS('Supply planning data'!$H:$H,'Supply planning data'!$D:$D,DataViz!$B43,'Supply planning data'!$C:$C,DataViz!AJ$34),
IF(AJ$35="Wastage",SUMIFS('Supply planning data'!$K:$K,'Supply planning data'!$D:$D,DataViz!$B43,'Supply planning data'!$C:$C,DataViz!AJ$34),
IF(AJ$35="Additional",SUMIFS('Supply planning data'!$I:$I,'Supply planning data'!$D:$D,DataViz!$B43,'Supply planning data'!$C:$C,DataViz!AJ$34),
0))))</f>
        <v>0</v>
      </c>
      <c r="AK43" s="22">
        <f>IF(AK$35="Dose 1",SUMIFS('Supply planning data'!$G:$G,'Supply planning data'!$D:$D,DataViz!$B43,'Supply planning data'!$C:$C,DataViz!AK$34),
IF(AK$35="Dose 2",SUMIFS('Supply planning data'!$H:$H,'Supply planning data'!$D:$D,DataViz!$B43,'Supply planning data'!$C:$C,DataViz!AK$34),
IF(AK$35="Wastage",SUMIFS('Supply planning data'!$K:$K,'Supply planning data'!$D:$D,DataViz!$B43,'Supply planning data'!$C:$C,DataViz!AK$34),
IF(AK$35="Additional",SUMIFS('Supply planning data'!$I:$I,'Supply planning data'!$D:$D,DataViz!$B43,'Supply planning data'!$C:$C,DataViz!AK$34),
0))))</f>
        <v>0</v>
      </c>
      <c r="AL43" s="22">
        <f>IF(AL$35="Dose 1",SUMIFS('Supply planning data'!$G:$G,'Supply planning data'!$D:$D,DataViz!$B43,'Supply planning data'!$C:$C,DataViz!AL$34),
IF(AL$35="Dose 2",SUMIFS('Supply planning data'!$H:$H,'Supply planning data'!$D:$D,DataViz!$B43,'Supply planning data'!$C:$C,DataViz!AL$34),
IF(AL$35="Wastage",SUMIFS('Supply planning data'!$K:$K,'Supply planning data'!$D:$D,DataViz!$B43,'Supply planning data'!$C:$C,DataViz!AL$34),
IF(AL$35="Additional",SUMIFS('Supply planning data'!$I:$I,'Supply planning data'!$D:$D,DataViz!$B43,'Supply planning data'!$C:$C,DataViz!AL$34),
0))))</f>
        <v>0</v>
      </c>
      <c r="AM43" s="22">
        <f>IF(AM$35="Dose 1",SUMIFS('Supply planning data'!$G:$G,'Supply planning data'!$D:$D,DataViz!$B43,'Supply planning data'!$C:$C,DataViz!AM$34),
IF(AM$35="Dose 2",SUMIFS('Supply planning data'!$H:$H,'Supply planning data'!$D:$D,DataViz!$B43,'Supply planning data'!$C:$C,DataViz!AM$34),
IF(AM$35="Wastage",SUMIFS('Supply planning data'!$K:$K,'Supply planning data'!$D:$D,DataViz!$B43,'Supply planning data'!$C:$C,DataViz!AM$34),
IF(AM$35="Additional",SUMIFS('Supply planning data'!$I:$I,'Supply planning data'!$D:$D,DataViz!$B43,'Supply planning data'!$C:$C,DataViz!AM$34),
0))))</f>
        <v>0</v>
      </c>
      <c r="AN43" s="22">
        <f>IF(AN$35="Dose 1",SUMIFS('Supply planning data'!$G:$G,'Supply planning data'!$D:$D,DataViz!$B43,'Supply planning data'!$C:$C,DataViz!AN$34),
IF(AN$35="Dose 2",SUMIFS('Supply planning data'!$H:$H,'Supply planning data'!$D:$D,DataViz!$B43,'Supply planning data'!$C:$C,DataViz!AN$34),
IF(AN$35="Wastage",SUMIFS('Supply planning data'!$K:$K,'Supply planning data'!$D:$D,DataViz!$B43,'Supply planning data'!$C:$C,DataViz!AN$34),
IF(AN$35="Additional",SUMIFS('Supply planning data'!$I:$I,'Supply planning data'!$D:$D,DataViz!$B43,'Supply planning data'!$C:$C,DataViz!AN$34),
0))))</f>
        <v>0</v>
      </c>
      <c r="AO43" s="22">
        <f>IF(AO$35="Dose 1",SUMIFS('Supply planning data'!$G:$G,'Supply planning data'!$D:$D,DataViz!$B43,'Supply planning data'!$C:$C,DataViz!AO$34),
IF(AO$35="Dose 2",SUMIFS('Supply planning data'!$H:$H,'Supply planning data'!$D:$D,DataViz!$B43,'Supply planning data'!$C:$C,DataViz!AO$34),
IF(AO$35="Wastage",SUMIFS('Supply planning data'!$K:$K,'Supply planning data'!$D:$D,DataViz!$B43,'Supply planning data'!$C:$C,DataViz!AO$34),
IF(AO$35="Additional",SUMIFS('Supply planning data'!$I:$I,'Supply planning data'!$D:$D,DataViz!$B43,'Supply planning data'!$C:$C,DataViz!AO$34),
0))))</f>
        <v>0</v>
      </c>
      <c r="AP43" s="22">
        <f>IF(AP$35="Dose 1",SUMIFS('Supply planning data'!$G:$G,'Supply planning data'!$D:$D,DataViz!$B43,'Supply planning data'!$C:$C,DataViz!AP$34),
IF(AP$35="Dose 2",SUMIFS('Supply planning data'!$H:$H,'Supply planning data'!$D:$D,DataViz!$B43,'Supply planning data'!$C:$C,DataViz!AP$34),
IF(AP$35="Wastage",SUMIFS('Supply planning data'!$K:$K,'Supply planning data'!$D:$D,DataViz!$B43,'Supply planning data'!$C:$C,DataViz!AP$34),
IF(AP$35="Additional",SUMIFS('Supply planning data'!$I:$I,'Supply planning data'!$D:$D,DataViz!$B43,'Supply planning data'!$C:$C,DataViz!AP$34),
0))))</f>
        <v>0</v>
      </c>
      <c r="AQ43" s="22">
        <f>IF(AQ$35="Dose 1",SUMIFS('Supply planning data'!$G:$G,'Supply planning data'!$D:$D,DataViz!$B43,'Supply planning data'!$C:$C,DataViz!AQ$34),
IF(AQ$35="Dose 2",SUMIFS('Supply planning data'!$H:$H,'Supply planning data'!$D:$D,DataViz!$B43,'Supply planning data'!$C:$C,DataViz!AQ$34),
IF(AQ$35="Wastage",SUMIFS('Supply planning data'!$K:$K,'Supply planning data'!$D:$D,DataViz!$B43,'Supply planning data'!$C:$C,DataViz!AQ$34),
IF(AQ$35="Additional",SUMIFS('Supply planning data'!$I:$I,'Supply planning data'!$D:$D,DataViz!$B43,'Supply planning data'!$C:$C,DataViz!AQ$34),
0))))</f>
        <v>0</v>
      </c>
      <c r="AR43" s="22">
        <f>IF(AR$35="Dose 1",SUMIFS('Supply planning data'!$G:$G,'Supply planning data'!$D:$D,DataViz!$B43,'Supply planning data'!$C:$C,DataViz!AR$34),
IF(AR$35="Dose 2",SUMIFS('Supply planning data'!$H:$H,'Supply planning data'!$D:$D,DataViz!$B43,'Supply planning data'!$C:$C,DataViz!AR$34),
IF(AR$35="Wastage",SUMIFS('Supply planning data'!$K:$K,'Supply planning data'!$D:$D,DataViz!$B43,'Supply planning data'!$C:$C,DataViz!AR$34),
IF(AR$35="Additional",SUMIFS('Supply planning data'!$I:$I,'Supply planning data'!$D:$D,DataViz!$B43,'Supply planning data'!$C:$C,DataViz!AR$34),
0))))</f>
        <v>0</v>
      </c>
      <c r="AS43" s="22">
        <f>IF(AS$35="Dose 1",SUMIFS('Supply planning data'!$G:$G,'Supply planning data'!$D:$D,DataViz!$B43,'Supply planning data'!$C:$C,DataViz!AS$34),
IF(AS$35="Dose 2",SUMIFS('Supply planning data'!$H:$H,'Supply planning data'!$D:$D,DataViz!$B43,'Supply planning data'!$C:$C,DataViz!AS$34),
IF(AS$35="Wastage",SUMIFS('Supply planning data'!$K:$K,'Supply planning data'!$D:$D,DataViz!$B43,'Supply planning data'!$C:$C,DataViz!AS$34),
IF(AS$35="Additional",SUMIFS('Supply planning data'!$I:$I,'Supply planning data'!$D:$D,DataViz!$B43,'Supply planning data'!$C:$C,DataViz!AS$34),
0))))</f>
        <v>0</v>
      </c>
      <c r="AT43" s="22">
        <f>IF(AT$35="Dose 1",SUMIFS('Supply planning data'!$G:$G,'Supply planning data'!$D:$D,DataViz!$B43,'Supply planning data'!$C:$C,DataViz!AT$34),
IF(AT$35="Dose 2",SUMIFS('Supply planning data'!$H:$H,'Supply planning data'!$D:$D,DataViz!$B43,'Supply planning data'!$C:$C,DataViz!AT$34),
IF(AT$35="Wastage",SUMIFS('Supply planning data'!$K:$K,'Supply planning data'!$D:$D,DataViz!$B43,'Supply planning data'!$C:$C,DataViz!AT$34),
IF(AT$35="Additional",SUMIFS('Supply planning data'!$I:$I,'Supply planning data'!$D:$D,DataViz!$B43,'Supply planning data'!$C:$C,DataViz!AT$34),
0))))</f>
        <v>0</v>
      </c>
      <c r="AU43" s="22">
        <f>IF(AU$35="Dose 1",SUMIFS('Supply planning data'!$G:$G,'Supply planning data'!$D:$D,DataViz!$B43,'Supply planning data'!$C:$C,DataViz!AU$34),
IF(AU$35="Dose 2",SUMIFS('Supply planning data'!$H:$H,'Supply planning data'!$D:$D,DataViz!$B43,'Supply planning data'!$C:$C,DataViz!AU$34),
IF(AU$35="Wastage",SUMIFS('Supply planning data'!$K:$K,'Supply planning data'!$D:$D,DataViz!$B43,'Supply planning data'!$C:$C,DataViz!AU$34),
IF(AU$35="Additional",SUMIFS('Supply planning data'!$I:$I,'Supply planning data'!$D:$D,DataViz!$B43,'Supply planning data'!$C:$C,DataViz!AU$34),
0))))</f>
        <v>0</v>
      </c>
      <c r="AV43" s="22">
        <f>IF(AV$35="Dose 1",SUMIFS('Supply planning data'!$G:$G,'Supply planning data'!$D:$D,DataViz!$B43,'Supply planning data'!$C:$C,DataViz!AV$34),
IF(AV$35="Dose 2",SUMIFS('Supply planning data'!$H:$H,'Supply planning data'!$D:$D,DataViz!$B43,'Supply planning data'!$C:$C,DataViz!AV$34),
IF(AV$35="Wastage",SUMIFS('Supply planning data'!$K:$K,'Supply planning data'!$D:$D,DataViz!$B43,'Supply planning data'!$C:$C,DataViz!AV$34),
IF(AV$35="Additional",SUMIFS('Supply planning data'!$I:$I,'Supply planning data'!$D:$D,DataViz!$B43,'Supply planning data'!$C:$C,DataViz!AV$34),
0))))</f>
        <v>0</v>
      </c>
      <c r="AW43" s="22">
        <f>IF(AW$35="Dose 1",SUMIFS('Supply planning data'!$G:$G,'Supply planning data'!$D:$D,DataViz!$B43,'Supply planning data'!$C:$C,DataViz!AW$34),
IF(AW$35="Dose 2",SUMIFS('Supply planning data'!$H:$H,'Supply planning data'!$D:$D,DataViz!$B43,'Supply planning data'!$C:$C,DataViz!AW$34),
IF(AW$35="Wastage",SUMIFS('Supply planning data'!$K:$K,'Supply planning data'!$D:$D,DataViz!$B43,'Supply planning data'!$C:$C,DataViz!AW$34),
IF(AW$35="Additional",SUMIFS('Supply planning data'!$I:$I,'Supply planning data'!$D:$D,DataViz!$B43,'Supply planning data'!$C:$C,DataViz!AW$34),
0))))</f>
        <v>0</v>
      </c>
      <c r="AX43" s="22">
        <f>IF(AX$35="Dose 1",SUMIFS('Supply planning data'!$G:$G,'Supply planning data'!$D:$D,DataViz!$B43,'Supply planning data'!$C:$C,DataViz!AX$34),
IF(AX$35="Dose 2",SUMIFS('Supply planning data'!$H:$H,'Supply planning data'!$D:$D,DataViz!$B43,'Supply planning data'!$C:$C,DataViz!AX$34),
IF(AX$35="Wastage",SUMIFS('Supply planning data'!$K:$K,'Supply planning data'!$D:$D,DataViz!$B43,'Supply planning data'!$C:$C,DataViz!AX$34),
IF(AX$35="Additional",SUMIFS('Supply planning data'!$I:$I,'Supply planning data'!$D:$D,DataViz!$B43,'Supply planning data'!$C:$C,DataViz!AX$34),
0))))</f>
        <v>0</v>
      </c>
      <c r="AY43" s="22">
        <f>IF(AY$35="Dose 1",SUMIFS('Supply planning data'!$G:$G,'Supply planning data'!$D:$D,DataViz!$B43,'Supply planning data'!$C:$C,DataViz!AY$34),
IF(AY$35="Dose 2",SUMIFS('Supply planning data'!$H:$H,'Supply planning data'!$D:$D,DataViz!$B43,'Supply planning data'!$C:$C,DataViz!AY$34),
IF(AY$35="Wastage",SUMIFS('Supply planning data'!$K:$K,'Supply planning data'!$D:$D,DataViz!$B43,'Supply planning data'!$C:$C,DataViz!AY$34),
IF(AY$35="Additional",SUMIFS('Supply planning data'!$I:$I,'Supply planning data'!$D:$D,DataViz!$B43,'Supply planning data'!$C:$C,DataViz!AY$34),
0))))</f>
        <v>0</v>
      </c>
      <c r="AZ43" s="22">
        <f>IF(AZ$35="Dose 1",SUMIFS('Supply planning data'!$G:$G,'Supply planning data'!$D:$D,DataViz!$B43,'Supply planning data'!$C:$C,DataViz!AZ$34),
IF(AZ$35="Dose 2",SUMIFS('Supply planning data'!$H:$H,'Supply planning data'!$D:$D,DataViz!$B43,'Supply planning data'!$C:$C,DataViz!AZ$34),
IF(AZ$35="Wastage",SUMIFS('Supply planning data'!$K:$K,'Supply planning data'!$D:$D,DataViz!$B43,'Supply planning data'!$C:$C,DataViz!AZ$34),
IF(AZ$35="Additional",SUMIFS('Supply planning data'!$I:$I,'Supply planning data'!$D:$D,DataViz!$B43,'Supply planning data'!$C:$C,DataViz!AZ$34),
0))))</f>
        <v>0</v>
      </c>
      <c r="BA43" s="22">
        <f>IF(BA$35="Dose 1",SUMIFS('Supply planning data'!$G:$G,'Supply planning data'!$D:$D,DataViz!$B43,'Supply planning data'!$C:$C,DataViz!BA$34),
IF(BA$35="Dose 2",SUMIFS('Supply planning data'!$H:$H,'Supply planning data'!$D:$D,DataViz!$B43,'Supply planning data'!$C:$C,DataViz!BA$34),
IF(BA$35="Wastage",SUMIFS('Supply planning data'!$K:$K,'Supply planning data'!$D:$D,DataViz!$B43,'Supply planning data'!$C:$C,DataViz!BA$34),
IF(BA$35="Additional",SUMIFS('Supply planning data'!$I:$I,'Supply planning data'!$D:$D,DataViz!$B43,'Supply planning data'!$C:$C,DataViz!BA$34),
0))))</f>
        <v>0</v>
      </c>
      <c r="BB43" s="22">
        <f>IF(BB$35="Dose 1",SUMIFS('Supply planning data'!$G:$G,'Supply planning data'!$D:$D,DataViz!$B43,'Supply planning data'!$C:$C,DataViz!BB$34),
IF(BB$35="Dose 2",SUMIFS('Supply planning data'!$H:$H,'Supply planning data'!$D:$D,DataViz!$B43,'Supply planning data'!$C:$C,DataViz!BB$34),
IF(BB$35="Wastage",SUMIFS('Supply planning data'!$K:$K,'Supply planning data'!$D:$D,DataViz!$B43,'Supply planning data'!$C:$C,DataViz!BB$34),
IF(BB$35="Additional",SUMIFS('Supply planning data'!$I:$I,'Supply planning data'!$D:$D,DataViz!$B43,'Supply planning data'!$C:$C,DataViz!BB$34),
0))))</f>
        <v>0</v>
      </c>
      <c r="BC43" s="22">
        <f>IF(BC$35="Dose 1",SUMIFS('Supply planning data'!$G:$G,'Supply planning data'!$D:$D,DataViz!$B43,'Supply planning data'!$C:$C,DataViz!BC$34),
IF(BC$35="Dose 2",SUMIFS('Supply planning data'!$H:$H,'Supply planning data'!$D:$D,DataViz!$B43,'Supply planning data'!$C:$C,DataViz!BC$34),
IF(BC$35="Wastage",SUMIFS('Supply planning data'!$K:$K,'Supply planning data'!$D:$D,DataViz!$B43,'Supply planning data'!$C:$C,DataViz!BC$34),
IF(BC$35="Additional",SUMIFS('Supply planning data'!$I:$I,'Supply planning data'!$D:$D,DataViz!$B43,'Supply planning data'!$C:$C,DataViz!BC$34),
0))))</f>
        <v>0</v>
      </c>
      <c r="BD43" s="22">
        <f>IF(BD$35="Dose 1",SUMIFS('Supply planning data'!$G:$G,'Supply planning data'!$D:$D,DataViz!$B43,'Supply planning data'!$C:$C,DataViz!BD$34),
IF(BD$35="Dose 2",SUMIFS('Supply planning data'!$H:$H,'Supply planning data'!$D:$D,DataViz!$B43,'Supply planning data'!$C:$C,DataViz!BD$34),
IF(BD$35="Wastage",SUMIFS('Supply planning data'!$K:$K,'Supply planning data'!$D:$D,DataViz!$B43,'Supply planning data'!$C:$C,DataViz!BD$34),
IF(BD$35="Additional",SUMIFS('Supply planning data'!$I:$I,'Supply planning data'!$D:$D,DataViz!$B43,'Supply planning data'!$C:$C,DataViz!BD$34),
0))))</f>
        <v>0</v>
      </c>
      <c r="BE43" s="22">
        <f>IF(BE$35="Dose 1",SUMIFS('Supply planning data'!$G:$G,'Supply planning data'!$D:$D,DataViz!$B43,'Supply planning data'!$C:$C,DataViz!BE$34),
IF(BE$35="Dose 2",SUMIFS('Supply planning data'!$H:$H,'Supply planning data'!$D:$D,DataViz!$B43,'Supply planning data'!$C:$C,DataViz!BE$34),
IF(BE$35="Wastage",SUMIFS('Supply planning data'!$K:$K,'Supply planning data'!$D:$D,DataViz!$B43,'Supply planning data'!$C:$C,DataViz!BE$34),
IF(BE$35="Additional",SUMIFS('Supply planning data'!$I:$I,'Supply planning data'!$D:$D,DataViz!$B43,'Supply planning data'!$C:$C,DataViz!BE$34),
0))))</f>
        <v>0</v>
      </c>
      <c r="BF43" s="22">
        <f>IF(BF$35="Dose 1",SUMIFS('Supply planning data'!$G:$G,'Supply planning data'!$D:$D,DataViz!$B43,'Supply planning data'!$C:$C,DataViz!BF$34),
IF(BF$35="Dose 2",SUMIFS('Supply planning data'!$H:$H,'Supply planning data'!$D:$D,DataViz!$B43,'Supply planning data'!$C:$C,DataViz!BF$34),
IF(BF$35="Wastage",SUMIFS('Supply planning data'!$K:$K,'Supply planning data'!$D:$D,DataViz!$B43,'Supply planning data'!$C:$C,DataViz!BF$34),
IF(BF$35="Additional",SUMIFS('Supply planning data'!$I:$I,'Supply planning data'!$D:$D,DataViz!$B43,'Supply planning data'!$C:$C,DataViz!BF$34),
0))))</f>
        <v>0</v>
      </c>
      <c r="BG43" s="22">
        <f>IF(BG$35="Dose 1",SUMIFS('Supply planning data'!$G:$G,'Supply planning data'!$D:$D,DataViz!$B43,'Supply planning data'!$C:$C,DataViz!BG$34),
IF(BG$35="Dose 2",SUMIFS('Supply planning data'!$H:$H,'Supply planning data'!$D:$D,DataViz!$B43,'Supply planning data'!$C:$C,DataViz!BG$34),
IF(BG$35="Wastage",SUMIFS('Supply planning data'!$K:$K,'Supply planning data'!$D:$D,DataViz!$B43,'Supply planning data'!$C:$C,DataViz!BG$34),
IF(BG$35="Additional",SUMIFS('Supply planning data'!$I:$I,'Supply planning data'!$D:$D,DataViz!$B43,'Supply planning data'!$C:$C,DataViz!BG$34),
0))))</f>
        <v>0</v>
      </c>
      <c r="BH43" s="22">
        <f>IF(BH$35="Dose 1",SUMIFS('Supply planning data'!$G:$G,'Supply planning data'!$D:$D,DataViz!$B43,'Supply planning data'!$C:$C,DataViz!BH$34),
IF(BH$35="Dose 2",SUMIFS('Supply planning data'!$H:$H,'Supply planning data'!$D:$D,DataViz!$B43,'Supply planning data'!$C:$C,DataViz!BH$34),
IF(BH$35="Wastage",SUMIFS('Supply planning data'!$K:$K,'Supply planning data'!$D:$D,DataViz!$B43,'Supply planning data'!$C:$C,DataViz!BH$34),
IF(BH$35="Additional",SUMIFS('Supply planning data'!$I:$I,'Supply planning data'!$D:$D,DataViz!$B43,'Supply planning data'!$C:$C,DataViz!BH$34),
0))))</f>
        <v>0</v>
      </c>
      <c r="BI43" s="22">
        <f>IF(BI$35="Dose 1",SUMIFS('Supply planning data'!$G:$G,'Supply planning data'!$D:$D,DataViz!$B43,'Supply planning data'!$C:$C,DataViz!BI$34),
IF(BI$35="Dose 2",SUMIFS('Supply planning data'!$H:$H,'Supply planning data'!$D:$D,DataViz!$B43,'Supply planning data'!$C:$C,DataViz!BI$34),
IF(BI$35="Wastage",SUMIFS('Supply planning data'!$K:$K,'Supply planning data'!$D:$D,DataViz!$B43,'Supply planning data'!$C:$C,DataViz!BI$34),
IF(BI$35="Additional",SUMIFS('Supply planning data'!$I:$I,'Supply planning data'!$D:$D,DataViz!$B43,'Supply planning data'!$C:$C,DataViz!BI$34),
0))))</f>
        <v>0</v>
      </c>
      <c r="BJ43" s="22">
        <f>IF(BJ$35="Dose 1",SUMIFS('Supply planning data'!$G:$G,'Supply planning data'!$D:$D,DataViz!$B43,'Supply planning data'!$C:$C,DataViz!BJ$34),
IF(BJ$35="Dose 2",SUMIFS('Supply planning data'!$H:$H,'Supply planning data'!$D:$D,DataViz!$B43,'Supply planning data'!$C:$C,DataViz!BJ$34),
IF(BJ$35="Wastage",SUMIFS('Supply planning data'!$K:$K,'Supply planning data'!$D:$D,DataViz!$B43,'Supply planning data'!$C:$C,DataViz!BJ$34),
IF(BJ$35="Additional",SUMIFS('Supply planning data'!$I:$I,'Supply planning data'!$D:$D,DataViz!$B43,'Supply planning data'!$C:$C,DataViz!BJ$34),
0))))</f>
        <v>0</v>
      </c>
      <c r="BK43" s="22">
        <f>IF(BK$35="Dose 1",SUMIFS('Supply planning data'!$G:$G,'Supply planning data'!$D:$D,DataViz!$B43,'Supply planning data'!$C:$C,DataViz!BK$34),
IF(BK$35="Dose 2",SUMIFS('Supply planning data'!$H:$H,'Supply planning data'!$D:$D,DataViz!$B43,'Supply planning data'!$C:$C,DataViz!BK$34),
IF(BK$35="Wastage",SUMIFS('Supply planning data'!$K:$K,'Supply planning data'!$D:$D,DataViz!$B43,'Supply planning data'!$C:$C,DataViz!BK$34),
IF(BK$35="Additional",SUMIFS('Supply planning data'!$I:$I,'Supply planning data'!$D:$D,DataViz!$B43,'Supply planning data'!$C:$C,DataViz!BK$34),
0))))</f>
        <v>0</v>
      </c>
      <c r="BL43" s="22">
        <f>IF(BL$35="Dose 1",SUMIFS('Supply planning data'!$G:$G,'Supply planning data'!$D:$D,DataViz!$B43,'Supply planning data'!$C:$C,DataViz!BL$34),
IF(BL$35="Dose 2",SUMIFS('Supply planning data'!$H:$H,'Supply planning data'!$D:$D,DataViz!$B43,'Supply planning data'!$C:$C,DataViz!BL$34),
IF(BL$35="Wastage",SUMIFS('Supply planning data'!$K:$K,'Supply planning data'!$D:$D,DataViz!$B43,'Supply planning data'!$C:$C,DataViz!BL$34),
IF(BL$35="Additional",SUMIFS('Supply planning data'!$I:$I,'Supply planning data'!$D:$D,DataViz!$B43,'Supply planning data'!$C:$C,DataViz!BL$34),
0))))</f>
        <v>0</v>
      </c>
    </row>
    <row r="44" spans="1:64" x14ac:dyDescent="0.25">
      <c r="A44" s="20">
        <v>6</v>
      </c>
      <c r="B44" s="21">
        <f t="shared" si="15"/>
        <v>44440</v>
      </c>
      <c r="C44" s="22">
        <f>IF(VLOOKUP(Dashboard!$M$6,Start!$B$10:$E$12,4,FALSE)&gt;0,VLOOKUP(Dashboard!$M$6,Start!$B$10:$E$12,4, FALSE),VLOOKUP(Dashboard!$M$6,Start!$B$10:$E$12,3, FALSE))</f>
        <v>60000000</v>
      </c>
      <c r="D44" s="22">
        <f>SUMIFS('Supply planning data'!M:M,'Supply planning data'!D:D,"&lt;="&amp;DataViz!B44)</f>
        <v>553643</v>
      </c>
      <c r="E44" s="22">
        <f>IF(E$35="Dose 1",SUMIFS('Supply planning data'!$G:$G,'Supply planning data'!$D:$D,DataViz!$B44,'Supply planning data'!$C:$C,DataViz!E$34),
IF(E$35="Dose 2",SUMIFS('Supply planning data'!$H:$H,'Supply planning data'!$D:$D,DataViz!$B44,'Supply planning data'!$C:$C,DataViz!E$34),
IF(E$35="Wastage",SUMIFS('Supply planning data'!$K:$K,'Supply planning data'!$D:$D,DataViz!$B44,'Supply planning data'!$C:$C,DataViz!E$34),
IF(E$35="Additional",SUMIFS('Supply planning data'!$I:$I,'Supply planning data'!$D:$D,DataViz!$B44,'Supply planning data'!$C:$C,DataViz!E$34),
0))))</f>
        <v>300000</v>
      </c>
      <c r="F44" s="22">
        <f>IF(F$35="Dose 1",SUMIFS('Supply planning data'!$G:$G,'Supply planning data'!$D:$D,DataViz!$B44,'Supply planning data'!$C:$C,DataViz!F$34),
IF(F$35="Dose 2",SUMIFS('Supply planning data'!$H:$H,'Supply planning data'!$D:$D,DataViz!$B44,'Supply planning data'!$C:$C,DataViz!F$34),
IF(F$35="Wastage",SUMIFS('Supply planning data'!$K:$K,'Supply planning data'!$D:$D,DataViz!$B44,'Supply planning data'!$C:$C,DataViz!F$34),
IF(F$35="Additional",SUMIFS('Supply planning data'!$I:$I,'Supply planning data'!$D:$D,DataViz!$B44,'Supply planning data'!$C:$C,DataViz!F$34),
0))))</f>
        <v>0</v>
      </c>
      <c r="G44" s="22">
        <f>IF(G$35="Dose 1",SUMIFS('Supply planning data'!$G:$G,'Supply planning data'!$D:$D,DataViz!$B44,'Supply planning data'!$C:$C,DataViz!G$34),
IF(G$35="Dose 2",SUMIFS('Supply planning data'!$H:$H,'Supply planning data'!$D:$D,DataViz!$B44,'Supply planning data'!$C:$C,DataViz!G$34),
IF(G$35="Wastage",SUMIFS('Supply planning data'!$K:$K,'Supply planning data'!$D:$D,DataViz!$B44,'Supply planning data'!$C:$C,DataViz!G$34),
IF(G$35="Additional",SUMIFS('Supply planning data'!$I:$I,'Supply planning data'!$D:$D,DataViz!$B44,'Supply planning data'!$C:$C,DataViz!G$34),
0))))</f>
        <v>0</v>
      </c>
      <c r="H44" s="22">
        <f>IF(H$35="Dose 1",SUMIFS('Supply planning data'!$G:$G,'Supply planning data'!$D:$D,DataViz!$B44,'Supply planning data'!$C:$C,DataViz!H$34),
IF(H$35="Dose 2",SUMIFS('Supply planning data'!$H:$H,'Supply planning data'!$D:$D,DataViz!$B44,'Supply planning data'!$C:$C,DataViz!H$34),
IF(H$35="Wastage",SUMIFS('Supply planning data'!$K:$K,'Supply planning data'!$D:$D,DataViz!$B44,'Supply planning data'!$C:$C,DataViz!H$34),
IF(H$35="Additional",SUMIFS('Supply planning data'!$I:$I,'Supply planning data'!$D:$D,DataViz!$B44,'Supply planning data'!$C:$C,DataViz!H$34),
0))))</f>
        <v>0</v>
      </c>
      <c r="I44" s="22">
        <f>IF(I$35="Dose 1",SUMIFS('Supply planning data'!$G:$G,'Supply planning data'!$D:$D,DataViz!$B44,'Supply planning data'!$C:$C,DataViz!I$34),
IF(I$35="Dose 2",SUMIFS('Supply planning data'!$H:$H,'Supply planning data'!$D:$D,DataViz!$B44,'Supply planning data'!$C:$C,DataViz!I$34),
IF(I$35="Wastage",SUMIFS('Supply planning data'!$K:$K,'Supply planning data'!$D:$D,DataViz!$B44,'Supply planning data'!$C:$C,DataViz!I$34),
IF(I$35="Additional",SUMIFS('Supply planning data'!$I:$I,'Supply planning data'!$D:$D,DataViz!$B44,'Supply planning data'!$C:$C,DataViz!I$34),
0))))</f>
        <v>54830</v>
      </c>
      <c r="J44" s="22">
        <f>IF(J$35="Dose 1",SUMIFS('Supply planning data'!$G:$G,'Supply planning data'!$D:$D,DataViz!$B44,'Supply planning data'!$C:$C,DataViz!J$34),
IF(J$35="Dose 2",SUMIFS('Supply planning data'!$H:$H,'Supply planning data'!$D:$D,DataViz!$B44,'Supply planning data'!$C:$C,DataViz!J$34),
IF(J$35="Wastage",SUMIFS('Supply planning data'!$K:$K,'Supply planning data'!$D:$D,DataViz!$B44,'Supply planning data'!$C:$C,DataViz!J$34),
IF(J$35="Additional",SUMIFS('Supply planning data'!$I:$I,'Supply planning data'!$D:$D,DataViz!$B44,'Supply planning data'!$C:$C,DataViz!J$34),
0))))</f>
        <v>0</v>
      </c>
      <c r="K44" s="22">
        <f>IF(K$35="Dose 1",SUMIFS('Supply planning data'!$G:$G,'Supply planning data'!$D:$D,DataViz!$B44,'Supply planning data'!$C:$C,DataViz!K$34),
IF(K$35="Dose 2",SUMIFS('Supply planning data'!$H:$H,'Supply planning data'!$D:$D,DataViz!$B44,'Supply planning data'!$C:$C,DataViz!K$34),
IF(K$35="Wastage",SUMIFS('Supply planning data'!$K:$K,'Supply planning data'!$D:$D,DataViz!$B44,'Supply planning data'!$C:$C,DataViz!K$34),
IF(K$35="Additional",SUMIFS('Supply planning data'!$I:$I,'Supply planning data'!$D:$D,DataViz!$B44,'Supply planning data'!$C:$C,DataViz!K$34),
0))))</f>
        <v>0</v>
      </c>
      <c r="L44" s="22">
        <f>IF(L$35="Dose 1",SUMIFS('Supply planning data'!$G:$G,'Supply planning data'!$D:$D,DataViz!$B44,'Supply planning data'!$C:$C,DataViz!L$34),
IF(L$35="Dose 2",SUMIFS('Supply planning data'!$H:$H,'Supply planning data'!$D:$D,DataViz!$B44,'Supply planning data'!$C:$C,DataViz!L$34),
IF(L$35="Wastage",SUMIFS('Supply planning data'!$K:$K,'Supply planning data'!$D:$D,DataViz!$B44,'Supply planning data'!$C:$C,DataViz!L$34),
IF(L$35="Additional",SUMIFS('Supply planning data'!$I:$I,'Supply planning data'!$D:$D,DataViz!$B44,'Supply planning data'!$C:$C,DataViz!L$34),
0))))</f>
        <v>0</v>
      </c>
      <c r="M44" s="22">
        <f>IF(M$35="Dose 1",SUMIFS('Supply planning data'!$G:$G,'Supply planning data'!$D:$D,DataViz!$B44,'Supply planning data'!$C:$C,DataViz!M$34),
IF(M$35="Dose 2",SUMIFS('Supply planning data'!$H:$H,'Supply planning data'!$D:$D,DataViz!$B44,'Supply planning data'!$C:$C,DataViz!M$34),
IF(M$35="Wastage",SUMIFS('Supply planning data'!$K:$K,'Supply planning data'!$D:$D,DataViz!$B44,'Supply planning data'!$C:$C,DataViz!M$34),
IF(M$35="Additional",SUMIFS('Supply planning data'!$I:$I,'Supply planning data'!$D:$D,DataViz!$B44,'Supply planning data'!$C:$C,DataViz!M$34),
0))))</f>
        <v>0</v>
      </c>
      <c r="N44" s="22">
        <f>IF(N$35="Dose 1",SUMIFS('Supply planning data'!$G:$G,'Supply planning data'!$D:$D,DataViz!$B44,'Supply planning data'!$C:$C,DataViz!N$34),
IF(N$35="Dose 2",SUMIFS('Supply planning data'!$H:$H,'Supply planning data'!$D:$D,DataViz!$B44,'Supply planning data'!$C:$C,DataViz!N$34),
IF(N$35="Wastage",SUMIFS('Supply planning data'!$K:$K,'Supply planning data'!$D:$D,DataViz!$B44,'Supply planning data'!$C:$C,DataViz!N$34),
IF(N$35="Additional",SUMIFS('Supply planning data'!$I:$I,'Supply planning data'!$D:$D,DataViz!$B44,'Supply planning data'!$C:$C,DataViz!N$34),
0))))</f>
        <v>0</v>
      </c>
      <c r="O44" s="22">
        <f>IF(O$35="Dose 1",SUMIFS('Supply planning data'!$G:$G,'Supply planning data'!$D:$D,DataViz!$B44,'Supply planning data'!$C:$C,DataViz!O$34),
IF(O$35="Dose 2",SUMIFS('Supply planning data'!$H:$H,'Supply planning data'!$D:$D,DataViz!$B44,'Supply planning data'!$C:$C,DataViz!O$34),
IF(O$35="Wastage",SUMIFS('Supply planning data'!$K:$K,'Supply planning data'!$D:$D,DataViz!$B44,'Supply planning data'!$C:$C,DataViz!O$34),
IF(O$35="Additional",SUMIFS('Supply planning data'!$I:$I,'Supply planning data'!$D:$D,DataViz!$B44,'Supply planning data'!$C:$C,DataViz!O$34),
0))))</f>
        <v>0</v>
      </c>
      <c r="P44" s="22">
        <f>IF(P$35="Dose 1",SUMIFS('Supply planning data'!$G:$G,'Supply planning data'!$D:$D,DataViz!$B44,'Supply planning data'!$C:$C,DataViz!P$34),
IF(P$35="Dose 2",SUMIFS('Supply planning data'!$H:$H,'Supply planning data'!$D:$D,DataViz!$B44,'Supply planning data'!$C:$C,DataViz!P$34),
IF(P$35="Wastage",SUMIFS('Supply planning data'!$K:$K,'Supply planning data'!$D:$D,DataViz!$B44,'Supply planning data'!$C:$C,DataViz!P$34),
IF(P$35="Additional",SUMIFS('Supply planning data'!$I:$I,'Supply planning data'!$D:$D,DataViz!$B44,'Supply planning data'!$C:$C,DataViz!P$34),
0))))</f>
        <v>0</v>
      </c>
      <c r="Q44" s="22">
        <f>IF(Q$35="Dose 1",SUMIFS('Supply planning data'!$G:$G,'Supply planning data'!$D:$D,DataViz!$B44,'Supply planning data'!$C:$C,DataViz!Q$34),
IF(Q$35="Dose 2",SUMIFS('Supply planning data'!$H:$H,'Supply planning data'!$D:$D,DataViz!$B44,'Supply planning data'!$C:$C,DataViz!Q$34),
IF(Q$35="Wastage",SUMIFS('Supply planning data'!$K:$K,'Supply planning data'!$D:$D,DataViz!$B44,'Supply planning data'!$C:$C,DataViz!Q$34),
IF(Q$35="Additional",SUMIFS('Supply planning data'!$I:$I,'Supply planning data'!$D:$D,DataViz!$B44,'Supply planning data'!$C:$C,DataViz!Q$34),
0))))</f>
        <v>0</v>
      </c>
      <c r="R44" s="22">
        <f>IF(R$35="Dose 1",SUMIFS('Supply planning data'!$G:$G,'Supply planning data'!$D:$D,DataViz!$B44,'Supply planning data'!$C:$C,DataViz!R$34),
IF(R$35="Dose 2",SUMIFS('Supply planning data'!$H:$H,'Supply planning data'!$D:$D,DataViz!$B44,'Supply planning data'!$C:$C,DataViz!R$34),
IF(R$35="Wastage",SUMIFS('Supply planning data'!$K:$K,'Supply planning data'!$D:$D,DataViz!$B44,'Supply planning data'!$C:$C,DataViz!R$34),
IF(R$35="Additional",SUMIFS('Supply planning data'!$I:$I,'Supply planning data'!$D:$D,DataViz!$B44,'Supply planning data'!$C:$C,DataViz!R$34),
0))))</f>
        <v>0</v>
      </c>
      <c r="S44" s="22">
        <f>IF(S$35="Dose 1",SUMIFS('Supply planning data'!$G:$G,'Supply planning data'!$D:$D,DataViz!$B44,'Supply planning data'!$C:$C,DataViz!S$34),
IF(S$35="Dose 2",SUMIFS('Supply planning data'!$H:$H,'Supply planning data'!$D:$D,DataViz!$B44,'Supply planning data'!$C:$C,DataViz!S$34),
IF(S$35="Wastage",SUMIFS('Supply planning data'!$K:$K,'Supply planning data'!$D:$D,DataViz!$B44,'Supply planning data'!$C:$C,DataViz!S$34),
IF(S$35="Additional",SUMIFS('Supply planning data'!$I:$I,'Supply planning data'!$D:$D,DataViz!$B44,'Supply planning data'!$C:$C,DataViz!S$34),
0))))</f>
        <v>0</v>
      </c>
      <c r="T44" s="22">
        <f>IF(T$35="Dose 1",SUMIFS('Supply planning data'!$G:$G,'Supply planning data'!$D:$D,DataViz!$B44,'Supply planning data'!$C:$C,DataViz!T$34),
IF(T$35="Dose 2",SUMIFS('Supply planning data'!$H:$H,'Supply planning data'!$D:$D,DataViz!$B44,'Supply planning data'!$C:$C,DataViz!T$34),
IF(T$35="Wastage",SUMIFS('Supply planning data'!$K:$K,'Supply planning data'!$D:$D,DataViz!$B44,'Supply planning data'!$C:$C,DataViz!T$34),
IF(T$35="Additional",SUMIFS('Supply planning data'!$I:$I,'Supply planning data'!$D:$D,DataViz!$B44,'Supply planning data'!$C:$C,DataViz!T$34),
0))))</f>
        <v>0</v>
      </c>
      <c r="U44" s="22">
        <f>IF(U$35="Dose 1",SUMIFS('Supply planning data'!$G:$G,'Supply planning data'!$D:$D,DataViz!$B44,'Supply planning data'!$C:$C,DataViz!U$34),
IF(U$35="Dose 2",SUMIFS('Supply planning data'!$H:$H,'Supply planning data'!$D:$D,DataViz!$B44,'Supply planning data'!$C:$C,DataViz!U$34),
IF(U$35="Wastage",SUMIFS('Supply planning data'!$K:$K,'Supply planning data'!$D:$D,DataViz!$B44,'Supply planning data'!$C:$C,DataViz!U$34),
IF(U$35="Additional",SUMIFS('Supply planning data'!$I:$I,'Supply planning data'!$D:$D,DataViz!$B44,'Supply planning data'!$C:$C,DataViz!U$34),
0))))</f>
        <v>0</v>
      </c>
      <c r="V44" s="22">
        <f>IF(V$35="Dose 1",SUMIFS('Supply planning data'!$G:$G,'Supply planning data'!$D:$D,DataViz!$B44,'Supply planning data'!$C:$C,DataViz!V$34),
IF(V$35="Dose 2",SUMIFS('Supply planning data'!$H:$H,'Supply planning data'!$D:$D,DataViz!$B44,'Supply planning data'!$C:$C,DataViz!V$34),
IF(V$35="Wastage",SUMIFS('Supply planning data'!$K:$K,'Supply planning data'!$D:$D,DataViz!$B44,'Supply planning data'!$C:$C,DataViz!V$34),
IF(V$35="Additional",SUMIFS('Supply planning data'!$I:$I,'Supply planning data'!$D:$D,DataViz!$B44,'Supply planning data'!$C:$C,DataViz!V$34),
0))))</f>
        <v>0</v>
      </c>
      <c r="W44" s="22">
        <f>IF(W$35="Dose 1",SUMIFS('Supply planning data'!$G:$G,'Supply planning data'!$D:$D,DataViz!$B44,'Supply planning data'!$C:$C,DataViz!W$34),
IF(W$35="Dose 2",SUMIFS('Supply planning data'!$H:$H,'Supply planning data'!$D:$D,DataViz!$B44,'Supply planning data'!$C:$C,DataViz!W$34),
IF(W$35="Wastage",SUMIFS('Supply planning data'!$K:$K,'Supply planning data'!$D:$D,DataViz!$B44,'Supply planning data'!$C:$C,DataViz!W$34),
IF(W$35="Additional",SUMIFS('Supply planning data'!$I:$I,'Supply planning data'!$D:$D,DataViz!$B44,'Supply planning data'!$C:$C,DataViz!W$34),
0))))</f>
        <v>0</v>
      </c>
      <c r="X44" s="22">
        <f>IF(X$35="Dose 1",SUMIFS('Supply planning data'!$G:$G,'Supply planning data'!$D:$D,DataViz!$B44,'Supply planning data'!$C:$C,DataViz!X$34),
IF(X$35="Dose 2",SUMIFS('Supply planning data'!$H:$H,'Supply planning data'!$D:$D,DataViz!$B44,'Supply planning data'!$C:$C,DataViz!X$34),
IF(X$35="Wastage",SUMIFS('Supply planning data'!$K:$K,'Supply planning data'!$D:$D,DataViz!$B44,'Supply planning data'!$C:$C,DataViz!X$34),
IF(X$35="Additional",SUMIFS('Supply planning data'!$I:$I,'Supply planning data'!$D:$D,DataViz!$B44,'Supply planning data'!$C:$C,DataViz!X$34),
0))))</f>
        <v>0</v>
      </c>
      <c r="Y44" s="22">
        <f>IF(Y$35="Dose 1",SUMIFS('Supply planning data'!$G:$G,'Supply planning data'!$D:$D,DataViz!$B44,'Supply planning data'!$C:$C,DataViz!Y$34),
IF(Y$35="Dose 2",SUMIFS('Supply planning data'!$H:$H,'Supply planning data'!$D:$D,DataViz!$B44,'Supply planning data'!$C:$C,DataViz!Y$34),
IF(Y$35="Wastage",SUMIFS('Supply planning data'!$K:$K,'Supply planning data'!$D:$D,DataViz!$B44,'Supply planning data'!$C:$C,DataViz!Y$34),
IF(Y$35="Additional",SUMIFS('Supply planning data'!$I:$I,'Supply planning data'!$D:$D,DataViz!$B44,'Supply planning data'!$C:$C,DataViz!Y$34),
0))))</f>
        <v>0</v>
      </c>
      <c r="Z44" s="22">
        <f>IF(Z$35="Dose 1",SUMIFS('Supply planning data'!$G:$G,'Supply planning data'!$D:$D,DataViz!$B44,'Supply planning data'!$C:$C,DataViz!Z$34),
IF(Z$35="Dose 2",SUMIFS('Supply planning data'!$H:$H,'Supply planning data'!$D:$D,DataViz!$B44,'Supply planning data'!$C:$C,DataViz!Z$34),
IF(Z$35="Wastage",SUMIFS('Supply planning data'!$K:$K,'Supply planning data'!$D:$D,DataViz!$B44,'Supply planning data'!$C:$C,DataViz!Z$34),
IF(Z$35="Additional",SUMIFS('Supply planning data'!$I:$I,'Supply planning data'!$D:$D,DataViz!$B44,'Supply planning data'!$C:$C,DataViz!Z$34),
0))))</f>
        <v>0</v>
      </c>
      <c r="AA44" s="22">
        <f>IF(AA$35="Dose 1",SUMIFS('Supply planning data'!$G:$G,'Supply planning data'!$D:$D,DataViz!$B44,'Supply planning data'!$C:$C,DataViz!AA$34),
IF(AA$35="Dose 2",SUMIFS('Supply planning data'!$H:$H,'Supply planning data'!$D:$D,DataViz!$B44,'Supply planning data'!$C:$C,DataViz!AA$34),
IF(AA$35="Wastage",SUMIFS('Supply planning data'!$K:$K,'Supply planning data'!$D:$D,DataViz!$B44,'Supply planning data'!$C:$C,DataViz!AA$34),
IF(AA$35="Additional",SUMIFS('Supply planning data'!$I:$I,'Supply planning data'!$D:$D,DataViz!$B44,'Supply planning data'!$C:$C,DataViz!AA$34),
0))))</f>
        <v>0</v>
      </c>
      <c r="AB44" s="22">
        <f>IF(AB$35="Dose 1",SUMIFS('Supply planning data'!$G:$G,'Supply planning data'!$D:$D,DataViz!$B44,'Supply planning data'!$C:$C,DataViz!AB$34),
IF(AB$35="Dose 2",SUMIFS('Supply planning data'!$H:$H,'Supply planning data'!$D:$D,DataViz!$B44,'Supply planning data'!$C:$C,DataViz!AB$34),
IF(AB$35="Wastage",SUMIFS('Supply planning data'!$K:$K,'Supply planning data'!$D:$D,DataViz!$B44,'Supply planning data'!$C:$C,DataViz!AB$34),
IF(AB$35="Additional",SUMIFS('Supply planning data'!$I:$I,'Supply planning data'!$D:$D,DataViz!$B44,'Supply planning data'!$C:$C,DataViz!AB$34),
0))))</f>
        <v>0</v>
      </c>
      <c r="AC44" s="22">
        <f>IF(AC$35="Dose 1",SUMIFS('Supply planning data'!$G:$G,'Supply planning data'!$D:$D,DataViz!$B44,'Supply planning data'!$C:$C,DataViz!AC$34),
IF(AC$35="Dose 2",SUMIFS('Supply planning data'!$H:$H,'Supply planning data'!$D:$D,DataViz!$B44,'Supply planning data'!$C:$C,DataViz!AC$34),
IF(AC$35="Wastage",SUMIFS('Supply planning data'!$K:$K,'Supply planning data'!$D:$D,DataViz!$B44,'Supply planning data'!$C:$C,DataViz!AC$34),
IF(AC$35="Additional",SUMIFS('Supply planning data'!$I:$I,'Supply planning data'!$D:$D,DataViz!$B44,'Supply planning data'!$C:$C,DataViz!AC$34),
0))))</f>
        <v>0</v>
      </c>
      <c r="AD44" s="22">
        <f>IF(AD$35="Dose 1",SUMIFS('Supply planning data'!$G:$G,'Supply planning data'!$D:$D,DataViz!$B44,'Supply planning data'!$C:$C,DataViz!AD$34),
IF(AD$35="Dose 2",SUMIFS('Supply planning data'!$H:$H,'Supply planning data'!$D:$D,DataViz!$B44,'Supply planning data'!$C:$C,DataViz!AD$34),
IF(AD$35="Wastage",SUMIFS('Supply planning data'!$K:$K,'Supply planning data'!$D:$D,DataViz!$B44,'Supply planning data'!$C:$C,DataViz!AD$34),
IF(AD$35="Additional",SUMIFS('Supply planning data'!$I:$I,'Supply planning data'!$D:$D,DataViz!$B44,'Supply planning data'!$C:$C,DataViz!AD$34),
0))))</f>
        <v>0</v>
      </c>
      <c r="AE44" s="22">
        <f>IF(AE$35="Dose 1",SUMIFS('Supply planning data'!$G:$G,'Supply planning data'!$D:$D,DataViz!$B44,'Supply planning data'!$C:$C,DataViz!AE$34),
IF(AE$35="Dose 2",SUMIFS('Supply planning data'!$H:$H,'Supply planning data'!$D:$D,DataViz!$B44,'Supply planning data'!$C:$C,DataViz!AE$34),
IF(AE$35="Wastage",SUMIFS('Supply planning data'!$K:$K,'Supply planning data'!$D:$D,DataViz!$B44,'Supply planning data'!$C:$C,DataViz!AE$34),
IF(AE$35="Additional",SUMIFS('Supply planning data'!$I:$I,'Supply planning data'!$D:$D,DataViz!$B44,'Supply planning data'!$C:$C,DataViz!AE$34),
0))))</f>
        <v>0</v>
      </c>
      <c r="AF44" s="22">
        <f>IF(AF$35="Dose 1",SUMIFS('Supply planning data'!$G:$G,'Supply planning data'!$D:$D,DataViz!$B44,'Supply planning data'!$C:$C,DataViz!AF$34),
IF(AF$35="Dose 2",SUMIFS('Supply planning data'!$H:$H,'Supply planning data'!$D:$D,DataViz!$B44,'Supply planning data'!$C:$C,DataViz!AF$34),
IF(AF$35="Wastage",SUMIFS('Supply planning data'!$K:$K,'Supply planning data'!$D:$D,DataViz!$B44,'Supply planning data'!$C:$C,DataViz!AF$34),
IF(AF$35="Additional",SUMIFS('Supply planning data'!$I:$I,'Supply planning data'!$D:$D,DataViz!$B44,'Supply planning data'!$C:$C,DataViz!AF$34),
0))))</f>
        <v>0</v>
      </c>
      <c r="AG44" s="22">
        <f>IF(AG$35="Dose 1",SUMIFS('Supply planning data'!$G:$G,'Supply planning data'!$D:$D,DataViz!$B44,'Supply planning data'!$C:$C,DataViz!AG$34),
IF(AG$35="Dose 2",SUMIFS('Supply planning data'!$H:$H,'Supply planning data'!$D:$D,DataViz!$B44,'Supply planning data'!$C:$C,DataViz!AG$34),
IF(AG$35="Wastage",SUMIFS('Supply planning data'!$K:$K,'Supply planning data'!$D:$D,DataViz!$B44,'Supply planning data'!$C:$C,DataViz!AG$34),
IF(AG$35="Additional",SUMIFS('Supply planning data'!$I:$I,'Supply planning data'!$D:$D,DataViz!$B44,'Supply planning data'!$C:$C,DataViz!AG$34),
0))))</f>
        <v>0</v>
      </c>
      <c r="AH44" s="22">
        <f>IF(AH$35="Dose 1",SUMIFS('Supply planning data'!$G:$G,'Supply planning data'!$D:$D,DataViz!$B44,'Supply planning data'!$C:$C,DataViz!AH$34),
IF(AH$35="Dose 2",SUMIFS('Supply planning data'!$H:$H,'Supply planning data'!$D:$D,DataViz!$B44,'Supply planning data'!$C:$C,DataViz!AH$34),
IF(AH$35="Wastage",SUMIFS('Supply planning data'!$K:$K,'Supply planning data'!$D:$D,DataViz!$B44,'Supply planning data'!$C:$C,DataViz!AH$34),
IF(AH$35="Additional",SUMIFS('Supply planning data'!$I:$I,'Supply planning data'!$D:$D,DataViz!$B44,'Supply planning data'!$C:$C,DataViz!AH$34),
0))))</f>
        <v>0</v>
      </c>
      <c r="AI44" s="22">
        <f>IF(AI$35="Dose 1",SUMIFS('Supply planning data'!$G:$G,'Supply planning data'!$D:$D,DataViz!$B44,'Supply planning data'!$C:$C,DataViz!AI$34),
IF(AI$35="Dose 2",SUMIFS('Supply planning data'!$H:$H,'Supply planning data'!$D:$D,DataViz!$B44,'Supply planning data'!$C:$C,DataViz!AI$34),
IF(AI$35="Wastage",SUMIFS('Supply planning data'!$K:$K,'Supply planning data'!$D:$D,DataViz!$B44,'Supply planning data'!$C:$C,DataViz!AI$34),
IF(AI$35="Additional",SUMIFS('Supply planning data'!$I:$I,'Supply planning data'!$D:$D,DataViz!$B44,'Supply planning data'!$C:$C,DataViz!AI$34),
0))))</f>
        <v>0</v>
      </c>
      <c r="AJ44" s="22">
        <f>IF(AJ$35="Dose 1",SUMIFS('Supply planning data'!$G:$G,'Supply planning data'!$D:$D,DataViz!$B44,'Supply planning data'!$C:$C,DataViz!AJ$34),
IF(AJ$35="Dose 2",SUMIFS('Supply planning data'!$H:$H,'Supply planning data'!$D:$D,DataViz!$B44,'Supply planning data'!$C:$C,DataViz!AJ$34),
IF(AJ$35="Wastage",SUMIFS('Supply planning data'!$K:$K,'Supply planning data'!$D:$D,DataViz!$B44,'Supply planning data'!$C:$C,DataViz!AJ$34),
IF(AJ$35="Additional",SUMIFS('Supply planning data'!$I:$I,'Supply planning data'!$D:$D,DataViz!$B44,'Supply planning data'!$C:$C,DataViz!AJ$34),
0))))</f>
        <v>0</v>
      </c>
      <c r="AK44" s="22">
        <f>IF(AK$35="Dose 1",SUMIFS('Supply planning data'!$G:$G,'Supply planning data'!$D:$D,DataViz!$B44,'Supply planning data'!$C:$C,DataViz!AK$34),
IF(AK$35="Dose 2",SUMIFS('Supply planning data'!$H:$H,'Supply planning data'!$D:$D,DataViz!$B44,'Supply planning data'!$C:$C,DataViz!AK$34),
IF(AK$35="Wastage",SUMIFS('Supply planning data'!$K:$K,'Supply planning data'!$D:$D,DataViz!$B44,'Supply planning data'!$C:$C,DataViz!AK$34),
IF(AK$35="Additional",SUMIFS('Supply planning data'!$I:$I,'Supply planning data'!$D:$D,DataViz!$B44,'Supply planning data'!$C:$C,DataViz!AK$34),
0))))</f>
        <v>0</v>
      </c>
      <c r="AL44" s="22">
        <f>IF(AL$35="Dose 1",SUMIFS('Supply planning data'!$G:$G,'Supply planning data'!$D:$D,DataViz!$B44,'Supply planning data'!$C:$C,DataViz!AL$34),
IF(AL$35="Dose 2",SUMIFS('Supply planning data'!$H:$H,'Supply planning data'!$D:$D,DataViz!$B44,'Supply planning data'!$C:$C,DataViz!AL$34),
IF(AL$35="Wastage",SUMIFS('Supply planning data'!$K:$K,'Supply planning data'!$D:$D,DataViz!$B44,'Supply planning data'!$C:$C,DataViz!AL$34),
IF(AL$35="Additional",SUMIFS('Supply planning data'!$I:$I,'Supply planning data'!$D:$D,DataViz!$B44,'Supply planning data'!$C:$C,DataViz!AL$34),
0))))</f>
        <v>0</v>
      </c>
      <c r="AM44" s="22">
        <f>IF(AM$35="Dose 1",SUMIFS('Supply planning data'!$G:$G,'Supply planning data'!$D:$D,DataViz!$B44,'Supply planning data'!$C:$C,DataViz!AM$34),
IF(AM$35="Dose 2",SUMIFS('Supply planning data'!$H:$H,'Supply planning data'!$D:$D,DataViz!$B44,'Supply planning data'!$C:$C,DataViz!AM$34),
IF(AM$35="Wastage",SUMIFS('Supply planning data'!$K:$K,'Supply planning data'!$D:$D,DataViz!$B44,'Supply planning data'!$C:$C,DataViz!AM$34),
IF(AM$35="Additional",SUMIFS('Supply planning data'!$I:$I,'Supply planning data'!$D:$D,DataViz!$B44,'Supply planning data'!$C:$C,DataViz!AM$34),
0))))</f>
        <v>0</v>
      </c>
      <c r="AN44" s="22">
        <f>IF(AN$35="Dose 1",SUMIFS('Supply planning data'!$G:$G,'Supply planning data'!$D:$D,DataViz!$B44,'Supply planning data'!$C:$C,DataViz!AN$34),
IF(AN$35="Dose 2",SUMIFS('Supply planning data'!$H:$H,'Supply planning data'!$D:$D,DataViz!$B44,'Supply planning data'!$C:$C,DataViz!AN$34),
IF(AN$35="Wastage",SUMIFS('Supply planning data'!$K:$K,'Supply planning data'!$D:$D,DataViz!$B44,'Supply planning data'!$C:$C,DataViz!AN$34),
IF(AN$35="Additional",SUMIFS('Supply planning data'!$I:$I,'Supply planning data'!$D:$D,DataViz!$B44,'Supply planning data'!$C:$C,DataViz!AN$34),
0))))</f>
        <v>0</v>
      </c>
      <c r="AO44" s="22">
        <f>IF(AO$35="Dose 1",SUMIFS('Supply planning data'!$G:$G,'Supply planning data'!$D:$D,DataViz!$B44,'Supply planning data'!$C:$C,DataViz!AO$34),
IF(AO$35="Dose 2",SUMIFS('Supply planning data'!$H:$H,'Supply planning data'!$D:$D,DataViz!$B44,'Supply planning data'!$C:$C,DataViz!AO$34),
IF(AO$35="Wastage",SUMIFS('Supply planning data'!$K:$K,'Supply planning data'!$D:$D,DataViz!$B44,'Supply planning data'!$C:$C,DataViz!AO$34),
IF(AO$35="Additional",SUMIFS('Supply planning data'!$I:$I,'Supply planning data'!$D:$D,DataViz!$B44,'Supply planning data'!$C:$C,DataViz!AO$34),
0))))</f>
        <v>0</v>
      </c>
      <c r="AP44" s="22">
        <f>IF(AP$35="Dose 1",SUMIFS('Supply planning data'!$G:$G,'Supply planning data'!$D:$D,DataViz!$B44,'Supply planning data'!$C:$C,DataViz!AP$34),
IF(AP$35="Dose 2",SUMIFS('Supply planning data'!$H:$H,'Supply planning data'!$D:$D,DataViz!$B44,'Supply planning data'!$C:$C,DataViz!AP$34),
IF(AP$35="Wastage",SUMIFS('Supply planning data'!$K:$K,'Supply planning data'!$D:$D,DataViz!$B44,'Supply planning data'!$C:$C,DataViz!AP$34),
IF(AP$35="Additional",SUMIFS('Supply planning data'!$I:$I,'Supply planning data'!$D:$D,DataViz!$B44,'Supply planning data'!$C:$C,DataViz!AP$34),
0))))</f>
        <v>0</v>
      </c>
      <c r="AQ44" s="22">
        <f>IF(AQ$35="Dose 1",SUMIFS('Supply planning data'!$G:$G,'Supply planning data'!$D:$D,DataViz!$B44,'Supply planning data'!$C:$C,DataViz!AQ$34),
IF(AQ$35="Dose 2",SUMIFS('Supply planning data'!$H:$H,'Supply planning data'!$D:$D,DataViz!$B44,'Supply planning data'!$C:$C,DataViz!AQ$34),
IF(AQ$35="Wastage",SUMIFS('Supply planning data'!$K:$K,'Supply planning data'!$D:$D,DataViz!$B44,'Supply planning data'!$C:$C,DataViz!AQ$34),
IF(AQ$35="Additional",SUMIFS('Supply planning data'!$I:$I,'Supply planning data'!$D:$D,DataViz!$B44,'Supply planning data'!$C:$C,DataViz!AQ$34),
0))))</f>
        <v>0</v>
      </c>
      <c r="AR44" s="22">
        <f>IF(AR$35="Dose 1",SUMIFS('Supply planning data'!$G:$G,'Supply planning data'!$D:$D,DataViz!$B44,'Supply planning data'!$C:$C,DataViz!AR$34),
IF(AR$35="Dose 2",SUMIFS('Supply planning data'!$H:$H,'Supply planning data'!$D:$D,DataViz!$B44,'Supply planning data'!$C:$C,DataViz!AR$34),
IF(AR$35="Wastage",SUMIFS('Supply planning data'!$K:$K,'Supply planning data'!$D:$D,DataViz!$B44,'Supply planning data'!$C:$C,DataViz!AR$34),
IF(AR$35="Additional",SUMIFS('Supply planning data'!$I:$I,'Supply planning data'!$D:$D,DataViz!$B44,'Supply planning data'!$C:$C,DataViz!AR$34),
0))))</f>
        <v>0</v>
      </c>
      <c r="AS44" s="22">
        <f>IF(AS$35="Dose 1",SUMIFS('Supply planning data'!$G:$G,'Supply planning data'!$D:$D,DataViz!$B44,'Supply planning data'!$C:$C,DataViz!AS$34),
IF(AS$35="Dose 2",SUMIFS('Supply planning data'!$H:$H,'Supply planning data'!$D:$D,DataViz!$B44,'Supply planning data'!$C:$C,DataViz!AS$34),
IF(AS$35="Wastage",SUMIFS('Supply planning data'!$K:$K,'Supply planning data'!$D:$D,DataViz!$B44,'Supply planning data'!$C:$C,DataViz!AS$34),
IF(AS$35="Additional",SUMIFS('Supply planning data'!$I:$I,'Supply planning data'!$D:$D,DataViz!$B44,'Supply planning data'!$C:$C,DataViz!AS$34),
0))))</f>
        <v>0</v>
      </c>
      <c r="AT44" s="22">
        <f>IF(AT$35="Dose 1",SUMIFS('Supply planning data'!$G:$G,'Supply planning data'!$D:$D,DataViz!$B44,'Supply planning data'!$C:$C,DataViz!AT$34),
IF(AT$35="Dose 2",SUMIFS('Supply planning data'!$H:$H,'Supply planning data'!$D:$D,DataViz!$B44,'Supply planning data'!$C:$C,DataViz!AT$34),
IF(AT$35="Wastage",SUMIFS('Supply planning data'!$K:$K,'Supply planning data'!$D:$D,DataViz!$B44,'Supply planning data'!$C:$C,DataViz!AT$34),
IF(AT$35="Additional",SUMIFS('Supply planning data'!$I:$I,'Supply planning data'!$D:$D,DataViz!$B44,'Supply planning data'!$C:$C,DataViz!AT$34),
0))))</f>
        <v>0</v>
      </c>
      <c r="AU44" s="22">
        <f>IF(AU$35="Dose 1",SUMIFS('Supply planning data'!$G:$G,'Supply planning data'!$D:$D,DataViz!$B44,'Supply planning data'!$C:$C,DataViz!AU$34),
IF(AU$35="Dose 2",SUMIFS('Supply planning data'!$H:$H,'Supply planning data'!$D:$D,DataViz!$B44,'Supply planning data'!$C:$C,DataViz!AU$34),
IF(AU$35="Wastage",SUMIFS('Supply planning data'!$K:$K,'Supply planning data'!$D:$D,DataViz!$B44,'Supply planning data'!$C:$C,DataViz!AU$34),
IF(AU$35="Additional",SUMIFS('Supply planning data'!$I:$I,'Supply planning data'!$D:$D,DataViz!$B44,'Supply planning data'!$C:$C,DataViz!AU$34),
0))))</f>
        <v>0</v>
      </c>
      <c r="AV44" s="22">
        <f>IF(AV$35="Dose 1",SUMIFS('Supply planning data'!$G:$G,'Supply planning data'!$D:$D,DataViz!$B44,'Supply planning data'!$C:$C,DataViz!AV$34),
IF(AV$35="Dose 2",SUMIFS('Supply planning data'!$H:$H,'Supply planning data'!$D:$D,DataViz!$B44,'Supply planning data'!$C:$C,DataViz!AV$34),
IF(AV$35="Wastage",SUMIFS('Supply planning data'!$K:$K,'Supply planning data'!$D:$D,DataViz!$B44,'Supply planning data'!$C:$C,DataViz!AV$34),
IF(AV$35="Additional",SUMIFS('Supply planning data'!$I:$I,'Supply planning data'!$D:$D,DataViz!$B44,'Supply planning data'!$C:$C,DataViz!AV$34),
0))))</f>
        <v>0</v>
      </c>
      <c r="AW44" s="22">
        <f>IF(AW$35="Dose 1",SUMIFS('Supply planning data'!$G:$G,'Supply planning data'!$D:$D,DataViz!$B44,'Supply planning data'!$C:$C,DataViz!AW$34),
IF(AW$35="Dose 2",SUMIFS('Supply planning data'!$H:$H,'Supply planning data'!$D:$D,DataViz!$B44,'Supply planning data'!$C:$C,DataViz!AW$34),
IF(AW$35="Wastage",SUMIFS('Supply planning data'!$K:$K,'Supply planning data'!$D:$D,DataViz!$B44,'Supply planning data'!$C:$C,DataViz!AW$34),
IF(AW$35="Additional",SUMIFS('Supply planning data'!$I:$I,'Supply planning data'!$D:$D,DataViz!$B44,'Supply planning data'!$C:$C,DataViz!AW$34),
0))))</f>
        <v>0</v>
      </c>
      <c r="AX44" s="22">
        <f>IF(AX$35="Dose 1",SUMIFS('Supply planning data'!$G:$G,'Supply planning data'!$D:$D,DataViz!$B44,'Supply planning data'!$C:$C,DataViz!AX$34),
IF(AX$35="Dose 2",SUMIFS('Supply planning data'!$H:$H,'Supply planning data'!$D:$D,DataViz!$B44,'Supply planning data'!$C:$C,DataViz!AX$34),
IF(AX$35="Wastage",SUMIFS('Supply planning data'!$K:$K,'Supply planning data'!$D:$D,DataViz!$B44,'Supply planning data'!$C:$C,DataViz!AX$34),
IF(AX$35="Additional",SUMIFS('Supply planning data'!$I:$I,'Supply planning data'!$D:$D,DataViz!$B44,'Supply planning data'!$C:$C,DataViz!AX$34),
0))))</f>
        <v>0</v>
      </c>
      <c r="AY44" s="22">
        <f>IF(AY$35="Dose 1",SUMIFS('Supply planning data'!$G:$G,'Supply planning data'!$D:$D,DataViz!$B44,'Supply planning data'!$C:$C,DataViz!AY$34),
IF(AY$35="Dose 2",SUMIFS('Supply planning data'!$H:$H,'Supply planning data'!$D:$D,DataViz!$B44,'Supply planning data'!$C:$C,DataViz!AY$34),
IF(AY$35="Wastage",SUMIFS('Supply planning data'!$K:$K,'Supply planning data'!$D:$D,DataViz!$B44,'Supply planning data'!$C:$C,DataViz!AY$34),
IF(AY$35="Additional",SUMIFS('Supply planning data'!$I:$I,'Supply planning data'!$D:$D,DataViz!$B44,'Supply planning data'!$C:$C,DataViz!AY$34),
0))))</f>
        <v>0</v>
      </c>
      <c r="AZ44" s="22">
        <f>IF(AZ$35="Dose 1",SUMIFS('Supply planning data'!$G:$G,'Supply planning data'!$D:$D,DataViz!$B44,'Supply planning data'!$C:$C,DataViz!AZ$34),
IF(AZ$35="Dose 2",SUMIFS('Supply planning data'!$H:$H,'Supply planning data'!$D:$D,DataViz!$B44,'Supply planning data'!$C:$C,DataViz!AZ$34),
IF(AZ$35="Wastage",SUMIFS('Supply planning data'!$K:$K,'Supply planning data'!$D:$D,DataViz!$B44,'Supply planning data'!$C:$C,DataViz!AZ$34),
IF(AZ$35="Additional",SUMIFS('Supply planning data'!$I:$I,'Supply planning data'!$D:$D,DataViz!$B44,'Supply planning data'!$C:$C,DataViz!AZ$34),
0))))</f>
        <v>0</v>
      </c>
      <c r="BA44" s="22">
        <f>IF(BA$35="Dose 1",SUMIFS('Supply planning data'!$G:$G,'Supply planning data'!$D:$D,DataViz!$B44,'Supply planning data'!$C:$C,DataViz!BA$34),
IF(BA$35="Dose 2",SUMIFS('Supply planning data'!$H:$H,'Supply planning data'!$D:$D,DataViz!$B44,'Supply planning data'!$C:$C,DataViz!BA$34),
IF(BA$35="Wastage",SUMIFS('Supply planning data'!$K:$K,'Supply planning data'!$D:$D,DataViz!$B44,'Supply planning data'!$C:$C,DataViz!BA$34),
IF(BA$35="Additional",SUMIFS('Supply planning data'!$I:$I,'Supply planning data'!$D:$D,DataViz!$B44,'Supply planning data'!$C:$C,DataViz!BA$34),
0))))</f>
        <v>0</v>
      </c>
      <c r="BB44" s="22">
        <f>IF(BB$35="Dose 1",SUMIFS('Supply planning data'!$G:$G,'Supply planning data'!$D:$D,DataViz!$B44,'Supply planning data'!$C:$C,DataViz!BB$34),
IF(BB$35="Dose 2",SUMIFS('Supply planning data'!$H:$H,'Supply planning data'!$D:$D,DataViz!$B44,'Supply planning data'!$C:$C,DataViz!BB$34),
IF(BB$35="Wastage",SUMIFS('Supply planning data'!$K:$K,'Supply planning data'!$D:$D,DataViz!$B44,'Supply planning data'!$C:$C,DataViz!BB$34),
IF(BB$35="Additional",SUMIFS('Supply planning data'!$I:$I,'Supply planning data'!$D:$D,DataViz!$B44,'Supply planning data'!$C:$C,DataViz!BB$34),
0))))</f>
        <v>0</v>
      </c>
      <c r="BC44" s="22">
        <f>IF(BC$35="Dose 1",SUMIFS('Supply planning data'!$G:$G,'Supply planning data'!$D:$D,DataViz!$B44,'Supply planning data'!$C:$C,DataViz!BC$34),
IF(BC$35="Dose 2",SUMIFS('Supply planning data'!$H:$H,'Supply planning data'!$D:$D,DataViz!$B44,'Supply planning data'!$C:$C,DataViz!BC$34),
IF(BC$35="Wastage",SUMIFS('Supply planning data'!$K:$K,'Supply planning data'!$D:$D,DataViz!$B44,'Supply planning data'!$C:$C,DataViz!BC$34),
IF(BC$35="Additional",SUMIFS('Supply planning data'!$I:$I,'Supply planning data'!$D:$D,DataViz!$B44,'Supply planning data'!$C:$C,DataViz!BC$34),
0))))</f>
        <v>0</v>
      </c>
      <c r="BD44" s="22">
        <f>IF(BD$35="Dose 1",SUMIFS('Supply planning data'!$G:$G,'Supply planning data'!$D:$D,DataViz!$B44,'Supply planning data'!$C:$C,DataViz!BD$34),
IF(BD$35="Dose 2",SUMIFS('Supply planning data'!$H:$H,'Supply planning data'!$D:$D,DataViz!$B44,'Supply planning data'!$C:$C,DataViz!BD$34),
IF(BD$35="Wastage",SUMIFS('Supply planning data'!$K:$K,'Supply planning data'!$D:$D,DataViz!$B44,'Supply planning data'!$C:$C,DataViz!BD$34),
IF(BD$35="Additional",SUMIFS('Supply planning data'!$I:$I,'Supply planning data'!$D:$D,DataViz!$B44,'Supply planning data'!$C:$C,DataViz!BD$34),
0))))</f>
        <v>0</v>
      </c>
      <c r="BE44" s="22">
        <f>IF(BE$35="Dose 1",SUMIFS('Supply planning data'!$G:$G,'Supply planning data'!$D:$D,DataViz!$B44,'Supply planning data'!$C:$C,DataViz!BE$34),
IF(BE$35="Dose 2",SUMIFS('Supply planning data'!$H:$H,'Supply planning data'!$D:$D,DataViz!$B44,'Supply planning data'!$C:$C,DataViz!BE$34),
IF(BE$35="Wastage",SUMIFS('Supply planning data'!$K:$K,'Supply planning data'!$D:$D,DataViz!$B44,'Supply planning data'!$C:$C,DataViz!BE$34),
IF(BE$35="Additional",SUMIFS('Supply planning data'!$I:$I,'Supply planning data'!$D:$D,DataViz!$B44,'Supply planning data'!$C:$C,DataViz!BE$34),
0))))</f>
        <v>0</v>
      </c>
      <c r="BF44" s="22">
        <f>IF(BF$35="Dose 1",SUMIFS('Supply planning data'!$G:$G,'Supply planning data'!$D:$D,DataViz!$B44,'Supply planning data'!$C:$C,DataViz!BF$34),
IF(BF$35="Dose 2",SUMIFS('Supply planning data'!$H:$H,'Supply planning data'!$D:$D,DataViz!$B44,'Supply planning data'!$C:$C,DataViz!BF$34),
IF(BF$35="Wastage",SUMIFS('Supply planning data'!$K:$K,'Supply planning data'!$D:$D,DataViz!$B44,'Supply planning data'!$C:$C,DataViz!BF$34),
IF(BF$35="Additional",SUMIFS('Supply planning data'!$I:$I,'Supply planning data'!$D:$D,DataViz!$B44,'Supply planning data'!$C:$C,DataViz!BF$34),
0))))</f>
        <v>0</v>
      </c>
      <c r="BG44" s="22">
        <f>IF(BG$35="Dose 1",SUMIFS('Supply planning data'!$G:$G,'Supply planning data'!$D:$D,DataViz!$B44,'Supply planning data'!$C:$C,DataViz!BG$34),
IF(BG$35="Dose 2",SUMIFS('Supply planning data'!$H:$H,'Supply planning data'!$D:$D,DataViz!$B44,'Supply planning data'!$C:$C,DataViz!BG$34),
IF(BG$35="Wastage",SUMIFS('Supply planning data'!$K:$K,'Supply planning data'!$D:$D,DataViz!$B44,'Supply planning data'!$C:$C,DataViz!BG$34),
IF(BG$35="Additional",SUMIFS('Supply planning data'!$I:$I,'Supply planning data'!$D:$D,DataViz!$B44,'Supply planning data'!$C:$C,DataViz!BG$34),
0))))</f>
        <v>0</v>
      </c>
      <c r="BH44" s="22">
        <f>IF(BH$35="Dose 1",SUMIFS('Supply planning data'!$G:$G,'Supply planning data'!$D:$D,DataViz!$B44,'Supply planning data'!$C:$C,DataViz!BH$34),
IF(BH$35="Dose 2",SUMIFS('Supply planning data'!$H:$H,'Supply planning data'!$D:$D,DataViz!$B44,'Supply planning data'!$C:$C,DataViz!BH$34),
IF(BH$35="Wastage",SUMIFS('Supply planning data'!$K:$K,'Supply planning data'!$D:$D,DataViz!$B44,'Supply planning data'!$C:$C,DataViz!BH$34),
IF(BH$35="Additional",SUMIFS('Supply planning data'!$I:$I,'Supply planning data'!$D:$D,DataViz!$B44,'Supply planning data'!$C:$C,DataViz!BH$34),
0))))</f>
        <v>0</v>
      </c>
      <c r="BI44" s="22">
        <f>IF(BI$35="Dose 1",SUMIFS('Supply planning data'!$G:$G,'Supply planning data'!$D:$D,DataViz!$B44,'Supply planning data'!$C:$C,DataViz!BI$34),
IF(BI$35="Dose 2",SUMIFS('Supply planning data'!$H:$H,'Supply planning data'!$D:$D,DataViz!$B44,'Supply planning data'!$C:$C,DataViz!BI$34),
IF(BI$35="Wastage",SUMIFS('Supply planning data'!$K:$K,'Supply planning data'!$D:$D,DataViz!$B44,'Supply planning data'!$C:$C,DataViz!BI$34),
IF(BI$35="Additional",SUMIFS('Supply planning data'!$I:$I,'Supply planning data'!$D:$D,DataViz!$B44,'Supply planning data'!$C:$C,DataViz!BI$34),
0))))</f>
        <v>0</v>
      </c>
      <c r="BJ44" s="22">
        <f>IF(BJ$35="Dose 1",SUMIFS('Supply planning data'!$G:$G,'Supply planning data'!$D:$D,DataViz!$B44,'Supply planning data'!$C:$C,DataViz!BJ$34),
IF(BJ$35="Dose 2",SUMIFS('Supply planning data'!$H:$H,'Supply planning data'!$D:$D,DataViz!$B44,'Supply planning data'!$C:$C,DataViz!BJ$34),
IF(BJ$35="Wastage",SUMIFS('Supply planning data'!$K:$K,'Supply planning data'!$D:$D,DataViz!$B44,'Supply planning data'!$C:$C,DataViz!BJ$34),
IF(BJ$35="Additional",SUMIFS('Supply planning data'!$I:$I,'Supply planning data'!$D:$D,DataViz!$B44,'Supply planning data'!$C:$C,DataViz!BJ$34),
0))))</f>
        <v>0</v>
      </c>
      <c r="BK44" s="22">
        <f>IF(BK$35="Dose 1",SUMIFS('Supply planning data'!$G:$G,'Supply planning data'!$D:$D,DataViz!$B44,'Supply planning data'!$C:$C,DataViz!BK$34),
IF(BK$35="Dose 2",SUMIFS('Supply planning data'!$H:$H,'Supply planning data'!$D:$D,DataViz!$B44,'Supply planning data'!$C:$C,DataViz!BK$34),
IF(BK$35="Wastage",SUMIFS('Supply planning data'!$K:$K,'Supply planning data'!$D:$D,DataViz!$B44,'Supply planning data'!$C:$C,DataViz!BK$34),
IF(BK$35="Additional",SUMIFS('Supply planning data'!$I:$I,'Supply planning data'!$D:$D,DataViz!$B44,'Supply planning data'!$C:$C,DataViz!BK$34),
0))))</f>
        <v>0</v>
      </c>
      <c r="BL44" s="22">
        <f>IF(BL$35="Dose 1",SUMIFS('Supply planning data'!$G:$G,'Supply planning data'!$D:$D,DataViz!$B44,'Supply planning data'!$C:$C,DataViz!BL$34),
IF(BL$35="Dose 2",SUMIFS('Supply planning data'!$H:$H,'Supply planning data'!$D:$D,DataViz!$B44,'Supply planning data'!$C:$C,DataViz!BL$34),
IF(BL$35="Wastage",SUMIFS('Supply planning data'!$K:$K,'Supply planning data'!$D:$D,DataViz!$B44,'Supply planning data'!$C:$C,DataViz!BL$34),
IF(BL$35="Additional",SUMIFS('Supply planning data'!$I:$I,'Supply planning data'!$D:$D,DataViz!$B44,'Supply planning data'!$C:$C,DataViz!BL$34),
0))))</f>
        <v>0</v>
      </c>
    </row>
    <row r="45" spans="1:64" x14ac:dyDescent="0.25">
      <c r="A45" s="20">
        <v>7</v>
      </c>
      <c r="B45" s="21">
        <f t="shared" si="15"/>
        <v>44470</v>
      </c>
      <c r="C45" s="22">
        <f>IF(VLOOKUP(Dashboard!$M$6,Start!$B$10:$E$12,4,FALSE)&gt;0,VLOOKUP(Dashboard!$M$6,Start!$B$10:$E$12,4, FALSE),VLOOKUP(Dashboard!$M$6,Start!$B$10:$E$12,3, FALSE))</f>
        <v>60000000</v>
      </c>
      <c r="D45" s="22">
        <f>SUMIFS('Supply planning data'!M:M,'Supply planning data'!D:D,"&lt;="&amp;DataViz!B45)</f>
        <v>835951</v>
      </c>
      <c r="E45" s="22">
        <f>IF(E$35="Dose 1",SUMIFS('Supply planning data'!$G:$G,'Supply planning data'!$D:$D,DataViz!$B45,'Supply planning data'!$C:$C,DataViz!E$34),
IF(E$35="Dose 2",SUMIFS('Supply planning data'!$H:$H,'Supply planning data'!$D:$D,DataViz!$B45,'Supply planning data'!$C:$C,DataViz!E$34),
IF(E$35="Wastage",SUMIFS('Supply planning data'!$K:$K,'Supply planning data'!$D:$D,DataViz!$B45,'Supply planning data'!$C:$C,DataViz!E$34),
IF(E$35="Additional",SUMIFS('Supply planning data'!$I:$I,'Supply planning data'!$D:$D,DataViz!$B45,'Supply planning data'!$C:$C,DataViz!E$34),
0))))</f>
        <v>59096</v>
      </c>
      <c r="F45" s="22">
        <f>IF(F$35="Dose 1",SUMIFS('Supply planning data'!$G:$G,'Supply planning data'!$D:$D,DataViz!$B45,'Supply planning data'!$C:$C,DataViz!F$34),
IF(F$35="Dose 2",SUMIFS('Supply planning data'!$H:$H,'Supply planning data'!$D:$D,DataViz!$B45,'Supply planning data'!$C:$C,DataViz!F$34),
IF(F$35="Wastage",SUMIFS('Supply planning data'!$K:$K,'Supply planning data'!$D:$D,DataViz!$B45,'Supply planning data'!$C:$C,DataViz!F$34),
IF(F$35="Additional",SUMIFS('Supply planning data'!$I:$I,'Supply planning data'!$D:$D,DataViz!$B45,'Supply planning data'!$C:$C,DataViz!F$34),
0))))</f>
        <v>56984</v>
      </c>
      <c r="G45" s="22">
        <f>IF(G$35="Dose 1",SUMIFS('Supply planning data'!$G:$G,'Supply planning data'!$D:$D,DataViz!$B45,'Supply planning data'!$C:$C,DataViz!G$34),
IF(G$35="Dose 2",SUMIFS('Supply planning data'!$H:$H,'Supply planning data'!$D:$D,DataViz!$B45,'Supply planning data'!$C:$C,DataViz!G$34),
IF(G$35="Wastage",SUMIFS('Supply planning data'!$K:$K,'Supply planning data'!$D:$D,DataViz!$B45,'Supply planning data'!$C:$C,DataViz!G$34),
IF(G$35="Additional",SUMIFS('Supply planning data'!$I:$I,'Supply planning data'!$D:$D,DataViz!$B45,'Supply planning data'!$C:$C,DataViz!G$34),
0))))</f>
        <v>0</v>
      </c>
      <c r="H45" s="22">
        <f>IF(H$35="Dose 1",SUMIFS('Supply planning data'!$G:$G,'Supply planning data'!$D:$D,DataViz!$B45,'Supply planning data'!$C:$C,DataViz!H$34),
IF(H$35="Dose 2",SUMIFS('Supply planning data'!$H:$H,'Supply planning data'!$D:$D,DataViz!$B45,'Supply planning data'!$C:$C,DataViz!H$34),
IF(H$35="Wastage",SUMIFS('Supply planning data'!$K:$K,'Supply planning data'!$D:$D,DataViz!$B45,'Supply planning data'!$C:$C,DataViz!H$34),
IF(H$35="Additional",SUMIFS('Supply planning data'!$I:$I,'Supply planning data'!$D:$D,DataViz!$B45,'Supply planning data'!$C:$C,DataViz!H$34),
0))))</f>
        <v>0</v>
      </c>
      <c r="I45" s="22">
        <f>IF(I$35="Dose 1",SUMIFS('Supply planning data'!$G:$G,'Supply planning data'!$D:$D,DataViz!$B45,'Supply planning data'!$C:$C,DataViz!I$34),
IF(I$35="Dose 2",SUMIFS('Supply planning data'!$H:$H,'Supply planning data'!$D:$D,DataViz!$B45,'Supply planning data'!$C:$C,DataViz!I$34),
IF(I$35="Wastage",SUMIFS('Supply planning data'!$K:$K,'Supply planning data'!$D:$D,DataViz!$B45,'Supply planning data'!$C:$C,DataViz!I$34),
IF(I$35="Additional",SUMIFS('Supply planning data'!$I:$I,'Supply planning data'!$D:$D,DataViz!$B45,'Supply planning data'!$C:$C,DataViz!I$34),
0))))</f>
        <v>166228</v>
      </c>
      <c r="J45" s="22">
        <f>IF(J$35="Dose 1",SUMIFS('Supply planning data'!$G:$G,'Supply planning data'!$D:$D,DataViz!$B45,'Supply planning data'!$C:$C,DataViz!J$34),
IF(J$35="Dose 2",SUMIFS('Supply planning data'!$H:$H,'Supply planning data'!$D:$D,DataViz!$B45,'Supply planning data'!$C:$C,DataViz!J$34),
IF(J$35="Wastage",SUMIFS('Supply planning data'!$K:$K,'Supply planning data'!$D:$D,DataViz!$B45,'Supply planning data'!$C:$C,DataViz!J$34),
IF(J$35="Additional",SUMIFS('Supply planning data'!$I:$I,'Supply planning data'!$D:$D,DataViz!$B45,'Supply planning data'!$C:$C,DataViz!J$34),
0))))</f>
        <v>0</v>
      </c>
      <c r="K45" s="22">
        <f>IF(K$35="Dose 1",SUMIFS('Supply planning data'!$G:$G,'Supply planning data'!$D:$D,DataViz!$B45,'Supply planning data'!$C:$C,DataViz!K$34),
IF(K$35="Dose 2",SUMIFS('Supply planning data'!$H:$H,'Supply planning data'!$D:$D,DataViz!$B45,'Supply planning data'!$C:$C,DataViz!K$34),
IF(K$35="Wastage",SUMIFS('Supply planning data'!$K:$K,'Supply planning data'!$D:$D,DataViz!$B45,'Supply planning data'!$C:$C,DataViz!K$34),
IF(K$35="Additional",SUMIFS('Supply planning data'!$I:$I,'Supply planning data'!$D:$D,DataViz!$B45,'Supply planning data'!$C:$C,DataViz!K$34),
0))))</f>
        <v>0</v>
      </c>
      <c r="L45" s="22">
        <f>IF(L$35="Dose 1",SUMIFS('Supply planning data'!$G:$G,'Supply planning data'!$D:$D,DataViz!$B45,'Supply planning data'!$C:$C,DataViz!L$34),
IF(L$35="Dose 2",SUMIFS('Supply planning data'!$H:$H,'Supply planning data'!$D:$D,DataViz!$B45,'Supply planning data'!$C:$C,DataViz!L$34),
IF(L$35="Wastage",SUMIFS('Supply planning data'!$K:$K,'Supply planning data'!$D:$D,DataViz!$B45,'Supply planning data'!$C:$C,DataViz!L$34),
IF(L$35="Additional",SUMIFS('Supply planning data'!$I:$I,'Supply planning data'!$D:$D,DataViz!$B45,'Supply planning data'!$C:$C,DataViz!L$34),
0))))</f>
        <v>0</v>
      </c>
      <c r="M45" s="22">
        <f>IF(M$35="Dose 1",SUMIFS('Supply planning data'!$G:$G,'Supply planning data'!$D:$D,DataViz!$B45,'Supply planning data'!$C:$C,DataViz!M$34),
IF(M$35="Dose 2",SUMIFS('Supply planning data'!$H:$H,'Supply planning data'!$D:$D,DataViz!$B45,'Supply planning data'!$C:$C,DataViz!M$34),
IF(M$35="Wastage",SUMIFS('Supply planning data'!$K:$K,'Supply planning data'!$D:$D,DataViz!$B45,'Supply planning data'!$C:$C,DataViz!M$34),
IF(M$35="Additional",SUMIFS('Supply planning data'!$I:$I,'Supply planning data'!$D:$D,DataViz!$B45,'Supply planning data'!$C:$C,DataViz!M$34),
0))))</f>
        <v>0</v>
      </c>
      <c r="N45" s="22">
        <f>IF(N$35="Dose 1",SUMIFS('Supply planning data'!$G:$G,'Supply planning data'!$D:$D,DataViz!$B45,'Supply planning data'!$C:$C,DataViz!N$34),
IF(N$35="Dose 2",SUMIFS('Supply planning data'!$H:$H,'Supply planning data'!$D:$D,DataViz!$B45,'Supply planning data'!$C:$C,DataViz!N$34),
IF(N$35="Wastage",SUMIFS('Supply planning data'!$K:$K,'Supply planning data'!$D:$D,DataViz!$B45,'Supply planning data'!$C:$C,DataViz!N$34),
IF(N$35="Additional",SUMIFS('Supply planning data'!$I:$I,'Supply planning data'!$D:$D,DataViz!$B45,'Supply planning data'!$C:$C,DataViz!N$34),
0))))</f>
        <v>0</v>
      </c>
      <c r="O45" s="22">
        <f>IF(O$35="Dose 1",SUMIFS('Supply planning data'!$G:$G,'Supply planning data'!$D:$D,DataViz!$B45,'Supply planning data'!$C:$C,DataViz!O$34),
IF(O$35="Dose 2",SUMIFS('Supply planning data'!$H:$H,'Supply planning data'!$D:$D,DataViz!$B45,'Supply planning data'!$C:$C,DataViz!O$34),
IF(O$35="Wastage",SUMIFS('Supply planning data'!$K:$K,'Supply planning data'!$D:$D,DataViz!$B45,'Supply planning data'!$C:$C,DataViz!O$34),
IF(O$35="Additional",SUMIFS('Supply planning data'!$I:$I,'Supply planning data'!$D:$D,DataViz!$B45,'Supply planning data'!$C:$C,DataViz!O$34),
0))))</f>
        <v>0</v>
      </c>
      <c r="P45" s="22">
        <f>IF(P$35="Dose 1",SUMIFS('Supply planning data'!$G:$G,'Supply planning data'!$D:$D,DataViz!$B45,'Supply planning data'!$C:$C,DataViz!P$34),
IF(P$35="Dose 2",SUMIFS('Supply planning data'!$H:$H,'Supply planning data'!$D:$D,DataViz!$B45,'Supply planning data'!$C:$C,DataViz!P$34),
IF(P$35="Wastage",SUMIFS('Supply planning data'!$K:$K,'Supply planning data'!$D:$D,DataViz!$B45,'Supply planning data'!$C:$C,DataViz!P$34),
IF(P$35="Additional",SUMIFS('Supply planning data'!$I:$I,'Supply planning data'!$D:$D,DataViz!$B45,'Supply planning data'!$C:$C,DataViz!P$34),
0))))</f>
        <v>0</v>
      </c>
      <c r="Q45" s="22">
        <f>IF(Q$35="Dose 1",SUMIFS('Supply planning data'!$G:$G,'Supply planning data'!$D:$D,DataViz!$B45,'Supply planning data'!$C:$C,DataViz!Q$34),
IF(Q$35="Dose 2",SUMIFS('Supply planning data'!$H:$H,'Supply planning data'!$D:$D,DataViz!$B45,'Supply planning data'!$C:$C,DataViz!Q$34),
IF(Q$35="Wastage",SUMIFS('Supply planning data'!$K:$K,'Supply planning data'!$D:$D,DataViz!$B45,'Supply planning data'!$C:$C,DataViz!Q$34),
IF(Q$35="Additional",SUMIFS('Supply planning data'!$I:$I,'Supply planning data'!$D:$D,DataViz!$B45,'Supply planning data'!$C:$C,DataViz!Q$34),
0))))</f>
        <v>0</v>
      </c>
      <c r="R45" s="22">
        <f>IF(R$35="Dose 1",SUMIFS('Supply planning data'!$G:$G,'Supply planning data'!$D:$D,DataViz!$B45,'Supply planning data'!$C:$C,DataViz!R$34),
IF(R$35="Dose 2",SUMIFS('Supply planning data'!$H:$H,'Supply planning data'!$D:$D,DataViz!$B45,'Supply planning data'!$C:$C,DataViz!R$34),
IF(R$35="Wastage",SUMIFS('Supply planning data'!$K:$K,'Supply planning data'!$D:$D,DataViz!$B45,'Supply planning data'!$C:$C,DataViz!R$34),
IF(R$35="Additional",SUMIFS('Supply planning data'!$I:$I,'Supply planning data'!$D:$D,DataViz!$B45,'Supply planning data'!$C:$C,DataViz!R$34),
0))))</f>
        <v>0</v>
      </c>
      <c r="S45" s="22">
        <f>IF(S$35="Dose 1",SUMIFS('Supply planning data'!$G:$G,'Supply planning data'!$D:$D,DataViz!$B45,'Supply planning data'!$C:$C,DataViz!S$34),
IF(S$35="Dose 2",SUMIFS('Supply planning data'!$H:$H,'Supply planning data'!$D:$D,DataViz!$B45,'Supply planning data'!$C:$C,DataViz!S$34),
IF(S$35="Wastage",SUMIFS('Supply planning data'!$K:$K,'Supply planning data'!$D:$D,DataViz!$B45,'Supply planning data'!$C:$C,DataViz!S$34),
IF(S$35="Additional",SUMIFS('Supply planning data'!$I:$I,'Supply planning data'!$D:$D,DataViz!$B45,'Supply planning data'!$C:$C,DataViz!S$34),
0))))</f>
        <v>0</v>
      </c>
      <c r="T45" s="22">
        <f>IF(T$35="Dose 1",SUMIFS('Supply planning data'!$G:$G,'Supply planning data'!$D:$D,DataViz!$B45,'Supply planning data'!$C:$C,DataViz!T$34),
IF(T$35="Dose 2",SUMIFS('Supply planning data'!$H:$H,'Supply planning data'!$D:$D,DataViz!$B45,'Supply planning data'!$C:$C,DataViz!T$34),
IF(T$35="Wastage",SUMIFS('Supply planning data'!$K:$K,'Supply planning data'!$D:$D,DataViz!$B45,'Supply planning data'!$C:$C,DataViz!T$34),
IF(T$35="Additional",SUMIFS('Supply planning data'!$I:$I,'Supply planning data'!$D:$D,DataViz!$B45,'Supply planning data'!$C:$C,DataViz!T$34),
0))))</f>
        <v>0</v>
      </c>
      <c r="U45" s="22">
        <f>IF(U$35="Dose 1",SUMIFS('Supply planning data'!$G:$G,'Supply planning data'!$D:$D,DataViz!$B45,'Supply planning data'!$C:$C,DataViz!U$34),
IF(U$35="Dose 2",SUMIFS('Supply planning data'!$H:$H,'Supply planning data'!$D:$D,DataViz!$B45,'Supply planning data'!$C:$C,DataViz!U$34),
IF(U$35="Wastage",SUMIFS('Supply planning data'!$K:$K,'Supply planning data'!$D:$D,DataViz!$B45,'Supply planning data'!$C:$C,DataViz!U$34),
IF(U$35="Additional",SUMIFS('Supply planning data'!$I:$I,'Supply planning data'!$D:$D,DataViz!$B45,'Supply planning data'!$C:$C,DataViz!U$34),
0))))</f>
        <v>0</v>
      </c>
      <c r="V45" s="22">
        <f>IF(V$35="Dose 1",SUMIFS('Supply planning data'!$G:$G,'Supply planning data'!$D:$D,DataViz!$B45,'Supply planning data'!$C:$C,DataViz!V$34),
IF(V$35="Dose 2",SUMIFS('Supply planning data'!$H:$H,'Supply planning data'!$D:$D,DataViz!$B45,'Supply planning data'!$C:$C,DataViz!V$34),
IF(V$35="Wastage",SUMIFS('Supply planning data'!$K:$K,'Supply planning data'!$D:$D,DataViz!$B45,'Supply planning data'!$C:$C,DataViz!V$34),
IF(V$35="Additional",SUMIFS('Supply planning data'!$I:$I,'Supply planning data'!$D:$D,DataViz!$B45,'Supply planning data'!$C:$C,DataViz!V$34),
0))))</f>
        <v>0</v>
      </c>
      <c r="W45" s="22">
        <f>IF(W$35="Dose 1",SUMIFS('Supply planning data'!$G:$G,'Supply planning data'!$D:$D,DataViz!$B45,'Supply planning data'!$C:$C,DataViz!W$34),
IF(W$35="Dose 2",SUMIFS('Supply planning data'!$H:$H,'Supply planning data'!$D:$D,DataViz!$B45,'Supply planning data'!$C:$C,DataViz!W$34),
IF(W$35="Wastage",SUMIFS('Supply planning data'!$K:$K,'Supply planning data'!$D:$D,DataViz!$B45,'Supply planning data'!$C:$C,DataViz!W$34),
IF(W$35="Additional",SUMIFS('Supply planning data'!$I:$I,'Supply planning data'!$D:$D,DataViz!$B45,'Supply planning data'!$C:$C,DataViz!W$34),
0))))</f>
        <v>0</v>
      </c>
      <c r="X45" s="22">
        <f>IF(X$35="Dose 1",SUMIFS('Supply planning data'!$G:$G,'Supply planning data'!$D:$D,DataViz!$B45,'Supply planning data'!$C:$C,DataViz!X$34),
IF(X$35="Dose 2",SUMIFS('Supply planning data'!$H:$H,'Supply planning data'!$D:$D,DataViz!$B45,'Supply planning data'!$C:$C,DataViz!X$34),
IF(X$35="Wastage",SUMIFS('Supply planning data'!$K:$K,'Supply planning data'!$D:$D,DataViz!$B45,'Supply planning data'!$C:$C,DataViz!X$34),
IF(X$35="Additional",SUMIFS('Supply planning data'!$I:$I,'Supply planning data'!$D:$D,DataViz!$B45,'Supply planning data'!$C:$C,DataViz!X$34),
0))))</f>
        <v>0</v>
      </c>
      <c r="Y45" s="22">
        <f>IF(Y$35="Dose 1",SUMIFS('Supply planning data'!$G:$G,'Supply planning data'!$D:$D,DataViz!$B45,'Supply planning data'!$C:$C,DataViz!Y$34),
IF(Y$35="Dose 2",SUMIFS('Supply planning data'!$H:$H,'Supply planning data'!$D:$D,DataViz!$B45,'Supply planning data'!$C:$C,DataViz!Y$34),
IF(Y$35="Wastage",SUMIFS('Supply planning data'!$K:$K,'Supply planning data'!$D:$D,DataViz!$B45,'Supply planning data'!$C:$C,DataViz!Y$34),
IF(Y$35="Additional",SUMIFS('Supply planning data'!$I:$I,'Supply planning data'!$D:$D,DataViz!$B45,'Supply planning data'!$C:$C,DataViz!Y$34),
0))))</f>
        <v>0</v>
      </c>
      <c r="Z45" s="22">
        <f>IF(Z$35="Dose 1",SUMIFS('Supply planning data'!$G:$G,'Supply planning data'!$D:$D,DataViz!$B45,'Supply planning data'!$C:$C,DataViz!Z$34),
IF(Z$35="Dose 2",SUMIFS('Supply planning data'!$H:$H,'Supply planning data'!$D:$D,DataViz!$B45,'Supply planning data'!$C:$C,DataViz!Z$34),
IF(Z$35="Wastage",SUMIFS('Supply planning data'!$K:$K,'Supply planning data'!$D:$D,DataViz!$B45,'Supply planning data'!$C:$C,DataViz!Z$34),
IF(Z$35="Additional",SUMIFS('Supply planning data'!$I:$I,'Supply planning data'!$D:$D,DataViz!$B45,'Supply planning data'!$C:$C,DataViz!Z$34),
0))))</f>
        <v>0</v>
      </c>
      <c r="AA45" s="22">
        <f>IF(AA$35="Dose 1",SUMIFS('Supply planning data'!$G:$G,'Supply planning data'!$D:$D,DataViz!$B45,'Supply planning data'!$C:$C,DataViz!AA$34),
IF(AA$35="Dose 2",SUMIFS('Supply planning data'!$H:$H,'Supply planning data'!$D:$D,DataViz!$B45,'Supply planning data'!$C:$C,DataViz!AA$34),
IF(AA$35="Wastage",SUMIFS('Supply planning data'!$K:$K,'Supply planning data'!$D:$D,DataViz!$B45,'Supply planning data'!$C:$C,DataViz!AA$34),
IF(AA$35="Additional",SUMIFS('Supply planning data'!$I:$I,'Supply planning data'!$D:$D,DataViz!$B45,'Supply planning data'!$C:$C,DataViz!AA$34),
0))))</f>
        <v>0</v>
      </c>
      <c r="AB45" s="22">
        <f>IF(AB$35="Dose 1",SUMIFS('Supply planning data'!$G:$G,'Supply planning data'!$D:$D,DataViz!$B45,'Supply planning data'!$C:$C,DataViz!AB$34),
IF(AB$35="Dose 2",SUMIFS('Supply planning data'!$H:$H,'Supply planning data'!$D:$D,DataViz!$B45,'Supply planning data'!$C:$C,DataViz!AB$34),
IF(AB$35="Wastage",SUMIFS('Supply planning data'!$K:$K,'Supply planning data'!$D:$D,DataViz!$B45,'Supply planning data'!$C:$C,DataViz!AB$34),
IF(AB$35="Additional",SUMIFS('Supply planning data'!$I:$I,'Supply planning data'!$D:$D,DataViz!$B45,'Supply planning data'!$C:$C,DataViz!AB$34),
0))))</f>
        <v>0</v>
      </c>
      <c r="AC45" s="22">
        <f>IF(AC$35="Dose 1",SUMIFS('Supply planning data'!$G:$G,'Supply planning data'!$D:$D,DataViz!$B45,'Supply planning data'!$C:$C,DataViz!AC$34),
IF(AC$35="Dose 2",SUMIFS('Supply planning data'!$H:$H,'Supply planning data'!$D:$D,DataViz!$B45,'Supply planning data'!$C:$C,DataViz!AC$34),
IF(AC$35="Wastage",SUMIFS('Supply planning data'!$K:$K,'Supply planning data'!$D:$D,DataViz!$B45,'Supply planning data'!$C:$C,DataViz!AC$34),
IF(AC$35="Additional",SUMIFS('Supply planning data'!$I:$I,'Supply planning data'!$D:$D,DataViz!$B45,'Supply planning data'!$C:$C,DataViz!AC$34),
0))))</f>
        <v>0</v>
      </c>
      <c r="AD45" s="22">
        <f>IF(AD$35="Dose 1",SUMIFS('Supply planning data'!$G:$G,'Supply planning data'!$D:$D,DataViz!$B45,'Supply planning data'!$C:$C,DataViz!AD$34),
IF(AD$35="Dose 2",SUMIFS('Supply planning data'!$H:$H,'Supply planning data'!$D:$D,DataViz!$B45,'Supply planning data'!$C:$C,DataViz!AD$34),
IF(AD$35="Wastage",SUMIFS('Supply planning data'!$K:$K,'Supply planning data'!$D:$D,DataViz!$B45,'Supply planning data'!$C:$C,DataViz!AD$34),
IF(AD$35="Additional",SUMIFS('Supply planning data'!$I:$I,'Supply planning data'!$D:$D,DataViz!$B45,'Supply planning data'!$C:$C,DataViz!AD$34),
0))))</f>
        <v>0</v>
      </c>
      <c r="AE45" s="22">
        <f>IF(AE$35="Dose 1",SUMIFS('Supply planning data'!$G:$G,'Supply planning data'!$D:$D,DataViz!$B45,'Supply planning data'!$C:$C,DataViz!AE$34),
IF(AE$35="Dose 2",SUMIFS('Supply planning data'!$H:$H,'Supply planning data'!$D:$D,DataViz!$B45,'Supply planning data'!$C:$C,DataViz!AE$34),
IF(AE$35="Wastage",SUMIFS('Supply planning data'!$K:$K,'Supply planning data'!$D:$D,DataViz!$B45,'Supply planning data'!$C:$C,DataViz!AE$34),
IF(AE$35="Additional",SUMIFS('Supply planning data'!$I:$I,'Supply planning data'!$D:$D,DataViz!$B45,'Supply planning data'!$C:$C,DataViz!AE$34),
0))))</f>
        <v>0</v>
      </c>
      <c r="AF45" s="22">
        <f>IF(AF$35="Dose 1",SUMIFS('Supply planning data'!$G:$G,'Supply planning data'!$D:$D,DataViz!$B45,'Supply planning data'!$C:$C,DataViz!AF$34),
IF(AF$35="Dose 2",SUMIFS('Supply planning data'!$H:$H,'Supply planning data'!$D:$D,DataViz!$B45,'Supply planning data'!$C:$C,DataViz!AF$34),
IF(AF$35="Wastage",SUMIFS('Supply planning data'!$K:$K,'Supply planning data'!$D:$D,DataViz!$B45,'Supply planning data'!$C:$C,DataViz!AF$34),
IF(AF$35="Additional",SUMIFS('Supply planning data'!$I:$I,'Supply planning data'!$D:$D,DataViz!$B45,'Supply planning data'!$C:$C,DataViz!AF$34),
0))))</f>
        <v>0</v>
      </c>
      <c r="AG45" s="22">
        <f>IF(AG$35="Dose 1",SUMIFS('Supply planning data'!$G:$G,'Supply planning data'!$D:$D,DataViz!$B45,'Supply planning data'!$C:$C,DataViz!AG$34),
IF(AG$35="Dose 2",SUMIFS('Supply planning data'!$H:$H,'Supply planning data'!$D:$D,DataViz!$B45,'Supply planning data'!$C:$C,DataViz!AG$34),
IF(AG$35="Wastage",SUMIFS('Supply planning data'!$K:$K,'Supply planning data'!$D:$D,DataViz!$B45,'Supply planning data'!$C:$C,DataViz!AG$34),
IF(AG$35="Additional",SUMIFS('Supply planning data'!$I:$I,'Supply planning data'!$D:$D,DataViz!$B45,'Supply planning data'!$C:$C,DataViz!AG$34),
0))))</f>
        <v>0</v>
      </c>
      <c r="AH45" s="22">
        <f>IF(AH$35="Dose 1",SUMIFS('Supply planning data'!$G:$G,'Supply planning data'!$D:$D,DataViz!$B45,'Supply planning data'!$C:$C,DataViz!AH$34),
IF(AH$35="Dose 2",SUMIFS('Supply planning data'!$H:$H,'Supply planning data'!$D:$D,DataViz!$B45,'Supply planning data'!$C:$C,DataViz!AH$34),
IF(AH$35="Wastage",SUMIFS('Supply planning data'!$K:$K,'Supply planning data'!$D:$D,DataViz!$B45,'Supply planning data'!$C:$C,DataViz!AH$34),
IF(AH$35="Additional",SUMIFS('Supply planning data'!$I:$I,'Supply planning data'!$D:$D,DataViz!$B45,'Supply planning data'!$C:$C,DataViz!AH$34),
0))))</f>
        <v>0</v>
      </c>
      <c r="AI45" s="22">
        <f>IF(AI$35="Dose 1",SUMIFS('Supply planning data'!$G:$G,'Supply planning data'!$D:$D,DataViz!$B45,'Supply planning data'!$C:$C,DataViz!AI$34),
IF(AI$35="Dose 2",SUMIFS('Supply planning data'!$H:$H,'Supply planning data'!$D:$D,DataViz!$B45,'Supply planning data'!$C:$C,DataViz!AI$34),
IF(AI$35="Wastage",SUMIFS('Supply planning data'!$K:$K,'Supply planning data'!$D:$D,DataViz!$B45,'Supply planning data'!$C:$C,DataViz!AI$34),
IF(AI$35="Additional",SUMIFS('Supply planning data'!$I:$I,'Supply planning data'!$D:$D,DataViz!$B45,'Supply planning data'!$C:$C,DataViz!AI$34),
0))))</f>
        <v>0</v>
      </c>
      <c r="AJ45" s="22">
        <f>IF(AJ$35="Dose 1",SUMIFS('Supply planning data'!$G:$G,'Supply planning data'!$D:$D,DataViz!$B45,'Supply planning data'!$C:$C,DataViz!AJ$34),
IF(AJ$35="Dose 2",SUMIFS('Supply planning data'!$H:$H,'Supply planning data'!$D:$D,DataViz!$B45,'Supply planning data'!$C:$C,DataViz!AJ$34),
IF(AJ$35="Wastage",SUMIFS('Supply planning data'!$K:$K,'Supply planning data'!$D:$D,DataViz!$B45,'Supply planning data'!$C:$C,DataViz!AJ$34),
IF(AJ$35="Additional",SUMIFS('Supply planning data'!$I:$I,'Supply planning data'!$D:$D,DataViz!$B45,'Supply planning data'!$C:$C,DataViz!AJ$34),
0))))</f>
        <v>0</v>
      </c>
      <c r="AK45" s="22">
        <f>IF(AK$35="Dose 1",SUMIFS('Supply planning data'!$G:$G,'Supply planning data'!$D:$D,DataViz!$B45,'Supply planning data'!$C:$C,DataViz!AK$34),
IF(AK$35="Dose 2",SUMIFS('Supply planning data'!$H:$H,'Supply planning data'!$D:$D,DataViz!$B45,'Supply planning data'!$C:$C,DataViz!AK$34),
IF(AK$35="Wastage",SUMIFS('Supply planning data'!$K:$K,'Supply planning data'!$D:$D,DataViz!$B45,'Supply planning data'!$C:$C,DataViz!AK$34),
IF(AK$35="Additional",SUMIFS('Supply planning data'!$I:$I,'Supply planning data'!$D:$D,DataViz!$B45,'Supply planning data'!$C:$C,DataViz!AK$34),
0))))</f>
        <v>0</v>
      </c>
      <c r="AL45" s="22">
        <f>IF(AL$35="Dose 1",SUMIFS('Supply planning data'!$G:$G,'Supply planning data'!$D:$D,DataViz!$B45,'Supply planning data'!$C:$C,DataViz!AL$34),
IF(AL$35="Dose 2",SUMIFS('Supply planning data'!$H:$H,'Supply planning data'!$D:$D,DataViz!$B45,'Supply planning data'!$C:$C,DataViz!AL$34),
IF(AL$35="Wastage",SUMIFS('Supply planning data'!$K:$K,'Supply planning data'!$D:$D,DataViz!$B45,'Supply planning data'!$C:$C,DataViz!AL$34),
IF(AL$35="Additional",SUMIFS('Supply planning data'!$I:$I,'Supply planning data'!$D:$D,DataViz!$B45,'Supply planning data'!$C:$C,DataViz!AL$34),
0))))</f>
        <v>0</v>
      </c>
      <c r="AM45" s="22">
        <f>IF(AM$35="Dose 1",SUMIFS('Supply planning data'!$G:$G,'Supply planning data'!$D:$D,DataViz!$B45,'Supply planning data'!$C:$C,DataViz!AM$34),
IF(AM$35="Dose 2",SUMIFS('Supply planning data'!$H:$H,'Supply planning data'!$D:$D,DataViz!$B45,'Supply planning data'!$C:$C,DataViz!AM$34),
IF(AM$35="Wastage",SUMIFS('Supply planning data'!$K:$K,'Supply planning data'!$D:$D,DataViz!$B45,'Supply planning data'!$C:$C,DataViz!AM$34),
IF(AM$35="Additional",SUMIFS('Supply planning data'!$I:$I,'Supply planning data'!$D:$D,DataViz!$B45,'Supply planning data'!$C:$C,DataViz!AM$34),
0))))</f>
        <v>0</v>
      </c>
      <c r="AN45" s="22">
        <f>IF(AN$35="Dose 1",SUMIFS('Supply planning data'!$G:$G,'Supply planning data'!$D:$D,DataViz!$B45,'Supply planning data'!$C:$C,DataViz!AN$34),
IF(AN$35="Dose 2",SUMIFS('Supply planning data'!$H:$H,'Supply planning data'!$D:$D,DataViz!$B45,'Supply planning data'!$C:$C,DataViz!AN$34),
IF(AN$35="Wastage",SUMIFS('Supply planning data'!$K:$K,'Supply planning data'!$D:$D,DataViz!$B45,'Supply planning data'!$C:$C,DataViz!AN$34),
IF(AN$35="Additional",SUMIFS('Supply planning data'!$I:$I,'Supply planning data'!$D:$D,DataViz!$B45,'Supply planning data'!$C:$C,DataViz!AN$34),
0))))</f>
        <v>0</v>
      </c>
      <c r="AO45" s="22">
        <f>IF(AO$35="Dose 1",SUMIFS('Supply planning data'!$G:$G,'Supply planning data'!$D:$D,DataViz!$B45,'Supply planning data'!$C:$C,DataViz!AO$34),
IF(AO$35="Dose 2",SUMIFS('Supply planning data'!$H:$H,'Supply planning data'!$D:$D,DataViz!$B45,'Supply planning data'!$C:$C,DataViz!AO$34),
IF(AO$35="Wastage",SUMIFS('Supply planning data'!$K:$K,'Supply planning data'!$D:$D,DataViz!$B45,'Supply planning data'!$C:$C,DataViz!AO$34),
IF(AO$35="Additional",SUMIFS('Supply planning data'!$I:$I,'Supply planning data'!$D:$D,DataViz!$B45,'Supply planning data'!$C:$C,DataViz!AO$34),
0))))</f>
        <v>0</v>
      </c>
      <c r="AP45" s="22">
        <f>IF(AP$35="Dose 1",SUMIFS('Supply planning data'!$G:$G,'Supply planning data'!$D:$D,DataViz!$B45,'Supply planning data'!$C:$C,DataViz!AP$34),
IF(AP$35="Dose 2",SUMIFS('Supply planning data'!$H:$H,'Supply planning data'!$D:$D,DataViz!$B45,'Supply planning data'!$C:$C,DataViz!AP$34),
IF(AP$35="Wastage",SUMIFS('Supply planning data'!$K:$K,'Supply planning data'!$D:$D,DataViz!$B45,'Supply planning data'!$C:$C,DataViz!AP$34),
IF(AP$35="Additional",SUMIFS('Supply planning data'!$I:$I,'Supply planning data'!$D:$D,DataViz!$B45,'Supply planning data'!$C:$C,DataViz!AP$34),
0))))</f>
        <v>0</v>
      </c>
      <c r="AQ45" s="22">
        <f>IF(AQ$35="Dose 1",SUMIFS('Supply planning data'!$G:$G,'Supply planning data'!$D:$D,DataViz!$B45,'Supply planning data'!$C:$C,DataViz!AQ$34),
IF(AQ$35="Dose 2",SUMIFS('Supply planning data'!$H:$H,'Supply planning data'!$D:$D,DataViz!$B45,'Supply planning data'!$C:$C,DataViz!AQ$34),
IF(AQ$35="Wastage",SUMIFS('Supply planning data'!$K:$K,'Supply planning data'!$D:$D,DataViz!$B45,'Supply planning data'!$C:$C,DataViz!AQ$34),
IF(AQ$35="Additional",SUMIFS('Supply planning data'!$I:$I,'Supply planning data'!$D:$D,DataViz!$B45,'Supply planning data'!$C:$C,DataViz!AQ$34),
0))))</f>
        <v>0</v>
      </c>
      <c r="AR45" s="22">
        <f>IF(AR$35="Dose 1",SUMIFS('Supply planning data'!$G:$G,'Supply planning data'!$D:$D,DataViz!$B45,'Supply planning data'!$C:$C,DataViz!AR$34),
IF(AR$35="Dose 2",SUMIFS('Supply planning data'!$H:$H,'Supply planning data'!$D:$D,DataViz!$B45,'Supply planning data'!$C:$C,DataViz!AR$34),
IF(AR$35="Wastage",SUMIFS('Supply planning data'!$K:$K,'Supply planning data'!$D:$D,DataViz!$B45,'Supply planning data'!$C:$C,DataViz!AR$34),
IF(AR$35="Additional",SUMIFS('Supply planning data'!$I:$I,'Supply planning data'!$D:$D,DataViz!$B45,'Supply planning data'!$C:$C,DataViz!AR$34),
0))))</f>
        <v>0</v>
      </c>
      <c r="AS45" s="22">
        <f>IF(AS$35="Dose 1",SUMIFS('Supply planning data'!$G:$G,'Supply planning data'!$D:$D,DataViz!$B45,'Supply planning data'!$C:$C,DataViz!AS$34),
IF(AS$35="Dose 2",SUMIFS('Supply planning data'!$H:$H,'Supply planning data'!$D:$D,DataViz!$B45,'Supply planning data'!$C:$C,DataViz!AS$34),
IF(AS$35="Wastage",SUMIFS('Supply planning data'!$K:$K,'Supply planning data'!$D:$D,DataViz!$B45,'Supply planning data'!$C:$C,DataViz!AS$34),
IF(AS$35="Additional",SUMIFS('Supply planning data'!$I:$I,'Supply planning data'!$D:$D,DataViz!$B45,'Supply planning data'!$C:$C,DataViz!AS$34),
0))))</f>
        <v>0</v>
      </c>
      <c r="AT45" s="22">
        <f>IF(AT$35="Dose 1",SUMIFS('Supply planning data'!$G:$G,'Supply planning data'!$D:$D,DataViz!$B45,'Supply planning data'!$C:$C,DataViz!AT$34),
IF(AT$35="Dose 2",SUMIFS('Supply planning data'!$H:$H,'Supply planning data'!$D:$D,DataViz!$B45,'Supply planning data'!$C:$C,DataViz!AT$34),
IF(AT$35="Wastage",SUMIFS('Supply planning data'!$K:$K,'Supply planning data'!$D:$D,DataViz!$B45,'Supply planning data'!$C:$C,DataViz!AT$34),
IF(AT$35="Additional",SUMIFS('Supply planning data'!$I:$I,'Supply planning data'!$D:$D,DataViz!$B45,'Supply planning data'!$C:$C,DataViz!AT$34),
0))))</f>
        <v>0</v>
      </c>
      <c r="AU45" s="22">
        <f>IF(AU$35="Dose 1",SUMIFS('Supply planning data'!$G:$G,'Supply planning data'!$D:$D,DataViz!$B45,'Supply planning data'!$C:$C,DataViz!AU$34),
IF(AU$35="Dose 2",SUMIFS('Supply planning data'!$H:$H,'Supply planning data'!$D:$D,DataViz!$B45,'Supply planning data'!$C:$C,DataViz!AU$34),
IF(AU$35="Wastage",SUMIFS('Supply planning data'!$K:$K,'Supply planning data'!$D:$D,DataViz!$B45,'Supply planning data'!$C:$C,DataViz!AU$34),
IF(AU$35="Additional",SUMIFS('Supply planning data'!$I:$I,'Supply planning data'!$D:$D,DataViz!$B45,'Supply planning data'!$C:$C,DataViz!AU$34),
0))))</f>
        <v>0</v>
      </c>
      <c r="AV45" s="22">
        <f>IF(AV$35="Dose 1",SUMIFS('Supply planning data'!$G:$G,'Supply planning data'!$D:$D,DataViz!$B45,'Supply planning data'!$C:$C,DataViz!AV$34),
IF(AV$35="Dose 2",SUMIFS('Supply planning data'!$H:$H,'Supply planning data'!$D:$D,DataViz!$B45,'Supply planning data'!$C:$C,DataViz!AV$34),
IF(AV$35="Wastage",SUMIFS('Supply planning data'!$K:$K,'Supply planning data'!$D:$D,DataViz!$B45,'Supply planning data'!$C:$C,DataViz!AV$34),
IF(AV$35="Additional",SUMIFS('Supply planning data'!$I:$I,'Supply planning data'!$D:$D,DataViz!$B45,'Supply planning data'!$C:$C,DataViz!AV$34),
0))))</f>
        <v>0</v>
      </c>
      <c r="AW45" s="22">
        <f>IF(AW$35="Dose 1",SUMIFS('Supply planning data'!$G:$G,'Supply planning data'!$D:$D,DataViz!$B45,'Supply planning data'!$C:$C,DataViz!AW$34),
IF(AW$35="Dose 2",SUMIFS('Supply planning data'!$H:$H,'Supply planning data'!$D:$D,DataViz!$B45,'Supply planning data'!$C:$C,DataViz!AW$34),
IF(AW$35="Wastage",SUMIFS('Supply planning data'!$K:$K,'Supply planning data'!$D:$D,DataViz!$B45,'Supply planning data'!$C:$C,DataViz!AW$34),
IF(AW$35="Additional",SUMIFS('Supply planning data'!$I:$I,'Supply planning data'!$D:$D,DataViz!$B45,'Supply planning data'!$C:$C,DataViz!AW$34),
0))))</f>
        <v>0</v>
      </c>
      <c r="AX45" s="22">
        <f>IF(AX$35="Dose 1",SUMIFS('Supply planning data'!$G:$G,'Supply planning data'!$D:$D,DataViz!$B45,'Supply planning data'!$C:$C,DataViz!AX$34),
IF(AX$35="Dose 2",SUMIFS('Supply planning data'!$H:$H,'Supply planning data'!$D:$D,DataViz!$B45,'Supply planning data'!$C:$C,DataViz!AX$34),
IF(AX$35="Wastage",SUMIFS('Supply planning data'!$K:$K,'Supply planning data'!$D:$D,DataViz!$B45,'Supply planning data'!$C:$C,DataViz!AX$34),
IF(AX$35="Additional",SUMIFS('Supply planning data'!$I:$I,'Supply planning data'!$D:$D,DataViz!$B45,'Supply planning data'!$C:$C,DataViz!AX$34),
0))))</f>
        <v>0</v>
      </c>
      <c r="AY45" s="22">
        <f>IF(AY$35="Dose 1",SUMIFS('Supply planning data'!$G:$G,'Supply planning data'!$D:$D,DataViz!$B45,'Supply planning data'!$C:$C,DataViz!AY$34),
IF(AY$35="Dose 2",SUMIFS('Supply planning data'!$H:$H,'Supply planning data'!$D:$D,DataViz!$B45,'Supply planning data'!$C:$C,DataViz!AY$34),
IF(AY$35="Wastage",SUMIFS('Supply planning data'!$K:$K,'Supply planning data'!$D:$D,DataViz!$B45,'Supply planning data'!$C:$C,DataViz!AY$34),
IF(AY$35="Additional",SUMIFS('Supply planning data'!$I:$I,'Supply planning data'!$D:$D,DataViz!$B45,'Supply planning data'!$C:$C,DataViz!AY$34),
0))))</f>
        <v>0</v>
      </c>
      <c r="AZ45" s="22">
        <f>IF(AZ$35="Dose 1",SUMIFS('Supply planning data'!$G:$G,'Supply planning data'!$D:$D,DataViz!$B45,'Supply planning data'!$C:$C,DataViz!AZ$34),
IF(AZ$35="Dose 2",SUMIFS('Supply planning data'!$H:$H,'Supply planning data'!$D:$D,DataViz!$B45,'Supply planning data'!$C:$C,DataViz!AZ$34),
IF(AZ$35="Wastage",SUMIFS('Supply planning data'!$K:$K,'Supply planning data'!$D:$D,DataViz!$B45,'Supply planning data'!$C:$C,DataViz!AZ$34),
IF(AZ$35="Additional",SUMIFS('Supply planning data'!$I:$I,'Supply planning data'!$D:$D,DataViz!$B45,'Supply planning data'!$C:$C,DataViz!AZ$34),
0))))</f>
        <v>0</v>
      </c>
      <c r="BA45" s="22">
        <f>IF(BA$35="Dose 1",SUMIFS('Supply planning data'!$G:$G,'Supply planning data'!$D:$D,DataViz!$B45,'Supply planning data'!$C:$C,DataViz!BA$34),
IF(BA$35="Dose 2",SUMIFS('Supply planning data'!$H:$H,'Supply planning data'!$D:$D,DataViz!$B45,'Supply planning data'!$C:$C,DataViz!BA$34),
IF(BA$35="Wastage",SUMIFS('Supply planning data'!$K:$K,'Supply planning data'!$D:$D,DataViz!$B45,'Supply planning data'!$C:$C,DataViz!BA$34),
IF(BA$35="Additional",SUMIFS('Supply planning data'!$I:$I,'Supply planning data'!$D:$D,DataViz!$B45,'Supply planning data'!$C:$C,DataViz!BA$34),
0))))</f>
        <v>0</v>
      </c>
      <c r="BB45" s="22">
        <f>IF(BB$35="Dose 1",SUMIFS('Supply planning data'!$G:$G,'Supply planning data'!$D:$D,DataViz!$B45,'Supply planning data'!$C:$C,DataViz!BB$34),
IF(BB$35="Dose 2",SUMIFS('Supply planning data'!$H:$H,'Supply planning data'!$D:$D,DataViz!$B45,'Supply planning data'!$C:$C,DataViz!BB$34),
IF(BB$35="Wastage",SUMIFS('Supply planning data'!$K:$K,'Supply planning data'!$D:$D,DataViz!$B45,'Supply planning data'!$C:$C,DataViz!BB$34),
IF(BB$35="Additional",SUMIFS('Supply planning data'!$I:$I,'Supply planning data'!$D:$D,DataViz!$B45,'Supply planning data'!$C:$C,DataViz!BB$34),
0))))</f>
        <v>0</v>
      </c>
      <c r="BC45" s="22">
        <f>IF(BC$35="Dose 1",SUMIFS('Supply planning data'!$G:$G,'Supply planning data'!$D:$D,DataViz!$B45,'Supply planning data'!$C:$C,DataViz!BC$34),
IF(BC$35="Dose 2",SUMIFS('Supply planning data'!$H:$H,'Supply planning data'!$D:$D,DataViz!$B45,'Supply planning data'!$C:$C,DataViz!BC$34),
IF(BC$35="Wastage",SUMIFS('Supply planning data'!$K:$K,'Supply planning data'!$D:$D,DataViz!$B45,'Supply planning data'!$C:$C,DataViz!BC$34),
IF(BC$35="Additional",SUMIFS('Supply planning data'!$I:$I,'Supply planning data'!$D:$D,DataViz!$B45,'Supply planning data'!$C:$C,DataViz!BC$34),
0))))</f>
        <v>0</v>
      </c>
      <c r="BD45" s="22">
        <f>IF(BD$35="Dose 1",SUMIFS('Supply planning data'!$G:$G,'Supply planning data'!$D:$D,DataViz!$B45,'Supply planning data'!$C:$C,DataViz!BD$34),
IF(BD$35="Dose 2",SUMIFS('Supply planning data'!$H:$H,'Supply planning data'!$D:$D,DataViz!$B45,'Supply planning data'!$C:$C,DataViz!BD$34),
IF(BD$35="Wastage",SUMIFS('Supply planning data'!$K:$K,'Supply planning data'!$D:$D,DataViz!$B45,'Supply planning data'!$C:$C,DataViz!BD$34),
IF(BD$35="Additional",SUMIFS('Supply planning data'!$I:$I,'Supply planning data'!$D:$D,DataViz!$B45,'Supply planning data'!$C:$C,DataViz!BD$34),
0))))</f>
        <v>0</v>
      </c>
      <c r="BE45" s="22">
        <f>IF(BE$35="Dose 1",SUMIFS('Supply planning data'!$G:$G,'Supply planning data'!$D:$D,DataViz!$B45,'Supply planning data'!$C:$C,DataViz!BE$34),
IF(BE$35="Dose 2",SUMIFS('Supply planning data'!$H:$H,'Supply planning data'!$D:$D,DataViz!$B45,'Supply planning data'!$C:$C,DataViz!BE$34),
IF(BE$35="Wastage",SUMIFS('Supply planning data'!$K:$K,'Supply planning data'!$D:$D,DataViz!$B45,'Supply planning data'!$C:$C,DataViz!BE$34),
IF(BE$35="Additional",SUMIFS('Supply planning data'!$I:$I,'Supply planning data'!$D:$D,DataViz!$B45,'Supply planning data'!$C:$C,DataViz!BE$34),
0))))</f>
        <v>0</v>
      </c>
      <c r="BF45" s="22">
        <f>IF(BF$35="Dose 1",SUMIFS('Supply planning data'!$G:$G,'Supply planning data'!$D:$D,DataViz!$B45,'Supply planning data'!$C:$C,DataViz!BF$34),
IF(BF$35="Dose 2",SUMIFS('Supply planning data'!$H:$H,'Supply planning data'!$D:$D,DataViz!$B45,'Supply planning data'!$C:$C,DataViz!BF$34),
IF(BF$35="Wastage",SUMIFS('Supply planning data'!$K:$K,'Supply planning data'!$D:$D,DataViz!$B45,'Supply planning data'!$C:$C,DataViz!BF$34),
IF(BF$35="Additional",SUMIFS('Supply planning data'!$I:$I,'Supply planning data'!$D:$D,DataViz!$B45,'Supply planning data'!$C:$C,DataViz!BF$34),
0))))</f>
        <v>0</v>
      </c>
      <c r="BG45" s="22">
        <f>IF(BG$35="Dose 1",SUMIFS('Supply planning data'!$G:$G,'Supply planning data'!$D:$D,DataViz!$B45,'Supply planning data'!$C:$C,DataViz!BG$34),
IF(BG$35="Dose 2",SUMIFS('Supply planning data'!$H:$H,'Supply planning data'!$D:$D,DataViz!$B45,'Supply planning data'!$C:$C,DataViz!BG$34),
IF(BG$35="Wastage",SUMIFS('Supply planning data'!$K:$K,'Supply planning data'!$D:$D,DataViz!$B45,'Supply planning data'!$C:$C,DataViz!BG$34),
IF(BG$35="Additional",SUMIFS('Supply planning data'!$I:$I,'Supply planning data'!$D:$D,DataViz!$B45,'Supply planning data'!$C:$C,DataViz!BG$34),
0))))</f>
        <v>0</v>
      </c>
      <c r="BH45" s="22">
        <f>IF(BH$35="Dose 1",SUMIFS('Supply planning data'!$G:$G,'Supply planning data'!$D:$D,DataViz!$B45,'Supply planning data'!$C:$C,DataViz!BH$34),
IF(BH$35="Dose 2",SUMIFS('Supply planning data'!$H:$H,'Supply planning data'!$D:$D,DataViz!$B45,'Supply planning data'!$C:$C,DataViz!BH$34),
IF(BH$35="Wastage",SUMIFS('Supply planning data'!$K:$K,'Supply planning data'!$D:$D,DataViz!$B45,'Supply planning data'!$C:$C,DataViz!BH$34),
IF(BH$35="Additional",SUMIFS('Supply planning data'!$I:$I,'Supply planning data'!$D:$D,DataViz!$B45,'Supply planning data'!$C:$C,DataViz!BH$34),
0))))</f>
        <v>0</v>
      </c>
      <c r="BI45" s="22">
        <f>IF(BI$35="Dose 1",SUMIFS('Supply planning data'!$G:$G,'Supply planning data'!$D:$D,DataViz!$B45,'Supply planning data'!$C:$C,DataViz!BI$34),
IF(BI$35="Dose 2",SUMIFS('Supply planning data'!$H:$H,'Supply planning data'!$D:$D,DataViz!$B45,'Supply planning data'!$C:$C,DataViz!BI$34),
IF(BI$35="Wastage",SUMIFS('Supply planning data'!$K:$K,'Supply planning data'!$D:$D,DataViz!$B45,'Supply planning data'!$C:$C,DataViz!BI$34),
IF(BI$35="Additional",SUMIFS('Supply planning data'!$I:$I,'Supply planning data'!$D:$D,DataViz!$B45,'Supply planning data'!$C:$C,DataViz!BI$34),
0))))</f>
        <v>0</v>
      </c>
      <c r="BJ45" s="22">
        <f>IF(BJ$35="Dose 1",SUMIFS('Supply planning data'!$G:$G,'Supply planning data'!$D:$D,DataViz!$B45,'Supply planning data'!$C:$C,DataViz!BJ$34),
IF(BJ$35="Dose 2",SUMIFS('Supply planning data'!$H:$H,'Supply planning data'!$D:$D,DataViz!$B45,'Supply planning data'!$C:$C,DataViz!BJ$34),
IF(BJ$35="Wastage",SUMIFS('Supply planning data'!$K:$K,'Supply planning data'!$D:$D,DataViz!$B45,'Supply planning data'!$C:$C,DataViz!BJ$34),
IF(BJ$35="Additional",SUMIFS('Supply planning data'!$I:$I,'Supply planning data'!$D:$D,DataViz!$B45,'Supply planning data'!$C:$C,DataViz!BJ$34),
0))))</f>
        <v>0</v>
      </c>
      <c r="BK45" s="22">
        <f>IF(BK$35="Dose 1",SUMIFS('Supply planning data'!$G:$G,'Supply planning data'!$D:$D,DataViz!$B45,'Supply planning data'!$C:$C,DataViz!BK$34),
IF(BK$35="Dose 2",SUMIFS('Supply planning data'!$H:$H,'Supply planning data'!$D:$D,DataViz!$B45,'Supply planning data'!$C:$C,DataViz!BK$34),
IF(BK$35="Wastage",SUMIFS('Supply planning data'!$K:$K,'Supply planning data'!$D:$D,DataViz!$B45,'Supply planning data'!$C:$C,DataViz!BK$34),
IF(BK$35="Additional",SUMIFS('Supply planning data'!$I:$I,'Supply planning data'!$D:$D,DataViz!$B45,'Supply planning data'!$C:$C,DataViz!BK$34),
0))))</f>
        <v>0</v>
      </c>
      <c r="BL45" s="22">
        <f>IF(BL$35="Dose 1",SUMIFS('Supply planning data'!$G:$G,'Supply planning data'!$D:$D,DataViz!$B45,'Supply planning data'!$C:$C,DataViz!BL$34),
IF(BL$35="Dose 2",SUMIFS('Supply planning data'!$H:$H,'Supply planning data'!$D:$D,DataViz!$B45,'Supply planning data'!$C:$C,DataViz!BL$34),
IF(BL$35="Wastage",SUMIFS('Supply planning data'!$K:$K,'Supply planning data'!$D:$D,DataViz!$B45,'Supply planning data'!$C:$C,DataViz!BL$34),
IF(BL$35="Additional",SUMIFS('Supply planning data'!$I:$I,'Supply planning data'!$D:$D,DataViz!$B45,'Supply planning data'!$C:$C,DataViz!BL$34),
0))))</f>
        <v>0</v>
      </c>
    </row>
    <row r="46" spans="1:64" x14ac:dyDescent="0.25">
      <c r="A46" s="20">
        <v>8</v>
      </c>
      <c r="B46" s="21">
        <f t="shared" si="15"/>
        <v>44501</v>
      </c>
      <c r="C46" s="22">
        <f>IF(VLOOKUP(Dashboard!$M$6,Start!$B$10:$E$12,4,FALSE)&gt;0,VLOOKUP(Dashboard!$M$6,Start!$B$10:$E$12,4, FALSE),VLOOKUP(Dashboard!$M$6,Start!$B$10:$E$12,3, FALSE))</f>
        <v>60000000</v>
      </c>
      <c r="D46" s="22">
        <f>SUMIFS('Supply planning data'!M:M,'Supply planning data'!D:D,"&lt;="&amp;DataViz!B46)</f>
        <v>1237526</v>
      </c>
      <c r="E46" s="22">
        <f>IF(E$35="Dose 1",SUMIFS('Supply planning data'!$G:$G,'Supply planning data'!$D:$D,DataViz!$B46,'Supply planning data'!$C:$C,DataViz!E$34),
IF(E$35="Dose 2",SUMIFS('Supply planning data'!$H:$H,'Supply planning data'!$D:$D,DataViz!$B46,'Supply planning data'!$C:$C,DataViz!E$34),
IF(E$35="Wastage",SUMIFS('Supply planning data'!$K:$K,'Supply planning data'!$D:$D,DataViz!$B46,'Supply planning data'!$C:$C,DataViz!E$34),
IF(E$35="Additional",SUMIFS('Supply planning data'!$I:$I,'Supply planning data'!$D:$D,DataViz!$B46,'Supply planning data'!$C:$C,DataViz!E$34),
0))))</f>
        <v>17980</v>
      </c>
      <c r="F46" s="22">
        <f>IF(F$35="Dose 1",SUMIFS('Supply planning data'!$G:$G,'Supply planning data'!$D:$D,DataViz!$B46,'Supply planning data'!$C:$C,DataViz!F$34),
IF(F$35="Dose 2",SUMIFS('Supply planning data'!$H:$H,'Supply planning data'!$D:$D,DataViz!$B46,'Supply planning data'!$C:$C,DataViz!F$34),
IF(F$35="Wastage",SUMIFS('Supply planning data'!$K:$K,'Supply planning data'!$D:$D,DataViz!$B46,'Supply planning data'!$C:$C,DataViz!F$34),
IF(F$35="Additional",SUMIFS('Supply planning data'!$I:$I,'Supply planning data'!$D:$D,DataViz!$B46,'Supply planning data'!$C:$C,DataViz!F$34),
0))))</f>
        <v>18374</v>
      </c>
      <c r="G46" s="22">
        <f>IF(G$35="Dose 1",SUMIFS('Supply planning data'!$G:$G,'Supply planning data'!$D:$D,DataViz!$B46,'Supply planning data'!$C:$C,DataViz!G$34),
IF(G$35="Dose 2",SUMIFS('Supply planning data'!$H:$H,'Supply planning data'!$D:$D,DataViz!$B46,'Supply planning data'!$C:$C,DataViz!G$34),
IF(G$35="Wastage",SUMIFS('Supply planning data'!$K:$K,'Supply planning data'!$D:$D,DataViz!$B46,'Supply planning data'!$C:$C,DataViz!G$34),
IF(G$35="Additional",SUMIFS('Supply planning data'!$I:$I,'Supply planning data'!$D:$D,DataViz!$B46,'Supply planning data'!$C:$C,DataViz!G$34),
0))))</f>
        <v>0</v>
      </c>
      <c r="H46" s="22">
        <f>IF(H$35="Dose 1",SUMIFS('Supply planning data'!$G:$G,'Supply planning data'!$D:$D,DataViz!$B46,'Supply planning data'!$C:$C,DataViz!H$34),
IF(H$35="Dose 2",SUMIFS('Supply planning data'!$H:$H,'Supply planning data'!$D:$D,DataViz!$B46,'Supply planning data'!$C:$C,DataViz!H$34),
IF(H$35="Wastage",SUMIFS('Supply planning data'!$K:$K,'Supply planning data'!$D:$D,DataViz!$B46,'Supply planning data'!$C:$C,DataViz!H$34),
IF(H$35="Additional",SUMIFS('Supply planning data'!$I:$I,'Supply planning data'!$D:$D,DataViz!$B46,'Supply planning data'!$C:$C,DataViz!H$34),
0))))</f>
        <v>0</v>
      </c>
      <c r="I46" s="22">
        <f>IF(I$35="Dose 1",SUMIFS('Supply planning data'!$G:$G,'Supply planning data'!$D:$D,DataViz!$B46,'Supply planning data'!$C:$C,DataViz!I$34),
IF(I$35="Dose 2",SUMIFS('Supply planning data'!$H:$H,'Supply planning data'!$D:$D,DataViz!$B46,'Supply planning data'!$C:$C,DataViz!I$34),
IF(I$35="Wastage",SUMIFS('Supply planning data'!$K:$K,'Supply planning data'!$D:$D,DataViz!$B46,'Supply planning data'!$C:$C,DataViz!I$34),
IF(I$35="Additional",SUMIFS('Supply planning data'!$I:$I,'Supply planning data'!$D:$D,DataViz!$B46,'Supply planning data'!$C:$C,DataViz!I$34),
0))))</f>
        <v>364621</v>
      </c>
      <c r="J46" s="22">
        <f>IF(J$35="Dose 1",SUMIFS('Supply planning data'!$G:$G,'Supply planning data'!$D:$D,DataViz!$B46,'Supply planning data'!$C:$C,DataViz!J$34),
IF(J$35="Dose 2",SUMIFS('Supply planning data'!$H:$H,'Supply planning data'!$D:$D,DataViz!$B46,'Supply planning data'!$C:$C,DataViz!J$34),
IF(J$35="Wastage",SUMIFS('Supply planning data'!$K:$K,'Supply planning data'!$D:$D,DataViz!$B46,'Supply planning data'!$C:$C,DataViz!J$34),
IF(J$35="Additional",SUMIFS('Supply planning data'!$I:$I,'Supply planning data'!$D:$D,DataViz!$B46,'Supply planning data'!$C:$C,DataViz!J$34),
0))))</f>
        <v>0</v>
      </c>
      <c r="K46" s="22">
        <f>IF(K$35="Dose 1",SUMIFS('Supply planning data'!$G:$G,'Supply planning data'!$D:$D,DataViz!$B46,'Supply planning data'!$C:$C,DataViz!K$34),
IF(K$35="Dose 2",SUMIFS('Supply planning data'!$H:$H,'Supply planning data'!$D:$D,DataViz!$B46,'Supply planning data'!$C:$C,DataViz!K$34),
IF(K$35="Wastage",SUMIFS('Supply planning data'!$K:$K,'Supply planning data'!$D:$D,DataViz!$B46,'Supply planning data'!$C:$C,DataViz!K$34),
IF(K$35="Additional",SUMIFS('Supply planning data'!$I:$I,'Supply planning data'!$D:$D,DataViz!$B46,'Supply planning data'!$C:$C,DataViz!K$34),
0))))</f>
        <v>0</v>
      </c>
      <c r="L46" s="22">
        <f>IF(L$35="Dose 1",SUMIFS('Supply planning data'!$G:$G,'Supply planning data'!$D:$D,DataViz!$B46,'Supply planning data'!$C:$C,DataViz!L$34),
IF(L$35="Dose 2",SUMIFS('Supply planning data'!$H:$H,'Supply planning data'!$D:$D,DataViz!$B46,'Supply planning data'!$C:$C,DataViz!L$34),
IF(L$35="Wastage",SUMIFS('Supply planning data'!$K:$K,'Supply planning data'!$D:$D,DataViz!$B46,'Supply planning data'!$C:$C,DataViz!L$34),
IF(L$35="Additional",SUMIFS('Supply planning data'!$I:$I,'Supply planning data'!$D:$D,DataViz!$B46,'Supply planning data'!$C:$C,DataViz!L$34),
0))))</f>
        <v>600</v>
      </c>
      <c r="M46" s="22">
        <f>IF(M$35="Dose 1",SUMIFS('Supply planning data'!$G:$G,'Supply planning data'!$D:$D,DataViz!$B46,'Supply planning data'!$C:$C,DataViz!M$34),
IF(M$35="Dose 2",SUMIFS('Supply planning data'!$H:$H,'Supply planning data'!$D:$D,DataViz!$B46,'Supply planning data'!$C:$C,DataViz!M$34),
IF(M$35="Wastage",SUMIFS('Supply planning data'!$K:$K,'Supply planning data'!$D:$D,DataViz!$B46,'Supply planning data'!$C:$C,DataViz!M$34),
IF(M$35="Additional",SUMIFS('Supply planning data'!$I:$I,'Supply planning data'!$D:$D,DataViz!$B46,'Supply planning data'!$C:$C,DataViz!M$34),
0))))</f>
        <v>0</v>
      </c>
      <c r="N46" s="22">
        <f>IF(N$35="Dose 1",SUMIFS('Supply planning data'!$G:$G,'Supply planning data'!$D:$D,DataViz!$B46,'Supply planning data'!$C:$C,DataViz!N$34),
IF(N$35="Dose 2",SUMIFS('Supply planning data'!$H:$H,'Supply planning data'!$D:$D,DataViz!$B46,'Supply planning data'!$C:$C,DataViz!N$34),
IF(N$35="Wastage",SUMIFS('Supply planning data'!$K:$K,'Supply planning data'!$D:$D,DataViz!$B46,'Supply planning data'!$C:$C,DataViz!N$34),
IF(N$35="Additional",SUMIFS('Supply planning data'!$I:$I,'Supply planning data'!$D:$D,DataViz!$B46,'Supply planning data'!$C:$C,DataViz!N$34),
0))))</f>
        <v>0</v>
      </c>
      <c r="O46" s="22">
        <f>IF(O$35="Dose 1",SUMIFS('Supply planning data'!$G:$G,'Supply planning data'!$D:$D,DataViz!$B46,'Supply planning data'!$C:$C,DataViz!O$34),
IF(O$35="Dose 2",SUMIFS('Supply planning data'!$H:$H,'Supply planning data'!$D:$D,DataViz!$B46,'Supply planning data'!$C:$C,DataViz!O$34),
IF(O$35="Wastage",SUMIFS('Supply planning data'!$K:$K,'Supply planning data'!$D:$D,DataViz!$B46,'Supply planning data'!$C:$C,DataViz!O$34),
IF(O$35="Additional",SUMIFS('Supply planning data'!$I:$I,'Supply planning data'!$D:$D,DataViz!$B46,'Supply planning data'!$C:$C,DataViz!O$34),
0))))</f>
        <v>0</v>
      </c>
      <c r="P46" s="22">
        <f>IF(P$35="Dose 1",SUMIFS('Supply planning data'!$G:$G,'Supply planning data'!$D:$D,DataViz!$B46,'Supply planning data'!$C:$C,DataViz!P$34),
IF(P$35="Dose 2",SUMIFS('Supply planning data'!$H:$H,'Supply planning data'!$D:$D,DataViz!$B46,'Supply planning data'!$C:$C,DataViz!P$34),
IF(P$35="Wastage",SUMIFS('Supply planning data'!$K:$K,'Supply planning data'!$D:$D,DataViz!$B46,'Supply planning data'!$C:$C,DataViz!P$34),
IF(P$35="Additional",SUMIFS('Supply planning data'!$I:$I,'Supply planning data'!$D:$D,DataViz!$B46,'Supply planning data'!$C:$C,DataViz!P$34),
0))))</f>
        <v>0</v>
      </c>
      <c r="Q46" s="22">
        <f>IF(Q$35="Dose 1",SUMIFS('Supply planning data'!$G:$G,'Supply planning data'!$D:$D,DataViz!$B46,'Supply planning data'!$C:$C,DataViz!Q$34),
IF(Q$35="Dose 2",SUMIFS('Supply planning data'!$H:$H,'Supply planning data'!$D:$D,DataViz!$B46,'Supply planning data'!$C:$C,DataViz!Q$34),
IF(Q$35="Wastage",SUMIFS('Supply planning data'!$K:$K,'Supply planning data'!$D:$D,DataViz!$B46,'Supply planning data'!$C:$C,DataViz!Q$34),
IF(Q$35="Additional",SUMIFS('Supply planning data'!$I:$I,'Supply planning data'!$D:$D,DataViz!$B46,'Supply planning data'!$C:$C,DataViz!Q$34),
0))))</f>
        <v>0</v>
      </c>
      <c r="R46" s="22">
        <f>IF(R$35="Dose 1",SUMIFS('Supply planning data'!$G:$G,'Supply planning data'!$D:$D,DataViz!$B46,'Supply planning data'!$C:$C,DataViz!R$34),
IF(R$35="Dose 2",SUMIFS('Supply planning data'!$H:$H,'Supply planning data'!$D:$D,DataViz!$B46,'Supply planning data'!$C:$C,DataViz!R$34),
IF(R$35="Wastage",SUMIFS('Supply planning data'!$K:$K,'Supply planning data'!$D:$D,DataViz!$B46,'Supply planning data'!$C:$C,DataViz!R$34),
IF(R$35="Additional",SUMIFS('Supply planning data'!$I:$I,'Supply planning data'!$D:$D,DataViz!$B46,'Supply planning data'!$C:$C,DataViz!R$34),
0))))</f>
        <v>0</v>
      </c>
      <c r="S46" s="22">
        <f>IF(S$35="Dose 1",SUMIFS('Supply planning data'!$G:$G,'Supply planning data'!$D:$D,DataViz!$B46,'Supply planning data'!$C:$C,DataViz!S$34),
IF(S$35="Dose 2",SUMIFS('Supply planning data'!$H:$H,'Supply planning data'!$D:$D,DataViz!$B46,'Supply planning data'!$C:$C,DataViz!S$34),
IF(S$35="Wastage",SUMIFS('Supply planning data'!$K:$K,'Supply planning data'!$D:$D,DataViz!$B46,'Supply planning data'!$C:$C,DataViz!S$34),
IF(S$35="Additional",SUMIFS('Supply planning data'!$I:$I,'Supply planning data'!$D:$D,DataViz!$B46,'Supply planning data'!$C:$C,DataViz!S$34),
0))))</f>
        <v>0</v>
      </c>
      <c r="T46" s="22">
        <f>IF(T$35="Dose 1",SUMIFS('Supply planning data'!$G:$G,'Supply planning data'!$D:$D,DataViz!$B46,'Supply planning data'!$C:$C,DataViz!T$34),
IF(T$35="Dose 2",SUMIFS('Supply planning data'!$H:$H,'Supply planning data'!$D:$D,DataViz!$B46,'Supply planning data'!$C:$C,DataViz!T$34),
IF(T$35="Wastage",SUMIFS('Supply planning data'!$K:$K,'Supply planning data'!$D:$D,DataViz!$B46,'Supply planning data'!$C:$C,DataViz!T$34),
IF(T$35="Additional",SUMIFS('Supply planning data'!$I:$I,'Supply planning data'!$D:$D,DataViz!$B46,'Supply planning data'!$C:$C,DataViz!T$34),
0))))</f>
        <v>0</v>
      </c>
      <c r="U46" s="22">
        <f>IF(U$35="Dose 1",SUMIFS('Supply planning data'!$G:$G,'Supply planning data'!$D:$D,DataViz!$B46,'Supply planning data'!$C:$C,DataViz!U$34),
IF(U$35="Dose 2",SUMIFS('Supply planning data'!$H:$H,'Supply planning data'!$D:$D,DataViz!$B46,'Supply planning data'!$C:$C,DataViz!U$34),
IF(U$35="Wastage",SUMIFS('Supply planning data'!$K:$K,'Supply planning data'!$D:$D,DataViz!$B46,'Supply planning data'!$C:$C,DataViz!U$34),
IF(U$35="Additional",SUMIFS('Supply planning data'!$I:$I,'Supply planning data'!$D:$D,DataViz!$B46,'Supply planning data'!$C:$C,DataViz!U$34),
0))))</f>
        <v>0</v>
      </c>
      <c r="V46" s="22">
        <f>IF(V$35="Dose 1",SUMIFS('Supply planning data'!$G:$G,'Supply planning data'!$D:$D,DataViz!$B46,'Supply planning data'!$C:$C,DataViz!V$34),
IF(V$35="Dose 2",SUMIFS('Supply planning data'!$H:$H,'Supply planning data'!$D:$D,DataViz!$B46,'Supply planning data'!$C:$C,DataViz!V$34),
IF(V$35="Wastage",SUMIFS('Supply planning data'!$K:$K,'Supply planning data'!$D:$D,DataViz!$B46,'Supply planning data'!$C:$C,DataViz!V$34),
IF(V$35="Additional",SUMIFS('Supply planning data'!$I:$I,'Supply planning data'!$D:$D,DataViz!$B46,'Supply planning data'!$C:$C,DataViz!V$34),
0))))</f>
        <v>0</v>
      </c>
      <c r="W46" s="22">
        <f>IF(W$35="Dose 1",SUMIFS('Supply planning data'!$G:$G,'Supply planning data'!$D:$D,DataViz!$B46,'Supply planning data'!$C:$C,DataViz!W$34),
IF(W$35="Dose 2",SUMIFS('Supply planning data'!$H:$H,'Supply planning data'!$D:$D,DataViz!$B46,'Supply planning data'!$C:$C,DataViz!W$34),
IF(W$35="Wastage",SUMIFS('Supply planning data'!$K:$K,'Supply planning data'!$D:$D,DataViz!$B46,'Supply planning data'!$C:$C,DataViz!W$34),
IF(W$35="Additional",SUMIFS('Supply planning data'!$I:$I,'Supply planning data'!$D:$D,DataViz!$B46,'Supply planning data'!$C:$C,DataViz!W$34),
0))))</f>
        <v>0</v>
      </c>
      <c r="X46" s="22">
        <f>IF(X$35="Dose 1",SUMIFS('Supply planning data'!$G:$G,'Supply planning data'!$D:$D,DataViz!$B46,'Supply planning data'!$C:$C,DataViz!X$34),
IF(X$35="Dose 2",SUMIFS('Supply planning data'!$H:$H,'Supply planning data'!$D:$D,DataViz!$B46,'Supply planning data'!$C:$C,DataViz!X$34),
IF(X$35="Wastage",SUMIFS('Supply planning data'!$K:$K,'Supply planning data'!$D:$D,DataViz!$B46,'Supply planning data'!$C:$C,DataViz!X$34),
IF(X$35="Additional",SUMIFS('Supply planning data'!$I:$I,'Supply planning data'!$D:$D,DataViz!$B46,'Supply planning data'!$C:$C,DataViz!X$34),
0))))</f>
        <v>0</v>
      </c>
      <c r="Y46" s="22">
        <f>IF(Y$35="Dose 1",SUMIFS('Supply planning data'!$G:$G,'Supply planning data'!$D:$D,DataViz!$B46,'Supply planning data'!$C:$C,DataViz!Y$34),
IF(Y$35="Dose 2",SUMIFS('Supply planning data'!$H:$H,'Supply planning data'!$D:$D,DataViz!$B46,'Supply planning data'!$C:$C,DataViz!Y$34),
IF(Y$35="Wastage",SUMIFS('Supply planning data'!$K:$K,'Supply planning data'!$D:$D,DataViz!$B46,'Supply planning data'!$C:$C,DataViz!Y$34),
IF(Y$35="Additional",SUMIFS('Supply planning data'!$I:$I,'Supply planning data'!$D:$D,DataViz!$B46,'Supply planning data'!$C:$C,DataViz!Y$34),
0))))</f>
        <v>0</v>
      </c>
      <c r="Z46" s="22">
        <f>IF(Z$35="Dose 1",SUMIFS('Supply planning data'!$G:$G,'Supply planning data'!$D:$D,DataViz!$B46,'Supply planning data'!$C:$C,DataViz!Z$34),
IF(Z$35="Dose 2",SUMIFS('Supply planning data'!$H:$H,'Supply planning data'!$D:$D,DataViz!$B46,'Supply planning data'!$C:$C,DataViz!Z$34),
IF(Z$35="Wastage",SUMIFS('Supply planning data'!$K:$K,'Supply planning data'!$D:$D,DataViz!$B46,'Supply planning data'!$C:$C,DataViz!Z$34),
IF(Z$35="Additional",SUMIFS('Supply planning data'!$I:$I,'Supply planning data'!$D:$D,DataViz!$B46,'Supply planning data'!$C:$C,DataViz!Z$34),
0))))</f>
        <v>0</v>
      </c>
      <c r="AA46" s="22">
        <f>IF(AA$35="Dose 1",SUMIFS('Supply planning data'!$G:$G,'Supply planning data'!$D:$D,DataViz!$B46,'Supply planning data'!$C:$C,DataViz!AA$34),
IF(AA$35="Dose 2",SUMIFS('Supply planning data'!$H:$H,'Supply planning data'!$D:$D,DataViz!$B46,'Supply planning data'!$C:$C,DataViz!AA$34),
IF(AA$35="Wastage",SUMIFS('Supply planning data'!$K:$K,'Supply planning data'!$D:$D,DataViz!$B46,'Supply planning data'!$C:$C,DataViz!AA$34),
IF(AA$35="Additional",SUMIFS('Supply planning data'!$I:$I,'Supply planning data'!$D:$D,DataViz!$B46,'Supply planning data'!$C:$C,DataViz!AA$34),
0))))</f>
        <v>0</v>
      </c>
      <c r="AB46" s="22">
        <f>IF(AB$35="Dose 1",SUMIFS('Supply planning data'!$G:$G,'Supply planning data'!$D:$D,DataViz!$B46,'Supply planning data'!$C:$C,DataViz!AB$34),
IF(AB$35="Dose 2",SUMIFS('Supply planning data'!$H:$H,'Supply planning data'!$D:$D,DataViz!$B46,'Supply planning data'!$C:$C,DataViz!AB$34),
IF(AB$35="Wastage",SUMIFS('Supply planning data'!$K:$K,'Supply planning data'!$D:$D,DataViz!$B46,'Supply planning data'!$C:$C,DataViz!AB$34),
IF(AB$35="Additional",SUMIFS('Supply planning data'!$I:$I,'Supply planning data'!$D:$D,DataViz!$B46,'Supply planning data'!$C:$C,DataViz!AB$34),
0))))</f>
        <v>0</v>
      </c>
      <c r="AC46" s="22">
        <f>IF(AC$35="Dose 1",SUMIFS('Supply planning data'!$G:$G,'Supply planning data'!$D:$D,DataViz!$B46,'Supply planning data'!$C:$C,DataViz!AC$34),
IF(AC$35="Dose 2",SUMIFS('Supply planning data'!$H:$H,'Supply planning data'!$D:$D,DataViz!$B46,'Supply planning data'!$C:$C,DataViz!AC$34),
IF(AC$35="Wastage",SUMIFS('Supply planning data'!$K:$K,'Supply planning data'!$D:$D,DataViz!$B46,'Supply planning data'!$C:$C,DataViz!AC$34),
IF(AC$35="Additional",SUMIFS('Supply planning data'!$I:$I,'Supply planning data'!$D:$D,DataViz!$B46,'Supply planning data'!$C:$C,DataViz!AC$34),
0))))</f>
        <v>0</v>
      </c>
      <c r="AD46" s="22">
        <f>IF(AD$35="Dose 1",SUMIFS('Supply planning data'!$G:$G,'Supply planning data'!$D:$D,DataViz!$B46,'Supply planning data'!$C:$C,DataViz!AD$34),
IF(AD$35="Dose 2",SUMIFS('Supply planning data'!$H:$H,'Supply planning data'!$D:$D,DataViz!$B46,'Supply planning data'!$C:$C,DataViz!AD$34),
IF(AD$35="Wastage",SUMIFS('Supply planning data'!$K:$K,'Supply planning data'!$D:$D,DataViz!$B46,'Supply planning data'!$C:$C,DataViz!AD$34),
IF(AD$35="Additional",SUMIFS('Supply planning data'!$I:$I,'Supply planning data'!$D:$D,DataViz!$B46,'Supply planning data'!$C:$C,DataViz!AD$34),
0))))</f>
        <v>0</v>
      </c>
      <c r="AE46" s="22">
        <f>IF(AE$35="Dose 1",SUMIFS('Supply planning data'!$G:$G,'Supply planning data'!$D:$D,DataViz!$B46,'Supply planning data'!$C:$C,DataViz!AE$34),
IF(AE$35="Dose 2",SUMIFS('Supply planning data'!$H:$H,'Supply planning data'!$D:$D,DataViz!$B46,'Supply planning data'!$C:$C,DataViz!AE$34),
IF(AE$35="Wastage",SUMIFS('Supply planning data'!$K:$K,'Supply planning data'!$D:$D,DataViz!$B46,'Supply planning data'!$C:$C,DataViz!AE$34),
IF(AE$35="Additional",SUMIFS('Supply planning data'!$I:$I,'Supply planning data'!$D:$D,DataViz!$B46,'Supply planning data'!$C:$C,DataViz!AE$34),
0))))</f>
        <v>0</v>
      </c>
      <c r="AF46" s="22">
        <f>IF(AF$35="Dose 1",SUMIFS('Supply planning data'!$G:$G,'Supply planning data'!$D:$D,DataViz!$B46,'Supply planning data'!$C:$C,DataViz!AF$34),
IF(AF$35="Dose 2",SUMIFS('Supply planning data'!$H:$H,'Supply planning data'!$D:$D,DataViz!$B46,'Supply planning data'!$C:$C,DataViz!AF$34),
IF(AF$35="Wastage",SUMIFS('Supply planning data'!$K:$K,'Supply planning data'!$D:$D,DataViz!$B46,'Supply planning data'!$C:$C,DataViz!AF$34),
IF(AF$35="Additional",SUMIFS('Supply planning data'!$I:$I,'Supply planning data'!$D:$D,DataViz!$B46,'Supply planning data'!$C:$C,DataViz!AF$34),
0))))</f>
        <v>0</v>
      </c>
      <c r="AG46" s="22">
        <f>IF(AG$35="Dose 1",SUMIFS('Supply planning data'!$G:$G,'Supply planning data'!$D:$D,DataViz!$B46,'Supply planning data'!$C:$C,DataViz!AG$34),
IF(AG$35="Dose 2",SUMIFS('Supply planning data'!$H:$H,'Supply planning data'!$D:$D,DataViz!$B46,'Supply planning data'!$C:$C,DataViz!AG$34),
IF(AG$35="Wastage",SUMIFS('Supply planning data'!$K:$K,'Supply planning data'!$D:$D,DataViz!$B46,'Supply planning data'!$C:$C,DataViz!AG$34),
IF(AG$35="Additional",SUMIFS('Supply planning data'!$I:$I,'Supply planning data'!$D:$D,DataViz!$B46,'Supply planning data'!$C:$C,DataViz!AG$34),
0))))</f>
        <v>0</v>
      </c>
      <c r="AH46" s="22">
        <f>IF(AH$35="Dose 1",SUMIFS('Supply planning data'!$G:$G,'Supply planning data'!$D:$D,DataViz!$B46,'Supply planning data'!$C:$C,DataViz!AH$34),
IF(AH$35="Dose 2",SUMIFS('Supply planning data'!$H:$H,'Supply planning data'!$D:$D,DataViz!$B46,'Supply planning data'!$C:$C,DataViz!AH$34),
IF(AH$35="Wastage",SUMIFS('Supply planning data'!$K:$K,'Supply planning data'!$D:$D,DataViz!$B46,'Supply planning data'!$C:$C,DataViz!AH$34),
IF(AH$35="Additional",SUMIFS('Supply planning data'!$I:$I,'Supply planning data'!$D:$D,DataViz!$B46,'Supply planning data'!$C:$C,DataViz!AH$34),
0))))</f>
        <v>0</v>
      </c>
      <c r="AI46" s="22">
        <f>IF(AI$35="Dose 1",SUMIFS('Supply planning data'!$G:$G,'Supply planning data'!$D:$D,DataViz!$B46,'Supply planning data'!$C:$C,DataViz!AI$34),
IF(AI$35="Dose 2",SUMIFS('Supply planning data'!$H:$H,'Supply planning data'!$D:$D,DataViz!$B46,'Supply planning data'!$C:$C,DataViz!AI$34),
IF(AI$35="Wastage",SUMIFS('Supply planning data'!$K:$K,'Supply planning data'!$D:$D,DataViz!$B46,'Supply planning data'!$C:$C,DataViz!AI$34),
IF(AI$35="Additional",SUMIFS('Supply planning data'!$I:$I,'Supply planning data'!$D:$D,DataViz!$B46,'Supply planning data'!$C:$C,DataViz!AI$34),
0))))</f>
        <v>0</v>
      </c>
      <c r="AJ46" s="22">
        <f>IF(AJ$35="Dose 1",SUMIFS('Supply planning data'!$G:$G,'Supply planning data'!$D:$D,DataViz!$B46,'Supply planning data'!$C:$C,DataViz!AJ$34),
IF(AJ$35="Dose 2",SUMIFS('Supply planning data'!$H:$H,'Supply planning data'!$D:$D,DataViz!$B46,'Supply planning data'!$C:$C,DataViz!AJ$34),
IF(AJ$35="Wastage",SUMIFS('Supply planning data'!$K:$K,'Supply planning data'!$D:$D,DataViz!$B46,'Supply planning data'!$C:$C,DataViz!AJ$34),
IF(AJ$35="Additional",SUMIFS('Supply planning data'!$I:$I,'Supply planning data'!$D:$D,DataViz!$B46,'Supply planning data'!$C:$C,DataViz!AJ$34),
0))))</f>
        <v>0</v>
      </c>
      <c r="AK46" s="22">
        <f>IF(AK$35="Dose 1",SUMIFS('Supply planning data'!$G:$G,'Supply planning data'!$D:$D,DataViz!$B46,'Supply planning data'!$C:$C,DataViz!AK$34),
IF(AK$35="Dose 2",SUMIFS('Supply planning data'!$H:$H,'Supply planning data'!$D:$D,DataViz!$B46,'Supply planning data'!$C:$C,DataViz!AK$34),
IF(AK$35="Wastage",SUMIFS('Supply planning data'!$K:$K,'Supply planning data'!$D:$D,DataViz!$B46,'Supply planning data'!$C:$C,DataViz!AK$34),
IF(AK$35="Additional",SUMIFS('Supply planning data'!$I:$I,'Supply planning data'!$D:$D,DataViz!$B46,'Supply planning data'!$C:$C,DataViz!AK$34),
0))))</f>
        <v>0</v>
      </c>
      <c r="AL46" s="22">
        <f>IF(AL$35="Dose 1",SUMIFS('Supply planning data'!$G:$G,'Supply planning data'!$D:$D,DataViz!$B46,'Supply planning data'!$C:$C,DataViz!AL$34),
IF(AL$35="Dose 2",SUMIFS('Supply planning data'!$H:$H,'Supply planning data'!$D:$D,DataViz!$B46,'Supply planning data'!$C:$C,DataViz!AL$34),
IF(AL$35="Wastage",SUMIFS('Supply planning data'!$K:$K,'Supply planning data'!$D:$D,DataViz!$B46,'Supply planning data'!$C:$C,DataViz!AL$34),
IF(AL$35="Additional",SUMIFS('Supply planning data'!$I:$I,'Supply planning data'!$D:$D,DataViz!$B46,'Supply planning data'!$C:$C,DataViz!AL$34),
0))))</f>
        <v>0</v>
      </c>
      <c r="AM46" s="22">
        <f>IF(AM$35="Dose 1",SUMIFS('Supply planning data'!$G:$G,'Supply planning data'!$D:$D,DataViz!$B46,'Supply planning data'!$C:$C,DataViz!AM$34),
IF(AM$35="Dose 2",SUMIFS('Supply planning data'!$H:$H,'Supply planning data'!$D:$D,DataViz!$B46,'Supply planning data'!$C:$C,DataViz!AM$34),
IF(AM$35="Wastage",SUMIFS('Supply planning data'!$K:$K,'Supply planning data'!$D:$D,DataViz!$B46,'Supply planning data'!$C:$C,DataViz!AM$34),
IF(AM$35="Additional",SUMIFS('Supply planning data'!$I:$I,'Supply planning data'!$D:$D,DataViz!$B46,'Supply planning data'!$C:$C,DataViz!AM$34),
0))))</f>
        <v>0</v>
      </c>
      <c r="AN46" s="22">
        <f>IF(AN$35="Dose 1",SUMIFS('Supply planning data'!$G:$G,'Supply planning data'!$D:$D,DataViz!$B46,'Supply planning data'!$C:$C,DataViz!AN$34),
IF(AN$35="Dose 2",SUMIFS('Supply planning data'!$H:$H,'Supply planning data'!$D:$D,DataViz!$B46,'Supply planning data'!$C:$C,DataViz!AN$34),
IF(AN$35="Wastage",SUMIFS('Supply planning data'!$K:$K,'Supply planning data'!$D:$D,DataViz!$B46,'Supply planning data'!$C:$C,DataViz!AN$34),
IF(AN$35="Additional",SUMIFS('Supply planning data'!$I:$I,'Supply planning data'!$D:$D,DataViz!$B46,'Supply planning data'!$C:$C,DataViz!AN$34),
0))))</f>
        <v>0</v>
      </c>
      <c r="AO46" s="22">
        <f>IF(AO$35="Dose 1",SUMIFS('Supply planning data'!$G:$G,'Supply planning data'!$D:$D,DataViz!$B46,'Supply planning data'!$C:$C,DataViz!AO$34),
IF(AO$35="Dose 2",SUMIFS('Supply planning data'!$H:$H,'Supply planning data'!$D:$D,DataViz!$B46,'Supply planning data'!$C:$C,DataViz!AO$34),
IF(AO$35="Wastage",SUMIFS('Supply planning data'!$K:$K,'Supply planning data'!$D:$D,DataViz!$B46,'Supply planning data'!$C:$C,DataViz!AO$34),
IF(AO$35="Additional",SUMIFS('Supply planning data'!$I:$I,'Supply planning data'!$D:$D,DataViz!$B46,'Supply planning data'!$C:$C,DataViz!AO$34),
0))))</f>
        <v>0</v>
      </c>
      <c r="AP46" s="22">
        <f>IF(AP$35="Dose 1",SUMIFS('Supply planning data'!$G:$G,'Supply planning data'!$D:$D,DataViz!$B46,'Supply planning data'!$C:$C,DataViz!AP$34),
IF(AP$35="Dose 2",SUMIFS('Supply planning data'!$H:$H,'Supply planning data'!$D:$D,DataViz!$B46,'Supply planning data'!$C:$C,DataViz!AP$34),
IF(AP$35="Wastage",SUMIFS('Supply planning data'!$K:$K,'Supply planning data'!$D:$D,DataViz!$B46,'Supply planning data'!$C:$C,DataViz!AP$34),
IF(AP$35="Additional",SUMIFS('Supply planning data'!$I:$I,'Supply planning data'!$D:$D,DataViz!$B46,'Supply planning data'!$C:$C,DataViz!AP$34),
0))))</f>
        <v>0</v>
      </c>
      <c r="AQ46" s="22">
        <f>IF(AQ$35="Dose 1",SUMIFS('Supply planning data'!$G:$G,'Supply planning data'!$D:$D,DataViz!$B46,'Supply planning data'!$C:$C,DataViz!AQ$34),
IF(AQ$35="Dose 2",SUMIFS('Supply planning data'!$H:$H,'Supply planning data'!$D:$D,DataViz!$B46,'Supply planning data'!$C:$C,DataViz!AQ$34),
IF(AQ$35="Wastage",SUMIFS('Supply planning data'!$K:$K,'Supply planning data'!$D:$D,DataViz!$B46,'Supply planning data'!$C:$C,DataViz!AQ$34),
IF(AQ$35="Additional",SUMIFS('Supply planning data'!$I:$I,'Supply planning data'!$D:$D,DataViz!$B46,'Supply planning data'!$C:$C,DataViz!AQ$34),
0))))</f>
        <v>0</v>
      </c>
      <c r="AR46" s="22">
        <f>IF(AR$35="Dose 1",SUMIFS('Supply planning data'!$G:$G,'Supply planning data'!$D:$D,DataViz!$B46,'Supply planning data'!$C:$C,DataViz!AR$34),
IF(AR$35="Dose 2",SUMIFS('Supply planning data'!$H:$H,'Supply planning data'!$D:$D,DataViz!$B46,'Supply planning data'!$C:$C,DataViz!AR$34),
IF(AR$35="Wastage",SUMIFS('Supply planning data'!$K:$K,'Supply planning data'!$D:$D,DataViz!$B46,'Supply planning data'!$C:$C,DataViz!AR$34),
IF(AR$35="Additional",SUMIFS('Supply planning data'!$I:$I,'Supply planning data'!$D:$D,DataViz!$B46,'Supply planning data'!$C:$C,DataViz!AR$34),
0))))</f>
        <v>0</v>
      </c>
      <c r="AS46" s="22">
        <f>IF(AS$35="Dose 1",SUMIFS('Supply planning data'!$G:$G,'Supply planning data'!$D:$D,DataViz!$B46,'Supply planning data'!$C:$C,DataViz!AS$34),
IF(AS$35="Dose 2",SUMIFS('Supply planning data'!$H:$H,'Supply planning data'!$D:$D,DataViz!$B46,'Supply planning data'!$C:$C,DataViz!AS$34),
IF(AS$35="Wastage",SUMIFS('Supply planning data'!$K:$K,'Supply planning data'!$D:$D,DataViz!$B46,'Supply planning data'!$C:$C,DataViz!AS$34),
IF(AS$35="Additional",SUMIFS('Supply planning data'!$I:$I,'Supply planning data'!$D:$D,DataViz!$B46,'Supply planning data'!$C:$C,DataViz!AS$34),
0))))</f>
        <v>0</v>
      </c>
      <c r="AT46" s="22">
        <f>IF(AT$35="Dose 1",SUMIFS('Supply planning data'!$G:$G,'Supply planning data'!$D:$D,DataViz!$B46,'Supply planning data'!$C:$C,DataViz!AT$34),
IF(AT$35="Dose 2",SUMIFS('Supply planning data'!$H:$H,'Supply planning data'!$D:$D,DataViz!$B46,'Supply planning data'!$C:$C,DataViz!AT$34),
IF(AT$35="Wastage",SUMIFS('Supply planning data'!$K:$K,'Supply planning data'!$D:$D,DataViz!$B46,'Supply planning data'!$C:$C,DataViz!AT$34),
IF(AT$35="Additional",SUMIFS('Supply planning data'!$I:$I,'Supply planning data'!$D:$D,DataViz!$B46,'Supply planning data'!$C:$C,DataViz!AT$34),
0))))</f>
        <v>0</v>
      </c>
      <c r="AU46" s="22">
        <f>IF(AU$35="Dose 1",SUMIFS('Supply planning data'!$G:$G,'Supply planning data'!$D:$D,DataViz!$B46,'Supply planning data'!$C:$C,DataViz!AU$34),
IF(AU$35="Dose 2",SUMIFS('Supply planning data'!$H:$H,'Supply planning data'!$D:$D,DataViz!$B46,'Supply planning data'!$C:$C,DataViz!AU$34),
IF(AU$35="Wastage",SUMIFS('Supply planning data'!$K:$K,'Supply planning data'!$D:$D,DataViz!$B46,'Supply planning data'!$C:$C,DataViz!AU$34),
IF(AU$35="Additional",SUMIFS('Supply planning data'!$I:$I,'Supply planning data'!$D:$D,DataViz!$B46,'Supply planning data'!$C:$C,DataViz!AU$34),
0))))</f>
        <v>0</v>
      </c>
      <c r="AV46" s="22">
        <f>IF(AV$35="Dose 1",SUMIFS('Supply planning data'!$G:$G,'Supply planning data'!$D:$D,DataViz!$B46,'Supply planning data'!$C:$C,DataViz!AV$34),
IF(AV$35="Dose 2",SUMIFS('Supply planning data'!$H:$H,'Supply planning data'!$D:$D,DataViz!$B46,'Supply planning data'!$C:$C,DataViz!AV$34),
IF(AV$35="Wastage",SUMIFS('Supply planning data'!$K:$K,'Supply planning data'!$D:$D,DataViz!$B46,'Supply planning data'!$C:$C,DataViz!AV$34),
IF(AV$35="Additional",SUMIFS('Supply planning data'!$I:$I,'Supply planning data'!$D:$D,DataViz!$B46,'Supply planning data'!$C:$C,DataViz!AV$34),
0))))</f>
        <v>0</v>
      </c>
      <c r="AW46" s="22">
        <f>IF(AW$35="Dose 1",SUMIFS('Supply planning data'!$G:$G,'Supply planning data'!$D:$D,DataViz!$B46,'Supply planning data'!$C:$C,DataViz!AW$34),
IF(AW$35="Dose 2",SUMIFS('Supply planning data'!$H:$H,'Supply planning data'!$D:$D,DataViz!$B46,'Supply planning data'!$C:$C,DataViz!AW$34),
IF(AW$35="Wastage",SUMIFS('Supply planning data'!$K:$K,'Supply planning data'!$D:$D,DataViz!$B46,'Supply planning data'!$C:$C,DataViz!AW$34),
IF(AW$35="Additional",SUMIFS('Supply planning data'!$I:$I,'Supply planning data'!$D:$D,DataViz!$B46,'Supply planning data'!$C:$C,DataViz!AW$34),
0))))</f>
        <v>0</v>
      </c>
      <c r="AX46" s="22">
        <f>IF(AX$35="Dose 1",SUMIFS('Supply planning data'!$G:$G,'Supply planning data'!$D:$D,DataViz!$B46,'Supply planning data'!$C:$C,DataViz!AX$34),
IF(AX$35="Dose 2",SUMIFS('Supply planning data'!$H:$H,'Supply planning data'!$D:$D,DataViz!$B46,'Supply planning data'!$C:$C,DataViz!AX$34),
IF(AX$35="Wastage",SUMIFS('Supply planning data'!$K:$K,'Supply planning data'!$D:$D,DataViz!$B46,'Supply planning data'!$C:$C,DataViz!AX$34),
IF(AX$35="Additional",SUMIFS('Supply planning data'!$I:$I,'Supply planning data'!$D:$D,DataViz!$B46,'Supply planning data'!$C:$C,DataViz!AX$34),
0))))</f>
        <v>0</v>
      </c>
      <c r="AY46" s="22">
        <f>IF(AY$35="Dose 1",SUMIFS('Supply planning data'!$G:$G,'Supply planning data'!$D:$D,DataViz!$B46,'Supply planning data'!$C:$C,DataViz!AY$34),
IF(AY$35="Dose 2",SUMIFS('Supply planning data'!$H:$H,'Supply planning data'!$D:$D,DataViz!$B46,'Supply planning data'!$C:$C,DataViz!AY$34),
IF(AY$35="Wastage",SUMIFS('Supply planning data'!$K:$K,'Supply planning data'!$D:$D,DataViz!$B46,'Supply planning data'!$C:$C,DataViz!AY$34),
IF(AY$35="Additional",SUMIFS('Supply planning data'!$I:$I,'Supply planning data'!$D:$D,DataViz!$B46,'Supply planning data'!$C:$C,DataViz!AY$34),
0))))</f>
        <v>0</v>
      </c>
      <c r="AZ46" s="22">
        <f>IF(AZ$35="Dose 1",SUMIFS('Supply planning data'!$G:$G,'Supply planning data'!$D:$D,DataViz!$B46,'Supply planning data'!$C:$C,DataViz!AZ$34),
IF(AZ$35="Dose 2",SUMIFS('Supply planning data'!$H:$H,'Supply planning data'!$D:$D,DataViz!$B46,'Supply planning data'!$C:$C,DataViz!AZ$34),
IF(AZ$35="Wastage",SUMIFS('Supply planning data'!$K:$K,'Supply planning data'!$D:$D,DataViz!$B46,'Supply planning data'!$C:$C,DataViz!AZ$34),
IF(AZ$35="Additional",SUMIFS('Supply planning data'!$I:$I,'Supply planning data'!$D:$D,DataViz!$B46,'Supply planning data'!$C:$C,DataViz!AZ$34),
0))))</f>
        <v>0</v>
      </c>
      <c r="BA46" s="22">
        <f>IF(BA$35="Dose 1",SUMIFS('Supply planning data'!$G:$G,'Supply planning data'!$D:$D,DataViz!$B46,'Supply planning data'!$C:$C,DataViz!BA$34),
IF(BA$35="Dose 2",SUMIFS('Supply planning data'!$H:$H,'Supply planning data'!$D:$D,DataViz!$B46,'Supply planning data'!$C:$C,DataViz!BA$34),
IF(BA$35="Wastage",SUMIFS('Supply planning data'!$K:$K,'Supply planning data'!$D:$D,DataViz!$B46,'Supply planning data'!$C:$C,DataViz!BA$34),
IF(BA$35="Additional",SUMIFS('Supply planning data'!$I:$I,'Supply planning data'!$D:$D,DataViz!$B46,'Supply planning data'!$C:$C,DataViz!BA$34),
0))))</f>
        <v>0</v>
      </c>
      <c r="BB46" s="22">
        <f>IF(BB$35="Dose 1",SUMIFS('Supply planning data'!$G:$G,'Supply planning data'!$D:$D,DataViz!$B46,'Supply planning data'!$C:$C,DataViz!BB$34),
IF(BB$35="Dose 2",SUMIFS('Supply planning data'!$H:$H,'Supply planning data'!$D:$D,DataViz!$B46,'Supply planning data'!$C:$C,DataViz!BB$34),
IF(BB$35="Wastage",SUMIFS('Supply planning data'!$K:$K,'Supply planning data'!$D:$D,DataViz!$B46,'Supply planning data'!$C:$C,DataViz!BB$34),
IF(BB$35="Additional",SUMIFS('Supply planning data'!$I:$I,'Supply planning data'!$D:$D,DataViz!$B46,'Supply planning data'!$C:$C,DataViz!BB$34),
0))))</f>
        <v>0</v>
      </c>
      <c r="BC46" s="22">
        <f>IF(BC$35="Dose 1",SUMIFS('Supply planning data'!$G:$G,'Supply planning data'!$D:$D,DataViz!$B46,'Supply planning data'!$C:$C,DataViz!BC$34),
IF(BC$35="Dose 2",SUMIFS('Supply planning data'!$H:$H,'Supply planning data'!$D:$D,DataViz!$B46,'Supply planning data'!$C:$C,DataViz!BC$34),
IF(BC$35="Wastage",SUMIFS('Supply planning data'!$K:$K,'Supply planning data'!$D:$D,DataViz!$B46,'Supply planning data'!$C:$C,DataViz!BC$34),
IF(BC$35="Additional",SUMIFS('Supply planning data'!$I:$I,'Supply planning data'!$D:$D,DataViz!$B46,'Supply planning data'!$C:$C,DataViz!BC$34),
0))))</f>
        <v>0</v>
      </c>
      <c r="BD46" s="22">
        <f>IF(BD$35="Dose 1",SUMIFS('Supply planning data'!$G:$G,'Supply planning data'!$D:$D,DataViz!$B46,'Supply planning data'!$C:$C,DataViz!BD$34),
IF(BD$35="Dose 2",SUMIFS('Supply planning data'!$H:$H,'Supply planning data'!$D:$D,DataViz!$B46,'Supply planning data'!$C:$C,DataViz!BD$34),
IF(BD$35="Wastage",SUMIFS('Supply planning data'!$K:$K,'Supply planning data'!$D:$D,DataViz!$B46,'Supply planning data'!$C:$C,DataViz!BD$34),
IF(BD$35="Additional",SUMIFS('Supply planning data'!$I:$I,'Supply planning data'!$D:$D,DataViz!$B46,'Supply planning data'!$C:$C,DataViz!BD$34),
0))))</f>
        <v>0</v>
      </c>
      <c r="BE46" s="22">
        <f>IF(BE$35="Dose 1",SUMIFS('Supply planning data'!$G:$G,'Supply planning data'!$D:$D,DataViz!$B46,'Supply planning data'!$C:$C,DataViz!BE$34),
IF(BE$35="Dose 2",SUMIFS('Supply planning data'!$H:$H,'Supply planning data'!$D:$D,DataViz!$B46,'Supply planning data'!$C:$C,DataViz!BE$34),
IF(BE$35="Wastage",SUMIFS('Supply planning data'!$K:$K,'Supply planning data'!$D:$D,DataViz!$B46,'Supply planning data'!$C:$C,DataViz!BE$34),
IF(BE$35="Additional",SUMIFS('Supply planning data'!$I:$I,'Supply planning data'!$D:$D,DataViz!$B46,'Supply planning data'!$C:$C,DataViz!BE$34),
0))))</f>
        <v>0</v>
      </c>
      <c r="BF46" s="22">
        <f>IF(BF$35="Dose 1",SUMIFS('Supply planning data'!$G:$G,'Supply planning data'!$D:$D,DataViz!$B46,'Supply planning data'!$C:$C,DataViz!BF$34),
IF(BF$35="Dose 2",SUMIFS('Supply planning data'!$H:$H,'Supply planning data'!$D:$D,DataViz!$B46,'Supply planning data'!$C:$C,DataViz!BF$34),
IF(BF$35="Wastage",SUMIFS('Supply planning data'!$K:$K,'Supply planning data'!$D:$D,DataViz!$B46,'Supply planning data'!$C:$C,DataViz!BF$34),
IF(BF$35="Additional",SUMIFS('Supply planning data'!$I:$I,'Supply planning data'!$D:$D,DataViz!$B46,'Supply planning data'!$C:$C,DataViz!BF$34),
0))))</f>
        <v>0</v>
      </c>
      <c r="BG46" s="22">
        <f>IF(BG$35="Dose 1",SUMIFS('Supply planning data'!$G:$G,'Supply planning data'!$D:$D,DataViz!$B46,'Supply planning data'!$C:$C,DataViz!BG$34),
IF(BG$35="Dose 2",SUMIFS('Supply planning data'!$H:$H,'Supply planning data'!$D:$D,DataViz!$B46,'Supply planning data'!$C:$C,DataViz!BG$34),
IF(BG$35="Wastage",SUMIFS('Supply planning data'!$K:$K,'Supply planning data'!$D:$D,DataViz!$B46,'Supply planning data'!$C:$C,DataViz!BG$34),
IF(BG$35="Additional",SUMIFS('Supply planning data'!$I:$I,'Supply planning data'!$D:$D,DataViz!$B46,'Supply planning data'!$C:$C,DataViz!BG$34),
0))))</f>
        <v>0</v>
      </c>
      <c r="BH46" s="22">
        <f>IF(BH$35="Dose 1",SUMIFS('Supply planning data'!$G:$G,'Supply planning data'!$D:$D,DataViz!$B46,'Supply planning data'!$C:$C,DataViz!BH$34),
IF(BH$35="Dose 2",SUMIFS('Supply planning data'!$H:$H,'Supply planning data'!$D:$D,DataViz!$B46,'Supply planning data'!$C:$C,DataViz!BH$34),
IF(BH$35="Wastage",SUMIFS('Supply planning data'!$K:$K,'Supply planning data'!$D:$D,DataViz!$B46,'Supply planning data'!$C:$C,DataViz!BH$34),
IF(BH$35="Additional",SUMIFS('Supply planning data'!$I:$I,'Supply planning data'!$D:$D,DataViz!$B46,'Supply planning data'!$C:$C,DataViz!BH$34),
0))))</f>
        <v>0</v>
      </c>
      <c r="BI46" s="22">
        <f>IF(BI$35="Dose 1",SUMIFS('Supply planning data'!$G:$G,'Supply planning data'!$D:$D,DataViz!$B46,'Supply planning data'!$C:$C,DataViz!BI$34),
IF(BI$35="Dose 2",SUMIFS('Supply planning data'!$H:$H,'Supply planning data'!$D:$D,DataViz!$B46,'Supply planning data'!$C:$C,DataViz!BI$34),
IF(BI$35="Wastage",SUMIFS('Supply planning data'!$K:$K,'Supply planning data'!$D:$D,DataViz!$B46,'Supply planning data'!$C:$C,DataViz!BI$34),
IF(BI$35="Additional",SUMIFS('Supply planning data'!$I:$I,'Supply planning data'!$D:$D,DataViz!$B46,'Supply planning data'!$C:$C,DataViz!BI$34),
0))))</f>
        <v>0</v>
      </c>
      <c r="BJ46" s="22">
        <f>IF(BJ$35="Dose 1",SUMIFS('Supply planning data'!$G:$G,'Supply planning data'!$D:$D,DataViz!$B46,'Supply planning data'!$C:$C,DataViz!BJ$34),
IF(BJ$35="Dose 2",SUMIFS('Supply planning data'!$H:$H,'Supply planning data'!$D:$D,DataViz!$B46,'Supply planning data'!$C:$C,DataViz!BJ$34),
IF(BJ$35="Wastage",SUMIFS('Supply planning data'!$K:$K,'Supply planning data'!$D:$D,DataViz!$B46,'Supply planning data'!$C:$C,DataViz!BJ$34),
IF(BJ$35="Additional",SUMIFS('Supply planning data'!$I:$I,'Supply planning data'!$D:$D,DataViz!$B46,'Supply planning data'!$C:$C,DataViz!BJ$34),
0))))</f>
        <v>0</v>
      </c>
      <c r="BK46" s="22">
        <f>IF(BK$35="Dose 1",SUMIFS('Supply planning data'!$G:$G,'Supply planning data'!$D:$D,DataViz!$B46,'Supply planning data'!$C:$C,DataViz!BK$34),
IF(BK$35="Dose 2",SUMIFS('Supply planning data'!$H:$H,'Supply planning data'!$D:$D,DataViz!$B46,'Supply planning data'!$C:$C,DataViz!BK$34),
IF(BK$35="Wastage",SUMIFS('Supply planning data'!$K:$K,'Supply planning data'!$D:$D,DataViz!$B46,'Supply planning data'!$C:$C,DataViz!BK$34),
IF(BK$35="Additional",SUMIFS('Supply planning data'!$I:$I,'Supply planning data'!$D:$D,DataViz!$B46,'Supply planning data'!$C:$C,DataViz!BK$34),
0))))</f>
        <v>0</v>
      </c>
      <c r="BL46" s="22">
        <f>IF(BL$35="Dose 1",SUMIFS('Supply planning data'!$G:$G,'Supply planning data'!$D:$D,DataViz!$B46,'Supply planning data'!$C:$C,DataViz!BL$34),
IF(BL$35="Dose 2",SUMIFS('Supply planning data'!$H:$H,'Supply planning data'!$D:$D,DataViz!$B46,'Supply planning data'!$C:$C,DataViz!BL$34),
IF(BL$35="Wastage",SUMIFS('Supply planning data'!$K:$K,'Supply planning data'!$D:$D,DataViz!$B46,'Supply planning data'!$C:$C,DataViz!BL$34),
IF(BL$35="Additional",SUMIFS('Supply planning data'!$I:$I,'Supply planning data'!$D:$D,DataViz!$B46,'Supply planning data'!$C:$C,DataViz!BL$34),
0))))</f>
        <v>0</v>
      </c>
    </row>
    <row r="47" spans="1:64" x14ac:dyDescent="0.25">
      <c r="A47" s="20">
        <v>9</v>
      </c>
      <c r="B47" s="21">
        <f t="shared" si="15"/>
        <v>44531</v>
      </c>
      <c r="C47" s="22">
        <f>IF(VLOOKUP(Dashboard!$M$6,Start!$B$10:$E$12,4,FALSE)&gt;0,VLOOKUP(Dashboard!$M$6,Start!$B$10:$E$12,4, FALSE),VLOOKUP(Dashboard!$M$6,Start!$B$10:$E$12,3, FALSE))</f>
        <v>60000000</v>
      </c>
      <c r="D47" s="22">
        <f>SUMIFS('Supply planning data'!M:M,'Supply planning data'!D:D,"&lt;="&amp;DataViz!B47)</f>
        <v>1821035</v>
      </c>
      <c r="E47" s="22">
        <f>IF(E$35="Dose 1",SUMIFS('Supply planning data'!$G:$G,'Supply planning data'!$D:$D,DataViz!$B47,'Supply planning data'!$C:$C,DataViz!E$34),
IF(E$35="Dose 2",SUMIFS('Supply planning data'!$H:$H,'Supply planning data'!$D:$D,DataViz!$B47,'Supply planning data'!$C:$C,DataViz!E$34),
IF(E$35="Wastage",SUMIFS('Supply planning data'!$K:$K,'Supply planning data'!$D:$D,DataViz!$B47,'Supply planning data'!$C:$C,DataViz!E$34),
IF(E$35="Additional",SUMIFS('Supply planning data'!$I:$I,'Supply planning data'!$D:$D,DataViz!$B47,'Supply planning data'!$C:$C,DataViz!E$34),
0))))</f>
        <v>118681</v>
      </c>
      <c r="F47" s="22">
        <f>IF(F$35="Dose 1",SUMIFS('Supply planning data'!$G:$G,'Supply planning data'!$D:$D,DataViz!$B47,'Supply planning data'!$C:$C,DataViz!F$34),
IF(F$35="Dose 2",SUMIFS('Supply planning data'!$H:$H,'Supply planning data'!$D:$D,DataViz!$B47,'Supply planning data'!$C:$C,DataViz!F$34),
IF(F$35="Wastage",SUMIFS('Supply planning data'!$K:$K,'Supply planning data'!$D:$D,DataViz!$B47,'Supply planning data'!$C:$C,DataViz!F$34),
IF(F$35="Additional",SUMIFS('Supply planning data'!$I:$I,'Supply planning data'!$D:$D,DataViz!$B47,'Supply planning data'!$C:$C,DataViz!F$34),
0))))</f>
        <v>67691</v>
      </c>
      <c r="G47" s="22">
        <f>IF(G$35="Dose 1",SUMIFS('Supply planning data'!$G:$G,'Supply planning data'!$D:$D,DataViz!$B47,'Supply planning data'!$C:$C,DataViz!G$34),
IF(G$35="Dose 2",SUMIFS('Supply planning data'!$H:$H,'Supply planning data'!$D:$D,DataViz!$B47,'Supply planning data'!$C:$C,DataViz!G$34),
IF(G$35="Wastage",SUMIFS('Supply planning data'!$K:$K,'Supply planning data'!$D:$D,DataViz!$B47,'Supply planning data'!$C:$C,DataViz!G$34),
IF(G$35="Additional",SUMIFS('Supply planning data'!$I:$I,'Supply planning data'!$D:$D,DataViz!$B47,'Supply planning data'!$C:$C,DataViz!G$34),
0))))</f>
        <v>0</v>
      </c>
      <c r="H47" s="22">
        <f>IF(H$35="Dose 1",SUMIFS('Supply planning data'!$G:$G,'Supply planning data'!$D:$D,DataViz!$B47,'Supply planning data'!$C:$C,DataViz!H$34),
IF(H$35="Dose 2",SUMIFS('Supply planning data'!$H:$H,'Supply planning data'!$D:$D,DataViz!$B47,'Supply planning data'!$C:$C,DataViz!H$34),
IF(H$35="Wastage",SUMIFS('Supply planning data'!$K:$K,'Supply planning data'!$D:$D,DataViz!$B47,'Supply planning data'!$C:$C,DataViz!H$34),
IF(H$35="Additional",SUMIFS('Supply planning data'!$I:$I,'Supply planning data'!$D:$D,DataViz!$B47,'Supply planning data'!$C:$C,DataViz!H$34),
0))))</f>
        <v>0</v>
      </c>
      <c r="I47" s="22">
        <f>IF(I$35="Dose 1",SUMIFS('Supply planning data'!$G:$G,'Supply planning data'!$D:$D,DataViz!$B47,'Supply planning data'!$C:$C,DataViz!I$34),
IF(I$35="Dose 2",SUMIFS('Supply planning data'!$H:$H,'Supply planning data'!$D:$D,DataViz!$B47,'Supply planning data'!$C:$C,DataViz!I$34),
IF(I$35="Wastage",SUMIFS('Supply planning data'!$K:$K,'Supply planning data'!$D:$D,DataViz!$B47,'Supply planning data'!$C:$C,DataViz!I$34),
IF(I$35="Additional",SUMIFS('Supply planning data'!$I:$I,'Supply planning data'!$D:$D,DataViz!$B47,'Supply planning data'!$C:$C,DataViz!I$34),
0))))</f>
        <v>396897</v>
      </c>
      <c r="J47" s="22">
        <f>IF(J$35="Dose 1",SUMIFS('Supply planning data'!$G:$G,'Supply planning data'!$D:$D,DataViz!$B47,'Supply planning data'!$C:$C,DataViz!J$34),
IF(J$35="Dose 2",SUMIFS('Supply planning data'!$H:$H,'Supply planning data'!$D:$D,DataViz!$B47,'Supply planning data'!$C:$C,DataViz!J$34),
IF(J$35="Wastage",SUMIFS('Supply planning data'!$K:$K,'Supply planning data'!$D:$D,DataViz!$B47,'Supply planning data'!$C:$C,DataViz!J$34),
IF(J$35="Additional",SUMIFS('Supply planning data'!$I:$I,'Supply planning data'!$D:$D,DataViz!$B47,'Supply planning data'!$C:$C,DataViz!J$34),
0))))</f>
        <v>0</v>
      </c>
      <c r="K47" s="22">
        <f>IF(K$35="Dose 1",SUMIFS('Supply planning data'!$G:$G,'Supply planning data'!$D:$D,DataViz!$B47,'Supply planning data'!$C:$C,DataViz!K$34),
IF(K$35="Dose 2",SUMIFS('Supply planning data'!$H:$H,'Supply planning data'!$D:$D,DataViz!$B47,'Supply planning data'!$C:$C,DataViz!K$34),
IF(K$35="Wastage",SUMIFS('Supply planning data'!$K:$K,'Supply planning data'!$D:$D,DataViz!$B47,'Supply planning data'!$C:$C,DataViz!K$34),
IF(K$35="Additional",SUMIFS('Supply planning data'!$I:$I,'Supply planning data'!$D:$D,DataViz!$B47,'Supply planning data'!$C:$C,DataViz!K$34),
0))))</f>
        <v>0</v>
      </c>
      <c r="L47" s="22">
        <f>IF(L$35="Dose 1",SUMIFS('Supply planning data'!$G:$G,'Supply planning data'!$D:$D,DataViz!$B47,'Supply planning data'!$C:$C,DataViz!L$34),
IF(L$35="Dose 2",SUMIFS('Supply planning data'!$H:$H,'Supply planning data'!$D:$D,DataViz!$B47,'Supply planning data'!$C:$C,DataViz!L$34),
IF(L$35="Wastage",SUMIFS('Supply planning data'!$K:$K,'Supply planning data'!$D:$D,DataViz!$B47,'Supply planning data'!$C:$C,DataViz!L$34),
IF(L$35="Additional",SUMIFS('Supply planning data'!$I:$I,'Supply planning data'!$D:$D,DataViz!$B47,'Supply planning data'!$C:$C,DataViz!L$34),
0))))</f>
        <v>240</v>
      </c>
      <c r="M47" s="22">
        <f>IF(M$35="Dose 1",SUMIFS('Supply planning data'!$G:$G,'Supply planning data'!$D:$D,DataViz!$B47,'Supply planning data'!$C:$C,DataViz!M$34),
IF(M$35="Dose 2",SUMIFS('Supply planning data'!$H:$H,'Supply planning data'!$D:$D,DataViz!$B47,'Supply planning data'!$C:$C,DataViz!M$34),
IF(M$35="Wastage",SUMIFS('Supply planning data'!$K:$K,'Supply planning data'!$D:$D,DataViz!$B47,'Supply planning data'!$C:$C,DataViz!M$34),
IF(M$35="Additional",SUMIFS('Supply planning data'!$I:$I,'Supply planning data'!$D:$D,DataViz!$B47,'Supply planning data'!$C:$C,DataViz!M$34),
0))))</f>
        <v>0</v>
      </c>
      <c r="N47" s="22">
        <f>IF(N$35="Dose 1",SUMIFS('Supply planning data'!$G:$G,'Supply planning data'!$D:$D,DataViz!$B47,'Supply planning data'!$C:$C,DataViz!N$34),
IF(N$35="Dose 2",SUMIFS('Supply planning data'!$H:$H,'Supply planning data'!$D:$D,DataViz!$B47,'Supply planning data'!$C:$C,DataViz!N$34),
IF(N$35="Wastage",SUMIFS('Supply planning data'!$K:$K,'Supply planning data'!$D:$D,DataViz!$B47,'Supply planning data'!$C:$C,DataViz!N$34),
IF(N$35="Additional",SUMIFS('Supply planning data'!$I:$I,'Supply planning data'!$D:$D,DataViz!$B47,'Supply planning data'!$C:$C,DataViz!N$34),
0))))</f>
        <v>0</v>
      </c>
      <c r="O47" s="22">
        <f>IF(O$35="Dose 1",SUMIFS('Supply planning data'!$G:$G,'Supply planning data'!$D:$D,DataViz!$B47,'Supply planning data'!$C:$C,DataViz!O$34),
IF(O$35="Dose 2",SUMIFS('Supply planning data'!$H:$H,'Supply planning data'!$D:$D,DataViz!$B47,'Supply planning data'!$C:$C,DataViz!O$34),
IF(O$35="Wastage",SUMIFS('Supply planning data'!$K:$K,'Supply planning data'!$D:$D,DataViz!$B47,'Supply planning data'!$C:$C,DataViz!O$34),
IF(O$35="Additional",SUMIFS('Supply planning data'!$I:$I,'Supply planning data'!$D:$D,DataViz!$B47,'Supply planning data'!$C:$C,DataViz!O$34),
0))))</f>
        <v>0</v>
      </c>
      <c r="P47" s="22">
        <f>IF(P$35="Dose 1",SUMIFS('Supply planning data'!$G:$G,'Supply planning data'!$D:$D,DataViz!$B47,'Supply planning data'!$C:$C,DataViz!P$34),
IF(P$35="Dose 2",SUMIFS('Supply planning data'!$H:$H,'Supply planning data'!$D:$D,DataViz!$B47,'Supply planning data'!$C:$C,DataViz!P$34),
IF(P$35="Wastage",SUMIFS('Supply planning data'!$K:$K,'Supply planning data'!$D:$D,DataViz!$B47,'Supply planning data'!$C:$C,DataViz!P$34),
IF(P$35="Additional",SUMIFS('Supply planning data'!$I:$I,'Supply planning data'!$D:$D,DataViz!$B47,'Supply planning data'!$C:$C,DataViz!P$34),
0))))</f>
        <v>0</v>
      </c>
      <c r="Q47" s="22">
        <f>IF(Q$35="Dose 1",SUMIFS('Supply planning data'!$G:$G,'Supply planning data'!$D:$D,DataViz!$B47,'Supply planning data'!$C:$C,DataViz!Q$34),
IF(Q$35="Dose 2",SUMIFS('Supply planning data'!$H:$H,'Supply planning data'!$D:$D,DataViz!$B47,'Supply planning data'!$C:$C,DataViz!Q$34),
IF(Q$35="Wastage",SUMIFS('Supply planning data'!$K:$K,'Supply planning data'!$D:$D,DataViz!$B47,'Supply planning data'!$C:$C,DataViz!Q$34),
IF(Q$35="Additional",SUMIFS('Supply planning data'!$I:$I,'Supply planning data'!$D:$D,DataViz!$B47,'Supply planning data'!$C:$C,DataViz!Q$34),
0))))</f>
        <v>0</v>
      </c>
      <c r="R47" s="22">
        <f>IF(R$35="Dose 1",SUMIFS('Supply planning data'!$G:$G,'Supply planning data'!$D:$D,DataViz!$B47,'Supply planning data'!$C:$C,DataViz!R$34),
IF(R$35="Dose 2",SUMIFS('Supply planning data'!$H:$H,'Supply planning data'!$D:$D,DataViz!$B47,'Supply planning data'!$C:$C,DataViz!R$34),
IF(R$35="Wastage",SUMIFS('Supply planning data'!$K:$K,'Supply planning data'!$D:$D,DataViz!$B47,'Supply planning data'!$C:$C,DataViz!R$34),
IF(R$35="Additional",SUMIFS('Supply planning data'!$I:$I,'Supply planning data'!$D:$D,DataViz!$B47,'Supply planning data'!$C:$C,DataViz!R$34),
0))))</f>
        <v>0</v>
      </c>
      <c r="S47" s="22">
        <f>IF(S$35="Dose 1",SUMIFS('Supply planning data'!$G:$G,'Supply planning data'!$D:$D,DataViz!$B47,'Supply planning data'!$C:$C,DataViz!S$34),
IF(S$35="Dose 2",SUMIFS('Supply planning data'!$H:$H,'Supply planning data'!$D:$D,DataViz!$B47,'Supply planning data'!$C:$C,DataViz!S$34),
IF(S$35="Wastage",SUMIFS('Supply planning data'!$K:$K,'Supply planning data'!$D:$D,DataViz!$B47,'Supply planning data'!$C:$C,DataViz!S$34),
IF(S$35="Additional",SUMIFS('Supply planning data'!$I:$I,'Supply planning data'!$D:$D,DataViz!$B47,'Supply planning data'!$C:$C,DataViz!S$34),
0))))</f>
        <v>0</v>
      </c>
      <c r="T47" s="22">
        <f>IF(T$35="Dose 1",SUMIFS('Supply planning data'!$G:$G,'Supply planning data'!$D:$D,DataViz!$B47,'Supply planning data'!$C:$C,DataViz!T$34),
IF(T$35="Dose 2",SUMIFS('Supply planning data'!$H:$H,'Supply planning data'!$D:$D,DataViz!$B47,'Supply planning data'!$C:$C,DataViz!T$34),
IF(T$35="Wastage",SUMIFS('Supply planning data'!$K:$K,'Supply planning data'!$D:$D,DataViz!$B47,'Supply planning data'!$C:$C,DataViz!T$34),
IF(T$35="Additional",SUMIFS('Supply planning data'!$I:$I,'Supply planning data'!$D:$D,DataViz!$B47,'Supply planning data'!$C:$C,DataViz!T$34),
0))))</f>
        <v>0</v>
      </c>
      <c r="U47" s="22">
        <f>IF(U$35="Dose 1",SUMIFS('Supply planning data'!$G:$G,'Supply planning data'!$D:$D,DataViz!$B47,'Supply planning data'!$C:$C,DataViz!U$34),
IF(U$35="Dose 2",SUMIFS('Supply planning data'!$H:$H,'Supply planning data'!$D:$D,DataViz!$B47,'Supply planning data'!$C:$C,DataViz!U$34),
IF(U$35="Wastage",SUMIFS('Supply planning data'!$K:$K,'Supply planning data'!$D:$D,DataViz!$B47,'Supply planning data'!$C:$C,DataViz!U$34),
IF(U$35="Additional",SUMIFS('Supply planning data'!$I:$I,'Supply planning data'!$D:$D,DataViz!$B47,'Supply planning data'!$C:$C,DataViz!U$34),
0))))</f>
        <v>0</v>
      </c>
      <c r="V47" s="22">
        <f>IF(V$35="Dose 1",SUMIFS('Supply planning data'!$G:$G,'Supply planning data'!$D:$D,DataViz!$B47,'Supply planning data'!$C:$C,DataViz!V$34),
IF(V$35="Dose 2",SUMIFS('Supply planning data'!$H:$H,'Supply planning data'!$D:$D,DataViz!$B47,'Supply planning data'!$C:$C,DataViz!V$34),
IF(V$35="Wastage",SUMIFS('Supply planning data'!$K:$K,'Supply planning data'!$D:$D,DataViz!$B47,'Supply planning data'!$C:$C,DataViz!V$34),
IF(V$35="Additional",SUMIFS('Supply planning data'!$I:$I,'Supply planning data'!$D:$D,DataViz!$B47,'Supply planning data'!$C:$C,DataViz!V$34),
0))))</f>
        <v>0</v>
      </c>
      <c r="W47" s="22">
        <f>IF(W$35="Dose 1",SUMIFS('Supply planning data'!$G:$G,'Supply planning data'!$D:$D,DataViz!$B47,'Supply planning data'!$C:$C,DataViz!W$34),
IF(W$35="Dose 2",SUMIFS('Supply planning data'!$H:$H,'Supply planning data'!$D:$D,DataViz!$B47,'Supply planning data'!$C:$C,DataViz!W$34),
IF(W$35="Wastage",SUMIFS('Supply planning data'!$K:$K,'Supply planning data'!$D:$D,DataViz!$B47,'Supply planning data'!$C:$C,DataViz!W$34),
IF(W$35="Additional",SUMIFS('Supply planning data'!$I:$I,'Supply planning data'!$D:$D,DataViz!$B47,'Supply planning data'!$C:$C,DataViz!W$34),
0))))</f>
        <v>0</v>
      </c>
      <c r="X47" s="22">
        <f>IF(X$35="Dose 1",SUMIFS('Supply planning data'!$G:$G,'Supply planning data'!$D:$D,DataViz!$B47,'Supply planning data'!$C:$C,DataViz!X$34),
IF(X$35="Dose 2",SUMIFS('Supply planning data'!$H:$H,'Supply planning data'!$D:$D,DataViz!$B47,'Supply planning data'!$C:$C,DataViz!X$34),
IF(X$35="Wastage",SUMIFS('Supply planning data'!$K:$K,'Supply planning data'!$D:$D,DataViz!$B47,'Supply planning data'!$C:$C,DataViz!X$34),
IF(X$35="Additional",SUMIFS('Supply planning data'!$I:$I,'Supply planning data'!$D:$D,DataViz!$B47,'Supply planning data'!$C:$C,DataViz!X$34),
0))))</f>
        <v>0</v>
      </c>
      <c r="Y47" s="22">
        <f>IF(Y$35="Dose 1",SUMIFS('Supply planning data'!$G:$G,'Supply planning data'!$D:$D,DataViz!$B47,'Supply planning data'!$C:$C,DataViz!Y$34),
IF(Y$35="Dose 2",SUMIFS('Supply planning data'!$H:$H,'Supply planning data'!$D:$D,DataViz!$B47,'Supply planning data'!$C:$C,DataViz!Y$34),
IF(Y$35="Wastage",SUMIFS('Supply planning data'!$K:$K,'Supply planning data'!$D:$D,DataViz!$B47,'Supply planning data'!$C:$C,DataViz!Y$34),
IF(Y$35="Additional",SUMIFS('Supply planning data'!$I:$I,'Supply planning data'!$D:$D,DataViz!$B47,'Supply planning data'!$C:$C,DataViz!Y$34),
0))))</f>
        <v>0</v>
      </c>
      <c r="Z47" s="22">
        <f>IF(Z$35="Dose 1",SUMIFS('Supply planning data'!$G:$G,'Supply planning data'!$D:$D,DataViz!$B47,'Supply planning data'!$C:$C,DataViz!Z$34),
IF(Z$35="Dose 2",SUMIFS('Supply planning data'!$H:$H,'Supply planning data'!$D:$D,DataViz!$B47,'Supply planning data'!$C:$C,DataViz!Z$34),
IF(Z$35="Wastage",SUMIFS('Supply planning data'!$K:$K,'Supply planning data'!$D:$D,DataViz!$B47,'Supply planning data'!$C:$C,DataViz!Z$34),
IF(Z$35="Additional",SUMIFS('Supply planning data'!$I:$I,'Supply planning data'!$D:$D,DataViz!$B47,'Supply planning data'!$C:$C,DataViz!Z$34),
0))))</f>
        <v>0</v>
      </c>
      <c r="AA47" s="22">
        <f>IF(AA$35="Dose 1",SUMIFS('Supply planning data'!$G:$G,'Supply planning data'!$D:$D,DataViz!$B47,'Supply planning data'!$C:$C,DataViz!AA$34),
IF(AA$35="Dose 2",SUMIFS('Supply planning data'!$H:$H,'Supply planning data'!$D:$D,DataViz!$B47,'Supply planning data'!$C:$C,DataViz!AA$34),
IF(AA$35="Wastage",SUMIFS('Supply planning data'!$K:$K,'Supply planning data'!$D:$D,DataViz!$B47,'Supply planning data'!$C:$C,DataViz!AA$34),
IF(AA$35="Additional",SUMIFS('Supply planning data'!$I:$I,'Supply planning data'!$D:$D,DataViz!$B47,'Supply planning data'!$C:$C,DataViz!AA$34),
0))))</f>
        <v>0</v>
      </c>
      <c r="AB47" s="22">
        <f>IF(AB$35="Dose 1",SUMIFS('Supply planning data'!$G:$G,'Supply planning data'!$D:$D,DataViz!$B47,'Supply planning data'!$C:$C,DataViz!AB$34),
IF(AB$35="Dose 2",SUMIFS('Supply planning data'!$H:$H,'Supply planning data'!$D:$D,DataViz!$B47,'Supply planning data'!$C:$C,DataViz!AB$34),
IF(AB$35="Wastage",SUMIFS('Supply planning data'!$K:$K,'Supply planning data'!$D:$D,DataViz!$B47,'Supply planning data'!$C:$C,DataViz!AB$34),
IF(AB$35="Additional",SUMIFS('Supply planning data'!$I:$I,'Supply planning data'!$D:$D,DataViz!$B47,'Supply planning data'!$C:$C,DataViz!AB$34),
0))))</f>
        <v>0</v>
      </c>
      <c r="AC47" s="22">
        <f>IF(AC$35="Dose 1",SUMIFS('Supply planning data'!$G:$G,'Supply planning data'!$D:$D,DataViz!$B47,'Supply planning data'!$C:$C,DataViz!AC$34),
IF(AC$35="Dose 2",SUMIFS('Supply planning data'!$H:$H,'Supply planning data'!$D:$D,DataViz!$B47,'Supply planning data'!$C:$C,DataViz!AC$34),
IF(AC$35="Wastage",SUMIFS('Supply planning data'!$K:$K,'Supply planning data'!$D:$D,DataViz!$B47,'Supply planning data'!$C:$C,DataViz!AC$34),
IF(AC$35="Additional",SUMIFS('Supply planning data'!$I:$I,'Supply planning data'!$D:$D,DataViz!$B47,'Supply planning data'!$C:$C,DataViz!AC$34),
0))))</f>
        <v>0</v>
      </c>
      <c r="AD47" s="22">
        <f>IF(AD$35="Dose 1",SUMIFS('Supply planning data'!$G:$G,'Supply planning data'!$D:$D,DataViz!$B47,'Supply planning data'!$C:$C,DataViz!AD$34),
IF(AD$35="Dose 2",SUMIFS('Supply planning data'!$H:$H,'Supply planning data'!$D:$D,DataViz!$B47,'Supply planning data'!$C:$C,DataViz!AD$34),
IF(AD$35="Wastage",SUMIFS('Supply planning data'!$K:$K,'Supply planning data'!$D:$D,DataViz!$B47,'Supply planning data'!$C:$C,DataViz!AD$34),
IF(AD$35="Additional",SUMIFS('Supply planning data'!$I:$I,'Supply planning data'!$D:$D,DataViz!$B47,'Supply planning data'!$C:$C,DataViz!AD$34),
0))))</f>
        <v>0</v>
      </c>
      <c r="AE47" s="22">
        <f>IF(AE$35="Dose 1",SUMIFS('Supply planning data'!$G:$G,'Supply planning data'!$D:$D,DataViz!$B47,'Supply planning data'!$C:$C,DataViz!AE$34),
IF(AE$35="Dose 2",SUMIFS('Supply planning data'!$H:$H,'Supply planning data'!$D:$D,DataViz!$B47,'Supply planning data'!$C:$C,DataViz!AE$34),
IF(AE$35="Wastage",SUMIFS('Supply planning data'!$K:$K,'Supply planning data'!$D:$D,DataViz!$B47,'Supply planning data'!$C:$C,DataViz!AE$34),
IF(AE$35="Additional",SUMIFS('Supply planning data'!$I:$I,'Supply planning data'!$D:$D,DataViz!$B47,'Supply planning data'!$C:$C,DataViz!AE$34),
0))))</f>
        <v>0</v>
      </c>
      <c r="AF47" s="22">
        <f>IF(AF$35="Dose 1",SUMIFS('Supply planning data'!$G:$G,'Supply planning data'!$D:$D,DataViz!$B47,'Supply planning data'!$C:$C,DataViz!AF$34),
IF(AF$35="Dose 2",SUMIFS('Supply planning data'!$H:$H,'Supply planning data'!$D:$D,DataViz!$B47,'Supply planning data'!$C:$C,DataViz!AF$34),
IF(AF$35="Wastage",SUMIFS('Supply planning data'!$K:$K,'Supply planning data'!$D:$D,DataViz!$B47,'Supply planning data'!$C:$C,DataViz!AF$34),
IF(AF$35="Additional",SUMIFS('Supply planning data'!$I:$I,'Supply planning data'!$D:$D,DataViz!$B47,'Supply planning data'!$C:$C,DataViz!AF$34),
0))))</f>
        <v>0</v>
      </c>
      <c r="AG47" s="22">
        <f>IF(AG$35="Dose 1",SUMIFS('Supply planning data'!$G:$G,'Supply planning data'!$D:$D,DataViz!$B47,'Supply planning data'!$C:$C,DataViz!AG$34),
IF(AG$35="Dose 2",SUMIFS('Supply planning data'!$H:$H,'Supply planning data'!$D:$D,DataViz!$B47,'Supply planning data'!$C:$C,DataViz!AG$34),
IF(AG$35="Wastage",SUMIFS('Supply planning data'!$K:$K,'Supply planning data'!$D:$D,DataViz!$B47,'Supply planning data'!$C:$C,DataViz!AG$34),
IF(AG$35="Additional",SUMIFS('Supply planning data'!$I:$I,'Supply planning data'!$D:$D,DataViz!$B47,'Supply planning data'!$C:$C,DataViz!AG$34),
0))))</f>
        <v>0</v>
      </c>
      <c r="AH47" s="22">
        <f>IF(AH$35="Dose 1",SUMIFS('Supply planning data'!$G:$G,'Supply planning data'!$D:$D,DataViz!$B47,'Supply planning data'!$C:$C,DataViz!AH$34),
IF(AH$35="Dose 2",SUMIFS('Supply planning data'!$H:$H,'Supply planning data'!$D:$D,DataViz!$B47,'Supply planning data'!$C:$C,DataViz!AH$34),
IF(AH$35="Wastage",SUMIFS('Supply planning data'!$K:$K,'Supply planning data'!$D:$D,DataViz!$B47,'Supply planning data'!$C:$C,DataViz!AH$34),
IF(AH$35="Additional",SUMIFS('Supply planning data'!$I:$I,'Supply planning data'!$D:$D,DataViz!$B47,'Supply planning data'!$C:$C,DataViz!AH$34),
0))))</f>
        <v>0</v>
      </c>
      <c r="AI47" s="22">
        <f>IF(AI$35="Dose 1",SUMIFS('Supply planning data'!$G:$G,'Supply planning data'!$D:$D,DataViz!$B47,'Supply planning data'!$C:$C,DataViz!AI$34),
IF(AI$35="Dose 2",SUMIFS('Supply planning data'!$H:$H,'Supply planning data'!$D:$D,DataViz!$B47,'Supply planning data'!$C:$C,DataViz!AI$34),
IF(AI$35="Wastage",SUMIFS('Supply planning data'!$K:$K,'Supply planning data'!$D:$D,DataViz!$B47,'Supply planning data'!$C:$C,DataViz!AI$34),
IF(AI$35="Additional",SUMIFS('Supply planning data'!$I:$I,'Supply planning data'!$D:$D,DataViz!$B47,'Supply planning data'!$C:$C,DataViz!AI$34),
0))))</f>
        <v>0</v>
      </c>
      <c r="AJ47" s="22">
        <f>IF(AJ$35="Dose 1",SUMIFS('Supply planning data'!$G:$G,'Supply planning data'!$D:$D,DataViz!$B47,'Supply planning data'!$C:$C,DataViz!AJ$34),
IF(AJ$35="Dose 2",SUMIFS('Supply planning data'!$H:$H,'Supply planning data'!$D:$D,DataViz!$B47,'Supply planning data'!$C:$C,DataViz!AJ$34),
IF(AJ$35="Wastage",SUMIFS('Supply planning data'!$K:$K,'Supply planning data'!$D:$D,DataViz!$B47,'Supply planning data'!$C:$C,DataViz!AJ$34),
IF(AJ$35="Additional",SUMIFS('Supply planning data'!$I:$I,'Supply planning data'!$D:$D,DataViz!$B47,'Supply planning data'!$C:$C,DataViz!AJ$34),
0))))</f>
        <v>0</v>
      </c>
      <c r="AK47" s="22">
        <f>IF(AK$35="Dose 1",SUMIFS('Supply planning data'!$G:$G,'Supply planning data'!$D:$D,DataViz!$B47,'Supply planning data'!$C:$C,DataViz!AK$34),
IF(AK$35="Dose 2",SUMIFS('Supply planning data'!$H:$H,'Supply planning data'!$D:$D,DataViz!$B47,'Supply planning data'!$C:$C,DataViz!AK$34),
IF(AK$35="Wastage",SUMIFS('Supply planning data'!$K:$K,'Supply planning data'!$D:$D,DataViz!$B47,'Supply planning data'!$C:$C,DataViz!AK$34),
IF(AK$35="Additional",SUMIFS('Supply planning data'!$I:$I,'Supply planning data'!$D:$D,DataViz!$B47,'Supply planning data'!$C:$C,DataViz!AK$34),
0))))</f>
        <v>0</v>
      </c>
      <c r="AL47" s="22">
        <f>IF(AL$35="Dose 1",SUMIFS('Supply planning data'!$G:$G,'Supply planning data'!$D:$D,DataViz!$B47,'Supply planning data'!$C:$C,DataViz!AL$34),
IF(AL$35="Dose 2",SUMIFS('Supply planning data'!$H:$H,'Supply planning data'!$D:$D,DataViz!$B47,'Supply planning data'!$C:$C,DataViz!AL$34),
IF(AL$35="Wastage",SUMIFS('Supply planning data'!$K:$K,'Supply planning data'!$D:$D,DataViz!$B47,'Supply planning data'!$C:$C,DataViz!AL$34),
IF(AL$35="Additional",SUMIFS('Supply planning data'!$I:$I,'Supply planning data'!$D:$D,DataViz!$B47,'Supply planning data'!$C:$C,DataViz!AL$34),
0))))</f>
        <v>0</v>
      </c>
      <c r="AM47" s="22">
        <f>IF(AM$35="Dose 1",SUMIFS('Supply planning data'!$G:$G,'Supply planning data'!$D:$D,DataViz!$B47,'Supply planning data'!$C:$C,DataViz!AM$34),
IF(AM$35="Dose 2",SUMIFS('Supply planning data'!$H:$H,'Supply planning data'!$D:$D,DataViz!$B47,'Supply planning data'!$C:$C,DataViz!AM$34),
IF(AM$35="Wastage",SUMIFS('Supply planning data'!$K:$K,'Supply planning data'!$D:$D,DataViz!$B47,'Supply planning data'!$C:$C,DataViz!AM$34),
IF(AM$35="Additional",SUMIFS('Supply planning data'!$I:$I,'Supply planning data'!$D:$D,DataViz!$B47,'Supply planning data'!$C:$C,DataViz!AM$34),
0))))</f>
        <v>0</v>
      </c>
      <c r="AN47" s="22">
        <f>IF(AN$35="Dose 1",SUMIFS('Supply planning data'!$G:$G,'Supply planning data'!$D:$D,DataViz!$B47,'Supply planning data'!$C:$C,DataViz!AN$34),
IF(AN$35="Dose 2",SUMIFS('Supply planning data'!$H:$H,'Supply planning data'!$D:$D,DataViz!$B47,'Supply planning data'!$C:$C,DataViz!AN$34),
IF(AN$35="Wastage",SUMIFS('Supply planning data'!$K:$K,'Supply planning data'!$D:$D,DataViz!$B47,'Supply planning data'!$C:$C,DataViz!AN$34),
IF(AN$35="Additional",SUMIFS('Supply planning data'!$I:$I,'Supply planning data'!$D:$D,DataViz!$B47,'Supply planning data'!$C:$C,DataViz!AN$34),
0))))</f>
        <v>0</v>
      </c>
      <c r="AO47" s="22">
        <f>IF(AO$35="Dose 1",SUMIFS('Supply planning data'!$G:$G,'Supply planning data'!$D:$D,DataViz!$B47,'Supply planning data'!$C:$C,DataViz!AO$34),
IF(AO$35="Dose 2",SUMIFS('Supply planning data'!$H:$H,'Supply planning data'!$D:$D,DataViz!$B47,'Supply planning data'!$C:$C,DataViz!AO$34),
IF(AO$35="Wastage",SUMIFS('Supply planning data'!$K:$K,'Supply planning data'!$D:$D,DataViz!$B47,'Supply planning data'!$C:$C,DataViz!AO$34),
IF(AO$35="Additional",SUMIFS('Supply planning data'!$I:$I,'Supply planning data'!$D:$D,DataViz!$B47,'Supply planning data'!$C:$C,DataViz!AO$34),
0))))</f>
        <v>0</v>
      </c>
      <c r="AP47" s="22">
        <f>IF(AP$35="Dose 1",SUMIFS('Supply planning data'!$G:$G,'Supply planning data'!$D:$D,DataViz!$B47,'Supply planning data'!$C:$C,DataViz!AP$34),
IF(AP$35="Dose 2",SUMIFS('Supply planning data'!$H:$H,'Supply planning data'!$D:$D,DataViz!$B47,'Supply planning data'!$C:$C,DataViz!AP$34),
IF(AP$35="Wastage",SUMIFS('Supply planning data'!$K:$K,'Supply planning data'!$D:$D,DataViz!$B47,'Supply planning data'!$C:$C,DataViz!AP$34),
IF(AP$35="Additional",SUMIFS('Supply planning data'!$I:$I,'Supply planning data'!$D:$D,DataViz!$B47,'Supply planning data'!$C:$C,DataViz!AP$34),
0))))</f>
        <v>0</v>
      </c>
      <c r="AQ47" s="22">
        <f>IF(AQ$35="Dose 1",SUMIFS('Supply planning data'!$G:$G,'Supply planning data'!$D:$D,DataViz!$B47,'Supply planning data'!$C:$C,DataViz!AQ$34),
IF(AQ$35="Dose 2",SUMIFS('Supply planning data'!$H:$H,'Supply planning data'!$D:$D,DataViz!$B47,'Supply planning data'!$C:$C,DataViz!AQ$34),
IF(AQ$35="Wastage",SUMIFS('Supply planning data'!$K:$K,'Supply planning data'!$D:$D,DataViz!$B47,'Supply planning data'!$C:$C,DataViz!AQ$34),
IF(AQ$35="Additional",SUMIFS('Supply planning data'!$I:$I,'Supply planning data'!$D:$D,DataViz!$B47,'Supply planning data'!$C:$C,DataViz!AQ$34),
0))))</f>
        <v>0</v>
      </c>
      <c r="AR47" s="22">
        <f>IF(AR$35="Dose 1",SUMIFS('Supply planning data'!$G:$G,'Supply planning data'!$D:$D,DataViz!$B47,'Supply planning data'!$C:$C,DataViz!AR$34),
IF(AR$35="Dose 2",SUMIFS('Supply planning data'!$H:$H,'Supply planning data'!$D:$D,DataViz!$B47,'Supply planning data'!$C:$C,DataViz!AR$34),
IF(AR$35="Wastage",SUMIFS('Supply planning data'!$K:$K,'Supply planning data'!$D:$D,DataViz!$B47,'Supply planning data'!$C:$C,DataViz!AR$34),
IF(AR$35="Additional",SUMIFS('Supply planning data'!$I:$I,'Supply planning data'!$D:$D,DataViz!$B47,'Supply planning data'!$C:$C,DataViz!AR$34),
0))))</f>
        <v>0</v>
      </c>
      <c r="AS47" s="22">
        <f>IF(AS$35="Dose 1",SUMIFS('Supply planning data'!$G:$G,'Supply planning data'!$D:$D,DataViz!$B47,'Supply planning data'!$C:$C,DataViz!AS$34),
IF(AS$35="Dose 2",SUMIFS('Supply planning data'!$H:$H,'Supply planning data'!$D:$D,DataViz!$B47,'Supply planning data'!$C:$C,DataViz!AS$34),
IF(AS$35="Wastage",SUMIFS('Supply planning data'!$K:$K,'Supply planning data'!$D:$D,DataViz!$B47,'Supply planning data'!$C:$C,DataViz!AS$34),
IF(AS$35="Additional",SUMIFS('Supply planning data'!$I:$I,'Supply planning data'!$D:$D,DataViz!$B47,'Supply planning data'!$C:$C,DataViz!AS$34),
0))))</f>
        <v>0</v>
      </c>
      <c r="AT47" s="22">
        <f>IF(AT$35="Dose 1",SUMIFS('Supply planning data'!$G:$G,'Supply planning data'!$D:$D,DataViz!$B47,'Supply planning data'!$C:$C,DataViz!AT$34),
IF(AT$35="Dose 2",SUMIFS('Supply planning data'!$H:$H,'Supply planning data'!$D:$D,DataViz!$B47,'Supply planning data'!$C:$C,DataViz!AT$34),
IF(AT$35="Wastage",SUMIFS('Supply planning data'!$K:$K,'Supply planning data'!$D:$D,DataViz!$B47,'Supply planning data'!$C:$C,DataViz!AT$34),
IF(AT$35="Additional",SUMIFS('Supply planning data'!$I:$I,'Supply planning data'!$D:$D,DataViz!$B47,'Supply planning data'!$C:$C,DataViz!AT$34),
0))))</f>
        <v>0</v>
      </c>
      <c r="AU47" s="22">
        <f>IF(AU$35="Dose 1",SUMIFS('Supply planning data'!$G:$G,'Supply planning data'!$D:$D,DataViz!$B47,'Supply planning data'!$C:$C,DataViz!AU$34),
IF(AU$35="Dose 2",SUMIFS('Supply planning data'!$H:$H,'Supply planning data'!$D:$D,DataViz!$B47,'Supply planning data'!$C:$C,DataViz!AU$34),
IF(AU$35="Wastage",SUMIFS('Supply planning data'!$K:$K,'Supply planning data'!$D:$D,DataViz!$B47,'Supply planning data'!$C:$C,DataViz!AU$34),
IF(AU$35="Additional",SUMIFS('Supply planning data'!$I:$I,'Supply planning data'!$D:$D,DataViz!$B47,'Supply planning data'!$C:$C,DataViz!AU$34),
0))))</f>
        <v>0</v>
      </c>
      <c r="AV47" s="22">
        <f>IF(AV$35="Dose 1",SUMIFS('Supply planning data'!$G:$G,'Supply planning data'!$D:$D,DataViz!$B47,'Supply planning data'!$C:$C,DataViz!AV$34),
IF(AV$35="Dose 2",SUMIFS('Supply planning data'!$H:$H,'Supply planning data'!$D:$D,DataViz!$B47,'Supply planning data'!$C:$C,DataViz!AV$34),
IF(AV$35="Wastage",SUMIFS('Supply planning data'!$K:$K,'Supply planning data'!$D:$D,DataViz!$B47,'Supply planning data'!$C:$C,DataViz!AV$34),
IF(AV$35="Additional",SUMIFS('Supply planning data'!$I:$I,'Supply planning data'!$D:$D,DataViz!$B47,'Supply planning data'!$C:$C,DataViz!AV$34),
0))))</f>
        <v>0</v>
      </c>
      <c r="AW47" s="22">
        <f>IF(AW$35="Dose 1",SUMIFS('Supply planning data'!$G:$G,'Supply planning data'!$D:$D,DataViz!$B47,'Supply planning data'!$C:$C,DataViz!AW$34),
IF(AW$35="Dose 2",SUMIFS('Supply planning data'!$H:$H,'Supply planning data'!$D:$D,DataViz!$B47,'Supply planning data'!$C:$C,DataViz!AW$34),
IF(AW$35="Wastage",SUMIFS('Supply planning data'!$K:$K,'Supply planning data'!$D:$D,DataViz!$B47,'Supply planning data'!$C:$C,DataViz!AW$34),
IF(AW$35="Additional",SUMIFS('Supply planning data'!$I:$I,'Supply planning data'!$D:$D,DataViz!$B47,'Supply planning data'!$C:$C,DataViz!AW$34),
0))))</f>
        <v>0</v>
      </c>
      <c r="AX47" s="22">
        <f>IF(AX$35="Dose 1",SUMIFS('Supply planning data'!$G:$G,'Supply planning data'!$D:$D,DataViz!$B47,'Supply planning data'!$C:$C,DataViz!AX$34),
IF(AX$35="Dose 2",SUMIFS('Supply planning data'!$H:$H,'Supply planning data'!$D:$D,DataViz!$B47,'Supply planning data'!$C:$C,DataViz!AX$34),
IF(AX$35="Wastage",SUMIFS('Supply planning data'!$K:$K,'Supply planning data'!$D:$D,DataViz!$B47,'Supply planning data'!$C:$C,DataViz!AX$34),
IF(AX$35="Additional",SUMIFS('Supply planning data'!$I:$I,'Supply planning data'!$D:$D,DataViz!$B47,'Supply planning data'!$C:$C,DataViz!AX$34),
0))))</f>
        <v>0</v>
      </c>
      <c r="AY47" s="22">
        <f>IF(AY$35="Dose 1",SUMIFS('Supply planning data'!$G:$G,'Supply planning data'!$D:$D,DataViz!$B47,'Supply planning data'!$C:$C,DataViz!AY$34),
IF(AY$35="Dose 2",SUMIFS('Supply planning data'!$H:$H,'Supply planning data'!$D:$D,DataViz!$B47,'Supply planning data'!$C:$C,DataViz!AY$34),
IF(AY$35="Wastage",SUMIFS('Supply planning data'!$K:$K,'Supply planning data'!$D:$D,DataViz!$B47,'Supply planning data'!$C:$C,DataViz!AY$34),
IF(AY$35="Additional",SUMIFS('Supply planning data'!$I:$I,'Supply planning data'!$D:$D,DataViz!$B47,'Supply planning data'!$C:$C,DataViz!AY$34),
0))))</f>
        <v>0</v>
      </c>
      <c r="AZ47" s="22">
        <f>IF(AZ$35="Dose 1",SUMIFS('Supply planning data'!$G:$G,'Supply planning data'!$D:$D,DataViz!$B47,'Supply planning data'!$C:$C,DataViz!AZ$34),
IF(AZ$35="Dose 2",SUMIFS('Supply planning data'!$H:$H,'Supply planning data'!$D:$D,DataViz!$B47,'Supply planning data'!$C:$C,DataViz!AZ$34),
IF(AZ$35="Wastage",SUMIFS('Supply planning data'!$K:$K,'Supply planning data'!$D:$D,DataViz!$B47,'Supply planning data'!$C:$C,DataViz!AZ$34),
IF(AZ$35="Additional",SUMIFS('Supply planning data'!$I:$I,'Supply planning data'!$D:$D,DataViz!$B47,'Supply planning data'!$C:$C,DataViz!AZ$34),
0))))</f>
        <v>0</v>
      </c>
      <c r="BA47" s="22">
        <f>IF(BA$35="Dose 1",SUMIFS('Supply planning data'!$G:$G,'Supply planning data'!$D:$D,DataViz!$B47,'Supply planning data'!$C:$C,DataViz!BA$34),
IF(BA$35="Dose 2",SUMIFS('Supply planning data'!$H:$H,'Supply planning data'!$D:$D,DataViz!$B47,'Supply planning data'!$C:$C,DataViz!BA$34),
IF(BA$35="Wastage",SUMIFS('Supply planning data'!$K:$K,'Supply planning data'!$D:$D,DataViz!$B47,'Supply planning data'!$C:$C,DataViz!BA$34),
IF(BA$35="Additional",SUMIFS('Supply planning data'!$I:$I,'Supply planning data'!$D:$D,DataViz!$B47,'Supply planning data'!$C:$C,DataViz!BA$34),
0))))</f>
        <v>0</v>
      </c>
      <c r="BB47" s="22">
        <f>IF(BB$35="Dose 1",SUMIFS('Supply planning data'!$G:$G,'Supply planning data'!$D:$D,DataViz!$B47,'Supply planning data'!$C:$C,DataViz!BB$34),
IF(BB$35="Dose 2",SUMIFS('Supply planning data'!$H:$H,'Supply planning data'!$D:$D,DataViz!$B47,'Supply planning data'!$C:$C,DataViz!BB$34),
IF(BB$35="Wastage",SUMIFS('Supply planning data'!$K:$K,'Supply planning data'!$D:$D,DataViz!$B47,'Supply planning data'!$C:$C,DataViz!BB$34),
IF(BB$35="Additional",SUMIFS('Supply planning data'!$I:$I,'Supply planning data'!$D:$D,DataViz!$B47,'Supply planning data'!$C:$C,DataViz!BB$34),
0))))</f>
        <v>0</v>
      </c>
      <c r="BC47" s="22">
        <f>IF(BC$35="Dose 1",SUMIFS('Supply planning data'!$G:$G,'Supply planning data'!$D:$D,DataViz!$B47,'Supply planning data'!$C:$C,DataViz!BC$34),
IF(BC$35="Dose 2",SUMIFS('Supply planning data'!$H:$H,'Supply planning data'!$D:$D,DataViz!$B47,'Supply planning data'!$C:$C,DataViz!BC$34),
IF(BC$35="Wastage",SUMIFS('Supply planning data'!$K:$K,'Supply planning data'!$D:$D,DataViz!$B47,'Supply planning data'!$C:$C,DataViz!BC$34),
IF(BC$35="Additional",SUMIFS('Supply planning data'!$I:$I,'Supply planning data'!$D:$D,DataViz!$B47,'Supply planning data'!$C:$C,DataViz!BC$34),
0))))</f>
        <v>0</v>
      </c>
      <c r="BD47" s="22">
        <f>IF(BD$35="Dose 1",SUMIFS('Supply planning data'!$G:$G,'Supply planning data'!$D:$D,DataViz!$B47,'Supply planning data'!$C:$C,DataViz!BD$34),
IF(BD$35="Dose 2",SUMIFS('Supply planning data'!$H:$H,'Supply planning data'!$D:$D,DataViz!$B47,'Supply planning data'!$C:$C,DataViz!BD$34),
IF(BD$35="Wastage",SUMIFS('Supply planning data'!$K:$K,'Supply planning data'!$D:$D,DataViz!$B47,'Supply planning data'!$C:$C,DataViz!BD$34),
IF(BD$35="Additional",SUMIFS('Supply planning data'!$I:$I,'Supply planning data'!$D:$D,DataViz!$B47,'Supply planning data'!$C:$C,DataViz!BD$34),
0))))</f>
        <v>0</v>
      </c>
      <c r="BE47" s="22">
        <f>IF(BE$35="Dose 1",SUMIFS('Supply planning data'!$G:$G,'Supply planning data'!$D:$D,DataViz!$B47,'Supply planning data'!$C:$C,DataViz!BE$34),
IF(BE$35="Dose 2",SUMIFS('Supply planning data'!$H:$H,'Supply planning data'!$D:$D,DataViz!$B47,'Supply planning data'!$C:$C,DataViz!BE$34),
IF(BE$35="Wastage",SUMIFS('Supply planning data'!$K:$K,'Supply planning data'!$D:$D,DataViz!$B47,'Supply planning data'!$C:$C,DataViz!BE$34),
IF(BE$35="Additional",SUMIFS('Supply planning data'!$I:$I,'Supply planning data'!$D:$D,DataViz!$B47,'Supply planning data'!$C:$C,DataViz!BE$34),
0))))</f>
        <v>0</v>
      </c>
      <c r="BF47" s="22">
        <f>IF(BF$35="Dose 1",SUMIFS('Supply planning data'!$G:$G,'Supply planning data'!$D:$D,DataViz!$B47,'Supply planning data'!$C:$C,DataViz!BF$34),
IF(BF$35="Dose 2",SUMIFS('Supply planning data'!$H:$H,'Supply planning data'!$D:$D,DataViz!$B47,'Supply planning data'!$C:$C,DataViz!BF$34),
IF(BF$35="Wastage",SUMIFS('Supply planning data'!$K:$K,'Supply planning data'!$D:$D,DataViz!$B47,'Supply planning data'!$C:$C,DataViz!BF$34),
IF(BF$35="Additional",SUMIFS('Supply planning data'!$I:$I,'Supply planning data'!$D:$D,DataViz!$B47,'Supply planning data'!$C:$C,DataViz!BF$34),
0))))</f>
        <v>0</v>
      </c>
      <c r="BG47" s="22">
        <f>IF(BG$35="Dose 1",SUMIFS('Supply planning data'!$G:$G,'Supply planning data'!$D:$D,DataViz!$B47,'Supply planning data'!$C:$C,DataViz!BG$34),
IF(BG$35="Dose 2",SUMIFS('Supply planning data'!$H:$H,'Supply planning data'!$D:$D,DataViz!$B47,'Supply planning data'!$C:$C,DataViz!BG$34),
IF(BG$35="Wastage",SUMIFS('Supply planning data'!$K:$K,'Supply planning data'!$D:$D,DataViz!$B47,'Supply planning data'!$C:$C,DataViz!BG$34),
IF(BG$35="Additional",SUMIFS('Supply planning data'!$I:$I,'Supply planning data'!$D:$D,DataViz!$B47,'Supply planning data'!$C:$C,DataViz!BG$34),
0))))</f>
        <v>0</v>
      </c>
      <c r="BH47" s="22">
        <f>IF(BH$35="Dose 1",SUMIFS('Supply planning data'!$G:$G,'Supply planning data'!$D:$D,DataViz!$B47,'Supply planning data'!$C:$C,DataViz!BH$34),
IF(BH$35="Dose 2",SUMIFS('Supply planning data'!$H:$H,'Supply planning data'!$D:$D,DataViz!$B47,'Supply planning data'!$C:$C,DataViz!BH$34),
IF(BH$35="Wastage",SUMIFS('Supply planning data'!$K:$K,'Supply planning data'!$D:$D,DataViz!$B47,'Supply planning data'!$C:$C,DataViz!BH$34),
IF(BH$35="Additional",SUMIFS('Supply planning data'!$I:$I,'Supply planning data'!$D:$D,DataViz!$B47,'Supply planning data'!$C:$C,DataViz!BH$34),
0))))</f>
        <v>0</v>
      </c>
      <c r="BI47" s="22">
        <f>IF(BI$35="Dose 1",SUMIFS('Supply planning data'!$G:$G,'Supply planning data'!$D:$D,DataViz!$B47,'Supply planning data'!$C:$C,DataViz!BI$34),
IF(BI$35="Dose 2",SUMIFS('Supply planning data'!$H:$H,'Supply planning data'!$D:$D,DataViz!$B47,'Supply planning data'!$C:$C,DataViz!BI$34),
IF(BI$35="Wastage",SUMIFS('Supply planning data'!$K:$K,'Supply planning data'!$D:$D,DataViz!$B47,'Supply planning data'!$C:$C,DataViz!BI$34),
IF(BI$35="Additional",SUMIFS('Supply planning data'!$I:$I,'Supply planning data'!$D:$D,DataViz!$B47,'Supply planning data'!$C:$C,DataViz!BI$34),
0))))</f>
        <v>0</v>
      </c>
      <c r="BJ47" s="22">
        <f>IF(BJ$35="Dose 1",SUMIFS('Supply planning data'!$G:$G,'Supply planning data'!$D:$D,DataViz!$B47,'Supply planning data'!$C:$C,DataViz!BJ$34),
IF(BJ$35="Dose 2",SUMIFS('Supply planning data'!$H:$H,'Supply planning data'!$D:$D,DataViz!$B47,'Supply planning data'!$C:$C,DataViz!BJ$34),
IF(BJ$35="Wastage",SUMIFS('Supply planning data'!$K:$K,'Supply planning data'!$D:$D,DataViz!$B47,'Supply planning data'!$C:$C,DataViz!BJ$34),
IF(BJ$35="Additional",SUMIFS('Supply planning data'!$I:$I,'Supply planning data'!$D:$D,DataViz!$B47,'Supply planning data'!$C:$C,DataViz!BJ$34),
0))))</f>
        <v>0</v>
      </c>
      <c r="BK47" s="22">
        <f>IF(BK$35="Dose 1",SUMIFS('Supply planning data'!$G:$G,'Supply planning data'!$D:$D,DataViz!$B47,'Supply planning data'!$C:$C,DataViz!BK$34),
IF(BK$35="Dose 2",SUMIFS('Supply planning data'!$H:$H,'Supply planning data'!$D:$D,DataViz!$B47,'Supply planning data'!$C:$C,DataViz!BK$34),
IF(BK$35="Wastage",SUMIFS('Supply planning data'!$K:$K,'Supply planning data'!$D:$D,DataViz!$B47,'Supply planning data'!$C:$C,DataViz!BK$34),
IF(BK$35="Additional",SUMIFS('Supply planning data'!$I:$I,'Supply planning data'!$D:$D,DataViz!$B47,'Supply planning data'!$C:$C,DataViz!BK$34),
0))))</f>
        <v>0</v>
      </c>
      <c r="BL47" s="22">
        <f>IF(BL$35="Dose 1",SUMIFS('Supply planning data'!$G:$G,'Supply planning data'!$D:$D,DataViz!$B47,'Supply planning data'!$C:$C,DataViz!BL$34),
IF(BL$35="Dose 2",SUMIFS('Supply planning data'!$H:$H,'Supply planning data'!$D:$D,DataViz!$B47,'Supply planning data'!$C:$C,DataViz!BL$34),
IF(BL$35="Wastage",SUMIFS('Supply planning data'!$K:$K,'Supply planning data'!$D:$D,DataViz!$B47,'Supply planning data'!$C:$C,DataViz!BL$34),
IF(BL$35="Additional",SUMIFS('Supply planning data'!$I:$I,'Supply planning data'!$D:$D,DataViz!$B47,'Supply planning data'!$C:$C,DataViz!BL$34),
0))))</f>
        <v>0</v>
      </c>
    </row>
    <row r="48" spans="1:64" x14ac:dyDescent="0.25">
      <c r="A48" s="20">
        <v>10</v>
      </c>
      <c r="B48" s="21">
        <f t="shared" si="15"/>
        <v>44562</v>
      </c>
      <c r="C48" s="22">
        <f>IF(VLOOKUP(Dashboard!$M$6,Start!$B$10:$E$12,4,FALSE)&gt;0,VLOOKUP(Dashboard!$M$6,Start!$B$10:$E$12,4, FALSE),VLOOKUP(Dashboard!$M$6,Start!$B$10:$E$12,3, FALSE))</f>
        <v>60000000</v>
      </c>
      <c r="D48" s="22">
        <f>SUMIFS('Supply planning data'!M:M,'Supply planning data'!D:D,"&lt;="&amp;DataViz!B48)</f>
        <v>2017490</v>
      </c>
      <c r="E48" s="22">
        <f>IF(E$35="Dose 1",SUMIFS('Supply planning data'!$G:$G,'Supply planning data'!$D:$D,DataViz!$B48,'Supply planning data'!$C:$C,DataViz!E$34),
IF(E$35="Dose 2",SUMIFS('Supply planning data'!$H:$H,'Supply planning data'!$D:$D,DataViz!$B48,'Supply planning data'!$C:$C,DataViz!E$34),
IF(E$35="Wastage",SUMIFS('Supply planning data'!$K:$K,'Supply planning data'!$D:$D,DataViz!$B48,'Supply planning data'!$C:$C,DataViz!E$34),
IF(E$35="Additional",SUMIFS('Supply planning data'!$I:$I,'Supply planning data'!$D:$D,DataViz!$B48,'Supply planning data'!$C:$C,DataViz!E$34),
0))))</f>
        <v>16408</v>
      </c>
      <c r="F48" s="22">
        <f>IF(F$35="Dose 1",SUMIFS('Supply planning data'!$G:$G,'Supply planning data'!$D:$D,DataViz!$B48,'Supply planning data'!$C:$C,DataViz!F$34),
IF(F$35="Dose 2",SUMIFS('Supply planning data'!$H:$H,'Supply planning data'!$D:$D,DataViz!$B48,'Supply planning data'!$C:$C,DataViz!F$34),
IF(F$35="Wastage",SUMIFS('Supply planning data'!$K:$K,'Supply planning data'!$D:$D,DataViz!$B48,'Supply planning data'!$C:$C,DataViz!F$34),
IF(F$35="Additional",SUMIFS('Supply planning data'!$I:$I,'Supply planning data'!$D:$D,DataViz!$B48,'Supply planning data'!$C:$C,DataViz!F$34),
0))))</f>
        <v>1378</v>
      </c>
      <c r="G48" s="22">
        <f>IF(G$35="Dose 1",SUMIFS('Supply planning data'!$G:$G,'Supply planning data'!$D:$D,DataViz!$B48,'Supply planning data'!$C:$C,DataViz!G$34),
IF(G$35="Dose 2",SUMIFS('Supply planning data'!$H:$H,'Supply planning data'!$D:$D,DataViz!$B48,'Supply planning data'!$C:$C,DataViz!G$34),
IF(G$35="Wastage",SUMIFS('Supply planning data'!$K:$K,'Supply planning data'!$D:$D,DataViz!$B48,'Supply planning data'!$C:$C,DataViz!G$34),
IF(G$35="Additional",SUMIFS('Supply planning data'!$I:$I,'Supply planning data'!$D:$D,DataViz!$B48,'Supply planning data'!$C:$C,DataViz!G$34),
0))))</f>
        <v>0</v>
      </c>
      <c r="H48" s="22">
        <f>IF(H$35="Dose 1",SUMIFS('Supply planning data'!$G:$G,'Supply planning data'!$D:$D,DataViz!$B48,'Supply planning data'!$C:$C,DataViz!H$34),
IF(H$35="Dose 2",SUMIFS('Supply planning data'!$H:$H,'Supply planning data'!$D:$D,DataViz!$B48,'Supply planning data'!$C:$C,DataViz!H$34),
IF(H$35="Wastage",SUMIFS('Supply planning data'!$K:$K,'Supply planning data'!$D:$D,DataViz!$B48,'Supply planning data'!$C:$C,DataViz!H$34),
IF(H$35="Additional",SUMIFS('Supply planning data'!$I:$I,'Supply planning data'!$D:$D,DataViz!$B48,'Supply planning data'!$C:$C,DataViz!H$34),
0))))</f>
        <v>0</v>
      </c>
      <c r="I48" s="22">
        <f>IF(I$35="Dose 1",SUMIFS('Supply planning data'!$G:$G,'Supply planning data'!$D:$D,DataViz!$B48,'Supply planning data'!$C:$C,DataViz!I$34),
IF(I$35="Dose 2",SUMIFS('Supply planning data'!$H:$H,'Supply planning data'!$D:$D,DataViz!$B48,'Supply planning data'!$C:$C,DataViz!I$34),
IF(I$35="Wastage",SUMIFS('Supply planning data'!$K:$K,'Supply planning data'!$D:$D,DataViz!$B48,'Supply planning data'!$C:$C,DataViz!I$34),
IF(I$35="Additional",SUMIFS('Supply planning data'!$I:$I,'Supply planning data'!$D:$D,DataViz!$B48,'Supply planning data'!$C:$C,DataViz!I$34),
0))))</f>
        <v>135563</v>
      </c>
      <c r="J48" s="22">
        <f>IF(J$35="Dose 1",SUMIFS('Supply planning data'!$G:$G,'Supply planning data'!$D:$D,DataViz!$B48,'Supply planning data'!$C:$C,DataViz!J$34),
IF(J$35="Dose 2",SUMIFS('Supply planning data'!$H:$H,'Supply planning data'!$D:$D,DataViz!$B48,'Supply planning data'!$C:$C,DataViz!J$34),
IF(J$35="Wastage",SUMIFS('Supply planning data'!$K:$K,'Supply planning data'!$D:$D,DataViz!$B48,'Supply planning data'!$C:$C,DataViz!J$34),
IF(J$35="Additional",SUMIFS('Supply planning data'!$I:$I,'Supply planning data'!$D:$D,DataViz!$B48,'Supply planning data'!$C:$C,DataViz!J$34),
0))))</f>
        <v>0</v>
      </c>
      <c r="K48" s="22">
        <f>IF(K$35="Dose 1",SUMIFS('Supply planning data'!$G:$G,'Supply planning data'!$D:$D,DataViz!$B48,'Supply planning data'!$C:$C,DataViz!K$34),
IF(K$35="Dose 2",SUMIFS('Supply planning data'!$H:$H,'Supply planning data'!$D:$D,DataViz!$B48,'Supply planning data'!$C:$C,DataViz!K$34),
IF(K$35="Wastage",SUMIFS('Supply planning data'!$K:$K,'Supply planning data'!$D:$D,DataViz!$B48,'Supply planning data'!$C:$C,DataViz!K$34),
IF(K$35="Additional",SUMIFS('Supply planning data'!$I:$I,'Supply planning data'!$D:$D,DataViz!$B48,'Supply planning data'!$C:$C,DataViz!K$34),
0))))</f>
        <v>0</v>
      </c>
      <c r="L48" s="22">
        <f>IF(L$35="Dose 1",SUMIFS('Supply planning data'!$G:$G,'Supply planning data'!$D:$D,DataViz!$B48,'Supply planning data'!$C:$C,DataViz!L$34),
IF(L$35="Dose 2",SUMIFS('Supply planning data'!$H:$H,'Supply planning data'!$D:$D,DataViz!$B48,'Supply planning data'!$C:$C,DataViz!L$34),
IF(L$35="Wastage",SUMIFS('Supply planning data'!$K:$K,'Supply planning data'!$D:$D,DataViz!$B48,'Supply planning data'!$C:$C,DataViz!L$34),
IF(L$35="Additional",SUMIFS('Supply planning data'!$I:$I,'Supply planning data'!$D:$D,DataViz!$B48,'Supply planning data'!$C:$C,DataViz!L$34),
0))))</f>
        <v>760</v>
      </c>
      <c r="M48" s="22">
        <f>IF(M$35="Dose 1",SUMIFS('Supply planning data'!$G:$G,'Supply planning data'!$D:$D,DataViz!$B48,'Supply planning data'!$C:$C,DataViz!M$34),
IF(M$35="Dose 2",SUMIFS('Supply planning data'!$H:$H,'Supply planning data'!$D:$D,DataViz!$B48,'Supply planning data'!$C:$C,DataViz!M$34),
IF(M$35="Wastage",SUMIFS('Supply planning data'!$K:$K,'Supply planning data'!$D:$D,DataViz!$B48,'Supply planning data'!$C:$C,DataViz!M$34),
IF(M$35="Additional",SUMIFS('Supply planning data'!$I:$I,'Supply planning data'!$D:$D,DataViz!$B48,'Supply planning data'!$C:$C,DataViz!M$34),
0))))</f>
        <v>0</v>
      </c>
      <c r="N48" s="22">
        <f>IF(N$35="Dose 1",SUMIFS('Supply planning data'!$G:$G,'Supply planning data'!$D:$D,DataViz!$B48,'Supply planning data'!$C:$C,DataViz!N$34),
IF(N$35="Dose 2",SUMIFS('Supply planning data'!$H:$H,'Supply planning data'!$D:$D,DataViz!$B48,'Supply planning data'!$C:$C,DataViz!N$34),
IF(N$35="Wastage",SUMIFS('Supply planning data'!$K:$K,'Supply planning data'!$D:$D,DataViz!$B48,'Supply planning data'!$C:$C,DataViz!N$34),
IF(N$35="Additional",SUMIFS('Supply planning data'!$I:$I,'Supply planning data'!$D:$D,DataViz!$B48,'Supply planning data'!$C:$C,DataViz!N$34),
0))))</f>
        <v>0</v>
      </c>
      <c r="O48" s="22">
        <f>IF(O$35="Dose 1",SUMIFS('Supply planning data'!$G:$G,'Supply planning data'!$D:$D,DataViz!$B48,'Supply planning data'!$C:$C,DataViz!O$34),
IF(O$35="Dose 2",SUMIFS('Supply planning data'!$H:$H,'Supply planning data'!$D:$D,DataViz!$B48,'Supply planning data'!$C:$C,DataViz!O$34),
IF(O$35="Wastage",SUMIFS('Supply planning data'!$K:$K,'Supply planning data'!$D:$D,DataViz!$B48,'Supply planning data'!$C:$C,DataViz!O$34),
IF(O$35="Additional",SUMIFS('Supply planning data'!$I:$I,'Supply planning data'!$D:$D,DataViz!$B48,'Supply planning data'!$C:$C,DataViz!O$34),
0))))</f>
        <v>0</v>
      </c>
      <c r="P48" s="22">
        <f>IF(P$35="Dose 1",SUMIFS('Supply planning data'!$G:$G,'Supply planning data'!$D:$D,DataViz!$B48,'Supply planning data'!$C:$C,DataViz!P$34),
IF(P$35="Dose 2",SUMIFS('Supply planning data'!$H:$H,'Supply planning data'!$D:$D,DataViz!$B48,'Supply planning data'!$C:$C,DataViz!P$34),
IF(P$35="Wastage",SUMIFS('Supply planning data'!$K:$K,'Supply planning data'!$D:$D,DataViz!$B48,'Supply planning data'!$C:$C,DataViz!P$34),
IF(P$35="Additional",SUMIFS('Supply planning data'!$I:$I,'Supply planning data'!$D:$D,DataViz!$B48,'Supply planning data'!$C:$C,DataViz!P$34),
0))))</f>
        <v>5400</v>
      </c>
      <c r="Q48" s="22">
        <f>IF(Q$35="Dose 1",SUMIFS('Supply planning data'!$G:$G,'Supply planning data'!$D:$D,DataViz!$B48,'Supply planning data'!$C:$C,DataViz!Q$34),
IF(Q$35="Dose 2",SUMIFS('Supply planning data'!$H:$H,'Supply planning data'!$D:$D,DataViz!$B48,'Supply planning data'!$C:$C,DataViz!Q$34),
IF(Q$35="Wastage",SUMIFS('Supply planning data'!$K:$K,'Supply planning data'!$D:$D,DataViz!$B48,'Supply planning data'!$C:$C,DataViz!Q$34),
IF(Q$35="Additional",SUMIFS('Supply planning data'!$I:$I,'Supply planning data'!$D:$D,DataViz!$B48,'Supply planning data'!$C:$C,DataViz!Q$34),
0))))</f>
        <v>34679</v>
      </c>
      <c r="R48" s="22">
        <f>IF(R$35="Dose 1",SUMIFS('Supply planning data'!$G:$G,'Supply planning data'!$D:$D,DataViz!$B48,'Supply planning data'!$C:$C,DataViz!R$34),
IF(R$35="Dose 2",SUMIFS('Supply planning data'!$H:$H,'Supply planning data'!$D:$D,DataViz!$B48,'Supply planning data'!$C:$C,DataViz!R$34),
IF(R$35="Wastage",SUMIFS('Supply planning data'!$K:$K,'Supply planning data'!$D:$D,DataViz!$B48,'Supply planning data'!$C:$C,DataViz!R$34),
IF(R$35="Additional",SUMIFS('Supply planning data'!$I:$I,'Supply planning data'!$D:$D,DataViz!$B48,'Supply planning data'!$C:$C,DataViz!R$34),
0))))</f>
        <v>2067</v>
      </c>
      <c r="S48" s="22">
        <f>IF(S$35="Dose 1",SUMIFS('Supply planning data'!$G:$G,'Supply planning data'!$D:$D,DataViz!$B48,'Supply planning data'!$C:$C,DataViz!S$34),
IF(S$35="Dose 2",SUMIFS('Supply planning data'!$H:$H,'Supply planning data'!$D:$D,DataViz!$B48,'Supply planning data'!$C:$C,DataViz!S$34),
IF(S$35="Wastage",SUMIFS('Supply planning data'!$K:$K,'Supply planning data'!$D:$D,DataViz!$B48,'Supply planning data'!$C:$C,DataViz!S$34),
IF(S$35="Additional",SUMIFS('Supply planning data'!$I:$I,'Supply planning data'!$D:$D,DataViz!$B48,'Supply planning data'!$C:$C,DataViz!S$34),
0))))</f>
        <v>0</v>
      </c>
      <c r="T48" s="22">
        <f>IF(T$35="Dose 1",SUMIFS('Supply planning data'!$G:$G,'Supply planning data'!$D:$D,DataViz!$B48,'Supply planning data'!$C:$C,DataViz!T$34),
IF(T$35="Dose 2",SUMIFS('Supply planning data'!$H:$H,'Supply planning data'!$D:$D,DataViz!$B48,'Supply planning data'!$C:$C,DataViz!T$34),
IF(T$35="Wastage",SUMIFS('Supply planning data'!$K:$K,'Supply planning data'!$D:$D,DataViz!$B48,'Supply planning data'!$C:$C,DataViz!T$34),
IF(T$35="Additional",SUMIFS('Supply planning data'!$I:$I,'Supply planning data'!$D:$D,DataViz!$B48,'Supply planning data'!$C:$C,DataViz!T$34),
0))))</f>
        <v>200</v>
      </c>
      <c r="U48" s="22">
        <f>IF(U$35="Dose 1",SUMIFS('Supply planning data'!$G:$G,'Supply planning data'!$D:$D,DataViz!$B48,'Supply planning data'!$C:$C,DataViz!U$34),
IF(U$35="Dose 2",SUMIFS('Supply planning data'!$H:$H,'Supply planning data'!$D:$D,DataViz!$B48,'Supply planning data'!$C:$C,DataViz!U$34),
IF(U$35="Wastage",SUMIFS('Supply planning data'!$K:$K,'Supply planning data'!$D:$D,DataViz!$B48,'Supply planning data'!$C:$C,DataViz!U$34),
IF(U$35="Additional",SUMIFS('Supply planning data'!$I:$I,'Supply planning data'!$D:$D,DataViz!$B48,'Supply planning data'!$C:$C,DataViz!U$34),
0))))</f>
        <v>0</v>
      </c>
      <c r="V48" s="22">
        <f>IF(V$35="Dose 1",SUMIFS('Supply planning data'!$G:$G,'Supply planning data'!$D:$D,DataViz!$B48,'Supply planning data'!$C:$C,DataViz!V$34),
IF(V$35="Dose 2",SUMIFS('Supply planning data'!$H:$H,'Supply planning data'!$D:$D,DataViz!$B48,'Supply planning data'!$C:$C,DataViz!V$34),
IF(V$35="Wastage",SUMIFS('Supply planning data'!$K:$K,'Supply planning data'!$D:$D,DataViz!$B48,'Supply planning data'!$C:$C,DataViz!V$34),
IF(V$35="Additional",SUMIFS('Supply planning data'!$I:$I,'Supply planning data'!$D:$D,DataViz!$B48,'Supply planning data'!$C:$C,DataViz!V$34),
0))))</f>
        <v>0</v>
      </c>
      <c r="W48" s="22">
        <f>IF(W$35="Dose 1",SUMIFS('Supply planning data'!$G:$G,'Supply planning data'!$D:$D,DataViz!$B48,'Supply planning data'!$C:$C,DataViz!W$34),
IF(W$35="Dose 2",SUMIFS('Supply planning data'!$H:$H,'Supply planning data'!$D:$D,DataViz!$B48,'Supply planning data'!$C:$C,DataViz!W$34),
IF(W$35="Wastage",SUMIFS('Supply planning data'!$K:$K,'Supply planning data'!$D:$D,DataViz!$B48,'Supply planning data'!$C:$C,DataViz!W$34),
IF(W$35="Additional",SUMIFS('Supply planning data'!$I:$I,'Supply planning data'!$D:$D,DataViz!$B48,'Supply planning data'!$C:$C,DataViz!W$34),
0))))</f>
        <v>0</v>
      </c>
      <c r="X48" s="22">
        <f>IF(X$35="Dose 1",SUMIFS('Supply planning data'!$G:$G,'Supply planning data'!$D:$D,DataViz!$B48,'Supply planning data'!$C:$C,DataViz!X$34),
IF(X$35="Dose 2",SUMIFS('Supply planning data'!$H:$H,'Supply planning data'!$D:$D,DataViz!$B48,'Supply planning data'!$C:$C,DataViz!X$34),
IF(X$35="Wastage",SUMIFS('Supply planning data'!$K:$K,'Supply planning data'!$D:$D,DataViz!$B48,'Supply planning data'!$C:$C,DataViz!X$34),
IF(X$35="Additional",SUMIFS('Supply planning data'!$I:$I,'Supply planning data'!$D:$D,DataViz!$B48,'Supply planning data'!$C:$C,DataViz!X$34),
0))))</f>
        <v>0</v>
      </c>
      <c r="Y48" s="22">
        <f>IF(Y$35="Dose 1",SUMIFS('Supply planning data'!$G:$G,'Supply planning data'!$D:$D,DataViz!$B48,'Supply planning data'!$C:$C,DataViz!Y$34),
IF(Y$35="Dose 2",SUMIFS('Supply planning data'!$H:$H,'Supply planning data'!$D:$D,DataViz!$B48,'Supply planning data'!$C:$C,DataViz!Y$34),
IF(Y$35="Wastage",SUMIFS('Supply planning data'!$K:$K,'Supply planning data'!$D:$D,DataViz!$B48,'Supply planning data'!$C:$C,DataViz!Y$34),
IF(Y$35="Additional",SUMIFS('Supply planning data'!$I:$I,'Supply planning data'!$D:$D,DataViz!$B48,'Supply planning data'!$C:$C,DataViz!Y$34),
0))))</f>
        <v>0</v>
      </c>
      <c r="Z48" s="22">
        <f>IF(Z$35="Dose 1",SUMIFS('Supply planning data'!$G:$G,'Supply planning data'!$D:$D,DataViz!$B48,'Supply planning data'!$C:$C,DataViz!Z$34),
IF(Z$35="Dose 2",SUMIFS('Supply planning data'!$H:$H,'Supply planning data'!$D:$D,DataViz!$B48,'Supply planning data'!$C:$C,DataViz!Z$34),
IF(Z$35="Wastage",SUMIFS('Supply planning data'!$K:$K,'Supply planning data'!$D:$D,DataViz!$B48,'Supply planning data'!$C:$C,DataViz!Z$34),
IF(Z$35="Additional",SUMIFS('Supply planning data'!$I:$I,'Supply planning data'!$D:$D,DataViz!$B48,'Supply planning data'!$C:$C,DataViz!Z$34),
0))))</f>
        <v>0</v>
      </c>
      <c r="AA48" s="22">
        <f>IF(AA$35="Dose 1",SUMIFS('Supply planning data'!$G:$G,'Supply planning data'!$D:$D,DataViz!$B48,'Supply planning data'!$C:$C,DataViz!AA$34),
IF(AA$35="Dose 2",SUMIFS('Supply planning data'!$H:$H,'Supply planning data'!$D:$D,DataViz!$B48,'Supply planning data'!$C:$C,DataViz!AA$34),
IF(AA$35="Wastage",SUMIFS('Supply planning data'!$K:$K,'Supply planning data'!$D:$D,DataViz!$B48,'Supply planning data'!$C:$C,DataViz!AA$34),
IF(AA$35="Additional",SUMIFS('Supply planning data'!$I:$I,'Supply planning data'!$D:$D,DataViz!$B48,'Supply planning data'!$C:$C,DataViz!AA$34),
0))))</f>
        <v>0</v>
      </c>
      <c r="AB48" s="22">
        <f>IF(AB$35="Dose 1",SUMIFS('Supply planning data'!$G:$G,'Supply planning data'!$D:$D,DataViz!$B48,'Supply planning data'!$C:$C,DataViz!AB$34),
IF(AB$35="Dose 2",SUMIFS('Supply planning data'!$H:$H,'Supply planning data'!$D:$D,DataViz!$B48,'Supply planning data'!$C:$C,DataViz!AB$34),
IF(AB$35="Wastage",SUMIFS('Supply planning data'!$K:$K,'Supply planning data'!$D:$D,DataViz!$B48,'Supply planning data'!$C:$C,DataViz!AB$34),
IF(AB$35="Additional",SUMIFS('Supply planning data'!$I:$I,'Supply planning data'!$D:$D,DataViz!$B48,'Supply planning data'!$C:$C,DataViz!AB$34),
0))))</f>
        <v>0</v>
      </c>
      <c r="AC48" s="22">
        <f>IF(AC$35="Dose 1",SUMIFS('Supply planning data'!$G:$G,'Supply planning data'!$D:$D,DataViz!$B48,'Supply planning data'!$C:$C,DataViz!AC$34),
IF(AC$35="Dose 2",SUMIFS('Supply planning data'!$H:$H,'Supply planning data'!$D:$D,DataViz!$B48,'Supply planning data'!$C:$C,DataViz!AC$34),
IF(AC$35="Wastage",SUMIFS('Supply planning data'!$K:$K,'Supply planning data'!$D:$D,DataViz!$B48,'Supply planning data'!$C:$C,DataViz!AC$34),
IF(AC$35="Additional",SUMIFS('Supply planning data'!$I:$I,'Supply planning data'!$D:$D,DataViz!$B48,'Supply planning data'!$C:$C,DataViz!AC$34),
0))))</f>
        <v>0</v>
      </c>
      <c r="AD48" s="22">
        <f>IF(AD$35="Dose 1",SUMIFS('Supply planning data'!$G:$G,'Supply planning data'!$D:$D,DataViz!$B48,'Supply planning data'!$C:$C,DataViz!AD$34),
IF(AD$35="Dose 2",SUMIFS('Supply planning data'!$H:$H,'Supply planning data'!$D:$D,DataViz!$B48,'Supply planning data'!$C:$C,DataViz!AD$34),
IF(AD$35="Wastage",SUMIFS('Supply planning data'!$K:$K,'Supply planning data'!$D:$D,DataViz!$B48,'Supply planning data'!$C:$C,DataViz!AD$34),
IF(AD$35="Additional",SUMIFS('Supply planning data'!$I:$I,'Supply planning data'!$D:$D,DataViz!$B48,'Supply planning data'!$C:$C,DataViz!AD$34),
0))))</f>
        <v>0</v>
      </c>
      <c r="AE48" s="22">
        <f>IF(AE$35="Dose 1",SUMIFS('Supply planning data'!$G:$G,'Supply planning data'!$D:$D,DataViz!$B48,'Supply planning data'!$C:$C,DataViz!AE$34),
IF(AE$35="Dose 2",SUMIFS('Supply planning data'!$H:$H,'Supply planning data'!$D:$D,DataViz!$B48,'Supply planning data'!$C:$C,DataViz!AE$34),
IF(AE$35="Wastage",SUMIFS('Supply planning data'!$K:$K,'Supply planning data'!$D:$D,DataViz!$B48,'Supply planning data'!$C:$C,DataViz!AE$34),
IF(AE$35="Additional",SUMIFS('Supply planning data'!$I:$I,'Supply planning data'!$D:$D,DataViz!$B48,'Supply planning data'!$C:$C,DataViz!AE$34),
0))))</f>
        <v>0</v>
      </c>
      <c r="AF48" s="22">
        <f>IF(AF$35="Dose 1",SUMIFS('Supply planning data'!$G:$G,'Supply planning data'!$D:$D,DataViz!$B48,'Supply planning data'!$C:$C,DataViz!AF$34),
IF(AF$35="Dose 2",SUMIFS('Supply planning data'!$H:$H,'Supply planning data'!$D:$D,DataViz!$B48,'Supply planning data'!$C:$C,DataViz!AF$34),
IF(AF$35="Wastage",SUMIFS('Supply planning data'!$K:$K,'Supply planning data'!$D:$D,DataViz!$B48,'Supply planning data'!$C:$C,DataViz!AF$34),
IF(AF$35="Additional",SUMIFS('Supply planning data'!$I:$I,'Supply planning data'!$D:$D,DataViz!$B48,'Supply planning data'!$C:$C,DataViz!AF$34),
0))))</f>
        <v>0</v>
      </c>
      <c r="AG48" s="22">
        <f>IF(AG$35="Dose 1",SUMIFS('Supply planning data'!$G:$G,'Supply planning data'!$D:$D,DataViz!$B48,'Supply planning data'!$C:$C,DataViz!AG$34),
IF(AG$35="Dose 2",SUMIFS('Supply planning data'!$H:$H,'Supply planning data'!$D:$D,DataViz!$B48,'Supply planning data'!$C:$C,DataViz!AG$34),
IF(AG$35="Wastage",SUMIFS('Supply planning data'!$K:$K,'Supply planning data'!$D:$D,DataViz!$B48,'Supply planning data'!$C:$C,DataViz!AG$34),
IF(AG$35="Additional",SUMIFS('Supply planning data'!$I:$I,'Supply planning data'!$D:$D,DataViz!$B48,'Supply planning data'!$C:$C,DataViz!AG$34),
0))))</f>
        <v>0</v>
      </c>
      <c r="AH48" s="22">
        <f>IF(AH$35="Dose 1",SUMIFS('Supply planning data'!$G:$G,'Supply planning data'!$D:$D,DataViz!$B48,'Supply planning data'!$C:$C,DataViz!AH$34),
IF(AH$35="Dose 2",SUMIFS('Supply planning data'!$H:$H,'Supply planning data'!$D:$D,DataViz!$B48,'Supply planning data'!$C:$C,DataViz!AH$34),
IF(AH$35="Wastage",SUMIFS('Supply planning data'!$K:$K,'Supply planning data'!$D:$D,DataViz!$B48,'Supply planning data'!$C:$C,DataViz!AH$34),
IF(AH$35="Additional",SUMIFS('Supply planning data'!$I:$I,'Supply planning data'!$D:$D,DataViz!$B48,'Supply planning data'!$C:$C,DataViz!AH$34),
0))))</f>
        <v>0</v>
      </c>
      <c r="AI48" s="22">
        <f>IF(AI$35="Dose 1",SUMIFS('Supply planning data'!$G:$G,'Supply planning data'!$D:$D,DataViz!$B48,'Supply planning data'!$C:$C,DataViz!AI$34),
IF(AI$35="Dose 2",SUMIFS('Supply planning data'!$H:$H,'Supply planning data'!$D:$D,DataViz!$B48,'Supply planning data'!$C:$C,DataViz!AI$34),
IF(AI$35="Wastage",SUMIFS('Supply planning data'!$K:$K,'Supply planning data'!$D:$D,DataViz!$B48,'Supply planning data'!$C:$C,DataViz!AI$34),
IF(AI$35="Additional",SUMIFS('Supply planning data'!$I:$I,'Supply planning data'!$D:$D,DataViz!$B48,'Supply planning data'!$C:$C,DataViz!AI$34),
0))))</f>
        <v>0</v>
      </c>
      <c r="AJ48" s="22">
        <f>IF(AJ$35="Dose 1",SUMIFS('Supply planning data'!$G:$G,'Supply planning data'!$D:$D,DataViz!$B48,'Supply planning data'!$C:$C,DataViz!AJ$34),
IF(AJ$35="Dose 2",SUMIFS('Supply planning data'!$H:$H,'Supply planning data'!$D:$D,DataViz!$B48,'Supply planning data'!$C:$C,DataViz!AJ$34),
IF(AJ$35="Wastage",SUMIFS('Supply planning data'!$K:$K,'Supply planning data'!$D:$D,DataViz!$B48,'Supply planning data'!$C:$C,DataViz!AJ$34),
IF(AJ$35="Additional",SUMIFS('Supply planning data'!$I:$I,'Supply planning data'!$D:$D,DataViz!$B48,'Supply planning data'!$C:$C,DataViz!AJ$34),
0))))</f>
        <v>0</v>
      </c>
      <c r="AK48" s="22">
        <f>IF(AK$35="Dose 1",SUMIFS('Supply planning data'!$G:$G,'Supply planning data'!$D:$D,DataViz!$B48,'Supply planning data'!$C:$C,DataViz!AK$34),
IF(AK$35="Dose 2",SUMIFS('Supply planning data'!$H:$H,'Supply planning data'!$D:$D,DataViz!$B48,'Supply planning data'!$C:$C,DataViz!AK$34),
IF(AK$35="Wastage",SUMIFS('Supply planning data'!$K:$K,'Supply planning data'!$D:$D,DataViz!$B48,'Supply planning data'!$C:$C,DataViz!AK$34),
IF(AK$35="Additional",SUMIFS('Supply planning data'!$I:$I,'Supply planning data'!$D:$D,DataViz!$B48,'Supply planning data'!$C:$C,DataViz!AK$34),
0))))</f>
        <v>0</v>
      </c>
      <c r="AL48" s="22">
        <f>IF(AL$35="Dose 1",SUMIFS('Supply planning data'!$G:$G,'Supply planning data'!$D:$D,DataViz!$B48,'Supply planning data'!$C:$C,DataViz!AL$34),
IF(AL$35="Dose 2",SUMIFS('Supply planning data'!$H:$H,'Supply planning data'!$D:$D,DataViz!$B48,'Supply planning data'!$C:$C,DataViz!AL$34),
IF(AL$35="Wastage",SUMIFS('Supply planning data'!$K:$K,'Supply planning data'!$D:$D,DataViz!$B48,'Supply planning data'!$C:$C,DataViz!AL$34),
IF(AL$35="Additional",SUMIFS('Supply planning data'!$I:$I,'Supply planning data'!$D:$D,DataViz!$B48,'Supply planning data'!$C:$C,DataViz!AL$34),
0))))</f>
        <v>0</v>
      </c>
      <c r="AM48" s="22">
        <f>IF(AM$35="Dose 1",SUMIFS('Supply planning data'!$G:$G,'Supply planning data'!$D:$D,DataViz!$B48,'Supply planning data'!$C:$C,DataViz!AM$34),
IF(AM$35="Dose 2",SUMIFS('Supply planning data'!$H:$H,'Supply planning data'!$D:$D,DataViz!$B48,'Supply planning data'!$C:$C,DataViz!AM$34),
IF(AM$35="Wastage",SUMIFS('Supply planning data'!$K:$K,'Supply planning data'!$D:$D,DataViz!$B48,'Supply planning data'!$C:$C,DataViz!AM$34),
IF(AM$35="Additional",SUMIFS('Supply planning data'!$I:$I,'Supply planning data'!$D:$D,DataViz!$B48,'Supply planning data'!$C:$C,DataViz!AM$34),
0))))</f>
        <v>0</v>
      </c>
      <c r="AN48" s="22">
        <f>IF(AN$35="Dose 1",SUMIFS('Supply planning data'!$G:$G,'Supply planning data'!$D:$D,DataViz!$B48,'Supply planning data'!$C:$C,DataViz!AN$34),
IF(AN$35="Dose 2",SUMIFS('Supply planning data'!$H:$H,'Supply planning data'!$D:$D,DataViz!$B48,'Supply planning data'!$C:$C,DataViz!AN$34),
IF(AN$35="Wastage",SUMIFS('Supply planning data'!$K:$K,'Supply planning data'!$D:$D,DataViz!$B48,'Supply planning data'!$C:$C,DataViz!AN$34),
IF(AN$35="Additional",SUMIFS('Supply planning data'!$I:$I,'Supply planning data'!$D:$D,DataViz!$B48,'Supply planning data'!$C:$C,DataViz!AN$34),
0))))</f>
        <v>0</v>
      </c>
      <c r="AO48" s="22">
        <f>IF(AO$35="Dose 1",SUMIFS('Supply planning data'!$G:$G,'Supply planning data'!$D:$D,DataViz!$B48,'Supply planning data'!$C:$C,DataViz!AO$34),
IF(AO$35="Dose 2",SUMIFS('Supply planning data'!$H:$H,'Supply planning data'!$D:$D,DataViz!$B48,'Supply planning data'!$C:$C,DataViz!AO$34),
IF(AO$35="Wastage",SUMIFS('Supply planning data'!$K:$K,'Supply planning data'!$D:$D,DataViz!$B48,'Supply planning data'!$C:$C,DataViz!AO$34),
IF(AO$35="Additional",SUMIFS('Supply planning data'!$I:$I,'Supply planning data'!$D:$D,DataViz!$B48,'Supply planning data'!$C:$C,DataViz!AO$34),
0))))</f>
        <v>0</v>
      </c>
      <c r="AP48" s="22">
        <f>IF(AP$35="Dose 1",SUMIFS('Supply planning data'!$G:$G,'Supply planning data'!$D:$D,DataViz!$B48,'Supply planning data'!$C:$C,DataViz!AP$34),
IF(AP$35="Dose 2",SUMIFS('Supply planning data'!$H:$H,'Supply planning data'!$D:$D,DataViz!$B48,'Supply planning data'!$C:$C,DataViz!AP$34),
IF(AP$35="Wastage",SUMIFS('Supply planning data'!$K:$K,'Supply planning data'!$D:$D,DataViz!$B48,'Supply planning data'!$C:$C,DataViz!AP$34),
IF(AP$35="Additional",SUMIFS('Supply planning data'!$I:$I,'Supply planning data'!$D:$D,DataViz!$B48,'Supply planning data'!$C:$C,DataViz!AP$34),
0))))</f>
        <v>0</v>
      </c>
      <c r="AQ48" s="22">
        <f>IF(AQ$35="Dose 1",SUMIFS('Supply planning data'!$G:$G,'Supply planning data'!$D:$D,DataViz!$B48,'Supply planning data'!$C:$C,DataViz!AQ$34),
IF(AQ$35="Dose 2",SUMIFS('Supply planning data'!$H:$H,'Supply planning data'!$D:$D,DataViz!$B48,'Supply planning data'!$C:$C,DataViz!AQ$34),
IF(AQ$35="Wastage",SUMIFS('Supply planning data'!$K:$K,'Supply planning data'!$D:$D,DataViz!$B48,'Supply planning data'!$C:$C,DataViz!AQ$34),
IF(AQ$35="Additional",SUMIFS('Supply planning data'!$I:$I,'Supply planning data'!$D:$D,DataViz!$B48,'Supply planning data'!$C:$C,DataViz!AQ$34),
0))))</f>
        <v>0</v>
      </c>
      <c r="AR48" s="22">
        <f>IF(AR$35="Dose 1",SUMIFS('Supply planning data'!$G:$G,'Supply planning data'!$D:$D,DataViz!$B48,'Supply planning data'!$C:$C,DataViz!AR$34),
IF(AR$35="Dose 2",SUMIFS('Supply planning data'!$H:$H,'Supply planning data'!$D:$D,DataViz!$B48,'Supply planning data'!$C:$C,DataViz!AR$34),
IF(AR$35="Wastage",SUMIFS('Supply planning data'!$K:$K,'Supply planning data'!$D:$D,DataViz!$B48,'Supply planning data'!$C:$C,DataViz!AR$34),
IF(AR$35="Additional",SUMIFS('Supply planning data'!$I:$I,'Supply planning data'!$D:$D,DataViz!$B48,'Supply planning data'!$C:$C,DataViz!AR$34),
0))))</f>
        <v>0</v>
      </c>
      <c r="AS48" s="22">
        <f>IF(AS$35="Dose 1",SUMIFS('Supply planning data'!$G:$G,'Supply planning data'!$D:$D,DataViz!$B48,'Supply planning data'!$C:$C,DataViz!AS$34),
IF(AS$35="Dose 2",SUMIFS('Supply planning data'!$H:$H,'Supply planning data'!$D:$D,DataViz!$B48,'Supply planning data'!$C:$C,DataViz!AS$34),
IF(AS$35="Wastage",SUMIFS('Supply planning data'!$K:$K,'Supply planning data'!$D:$D,DataViz!$B48,'Supply planning data'!$C:$C,DataViz!AS$34),
IF(AS$35="Additional",SUMIFS('Supply planning data'!$I:$I,'Supply planning data'!$D:$D,DataViz!$B48,'Supply planning data'!$C:$C,DataViz!AS$34),
0))))</f>
        <v>0</v>
      </c>
      <c r="AT48" s="22">
        <f>IF(AT$35="Dose 1",SUMIFS('Supply planning data'!$G:$G,'Supply planning data'!$D:$D,DataViz!$B48,'Supply planning data'!$C:$C,DataViz!AT$34),
IF(AT$35="Dose 2",SUMIFS('Supply planning data'!$H:$H,'Supply planning data'!$D:$D,DataViz!$B48,'Supply planning data'!$C:$C,DataViz!AT$34),
IF(AT$35="Wastage",SUMIFS('Supply planning data'!$K:$K,'Supply planning data'!$D:$D,DataViz!$B48,'Supply planning data'!$C:$C,DataViz!AT$34),
IF(AT$35="Additional",SUMIFS('Supply planning data'!$I:$I,'Supply planning data'!$D:$D,DataViz!$B48,'Supply planning data'!$C:$C,DataViz!AT$34),
0))))</f>
        <v>0</v>
      </c>
      <c r="AU48" s="22">
        <f>IF(AU$35="Dose 1",SUMIFS('Supply planning data'!$G:$G,'Supply planning data'!$D:$D,DataViz!$B48,'Supply planning data'!$C:$C,DataViz!AU$34),
IF(AU$35="Dose 2",SUMIFS('Supply planning data'!$H:$H,'Supply planning data'!$D:$D,DataViz!$B48,'Supply planning data'!$C:$C,DataViz!AU$34),
IF(AU$35="Wastage",SUMIFS('Supply planning data'!$K:$K,'Supply planning data'!$D:$D,DataViz!$B48,'Supply planning data'!$C:$C,DataViz!AU$34),
IF(AU$35="Additional",SUMIFS('Supply planning data'!$I:$I,'Supply planning data'!$D:$D,DataViz!$B48,'Supply planning data'!$C:$C,DataViz!AU$34),
0))))</f>
        <v>0</v>
      </c>
      <c r="AV48" s="22">
        <f>IF(AV$35="Dose 1",SUMIFS('Supply planning data'!$G:$G,'Supply planning data'!$D:$D,DataViz!$B48,'Supply planning data'!$C:$C,DataViz!AV$34),
IF(AV$35="Dose 2",SUMIFS('Supply planning data'!$H:$H,'Supply planning data'!$D:$D,DataViz!$B48,'Supply planning data'!$C:$C,DataViz!AV$34),
IF(AV$35="Wastage",SUMIFS('Supply planning data'!$K:$K,'Supply planning data'!$D:$D,DataViz!$B48,'Supply planning data'!$C:$C,DataViz!AV$34),
IF(AV$35="Additional",SUMIFS('Supply planning data'!$I:$I,'Supply planning data'!$D:$D,DataViz!$B48,'Supply planning data'!$C:$C,DataViz!AV$34),
0))))</f>
        <v>0</v>
      </c>
      <c r="AW48" s="22">
        <f>IF(AW$35="Dose 1",SUMIFS('Supply planning data'!$G:$G,'Supply planning data'!$D:$D,DataViz!$B48,'Supply planning data'!$C:$C,DataViz!AW$34),
IF(AW$35="Dose 2",SUMIFS('Supply planning data'!$H:$H,'Supply planning data'!$D:$D,DataViz!$B48,'Supply planning data'!$C:$C,DataViz!AW$34),
IF(AW$35="Wastage",SUMIFS('Supply planning data'!$K:$K,'Supply planning data'!$D:$D,DataViz!$B48,'Supply planning data'!$C:$C,DataViz!AW$34),
IF(AW$35="Additional",SUMIFS('Supply planning data'!$I:$I,'Supply planning data'!$D:$D,DataViz!$B48,'Supply planning data'!$C:$C,DataViz!AW$34),
0))))</f>
        <v>0</v>
      </c>
      <c r="AX48" s="22">
        <f>IF(AX$35="Dose 1",SUMIFS('Supply planning data'!$G:$G,'Supply planning data'!$D:$D,DataViz!$B48,'Supply planning data'!$C:$C,DataViz!AX$34),
IF(AX$35="Dose 2",SUMIFS('Supply planning data'!$H:$H,'Supply planning data'!$D:$D,DataViz!$B48,'Supply planning data'!$C:$C,DataViz!AX$34),
IF(AX$35="Wastage",SUMIFS('Supply planning data'!$K:$K,'Supply planning data'!$D:$D,DataViz!$B48,'Supply planning data'!$C:$C,DataViz!AX$34),
IF(AX$35="Additional",SUMIFS('Supply planning data'!$I:$I,'Supply planning data'!$D:$D,DataViz!$B48,'Supply planning data'!$C:$C,DataViz!AX$34),
0))))</f>
        <v>0</v>
      </c>
      <c r="AY48" s="22">
        <f>IF(AY$35="Dose 1",SUMIFS('Supply planning data'!$G:$G,'Supply planning data'!$D:$D,DataViz!$B48,'Supply planning data'!$C:$C,DataViz!AY$34),
IF(AY$35="Dose 2",SUMIFS('Supply planning data'!$H:$H,'Supply planning data'!$D:$D,DataViz!$B48,'Supply planning data'!$C:$C,DataViz!AY$34),
IF(AY$35="Wastage",SUMIFS('Supply planning data'!$K:$K,'Supply planning data'!$D:$D,DataViz!$B48,'Supply planning data'!$C:$C,DataViz!AY$34),
IF(AY$35="Additional",SUMIFS('Supply planning data'!$I:$I,'Supply planning data'!$D:$D,DataViz!$B48,'Supply planning data'!$C:$C,DataViz!AY$34),
0))))</f>
        <v>0</v>
      </c>
      <c r="AZ48" s="22">
        <f>IF(AZ$35="Dose 1",SUMIFS('Supply planning data'!$G:$G,'Supply planning data'!$D:$D,DataViz!$B48,'Supply planning data'!$C:$C,DataViz!AZ$34),
IF(AZ$35="Dose 2",SUMIFS('Supply planning data'!$H:$H,'Supply planning data'!$D:$D,DataViz!$B48,'Supply planning data'!$C:$C,DataViz!AZ$34),
IF(AZ$35="Wastage",SUMIFS('Supply planning data'!$K:$K,'Supply planning data'!$D:$D,DataViz!$B48,'Supply planning data'!$C:$C,DataViz!AZ$34),
IF(AZ$35="Additional",SUMIFS('Supply planning data'!$I:$I,'Supply planning data'!$D:$D,DataViz!$B48,'Supply planning data'!$C:$C,DataViz!AZ$34),
0))))</f>
        <v>0</v>
      </c>
      <c r="BA48" s="22">
        <f>IF(BA$35="Dose 1",SUMIFS('Supply planning data'!$G:$G,'Supply planning data'!$D:$D,DataViz!$B48,'Supply planning data'!$C:$C,DataViz!BA$34),
IF(BA$35="Dose 2",SUMIFS('Supply planning data'!$H:$H,'Supply planning data'!$D:$D,DataViz!$B48,'Supply planning data'!$C:$C,DataViz!BA$34),
IF(BA$35="Wastage",SUMIFS('Supply planning data'!$K:$K,'Supply planning data'!$D:$D,DataViz!$B48,'Supply planning data'!$C:$C,DataViz!BA$34),
IF(BA$35="Additional",SUMIFS('Supply planning data'!$I:$I,'Supply planning data'!$D:$D,DataViz!$B48,'Supply planning data'!$C:$C,DataViz!BA$34),
0))))</f>
        <v>0</v>
      </c>
      <c r="BB48" s="22">
        <f>IF(BB$35="Dose 1",SUMIFS('Supply planning data'!$G:$G,'Supply planning data'!$D:$D,DataViz!$B48,'Supply planning data'!$C:$C,DataViz!BB$34),
IF(BB$35="Dose 2",SUMIFS('Supply planning data'!$H:$H,'Supply planning data'!$D:$D,DataViz!$B48,'Supply planning data'!$C:$C,DataViz!BB$34),
IF(BB$35="Wastage",SUMIFS('Supply planning data'!$K:$K,'Supply planning data'!$D:$D,DataViz!$B48,'Supply planning data'!$C:$C,DataViz!BB$34),
IF(BB$35="Additional",SUMIFS('Supply planning data'!$I:$I,'Supply planning data'!$D:$D,DataViz!$B48,'Supply planning data'!$C:$C,DataViz!BB$34),
0))))</f>
        <v>0</v>
      </c>
      <c r="BC48" s="22">
        <f>IF(BC$35="Dose 1",SUMIFS('Supply planning data'!$G:$G,'Supply planning data'!$D:$D,DataViz!$B48,'Supply planning data'!$C:$C,DataViz!BC$34),
IF(BC$35="Dose 2",SUMIFS('Supply planning data'!$H:$H,'Supply planning data'!$D:$D,DataViz!$B48,'Supply planning data'!$C:$C,DataViz!BC$34),
IF(BC$35="Wastage",SUMIFS('Supply planning data'!$K:$K,'Supply planning data'!$D:$D,DataViz!$B48,'Supply planning data'!$C:$C,DataViz!BC$34),
IF(BC$35="Additional",SUMIFS('Supply planning data'!$I:$I,'Supply planning data'!$D:$D,DataViz!$B48,'Supply planning data'!$C:$C,DataViz!BC$34),
0))))</f>
        <v>0</v>
      </c>
      <c r="BD48" s="22">
        <f>IF(BD$35="Dose 1",SUMIFS('Supply planning data'!$G:$G,'Supply planning data'!$D:$D,DataViz!$B48,'Supply planning data'!$C:$C,DataViz!BD$34),
IF(BD$35="Dose 2",SUMIFS('Supply planning data'!$H:$H,'Supply planning data'!$D:$D,DataViz!$B48,'Supply planning data'!$C:$C,DataViz!BD$34),
IF(BD$35="Wastage",SUMIFS('Supply planning data'!$K:$K,'Supply planning data'!$D:$D,DataViz!$B48,'Supply planning data'!$C:$C,DataViz!BD$34),
IF(BD$35="Additional",SUMIFS('Supply planning data'!$I:$I,'Supply planning data'!$D:$D,DataViz!$B48,'Supply planning data'!$C:$C,DataViz!BD$34),
0))))</f>
        <v>0</v>
      </c>
      <c r="BE48" s="22">
        <f>IF(BE$35="Dose 1",SUMIFS('Supply planning data'!$G:$G,'Supply planning data'!$D:$D,DataViz!$B48,'Supply planning data'!$C:$C,DataViz!BE$34),
IF(BE$35="Dose 2",SUMIFS('Supply planning data'!$H:$H,'Supply planning data'!$D:$D,DataViz!$B48,'Supply planning data'!$C:$C,DataViz!BE$34),
IF(BE$35="Wastage",SUMIFS('Supply planning data'!$K:$K,'Supply planning data'!$D:$D,DataViz!$B48,'Supply planning data'!$C:$C,DataViz!BE$34),
IF(BE$35="Additional",SUMIFS('Supply planning data'!$I:$I,'Supply planning data'!$D:$D,DataViz!$B48,'Supply planning data'!$C:$C,DataViz!BE$34),
0))))</f>
        <v>0</v>
      </c>
      <c r="BF48" s="22">
        <f>IF(BF$35="Dose 1",SUMIFS('Supply planning data'!$G:$G,'Supply planning data'!$D:$D,DataViz!$B48,'Supply planning data'!$C:$C,DataViz!BF$34),
IF(BF$35="Dose 2",SUMIFS('Supply planning data'!$H:$H,'Supply planning data'!$D:$D,DataViz!$B48,'Supply planning data'!$C:$C,DataViz!BF$34),
IF(BF$35="Wastage",SUMIFS('Supply planning data'!$K:$K,'Supply planning data'!$D:$D,DataViz!$B48,'Supply planning data'!$C:$C,DataViz!BF$34),
IF(BF$35="Additional",SUMIFS('Supply planning data'!$I:$I,'Supply planning data'!$D:$D,DataViz!$B48,'Supply planning data'!$C:$C,DataViz!BF$34),
0))))</f>
        <v>0</v>
      </c>
      <c r="BG48" s="22">
        <f>IF(BG$35="Dose 1",SUMIFS('Supply planning data'!$G:$G,'Supply planning data'!$D:$D,DataViz!$B48,'Supply planning data'!$C:$C,DataViz!BG$34),
IF(BG$35="Dose 2",SUMIFS('Supply planning data'!$H:$H,'Supply planning data'!$D:$D,DataViz!$B48,'Supply planning data'!$C:$C,DataViz!BG$34),
IF(BG$35="Wastage",SUMIFS('Supply planning data'!$K:$K,'Supply planning data'!$D:$D,DataViz!$B48,'Supply planning data'!$C:$C,DataViz!BG$34),
IF(BG$35="Additional",SUMIFS('Supply planning data'!$I:$I,'Supply planning data'!$D:$D,DataViz!$B48,'Supply planning data'!$C:$C,DataViz!BG$34),
0))))</f>
        <v>0</v>
      </c>
      <c r="BH48" s="22">
        <f>IF(BH$35="Dose 1",SUMIFS('Supply planning data'!$G:$G,'Supply planning data'!$D:$D,DataViz!$B48,'Supply planning data'!$C:$C,DataViz!BH$34),
IF(BH$35="Dose 2",SUMIFS('Supply planning data'!$H:$H,'Supply planning data'!$D:$D,DataViz!$B48,'Supply planning data'!$C:$C,DataViz!BH$34),
IF(BH$35="Wastage",SUMIFS('Supply planning data'!$K:$K,'Supply planning data'!$D:$D,DataViz!$B48,'Supply planning data'!$C:$C,DataViz!BH$34),
IF(BH$35="Additional",SUMIFS('Supply planning data'!$I:$I,'Supply planning data'!$D:$D,DataViz!$B48,'Supply planning data'!$C:$C,DataViz!BH$34),
0))))</f>
        <v>0</v>
      </c>
      <c r="BI48" s="22">
        <f>IF(BI$35="Dose 1",SUMIFS('Supply planning data'!$G:$G,'Supply planning data'!$D:$D,DataViz!$B48,'Supply planning data'!$C:$C,DataViz!BI$34),
IF(BI$35="Dose 2",SUMIFS('Supply planning data'!$H:$H,'Supply planning data'!$D:$D,DataViz!$B48,'Supply planning data'!$C:$C,DataViz!BI$34),
IF(BI$35="Wastage",SUMIFS('Supply planning data'!$K:$K,'Supply planning data'!$D:$D,DataViz!$B48,'Supply planning data'!$C:$C,DataViz!BI$34),
IF(BI$35="Additional",SUMIFS('Supply planning data'!$I:$I,'Supply planning data'!$D:$D,DataViz!$B48,'Supply planning data'!$C:$C,DataViz!BI$34),
0))))</f>
        <v>0</v>
      </c>
      <c r="BJ48" s="22">
        <f>IF(BJ$35="Dose 1",SUMIFS('Supply planning data'!$G:$G,'Supply planning data'!$D:$D,DataViz!$B48,'Supply planning data'!$C:$C,DataViz!BJ$34),
IF(BJ$35="Dose 2",SUMIFS('Supply planning data'!$H:$H,'Supply planning data'!$D:$D,DataViz!$B48,'Supply planning data'!$C:$C,DataViz!BJ$34),
IF(BJ$35="Wastage",SUMIFS('Supply planning data'!$K:$K,'Supply planning data'!$D:$D,DataViz!$B48,'Supply planning data'!$C:$C,DataViz!BJ$34),
IF(BJ$35="Additional",SUMIFS('Supply planning data'!$I:$I,'Supply planning data'!$D:$D,DataViz!$B48,'Supply planning data'!$C:$C,DataViz!BJ$34),
0))))</f>
        <v>0</v>
      </c>
      <c r="BK48" s="22">
        <f>IF(BK$35="Dose 1",SUMIFS('Supply planning data'!$G:$G,'Supply planning data'!$D:$D,DataViz!$B48,'Supply planning data'!$C:$C,DataViz!BK$34),
IF(BK$35="Dose 2",SUMIFS('Supply planning data'!$H:$H,'Supply planning data'!$D:$D,DataViz!$B48,'Supply planning data'!$C:$C,DataViz!BK$34),
IF(BK$35="Wastage",SUMIFS('Supply planning data'!$K:$K,'Supply planning data'!$D:$D,DataViz!$B48,'Supply planning data'!$C:$C,DataViz!BK$34),
IF(BK$35="Additional",SUMIFS('Supply planning data'!$I:$I,'Supply planning data'!$D:$D,DataViz!$B48,'Supply planning data'!$C:$C,DataViz!BK$34),
0))))</f>
        <v>0</v>
      </c>
      <c r="BL48" s="22">
        <f>IF(BL$35="Dose 1",SUMIFS('Supply planning data'!$G:$G,'Supply planning data'!$D:$D,DataViz!$B48,'Supply planning data'!$C:$C,DataViz!BL$34),
IF(BL$35="Dose 2",SUMIFS('Supply planning data'!$H:$H,'Supply planning data'!$D:$D,DataViz!$B48,'Supply planning data'!$C:$C,DataViz!BL$34),
IF(BL$35="Wastage",SUMIFS('Supply planning data'!$K:$K,'Supply planning data'!$D:$D,DataViz!$B48,'Supply planning data'!$C:$C,DataViz!BL$34),
IF(BL$35="Additional",SUMIFS('Supply planning data'!$I:$I,'Supply planning data'!$D:$D,DataViz!$B48,'Supply planning data'!$C:$C,DataViz!BL$34),
0))))</f>
        <v>0</v>
      </c>
    </row>
    <row r="49" spans="1:64" x14ac:dyDescent="0.25">
      <c r="A49" s="20">
        <v>11</v>
      </c>
      <c r="B49" s="21">
        <f t="shared" si="15"/>
        <v>44593</v>
      </c>
      <c r="C49" s="22">
        <f>IF(VLOOKUP(Dashboard!$M$6,Start!$B$10:$E$12,4,FALSE)&gt;0,VLOOKUP(Dashboard!$M$6,Start!$B$10:$E$12,4, FALSE),VLOOKUP(Dashboard!$M$6,Start!$B$10:$E$12,3, FALSE))</f>
        <v>60000000</v>
      </c>
      <c r="D49" s="22">
        <f>SUMIFS('Supply planning data'!M:M,'Supply planning data'!D:D,"&lt;="&amp;DataViz!B49)</f>
        <v>2517158</v>
      </c>
      <c r="E49" s="22">
        <f>IF(E$35="Dose 1",SUMIFS('Supply planning data'!$G:$G,'Supply planning data'!$D:$D,DataViz!$B49,'Supply planning data'!$C:$C,DataViz!E$34),
IF(E$35="Dose 2",SUMIFS('Supply planning data'!$H:$H,'Supply planning data'!$D:$D,DataViz!$B49,'Supply planning data'!$C:$C,DataViz!E$34),
IF(E$35="Wastage",SUMIFS('Supply planning data'!$K:$K,'Supply planning data'!$D:$D,DataViz!$B49,'Supply planning data'!$C:$C,DataViz!E$34),
IF(E$35="Additional",SUMIFS('Supply planning data'!$I:$I,'Supply planning data'!$D:$D,DataViz!$B49,'Supply planning data'!$C:$C,DataViz!E$34),
0))))</f>
        <v>25000</v>
      </c>
      <c r="F49" s="22">
        <f>IF(F$35="Dose 1",SUMIFS('Supply planning data'!$G:$G,'Supply planning data'!$D:$D,DataViz!$B49,'Supply planning data'!$C:$C,DataViz!F$34),
IF(F$35="Dose 2",SUMIFS('Supply planning data'!$H:$H,'Supply planning data'!$D:$D,DataViz!$B49,'Supply planning data'!$C:$C,DataViz!F$34),
IF(F$35="Wastage",SUMIFS('Supply planning data'!$K:$K,'Supply planning data'!$D:$D,DataViz!$B49,'Supply planning data'!$C:$C,DataViz!F$34),
IF(F$35="Additional",SUMIFS('Supply planning data'!$I:$I,'Supply planning data'!$D:$D,DataViz!$B49,'Supply planning data'!$C:$C,DataViz!F$34),
0))))</f>
        <v>3600</v>
      </c>
      <c r="G49" s="22">
        <f>IF(G$35="Dose 1",SUMIFS('Supply planning data'!$G:$G,'Supply planning data'!$D:$D,DataViz!$B49,'Supply planning data'!$C:$C,DataViz!G$34),
IF(G$35="Dose 2",SUMIFS('Supply planning data'!$H:$H,'Supply planning data'!$D:$D,DataViz!$B49,'Supply planning data'!$C:$C,DataViz!G$34),
IF(G$35="Wastage",SUMIFS('Supply planning data'!$K:$K,'Supply planning data'!$D:$D,DataViz!$B49,'Supply planning data'!$C:$C,DataViz!G$34),
IF(G$35="Additional",SUMIFS('Supply planning data'!$I:$I,'Supply planning data'!$D:$D,DataViz!$B49,'Supply planning data'!$C:$C,DataViz!G$34),
0))))</f>
        <v>0</v>
      </c>
      <c r="H49" s="22">
        <f>IF(H$35="Dose 1",SUMIFS('Supply planning data'!$G:$G,'Supply planning data'!$D:$D,DataViz!$B49,'Supply planning data'!$C:$C,DataViz!H$34),
IF(H$35="Dose 2",SUMIFS('Supply planning data'!$H:$H,'Supply planning data'!$D:$D,DataViz!$B49,'Supply planning data'!$C:$C,DataViz!H$34),
IF(H$35="Wastage",SUMIFS('Supply planning data'!$K:$K,'Supply planning data'!$D:$D,DataViz!$B49,'Supply planning data'!$C:$C,DataViz!H$34),
IF(H$35="Additional",SUMIFS('Supply planning data'!$I:$I,'Supply planning data'!$D:$D,DataViz!$B49,'Supply planning data'!$C:$C,DataViz!H$34),
0))))</f>
        <v>0</v>
      </c>
      <c r="I49" s="22">
        <f>IF(I$35="Dose 1",SUMIFS('Supply planning data'!$G:$G,'Supply planning data'!$D:$D,DataViz!$B49,'Supply planning data'!$C:$C,DataViz!I$34),
IF(I$35="Dose 2",SUMIFS('Supply planning data'!$H:$H,'Supply planning data'!$D:$D,DataViz!$B49,'Supply planning data'!$C:$C,DataViz!I$34),
IF(I$35="Wastage",SUMIFS('Supply planning data'!$K:$K,'Supply planning data'!$D:$D,DataViz!$B49,'Supply planning data'!$C:$C,DataViz!I$34),
IF(I$35="Additional",SUMIFS('Supply planning data'!$I:$I,'Supply planning data'!$D:$D,DataViz!$B49,'Supply planning data'!$C:$C,DataViz!I$34),
0))))</f>
        <v>246789</v>
      </c>
      <c r="J49" s="22">
        <f>IF(J$35="Dose 1",SUMIFS('Supply planning data'!$G:$G,'Supply planning data'!$D:$D,DataViz!$B49,'Supply planning data'!$C:$C,DataViz!J$34),
IF(J$35="Dose 2",SUMIFS('Supply planning data'!$H:$H,'Supply planning data'!$D:$D,DataViz!$B49,'Supply planning data'!$C:$C,DataViz!J$34),
IF(J$35="Wastage",SUMIFS('Supply planning data'!$K:$K,'Supply planning data'!$D:$D,DataViz!$B49,'Supply planning data'!$C:$C,DataViz!J$34),
IF(J$35="Additional",SUMIFS('Supply planning data'!$I:$I,'Supply planning data'!$D:$D,DataViz!$B49,'Supply planning data'!$C:$C,DataViz!J$34),
0))))</f>
        <v>0</v>
      </c>
      <c r="K49" s="22">
        <f>IF(K$35="Dose 1",SUMIFS('Supply planning data'!$G:$G,'Supply planning data'!$D:$D,DataViz!$B49,'Supply planning data'!$C:$C,DataViz!K$34),
IF(K$35="Dose 2",SUMIFS('Supply planning data'!$H:$H,'Supply planning data'!$D:$D,DataViz!$B49,'Supply planning data'!$C:$C,DataViz!K$34),
IF(K$35="Wastage",SUMIFS('Supply planning data'!$K:$K,'Supply planning data'!$D:$D,DataViz!$B49,'Supply planning data'!$C:$C,DataViz!K$34),
IF(K$35="Additional",SUMIFS('Supply planning data'!$I:$I,'Supply planning data'!$D:$D,DataViz!$B49,'Supply planning data'!$C:$C,DataViz!K$34),
0))))</f>
        <v>0</v>
      </c>
      <c r="L49" s="22">
        <f>IF(L$35="Dose 1",SUMIFS('Supply planning data'!$G:$G,'Supply planning data'!$D:$D,DataViz!$B49,'Supply planning data'!$C:$C,DataViz!L$34),
IF(L$35="Dose 2",SUMIFS('Supply planning data'!$H:$H,'Supply planning data'!$D:$D,DataViz!$B49,'Supply planning data'!$C:$C,DataViz!L$34),
IF(L$35="Wastage",SUMIFS('Supply planning data'!$K:$K,'Supply planning data'!$D:$D,DataViz!$B49,'Supply planning data'!$C:$C,DataViz!L$34),
IF(L$35="Additional",SUMIFS('Supply planning data'!$I:$I,'Supply planning data'!$D:$D,DataViz!$B49,'Supply planning data'!$C:$C,DataViz!L$34),
0))))</f>
        <v>234</v>
      </c>
      <c r="M49" s="22">
        <f>IF(M$35="Dose 1",SUMIFS('Supply planning data'!$G:$G,'Supply planning data'!$D:$D,DataViz!$B49,'Supply planning data'!$C:$C,DataViz!M$34),
IF(M$35="Dose 2",SUMIFS('Supply planning data'!$H:$H,'Supply planning data'!$D:$D,DataViz!$B49,'Supply planning data'!$C:$C,DataViz!M$34),
IF(M$35="Wastage",SUMIFS('Supply planning data'!$K:$K,'Supply planning data'!$D:$D,DataViz!$B49,'Supply planning data'!$C:$C,DataViz!M$34),
IF(M$35="Additional",SUMIFS('Supply planning data'!$I:$I,'Supply planning data'!$D:$D,DataViz!$B49,'Supply planning data'!$C:$C,DataViz!M$34),
0))))</f>
        <v>0</v>
      </c>
      <c r="N49" s="22">
        <f>IF(N$35="Dose 1",SUMIFS('Supply planning data'!$G:$G,'Supply planning data'!$D:$D,DataViz!$B49,'Supply planning data'!$C:$C,DataViz!N$34),
IF(N$35="Dose 2",SUMIFS('Supply planning data'!$H:$H,'Supply planning data'!$D:$D,DataViz!$B49,'Supply planning data'!$C:$C,DataViz!N$34),
IF(N$35="Wastage",SUMIFS('Supply planning data'!$K:$K,'Supply planning data'!$D:$D,DataViz!$B49,'Supply planning data'!$C:$C,DataViz!N$34),
IF(N$35="Additional",SUMIFS('Supply planning data'!$I:$I,'Supply planning data'!$D:$D,DataViz!$B49,'Supply planning data'!$C:$C,DataViz!N$34),
0))))</f>
        <v>0</v>
      </c>
      <c r="O49" s="22">
        <f>IF(O$35="Dose 1",SUMIFS('Supply planning data'!$G:$G,'Supply planning data'!$D:$D,DataViz!$B49,'Supply planning data'!$C:$C,DataViz!O$34),
IF(O$35="Dose 2",SUMIFS('Supply planning data'!$H:$H,'Supply planning data'!$D:$D,DataViz!$B49,'Supply planning data'!$C:$C,DataViz!O$34),
IF(O$35="Wastage",SUMIFS('Supply planning data'!$K:$K,'Supply planning data'!$D:$D,DataViz!$B49,'Supply planning data'!$C:$C,DataViz!O$34),
IF(O$35="Additional",SUMIFS('Supply planning data'!$I:$I,'Supply planning data'!$D:$D,DataViz!$B49,'Supply planning data'!$C:$C,DataViz!O$34),
0))))</f>
        <v>0</v>
      </c>
      <c r="P49" s="22">
        <f>IF(P$35="Dose 1",SUMIFS('Supply planning data'!$G:$G,'Supply planning data'!$D:$D,DataViz!$B49,'Supply planning data'!$C:$C,DataViz!P$34),
IF(P$35="Dose 2",SUMIFS('Supply planning data'!$H:$H,'Supply planning data'!$D:$D,DataViz!$B49,'Supply planning data'!$C:$C,DataViz!P$34),
IF(P$35="Wastage",SUMIFS('Supply planning data'!$K:$K,'Supply planning data'!$D:$D,DataViz!$B49,'Supply planning data'!$C:$C,DataViz!P$34),
IF(P$35="Additional",SUMIFS('Supply planning data'!$I:$I,'Supply planning data'!$D:$D,DataViz!$B49,'Supply planning data'!$C:$C,DataViz!P$34),
0))))</f>
        <v>0</v>
      </c>
      <c r="Q49" s="22">
        <f>IF(Q$35="Dose 1",SUMIFS('Supply planning data'!$G:$G,'Supply planning data'!$D:$D,DataViz!$B49,'Supply planning data'!$C:$C,DataViz!Q$34),
IF(Q$35="Dose 2",SUMIFS('Supply planning data'!$H:$H,'Supply planning data'!$D:$D,DataViz!$B49,'Supply planning data'!$C:$C,DataViz!Q$34),
IF(Q$35="Wastage",SUMIFS('Supply planning data'!$K:$K,'Supply planning data'!$D:$D,DataViz!$B49,'Supply planning data'!$C:$C,DataViz!Q$34),
IF(Q$35="Additional",SUMIFS('Supply planning data'!$I:$I,'Supply planning data'!$D:$D,DataViz!$B49,'Supply planning data'!$C:$C,DataViz!Q$34),
0))))</f>
        <v>131844</v>
      </c>
      <c r="R49" s="22">
        <f>IF(R$35="Dose 1",SUMIFS('Supply planning data'!$G:$G,'Supply planning data'!$D:$D,DataViz!$B49,'Supply planning data'!$C:$C,DataViz!R$34),
IF(R$35="Dose 2",SUMIFS('Supply planning data'!$H:$H,'Supply planning data'!$D:$D,DataViz!$B49,'Supply planning data'!$C:$C,DataViz!R$34),
IF(R$35="Wastage",SUMIFS('Supply planning data'!$K:$K,'Supply planning data'!$D:$D,DataViz!$B49,'Supply planning data'!$C:$C,DataViz!R$34),
IF(R$35="Additional",SUMIFS('Supply planning data'!$I:$I,'Supply planning data'!$D:$D,DataViz!$B49,'Supply planning data'!$C:$C,DataViz!R$34),
0))))</f>
        <v>89193</v>
      </c>
      <c r="S49" s="22">
        <f>IF(S$35="Dose 1",SUMIFS('Supply planning data'!$G:$G,'Supply planning data'!$D:$D,DataViz!$B49,'Supply planning data'!$C:$C,DataViz!S$34),
IF(S$35="Dose 2",SUMIFS('Supply planning data'!$H:$H,'Supply planning data'!$D:$D,DataViz!$B49,'Supply planning data'!$C:$C,DataViz!S$34),
IF(S$35="Wastage",SUMIFS('Supply planning data'!$K:$K,'Supply planning data'!$D:$D,DataViz!$B49,'Supply planning data'!$C:$C,DataViz!S$34),
IF(S$35="Additional",SUMIFS('Supply planning data'!$I:$I,'Supply planning data'!$D:$D,DataViz!$B49,'Supply planning data'!$C:$C,DataViz!S$34),
0))))</f>
        <v>0</v>
      </c>
      <c r="T49" s="22">
        <f>IF(T$35="Dose 1",SUMIFS('Supply planning data'!$G:$G,'Supply planning data'!$D:$D,DataViz!$B49,'Supply planning data'!$C:$C,DataViz!T$34),
IF(T$35="Dose 2",SUMIFS('Supply planning data'!$H:$H,'Supply planning data'!$D:$D,DataViz!$B49,'Supply planning data'!$C:$C,DataViz!T$34),
IF(T$35="Wastage",SUMIFS('Supply planning data'!$K:$K,'Supply planning data'!$D:$D,DataViz!$B49,'Supply planning data'!$C:$C,DataViz!T$34),
IF(T$35="Additional",SUMIFS('Supply planning data'!$I:$I,'Supply planning data'!$D:$D,DataViz!$B49,'Supply planning data'!$C:$C,DataViz!T$34),
0))))</f>
        <v>3008</v>
      </c>
      <c r="U49" s="22">
        <f>IF(U$35="Dose 1",SUMIFS('Supply planning data'!$G:$G,'Supply planning data'!$D:$D,DataViz!$B49,'Supply planning data'!$C:$C,DataViz!U$34),
IF(U$35="Dose 2",SUMIFS('Supply planning data'!$H:$H,'Supply planning data'!$D:$D,DataViz!$B49,'Supply planning data'!$C:$C,DataViz!U$34),
IF(U$35="Wastage",SUMIFS('Supply planning data'!$K:$K,'Supply planning data'!$D:$D,DataViz!$B49,'Supply planning data'!$C:$C,DataViz!U$34),
IF(U$35="Additional",SUMIFS('Supply planning data'!$I:$I,'Supply planning data'!$D:$D,DataViz!$B49,'Supply planning data'!$C:$C,DataViz!U$34),
0))))</f>
        <v>0</v>
      </c>
      <c r="V49" s="22">
        <f>IF(V$35="Dose 1",SUMIFS('Supply planning data'!$G:$G,'Supply planning data'!$D:$D,DataViz!$B49,'Supply planning data'!$C:$C,DataViz!V$34),
IF(V$35="Dose 2",SUMIFS('Supply planning data'!$H:$H,'Supply planning data'!$D:$D,DataViz!$B49,'Supply planning data'!$C:$C,DataViz!V$34),
IF(V$35="Wastage",SUMIFS('Supply planning data'!$K:$K,'Supply planning data'!$D:$D,DataViz!$B49,'Supply planning data'!$C:$C,DataViz!V$34),
IF(V$35="Additional",SUMIFS('Supply planning data'!$I:$I,'Supply planning data'!$D:$D,DataViz!$B49,'Supply planning data'!$C:$C,DataViz!V$34),
0))))</f>
        <v>0</v>
      </c>
      <c r="W49" s="22">
        <f>IF(W$35="Dose 1",SUMIFS('Supply planning data'!$G:$G,'Supply planning data'!$D:$D,DataViz!$B49,'Supply planning data'!$C:$C,DataViz!W$34),
IF(W$35="Dose 2",SUMIFS('Supply planning data'!$H:$H,'Supply planning data'!$D:$D,DataViz!$B49,'Supply planning data'!$C:$C,DataViz!W$34),
IF(W$35="Wastage",SUMIFS('Supply planning data'!$K:$K,'Supply planning data'!$D:$D,DataViz!$B49,'Supply planning data'!$C:$C,DataViz!W$34),
IF(W$35="Additional",SUMIFS('Supply planning data'!$I:$I,'Supply planning data'!$D:$D,DataViz!$B49,'Supply planning data'!$C:$C,DataViz!W$34),
0))))</f>
        <v>0</v>
      </c>
      <c r="X49" s="22">
        <f>IF(X$35="Dose 1",SUMIFS('Supply planning data'!$G:$G,'Supply planning data'!$D:$D,DataViz!$B49,'Supply planning data'!$C:$C,DataViz!X$34),
IF(X$35="Dose 2",SUMIFS('Supply planning data'!$H:$H,'Supply planning data'!$D:$D,DataViz!$B49,'Supply planning data'!$C:$C,DataViz!X$34),
IF(X$35="Wastage",SUMIFS('Supply planning data'!$K:$K,'Supply planning data'!$D:$D,DataViz!$B49,'Supply planning data'!$C:$C,DataViz!X$34),
IF(X$35="Additional",SUMIFS('Supply planning data'!$I:$I,'Supply planning data'!$D:$D,DataViz!$B49,'Supply planning data'!$C:$C,DataViz!X$34),
0))))</f>
        <v>0</v>
      </c>
      <c r="Y49" s="22">
        <f>IF(Y$35="Dose 1",SUMIFS('Supply planning data'!$G:$G,'Supply planning data'!$D:$D,DataViz!$B49,'Supply planning data'!$C:$C,DataViz!Y$34),
IF(Y$35="Dose 2",SUMIFS('Supply planning data'!$H:$H,'Supply planning data'!$D:$D,DataViz!$B49,'Supply planning data'!$C:$C,DataViz!Y$34),
IF(Y$35="Wastage",SUMIFS('Supply planning data'!$K:$K,'Supply planning data'!$D:$D,DataViz!$B49,'Supply planning data'!$C:$C,DataViz!Y$34),
IF(Y$35="Additional",SUMIFS('Supply planning data'!$I:$I,'Supply planning data'!$D:$D,DataViz!$B49,'Supply planning data'!$C:$C,DataViz!Y$34),
0))))</f>
        <v>0</v>
      </c>
      <c r="Z49" s="22">
        <f>IF(Z$35="Dose 1",SUMIFS('Supply planning data'!$G:$G,'Supply planning data'!$D:$D,DataViz!$B49,'Supply planning data'!$C:$C,DataViz!Z$34),
IF(Z$35="Dose 2",SUMIFS('Supply planning data'!$H:$H,'Supply planning data'!$D:$D,DataViz!$B49,'Supply planning data'!$C:$C,DataViz!Z$34),
IF(Z$35="Wastage",SUMIFS('Supply planning data'!$K:$K,'Supply planning data'!$D:$D,DataViz!$B49,'Supply planning data'!$C:$C,DataViz!Z$34),
IF(Z$35="Additional",SUMIFS('Supply planning data'!$I:$I,'Supply planning data'!$D:$D,DataViz!$B49,'Supply planning data'!$C:$C,DataViz!Z$34),
0))))</f>
        <v>0</v>
      </c>
      <c r="AA49" s="22">
        <f>IF(AA$35="Dose 1",SUMIFS('Supply planning data'!$G:$G,'Supply planning data'!$D:$D,DataViz!$B49,'Supply planning data'!$C:$C,DataViz!AA$34),
IF(AA$35="Dose 2",SUMIFS('Supply planning data'!$H:$H,'Supply planning data'!$D:$D,DataViz!$B49,'Supply planning data'!$C:$C,DataViz!AA$34),
IF(AA$35="Wastage",SUMIFS('Supply planning data'!$K:$K,'Supply planning data'!$D:$D,DataViz!$B49,'Supply planning data'!$C:$C,DataViz!AA$34),
IF(AA$35="Additional",SUMIFS('Supply planning data'!$I:$I,'Supply planning data'!$D:$D,DataViz!$B49,'Supply planning data'!$C:$C,DataViz!AA$34),
0))))</f>
        <v>0</v>
      </c>
      <c r="AB49" s="22">
        <f>IF(AB$35="Dose 1",SUMIFS('Supply planning data'!$G:$G,'Supply planning data'!$D:$D,DataViz!$B49,'Supply planning data'!$C:$C,DataViz!AB$34),
IF(AB$35="Dose 2",SUMIFS('Supply planning data'!$H:$H,'Supply planning data'!$D:$D,DataViz!$B49,'Supply planning data'!$C:$C,DataViz!AB$34),
IF(AB$35="Wastage",SUMIFS('Supply planning data'!$K:$K,'Supply planning data'!$D:$D,DataViz!$B49,'Supply planning data'!$C:$C,DataViz!AB$34),
IF(AB$35="Additional",SUMIFS('Supply planning data'!$I:$I,'Supply planning data'!$D:$D,DataViz!$B49,'Supply planning data'!$C:$C,DataViz!AB$34),
0))))</f>
        <v>0</v>
      </c>
      <c r="AC49" s="22">
        <f>IF(AC$35="Dose 1",SUMIFS('Supply planning data'!$G:$G,'Supply planning data'!$D:$D,DataViz!$B49,'Supply planning data'!$C:$C,DataViz!AC$34),
IF(AC$35="Dose 2",SUMIFS('Supply planning data'!$H:$H,'Supply planning data'!$D:$D,DataViz!$B49,'Supply planning data'!$C:$C,DataViz!AC$34),
IF(AC$35="Wastage",SUMIFS('Supply planning data'!$K:$K,'Supply planning data'!$D:$D,DataViz!$B49,'Supply planning data'!$C:$C,DataViz!AC$34),
IF(AC$35="Additional",SUMIFS('Supply planning data'!$I:$I,'Supply planning data'!$D:$D,DataViz!$B49,'Supply planning data'!$C:$C,DataViz!AC$34),
0))))</f>
        <v>0</v>
      </c>
      <c r="AD49" s="22">
        <f>IF(AD$35="Dose 1",SUMIFS('Supply planning data'!$G:$G,'Supply planning data'!$D:$D,DataViz!$B49,'Supply planning data'!$C:$C,DataViz!AD$34),
IF(AD$35="Dose 2",SUMIFS('Supply planning data'!$H:$H,'Supply planning data'!$D:$D,DataViz!$B49,'Supply planning data'!$C:$C,DataViz!AD$34),
IF(AD$35="Wastage",SUMIFS('Supply planning data'!$K:$K,'Supply planning data'!$D:$D,DataViz!$B49,'Supply planning data'!$C:$C,DataViz!AD$34),
IF(AD$35="Additional",SUMIFS('Supply planning data'!$I:$I,'Supply planning data'!$D:$D,DataViz!$B49,'Supply planning data'!$C:$C,DataViz!AD$34),
0))))</f>
        <v>0</v>
      </c>
      <c r="AE49" s="22">
        <f>IF(AE$35="Dose 1",SUMIFS('Supply planning data'!$G:$G,'Supply planning data'!$D:$D,DataViz!$B49,'Supply planning data'!$C:$C,DataViz!AE$34),
IF(AE$35="Dose 2",SUMIFS('Supply planning data'!$H:$H,'Supply planning data'!$D:$D,DataViz!$B49,'Supply planning data'!$C:$C,DataViz!AE$34),
IF(AE$35="Wastage",SUMIFS('Supply planning data'!$K:$K,'Supply planning data'!$D:$D,DataViz!$B49,'Supply planning data'!$C:$C,DataViz!AE$34),
IF(AE$35="Additional",SUMIFS('Supply planning data'!$I:$I,'Supply planning data'!$D:$D,DataViz!$B49,'Supply planning data'!$C:$C,DataViz!AE$34),
0))))</f>
        <v>0</v>
      </c>
      <c r="AF49" s="22">
        <f>IF(AF$35="Dose 1",SUMIFS('Supply planning data'!$G:$G,'Supply planning data'!$D:$D,DataViz!$B49,'Supply planning data'!$C:$C,DataViz!AF$34),
IF(AF$35="Dose 2",SUMIFS('Supply planning data'!$H:$H,'Supply planning data'!$D:$D,DataViz!$B49,'Supply planning data'!$C:$C,DataViz!AF$34),
IF(AF$35="Wastage",SUMIFS('Supply planning data'!$K:$K,'Supply planning data'!$D:$D,DataViz!$B49,'Supply planning data'!$C:$C,DataViz!AF$34),
IF(AF$35="Additional",SUMIFS('Supply planning data'!$I:$I,'Supply planning data'!$D:$D,DataViz!$B49,'Supply planning data'!$C:$C,DataViz!AF$34),
0))))</f>
        <v>0</v>
      </c>
      <c r="AG49" s="22">
        <f>IF(AG$35="Dose 1",SUMIFS('Supply planning data'!$G:$G,'Supply planning data'!$D:$D,DataViz!$B49,'Supply planning data'!$C:$C,DataViz!AG$34),
IF(AG$35="Dose 2",SUMIFS('Supply planning data'!$H:$H,'Supply planning data'!$D:$D,DataViz!$B49,'Supply planning data'!$C:$C,DataViz!AG$34),
IF(AG$35="Wastage",SUMIFS('Supply planning data'!$K:$K,'Supply planning data'!$D:$D,DataViz!$B49,'Supply planning data'!$C:$C,DataViz!AG$34),
IF(AG$35="Additional",SUMIFS('Supply planning data'!$I:$I,'Supply planning data'!$D:$D,DataViz!$B49,'Supply planning data'!$C:$C,DataViz!AG$34),
0))))</f>
        <v>0</v>
      </c>
      <c r="AH49" s="22">
        <f>IF(AH$35="Dose 1",SUMIFS('Supply planning data'!$G:$G,'Supply planning data'!$D:$D,DataViz!$B49,'Supply planning data'!$C:$C,DataViz!AH$34),
IF(AH$35="Dose 2",SUMIFS('Supply planning data'!$H:$H,'Supply planning data'!$D:$D,DataViz!$B49,'Supply planning data'!$C:$C,DataViz!AH$34),
IF(AH$35="Wastage",SUMIFS('Supply planning data'!$K:$K,'Supply planning data'!$D:$D,DataViz!$B49,'Supply planning data'!$C:$C,DataViz!AH$34),
IF(AH$35="Additional",SUMIFS('Supply planning data'!$I:$I,'Supply planning data'!$D:$D,DataViz!$B49,'Supply planning data'!$C:$C,DataViz!AH$34),
0))))</f>
        <v>0</v>
      </c>
      <c r="AI49" s="22">
        <f>IF(AI$35="Dose 1",SUMIFS('Supply planning data'!$G:$G,'Supply planning data'!$D:$D,DataViz!$B49,'Supply planning data'!$C:$C,DataViz!AI$34),
IF(AI$35="Dose 2",SUMIFS('Supply planning data'!$H:$H,'Supply planning data'!$D:$D,DataViz!$B49,'Supply planning data'!$C:$C,DataViz!AI$34),
IF(AI$35="Wastage",SUMIFS('Supply planning data'!$K:$K,'Supply planning data'!$D:$D,DataViz!$B49,'Supply planning data'!$C:$C,DataViz!AI$34),
IF(AI$35="Additional",SUMIFS('Supply planning data'!$I:$I,'Supply planning data'!$D:$D,DataViz!$B49,'Supply planning data'!$C:$C,DataViz!AI$34),
0))))</f>
        <v>0</v>
      </c>
      <c r="AJ49" s="22">
        <f>IF(AJ$35="Dose 1",SUMIFS('Supply planning data'!$G:$G,'Supply planning data'!$D:$D,DataViz!$B49,'Supply planning data'!$C:$C,DataViz!AJ$34),
IF(AJ$35="Dose 2",SUMIFS('Supply planning data'!$H:$H,'Supply planning data'!$D:$D,DataViz!$B49,'Supply planning data'!$C:$C,DataViz!AJ$34),
IF(AJ$35="Wastage",SUMIFS('Supply planning data'!$K:$K,'Supply planning data'!$D:$D,DataViz!$B49,'Supply planning data'!$C:$C,DataViz!AJ$34),
IF(AJ$35="Additional",SUMIFS('Supply planning data'!$I:$I,'Supply planning data'!$D:$D,DataViz!$B49,'Supply planning data'!$C:$C,DataViz!AJ$34),
0))))</f>
        <v>0</v>
      </c>
      <c r="AK49" s="22">
        <f>IF(AK$35="Dose 1",SUMIFS('Supply planning data'!$G:$G,'Supply planning data'!$D:$D,DataViz!$B49,'Supply planning data'!$C:$C,DataViz!AK$34),
IF(AK$35="Dose 2",SUMIFS('Supply planning data'!$H:$H,'Supply planning data'!$D:$D,DataViz!$B49,'Supply planning data'!$C:$C,DataViz!AK$34),
IF(AK$35="Wastage",SUMIFS('Supply planning data'!$K:$K,'Supply planning data'!$D:$D,DataViz!$B49,'Supply planning data'!$C:$C,DataViz!AK$34),
IF(AK$35="Additional",SUMIFS('Supply planning data'!$I:$I,'Supply planning data'!$D:$D,DataViz!$B49,'Supply planning data'!$C:$C,DataViz!AK$34),
0))))</f>
        <v>0</v>
      </c>
      <c r="AL49" s="22">
        <f>IF(AL$35="Dose 1",SUMIFS('Supply planning data'!$G:$G,'Supply planning data'!$D:$D,DataViz!$B49,'Supply planning data'!$C:$C,DataViz!AL$34),
IF(AL$35="Dose 2",SUMIFS('Supply planning data'!$H:$H,'Supply planning data'!$D:$D,DataViz!$B49,'Supply planning data'!$C:$C,DataViz!AL$34),
IF(AL$35="Wastage",SUMIFS('Supply planning data'!$K:$K,'Supply planning data'!$D:$D,DataViz!$B49,'Supply planning data'!$C:$C,DataViz!AL$34),
IF(AL$35="Additional",SUMIFS('Supply planning data'!$I:$I,'Supply planning data'!$D:$D,DataViz!$B49,'Supply planning data'!$C:$C,DataViz!AL$34),
0))))</f>
        <v>0</v>
      </c>
      <c r="AM49" s="22">
        <f>IF(AM$35="Dose 1",SUMIFS('Supply planning data'!$G:$G,'Supply planning data'!$D:$D,DataViz!$B49,'Supply planning data'!$C:$C,DataViz!AM$34),
IF(AM$35="Dose 2",SUMIFS('Supply planning data'!$H:$H,'Supply planning data'!$D:$D,DataViz!$B49,'Supply planning data'!$C:$C,DataViz!AM$34),
IF(AM$35="Wastage",SUMIFS('Supply planning data'!$K:$K,'Supply planning data'!$D:$D,DataViz!$B49,'Supply planning data'!$C:$C,DataViz!AM$34),
IF(AM$35="Additional",SUMIFS('Supply planning data'!$I:$I,'Supply planning data'!$D:$D,DataViz!$B49,'Supply planning data'!$C:$C,DataViz!AM$34),
0))))</f>
        <v>0</v>
      </c>
      <c r="AN49" s="22">
        <f>IF(AN$35="Dose 1",SUMIFS('Supply planning data'!$G:$G,'Supply planning data'!$D:$D,DataViz!$B49,'Supply planning data'!$C:$C,DataViz!AN$34),
IF(AN$35="Dose 2",SUMIFS('Supply planning data'!$H:$H,'Supply planning data'!$D:$D,DataViz!$B49,'Supply planning data'!$C:$C,DataViz!AN$34),
IF(AN$35="Wastage",SUMIFS('Supply planning data'!$K:$K,'Supply planning data'!$D:$D,DataViz!$B49,'Supply planning data'!$C:$C,DataViz!AN$34),
IF(AN$35="Additional",SUMIFS('Supply planning data'!$I:$I,'Supply planning data'!$D:$D,DataViz!$B49,'Supply planning data'!$C:$C,DataViz!AN$34),
0))))</f>
        <v>0</v>
      </c>
      <c r="AO49" s="22">
        <f>IF(AO$35="Dose 1",SUMIFS('Supply planning data'!$G:$G,'Supply planning data'!$D:$D,DataViz!$B49,'Supply planning data'!$C:$C,DataViz!AO$34),
IF(AO$35="Dose 2",SUMIFS('Supply planning data'!$H:$H,'Supply planning data'!$D:$D,DataViz!$B49,'Supply planning data'!$C:$C,DataViz!AO$34),
IF(AO$35="Wastage",SUMIFS('Supply planning data'!$K:$K,'Supply planning data'!$D:$D,DataViz!$B49,'Supply planning data'!$C:$C,DataViz!AO$34),
IF(AO$35="Additional",SUMIFS('Supply planning data'!$I:$I,'Supply planning data'!$D:$D,DataViz!$B49,'Supply planning data'!$C:$C,DataViz!AO$34),
0))))</f>
        <v>0</v>
      </c>
      <c r="AP49" s="22">
        <f>IF(AP$35="Dose 1",SUMIFS('Supply planning data'!$G:$G,'Supply planning data'!$D:$D,DataViz!$B49,'Supply planning data'!$C:$C,DataViz!AP$34),
IF(AP$35="Dose 2",SUMIFS('Supply planning data'!$H:$H,'Supply planning data'!$D:$D,DataViz!$B49,'Supply planning data'!$C:$C,DataViz!AP$34),
IF(AP$35="Wastage",SUMIFS('Supply planning data'!$K:$K,'Supply planning data'!$D:$D,DataViz!$B49,'Supply planning data'!$C:$C,DataViz!AP$34),
IF(AP$35="Additional",SUMIFS('Supply planning data'!$I:$I,'Supply planning data'!$D:$D,DataViz!$B49,'Supply planning data'!$C:$C,DataViz!AP$34),
0))))</f>
        <v>0</v>
      </c>
      <c r="AQ49" s="22">
        <f>IF(AQ$35="Dose 1",SUMIFS('Supply planning data'!$G:$G,'Supply planning data'!$D:$D,DataViz!$B49,'Supply planning data'!$C:$C,DataViz!AQ$34),
IF(AQ$35="Dose 2",SUMIFS('Supply planning data'!$H:$H,'Supply planning data'!$D:$D,DataViz!$B49,'Supply planning data'!$C:$C,DataViz!AQ$34),
IF(AQ$35="Wastage",SUMIFS('Supply planning data'!$K:$K,'Supply planning data'!$D:$D,DataViz!$B49,'Supply planning data'!$C:$C,DataViz!AQ$34),
IF(AQ$35="Additional",SUMIFS('Supply planning data'!$I:$I,'Supply planning data'!$D:$D,DataViz!$B49,'Supply planning data'!$C:$C,DataViz!AQ$34),
0))))</f>
        <v>0</v>
      </c>
      <c r="AR49" s="22">
        <f>IF(AR$35="Dose 1",SUMIFS('Supply planning data'!$G:$G,'Supply planning data'!$D:$D,DataViz!$B49,'Supply planning data'!$C:$C,DataViz!AR$34),
IF(AR$35="Dose 2",SUMIFS('Supply planning data'!$H:$H,'Supply planning data'!$D:$D,DataViz!$B49,'Supply planning data'!$C:$C,DataViz!AR$34),
IF(AR$35="Wastage",SUMIFS('Supply planning data'!$K:$K,'Supply planning data'!$D:$D,DataViz!$B49,'Supply planning data'!$C:$C,DataViz!AR$34),
IF(AR$35="Additional",SUMIFS('Supply planning data'!$I:$I,'Supply planning data'!$D:$D,DataViz!$B49,'Supply planning data'!$C:$C,DataViz!AR$34),
0))))</f>
        <v>0</v>
      </c>
      <c r="AS49" s="22">
        <f>IF(AS$35="Dose 1",SUMIFS('Supply planning data'!$G:$G,'Supply planning data'!$D:$D,DataViz!$B49,'Supply planning data'!$C:$C,DataViz!AS$34),
IF(AS$35="Dose 2",SUMIFS('Supply planning data'!$H:$H,'Supply planning data'!$D:$D,DataViz!$B49,'Supply planning data'!$C:$C,DataViz!AS$34),
IF(AS$35="Wastage",SUMIFS('Supply planning data'!$K:$K,'Supply planning data'!$D:$D,DataViz!$B49,'Supply planning data'!$C:$C,DataViz!AS$34),
IF(AS$35="Additional",SUMIFS('Supply planning data'!$I:$I,'Supply planning data'!$D:$D,DataViz!$B49,'Supply planning data'!$C:$C,DataViz!AS$34),
0))))</f>
        <v>0</v>
      </c>
      <c r="AT49" s="22">
        <f>IF(AT$35="Dose 1",SUMIFS('Supply planning data'!$G:$G,'Supply planning data'!$D:$D,DataViz!$B49,'Supply planning data'!$C:$C,DataViz!AT$34),
IF(AT$35="Dose 2",SUMIFS('Supply planning data'!$H:$H,'Supply planning data'!$D:$D,DataViz!$B49,'Supply planning data'!$C:$C,DataViz!AT$34),
IF(AT$35="Wastage",SUMIFS('Supply planning data'!$K:$K,'Supply planning data'!$D:$D,DataViz!$B49,'Supply planning data'!$C:$C,DataViz!AT$34),
IF(AT$35="Additional",SUMIFS('Supply planning data'!$I:$I,'Supply planning data'!$D:$D,DataViz!$B49,'Supply planning data'!$C:$C,DataViz!AT$34),
0))))</f>
        <v>0</v>
      </c>
      <c r="AU49" s="22">
        <f>IF(AU$35="Dose 1",SUMIFS('Supply planning data'!$G:$G,'Supply planning data'!$D:$D,DataViz!$B49,'Supply planning data'!$C:$C,DataViz!AU$34),
IF(AU$35="Dose 2",SUMIFS('Supply planning data'!$H:$H,'Supply planning data'!$D:$D,DataViz!$B49,'Supply planning data'!$C:$C,DataViz!AU$34),
IF(AU$35="Wastage",SUMIFS('Supply planning data'!$K:$K,'Supply planning data'!$D:$D,DataViz!$B49,'Supply planning data'!$C:$C,DataViz!AU$34),
IF(AU$35="Additional",SUMIFS('Supply planning data'!$I:$I,'Supply planning data'!$D:$D,DataViz!$B49,'Supply planning data'!$C:$C,DataViz!AU$34),
0))))</f>
        <v>0</v>
      </c>
      <c r="AV49" s="22">
        <f>IF(AV$35="Dose 1",SUMIFS('Supply planning data'!$G:$G,'Supply planning data'!$D:$D,DataViz!$B49,'Supply planning data'!$C:$C,DataViz!AV$34),
IF(AV$35="Dose 2",SUMIFS('Supply planning data'!$H:$H,'Supply planning data'!$D:$D,DataViz!$B49,'Supply planning data'!$C:$C,DataViz!AV$34),
IF(AV$35="Wastage",SUMIFS('Supply planning data'!$K:$K,'Supply planning data'!$D:$D,DataViz!$B49,'Supply planning data'!$C:$C,DataViz!AV$34),
IF(AV$35="Additional",SUMIFS('Supply planning data'!$I:$I,'Supply planning data'!$D:$D,DataViz!$B49,'Supply planning data'!$C:$C,DataViz!AV$34),
0))))</f>
        <v>0</v>
      </c>
      <c r="AW49" s="22">
        <f>IF(AW$35="Dose 1",SUMIFS('Supply planning data'!$G:$G,'Supply planning data'!$D:$D,DataViz!$B49,'Supply planning data'!$C:$C,DataViz!AW$34),
IF(AW$35="Dose 2",SUMIFS('Supply planning data'!$H:$H,'Supply planning data'!$D:$D,DataViz!$B49,'Supply planning data'!$C:$C,DataViz!AW$34),
IF(AW$35="Wastage",SUMIFS('Supply planning data'!$K:$K,'Supply planning data'!$D:$D,DataViz!$B49,'Supply planning data'!$C:$C,DataViz!AW$34),
IF(AW$35="Additional",SUMIFS('Supply planning data'!$I:$I,'Supply planning data'!$D:$D,DataViz!$B49,'Supply planning data'!$C:$C,DataViz!AW$34),
0))))</f>
        <v>0</v>
      </c>
      <c r="AX49" s="22">
        <f>IF(AX$35="Dose 1",SUMIFS('Supply planning data'!$G:$G,'Supply planning data'!$D:$D,DataViz!$B49,'Supply planning data'!$C:$C,DataViz!AX$34),
IF(AX$35="Dose 2",SUMIFS('Supply planning data'!$H:$H,'Supply planning data'!$D:$D,DataViz!$B49,'Supply planning data'!$C:$C,DataViz!AX$34),
IF(AX$35="Wastage",SUMIFS('Supply planning data'!$K:$K,'Supply planning data'!$D:$D,DataViz!$B49,'Supply planning data'!$C:$C,DataViz!AX$34),
IF(AX$35="Additional",SUMIFS('Supply planning data'!$I:$I,'Supply planning data'!$D:$D,DataViz!$B49,'Supply planning data'!$C:$C,DataViz!AX$34),
0))))</f>
        <v>0</v>
      </c>
      <c r="AY49" s="22">
        <f>IF(AY$35="Dose 1",SUMIFS('Supply planning data'!$G:$G,'Supply planning data'!$D:$D,DataViz!$B49,'Supply planning data'!$C:$C,DataViz!AY$34),
IF(AY$35="Dose 2",SUMIFS('Supply planning data'!$H:$H,'Supply planning data'!$D:$D,DataViz!$B49,'Supply planning data'!$C:$C,DataViz!AY$34),
IF(AY$35="Wastage",SUMIFS('Supply planning data'!$K:$K,'Supply planning data'!$D:$D,DataViz!$B49,'Supply planning data'!$C:$C,DataViz!AY$34),
IF(AY$35="Additional",SUMIFS('Supply planning data'!$I:$I,'Supply planning data'!$D:$D,DataViz!$B49,'Supply planning data'!$C:$C,DataViz!AY$34),
0))))</f>
        <v>0</v>
      </c>
      <c r="AZ49" s="22">
        <f>IF(AZ$35="Dose 1",SUMIFS('Supply planning data'!$G:$G,'Supply planning data'!$D:$D,DataViz!$B49,'Supply planning data'!$C:$C,DataViz!AZ$34),
IF(AZ$35="Dose 2",SUMIFS('Supply planning data'!$H:$H,'Supply planning data'!$D:$D,DataViz!$B49,'Supply planning data'!$C:$C,DataViz!AZ$34),
IF(AZ$35="Wastage",SUMIFS('Supply planning data'!$K:$K,'Supply planning data'!$D:$D,DataViz!$B49,'Supply planning data'!$C:$C,DataViz!AZ$34),
IF(AZ$35="Additional",SUMIFS('Supply planning data'!$I:$I,'Supply planning data'!$D:$D,DataViz!$B49,'Supply planning data'!$C:$C,DataViz!AZ$34),
0))))</f>
        <v>0</v>
      </c>
      <c r="BA49" s="22">
        <f>IF(BA$35="Dose 1",SUMIFS('Supply planning data'!$G:$G,'Supply planning data'!$D:$D,DataViz!$B49,'Supply planning data'!$C:$C,DataViz!BA$34),
IF(BA$35="Dose 2",SUMIFS('Supply planning data'!$H:$H,'Supply planning data'!$D:$D,DataViz!$B49,'Supply planning data'!$C:$C,DataViz!BA$34),
IF(BA$35="Wastage",SUMIFS('Supply planning data'!$K:$K,'Supply planning data'!$D:$D,DataViz!$B49,'Supply planning data'!$C:$C,DataViz!BA$34),
IF(BA$35="Additional",SUMIFS('Supply planning data'!$I:$I,'Supply planning data'!$D:$D,DataViz!$B49,'Supply planning data'!$C:$C,DataViz!BA$34),
0))))</f>
        <v>0</v>
      </c>
      <c r="BB49" s="22">
        <f>IF(BB$35="Dose 1",SUMIFS('Supply planning data'!$G:$G,'Supply planning data'!$D:$D,DataViz!$B49,'Supply planning data'!$C:$C,DataViz!BB$34),
IF(BB$35="Dose 2",SUMIFS('Supply planning data'!$H:$H,'Supply planning data'!$D:$D,DataViz!$B49,'Supply planning data'!$C:$C,DataViz!BB$34),
IF(BB$35="Wastage",SUMIFS('Supply planning data'!$K:$K,'Supply planning data'!$D:$D,DataViz!$B49,'Supply planning data'!$C:$C,DataViz!BB$34),
IF(BB$35="Additional",SUMIFS('Supply planning data'!$I:$I,'Supply planning data'!$D:$D,DataViz!$B49,'Supply planning data'!$C:$C,DataViz!BB$34),
0))))</f>
        <v>0</v>
      </c>
      <c r="BC49" s="22">
        <f>IF(BC$35="Dose 1",SUMIFS('Supply planning data'!$G:$G,'Supply planning data'!$D:$D,DataViz!$B49,'Supply planning data'!$C:$C,DataViz!BC$34),
IF(BC$35="Dose 2",SUMIFS('Supply planning data'!$H:$H,'Supply planning data'!$D:$D,DataViz!$B49,'Supply planning data'!$C:$C,DataViz!BC$34),
IF(BC$35="Wastage",SUMIFS('Supply planning data'!$K:$K,'Supply planning data'!$D:$D,DataViz!$B49,'Supply planning data'!$C:$C,DataViz!BC$34),
IF(BC$35="Additional",SUMIFS('Supply planning data'!$I:$I,'Supply planning data'!$D:$D,DataViz!$B49,'Supply planning data'!$C:$C,DataViz!BC$34),
0))))</f>
        <v>0</v>
      </c>
      <c r="BD49" s="22">
        <f>IF(BD$35="Dose 1",SUMIFS('Supply planning data'!$G:$G,'Supply planning data'!$D:$D,DataViz!$B49,'Supply planning data'!$C:$C,DataViz!BD$34),
IF(BD$35="Dose 2",SUMIFS('Supply planning data'!$H:$H,'Supply planning data'!$D:$D,DataViz!$B49,'Supply planning data'!$C:$C,DataViz!BD$34),
IF(BD$35="Wastage",SUMIFS('Supply planning data'!$K:$K,'Supply planning data'!$D:$D,DataViz!$B49,'Supply planning data'!$C:$C,DataViz!BD$34),
IF(BD$35="Additional",SUMIFS('Supply planning data'!$I:$I,'Supply planning data'!$D:$D,DataViz!$B49,'Supply planning data'!$C:$C,DataViz!BD$34),
0))))</f>
        <v>0</v>
      </c>
      <c r="BE49" s="22">
        <f>IF(BE$35="Dose 1",SUMIFS('Supply planning data'!$G:$G,'Supply planning data'!$D:$D,DataViz!$B49,'Supply planning data'!$C:$C,DataViz!BE$34),
IF(BE$35="Dose 2",SUMIFS('Supply planning data'!$H:$H,'Supply planning data'!$D:$D,DataViz!$B49,'Supply planning data'!$C:$C,DataViz!BE$34),
IF(BE$35="Wastage",SUMIFS('Supply planning data'!$K:$K,'Supply planning data'!$D:$D,DataViz!$B49,'Supply planning data'!$C:$C,DataViz!BE$34),
IF(BE$35="Additional",SUMIFS('Supply planning data'!$I:$I,'Supply planning data'!$D:$D,DataViz!$B49,'Supply planning data'!$C:$C,DataViz!BE$34),
0))))</f>
        <v>0</v>
      </c>
      <c r="BF49" s="22">
        <f>IF(BF$35="Dose 1",SUMIFS('Supply planning data'!$G:$G,'Supply planning data'!$D:$D,DataViz!$B49,'Supply planning data'!$C:$C,DataViz!BF$34),
IF(BF$35="Dose 2",SUMIFS('Supply planning data'!$H:$H,'Supply planning data'!$D:$D,DataViz!$B49,'Supply planning data'!$C:$C,DataViz!BF$34),
IF(BF$35="Wastage",SUMIFS('Supply planning data'!$K:$K,'Supply planning data'!$D:$D,DataViz!$B49,'Supply planning data'!$C:$C,DataViz!BF$34),
IF(BF$35="Additional",SUMIFS('Supply planning data'!$I:$I,'Supply planning data'!$D:$D,DataViz!$B49,'Supply planning data'!$C:$C,DataViz!BF$34),
0))))</f>
        <v>0</v>
      </c>
      <c r="BG49" s="22">
        <f>IF(BG$35="Dose 1",SUMIFS('Supply planning data'!$G:$G,'Supply planning data'!$D:$D,DataViz!$B49,'Supply planning data'!$C:$C,DataViz!BG$34),
IF(BG$35="Dose 2",SUMIFS('Supply planning data'!$H:$H,'Supply planning data'!$D:$D,DataViz!$B49,'Supply planning data'!$C:$C,DataViz!BG$34),
IF(BG$35="Wastage",SUMIFS('Supply planning data'!$K:$K,'Supply planning data'!$D:$D,DataViz!$B49,'Supply planning data'!$C:$C,DataViz!BG$34),
IF(BG$35="Additional",SUMIFS('Supply planning data'!$I:$I,'Supply planning data'!$D:$D,DataViz!$B49,'Supply planning data'!$C:$C,DataViz!BG$34),
0))))</f>
        <v>0</v>
      </c>
      <c r="BH49" s="22">
        <f>IF(BH$35="Dose 1",SUMIFS('Supply planning data'!$G:$G,'Supply planning data'!$D:$D,DataViz!$B49,'Supply planning data'!$C:$C,DataViz!BH$34),
IF(BH$35="Dose 2",SUMIFS('Supply planning data'!$H:$H,'Supply planning data'!$D:$D,DataViz!$B49,'Supply planning data'!$C:$C,DataViz!BH$34),
IF(BH$35="Wastage",SUMIFS('Supply planning data'!$K:$K,'Supply planning data'!$D:$D,DataViz!$B49,'Supply planning data'!$C:$C,DataViz!BH$34),
IF(BH$35="Additional",SUMIFS('Supply planning data'!$I:$I,'Supply planning data'!$D:$D,DataViz!$B49,'Supply planning data'!$C:$C,DataViz!BH$34),
0))))</f>
        <v>0</v>
      </c>
      <c r="BI49" s="22">
        <f>IF(BI$35="Dose 1",SUMIFS('Supply planning data'!$G:$G,'Supply planning data'!$D:$D,DataViz!$B49,'Supply planning data'!$C:$C,DataViz!BI$34),
IF(BI$35="Dose 2",SUMIFS('Supply planning data'!$H:$H,'Supply planning data'!$D:$D,DataViz!$B49,'Supply planning data'!$C:$C,DataViz!BI$34),
IF(BI$35="Wastage",SUMIFS('Supply planning data'!$K:$K,'Supply planning data'!$D:$D,DataViz!$B49,'Supply planning data'!$C:$C,DataViz!BI$34),
IF(BI$35="Additional",SUMIFS('Supply planning data'!$I:$I,'Supply planning data'!$D:$D,DataViz!$B49,'Supply planning data'!$C:$C,DataViz!BI$34),
0))))</f>
        <v>0</v>
      </c>
      <c r="BJ49" s="22">
        <f>IF(BJ$35="Dose 1",SUMIFS('Supply planning data'!$G:$G,'Supply planning data'!$D:$D,DataViz!$B49,'Supply planning data'!$C:$C,DataViz!BJ$34),
IF(BJ$35="Dose 2",SUMIFS('Supply planning data'!$H:$H,'Supply planning data'!$D:$D,DataViz!$B49,'Supply planning data'!$C:$C,DataViz!BJ$34),
IF(BJ$35="Wastage",SUMIFS('Supply planning data'!$K:$K,'Supply planning data'!$D:$D,DataViz!$B49,'Supply planning data'!$C:$C,DataViz!BJ$34),
IF(BJ$35="Additional",SUMIFS('Supply planning data'!$I:$I,'Supply planning data'!$D:$D,DataViz!$B49,'Supply planning data'!$C:$C,DataViz!BJ$34),
0))))</f>
        <v>0</v>
      </c>
      <c r="BK49" s="22">
        <f>IF(BK$35="Dose 1",SUMIFS('Supply planning data'!$G:$G,'Supply planning data'!$D:$D,DataViz!$B49,'Supply planning data'!$C:$C,DataViz!BK$34),
IF(BK$35="Dose 2",SUMIFS('Supply planning data'!$H:$H,'Supply planning data'!$D:$D,DataViz!$B49,'Supply planning data'!$C:$C,DataViz!BK$34),
IF(BK$35="Wastage",SUMIFS('Supply planning data'!$K:$K,'Supply planning data'!$D:$D,DataViz!$B49,'Supply planning data'!$C:$C,DataViz!BK$34),
IF(BK$35="Additional",SUMIFS('Supply planning data'!$I:$I,'Supply planning data'!$D:$D,DataViz!$B49,'Supply planning data'!$C:$C,DataViz!BK$34),
0))))</f>
        <v>0</v>
      </c>
      <c r="BL49" s="22">
        <f>IF(BL$35="Dose 1",SUMIFS('Supply planning data'!$G:$G,'Supply planning data'!$D:$D,DataViz!$B49,'Supply planning data'!$C:$C,DataViz!BL$34),
IF(BL$35="Dose 2",SUMIFS('Supply planning data'!$H:$H,'Supply planning data'!$D:$D,DataViz!$B49,'Supply planning data'!$C:$C,DataViz!BL$34),
IF(BL$35="Wastage",SUMIFS('Supply planning data'!$K:$K,'Supply planning data'!$D:$D,DataViz!$B49,'Supply planning data'!$C:$C,DataViz!BL$34),
IF(BL$35="Additional",SUMIFS('Supply planning data'!$I:$I,'Supply planning data'!$D:$D,DataViz!$B49,'Supply planning data'!$C:$C,DataViz!BL$34),
0))))</f>
        <v>0</v>
      </c>
    </row>
    <row r="50" spans="1:64" x14ac:dyDescent="0.25">
      <c r="A50" s="20">
        <v>12</v>
      </c>
      <c r="B50" s="21">
        <f t="shared" si="15"/>
        <v>44621</v>
      </c>
      <c r="C50" s="22">
        <f>IF(VLOOKUP(Dashboard!$M$6,Start!$B$10:$E$12,4,FALSE)&gt;0,VLOOKUP(Dashboard!$M$6,Start!$B$10:$E$12,4, FALSE),VLOOKUP(Dashboard!$M$6,Start!$B$10:$E$12,3, FALSE))</f>
        <v>60000000</v>
      </c>
      <c r="D50" s="22">
        <f>SUMIFS('Supply planning data'!M:M,'Supply planning data'!D:D,"&lt;="&amp;DataViz!B50)</f>
        <v>2720887</v>
      </c>
      <c r="E50" s="22">
        <f>IF(E$35="Dose 1",SUMIFS('Supply planning data'!$G:$G,'Supply planning data'!$D:$D,DataViz!$B50,'Supply planning data'!$C:$C,DataViz!E$34),
IF(E$35="Dose 2",SUMIFS('Supply planning data'!$H:$H,'Supply planning data'!$D:$D,DataViz!$B50,'Supply planning data'!$C:$C,DataViz!E$34),
IF(E$35="Wastage",SUMIFS('Supply planning data'!$K:$K,'Supply planning data'!$D:$D,DataViz!$B50,'Supply planning data'!$C:$C,DataViz!E$34),
IF(E$35="Additional",SUMIFS('Supply planning data'!$I:$I,'Supply planning data'!$D:$D,DataViz!$B50,'Supply planning data'!$C:$C,DataViz!E$34),
0))))</f>
        <v>25000</v>
      </c>
      <c r="F50" s="22">
        <f>IF(F$35="Dose 1",SUMIFS('Supply planning data'!$G:$G,'Supply planning data'!$D:$D,DataViz!$B50,'Supply planning data'!$C:$C,DataViz!F$34),
IF(F$35="Dose 2",SUMIFS('Supply planning data'!$H:$H,'Supply planning data'!$D:$D,DataViz!$B50,'Supply planning data'!$C:$C,DataViz!F$34),
IF(F$35="Wastage",SUMIFS('Supply planning data'!$K:$K,'Supply planning data'!$D:$D,DataViz!$B50,'Supply planning data'!$C:$C,DataViz!F$34),
IF(F$35="Additional",SUMIFS('Supply planning data'!$I:$I,'Supply planning data'!$D:$D,DataViz!$B50,'Supply planning data'!$C:$C,DataViz!F$34),
0))))</f>
        <v>3600</v>
      </c>
      <c r="G50" s="22">
        <f>IF(G$35="Dose 1",SUMIFS('Supply planning data'!$G:$G,'Supply planning data'!$D:$D,DataViz!$B50,'Supply planning data'!$C:$C,DataViz!G$34),
IF(G$35="Dose 2",SUMIFS('Supply planning data'!$H:$H,'Supply planning data'!$D:$D,DataViz!$B50,'Supply planning data'!$C:$C,DataViz!G$34),
IF(G$35="Wastage",SUMIFS('Supply planning data'!$K:$K,'Supply planning data'!$D:$D,DataViz!$B50,'Supply planning data'!$C:$C,DataViz!G$34),
IF(G$35="Additional",SUMIFS('Supply planning data'!$I:$I,'Supply planning data'!$D:$D,DataViz!$B50,'Supply planning data'!$C:$C,DataViz!G$34),
0))))</f>
        <v>0</v>
      </c>
      <c r="H50" s="22">
        <f>IF(H$35="Dose 1",SUMIFS('Supply planning data'!$G:$G,'Supply planning data'!$D:$D,DataViz!$B50,'Supply planning data'!$C:$C,DataViz!H$34),
IF(H$35="Dose 2",SUMIFS('Supply planning data'!$H:$H,'Supply planning data'!$D:$D,DataViz!$B50,'Supply planning data'!$C:$C,DataViz!H$34),
IF(H$35="Wastage",SUMIFS('Supply planning data'!$K:$K,'Supply planning data'!$D:$D,DataViz!$B50,'Supply planning data'!$C:$C,DataViz!H$34),
IF(H$35="Additional",SUMIFS('Supply planning data'!$I:$I,'Supply planning data'!$D:$D,DataViz!$B50,'Supply planning data'!$C:$C,DataViz!H$34),
0))))</f>
        <v>4250</v>
      </c>
      <c r="I50" s="22">
        <f>IF(I$35="Dose 1",SUMIFS('Supply planning data'!$G:$G,'Supply planning data'!$D:$D,DataViz!$B50,'Supply planning data'!$C:$C,DataViz!I$34),
IF(I$35="Dose 2",SUMIFS('Supply planning data'!$H:$H,'Supply planning data'!$D:$D,DataViz!$B50,'Supply planning data'!$C:$C,DataViz!I$34),
IF(I$35="Wastage",SUMIFS('Supply planning data'!$K:$K,'Supply planning data'!$D:$D,DataViz!$B50,'Supply planning data'!$C:$C,DataViz!I$34),
IF(I$35="Additional",SUMIFS('Supply planning data'!$I:$I,'Supply planning data'!$D:$D,DataViz!$B50,'Supply planning data'!$C:$C,DataViz!I$34),
0))))</f>
        <v>133978</v>
      </c>
      <c r="J50" s="22">
        <f>IF(J$35="Dose 1",SUMIFS('Supply planning data'!$G:$G,'Supply planning data'!$D:$D,DataViz!$B50,'Supply planning data'!$C:$C,DataViz!J$34),
IF(J$35="Dose 2",SUMIFS('Supply planning data'!$H:$H,'Supply planning data'!$D:$D,DataViz!$B50,'Supply planning data'!$C:$C,DataViz!J$34),
IF(J$35="Wastage",SUMIFS('Supply planning data'!$K:$K,'Supply planning data'!$D:$D,DataViz!$B50,'Supply planning data'!$C:$C,DataViz!J$34),
IF(J$35="Additional",SUMIFS('Supply planning data'!$I:$I,'Supply planning data'!$D:$D,DataViz!$B50,'Supply planning data'!$C:$C,DataViz!J$34),
0))))</f>
        <v>8900</v>
      </c>
      <c r="K50" s="22">
        <f>IF(K$35="Dose 1",SUMIFS('Supply planning data'!$G:$G,'Supply planning data'!$D:$D,DataViz!$B50,'Supply planning data'!$C:$C,DataViz!K$34),
IF(K$35="Dose 2",SUMIFS('Supply planning data'!$H:$H,'Supply planning data'!$D:$D,DataViz!$B50,'Supply planning data'!$C:$C,DataViz!K$34),
IF(K$35="Wastage",SUMIFS('Supply planning data'!$K:$K,'Supply planning data'!$D:$D,DataViz!$B50,'Supply planning data'!$C:$C,DataViz!K$34),
IF(K$35="Additional",SUMIFS('Supply planning data'!$I:$I,'Supply planning data'!$D:$D,DataViz!$B50,'Supply planning data'!$C:$C,DataViz!K$34),
0))))</f>
        <v>0</v>
      </c>
      <c r="L50" s="22">
        <f>IF(L$35="Dose 1",SUMIFS('Supply planning data'!$G:$G,'Supply planning data'!$D:$D,DataViz!$B50,'Supply planning data'!$C:$C,DataViz!L$34),
IF(L$35="Dose 2",SUMIFS('Supply planning data'!$H:$H,'Supply planning data'!$D:$D,DataViz!$B50,'Supply planning data'!$C:$C,DataViz!L$34),
IF(L$35="Wastage",SUMIFS('Supply planning data'!$K:$K,'Supply planning data'!$D:$D,DataViz!$B50,'Supply planning data'!$C:$C,DataViz!L$34),
IF(L$35="Additional",SUMIFS('Supply planning data'!$I:$I,'Supply planning data'!$D:$D,DataViz!$B50,'Supply planning data'!$C:$C,DataViz!L$34),
0))))</f>
        <v>560</v>
      </c>
      <c r="M50" s="22">
        <f>IF(M$35="Dose 1",SUMIFS('Supply planning data'!$G:$G,'Supply planning data'!$D:$D,DataViz!$B50,'Supply planning data'!$C:$C,DataViz!M$34),
IF(M$35="Dose 2",SUMIFS('Supply planning data'!$H:$H,'Supply planning data'!$D:$D,DataViz!$B50,'Supply planning data'!$C:$C,DataViz!M$34),
IF(M$35="Wastage",SUMIFS('Supply planning data'!$K:$K,'Supply planning data'!$D:$D,DataViz!$B50,'Supply planning data'!$C:$C,DataViz!M$34),
IF(M$35="Additional",SUMIFS('Supply planning data'!$I:$I,'Supply planning data'!$D:$D,DataViz!$B50,'Supply planning data'!$C:$C,DataViz!M$34),
0))))</f>
        <v>0</v>
      </c>
      <c r="N50" s="22">
        <f>IF(N$35="Dose 1",SUMIFS('Supply planning data'!$G:$G,'Supply planning data'!$D:$D,DataViz!$B50,'Supply planning data'!$C:$C,DataViz!N$34),
IF(N$35="Dose 2",SUMIFS('Supply planning data'!$H:$H,'Supply planning data'!$D:$D,DataViz!$B50,'Supply planning data'!$C:$C,DataViz!N$34),
IF(N$35="Wastage",SUMIFS('Supply planning data'!$K:$K,'Supply planning data'!$D:$D,DataViz!$B50,'Supply planning data'!$C:$C,DataViz!N$34),
IF(N$35="Additional",SUMIFS('Supply planning data'!$I:$I,'Supply planning data'!$D:$D,DataViz!$B50,'Supply planning data'!$C:$C,DataViz!N$34),
0))))</f>
        <v>0</v>
      </c>
      <c r="O50" s="22">
        <f>IF(O$35="Dose 1",SUMIFS('Supply planning data'!$G:$G,'Supply planning data'!$D:$D,DataViz!$B50,'Supply planning data'!$C:$C,DataViz!O$34),
IF(O$35="Dose 2",SUMIFS('Supply planning data'!$H:$H,'Supply planning data'!$D:$D,DataViz!$B50,'Supply planning data'!$C:$C,DataViz!O$34),
IF(O$35="Wastage",SUMIFS('Supply planning data'!$K:$K,'Supply planning data'!$D:$D,DataViz!$B50,'Supply planning data'!$C:$C,DataViz!O$34),
IF(O$35="Additional",SUMIFS('Supply planning data'!$I:$I,'Supply planning data'!$D:$D,DataViz!$B50,'Supply planning data'!$C:$C,DataViz!O$34),
0))))</f>
        <v>0</v>
      </c>
      <c r="P50" s="22">
        <f>IF(P$35="Dose 1",SUMIFS('Supply planning data'!$G:$G,'Supply planning data'!$D:$D,DataViz!$B50,'Supply planning data'!$C:$C,DataViz!P$34),
IF(P$35="Dose 2",SUMIFS('Supply planning data'!$H:$H,'Supply planning data'!$D:$D,DataViz!$B50,'Supply planning data'!$C:$C,DataViz!P$34),
IF(P$35="Wastage",SUMIFS('Supply planning data'!$K:$K,'Supply planning data'!$D:$D,DataViz!$B50,'Supply planning data'!$C:$C,DataViz!P$34),
IF(P$35="Additional",SUMIFS('Supply planning data'!$I:$I,'Supply planning data'!$D:$D,DataViz!$B50,'Supply planning data'!$C:$C,DataViz!P$34),
0))))</f>
        <v>0</v>
      </c>
      <c r="Q50" s="22">
        <f>IF(Q$35="Dose 1",SUMIFS('Supply planning data'!$G:$G,'Supply planning data'!$D:$D,DataViz!$B50,'Supply planning data'!$C:$C,DataViz!Q$34),
IF(Q$35="Dose 2",SUMIFS('Supply planning data'!$H:$H,'Supply planning data'!$D:$D,DataViz!$B50,'Supply planning data'!$C:$C,DataViz!Q$34),
IF(Q$35="Wastage",SUMIFS('Supply planning data'!$K:$K,'Supply planning data'!$D:$D,DataViz!$B50,'Supply planning data'!$C:$C,DataViz!Q$34),
IF(Q$35="Additional",SUMIFS('Supply planning data'!$I:$I,'Supply planning data'!$D:$D,DataViz!$B50,'Supply planning data'!$C:$C,DataViz!Q$34),
0))))</f>
        <v>14983</v>
      </c>
      <c r="R50" s="22">
        <f>IF(R$35="Dose 1",SUMIFS('Supply planning data'!$G:$G,'Supply planning data'!$D:$D,DataViz!$B50,'Supply planning data'!$C:$C,DataViz!R$34),
IF(R$35="Dose 2",SUMIFS('Supply planning data'!$H:$H,'Supply planning data'!$D:$D,DataViz!$B50,'Supply planning data'!$C:$C,DataViz!R$34),
IF(R$35="Wastage",SUMIFS('Supply planning data'!$K:$K,'Supply planning data'!$D:$D,DataViz!$B50,'Supply planning data'!$C:$C,DataViz!R$34),
IF(R$35="Additional",SUMIFS('Supply planning data'!$I:$I,'Supply planning data'!$D:$D,DataViz!$B50,'Supply planning data'!$C:$C,DataViz!R$34),
0))))</f>
        <v>4815</v>
      </c>
      <c r="S50" s="22">
        <f>IF(S$35="Dose 1",SUMIFS('Supply planning data'!$G:$G,'Supply planning data'!$D:$D,DataViz!$B50,'Supply planning data'!$C:$C,DataViz!S$34),
IF(S$35="Dose 2",SUMIFS('Supply planning data'!$H:$H,'Supply planning data'!$D:$D,DataViz!$B50,'Supply planning data'!$C:$C,DataViz!S$34),
IF(S$35="Wastage",SUMIFS('Supply planning data'!$K:$K,'Supply planning data'!$D:$D,DataViz!$B50,'Supply planning data'!$C:$C,DataViz!S$34),
IF(S$35="Additional",SUMIFS('Supply planning data'!$I:$I,'Supply planning data'!$D:$D,DataViz!$B50,'Supply planning data'!$C:$C,DataViz!S$34),
0))))</f>
        <v>0</v>
      </c>
      <c r="T50" s="22">
        <f>IF(T$35="Dose 1",SUMIFS('Supply planning data'!$G:$G,'Supply planning data'!$D:$D,DataViz!$B50,'Supply planning data'!$C:$C,DataViz!T$34),
IF(T$35="Dose 2",SUMIFS('Supply planning data'!$H:$H,'Supply planning data'!$D:$D,DataViz!$B50,'Supply planning data'!$C:$C,DataViz!T$34),
IF(T$35="Wastage",SUMIFS('Supply planning data'!$K:$K,'Supply planning data'!$D:$D,DataViz!$B50,'Supply planning data'!$C:$C,DataViz!T$34),
IF(T$35="Additional",SUMIFS('Supply planning data'!$I:$I,'Supply planning data'!$D:$D,DataViz!$B50,'Supply planning data'!$C:$C,DataViz!T$34),
0))))</f>
        <v>7643</v>
      </c>
      <c r="U50" s="22">
        <f>IF(U$35="Dose 1",SUMIFS('Supply planning data'!$G:$G,'Supply planning data'!$D:$D,DataViz!$B50,'Supply planning data'!$C:$C,DataViz!U$34),
IF(U$35="Dose 2",SUMIFS('Supply planning data'!$H:$H,'Supply planning data'!$D:$D,DataViz!$B50,'Supply planning data'!$C:$C,DataViz!U$34),
IF(U$35="Wastage",SUMIFS('Supply planning data'!$K:$K,'Supply planning data'!$D:$D,DataViz!$B50,'Supply planning data'!$C:$C,DataViz!U$34),
IF(U$35="Additional",SUMIFS('Supply planning data'!$I:$I,'Supply planning data'!$D:$D,DataViz!$B50,'Supply planning data'!$C:$C,DataViz!U$34),
0))))</f>
        <v>0</v>
      </c>
      <c r="V50" s="22">
        <f>IF(V$35="Dose 1",SUMIFS('Supply planning data'!$G:$G,'Supply planning data'!$D:$D,DataViz!$B50,'Supply planning data'!$C:$C,DataViz!V$34),
IF(V$35="Dose 2",SUMIFS('Supply planning data'!$H:$H,'Supply planning data'!$D:$D,DataViz!$B50,'Supply planning data'!$C:$C,DataViz!V$34),
IF(V$35="Wastage",SUMIFS('Supply planning data'!$K:$K,'Supply planning data'!$D:$D,DataViz!$B50,'Supply planning data'!$C:$C,DataViz!V$34),
IF(V$35="Additional",SUMIFS('Supply planning data'!$I:$I,'Supply planning data'!$D:$D,DataViz!$B50,'Supply planning data'!$C:$C,DataViz!V$34),
0))))</f>
        <v>0</v>
      </c>
      <c r="W50" s="22">
        <f>IF(W$35="Dose 1",SUMIFS('Supply planning data'!$G:$G,'Supply planning data'!$D:$D,DataViz!$B50,'Supply planning data'!$C:$C,DataViz!W$34),
IF(W$35="Dose 2",SUMIFS('Supply planning data'!$H:$H,'Supply planning data'!$D:$D,DataViz!$B50,'Supply planning data'!$C:$C,DataViz!W$34),
IF(W$35="Wastage",SUMIFS('Supply planning data'!$K:$K,'Supply planning data'!$D:$D,DataViz!$B50,'Supply planning data'!$C:$C,DataViz!W$34),
IF(W$35="Additional",SUMIFS('Supply planning data'!$I:$I,'Supply planning data'!$D:$D,DataViz!$B50,'Supply planning data'!$C:$C,DataViz!W$34),
0))))</f>
        <v>0</v>
      </c>
      <c r="X50" s="22">
        <f>IF(X$35="Dose 1",SUMIFS('Supply planning data'!$G:$G,'Supply planning data'!$D:$D,DataViz!$B50,'Supply planning data'!$C:$C,DataViz!X$34),
IF(X$35="Dose 2",SUMIFS('Supply planning data'!$H:$H,'Supply planning data'!$D:$D,DataViz!$B50,'Supply planning data'!$C:$C,DataViz!X$34),
IF(X$35="Wastage",SUMIFS('Supply planning data'!$K:$K,'Supply planning data'!$D:$D,DataViz!$B50,'Supply planning data'!$C:$C,DataViz!X$34),
IF(X$35="Additional",SUMIFS('Supply planning data'!$I:$I,'Supply planning data'!$D:$D,DataViz!$B50,'Supply planning data'!$C:$C,DataViz!X$34),
0))))</f>
        <v>0</v>
      </c>
      <c r="Y50" s="22">
        <f>IF(Y$35="Dose 1",SUMIFS('Supply planning data'!$G:$G,'Supply planning data'!$D:$D,DataViz!$B50,'Supply planning data'!$C:$C,DataViz!Y$34),
IF(Y$35="Dose 2",SUMIFS('Supply planning data'!$H:$H,'Supply planning data'!$D:$D,DataViz!$B50,'Supply planning data'!$C:$C,DataViz!Y$34),
IF(Y$35="Wastage",SUMIFS('Supply planning data'!$K:$K,'Supply planning data'!$D:$D,DataViz!$B50,'Supply planning data'!$C:$C,DataViz!Y$34),
IF(Y$35="Additional",SUMIFS('Supply planning data'!$I:$I,'Supply planning data'!$D:$D,DataViz!$B50,'Supply planning data'!$C:$C,DataViz!Y$34),
0))))</f>
        <v>0</v>
      </c>
      <c r="Z50" s="22">
        <f>IF(Z$35="Dose 1",SUMIFS('Supply planning data'!$G:$G,'Supply planning data'!$D:$D,DataViz!$B50,'Supply planning data'!$C:$C,DataViz!Z$34),
IF(Z$35="Dose 2",SUMIFS('Supply planning data'!$H:$H,'Supply planning data'!$D:$D,DataViz!$B50,'Supply planning data'!$C:$C,DataViz!Z$34),
IF(Z$35="Wastage",SUMIFS('Supply planning data'!$K:$K,'Supply planning data'!$D:$D,DataViz!$B50,'Supply planning data'!$C:$C,DataViz!Z$34),
IF(Z$35="Additional",SUMIFS('Supply planning data'!$I:$I,'Supply planning data'!$D:$D,DataViz!$B50,'Supply planning data'!$C:$C,DataViz!Z$34),
0))))</f>
        <v>0</v>
      </c>
      <c r="AA50" s="22">
        <f>IF(AA$35="Dose 1",SUMIFS('Supply planning data'!$G:$G,'Supply planning data'!$D:$D,DataViz!$B50,'Supply planning data'!$C:$C,DataViz!AA$34),
IF(AA$35="Dose 2",SUMIFS('Supply planning data'!$H:$H,'Supply planning data'!$D:$D,DataViz!$B50,'Supply planning data'!$C:$C,DataViz!AA$34),
IF(AA$35="Wastage",SUMIFS('Supply planning data'!$K:$K,'Supply planning data'!$D:$D,DataViz!$B50,'Supply planning data'!$C:$C,DataViz!AA$34),
IF(AA$35="Additional",SUMIFS('Supply planning data'!$I:$I,'Supply planning data'!$D:$D,DataViz!$B50,'Supply planning data'!$C:$C,DataViz!AA$34),
0))))</f>
        <v>0</v>
      </c>
      <c r="AB50" s="22">
        <f>IF(AB$35="Dose 1",SUMIFS('Supply planning data'!$G:$G,'Supply planning data'!$D:$D,DataViz!$B50,'Supply planning data'!$C:$C,DataViz!AB$34),
IF(AB$35="Dose 2",SUMIFS('Supply planning data'!$H:$H,'Supply planning data'!$D:$D,DataViz!$B50,'Supply planning data'!$C:$C,DataViz!AB$34),
IF(AB$35="Wastage",SUMIFS('Supply planning data'!$K:$K,'Supply planning data'!$D:$D,DataViz!$B50,'Supply planning data'!$C:$C,DataViz!AB$34),
IF(AB$35="Additional",SUMIFS('Supply planning data'!$I:$I,'Supply planning data'!$D:$D,DataViz!$B50,'Supply planning data'!$C:$C,DataViz!AB$34),
0))))</f>
        <v>0</v>
      </c>
      <c r="AC50" s="22">
        <f>IF(AC$35="Dose 1",SUMIFS('Supply planning data'!$G:$G,'Supply planning data'!$D:$D,DataViz!$B50,'Supply planning data'!$C:$C,DataViz!AC$34),
IF(AC$35="Dose 2",SUMIFS('Supply planning data'!$H:$H,'Supply planning data'!$D:$D,DataViz!$B50,'Supply planning data'!$C:$C,DataViz!AC$34),
IF(AC$35="Wastage",SUMIFS('Supply planning data'!$K:$K,'Supply planning data'!$D:$D,DataViz!$B50,'Supply planning data'!$C:$C,DataViz!AC$34),
IF(AC$35="Additional",SUMIFS('Supply planning data'!$I:$I,'Supply planning data'!$D:$D,DataViz!$B50,'Supply planning data'!$C:$C,DataViz!AC$34),
0))))</f>
        <v>0</v>
      </c>
      <c r="AD50" s="22">
        <f>IF(AD$35="Dose 1",SUMIFS('Supply planning data'!$G:$G,'Supply planning data'!$D:$D,DataViz!$B50,'Supply planning data'!$C:$C,DataViz!AD$34),
IF(AD$35="Dose 2",SUMIFS('Supply planning data'!$H:$H,'Supply planning data'!$D:$D,DataViz!$B50,'Supply planning data'!$C:$C,DataViz!AD$34),
IF(AD$35="Wastage",SUMIFS('Supply planning data'!$K:$K,'Supply planning data'!$D:$D,DataViz!$B50,'Supply planning data'!$C:$C,DataViz!AD$34),
IF(AD$35="Additional",SUMIFS('Supply planning data'!$I:$I,'Supply planning data'!$D:$D,DataViz!$B50,'Supply planning data'!$C:$C,DataViz!AD$34),
0))))</f>
        <v>0</v>
      </c>
      <c r="AE50" s="22">
        <f>IF(AE$35="Dose 1",SUMIFS('Supply planning data'!$G:$G,'Supply planning data'!$D:$D,DataViz!$B50,'Supply planning data'!$C:$C,DataViz!AE$34),
IF(AE$35="Dose 2",SUMIFS('Supply planning data'!$H:$H,'Supply planning data'!$D:$D,DataViz!$B50,'Supply planning data'!$C:$C,DataViz!AE$34),
IF(AE$35="Wastage",SUMIFS('Supply planning data'!$K:$K,'Supply planning data'!$D:$D,DataViz!$B50,'Supply planning data'!$C:$C,DataViz!AE$34),
IF(AE$35="Additional",SUMIFS('Supply planning data'!$I:$I,'Supply planning data'!$D:$D,DataViz!$B50,'Supply planning data'!$C:$C,DataViz!AE$34),
0))))</f>
        <v>0</v>
      </c>
      <c r="AF50" s="22">
        <f>IF(AF$35="Dose 1",SUMIFS('Supply planning data'!$G:$G,'Supply planning data'!$D:$D,DataViz!$B50,'Supply planning data'!$C:$C,DataViz!AF$34),
IF(AF$35="Dose 2",SUMIFS('Supply planning data'!$H:$H,'Supply planning data'!$D:$D,DataViz!$B50,'Supply planning data'!$C:$C,DataViz!AF$34),
IF(AF$35="Wastage",SUMIFS('Supply planning data'!$K:$K,'Supply planning data'!$D:$D,DataViz!$B50,'Supply planning data'!$C:$C,DataViz!AF$34),
IF(AF$35="Additional",SUMIFS('Supply planning data'!$I:$I,'Supply planning data'!$D:$D,DataViz!$B50,'Supply planning data'!$C:$C,DataViz!AF$34),
0))))</f>
        <v>0</v>
      </c>
      <c r="AG50" s="22">
        <f>IF(AG$35="Dose 1",SUMIFS('Supply planning data'!$G:$G,'Supply planning data'!$D:$D,DataViz!$B50,'Supply planning data'!$C:$C,DataViz!AG$34),
IF(AG$35="Dose 2",SUMIFS('Supply planning data'!$H:$H,'Supply planning data'!$D:$D,DataViz!$B50,'Supply planning data'!$C:$C,DataViz!AG$34),
IF(AG$35="Wastage",SUMIFS('Supply planning data'!$K:$K,'Supply planning data'!$D:$D,DataViz!$B50,'Supply planning data'!$C:$C,DataViz!AG$34),
IF(AG$35="Additional",SUMIFS('Supply planning data'!$I:$I,'Supply planning data'!$D:$D,DataViz!$B50,'Supply planning data'!$C:$C,DataViz!AG$34),
0))))</f>
        <v>0</v>
      </c>
      <c r="AH50" s="22">
        <f>IF(AH$35="Dose 1",SUMIFS('Supply planning data'!$G:$G,'Supply planning data'!$D:$D,DataViz!$B50,'Supply planning data'!$C:$C,DataViz!AH$34),
IF(AH$35="Dose 2",SUMIFS('Supply planning data'!$H:$H,'Supply planning data'!$D:$D,DataViz!$B50,'Supply planning data'!$C:$C,DataViz!AH$34),
IF(AH$35="Wastage",SUMIFS('Supply planning data'!$K:$K,'Supply planning data'!$D:$D,DataViz!$B50,'Supply planning data'!$C:$C,DataViz!AH$34),
IF(AH$35="Additional",SUMIFS('Supply planning data'!$I:$I,'Supply planning data'!$D:$D,DataViz!$B50,'Supply planning data'!$C:$C,DataViz!AH$34),
0))))</f>
        <v>0</v>
      </c>
      <c r="AI50" s="22">
        <f>IF(AI$35="Dose 1",SUMIFS('Supply planning data'!$G:$G,'Supply planning data'!$D:$D,DataViz!$B50,'Supply planning data'!$C:$C,DataViz!AI$34),
IF(AI$35="Dose 2",SUMIFS('Supply planning data'!$H:$H,'Supply planning data'!$D:$D,DataViz!$B50,'Supply planning data'!$C:$C,DataViz!AI$34),
IF(AI$35="Wastage",SUMIFS('Supply planning data'!$K:$K,'Supply planning data'!$D:$D,DataViz!$B50,'Supply planning data'!$C:$C,DataViz!AI$34),
IF(AI$35="Additional",SUMIFS('Supply planning data'!$I:$I,'Supply planning data'!$D:$D,DataViz!$B50,'Supply planning data'!$C:$C,DataViz!AI$34),
0))))</f>
        <v>0</v>
      </c>
      <c r="AJ50" s="22">
        <f>IF(AJ$35="Dose 1",SUMIFS('Supply planning data'!$G:$G,'Supply planning data'!$D:$D,DataViz!$B50,'Supply planning data'!$C:$C,DataViz!AJ$34),
IF(AJ$35="Dose 2",SUMIFS('Supply planning data'!$H:$H,'Supply planning data'!$D:$D,DataViz!$B50,'Supply planning data'!$C:$C,DataViz!AJ$34),
IF(AJ$35="Wastage",SUMIFS('Supply planning data'!$K:$K,'Supply planning data'!$D:$D,DataViz!$B50,'Supply planning data'!$C:$C,DataViz!AJ$34),
IF(AJ$35="Additional",SUMIFS('Supply planning data'!$I:$I,'Supply planning data'!$D:$D,DataViz!$B50,'Supply planning data'!$C:$C,DataViz!AJ$34),
0))))</f>
        <v>0</v>
      </c>
      <c r="AK50" s="22">
        <f>IF(AK$35="Dose 1",SUMIFS('Supply planning data'!$G:$G,'Supply planning data'!$D:$D,DataViz!$B50,'Supply planning data'!$C:$C,DataViz!AK$34),
IF(AK$35="Dose 2",SUMIFS('Supply planning data'!$H:$H,'Supply planning data'!$D:$D,DataViz!$B50,'Supply planning data'!$C:$C,DataViz!AK$34),
IF(AK$35="Wastage",SUMIFS('Supply planning data'!$K:$K,'Supply planning data'!$D:$D,DataViz!$B50,'Supply planning data'!$C:$C,DataViz!AK$34),
IF(AK$35="Additional",SUMIFS('Supply planning data'!$I:$I,'Supply planning data'!$D:$D,DataViz!$B50,'Supply planning data'!$C:$C,DataViz!AK$34),
0))))</f>
        <v>0</v>
      </c>
      <c r="AL50" s="22">
        <f>IF(AL$35="Dose 1",SUMIFS('Supply planning data'!$G:$G,'Supply planning data'!$D:$D,DataViz!$B50,'Supply planning data'!$C:$C,DataViz!AL$34),
IF(AL$35="Dose 2",SUMIFS('Supply planning data'!$H:$H,'Supply planning data'!$D:$D,DataViz!$B50,'Supply planning data'!$C:$C,DataViz!AL$34),
IF(AL$35="Wastage",SUMIFS('Supply planning data'!$K:$K,'Supply planning data'!$D:$D,DataViz!$B50,'Supply planning data'!$C:$C,DataViz!AL$34),
IF(AL$35="Additional",SUMIFS('Supply planning data'!$I:$I,'Supply planning data'!$D:$D,DataViz!$B50,'Supply planning data'!$C:$C,DataViz!AL$34),
0))))</f>
        <v>0</v>
      </c>
      <c r="AM50" s="22">
        <f>IF(AM$35="Dose 1",SUMIFS('Supply planning data'!$G:$G,'Supply planning data'!$D:$D,DataViz!$B50,'Supply planning data'!$C:$C,DataViz!AM$34),
IF(AM$35="Dose 2",SUMIFS('Supply planning data'!$H:$H,'Supply planning data'!$D:$D,DataViz!$B50,'Supply planning data'!$C:$C,DataViz!AM$34),
IF(AM$35="Wastage",SUMIFS('Supply planning data'!$K:$K,'Supply planning data'!$D:$D,DataViz!$B50,'Supply planning data'!$C:$C,DataViz!AM$34),
IF(AM$35="Additional",SUMIFS('Supply planning data'!$I:$I,'Supply planning data'!$D:$D,DataViz!$B50,'Supply planning data'!$C:$C,DataViz!AM$34),
0))))</f>
        <v>0</v>
      </c>
      <c r="AN50" s="22">
        <f>IF(AN$35="Dose 1",SUMIFS('Supply planning data'!$G:$G,'Supply planning data'!$D:$D,DataViz!$B50,'Supply planning data'!$C:$C,DataViz!AN$34),
IF(AN$35="Dose 2",SUMIFS('Supply planning data'!$H:$H,'Supply planning data'!$D:$D,DataViz!$B50,'Supply planning data'!$C:$C,DataViz!AN$34),
IF(AN$35="Wastage",SUMIFS('Supply planning data'!$K:$K,'Supply planning data'!$D:$D,DataViz!$B50,'Supply planning data'!$C:$C,DataViz!AN$34),
IF(AN$35="Additional",SUMIFS('Supply planning data'!$I:$I,'Supply planning data'!$D:$D,DataViz!$B50,'Supply planning data'!$C:$C,DataViz!AN$34),
0))))</f>
        <v>0</v>
      </c>
      <c r="AO50" s="22">
        <f>IF(AO$35="Dose 1",SUMIFS('Supply planning data'!$G:$G,'Supply planning data'!$D:$D,DataViz!$B50,'Supply planning data'!$C:$C,DataViz!AO$34),
IF(AO$35="Dose 2",SUMIFS('Supply planning data'!$H:$H,'Supply planning data'!$D:$D,DataViz!$B50,'Supply planning data'!$C:$C,DataViz!AO$34),
IF(AO$35="Wastage",SUMIFS('Supply planning data'!$K:$K,'Supply planning data'!$D:$D,DataViz!$B50,'Supply planning data'!$C:$C,DataViz!AO$34),
IF(AO$35="Additional",SUMIFS('Supply planning data'!$I:$I,'Supply planning data'!$D:$D,DataViz!$B50,'Supply planning data'!$C:$C,DataViz!AO$34),
0))))</f>
        <v>0</v>
      </c>
      <c r="AP50" s="22">
        <f>IF(AP$35="Dose 1",SUMIFS('Supply planning data'!$G:$G,'Supply planning data'!$D:$D,DataViz!$B50,'Supply planning data'!$C:$C,DataViz!AP$34),
IF(AP$35="Dose 2",SUMIFS('Supply planning data'!$H:$H,'Supply planning data'!$D:$D,DataViz!$B50,'Supply planning data'!$C:$C,DataViz!AP$34),
IF(AP$35="Wastage",SUMIFS('Supply planning data'!$K:$K,'Supply planning data'!$D:$D,DataViz!$B50,'Supply planning data'!$C:$C,DataViz!AP$34),
IF(AP$35="Additional",SUMIFS('Supply planning data'!$I:$I,'Supply planning data'!$D:$D,DataViz!$B50,'Supply planning data'!$C:$C,DataViz!AP$34),
0))))</f>
        <v>0</v>
      </c>
      <c r="AQ50" s="22">
        <f>IF(AQ$35="Dose 1",SUMIFS('Supply planning data'!$G:$G,'Supply planning data'!$D:$D,DataViz!$B50,'Supply planning data'!$C:$C,DataViz!AQ$34),
IF(AQ$35="Dose 2",SUMIFS('Supply planning data'!$H:$H,'Supply planning data'!$D:$D,DataViz!$B50,'Supply planning data'!$C:$C,DataViz!AQ$34),
IF(AQ$35="Wastage",SUMIFS('Supply planning data'!$K:$K,'Supply planning data'!$D:$D,DataViz!$B50,'Supply planning data'!$C:$C,DataViz!AQ$34),
IF(AQ$35="Additional",SUMIFS('Supply planning data'!$I:$I,'Supply planning data'!$D:$D,DataViz!$B50,'Supply planning data'!$C:$C,DataViz!AQ$34),
0))))</f>
        <v>0</v>
      </c>
      <c r="AR50" s="22">
        <f>IF(AR$35="Dose 1",SUMIFS('Supply planning data'!$G:$G,'Supply planning data'!$D:$D,DataViz!$B50,'Supply planning data'!$C:$C,DataViz!AR$34),
IF(AR$35="Dose 2",SUMIFS('Supply planning data'!$H:$H,'Supply planning data'!$D:$D,DataViz!$B50,'Supply planning data'!$C:$C,DataViz!AR$34),
IF(AR$35="Wastage",SUMIFS('Supply planning data'!$K:$K,'Supply planning data'!$D:$D,DataViz!$B50,'Supply planning data'!$C:$C,DataViz!AR$34),
IF(AR$35="Additional",SUMIFS('Supply planning data'!$I:$I,'Supply planning data'!$D:$D,DataViz!$B50,'Supply planning data'!$C:$C,DataViz!AR$34),
0))))</f>
        <v>0</v>
      </c>
      <c r="AS50" s="22">
        <f>IF(AS$35="Dose 1",SUMIFS('Supply planning data'!$G:$G,'Supply planning data'!$D:$D,DataViz!$B50,'Supply planning data'!$C:$C,DataViz!AS$34),
IF(AS$35="Dose 2",SUMIFS('Supply planning data'!$H:$H,'Supply planning data'!$D:$D,DataViz!$B50,'Supply planning data'!$C:$C,DataViz!AS$34),
IF(AS$35="Wastage",SUMIFS('Supply planning data'!$K:$K,'Supply planning data'!$D:$D,DataViz!$B50,'Supply planning data'!$C:$C,DataViz!AS$34),
IF(AS$35="Additional",SUMIFS('Supply planning data'!$I:$I,'Supply planning data'!$D:$D,DataViz!$B50,'Supply planning data'!$C:$C,DataViz!AS$34),
0))))</f>
        <v>0</v>
      </c>
      <c r="AT50" s="22">
        <f>IF(AT$35="Dose 1",SUMIFS('Supply planning data'!$G:$G,'Supply planning data'!$D:$D,DataViz!$B50,'Supply planning data'!$C:$C,DataViz!AT$34),
IF(AT$35="Dose 2",SUMIFS('Supply planning data'!$H:$H,'Supply planning data'!$D:$D,DataViz!$B50,'Supply planning data'!$C:$C,DataViz!AT$34),
IF(AT$35="Wastage",SUMIFS('Supply planning data'!$K:$K,'Supply planning data'!$D:$D,DataViz!$B50,'Supply planning data'!$C:$C,DataViz!AT$34),
IF(AT$35="Additional",SUMIFS('Supply planning data'!$I:$I,'Supply planning data'!$D:$D,DataViz!$B50,'Supply planning data'!$C:$C,DataViz!AT$34),
0))))</f>
        <v>0</v>
      </c>
      <c r="AU50" s="22">
        <f>IF(AU$35="Dose 1",SUMIFS('Supply planning data'!$G:$G,'Supply planning data'!$D:$D,DataViz!$B50,'Supply planning data'!$C:$C,DataViz!AU$34),
IF(AU$35="Dose 2",SUMIFS('Supply planning data'!$H:$H,'Supply planning data'!$D:$D,DataViz!$B50,'Supply planning data'!$C:$C,DataViz!AU$34),
IF(AU$35="Wastage",SUMIFS('Supply planning data'!$K:$K,'Supply planning data'!$D:$D,DataViz!$B50,'Supply planning data'!$C:$C,DataViz!AU$34),
IF(AU$35="Additional",SUMIFS('Supply planning data'!$I:$I,'Supply planning data'!$D:$D,DataViz!$B50,'Supply planning data'!$C:$C,DataViz!AU$34),
0))))</f>
        <v>0</v>
      </c>
      <c r="AV50" s="22">
        <f>IF(AV$35="Dose 1",SUMIFS('Supply planning data'!$G:$G,'Supply planning data'!$D:$D,DataViz!$B50,'Supply planning data'!$C:$C,DataViz!AV$34),
IF(AV$35="Dose 2",SUMIFS('Supply planning data'!$H:$H,'Supply planning data'!$D:$D,DataViz!$B50,'Supply planning data'!$C:$C,DataViz!AV$34),
IF(AV$35="Wastage",SUMIFS('Supply planning data'!$K:$K,'Supply planning data'!$D:$D,DataViz!$B50,'Supply planning data'!$C:$C,DataViz!AV$34),
IF(AV$35="Additional",SUMIFS('Supply planning data'!$I:$I,'Supply planning data'!$D:$D,DataViz!$B50,'Supply planning data'!$C:$C,DataViz!AV$34),
0))))</f>
        <v>0</v>
      </c>
      <c r="AW50" s="22">
        <f>IF(AW$35="Dose 1",SUMIFS('Supply planning data'!$G:$G,'Supply planning data'!$D:$D,DataViz!$B50,'Supply planning data'!$C:$C,DataViz!AW$34),
IF(AW$35="Dose 2",SUMIFS('Supply planning data'!$H:$H,'Supply planning data'!$D:$D,DataViz!$B50,'Supply planning data'!$C:$C,DataViz!AW$34),
IF(AW$35="Wastage",SUMIFS('Supply planning data'!$K:$K,'Supply planning data'!$D:$D,DataViz!$B50,'Supply planning data'!$C:$C,DataViz!AW$34),
IF(AW$35="Additional",SUMIFS('Supply planning data'!$I:$I,'Supply planning data'!$D:$D,DataViz!$B50,'Supply planning data'!$C:$C,DataViz!AW$34),
0))))</f>
        <v>0</v>
      </c>
      <c r="AX50" s="22">
        <f>IF(AX$35="Dose 1",SUMIFS('Supply planning data'!$G:$G,'Supply planning data'!$D:$D,DataViz!$B50,'Supply planning data'!$C:$C,DataViz!AX$34),
IF(AX$35="Dose 2",SUMIFS('Supply planning data'!$H:$H,'Supply planning data'!$D:$D,DataViz!$B50,'Supply planning data'!$C:$C,DataViz!AX$34),
IF(AX$35="Wastage",SUMIFS('Supply planning data'!$K:$K,'Supply planning data'!$D:$D,DataViz!$B50,'Supply planning data'!$C:$C,DataViz!AX$34),
IF(AX$35="Additional",SUMIFS('Supply planning data'!$I:$I,'Supply planning data'!$D:$D,DataViz!$B50,'Supply planning data'!$C:$C,DataViz!AX$34),
0))))</f>
        <v>0</v>
      </c>
      <c r="AY50" s="22">
        <f>IF(AY$35="Dose 1",SUMIFS('Supply planning data'!$G:$G,'Supply planning data'!$D:$D,DataViz!$B50,'Supply planning data'!$C:$C,DataViz!AY$34),
IF(AY$35="Dose 2",SUMIFS('Supply planning data'!$H:$H,'Supply planning data'!$D:$D,DataViz!$B50,'Supply planning data'!$C:$C,DataViz!AY$34),
IF(AY$35="Wastage",SUMIFS('Supply planning data'!$K:$K,'Supply planning data'!$D:$D,DataViz!$B50,'Supply planning data'!$C:$C,DataViz!AY$34),
IF(AY$35="Additional",SUMIFS('Supply planning data'!$I:$I,'Supply planning data'!$D:$D,DataViz!$B50,'Supply planning data'!$C:$C,DataViz!AY$34),
0))))</f>
        <v>0</v>
      </c>
      <c r="AZ50" s="22">
        <f>IF(AZ$35="Dose 1",SUMIFS('Supply planning data'!$G:$G,'Supply planning data'!$D:$D,DataViz!$B50,'Supply planning data'!$C:$C,DataViz!AZ$34),
IF(AZ$35="Dose 2",SUMIFS('Supply planning data'!$H:$H,'Supply planning data'!$D:$D,DataViz!$B50,'Supply planning data'!$C:$C,DataViz!AZ$34),
IF(AZ$35="Wastage",SUMIFS('Supply planning data'!$K:$K,'Supply planning data'!$D:$D,DataViz!$B50,'Supply planning data'!$C:$C,DataViz!AZ$34),
IF(AZ$35="Additional",SUMIFS('Supply planning data'!$I:$I,'Supply planning data'!$D:$D,DataViz!$B50,'Supply planning data'!$C:$C,DataViz!AZ$34),
0))))</f>
        <v>0</v>
      </c>
      <c r="BA50" s="22">
        <f>IF(BA$35="Dose 1",SUMIFS('Supply planning data'!$G:$G,'Supply planning data'!$D:$D,DataViz!$B50,'Supply planning data'!$C:$C,DataViz!BA$34),
IF(BA$35="Dose 2",SUMIFS('Supply planning data'!$H:$H,'Supply planning data'!$D:$D,DataViz!$B50,'Supply planning data'!$C:$C,DataViz!BA$34),
IF(BA$35="Wastage",SUMIFS('Supply planning data'!$K:$K,'Supply planning data'!$D:$D,DataViz!$B50,'Supply planning data'!$C:$C,DataViz!BA$34),
IF(BA$35="Additional",SUMIFS('Supply planning data'!$I:$I,'Supply planning data'!$D:$D,DataViz!$B50,'Supply planning data'!$C:$C,DataViz!BA$34),
0))))</f>
        <v>0</v>
      </c>
      <c r="BB50" s="22">
        <f>IF(BB$35="Dose 1",SUMIFS('Supply planning data'!$G:$G,'Supply planning data'!$D:$D,DataViz!$B50,'Supply planning data'!$C:$C,DataViz!BB$34),
IF(BB$35="Dose 2",SUMIFS('Supply planning data'!$H:$H,'Supply planning data'!$D:$D,DataViz!$B50,'Supply planning data'!$C:$C,DataViz!BB$34),
IF(BB$35="Wastage",SUMIFS('Supply planning data'!$K:$K,'Supply planning data'!$D:$D,DataViz!$B50,'Supply planning data'!$C:$C,DataViz!BB$34),
IF(BB$35="Additional",SUMIFS('Supply planning data'!$I:$I,'Supply planning data'!$D:$D,DataViz!$B50,'Supply planning data'!$C:$C,DataViz!BB$34),
0))))</f>
        <v>0</v>
      </c>
      <c r="BC50" s="22">
        <f>IF(BC$35="Dose 1",SUMIFS('Supply planning data'!$G:$G,'Supply planning data'!$D:$D,DataViz!$B50,'Supply planning data'!$C:$C,DataViz!BC$34),
IF(BC$35="Dose 2",SUMIFS('Supply planning data'!$H:$H,'Supply planning data'!$D:$D,DataViz!$B50,'Supply planning data'!$C:$C,DataViz!BC$34),
IF(BC$35="Wastage",SUMIFS('Supply planning data'!$K:$K,'Supply planning data'!$D:$D,DataViz!$B50,'Supply planning data'!$C:$C,DataViz!BC$34),
IF(BC$35="Additional",SUMIFS('Supply planning data'!$I:$I,'Supply planning data'!$D:$D,DataViz!$B50,'Supply planning data'!$C:$C,DataViz!BC$34),
0))))</f>
        <v>0</v>
      </c>
      <c r="BD50" s="22">
        <f>IF(BD$35="Dose 1",SUMIFS('Supply planning data'!$G:$G,'Supply planning data'!$D:$D,DataViz!$B50,'Supply planning data'!$C:$C,DataViz!BD$34),
IF(BD$35="Dose 2",SUMIFS('Supply planning data'!$H:$H,'Supply planning data'!$D:$D,DataViz!$B50,'Supply planning data'!$C:$C,DataViz!BD$34),
IF(BD$35="Wastage",SUMIFS('Supply planning data'!$K:$K,'Supply planning data'!$D:$D,DataViz!$B50,'Supply planning data'!$C:$C,DataViz!BD$34),
IF(BD$35="Additional",SUMIFS('Supply planning data'!$I:$I,'Supply planning data'!$D:$D,DataViz!$B50,'Supply planning data'!$C:$C,DataViz!BD$34),
0))))</f>
        <v>0</v>
      </c>
      <c r="BE50" s="22">
        <f>IF(BE$35="Dose 1",SUMIFS('Supply planning data'!$G:$G,'Supply planning data'!$D:$D,DataViz!$B50,'Supply planning data'!$C:$C,DataViz!BE$34),
IF(BE$35="Dose 2",SUMIFS('Supply planning data'!$H:$H,'Supply planning data'!$D:$D,DataViz!$B50,'Supply planning data'!$C:$C,DataViz!BE$34),
IF(BE$35="Wastage",SUMIFS('Supply planning data'!$K:$K,'Supply planning data'!$D:$D,DataViz!$B50,'Supply planning data'!$C:$C,DataViz!BE$34),
IF(BE$35="Additional",SUMIFS('Supply planning data'!$I:$I,'Supply planning data'!$D:$D,DataViz!$B50,'Supply planning data'!$C:$C,DataViz!BE$34),
0))))</f>
        <v>0</v>
      </c>
      <c r="BF50" s="22">
        <f>IF(BF$35="Dose 1",SUMIFS('Supply planning data'!$G:$G,'Supply planning data'!$D:$D,DataViz!$B50,'Supply planning data'!$C:$C,DataViz!BF$34),
IF(BF$35="Dose 2",SUMIFS('Supply planning data'!$H:$H,'Supply planning data'!$D:$D,DataViz!$B50,'Supply planning data'!$C:$C,DataViz!BF$34),
IF(BF$35="Wastage",SUMIFS('Supply planning data'!$K:$K,'Supply planning data'!$D:$D,DataViz!$B50,'Supply planning data'!$C:$C,DataViz!BF$34),
IF(BF$35="Additional",SUMIFS('Supply planning data'!$I:$I,'Supply planning data'!$D:$D,DataViz!$B50,'Supply planning data'!$C:$C,DataViz!BF$34),
0))))</f>
        <v>0</v>
      </c>
      <c r="BG50" s="22">
        <f>IF(BG$35="Dose 1",SUMIFS('Supply planning data'!$G:$G,'Supply planning data'!$D:$D,DataViz!$B50,'Supply planning data'!$C:$C,DataViz!BG$34),
IF(BG$35="Dose 2",SUMIFS('Supply planning data'!$H:$H,'Supply planning data'!$D:$D,DataViz!$B50,'Supply planning data'!$C:$C,DataViz!BG$34),
IF(BG$35="Wastage",SUMIFS('Supply planning data'!$K:$K,'Supply planning data'!$D:$D,DataViz!$B50,'Supply planning data'!$C:$C,DataViz!BG$34),
IF(BG$35="Additional",SUMIFS('Supply planning data'!$I:$I,'Supply planning data'!$D:$D,DataViz!$B50,'Supply planning data'!$C:$C,DataViz!BG$34),
0))))</f>
        <v>0</v>
      </c>
      <c r="BH50" s="22">
        <f>IF(BH$35="Dose 1",SUMIFS('Supply planning data'!$G:$G,'Supply planning data'!$D:$D,DataViz!$B50,'Supply planning data'!$C:$C,DataViz!BH$34),
IF(BH$35="Dose 2",SUMIFS('Supply planning data'!$H:$H,'Supply planning data'!$D:$D,DataViz!$B50,'Supply planning data'!$C:$C,DataViz!BH$34),
IF(BH$35="Wastage",SUMIFS('Supply planning data'!$K:$K,'Supply planning data'!$D:$D,DataViz!$B50,'Supply planning data'!$C:$C,DataViz!BH$34),
IF(BH$35="Additional",SUMIFS('Supply planning data'!$I:$I,'Supply planning data'!$D:$D,DataViz!$B50,'Supply planning data'!$C:$C,DataViz!BH$34),
0))))</f>
        <v>0</v>
      </c>
      <c r="BI50" s="22">
        <f>IF(BI$35="Dose 1",SUMIFS('Supply planning data'!$G:$G,'Supply planning data'!$D:$D,DataViz!$B50,'Supply planning data'!$C:$C,DataViz!BI$34),
IF(BI$35="Dose 2",SUMIFS('Supply planning data'!$H:$H,'Supply planning data'!$D:$D,DataViz!$B50,'Supply planning data'!$C:$C,DataViz!BI$34),
IF(BI$35="Wastage",SUMIFS('Supply planning data'!$K:$K,'Supply planning data'!$D:$D,DataViz!$B50,'Supply planning data'!$C:$C,DataViz!BI$34),
IF(BI$35="Additional",SUMIFS('Supply planning data'!$I:$I,'Supply planning data'!$D:$D,DataViz!$B50,'Supply planning data'!$C:$C,DataViz!BI$34),
0))))</f>
        <v>0</v>
      </c>
      <c r="BJ50" s="22">
        <f>IF(BJ$35="Dose 1",SUMIFS('Supply planning data'!$G:$G,'Supply planning data'!$D:$D,DataViz!$B50,'Supply planning data'!$C:$C,DataViz!BJ$34),
IF(BJ$35="Dose 2",SUMIFS('Supply planning data'!$H:$H,'Supply planning data'!$D:$D,DataViz!$B50,'Supply planning data'!$C:$C,DataViz!BJ$34),
IF(BJ$35="Wastage",SUMIFS('Supply planning data'!$K:$K,'Supply planning data'!$D:$D,DataViz!$B50,'Supply planning data'!$C:$C,DataViz!BJ$34),
IF(BJ$35="Additional",SUMIFS('Supply planning data'!$I:$I,'Supply planning data'!$D:$D,DataViz!$B50,'Supply planning data'!$C:$C,DataViz!BJ$34),
0))))</f>
        <v>0</v>
      </c>
      <c r="BK50" s="22">
        <f>IF(BK$35="Dose 1",SUMIFS('Supply planning data'!$G:$G,'Supply planning data'!$D:$D,DataViz!$B50,'Supply planning data'!$C:$C,DataViz!BK$34),
IF(BK$35="Dose 2",SUMIFS('Supply planning data'!$H:$H,'Supply planning data'!$D:$D,DataViz!$B50,'Supply planning data'!$C:$C,DataViz!BK$34),
IF(BK$35="Wastage",SUMIFS('Supply planning data'!$K:$K,'Supply planning data'!$D:$D,DataViz!$B50,'Supply planning data'!$C:$C,DataViz!BK$34),
IF(BK$35="Additional",SUMIFS('Supply planning data'!$I:$I,'Supply planning data'!$D:$D,DataViz!$B50,'Supply planning data'!$C:$C,DataViz!BK$34),
0))))</f>
        <v>0</v>
      </c>
      <c r="BL50" s="22">
        <f>IF(BL$35="Dose 1",SUMIFS('Supply planning data'!$G:$G,'Supply planning data'!$D:$D,DataViz!$B50,'Supply planning data'!$C:$C,DataViz!BL$34),
IF(BL$35="Dose 2",SUMIFS('Supply planning data'!$H:$H,'Supply planning data'!$D:$D,DataViz!$B50,'Supply planning data'!$C:$C,DataViz!BL$34),
IF(BL$35="Wastage",SUMIFS('Supply planning data'!$K:$K,'Supply planning data'!$D:$D,DataViz!$B50,'Supply planning data'!$C:$C,DataViz!BL$34),
IF(BL$35="Additional",SUMIFS('Supply planning data'!$I:$I,'Supply planning data'!$D:$D,DataViz!$B50,'Supply planning data'!$C:$C,DataViz!BL$34),
0))))</f>
        <v>0</v>
      </c>
    </row>
    <row r="51" spans="1:64" x14ac:dyDescent="0.25">
      <c r="A51" s="20">
        <v>13</v>
      </c>
      <c r="B51" s="21">
        <f t="shared" si="15"/>
        <v>44652</v>
      </c>
      <c r="C51" s="22">
        <f>IF(VLOOKUP(Dashboard!$M$6,Start!$B$10:$E$12,4,FALSE)&gt;0,VLOOKUP(Dashboard!$M$6,Start!$B$10:$E$12,4, FALSE),VLOOKUP(Dashboard!$M$6,Start!$B$10:$E$12,3, FALSE))</f>
        <v>60000000</v>
      </c>
      <c r="D51" s="22">
        <f>SUMIFS('Supply planning data'!M:M,'Supply planning data'!D:D,"&lt;="&amp;DataViz!B51)</f>
        <v>2720887</v>
      </c>
      <c r="E51" s="22">
        <f>IF(E$35="Dose 1",SUMIFS('Supply planning data'!$G:$G,'Supply planning data'!$D:$D,DataViz!$B51,'Supply planning data'!$C:$C,DataViz!E$34),
IF(E$35="Dose 2",SUMIFS('Supply planning data'!$H:$H,'Supply planning data'!$D:$D,DataViz!$B51,'Supply planning data'!$C:$C,DataViz!E$34),
IF(E$35="Wastage",SUMIFS('Supply planning data'!$K:$K,'Supply planning data'!$D:$D,DataViz!$B51,'Supply planning data'!$C:$C,DataViz!E$34),
IF(E$35="Additional",SUMIFS('Supply planning data'!$I:$I,'Supply planning data'!$D:$D,DataViz!$B51,'Supply planning data'!$C:$C,DataViz!E$34),
0))))</f>
        <v>0</v>
      </c>
      <c r="F51" s="22">
        <f>IF(F$35="Dose 1",SUMIFS('Supply planning data'!$G:$G,'Supply planning data'!$D:$D,DataViz!$B51,'Supply planning data'!$C:$C,DataViz!F$34),
IF(F$35="Dose 2",SUMIFS('Supply planning data'!$H:$H,'Supply planning data'!$D:$D,DataViz!$B51,'Supply planning data'!$C:$C,DataViz!F$34),
IF(F$35="Wastage",SUMIFS('Supply planning data'!$K:$K,'Supply planning data'!$D:$D,DataViz!$B51,'Supply planning data'!$C:$C,DataViz!F$34),
IF(F$35="Additional",SUMIFS('Supply planning data'!$I:$I,'Supply planning data'!$D:$D,DataViz!$B51,'Supply planning data'!$C:$C,DataViz!F$34),
0))))</f>
        <v>0</v>
      </c>
      <c r="G51" s="22">
        <f>IF(G$35="Dose 1",SUMIFS('Supply planning data'!$G:$G,'Supply planning data'!$D:$D,DataViz!$B51,'Supply planning data'!$C:$C,DataViz!G$34),
IF(G$35="Dose 2",SUMIFS('Supply planning data'!$H:$H,'Supply planning data'!$D:$D,DataViz!$B51,'Supply planning data'!$C:$C,DataViz!G$34),
IF(G$35="Wastage",SUMIFS('Supply planning data'!$K:$K,'Supply planning data'!$D:$D,DataViz!$B51,'Supply planning data'!$C:$C,DataViz!G$34),
IF(G$35="Additional",SUMIFS('Supply planning data'!$I:$I,'Supply planning data'!$D:$D,DataViz!$B51,'Supply planning data'!$C:$C,DataViz!G$34),
0))))</f>
        <v>0</v>
      </c>
      <c r="H51" s="22">
        <f>IF(H$35="Dose 1",SUMIFS('Supply planning data'!$G:$G,'Supply planning data'!$D:$D,DataViz!$B51,'Supply planning data'!$C:$C,DataViz!H$34),
IF(H$35="Dose 2",SUMIFS('Supply planning data'!$H:$H,'Supply planning data'!$D:$D,DataViz!$B51,'Supply planning data'!$C:$C,DataViz!H$34),
IF(H$35="Wastage",SUMIFS('Supply planning data'!$K:$K,'Supply planning data'!$D:$D,DataViz!$B51,'Supply planning data'!$C:$C,DataViz!H$34),
IF(H$35="Additional",SUMIFS('Supply planning data'!$I:$I,'Supply planning data'!$D:$D,DataViz!$B51,'Supply planning data'!$C:$C,DataViz!H$34),
0))))</f>
        <v>0</v>
      </c>
      <c r="I51" s="22">
        <f>IF(I$35="Dose 1",SUMIFS('Supply planning data'!$G:$G,'Supply planning data'!$D:$D,DataViz!$B51,'Supply planning data'!$C:$C,DataViz!I$34),
IF(I$35="Dose 2",SUMIFS('Supply planning data'!$H:$H,'Supply planning data'!$D:$D,DataViz!$B51,'Supply planning data'!$C:$C,DataViz!I$34),
IF(I$35="Wastage",SUMIFS('Supply planning data'!$K:$K,'Supply planning data'!$D:$D,DataViz!$B51,'Supply planning data'!$C:$C,DataViz!I$34),
IF(I$35="Additional",SUMIFS('Supply planning data'!$I:$I,'Supply planning data'!$D:$D,DataViz!$B51,'Supply planning data'!$C:$C,DataViz!I$34),
0))))</f>
        <v>0</v>
      </c>
      <c r="J51" s="22">
        <f>IF(J$35="Dose 1",SUMIFS('Supply planning data'!$G:$G,'Supply planning data'!$D:$D,DataViz!$B51,'Supply planning data'!$C:$C,DataViz!J$34),
IF(J$35="Dose 2",SUMIFS('Supply planning data'!$H:$H,'Supply planning data'!$D:$D,DataViz!$B51,'Supply planning data'!$C:$C,DataViz!J$34),
IF(J$35="Wastage",SUMIFS('Supply planning data'!$K:$K,'Supply planning data'!$D:$D,DataViz!$B51,'Supply planning data'!$C:$C,DataViz!J$34),
IF(J$35="Additional",SUMIFS('Supply planning data'!$I:$I,'Supply planning data'!$D:$D,DataViz!$B51,'Supply planning data'!$C:$C,DataViz!J$34),
0))))</f>
        <v>0</v>
      </c>
      <c r="K51" s="22">
        <f>IF(K$35="Dose 1",SUMIFS('Supply planning data'!$G:$G,'Supply planning data'!$D:$D,DataViz!$B51,'Supply planning data'!$C:$C,DataViz!K$34),
IF(K$35="Dose 2",SUMIFS('Supply planning data'!$H:$H,'Supply planning data'!$D:$D,DataViz!$B51,'Supply planning data'!$C:$C,DataViz!K$34),
IF(K$35="Wastage",SUMIFS('Supply planning data'!$K:$K,'Supply planning data'!$D:$D,DataViz!$B51,'Supply planning data'!$C:$C,DataViz!K$34),
IF(K$35="Additional",SUMIFS('Supply planning data'!$I:$I,'Supply planning data'!$D:$D,DataViz!$B51,'Supply planning data'!$C:$C,DataViz!K$34),
0))))</f>
        <v>0</v>
      </c>
      <c r="L51" s="22">
        <f>IF(L$35="Dose 1",SUMIFS('Supply planning data'!$G:$G,'Supply planning data'!$D:$D,DataViz!$B51,'Supply planning data'!$C:$C,DataViz!L$34),
IF(L$35="Dose 2",SUMIFS('Supply planning data'!$H:$H,'Supply planning data'!$D:$D,DataViz!$B51,'Supply planning data'!$C:$C,DataViz!L$34),
IF(L$35="Wastage",SUMIFS('Supply planning data'!$K:$K,'Supply planning data'!$D:$D,DataViz!$B51,'Supply planning data'!$C:$C,DataViz!L$34),
IF(L$35="Additional",SUMIFS('Supply planning data'!$I:$I,'Supply planning data'!$D:$D,DataViz!$B51,'Supply planning data'!$C:$C,DataViz!L$34),
0))))</f>
        <v>0</v>
      </c>
      <c r="M51" s="22">
        <f>IF(M$35="Dose 1",SUMIFS('Supply planning data'!$G:$G,'Supply planning data'!$D:$D,DataViz!$B51,'Supply planning data'!$C:$C,DataViz!M$34),
IF(M$35="Dose 2",SUMIFS('Supply planning data'!$H:$H,'Supply planning data'!$D:$D,DataViz!$B51,'Supply planning data'!$C:$C,DataViz!M$34),
IF(M$35="Wastage",SUMIFS('Supply planning data'!$K:$K,'Supply planning data'!$D:$D,DataViz!$B51,'Supply planning data'!$C:$C,DataViz!M$34),
IF(M$35="Additional",SUMIFS('Supply planning data'!$I:$I,'Supply planning data'!$D:$D,DataViz!$B51,'Supply planning data'!$C:$C,DataViz!M$34),
0))))</f>
        <v>0</v>
      </c>
      <c r="N51" s="22">
        <f>IF(N$35="Dose 1",SUMIFS('Supply planning data'!$G:$G,'Supply planning data'!$D:$D,DataViz!$B51,'Supply planning data'!$C:$C,DataViz!N$34),
IF(N$35="Dose 2",SUMIFS('Supply planning data'!$H:$H,'Supply planning data'!$D:$D,DataViz!$B51,'Supply planning data'!$C:$C,DataViz!N$34),
IF(N$35="Wastage",SUMIFS('Supply planning data'!$K:$K,'Supply planning data'!$D:$D,DataViz!$B51,'Supply planning data'!$C:$C,DataViz!N$34),
IF(N$35="Additional",SUMIFS('Supply planning data'!$I:$I,'Supply planning data'!$D:$D,DataViz!$B51,'Supply planning data'!$C:$C,DataViz!N$34),
0))))</f>
        <v>0</v>
      </c>
      <c r="O51" s="22">
        <f>IF(O$35="Dose 1",SUMIFS('Supply planning data'!$G:$G,'Supply planning data'!$D:$D,DataViz!$B51,'Supply planning data'!$C:$C,DataViz!O$34),
IF(O$35="Dose 2",SUMIFS('Supply planning data'!$H:$H,'Supply planning data'!$D:$D,DataViz!$B51,'Supply planning data'!$C:$C,DataViz!O$34),
IF(O$35="Wastage",SUMIFS('Supply planning data'!$K:$K,'Supply planning data'!$D:$D,DataViz!$B51,'Supply planning data'!$C:$C,DataViz!O$34),
IF(O$35="Additional",SUMIFS('Supply planning data'!$I:$I,'Supply planning data'!$D:$D,DataViz!$B51,'Supply planning data'!$C:$C,DataViz!O$34),
0))))</f>
        <v>0</v>
      </c>
      <c r="P51" s="22">
        <f>IF(P$35="Dose 1",SUMIFS('Supply planning data'!$G:$G,'Supply planning data'!$D:$D,DataViz!$B51,'Supply planning data'!$C:$C,DataViz!P$34),
IF(P$35="Dose 2",SUMIFS('Supply planning data'!$H:$H,'Supply planning data'!$D:$D,DataViz!$B51,'Supply planning data'!$C:$C,DataViz!P$34),
IF(P$35="Wastage",SUMIFS('Supply planning data'!$K:$K,'Supply planning data'!$D:$D,DataViz!$B51,'Supply planning data'!$C:$C,DataViz!P$34),
IF(P$35="Additional",SUMIFS('Supply planning data'!$I:$I,'Supply planning data'!$D:$D,DataViz!$B51,'Supply planning data'!$C:$C,DataViz!P$34),
0))))</f>
        <v>0</v>
      </c>
      <c r="Q51" s="22">
        <f>IF(Q$35="Dose 1",SUMIFS('Supply planning data'!$G:$G,'Supply planning data'!$D:$D,DataViz!$B51,'Supply planning data'!$C:$C,DataViz!Q$34),
IF(Q$35="Dose 2",SUMIFS('Supply planning data'!$H:$H,'Supply planning data'!$D:$D,DataViz!$B51,'Supply planning data'!$C:$C,DataViz!Q$34),
IF(Q$35="Wastage",SUMIFS('Supply planning data'!$K:$K,'Supply planning data'!$D:$D,DataViz!$B51,'Supply planning data'!$C:$C,DataViz!Q$34),
IF(Q$35="Additional",SUMIFS('Supply planning data'!$I:$I,'Supply planning data'!$D:$D,DataViz!$B51,'Supply planning data'!$C:$C,DataViz!Q$34),
0))))</f>
        <v>0</v>
      </c>
      <c r="R51" s="22">
        <f>IF(R$35="Dose 1",SUMIFS('Supply planning data'!$G:$G,'Supply planning data'!$D:$D,DataViz!$B51,'Supply planning data'!$C:$C,DataViz!R$34),
IF(R$35="Dose 2",SUMIFS('Supply planning data'!$H:$H,'Supply planning data'!$D:$D,DataViz!$B51,'Supply planning data'!$C:$C,DataViz!R$34),
IF(R$35="Wastage",SUMIFS('Supply planning data'!$K:$K,'Supply planning data'!$D:$D,DataViz!$B51,'Supply planning data'!$C:$C,DataViz!R$34),
IF(R$35="Additional",SUMIFS('Supply planning data'!$I:$I,'Supply planning data'!$D:$D,DataViz!$B51,'Supply planning data'!$C:$C,DataViz!R$34),
0))))</f>
        <v>0</v>
      </c>
      <c r="S51" s="22">
        <f>IF(S$35="Dose 1",SUMIFS('Supply planning data'!$G:$G,'Supply planning data'!$D:$D,DataViz!$B51,'Supply planning data'!$C:$C,DataViz!S$34),
IF(S$35="Dose 2",SUMIFS('Supply planning data'!$H:$H,'Supply planning data'!$D:$D,DataViz!$B51,'Supply planning data'!$C:$C,DataViz!S$34),
IF(S$35="Wastage",SUMIFS('Supply planning data'!$K:$K,'Supply planning data'!$D:$D,DataViz!$B51,'Supply planning data'!$C:$C,DataViz!S$34),
IF(S$35="Additional",SUMIFS('Supply planning data'!$I:$I,'Supply planning data'!$D:$D,DataViz!$B51,'Supply planning data'!$C:$C,DataViz!S$34),
0))))</f>
        <v>0</v>
      </c>
      <c r="T51" s="22">
        <f>IF(T$35="Dose 1",SUMIFS('Supply planning data'!$G:$G,'Supply planning data'!$D:$D,DataViz!$B51,'Supply planning data'!$C:$C,DataViz!T$34),
IF(T$35="Dose 2",SUMIFS('Supply planning data'!$H:$H,'Supply planning data'!$D:$D,DataViz!$B51,'Supply planning data'!$C:$C,DataViz!T$34),
IF(T$35="Wastage",SUMIFS('Supply planning data'!$K:$K,'Supply planning data'!$D:$D,DataViz!$B51,'Supply planning data'!$C:$C,DataViz!T$34),
IF(T$35="Additional",SUMIFS('Supply planning data'!$I:$I,'Supply planning data'!$D:$D,DataViz!$B51,'Supply planning data'!$C:$C,DataViz!T$34),
0))))</f>
        <v>0</v>
      </c>
      <c r="U51" s="22">
        <f>IF(U$35="Dose 1",SUMIFS('Supply planning data'!$G:$G,'Supply planning data'!$D:$D,DataViz!$B51,'Supply planning data'!$C:$C,DataViz!U$34),
IF(U$35="Dose 2",SUMIFS('Supply planning data'!$H:$H,'Supply planning data'!$D:$D,DataViz!$B51,'Supply planning data'!$C:$C,DataViz!U$34),
IF(U$35="Wastage",SUMIFS('Supply planning data'!$K:$K,'Supply planning data'!$D:$D,DataViz!$B51,'Supply planning data'!$C:$C,DataViz!U$34),
IF(U$35="Additional",SUMIFS('Supply planning data'!$I:$I,'Supply planning data'!$D:$D,DataViz!$B51,'Supply planning data'!$C:$C,DataViz!U$34),
0))))</f>
        <v>0</v>
      </c>
      <c r="V51" s="22">
        <f>IF(V$35="Dose 1",SUMIFS('Supply planning data'!$G:$G,'Supply planning data'!$D:$D,DataViz!$B51,'Supply planning data'!$C:$C,DataViz!V$34),
IF(V$35="Dose 2",SUMIFS('Supply planning data'!$H:$H,'Supply planning data'!$D:$D,DataViz!$B51,'Supply planning data'!$C:$C,DataViz!V$34),
IF(V$35="Wastage",SUMIFS('Supply planning data'!$K:$K,'Supply planning data'!$D:$D,DataViz!$B51,'Supply planning data'!$C:$C,DataViz!V$34),
IF(V$35="Additional",SUMIFS('Supply planning data'!$I:$I,'Supply planning data'!$D:$D,DataViz!$B51,'Supply planning data'!$C:$C,DataViz!V$34),
0))))</f>
        <v>0</v>
      </c>
      <c r="W51" s="22">
        <f>IF(W$35="Dose 1",SUMIFS('Supply planning data'!$G:$G,'Supply planning data'!$D:$D,DataViz!$B51,'Supply planning data'!$C:$C,DataViz!W$34),
IF(W$35="Dose 2",SUMIFS('Supply planning data'!$H:$H,'Supply planning data'!$D:$D,DataViz!$B51,'Supply planning data'!$C:$C,DataViz!W$34),
IF(W$35="Wastage",SUMIFS('Supply planning data'!$K:$K,'Supply planning data'!$D:$D,DataViz!$B51,'Supply planning data'!$C:$C,DataViz!W$34),
IF(W$35="Additional",SUMIFS('Supply planning data'!$I:$I,'Supply planning data'!$D:$D,DataViz!$B51,'Supply planning data'!$C:$C,DataViz!W$34),
0))))</f>
        <v>0</v>
      </c>
      <c r="X51" s="22">
        <f>IF(X$35="Dose 1",SUMIFS('Supply planning data'!$G:$G,'Supply planning data'!$D:$D,DataViz!$B51,'Supply planning data'!$C:$C,DataViz!X$34),
IF(X$35="Dose 2",SUMIFS('Supply planning data'!$H:$H,'Supply planning data'!$D:$D,DataViz!$B51,'Supply planning data'!$C:$C,DataViz!X$34),
IF(X$35="Wastage",SUMIFS('Supply planning data'!$K:$K,'Supply planning data'!$D:$D,DataViz!$B51,'Supply planning data'!$C:$C,DataViz!X$34),
IF(X$35="Additional",SUMIFS('Supply planning data'!$I:$I,'Supply planning data'!$D:$D,DataViz!$B51,'Supply planning data'!$C:$C,DataViz!X$34),
0))))</f>
        <v>0</v>
      </c>
      <c r="Y51" s="22">
        <f>IF(Y$35="Dose 1",SUMIFS('Supply planning data'!$G:$G,'Supply planning data'!$D:$D,DataViz!$B51,'Supply planning data'!$C:$C,DataViz!Y$34),
IF(Y$35="Dose 2",SUMIFS('Supply planning data'!$H:$H,'Supply planning data'!$D:$D,DataViz!$B51,'Supply planning data'!$C:$C,DataViz!Y$34),
IF(Y$35="Wastage",SUMIFS('Supply planning data'!$K:$K,'Supply planning data'!$D:$D,DataViz!$B51,'Supply planning data'!$C:$C,DataViz!Y$34),
IF(Y$35="Additional",SUMIFS('Supply planning data'!$I:$I,'Supply planning data'!$D:$D,DataViz!$B51,'Supply planning data'!$C:$C,DataViz!Y$34),
0))))</f>
        <v>0</v>
      </c>
      <c r="Z51" s="22">
        <f>IF(Z$35="Dose 1",SUMIFS('Supply planning data'!$G:$G,'Supply planning data'!$D:$D,DataViz!$B51,'Supply planning data'!$C:$C,DataViz!Z$34),
IF(Z$35="Dose 2",SUMIFS('Supply planning data'!$H:$H,'Supply planning data'!$D:$D,DataViz!$B51,'Supply planning data'!$C:$C,DataViz!Z$34),
IF(Z$35="Wastage",SUMIFS('Supply planning data'!$K:$K,'Supply planning data'!$D:$D,DataViz!$B51,'Supply planning data'!$C:$C,DataViz!Z$34),
IF(Z$35="Additional",SUMIFS('Supply planning data'!$I:$I,'Supply planning data'!$D:$D,DataViz!$B51,'Supply planning data'!$C:$C,DataViz!Z$34),
0))))</f>
        <v>0</v>
      </c>
      <c r="AA51" s="22">
        <f>IF(AA$35="Dose 1",SUMIFS('Supply planning data'!$G:$G,'Supply planning data'!$D:$D,DataViz!$B51,'Supply planning data'!$C:$C,DataViz!AA$34),
IF(AA$35="Dose 2",SUMIFS('Supply planning data'!$H:$H,'Supply planning data'!$D:$D,DataViz!$B51,'Supply planning data'!$C:$C,DataViz!AA$34),
IF(AA$35="Wastage",SUMIFS('Supply planning data'!$K:$K,'Supply planning data'!$D:$D,DataViz!$B51,'Supply planning data'!$C:$C,DataViz!AA$34),
IF(AA$35="Additional",SUMIFS('Supply planning data'!$I:$I,'Supply planning data'!$D:$D,DataViz!$B51,'Supply planning data'!$C:$C,DataViz!AA$34),
0))))</f>
        <v>0</v>
      </c>
      <c r="AB51" s="22">
        <f>IF(AB$35="Dose 1",SUMIFS('Supply planning data'!$G:$G,'Supply planning data'!$D:$D,DataViz!$B51,'Supply planning data'!$C:$C,DataViz!AB$34),
IF(AB$35="Dose 2",SUMIFS('Supply planning data'!$H:$H,'Supply planning data'!$D:$D,DataViz!$B51,'Supply planning data'!$C:$C,DataViz!AB$34),
IF(AB$35="Wastage",SUMIFS('Supply planning data'!$K:$K,'Supply planning data'!$D:$D,DataViz!$B51,'Supply planning data'!$C:$C,DataViz!AB$34),
IF(AB$35="Additional",SUMIFS('Supply planning data'!$I:$I,'Supply planning data'!$D:$D,DataViz!$B51,'Supply planning data'!$C:$C,DataViz!AB$34),
0))))</f>
        <v>0</v>
      </c>
      <c r="AC51" s="22">
        <f>IF(AC$35="Dose 1",SUMIFS('Supply planning data'!$G:$G,'Supply planning data'!$D:$D,DataViz!$B51,'Supply planning data'!$C:$C,DataViz!AC$34),
IF(AC$35="Dose 2",SUMIFS('Supply planning data'!$H:$H,'Supply planning data'!$D:$D,DataViz!$B51,'Supply planning data'!$C:$C,DataViz!AC$34),
IF(AC$35="Wastage",SUMIFS('Supply planning data'!$K:$K,'Supply planning data'!$D:$D,DataViz!$B51,'Supply planning data'!$C:$C,DataViz!AC$34),
IF(AC$35="Additional",SUMIFS('Supply planning data'!$I:$I,'Supply planning data'!$D:$D,DataViz!$B51,'Supply planning data'!$C:$C,DataViz!AC$34),
0))))</f>
        <v>0</v>
      </c>
      <c r="AD51" s="22">
        <f>IF(AD$35="Dose 1",SUMIFS('Supply planning data'!$G:$G,'Supply planning data'!$D:$D,DataViz!$B51,'Supply planning data'!$C:$C,DataViz!AD$34),
IF(AD$35="Dose 2",SUMIFS('Supply planning data'!$H:$H,'Supply planning data'!$D:$D,DataViz!$B51,'Supply planning data'!$C:$C,DataViz!AD$34),
IF(AD$35="Wastage",SUMIFS('Supply planning data'!$K:$K,'Supply planning data'!$D:$D,DataViz!$B51,'Supply planning data'!$C:$C,DataViz!AD$34),
IF(AD$35="Additional",SUMIFS('Supply planning data'!$I:$I,'Supply planning data'!$D:$D,DataViz!$B51,'Supply planning data'!$C:$C,DataViz!AD$34),
0))))</f>
        <v>0</v>
      </c>
      <c r="AE51" s="22">
        <f>IF(AE$35="Dose 1",SUMIFS('Supply planning data'!$G:$G,'Supply planning data'!$D:$D,DataViz!$B51,'Supply planning data'!$C:$C,DataViz!AE$34),
IF(AE$35="Dose 2",SUMIFS('Supply planning data'!$H:$H,'Supply planning data'!$D:$D,DataViz!$B51,'Supply planning data'!$C:$C,DataViz!AE$34),
IF(AE$35="Wastage",SUMIFS('Supply planning data'!$K:$K,'Supply planning data'!$D:$D,DataViz!$B51,'Supply planning data'!$C:$C,DataViz!AE$34),
IF(AE$35="Additional",SUMIFS('Supply planning data'!$I:$I,'Supply planning data'!$D:$D,DataViz!$B51,'Supply planning data'!$C:$C,DataViz!AE$34),
0))))</f>
        <v>0</v>
      </c>
      <c r="AF51" s="22">
        <f>IF(AF$35="Dose 1",SUMIFS('Supply planning data'!$G:$G,'Supply planning data'!$D:$D,DataViz!$B51,'Supply planning data'!$C:$C,DataViz!AF$34),
IF(AF$35="Dose 2",SUMIFS('Supply planning data'!$H:$H,'Supply planning data'!$D:$D,DataViz!$B51,'Supply planning data'!$C:$C,DataViz!AF$34),
IF(AF$35="Wastage",SUMIFS('Supply planning data'!$K:$K,'Supply planning data'!$D:$D,DataViz!$B51,'Supply planning data'!$C:$C,DataViz!AF$34),
IF(AF$35="Additional",SUMIFS('Supply planning data'!$I:$I,'Supply planning data'!$D:$D,DataViz!$B51,'Supply planning data'!$C:$C,DataViz!AF$34),
0))))</f>
        <v>0</v>
      </c>
      <c r="AG51" s="22">
        <f>IF(AG$35="Dose 1",SUMIFS('Supply planning data'!$G:$G,'Supply planning data'!$D:$D,DataViz!$B51,'Supply planning data'!$C:$C,DataViz!AG$34),
IF(AG$35="Dose 2",SUMIFS('Supply planning data'!$H:$H,'Supply planning data'!$D:$D,DataViz!$B51,'Supply planning data'!$C:$C,DataViz!AG$34),
IF(AG$35="Wastage",SUMIFS('Supply planning data'!$K:$K,'Supply planning data'!$D:$D,DataViz!$B51,'Supply planning data'!$C:$C,DataViz!AG$34),
IF(AG$35="Additional",SUMIFS('Supply planning data'!$I:$I,'Supply planning data'!$D:$D,DataViz!$B51,'Supply planning data'!$C:$C,DataViz!AG$34),
0))))</f>
        <v>0</v>
      </c>
      <c r="AH51" s="22">
        <f>IF(AH$35="Dose 1",SUMIFS('Supply planning data'!$G:$G,'Supply planning data'!$D:$D,DataViz!$B51,'Supply planning data'!$C:$C,DataViz!AH$34),
IF(AH$35="Dose 2",SUMIFS('Supply planning data'!$H:$H,'Supply planning data'!$D:$D,DataViz!$B51,'Supply planning data'!$C:$C,DataViz!AH$34),
IF(AH$35="Wastage",SUMIFS('Supply planning data'!$K:$K,'Supply planning data'!$D:$D,DataViz!$B51,'Supply planning data'!$C:$C,DataViz!AH$34),
IF(AH$35="Additional",SUMIFS('Supply planning data'!$I:$I,'Supply planning data'!$D:$D,DataViz!$B51,'Supply planning data'!$C:$C,DataViz!AH$34),
0))))</f>
        <v>0</v>
      </c>
      <c r="AI51" s="22">
        <f>IF(AI$35="Dose 1",SUMIFS('Supply planning data'!$G:$G,'Supply planning data'!$D:$D,DataViz!$B51,'Supply planning data'!$C:$C,DataViz!AI$34),
IF(AI$35="Dose 2",SUMIFS('Supply planning data'!$H:$H,'Supply planning data'!$D:$D,DataViz!$B51,'Supply planning data'!$C:$C,DataViz!AI$34),
IF(AI$35="Wastage",SUMIFS('Supply planning data'!$K:$K,'Supply planning data'!$D:$D,DataViz!$B51,'Supply planning data'!$C:$C,DataViz!AI$34),
IF(AI$35="Additional",SUMIFS('Supply planning data'!$I:$I,'Supply planning data'!$D:$D,DataViz!$B51,'Supply planning data'!$C:$C,DataViz!AI$34),
0))))</f>
        <v>0</v>
      </c>
      <c r="AJ51" s="22">
        <f>IF(AJ$35="Dose 1",SUMIFS('Supply planning data'!$G:$G,'Supply planning data'!$D:$D,DataViz!$B51,'Supply planning data'!$C:$C,DataViz!AJ$34),
IF(AJ$35="Dose 2",SUMIFS('Supply planning data'!$H:$H,'Supply planning data'!$D:$D,DataViz!$B51,'Supply planning data'!$C:$C,DataViz!AJ$34),
IF(AJ$35="Wastage",SUMIFS('Supply planning data'!$K:$K,'Supply planning data'!$D:$D,DataViz!$B51,'Supply planning data'!$C:$C,DataViz!AJ$34),
IF(AJ$35="Additional",SUMIFS('Supply planning data'!$I:$I,'Supply planning data'!$D:$D,DataViz!$B51,'Supply planning data'!$C:$C,DataViz!AJ$34),
0))))</f>
        <v>0</v>
      </c>
      <c r="AK51" s="22">
        <f>IF(AK$35="Dose 1",SUMIFS('Supply planning data'!$G:$G,'Supply planning data'!$D:$D,DataViz!$B51,'Supply planning data'!$C:$C,DataViz!AK$34),
IF(AK$35="Dose 2",SUMIFS('Supply planning data'!$H:$H,'Supply planning data'!$D:$D,DataViz!$B51,'Supply planning data'!$C:$C,DataViz!AK$34),
IF(AK$35="Wastage",SUMIFS('Supply planning data'!$K:$K,'Supply planning data'!$D:$D,DataViz!$B51,'Supply planning data'!$C:$C,DataViz!AK$34),
IF(AK$35="Additional",SUMIFS('Supply planning data'!$I:$I,'Supply planning data'!$D:$D,DataViz!$B51,'Supply planning data'!$C:$C,DataViz!AK$34),
0))))</f>
        <v>0</v>
      </c>
      <c r="AL51" s="22">
        <f>IF(AL$35="Dose 1",SUMIFS('Supply planning data'!$G:$G,'Supply planning data'!$D:$D,DataViz!$B51,'Supply planning data'!$C:$C,DataViz!AL$34),
IF(AL$35="Dose 2",SUMIFS('Supply planning data'!$H:$H,'Supply planning data'!$D:$D,DataViz!$B51,'Supply planning data'!$C:$C,DataViz!AL$34),
IF(AL$35="Wastage",SUMIFS('Supply planning data'!$K:$K,'Supply planning data'!$D:$D,DataViz!$B51,'Supply planning data'!$C:$C,DataViz!AL$34),
IF(AL$35="Additional",SUMIFS('Supply planning data'!$I:$I,'Supply planning data'!$D:$D,DataViz!$B51,'Supply planning data'!$C:$C,DataViz!AL$34),
0))))</f>
        <v>0</v>
      </c>
      <c r="AM51" s="22">
        <f>IF(AM$35="Dose 1",SUMIFS('Supply planning data'!$G:$G,'Supply planning data'!$D:$D,DataViz!$B51,'Supply planning data'!$C:$C,DataViz!AM$34),
IF(AM$35="Dose 2",SUMIFS('Supply planning data'!$H:$H,'Supply planning data'!$D:$D,DataViz!$B51,'Supply planning data'!$C:$C,DataViz!AM$34),
IF(AM$35="Wastage",SUMIFS('Supply planning data'!$K:$K,'Supply planning data'!$D:$D,DataViz!$B51,'Supply planning data'!$C:$C,DataViz!AM$34),
IF(AM$35="Additional",SUMIFS('Supply planning data'!$I:$I,'Supply planning data'!$D:$D,DataViz!$B51,'Supply planning data'!$C:$C,DataViz!AM$34),
0))))</f>
        <v>0</v>
      </c>
      <c r="AN51" s="22">
        <f>IF(AN$35="Dose 1",SUMIFS('Supply planning data'!$G:$G,'Supply planning data'!$D:$D,DataViz!$B51,'Supply planning data'!$C:$C,DataViz!AN$34),
IF(AN$35="Dose 2",SUMIFS('Supply planning data'!$H:$H,'Supply planning data'!$D:$D,DataViz!$B51,'Supply planning data'!$C:$C,DataViz!AN$34),
IF(AN$35="Wastage",SUMIFS('Supply planning data'!$K:$K,'Supply planning data'!$D:$D,DataViz!$B51,'Supply planning data'!$C:$C,DataViz!AN$34),
IF(AN$35="Additional",SUMIFS('Supply planning data'!$I:$I,'Supply planning data'!$D:$D,DataViz!$B51,'Supply planning data'!$C:$C,DataViz!AN$34),
0))))</f>
        <v>0</v>
      </c>
      <c r="AO51" s="22">
        <f>IF(AO$35="Dose 1",SUMIFS('Supply planning data'!$G:$G,'Supply planning data'!$D:$D,DataViz!$B51,'Supply planning data'!$C:$C,DataViz!AO$34),
IF(AO$35="Dose 2",SUMIFS('Supply planning data'!$H:$H,'Supply planning data'!$D:$D,DataViz!$B51,'Supply planning data'!$C:$C,DataViz!AO$34),
IF(AO$35="Wastage",SUMIFS('Supply planning data'!$K:$K,'Supply planning data'!$D:$D,DataViz!$B51,'Supply planning data'!$C:$C,DataViz!AO$34),
IF(AO$35="Additional",SUMIFS('Supply planning data'!$I:$I,'Supply planning data'!$D:$D,DataViz!$B51,'Supply planning data'!$C:$C,DataViz!AO$34),
0))))</f>
        <v>0</v>
      </c>
      <c r="AP51" s="22">
        <f>IF(AP$35="Dose 1",SUMIFS('Supply planning data'!$G:$G,'Supply planning data'!$D:$D,DataViz!$B51,'Supply planning data'!$C:$C,DataViz!AP$34),
IF(AP$35="Dose 2",SUMIFS('Supply planning data'!$H:$H,'Supply planning data'!$D:$D,DataViz!$B51,'Supply planning data'!$C:$C,DataViz!AP$34),
IF(AP$35="Wastage",SUMIFS('Supply planning data'!$K:$K,'Supply planning data'!$D:$D,DataViz!$B51,'Supply planning data'!$C:$C,DataViz!AP$34),
IF(AP$35="Additional",SUMIFS('Supply planning data'!$I:$I,'Supply planning data'!$D:$D,DataViz!$B51,'Supply planning data'!$C:$C,DataViz!AP$34),
0))))</f>
        <v>0</v>
      </c>
      <c r="AQ51" s="22">
        <f>IF(AQ$35="Dose 1",SUMIFS('Supply planning data'!$G:$G,'Supply planning data'!$D:$D,DataViz!$B51,'Supply planning data'!$C:$C,DataViz!AQ$34),
IF(AQ$35="Dose 2",SUMIFS('Supply planning data'!$H:$H,'Supply planning data'!$D:$D,DataViz!$B51,'Supply planning data'!$C:$C,DataViz!AQ$34),
IF(AQ$35="Wastage",SUMIFS('Supply planning data'!$K:$K,'Supply planning data'!$D:$D,DataViz!$B51,'Supply planning data'!$C:$C,DataViz!AQ$34),
IF(AQ$35="Additional",SUMIFS('Supply planning data'!$I:$I,'Supply planning data'!$D:$D,DataViz!$B51,'Supply planning data'!$C:$C,DataViz!AQ$34),
0))))</f>
        <v>0</v>
      </c>
      <c r="AR51" s="22">
        <f>IF(AR$35="Dose 1",SUMIFS('Supply planning data'!$G:$G,'Supply planning data'!$D:$D,DataViz!$B51,'Supply planning data'!$C:$C,DataViz!AR$34),
IF(AR$35="Dose 2",SUMIFS('Supply planning data'!$H:$H,'Supply planning data'!$D:$D,DataViz!$B51,'Supply planning data'!$C:$C,DataViz!AR$34),
IF(AR$35="Wastage",SUMIFS('Supply planning data'!$K:$K,'Supply planning data'!$D:$D,DataViz!$B51,'Supply planning data'!$C:$C,DataViz!AR$34),
IF(AR$35="Additional",SUMIFS('Supply planning data'!$I:$I,'Supply planning data'!$D:$D,DataViz!$B51,'Supply planning data'!$C:$C,DataViz!AR$34),
0))))</f>
        <v>0</v>
      </c>
      <c r="AS51" s="22">
        <f>IF(AS$35="Dose 1",SUMIFS('Supply planning data'!$G:$G,'Supply planning data'!$D:$D,DataViz!$B51,'Supply planning data'!$C:$C,DataViz!AS$34),
IF(AS$35="Dose 2",SUMIFS('Supply planning data'!$H:$H,'Supply planning data'!$D:$D,DataViz!$B51,'Supply planning data'!$C:$C,DataViz!AS$34),
IF(AS$35="Wastage",SUMIFS('Supply planning data'!$K:$K,'Supply planning data'!$D:$D,DataViz!$B51,'Supply planning data'!$C:$C,DataViz!AS$34),
IF(AS$35="Additional",SUMIFS('Supply planning data'!$I:$I,'Supply planning data'!$D:$D,DataViz!$B51,'Supply planning data'!$C:$C,DataViz!AS$34),
0))))</f>
        <v>0</v>
      </c>
      <c r="AT51" s="22">
        <f>IF(AT$35="Dose 1",SUMIFS('Supply planning data'!$G:$G,'Supply planning data'!$D:$D,DataViz!$B51,'Supply planning data'!$C:$C,DataViz!AT$34),
IF(AT$35="Dose 2",SUMIFS('Supply planning data'!$H:$H,'Supply planning data'!$D:$D,DataViz!$B51,'Supply planning data'!$C:$C,DataViz!AT$34),
IF(AT$35="Wastage",SUMIFS('Supply planning data'!$K:$K,'Supply planning data'!$D:$D,DataViz!$B51,'Supply planning data'!$C:$C,DataViz!AT$34),
IF(AT$35="Additional",SUMIFS('Supply planning data'!$I:$I,'Supply planning data'!$D:$D,DataViz!$B51,'Supply planning data'!$C:$C,DataViz!AT$34),
0))))</f>
        <v>0</v>
      </c>
      <c r="AU51" s="22">
        <f>IF(AU$35="Dose 1",SUMIFS('Supply planning data'!$G:$G,'Supply planning data'!$D:$D,DataViz!$B51,'Supply planning data'!$C:$C,DataViz!AU$34),
IF(AU$35="Dose 2",SUMIFS('Supply planning data'!$H:$H,'Supply planning data'!$D:$D,DataViz!$B51,'Supply planning data'!$C:$C,DataViz!AU$34),
IF(AU$35="Wastage",SUMIFS('Supply planning data'!$K:$K,'Supply planning data'!$D:$D,DataViz!$B51,'Supply planning data'!$C:$C,DataViz!AU$34),
IF(AU$35="Additional",SUMIFS('Supply planning data'!$I:$I,'Supply planning data'!$D:$D,DataViz!$B51,'Supply planning data'!$C:$C,DataViz!AU$34),
0))))</f>
        <v>0</v>
      </c>
      <c r="AV51" s="22">
        <f>IF(AV$35="Dose 1",SUMIFS('Supply planning data'!$G:$G,'Supply planning data'!$D:$D,DataViz!$B51,'Supply planning data'!$C:$C,DataViz!AV$34),
IF(AV$35="Dose 2",SUMIFS('Supply planning data'!$H:$H,'Supply planning data'!$D:$D,DataViz!$B51,'Supply planning data'!$C:$C,DataViz!AV$34),
IF(AV$35="Wastage",SUMIFS('Supply planning data'!$K:$K,'Supply planning data'!$D:$D,DataViz!$B51,'Supply planning data'!$C:$C,DataViz!AV$34),
IF(AV$35="Additional",SUMIFS('Supply planning data'!$I:$I,'Supply planning data'!$D:$D,DataViz!$B51,'Supply planning data'!$C:$C,DataViz!AV$34),
0))))</f>
        <v>0</v>
      </c>
      <c r="AW51" s="22">
        <f>IF(AW$35="Dose 1",SUMIFS('Supply planning data'!$G:$G,'Supply planning data'!$D:$D,DataViz!$B51,'Supply planning data'!$C:$C,DataViz!AW$34),
IF(AW$35="Dose 2",SUMIFS('Supply planning data'!$H:$H,'Supply planning data'!$D:$D,DataViz!$B51,'Supply planning data'!$C:$C,DataViz!AW$34),
IF(AW$35="Wastage",SUMIFS('Supply planning data'!$K:$K,'Supply planning data'!$D:$D,DataViz!$B51,'Supply planning data'!$C:$C,DataViz!AW$34),
IF(AW$35="Additional",SUMIFS('Supply planning data'!$I:$I,'Supply planning data'!$D:$D,DataViz!$B51,'Supply planning data'!$C:$C,DataViz!AW$34),
0))))</f>
        <v>0</v>
      </c>
      <c r="AX51" s="22">
        <f>IF(AX$35="Dose 1",SUMIFS('Supply planning data'!$G:$G,'Supply planning data'!$D:$D,DataViz!$B51,'Supply planning data'!$C:$C,DataViz!AX$34),
IF(AX$35="Dose 2",SUMIFS('Supply planning data'!$H:$H,'Supply planning data'!$D:$D,DataViz!$B51,'Supply planning data'!$C:$C,DataViz!AX$34),
IF(AX$35="Wastage",SUMIFS('Supply planning data'!$K:$K,'Supply planning data'!$D:$D,DataViz!$B51,'Supply planning data'!$C:$C,DataViz!AX$34),
IF(AX$35="Additional",SUMIFS('Supply planning data'!$I:$I,'Supply planning data'!$D:$D,DataViz!$B51,'Supply planning data'!$C:$C,DataViz!AX$34),
0))))</f>
        <v>0</v>
      </c>
      <c r="AY51" s="22">
        <f>IF(AY$35="Dose 1",SUMIFS('Supply planning data'!$G:$G,'Supply planning data'!$D:$D,DataViz!$B51,'Supply planning data'!$C:$C,DataViz!AY$34),
IF(AY$35="Dose 2",SUMIFS('Supply planning data'!$H:$H,'Supply planning data'!$D:$D,DataViz!$B51,'Supply planning data'!$C:$C,DataViz!AY$34),
IF(AY$35="Wastage",SUMIFS('Supply planning data'!$K:$K,'Supply planning data'!$D:$D,DataViz!$B51,'Supply planning data'!$C:$C,DataViz!AY$34),
IF(AY$35="Additional",SUMIFS('Supply planning data'!$I:$I,'Supply planning data'!$D:$D,DataViz!$B51,'Supply planning data'!$C:$C,DataViz!AY$34),
0))))</f>
        <v>0</v>
      </c>
      <c r="AZ51" s="22">
        <f>IF(AZ$35="Dose 1",SUMIFS('Supply planning data'!$G:$G,'Supply planning data'!$D:$D,DataViz!$B51,'Supply planning data'!$C:$C,DataViz!AZ$34),
IF(AZ$35="Dose 2",SUMIFS('Supply planning data'!$H:$H,'Supply planning data'!$D:$D,DataViz!$B51,'Supply planning data'!$C:$C,DataViz!AZ$34),
IF(AZ$35="Wastage",SUMIFS('Supply planning data'!$K:$K,'Supply planning data'!$D:$D,DataViz!$B51,'Supply planning data'!$C:$C,DataViz!AZ$34),
IF(AZ$35="Additional",SUMIFS('Supply planning data'!$I:$I,'Supply planning data'!$D:$D,DataViz!$B51,'Supply planning data'!$C:$C,DataViz!AZ$34),
0))))</f>
        <v>0</v>
      </c>
      <c r="BA51" s="22">
        <f>IF(BA$35="Dose 1",SUMIFS('Supply planning data'!$G:$G,'Supply planning data'!$D:$D,DataViz!$B51,'Supply planning data'!$C:$C,DataViz!BA$34),
IF(BA$35="Dose 2",SUMIFS('Supply planning data'!$H:$H,'Supply planning data'!$D:$D,DataViz!$B51,'Supply planning data'!$C:$C,DataViz!BA$34),
IF(BA$35="Wastage",SUMIFS('Supply planning data'!$K:$K,'Supply planning data'!$D:$D,DataViz!$B51,'Supply planning data'!$C:$C,DataViz!BA$34),
IF(BA$35="Additional",SUMIFS('Supply planning data'!$I:$I,'Supply planning data'!$D:$D,DataViz!$B51,'Supply planning data'!$C:$C,DataViz!BA$34),
0))))</f>
        <v>0</v>
      </c>
      <c r="BB51" s="22">
        <f>IF(BB$35="Dose 1",SUMIFS('Supply planning data'!$G:$G,'Supply planning data'!$D:$D,DataViz!$B51,'Supply planning data'!$C:$C,DataViz!BB$34),
IF(BB$35="Dose 2",SUMIFS('Supply planning data'!$H:$H,'Supply planning data'!$D:$D,DataViz!$B51,'Supply planning data'!$C:$C,DataViz!BB$34),
IF(BB$35="Wastage",SUMIFS('Supply planning data'!$K:$K,'Supply planning data'!$D:$D,DataViz!$B51,'Supply planning data'!$C:$C,DataViz!BB$34),
IF(BB$35="Additional",SUMIFS('Supply planning data'!$I:$I,'Supply planning data'!$D:$D,DataViz!$B51,'Supply planning data'!$C:$C,DataViz!BB$34),
0))))</f>
        <v>0</v>
      </c>
      <c r="BC51" s="22">
        <f>IF(BC$35="Dose 1",SUMIFS('Supply planning data'!$G:$G,'Supply planning data'!$D:$D,DataViz!$B51,'Supply planning data'!$C:$C,DataViz!BC$34),
IF(BC$35="Dose 2",SUMIFS('Supply planning data'!$H:$H,'Supply planning data'!$D:$D,DataViz!$B51,'Supply planning data'!$C:$C,DataViz!BC$34),
IF(BC$35="Wastage",SUMIFS('Supply planning data'!$K:$K,'Supply planning data'!$D:$D,DataViz!$B51,'Supply planning data'!$C:$C,DataViz!BC$34),
IF(BC$35="Additional",SUMIFS('Supply planning data'!$I:$I,'Supply planning data'!$D:$D,DataViz!$B51,'Supply planning data'!$C:$C,DataViz!BC$34),
0))))</f>
        <v>0</v>
      </c>
      <c r="BD51" s="22">
        <f>IF(BD$35="Dose 1",SUMIFS('Supply planning data'!$G:$G,'Supply planning data'!$D:$D,DataViz!$B51,'Supply planning data'!$C:$C,DataViz!BD$34),
IF(BD$35="Dose 2",SUMIFS('Supply planning data'!$H:$H,'Supply planning data'!$D:$D,DataViz!$B51,'Supply planning data'!$C:$C,DataViz!BD$34),
IF(BD$35="Wastage",SUMIFS('Supply planning data'!$K:$K,'Supply planning data'!$D:$D,DataViz!$B51,'Supply planning data'!$C:$C,DataViz!BD$34),
IF(BD$35="Additional",SUMIFS('Supply planning data'!$I:$I,'Supply planning data'!$D:$D,DataViz!$B51,'Supply planning data'!$C:$C,DataViz!BD$34),
0))))</f>
        <v>0</v>
      </c>
      <c r="BE51" s="22">
        <f>IF(BE$35="Dose 1",SUMIFS('Supply planning data'!$G:$G,'Supply planning data'!$D:$D,DataViz!$B51,'Supply planning data'!$C:$C,DataViz!BE$34),
IF(BE$35="Dose 2",SUMIFS('Supply planning data'!$H:$H,'Supply planning data'!$D:$D,DataViz!$B51,'Supply planning data'!$C:$C,DataViz!BE$34),
IF(BE$35="Wastage",SUMIFS('Supply planning data'!$K:$K,'Supply planning data'!$D:$D,DataViz!$B51,'Supply planning data'!$C:$C,DataViz!BE$34),
IF(BE$35="Additional",SUMIFS('Supply planning data'!$I:$I,'Supply planning data'!$D:$D,DataViz!$B51,'Supply planning data'!$C:$C,DataViz!BE$34),
0))))</f>
        <v>0</v>
      </c>
      <c r="BF51" s="22">
        <f>IF(BF$35="Dose 1",SUMIFS('Supply planning data'!$G:$G,'Supply planning data'!$D:$D,DataViz!$B51,'Supply planning data'!$C:$C,DataViz!BF$34),
IF(BF$35="Dose 2",SUMIFS('Supply planning data'!$H:$H,'Supply planning data'!$D:$D,DataViz!$B51,'Supply planning data'!$C:$C,DataViz!BF$34),
IF(BF$35="Wastage",SUMIFS('Supply planning data'!$K:$K,'Supply planning data'!$D:$D,DataViz!$B51,'Supply planning data'!$C:$C,DataViz!BF$34),
IF(BF$35="Additional",SUMIFS('Supply planning data'!$I:$I,'Supply planning data'!$D:$D,DataViz!$B51,'Supply planning data'!$C:$C,DataViz!BF$34),
0))))</f>
        <v>0</v>
      </c>
      <c r="BG51" s="22">
        <f>IF(BG$35="Dose 1",SUMIFS('Supply planning data'!$G:$G,'Supply planning data'!$D:$D,DataViz!$B51,'Supply planning data'!$C:$C,DataViz!BG$34),
IF(BG$35="Dose 2",SUMIFS('Supply planning data'!$H:$H,'Supply planning data'!$D:$D,DataViz!$B51,'Supply planning data'!$C:$C,DataViz!BG$34),
IF(BG$35="Wastage",SUMIFS('Supply planning data'!$K:$K,'Supply planning data'!$D:$D,DataViz!$B51,'Supply planning data'!$C:$C,DataViz!BG$34),
IF(BG$35="Additional",SUMIFS('Supply planning data'!$I:$I,'Supply planning data'!$D:$D,DataViz!$B51,'Supply planning data'!$C:$C,DataViz!BG$34),
0))))</f>
        <v>0</v>
      </c>
      <c r="BH51" s="22">
        <f>IF(BH$35="Dose 1",SUMIFS('Supply planning data'!$G:$G,'Supply planning data'!$D:$D,DataViz!$B51,'Supply planning data'!$C:$C,DataViz!BH$34),
IF(BH$35="Dose 2",SUMIFS('Supply planning data'!$H:$H,'Supply planning data'!$D:$D,DataViz!$B51,'Supply planning data'!$C:$C,DataViz!BH$34),
IF(BH$35="Wastage",SUMIFS('Supply planning data'!$K:$K,'Supply planning data'!$D:$D,DataViz!$B51,'Supply planning data'!$C:$C,DataViz!BH$34),
IF(BH$35="Additional",SUMIFS('Supply planning data'!$I:$I,'Supply planning data'!$D:$D,DataViz!$B51,'Supply planning data'!$C:$C,DataViz!BH$34),
0))))</f>
        <v>0</v>
      </c>
      <c r="BI51" s="22">
        <f>IF(BI$35="Dose 1",SUMIFS('Supply planning data'!$G:$G,'Supply planning data'!$D:$D,DataViz!$B51,'Supply planning data'!$C:$C,DataViz!BI$34),
IF(BI$35="Dose 2",SUMIFS('Supply planning data'!$H:$H,'Supply planning data'!$D:$D,DataViz!$B51,'Supply planning data'!$C:$C,DataViz!BI$34),
IF(BI$35="Wastage",SUMIFS('Supply planning data'!$K:$K,'Supply planning data'!$D:$D,DataViz!$B51,'Supply planning data'!$C:$C,DataViz!BI$34),
IF(BI$35="Additional",SUMIFS('Supply planning data'!$I:$I,'Supply planning data'!$D:$D,DataViz!$B51,'Supply planning data'!$C:$C,DataViz!BI$34),
0))))</f>
        <v>0</v>
      </c>
      <c r="BJ51" s="22">
        <f>IF(BJ$35="Dose 1",SUMIFS('Supply planning data'!$G:$G,'Supply planning data'!$D:$D,DataViz!$B51,'Supply planning data'!$C:$C,DataViz!BJ$34),
IF(BJ$35="Dose 2",SUMIFS('Supply planning data'!$H:$H,'Supply planning data'!$D:$D,DataViz!$B51,'Supply planning data'!$C:$C,DataViz!BJ$34),
IF(BJ$35="Wastage",SUMIFS('Supply planning data'!$K:$K,'Supply planning data'!$D:$D,DataViz!$B51,'Supply planning data'!$C:$C,DataViz!BJ$34),
IF(BJ$35="Additional",SUMIFS('Supply planning data'!$I:$I,'Supply planning data'!$D:$D,DataViz!$B51,'Supply planning data'!$C:$C,DataViz!BJ$34),
0))))</f>
        <v>0</v>
      </c>
      <c r="BK51" s="22">
        <f>IF(BK$35="Dose 1",SUMIFS('Supply planning data'!$G:$G,'Supply planning data'!$D:$D,DataViz!$B51,'Supply planning data'!$C:$C,DataViz!BK$34),
IF(BK$35="Dose 2",SUMIFS('Supply planning data'!$H:$H,'Supply planning data'!$D:$D,DataViz!$B51,'Supply planning data'!$C:$C,DataViz!BK$34),
IF(BK$35="Wastage",SUMIFS('Supply planning data'!$K:$K,'Supply planning data'!$D:$D,DataViz!$B51,'Supply planning data'!$C:$C,DataViz!BK$34),
IF(BK$35="Additional",SUMIFS('Supply planning data'!$I:$I,'Supply planning data'!$D:$D,DataViz!$B51,'Supply planning data'!$C:$C,DataViz!BK$34),
0))))</f>
        <v>0</v>
      </c>
      <c r="BL51" s="22">
        <f>IF(BL$35="Dose 1",SUMIFS('Supply planning data'!$G:$G,'Supply planning data'!$D:$D,DataViz!$B51,'Supply planning data'!$C:$C,DataViz!BL$34),
IF(BL$35="Dose 2",SUMIFS('Supply planning data'!$H:$H,'Supply planning data'!$D:$D,DataViz!$B51,'Supply planning data'!$C:$C,DataViz!BL$34),
IF(BL$35="Wastage",SUMIFS('Supply planning data'!$K:$K,'Supply planning data'!$D:$D,DataViz!$B51,'Supply planning data'!$C:$C,DataViz!BL$34),
IF(BL$35="Additional",SUMIFS('Supply planning data'!$I:$I,'Supply planning data'!$D:$D,DataViz!$B51,'Supply planning data'!$C:$C,DataViz!BL$34),
0))))</f>
        <v>0</v>
      </c>
    </row>
    <row r="52" spans="1:64" x14ac:dyDescent="0.25">
      <c r="A52" s="20">
        <v>14</v>
      </c>
      <c r="B52" s="21">
        <f t="shared" si="15"/>
        <v>44682</v>
      </c>
      <c r="C52" s="22">
        <f>IF(VLOOKUP(Dashboard!$M$6,Start!$B$10:$E$12,4,FALSE)&gt;0,VLOOKUP(Dashboard!$M$6,Start!$B$10:$E$12,4, FALSE),VLOOKUP(Dashboard!$M$6,Start!$B$10:$E$12,3, FALSE))</f>
        <v>60000000</v>
      </c>
      <c r="D52" s="22">
        <f>SUMIFS('Supply planning data'!M:M,'Supply planning data'!D:D,"&lt;="&amp;DataViz!B52)</f>
        <v>2720887</v>
      </c>
      <c r="E52" s="22">
        <f>IF(E$35="Dose 1",SUMIFS('Supply planning data'!$G:$G,'Supply planning data'!$D:$D,DataViz!$B52,'Supply planning data'!$C:$C,DataViz!E$34),
IF(E$35="Dose 2",SUMIFS('Supply planning data'!$H:$H,'Supply planning data'!$D:$D,DataViz!$B52,'Supply planning data'!$C:$C,DataViz!E$34),
IF(E$35="Wastage",SUMIFS('Supply planning data'!$K:$K,'Supply planning data'!$D:$D,DataViz!$B52,'Supply planning data'!$C:$C,DataViz!E$34),
IF(E$35="Additional",SUMIFS('Supply planning data'!$I:$I,'Supply planning data'!$D:$D,DataViz!$B52,'Supply planning data'!$C:$C,DataViz!E$34),
0))))</f>
        <v>0</v>
      </c>
      <c r="F52" s="22">
        <f>IF(F$35="Dose 1",SUMIFS('Supply planning data'!$G:$G,'Supply planning data'!$D:$D,DataViz!$B52,'Supply planning data'!$C:$C,DataViz!F$34),
IF(F$35="Dose 2",SUMIFS('Supply planning data'!$H:$H,'Supply planning data'!$D:$D,DataViz!$B52,'Supply planning data'!$C:$C,DataViz!F$34),
IF(F$35="Wastage",SUMIFS('Supply planning data'!$K:$K,'Supply planning data'!$D:$D,DataViz!$B52,'Supply planning data'!$C:$C,DataViz!F$34),
IF(F$35="Additional",SUMIFS('Supply planning data'!$I:$I,'Supply planning data'!$D:$D,DataViz!$B52,'Supply planning data'!$C:$C,DataViz!F$34),
0))))</f>
        <v>0</v>
      </c>
      <c r="G52" s="22">
        <f>IF(G$35="Dose 1",SUMIFS('Supply planning data'!$G:$G,'Supply planning data'!$D:$D,DataViz!$B52,'Supply planning data'!$C:$C,DataViz!G$34),
IF(G$35="Dose 2",SUMIFS('Supply planning data'!$H:$H,'Supply planning data'!$D:$D,DataViz!$B52,'Supply planning data'!$C:$C,DataViz!G$34),
IF(G$35="Wastage",SUMIFS('Supply planning data'!$K:$K,'Supply planning data'!$D:$D,DataViz!$B52,'Supply planning data'!$C:$C,DataViz!G$34),
IF(G$35="Additional",SUMIFS('Supply planning data'!$I:$I,'Supply planning data'!$D:$D,DataViz!$B52,'Supply planning data'!$C:$C,DataViz!G$34),
0))))</f>
        <v>0</v>
      </c>
      <c r="H52" s="22">
        <f>IF(H$35="Dose 1",SUMIFS('Supply planning data'!$G:$G,'Supply planning data'!$D:$D,DataViz!$B52,'Supply planning data'!$C:$C,DataViz!H$34),
IF(H$35="Dose 2",SUMIFS('Supply planning data'!$H:$H,'Supply planning data'!$D:$D,DataViz!$B52,'Supply planning data'!$C:$C,DataViz!H$34),
IF(H$35="Wastage",SUMIFS('Supply planning data'!$K:$K,'Supply planning data'!$D:$D,DataViz!$B52,'Supply planning data'!$C:$C,DataViz!H$34),
IF(H$35="Additional",SUMIFS('Supply planning data'!$I:$I,'Supply planning data'!$D:$D,DataViz!$B52,'Supply planning data'!$C:$C,DataViz!H$34),
0))))</f>
        <v>0</v>
      </c>
      <c r="I52" s="22">
        <f>IF(I$35="Dose 1",SUMIFS('Supply planning data'!$G:$G,'Supply planning data'!$D:$D,DataViz!$B52,'Supply planning data'!$C:$C,DataViz!I$34),
IF(I$35="Dose 2",SUMIFS('Supply planning data'!$H:$H,'Supply planning data'!$D:$D,DataViz!$B52,'Supply planning data'!$C:$C,DataViz!I$34),
IF(I$35="Wastage",SUMIFS('Supply planning data'!$K:$K,'Supply planning data'!$D:$D,DataViz!$B52,'Supply planning data'!$C:$C,DataViz!I$34),
IF(I$35="Additional",SUMIFS('Supply planning data'!$I:$I,'Supply planning data'!$D:$D,DataViz!$B52,'Supply planning data'!$C:$C,DataViz!I$34),
0))))</f>
        <v>0</v>
      </c>
      <c r="J52" s="22">
        <f>IF(J$35="Dose 1",SUMIFS('Supply planning data'!$G:$G,'Supply planning data'!$D:$D,DataViz!$B52,'Supply planning data'!$C:$C,DataViz!J$34),
IF(J$35="Dose 2",SUMIFS('Supply planning data'!$H:$H,'Supply planning data'!$D:$D,DataViz!$B52,'Supply planning data'!$C:$C,DataViz!J$34),
IF(J$35="Wastage",SUMIFS('Supply planning data'!$K:$K,'Supply planning data'!$D:$D,DataViz!$B52,'Supply planning data'!$C:$C,DataViz!J$34),
IF(J$35="Additional",SUMIFS('Supply planning data'!$I:$I,'Supply planning data'!$D:$D,DataViz!$B52,'Supply planning data'!$C:$C,DataViz!J$34),
0))))</f>
        <v>0</v>
      </c>
      <c r="K52" s="22">
        <f>IF(K$35="Dose 1",SUMIFS('Supply planning data'!$G:$G,'Supply planning data'!$D:$D,DataViz!$B52,'Supply planning data'!$C:$C,DataViz!K$34),
IF(K$35="Dose 2",SUMIFS('Supply planning data'!$H:$H,'Supply planning data'!$D:$D,DataViz!$B52,'Supply planning data'!$C:$C,DataViz!K$34),
IF(K$35="Wastage",SUMIFS('Supply planning data'!$K:$K,'Supply planning data'!$D:$D,DataViz!$B52,'Supply planning data'!$C:$C,DataViz!K$34),
IF(K$35="Additional",SUMIFS('Supply planning data'!$I:$I,'Supply planning data'!$D:$D,DataViz!$B52,'Supply planning data'!$C:$C,DataViz!K$34),
0))))</f>
        <v>0</v>
      </c>
      <c r="L52" s="22">
        <f>IF(L$35="Dose 1",SUMIFS('Supply planning data'!$G:$G,'Supply planning data'!$D:$D,DataViz!$B52,'Supply planning data'!$C:$C,DataViz!L$34),
IF(L$35="Dose 2",SUMIFS('Supply planning data'!$H:$H,'Supply planning data'!$D:$D,DataViz!$B52,'Supply planning data'!$C:$C,DataViz!L$34),
IF(L$35="Wastage",SUMIFS('Supply planning data'!$K:$K,'Supply planning data'!$D:$D,DataViz!$B52,'Supply planning data'!$C:$C,DataViz!L$34),
IF(L$35="Additional",SUMIFS('Supply planning data'!$I:$I,'Supply planning data'!$D:$D,DataViz!$B52,'Supply planning data'!$C:$C,DataViz!L$34),
0))))</f>
        <v>0</v>
      </c>
      <c r="M52" s="22">
        <f>IF(M$35="Dose 1",SUMIFS('Supply planning data'!$G:$G,'Supply planning data'!$D:$D,DataViz!$B52,'Supply planning data'!$C:$C,DataViz!M$34),
IF(M$35="Dose 2",SUMIFS('Supply planning data'!$H:$H,'Supply planning data'!$D:$D,DataViz!$B52,'Supply planning data'!$C:$C,DataViz!M$34),
IF(M$35="Wastage",SUMIFS('Supply planning data'!$K:$K,'Supply planning data'!$D:$D,DataViz!$B52,'Supply planning data'!$C:$C,DataViz!M$34),
IF(M$35="Additional",SUMIFS('Supply planning data'!$I:$I,'Supply planning data'!$D:$D,DataViz!$B52,'Supply planning data'!$C:$C,DataViz!M$34),
0))))</f>
        <v>0</v>
      </c>
      <c r="N52" s="22">
        <f>IF(N$35="Dose 1",SUMIFS('Supply planning data'!$G:$G,'Supply planning data'!$D:$D,DataViz!$B52,'Supply planning data'!$C:$C,DataViz!N$34),
IF(N$35="Dose 2",SUMIFS('Supply planning data'!$H:$H,'Supply planning data'!$D:$D,DataViz!$B52,'Supply planning data'!$C:$C,DataViz!N$34),
IF(N$35="Wastage",SUMIFS('Supply planning data'!$K:$K,'Supply planning data'!$D:$D,DataViz!$B52,'Supply planning data'!$C:$C,DataViz!N$34),
IF(N$35="Additional",SUMIFS('Supply planning data'!$I:$I,'Supply planning data'!$D:$D,DataViz!$B52,'Supply planning data'!$C:$C,DataViz!N$34),
0))))</f>
        <v>0</v>
      </c>
      <c r="O52" s="22">
        <f>IF(O$35="Dose 1",SUMIFS('Supply planning data'!$G:$G,'Supply planning data'!$D:$D,DataViz!$B52,'Supply planning data'!$C:$C,DataViz!O$34),
IF(O$35="Dose 2",SUMIFS('Supply planning data'!$H:$H,'Supply planning data'!$D:$D,DataViz!$B52,'Supply planning data'!$C:$C,DataViz!O$34),
IF(O$35="Wastage",SUMIFS('Supply planning data'!$K:$K,'Supply planning data'!$D:$D,DataViz!$B52,'Supply planning data'!$C:$C,DataViz!O$34),
IF(O$35="Additional",SUMIFS('Supply planning data'!$I:$I,'Supply planning data'!$D:$D,DataViz!$B52,'Supply planning data'!$C:$C,DataViz!O$34),
0))))</f>
        <v>0</v>
      </c>
      <c r="P52" s="22">
        <f>IF(P$35="Dose 1",SUMIFS('Supply planning data'!$G:$G,'Supply planning data'!$D:$D,DataViz!$B52,'Supply planning data'!$C:$C,DataViz!P$34),
IF(P$35="Dose 2",SUMIFS('Supply planning data'!$H:$H,'Supply planning data'!$D:$D,DataViz!$B52,'Supply planning data'!$C:$C,DataViz!P$34),
IF(P$35="Wastage",SUMIFS('Supply planning data'!$K:$K,'Supply planning data'!$D:$D,DataViz!$B52,'Supply planning data'!$C:$C,DataViz!P$34),
IF(P$35="Additional",SUMIFS('Supply planning data'!$I:$I,'Supply planning data'!$D:$D,DataViz!$B52,'Supply planning data'!$C:$C,DataViz!P$34),
0))))</f>
        <v>0</v>
      </c>
      <c r="Q52" s="22">
        <f>IF(Q$35="Dose 1",SUMIFS('Supply planning data'!$G:$G,'Supply planning data'!$D:$D,DataViz!$B52,'Supply planning data'!$C:$C,DataViz!Q$34),
IF(Q$35="Dose 2",SUMIFS('Supply planning data'!$H:$H,'Supply planning data'!$D:$D,DataViz!$B52,'Supply planning data'!$C:$C,DataViz!Q$34),
IF(Q$35="Wastage",SUMIFS('Supply planning data'!$K:$K,'Supply planning data'!$D:$D,DataViz!$B52,'Supply planning data'!$C:$C,DataViz!Q$34),
IF(Q$35="Additional",SUMIFS('Supply planning data'!$I:$I,'Supply planning data'!$D:$D,DataViz!$B52,'Supply planning data'!$C:$C,DataViz!Q$34),
0))))</f>
        <v>0</v>
      </c>
      <c r="R52" s="22">
        <f>IF(R$35="Dose 1",SUMIFS('Supply planning data'!$G:$G,'Supply planning data'!$D:$D,DataViz!$B52,'Supply planning data'!$C:$C,DataViz!R$34),
IF(R$35="Dose 2",SUMIFS('Supply planning data'!$H:$H,'Supply planning data'!$D:$D,DataViz!$B52,'Supply planning data'!$C:$C,DataViz!R$34),
IF(R$35="Wastage",SUMIFS('Supply planning data'!$K:$K,'Supply planning data'!$D:$D,DataViz!$B52,'Supply planning data'!$C:$C,DataViz!R$34),
IF(R$35="Additional",SUMIFS('Supply planning data'!$I:$I,'Supply planning data'!$D:$D,DataViz!$B52,'Supply planning data'!$C:$C,DataViz!R$34),
0))))</f>
        <v>0</v>
      </c>
      <c r="S52" s="22">
        <f>IF(S$35="Dose 1",SUMIFS('Supply planning data'!$G:$G,'Supply planning data'!$D:$D,DataViz!$B52,'Supply planning data'!$C:$C,DataViz!S$34),
IF(S$35="Dose 2",SUMIFS('Supply planning data'!$H:$H,'Supply planning data'!$D:$D,DataViz!$B52,'Supply planning data'!$C:$C,DataViz!S$34),
IF(S$35="Wastage",SUMIFS('Supply planning data'!$K:$K,'Supply planning data'!$D:$D,DataViz!$B52,'Supply planning data'!$C:$C,DataViz!S$34),
IF(S$35="Additional",SUMIFS('Supply planning data'!$I:$I,'Supply planning data'!$D:$D,DataViz!$B52,'Supply planning data'!$C:$C,DataViz!S$34),
0))))</f>
        <v>0</v>
      </c>
      <c r="T52" s="22">
        <f>IF(T$35="Dose 1",SUMIFS('Supply planning data'!$G:$G,'Supply planning data'!$D:$D,DataViz!$B52,'Supply planning data'!$C:$C,DataViz!T$34),
IF(T$35="Dose 2",SUMIFS('Supply planning data'!$H:$H,'Supply planning data'!$D:$D,DataViz!$B52,'Supply planning data'!$C:$C,DataViz!T$34),
IF(T$35="Wastage",SUMIFS('Supply planning data'!$K:$K,'Supply planning data'!$D:$D,DataViz!$B52,'Supply planning data'!$C:$C,DataViz!T$34),
IF(T$35="Additional",SUMIFS('Supply planning data'!$I:$I,'Supply planning data'!$D:$D,DataViz!$B52,'Supply planning data'!$C:$C,DataViz!T$34),
0))))</f>
        <v>0</v>
      </c>
      <c r="U52" s="22">
        <f>IF(U$35="Dose 1",SUMIFS('Supply planning data'!$G:$G,'Supply planning data'!$D:$D,DataViz!$B52,'Supply planning data'!$C:$C,DataViz!U$34),
IF(U$35="Dose 2",SUMIFS('Supply planning data'!$H:$H,'Supply planning data'!$D:$D,DataViz!$B52,'Supply planning data'!$C:$C,DataViz!U$34),
IF(U$35="Wastage",SUMIFS('Supply planning data'!$K:$K,'Supply planning data'!$D:$D,DataViz!$B52,'Supply planning data'!$C:$C,DataViz!U$34),
IF(U$35="Additional",SUMIFS('Supply planning data'!$I:$I,'Supply planning data'!$D:$D,DataViz!$B52,'Supply planning data'!$C:$C,DataViz!U$34),
0))))</f>
        <v>0</v>
      </c>
      <c r="V52" s="22">
        <f>IF(V$35="Dose 1",SUMIFS('Supply planning data'!$G:$G,'Supply planning data'!$D:$D,DataViz!$B52,'Supply planning data'!$C:$C,DataViz!V$34),
IF(V$35="Dose 2",SUMIFS('Supply planning data'!$H:$H,'Supply planning data'!$D:$D,DataViz!$B52,'Supply planning data'!$C:$C,DataViz!V$34),
IF(V$35="Wastage",SUMIFS('Supply planning data'!$K:$K,'Supply planning data'!$D:$D,DataViz!$B52,'Supply planning data'!$C:$C,DataViz!V$34),
IF(V$35="Additional",SUMIFS('Supply planning data'!$I:$I,'Supply planning data'!$D:$D,DataViz!$B52,'Supply planning data'!$C:$C,DataViz!V$34),
0))))</f>
        <v>0</v>
      </c>
      <c r="W52" s="22">
        <f>IF(W$35="Dose 1",SUMIFS('Supply planning data'!$G:$G,'Supply planning data'!$D:$D,DataViz!$B52,'Supply planning data'!$C:$C,DataViz!W$34),
IF(W$35="Dose 2",SUMIFS('Supply planning data'!$H:$H,'Supply planning data'!$D:$D,DataViz!$B52,'Supply planning data'!$C:$C,DataViz!W$34),
IF(W$35="Wastage",SUMIFS('Supply planning data'!$K:$K,'Supply planning data'!$D:$D,DataViz!$B52,'Supply planning data'!$C:$C,DataViz!W$34),
IF(W$35="Additional",SUMIFS('Supply planning data'!$I:$I,'Supply planning data'!$D:$D,DataViz!$B52,'Supply planning data'!$C:$C,DataViz!W$34),
0))))</f>
        <v>0</v>
      </c>
      <c r="X52" s="22">
        <f>IF(X$35="Dose 1",SUMIFS('Supply planning data'!$G:$G,'Supply planning data'!$D:$D,DataViz!$B52,'Supply planning data'!$C:$C,DataViz!X$34),
IF(X$35="Dose 2",SUMIFS('Supply planning data'!$H:$H,'Supply planning data'!$D:$D,DataViz!$B52,'Supply planning data'!$C:$C,DataViz!X$34),
IF(X$35="Wastage",SUMIFS('Supply planning data'!$K:$K,'Supply planning data'!$D:$D,DataViz!$B52,'Supply planning data'!$C:$C,DataViz!X$34),
IF(X$35="Additional",SUMIFS('Supply planning data'!$I:$I,'Supply planning data'!$D:$D,DataViz!$B52,'Supply planning data'!$C:$C,DataViz!X$34),
0))))</f>
        <v>0</v>
      </c>
      <c r="Y52" s="22">
        <f>IF(Y$35="Dose 1",SUMIFS('Supply planning data'!$G:$G,'Supply planning data'!$D:$D,DataViz!$B52,'Supply planning data'!$C:$C,DataViz!Y$34),
IF(Y$35="Dose 2",SUMIFS('Supply planning data'!$H:$H,'Supply planning data'!$D:$D,DataViz!$B52,'Supply planning data'!$C:$C,DataViz!Y$34),
IF(Y$35="Wastage",SUMIFS('Supply planning data'!$K:$K,'Supply planning data'!$D:$D,DataViz!$B52,'Supply planning data'!$C:$C,DataViz!Y$34),
IF(Y$35="Additional",SUMIFS('Supply planning data'!$I:$I,'Supply planning data'!$D:$D,DataViz!$B52,'Supply planning data'!$C:$C,DataViz!Y$34),
0))))</f>
        <v>0</v>
      </c>
      <c r="Z52" s="22">
        <f>IF(Z$35="Dose 1",SUMIFS('Supply planning data'!$G:$G,'Supply planning data'!$D:$D,DataViz!$B52,'Supply planning data'!$C:$C,DataViz!Z$34),
IF(Z$35="Dose 2",SUMIFS('Supply planning data'!$H:$H,'Supply planning data'!$D:$D,DataViz!$B52,'Supply planning data'!$C:$C,DataViz!Z$34),
IF(Z$35="Wastage",SUMIFS('Supply planning data'!$K:$K,'Supply planning data'!$D:$D,DataViz!$B52,'Supply planning data'!$C:$C,DataViz!Z$34),
IF(Z$35="Additional",SUMIFS('Supply planning data'!$I:$I,'Supply planning data'!$D:$D,DataViz!$B52,'Supply planning data'!$C:$C,DataViz!Z$34),
0))))</f>
        <v>0</v>
      </c>
      <c r="AA52" s="22">
        <f>IF(AA$35="Dose 1",SUMIFS('Supply planning data'!$G:$G,'Supply planning data'!$D:$D,DataViz!$B52,'Supply planning data'!$C:$C,DataViz!AA$34),
IF(AA$35="Dose 2",SUMIFS('Supply planning data'!$H:$H,'Supply planning data'!$D:$D,DataViz!$B52,'Supply planning data'!$C:$C,DataViz!AA$34),
IF(AA$35="Wastage",SUMIFS('Supply planning data'!$K:$K,'Supply planning data'!$D:$D,DataViz!$B52,'Supply planning data'!$C:$C,DataViz!AA$34),
IF(AA$35="Additional",SUMIFS('Supply planning data'!$I:$I,'Supply planning data'!$D:$D,DataViz!$B52,'Supply planning data'!$C:$C,DataViz!AA$34),
0))))</f>
        <v>0</v>
      </c>
      <c r="AB52" s="22">
        <f>IF(AB$35="Dose 1",SUMIFS('Supply planning data'!$G:$G,'Supply planning data'!$D:$D,DataViz!$B52,'Supply planning data'!$C:$C,DataViz!AB$34),
IF(AB$35="Dose 2",SUMIFS('Supply planning data'!$H:$H,'Supply planning data'!$D:$D,DataViz!$B52,'Supply planning data'!$C:$C,DataViz!AB$34),
IF(AB$35="Wastage",SUMIFS('Supply planning data'!$K:$K,'Supply planning data'!$D:$D,DataViz!$B52,'Supply planning data'!$C:$C,DataViz!AB$34),
IF(AB$35="Additional",SUMIFS('Supply planning data'!$I:$I,'Supply planning data'!$D:$D,DataViz!$B52,'Supply planning data'!$C:$C,DataViz!AB$34),
0))))</f>
        <v>0</v>
      </c>
      <c r="AC52" s="22">
        <f>IF(AC$35="Dose 1",SUMIFS('Supply planning data'!$G:$G,'Supply planning data'!$D:$D,DataViz!$B52,'Supply planning data'!$C:$C,DataViz!AC$34),
IF(AC$35="Dose 2",SUMIFS('Supply planning data'!$H:$H,'Supply planning data'!$D:$D,DataViz!$B52,'Supply planning data'!$C:$C,DataViz!AC$34),
IF(AC$35="Wastage",SUMIFS('Supply planning data'!$K:$K,'Supply planning data'!$D:$D,DataViz!$B52,'Supply planning data'!$C:$C,DataViz!AC$34),
IF(AC$35="Additional",SUMIFS('Supply planning data'!$I:$I,'Supply planning data'!$D:$D,DataViz!$B52,'Supply planning data'!$C:$C,DataViz!AC$34),
0))))</f>
        <v>0</v>
      </c>
      <c r="AD52" s="22">
        <f>IF(AD$35="Dose 1",SUMIFS('Supply planning data'!$G:$G,'Supply planning data'!$D:$D,DataViz!$B52,'Supply planning data'!$C:$C,DataViz!AD$34),
IF(AD$35="Dose 2",SUMIFS('Supply planning data'!$H:$H,'Supply planning data'!$D:$D,DataViz!$B52,'Supply planning data'!$C:$C,DataViz!AD$34),
IF(AD$35="Wastage",SUMIFS('Supply planning data'!$K:$K,'Supply planning data'!$D:$D,DataViz!$B52,'Supply planning data'!$C:$C,DataViz!AD$34),
IF(AD$35="Additional",SUMIFS('Supply planning data'!$I:$I,'Supply planning data'!$D:$D,DataViz!$B52,'Supply planning data'!$C:$C,DataViz!AD$34),
0))))</f>
        <v>0</v>
      </c>
      <c r="AE52" s="22">
        <f>IF(AE$35="Dose 1",SUMIFS('Supply planning data'!$G:$G,'Supply planning data'!$D:$D,DataViz!$B52,'Supply planning data'!$C:$C,DataViz!AE$34),
IF(AE$35="Dose 2",SUMIFS('Supply planning data'!$H:$H,'Supply planning data'!$D:$D,DataViz!$B52,'Supply planning data'!$C:$C,DataViz!AE$34),
IF(AE$35="Wastage",SUMIFS('Supply planning data'!$K:$K,'Supply planning data'!$D:$D,DataViz!$B52,'Supply planning data'!$C:$C,DataViz!AE$34),
IF(AE$35="Additional",SUMIFS('Supply planning data'!$I:$I,'Supply planning data'!$D:$D,DataViz!$B52,'Supply planning data'!$C:$C,DataViz!AE$34),
0))))</f>
        <v>0</v>
      </c>
      <c r="AF52" s="22">
        <f>IF(AF$35="Dose 1",SUMIFS('Supply planning data'!$G:$G,'Supply planning data'!$D:$D,DataViz!$B52,'Supply planning data'!$C:$C,DataViz!AF$34),
IF(AF$35="Dose 2",SUMIFS('Supply planning data'!$H:$H,'Supply planning data'!$D:$D,DataViz!$B52,'Supply planning data'!$C:$C,DataViz!AF$34),
IF(AF$35="Wastage",SUMIFS('Supply planning data'!$K:$K,'Supply planning data'!$D:$D,DataViz!$B52,'Supply planning data'!$C:$C,DataViz!AF$34),
IF(AF$35="Additional",SUMIFS('Supply planning data'!$I:$I,'Supply planning data'!$D:$D,DataViz!$B52,'Supply planning data'!$C:$C,DataViz!AF$34),
0))))</f>
        <v>0</v>
      </c>
      <c r="AG52" s="22">
        <f>IF(AG$35="Dose 1",SUMIFS('Supply planning data'!$G:$G,'Supply planning data'!$D:$D,DataViz!$B52,'Supply planning data'!$C:$C,DataViz!AG$34),
IF(AG$35="Dose 2",SUMIFS('Supply planning data'!$H:$H,'Supply planning data'!$D:$D,DataViz!$B52,'Supply planning data'!$C:$C,DataViz!AG$34),
IF(AG$35="Wastage",SUMIFS('Supply planning data'!$K:$K,'Supply planning data'!$D:$D,DataViz!$B52,'Supply planning data'!$C:$C,DataViz!AG$34),
IF(AG$35="Additional",SUMIFS('Supply planning data'!$I:$I,'Supply planning data'!$D:$D,DataViz!$B52,'Supply planning data'!$C:$C,DataViz!AG$34),
0))))</f>
        <v>0</v>
      </c>
      <c r="AH52" s="22">
        <f>IF(AH$35="Dose 1",SUMIFS('Supply planning data'!$G:$G,'Supply planning data'!$D:$D,DataViz!$B52,'Supply planning data'!$C:$C,DataViz!AH$34),
IF(AH$35="Dose 2",SUMIFS('Supply planning data'!$H:$H,'Supply planning data'!$D:$D,DataViz!$B52,'Supply planning data'!$C:$C,DataViz!AH$34),
IF(AH$35="Wastage",SUMIFS('Supply planning data'!$K:$K,'Supply planning data'!$D:$D,DataViz!$B52,'Supply planning data'!$C:$C,DataViz!AH$34),
IF(AH$35="Additional",SUMIFS('Supply planning data'!$I:$I,'Supply planning data'!$D:$D,DataViz!$B52,'Supply planning data'!$C:$C,DataViz!AH$34),
0))))</f>
        <v>0</v>
      </c>
      <c r="AI52" s="22">
        <f>IF(AI$35="Dose 1",SUMIFS('Supply planning data'!$G:$G,'Supply planning data'!$D:$D,DataViz!$B52,'Supply planning data'!$C:$C,DataViz!AI$34),
IF(AI$35="Dose 2",SUMIFS('Supply planning data'!$H:$H,'Supply planning data'!$D:$D,DataViz!$B52,'Supply planning data'!$C:$C,DataViz!AI$34),
IF(AI$35="Wastage",SUMIFS('Supply planning data'!$K:$K,'Supply planning data'!$D:$D,DataViz!$B52,'Supply planning data'!$C:$C,DataViz!AI$34),
IF(AI$35="Additional",SUMIFS('Supply planning data'!$I:$I,'Supply planning data'!$D:$D,DataViz!$B52,'Supply planning data'!$C:$C,DataViz!AI$34),
0))))</f>
        <v>0</v>
      </c>
      <c r="AJ52" s="22">
        <f>IF(AJ$35="Dose 1",SUMIFS('Supply planning data'!$G:$G,'Supply planning data'!$D:$D,DataViz!$B52,'Supply planning data'!$C:$C,DataViz!AJ$34),
IF(AJ$35="Dose 2",SUMIFS('Supply planning data'!$H:$H,'Supply planning data'!$D:$D,DataViz!$B52,'Supply planning data'!$C:$C,DataViz!AJ$34),
IF(AJ$35="Wastage",SUMIFS('Supply planning data'!$K:$K,'Supply planning data'!$D:$D,DataViz!$B52,'Supply planning data'!$C:$C,DataViz!AJ$34),
IF(AJ$35="Additional",SUMIFS('Supply planning data'!$I:$I,'Supply planning data'!$D:$D,DataViz!$B52,'Supply planning data'!$C:$C,DataViz!AJ$34),
0))))</f>
        <v>0</v>
      </c>
      <c r="AK52" s="22">
        <f>IF(AK$35="Dose 1",SUMIFS('Supply planning data'!$G:$G,'Supply planning data'!$D:$D,DataViz!$B52,'Supply planning data'!$C:$C,DataViz!AK$34),
IF(AK$35="Dose 2",SUMIFS('Supply planning data'!$H:$H,'Supply planning data'!$D:$D,DataViz!$B52,'Supply planning data'!$C:$C,DataViz!AK$34),
IF(AK$35="Wastage",SUMIFS('Supply planning data'!$K:$K,'Supply planning data'!$D:$D,DataViz!$B52,'Supply planning data'!$C:$C,DataViz!AK$34),
IF(AK$35="Additional",SUMIFS('Supply planning data'!$I:$I,'Supply planning data'!$D:$D,DataViz!$B52,'Supply planning data'!$C:$C,DataViz!AK$34),
0))))</f>
        <v>0</v>
      </c>
      <c r="AL52" s="22">
        <f>IF(AL$35="Dose 1",SUMIFS('Supply planning data'!$G:$G,'Supply planning data'!$D:$D,DataViz!$B52,'Supply planning data'!$C:$C,DataViz!AL$34),
IF(AL$35="Dose 2",SUMIFS('Supply planning data'!$H:$H,'Supply planning data'!$D:$D,DataViz!$B52,'Supply planning data'!$C:$C,DataViz!AL$34),
IF(AL$35="Wastage",SUMIFS('Supply planning data'!$K:$K,'Supply planning data'!$D:$D,DataViz!$B52,'Supply planning data'!$C:$C,DataViz!AL$34),
IF(AL$35="Additional",SUMIFS('Supply planning data'!$I:$I,'Supply planning data'!$D:$D,DataViz!$B52,'Supply planning data'!$C:$C,DataViz!AL$34),
0))))</f>
        <v>0</v>
      </c>
      <c r="AM52" s="22">
        <f>IF(AM$35="Dose 1",SUMIFS('Supply planning data'!$G:$G,'Supply planning data'!$D:$D,DataViz!$B52,'Supply planning data'!$C:$C,DataViz!AM$34),
IF(AM$35="Dose 2",SUMIFS('Supply planning data'!$H:$H,'Supply planning data'!$D:$D,DataViz!$B52,'Supply planning data'!$C:$C,DataViz!AM$34),
IF(AM$35="Wastage",SUMIFS('Supply planning data'!$K:$K,'Supply planning data'!$D:$D,DataViz!$B52,'Supply planning data'!$C:$C,DataViz!AM$34),
IF(AM$35="Additional",SUMIFS('Supply planning data'!$I:$I,'Supply planning data'!$D:$D,DataViz!$B52,'Supply planning data'!$C:$C,DataViz!AM$34),
0))))</f>
        <v>0</v>
      </c>
      <c r="AN52" s="22">
        <f>IF(AN$35="Dose 1",SUMIFS('Supply planning data'!$G:$G,'Supply planning data'!$D:$D,DataViz!$B52,'Supply planning data'!$C:$C,DataViz!AN$34),
IF(AN$35="Dose 2",SUMIFS('Supply planning data'!$H:$H,'Supply planning data'!$D:$D,DataViz!$B52,'Supply planning data'!$C:$C,DataViz!AN$34),
IF(AN$35="Wastage",SUMIFS('Supply planning data'!$K:$K,'Supply planning data'!$D:$D,DataViz!$B52,'Supply planning data'!$C:$C,DataViz!AN$34),
IF(AN$35="Additional",SUMIFS('Supply planning data'!$I:$I,'Supply planning data'!$D:$D,DataViz!$B52,'Supply planning data'!$C:$C,DataViz!AN$34),
0))))</f>
        <v>0</v>
      </c>
      <c r="AO52" s="22">
        <f>IF(AO$35="Dose 1",SUMIFS('Supply planning data'!$G:$G,'Supply planning data'!$D:$D,DataViz!$B52,'Supply planning data'!$C:$C,DataViz!AO$34),
IF(AO$35="Dose 2",SUMIFS('Supply planning data'!$H:$H,'Supply planning data'!$D:$D,DataViz!$B52,'Supply planning data'!$C:$C,DataViz!AO$34),
IF(AO$35="Wastage",SUMIFS('Supply planning data'!$K:$K,'Supply planning data'!$D:$D,DataViz!$B52,'Supply planning data'!$C:$C,DataViz!AO$34),
IF(AO$35="Additional",SUMIFS('Supply planning data'!$I:$I,'Supply planning data'!$D:$D,DataViz!$B52,'Supply planning data'!$C:$C,DataViz!AO$34),
0))))</f>
        <v>0</v>
      </c>
      <c r="AP52" s="22">
        <f>IF(AP$35="Dose 1",SUMIFS('Supply planning data'!$G:$G,'Supply planning data'!$D:$D,DataViz!$B52,'Supply planning data'!$C:$C,DataViz!AP$34),
IF(AP$35="Dose 2",SUMIFS('Supply planning data'!$H:$H,'Supply planning data'!$D:$D,DataViz!$B52,'Supply planning data'!$C:$C,DataViz!AP$34),
IF(AP$35="Wastage",SUMIFS('Supply planning data'!$K:$K,'Supply planning data'!$D:$D,DataViz!$B52,'Supply planning data'!$C:$C,DataViz!AP$34),
IF(AP$35="Additional",SUMIFS('Supply planning data'!$I:$I,'Supply planning data'!$D:$D,DataViz!$B52,'Supply planning data'!$C:$C,DataViz!AP$34),
0))))</f>
        <v>0</v>
      </c>
      <c r="AQ52" s="22">
        <f>IF(AQ$35="Dose 1",SUMIFS('Supply planning data'!$G:$G,'Supply planning data'!$D:$D,DataViz!$B52,'Supply planning data'!$C:$C,DataViz!AQ$34),
IF(AQ$35="Dose 2",SUMIFS('Supply planning data'!$H:$H,'Supply planning data'!$D:$D,DataViz!$B52,'Supply planning data'!$C:$C,DataViz!AQ$34),
IF(AQ$35="Wastage",SUMIFS('Supply planning data'!$K:$K,'Supply planning data'!$D:$D,DataViz!$B52,'Supply planning data'!$C:$C,DataViz!AQ$34),
IF(AQ$35="Additional",SUMIFS('Supply planning data'!$I:$I,'Supply planning data'!$D:$D,DataViz!$B52,'Supply planning data'!$C:$C,DataViz!AQ$34),
0))))</f>
        <v>0</v>
      </c>
      <c r="AR52" s="22">
        <f>IF(AR$35="Dose 1",SUMIFS('Supply planning data'!$G:$G,'Supply planning data'!$D:$D,DataViz!$B52,'Supply planning data'!$C:$C,DataViz!AR$34),
IF(AR$35="Dose 2",SUMIFS('Supply planning data'!$H:$H,'Supply planning data'!$D:$D,DataViz!$B52,'Supply planning data'!$C:$C,DataViz!AR$34),
IF(AR$35="Wastage",SUMIFS('Supply planning data'!$K:$K,'Supply planning data'!$D:$D,DataViz!$B52,'Supply planning data'!$C:$C,DataViz!AR$34),
IF(AR$35="Additional",SUMIFS('Supply planning data'!$I:$I,'Supply planning data'!$D:$D,DataViz!$B52,'Supply planning data'!$C:$C,DataViz!AR$34),
0))))</f>
        <v>0</v>
      </c>
      <c r="AS52" s="22">
        <f>IF(AS$35="Dose 1",SUMIFS('Supply planning data'!$G:$G,'Supply planning data'!$D:$D,DataViz!$B52,'Supply planning data'!$C:$C,DataViz!AS$34),
IF(AS$35="Dose 2",SUMIFS('Supply planning data'!$H:$H,'Supply planning data'!$D:$D,DataViz!$B52,'Supply planning data'!$C:$C,DataViz!AS$34),
IF(AS$35="Wastage",SUMIFS('Supply planning data'!$K:$K,'Supply planning data'!$D:$D,DataViz!$B52,'Supply planning data'!$C:$C,DataViz!AS$34),
IF(AS$35="Additional",SUMIFS('Supply planning data'!$I:$I,'Supply planning data'!$D:$D,DataViz!$B52,'Supply planning data'!$C:$C,DataViz!AS$34),
0))))</f>
        <v>0</v>
      </c>
      <c r="AT52" s="22">
        <f>IF(AT$35="Dose 1",SUMIFS('Supply planning data'!$G:$G,'Supply planning data'!$D:$D,DataViz!$B52,'Supply planning data'!$C:$C,DataViz!AT$34),
IF(AT$35="Dose 2",SUMIFS('Supply planning data'!$H:$H,'Supply planning data'!$D:$D,DataViz!$B52,'Supply planning data'!$C:$C,DataViz!AT$34),
IF(AT$35="Wastage",SUMIFS('Supply planning data'!$K:$K,'Supply planning data'!$D:$D,DataViz!$B52,'Supply planning data'!$C:$C,DataViz!AT$34),
IF(AT$35="Additional",SUMIFS('Supply planning data'!$I:$I,'Supply planning data'!$D:$D,DataViz!$B52,'Supply planning data'!$C:$C,DataViz!AT$34),
0))))</f>
        <v>0</v>
      </c>
      <c r="AU52" s="22">
        <f>IF(AU$35="Dose 1",SUMIFS('Supply planning data'!$G:$G,'Supply planning data'!$D:$D,DataViz!$B52,'Supply planning data'!$C:$C,DataViz!AU$34),
IF(AU$35="Dose 2",SUMIFS('Supply planning data'!$H:$H,'Supply planning data'!$D:$D,DataViz!$B52,'Supply planning data'!$C:$C,DataViz!AU$34),
IF(AU$35="Wastage",SUMIFS('Supply planning data'!$K:$K,'Supply planning data'!$D:$D,DataViz!$B52,'Supply planning data'!$C:$C,DataViz!AU$34),
IF(AU$35="Additional",SUMIFS('Supply planning data'!$I:$I,'Supply planning data'!$D:$D,DataViz!$B52,'Supply planning data'!$C:$C,DataViz!AU$34),
0))))</f>
        <v>0</v>
      </c>
      <c r="AV52" s="22">
        <f>IF(AV$35="Dose 1",SUMIFS('Supply planning data'!$G:$G,'Supply planning data'!$D:$D,DataViz!$B52,'Supply planning data'!$C:$C,DataViz!AV$34),
IF(AV$35="Dose 2",SUMIFS('Supply planning data'!$H:$H,'Supply planning data'!$D:$D,DataViz!$B52,'Supply planning data'!$C:$C,DataViz!AV$34),
IF(AV$35="Wastage",SUMIFS('Supply planning data'!$K:$K,'Supply planning data'!$D:$D,DataViz!$B52,'Supply planning data'!$C:$C,DataViz!AV$34),
IF(AV$35="Additional",SUMIFS('Supply planning data'!$I:$I,'Supply planning data'!$D:$D,DataViz!$B52,'Supply planning data'!$C:$C,DataViz!AV$34),
0))))</f>
        <v>0</v>
      </c>
      <c r="AW52" s="22">
        <f>IF(AW$35="Dose 1",SUMIFS('Supply planning data'!$G:$G,'Supply planning data'!$D:$D,DataViz!$B52,'Supply planning data'!$C:$C,DataViz!AW$34),
IF(AW$35="Dose 2",SUMIFS('Supply planning data'!$H:$H,'Supply planning data'!$D:$D,DataViz!$B52,'Supply planning data'!$C:$C,DataViz!AW$34),
IF(AW$35="Wastage",SUMIFS('Supply planning data'!$K:$K,'Supply planning data'!$D:$D,DataViz!$B52,'Supply planning data'!$C:$C,DataViz!AW$34),
IF(AW$35="Additional",SUMIFS('Supply planning data'!$I:$I,'Supply planning data'!$D:$D,DataViz!$B52,'Supply planning data'!$C:$C,DataViz!AW$34),
0))))</f>
        <v>0</v>
      </c>
      <c r="AX52" s="22">
        <f>IF(AX$35="Dose 1",SUMIFS('Supply planning data'!$G:$G,'Supply planning data'!$D:$D,DataViz!$B52,'Supply planning data'!$C:$C,DataViz!AX$34),
IF(AX$35="Dose 2",SUMIFS('Supply planning data'!$H:$H,'Supply planning data'!$D:$D,DataViz!$B52,'Supply planning data'!$C:$C,DataViz!AX$34),
IF(AX$35="Wastage",SUMIFS('Supply planning data'!$K:$K,'Supply planning data'!$D:$D,DataViz!$B52,'Supply planning data'!$C:$C,DataViz!AX$34),
IF(AX$35="Additional",SUMIFS('Supply planning data'!$I:$I,'Supply planning data'!$D:$D,DataViz!$B52,'Supply planning data'!$C:$C,DataViz!AX$34),
0))))</f>
        <v>0</v>
      </c>
      <c r="AY52" s="22">
        <f>IF(AY$35="Dose 1",SUMIFS('Supply planning data'!$G:$G,'Supply planning data'!$D:$D,DataViz!$B52,'Supply planning data'!$C:$C,DataViz!AY$34),
IF(AY$35="Dose 2",SUMIFS('Supply planning data'!$H:$H,'Supply planning data'!$D:$D,DataViz!$B52,'Supply planning data'!$C:$C,DataViz!AY$34),
IF(AY$35="Wastage",SUMIFS('Supply planning data'!$K:$K,'Supply planning data'!$D:$D,DataViz!$B52,'Supply planning data'!$C:$C,DataViz!AY$34),
IF(AY$35="Additional",SUMIFS('Supply planning data'!$I:$I,'Supply planning data'!$D:$D,DataViz!$B52,'Supply planning data'!$C:$C,DataViz!AY$34),
0))))</f>
        <v>0</v>
      </c>
      <c r="AZ52" s="22">
        <f>IF(AZ$35="Dose 1",SUMIFS('Supply planning data'!$G:$G,'Supply planning data'!$D:$D,DataViz!$B52,'Supply planning data'!$C:$C,DataViz!AZ$34),
IF(AZ$35="Dose 2",SUMIFS('Supply planning data'!$H:$H,'Supply planning data'!$D:$D,DataViz!$B52,'Supply planning data'!$C:$C,DataViz!AZ$34),
IF(AZ$35="Wastage",SUMIFS('Supply planning data'!$K:$K,'Supply planning data'!$D:$D,DataViz!$B52,'Supply planning data'!$C:$C,DataViz!AZ$34),
IF(AZ$35="Additional",SUMIFS('Supply planning data'!$I:$I,'Supply planning data'!$D:$D,DataViz!$B52,'Supply planning data'!$C:$C,DataViz!AZ$34),
0))))</f>
        <v>0</v>
      </c>
      <c r="BA52" s="22">
        <f>IF(BA$35="Dose 1",SUMIFS('Supply planning data'!$G:$G,'Supply planning data'!$D:$D,DataViz!$B52,'Supply planning data'!$C:$C,DataViz!BA$34),
IF(BA$35="Dose 2",SUMIFS('Supply planning data'!$H:$H,'Supply planning data'!$D:$D,DataViz!$B52,'Supply planning data'!$C:$C,DataViz!BA$34),
IF(BA$35="Wastage",SUMIFS('Supply planning data'!$K:$K,'Supply planning data'!$D:$D,DataViz!$B52,'Supply planning data'!$C:$C,DataViz!BA$34),
IF(BA$35="Additional",SUMIFS('Supply planning data'!$I:$I,'Supply planning data'!$D:$D,DataViz!$B52,'Supply planning data'!$C:$C,DataViz!BA$34),
0))))</f>
        <v>0</v>
      </c>
      <c r="BB52" s="22">
        <f>IF(BB$35="Dose 1",SUMIFS('Supply planning data'!$G:$G,'Supply planning data'!$D:$D,DataViz!$B52,'Supply planning data'!$C:$C,DataViz!BB$34),
IF(BB$35="Dose 2",SUMIFS('Supply planning data'!$H:$H,'Supply planning data'!$D:$D,DataViz!$B52,'Supply planning data'!$C:$C,DataViz!BB$34),
IF(BB$35="Wastage",SUMIFS('Supply planning data'!$K:$K,'Supply planning data'!$D:$D,DataViz!$B52,'Supply planning data'!$C:$C,DataViz!BB$34),
IF(BB$35="Additional",SUMIFS('Supply planning data'!$I:$I,'Supply planning data'!$D:$D,DataViz!$B52,'Supply planning data'!$C:$C,DataViz!BB$34),
0))))</f>
        <v>0</v>
      </c>
      <c r="BC52" s="22">
        <f>IF(BC$35="Dose 1",SUMIFS('Supply planning data'!$G:$G,'Supply planning data'!$D:$D,DataViz!$B52,'Supply planning data'!$C:$C,DataViz!BC$34),
IF(BC$35="Dose 2",SUMIFS('Supply planning data'!$H:$H,'Supply planning data'!$D:$D,DataViz!$B52,'Supply planning data'!$C:$C,DataViz!BC$34),
IF(BC$35="Wastage",SUMIFS('Supply planning data'!$K:$K,'Supply planning data'!$D:$D,DataViz!$B52,'Supply planning data'!$C:$C,DataViz!BC$34),
IF(BC$35="Additional",SUMIFS('Supply planning data'!$I:$I,'Supply planning data'!$D:$D,DataViz!$B52,'Supply planning data'!$C:$C,DataViz!BC$34),
0))))</f>
        <v>0</v>
      </c>
      <c r="BD52" s="22">
        <f>IF(BD$35="Dose 1",SUMIFS('Supply planning data'!$G:$G,'Supply planning data'!$D:$D,DataViz!$B52,'Supply planning data'!$C:$C,DataViz!BD$34),
IF(BD$35="Dose 2",SUMIFS('Supply planning data'!$H:$H,'Supply planning data'!$D:$D,DataViz!$B52,'Supply planning data'!$C:$C,DataViz!BD$34),
IF(BD$35="Wastage",SUMIFS('Supply planning data'!$K:$K,'Supply planning data'!$D:$D,DataViz!$B52,'Supply planning data'!$C:$C,DataViz!BD$34),
IF(BD$35="Additional",SUMIFS('Supply planning data'!$I:$I,'Supply planning data'!$D:$D,DataViz!$B52,'Supply planning data'!$C:$C,DataViz!BD$34),
0))))</f>
        <v>0</v>
      </c>
      <c r="BE52" s="22">
        <f>IF(BE$35="Dose 1",SUMIFS('Supply planning data'!$G:$G,'Supply planning data'!$D:$D,DataViz!$B52,'Supply planning data'!$C:$C,DataViz!BE$34),
IF(BE$35="Dose 2",SUMIFS('Supply planning data'!$H:$H,'Supply planning data'!$D:$D,DataViz!$B52,'Supply planning data'!$C:$C,DataViz!BE$34),
IF(BE$35="Wastage",SUMIFS('Supply planning data'!$K:$K,'Supply planning data'!$D:$D,DataViz!$B52,'Supply planning data'!$C:$C,DataViz!BE$34),
IF(BE$35="Additional",SUMIFS('Supply planning data'!$I:$I,'Supply planning data'!$D:$D,DataViz!$B52,'Supply planning data'!$C:$C,DataViz!BE$34),
0))))</f>
        <v>0</v>
      </c>
      <c r="BF52" s="22">
        <f>IF(BF$35="Dose 1",SUMIFS('Supply planning data'!$G:$G,'Supply planning data'!$D:$D,DataViz!$B52,'Supply planning data'!$C:$C,DataViz!BF$34),
IF(BF$35="Dose 2",SUMIFS('Supply planning data'!$H:$H,'Supply planning data'!$D:$D,DataViz!$B52,'Supply planning data'!$C:$C,DataViz!BF$34),
IF(BF$35="Wastage",SUMIFS('Supply planning data'!$K:$K,'Supply planning data'!$D:$D,DataViz!$B52,'Supply planning data'!$C:$C,DataViz!BF$34),
IF(BF$35="Additional",SUMIFS('Supply planning data'!$I:$I,'Supply planning data'!$D:$D,DataViz!$B52,'Supply planning data'!$C:$C,DataViz!BF$34),
0))))</f>
        <v>0</v>
      </c>
      <c r="BG52" s="22">
        <f>IF(BG$35="Dose 1",SUMIFS('Supply planning data'!$G:$G,'Supply planning data'!$D:$D,DataViz!$B52,'Supply planning data'!$C:$C,DataViz!BG$34),
IF(BG$35="Dose 2",SUMIFS('Supply planning data'!$H:$H,'Supply planning data'!$D:$D,DataViz!$B52,'Supply planning data'!$C:$C,DataViz!BG$34),
IF(BG$35="Wastage",SUMIFS('Supply planning data'!$K:$K,'Supply planning data'!$D:$D,DataViz!$B52,'Supply planning data'!$C:$C,DataViz!BG$34),
IF(BG$35="Additional",SUMIFS('Supply planning data'!$I:$I,'Supply planning data'!$D:$D,DataViz!$B52,'Supply planning data'!$C:$C,DataViz!BG$34),
0))))</f>
        <v>0</v>
      </c>
      <c r="BH52" s="22">
        <f>IF(BH$35="Dose 1",SUMIFS('Supply planning data'!$G:$G,'Supply planning data'!$D:$D,DataViz!$B52,'Supply planning data'!$C:$C,DataViz!BH$34),
IF(BH$35="Dose 2",SUMIFS('Supply planning data'!$H:$H,'Supply planning data'!$D:$D,DataViz!$B52,'Supply planning data'!$C:$C,DataViz!BH$34),
IF(BH$35="Wastage",SUMIFS('Supply planning data'!$K:$K,'Supply planning data'!$D:$D,DataViz!$B52,'Supply planning data'!$C:$C,DataViz!BH$34),
IF(BH$35="Additional",SUMIFS('Supply planning data'!$I:$I,'Supply planning data'!$D:$D,DataViz!$B52,'Supply planning data'!$C:$C,DataViz!BH$34),
0))))</f>
        <v>0</v>
      </c>
      <c r="BI52" s="22">
        <f>IF(BI$35="Dose 1",SUMIFS('Supply planning data'!$G:$G,'Supply planning data'!$D:$D,DataViz!$B52,'Supply planning data'!$C:$C,DataViz!BI$34),
IF(BI$35="Dose 2",SUMIFS('Supply planning data'!$H:$H,'Supply planning data'!$D:$D,DataViz!$B52,'Supply planning data'!$C:$C,DataViz!BI$34),
IF(BI$35="Wastage",SUMIFS('Supply planning data'!$K:$K,'Supply planning data'!$D:$D,DataViz!$B52,'Supply planning data'!$C:$C,DataViz!BI$34),
IF(BI$35="Additional",SUMIFS('Supply planning data'!$I:$I,'Supply planning data'!$D:$D,DataViz!$B52,'Supply planning data'!$C:$C,DataViz!BI$34),
0))))</f>
        <v>0</v>
      </c>
      <c r="BJ52" s="22">
        <f>IF(BJ$35="Dose 1",SUMIFS('Supply planning data'!$G:$G,'Supply planning data'!$D:$D,DataViz!$B52,'Supply planning data'!$C:$C,DataViz!BJ$34),
IF(BJ$35="Dose 2",SUMIFS('Supply planning data'!$H:$H,'Supply planning data'!$D:$D,DataViz!$B52,'Supply planning data'!$C:$C,DataViz!BJ$34),
IF(BJ$35="Wastage",SUMIFS('Supply planning data'!$K:$K,'Supply planning data'!$D:$D,DataViz!$B52,'Supply planning data'!$C:$C,DataViz!BJ$34),
IF(BJ$35="Additional",SUMIFS('Supply planning data'!$I:$I,'Supply planning data'!$D:$D,DataViz!$B52,'Supply planning data'!$C:$C,DataViz!BJ$34),
0))))</f>
        <v>0</v>
      </c>
      <c r="BK52" s="22">
        <f>IF(BK$35="Dose 1",SUMIFS('Supply planning data'!$G:$G,'Supply planning data'!$D:$D,DataViz!$B52,'Supply planning data'!$C:$C,DataViz!BK$34),
IF(BK$35="Dose 2",SUMIFS('Supply planning data'!$H:$H,'Supply planning data'!$D:$D,DataViz!$B52,'Supply planning data'!$C:$C,DataViz!BK$34),
IF(BK$35="Wastage",SUMIFS('Supply planning data'!$K:$K,'Supply planning data'!$D:$D,DataViz!$B52,'Supply planning data'!$C:$C,DataViz!BK$34),
IF(BK$35="Additional",SUMIFS('Supply planning data'!$I:$I,'Supply planning data'!$D:$D,DataViz!$B52,'Supply planning data'!$C:$C,DataViz!BK$34),
0))))</f>
        <v>0</v>
      </c>
      <c r="BL52" s="22">
        <f>IF(BL$35="Dose 1",SUMIFS('Supply planning data'!$G:$G,'Supply planning data'!$D:$D,DataViz!$B52,'Supply planning data'!$C:$C,DataViz!BL$34),
IF(BL$35="Dose 2",SUMIFS('Supply planning data'!$H:$H,'Supply planning data'!$D:$D,DataViz!$B52,'Supply planning data'!$C:$C,DataViz!BL$34),
IF(BL$35="Wastage",SUMIFS('Supply planning data'!$K:$K,'Supply planning data'!$D:$D,DataViz!$B52,'Supply planning data'!$C:$C,DataViz!BL$34),
IF(BL$35="Additional",SUMIFS('Supply planning data'!$I:$I,'Supply planning data'!$D:$D,DataViz!$B52,'Supply planning data'!$C:$C,DataViz!BL$34),
0))))</f>
        <v>0</v>
      </c>
    </row>
    <row r="53" spans="1:64" x14ac:dyDescent="0.25">
      <c r="A53" s="20">
        <v>15</v>
      </c>
      <c r="B53" s="21">
        <f t="shared" si="15"/>
        <v>44713</v>
      </c>
      <c r="C53" s="22">
        <f>IF(VLOOKUP(Dashboard!$M$6,Start!$B$10:$E$12,4,FALSE)&gt;0,VLOOKUP(Dashboard!$M$6,Start!$B$10:$E$12,4, FALSE),VLOOKUP(Dashboard!$M$6,Start!$B$10:$E$12,3, FALSE))</f>
        <v>60000000</v>
      </c>
      <c r="D53" s="22">
        <f>SUMIFS('Supply planning data'!M:M,'Supply planning data'!D:D,"&lt;="&amp;DataViz!B53)</f>
        <v>2720887</v>
      </c>
      <c r="E53" s="22">
        <f>IF(E$35="Dose 1",SUMIFS('Supply planning data'!$G:$G,'Supply planning data'!$D:$D,DataViz!$B53,'Supply planning data'!$C:$C,DataViz!E$34),
IF(E$35="Dose 2",SUMIFS('Supply planning data'!$H:$H,'Supply planning data'!$D:$D,DataViz!$B53,'Supply planning data'!$C:$C,DataViz!E$34),
IF(E$35="Wastage",SUMIFS('Supply planning data'!$K:$K,'Supply planning data'!$D:$D,DataViz!$B53,'Supply planning data'!$C:$C,DataViz!E$34),
IF(E$35="Additional",SUMIFS('Supply planning data'!$I:$I,'Supply planning data'!$D:$D,DataViz!$B53,'Supply planning data'!$C:$C,DataViz!E$34),
0))))</f>
        <v>0</v>
      </c>
      <c r="F53" s="22">
        <f>IF(F$35="Dose 1",SUMIFS('Supply planning data'!$G:$G,'Supply planning data'!$D:$D,DataViz!$B53,'Supply planning data'!$C:$C,DataViz!F$34),
IF(F$35="Dose 2",SUMIFS('Supply planning data'!$H:$H,'Supply planning data'!$D:$D,DataViz!$B53,'Supply planning data'!$C:$C,DataViz!F$34),
IF(F$35="Wastage",SUMIFS('Supply planning data'!$K:$K,'Supply planning data'!$D:$D,DataViz!$B53,'Supply planning data'!$C:$C,DataViz!F$34),
IF(F$35="Additional",SUMIFS('Supply planning data'!$I:$I,'Supply planning data'!$D:$D,DataViz!$B53,'Supply planning data'!$C:$C,DataViz!F$34),
0))))</f>
        <v>0</v>
      </c>
      <c r="G53" s="22">
        <f>IF(G$35="Dose 1",SUMIFS('Supply planning data'!$G:$G,'Supply planning data'!$D:$D,DataViz!$B53,'Supply planning data'!$C:$C,DataViz!G$34),
IF(G$35="Dose 2",SUMIFS('Supply planning data'!$H:$H,'Supply planning data'!$D:$D,DataViz!$B53,'Supply planning data'!$C:$C,DataViz!G$34),
IF(G$35="Wastage",SUMIFS('Supply planning data'!$K:$K,'Supply planning data'!$D:$D,DataViz!$B53,'Supply planning data'!$C:$C,DataViz!G$34),
IF(G$35="Additional",SUMIFS('Supply planning data'!$I:$I,'Supply planning data'!$D:$D,DataViz!$B53,'Supply planning data'!$C:$C,DataViz!G$34),
0))))</f>
        <v>0</v>
      </c>
      <c r="H53" s="22">
        <f>IF(H$35="Dose 1",SUMIFS('Supply planning data'!$G:$G,'Supply planning data'!$D:$D,DataViz!$B53,'Supply planning data'!$C:$C,DataViz!H$34),
IF(H$35="Dose 2",SUMIFS('Supply planning data'!$H:$H,'Supply planning data'!$D:$D,DataViz!$B53,'Supply planning data'!$C:$C,DataViz!H$34),
IF(H$35="Wastage",SUMIFS('Supply planning data'!$K:$K,'Supply planning data'!$D:$D,DataViz!$B53,'Supply planning data'!$C:$C,DataViz!H$34),
IF(H$35="Additional",SUMIFS('Supply planning data'!$I:$I,'Supply planning data'!$D:$D,DataViz!$B53,'Supply planning data'!$C:$C,DataViz!H$34),
0))))</f>
        <v>0</v>
      </c>
      <c r="I53" s="22">
        <f>IF(I$35="Dose 1",SUMIFS('Supply planning data'!$G:$G,'Supply planning data'!$D:$D,DataViz!$B53,'Supply planning data'!$C:$C,DataViz!I$34),
IF(I$35="Dose 2",SUMIFS('Supply planning data'!$H:$H,'Supply planning data'!$D:$D,DataViz!$B53,'Supply planning data'!$C:$C,DataViz!I$34),
IF(I$35="Wastage",SUMIFS('Supply planning data'!$K:$K,'Supply planning data'!$D:$D,DataViz!$B53,'Supply planning data'!$C:$C,DataViz!I$34),
IF(I$35="Additional",SUMIFS('Supply planning data'!$I:$I,'Supply planning data'!$D:$D,DataViz!$B53,'Supply planning data'!$C:$C,DataViz!I$34),
0))))</f>
        <v>0</v>
      </c>
      <c r="J53" s="22">
        <f>IF(J$35="Dose 1",SUMIFS('Supply planning data'!$G:$G,'Supply planning data'!$D:$D,DataViz!$B53,'Supply planning data'!$C:$C,DataViz!J$34),
IF(J$35="Dose 2",SUMIFS('Supply planning data'!$H:$H,'Supply planning data'!$D:$D,DataViz!$B53,'Supply planning data'!$C:$C,DataViz!J$34),
IF(J$35="Wastage",SUMIFS('Supply planning data'!$K:$K,'Supply planning data'!$D:$D,DataViz!$B53,'Supply planning data'!$C:$C,DataViz!J$34),
IF(J$35="Additional",SUMIFS('Supply planning data'!$I:$I,'Supply planning data'!$D:$D,DataViz!$B53,'Supply planning data'!$C:$C,DataViz!J$34),
0))))</f>
        <v>0</v>
      </c>
      <c r="K53" s="22">
        <f>IF(K$35="Dose 1",SUMIFS('Supply planning data'!$G:$G,'Supply planning data'!$D:$D,DataViz!$B53,'Supply planning data'!$C:$C,DataViz!K$34),
IF(K$35="Dose 2",SUMIFS('Supply planning data'!$H:$H,'Supply planning data'!$D:$D,DataViz!$B53,'Supply planning data'!$C:$C,DataViz!K$34),
IF(K$35="Wastage",SUMIFS('Supply planning data'!$K:$K,'Supply planning data'!$D:$D,DataViz!$B53,'Supply planning data'!$C:$C,DataViz!K$34),
IF(K$35="Additional",SUMIFS('Supply planning data'!$I:$I,'Supply planning data'!$D:$D,DataViz!$B53,'Supply planning data'!$C:$C,DataViz!K$34),
0))))</f>
        <v>0</v>
      </c>
      <c r="L53" s="22">
        <f>IF(L$35="Dose 1",SUMIFS('Supply planning data'!$G:$G,'Supply planning data'!$D:$D,DataViz!$B53,'Supply planning data'!$C:$C,DataViz!L$34),
IF(L$35="Dose 2",SUMIFS('Supply planning data'!$H:$H,'Supply planning data'!$D:$D,DataViz!$B53,'Supply planning data'!$C:$C,DataViz!L$34),
IF(L$35="Wastage",SUMIFS('Supply planning data'!$K:$K,'Supply planning data'!$D:$D,DataViz!$B53,'Supply planning data'!$C:$C,DataViz!L$34),
IF(L$35="Additional",SUMIFS('Supply planning data'!$I:$I,'Supply planning data'!$D:$D,DataViz!$B53,'Supply planning data'!$C:$C,DataViz!L$34),
0))))</f>
        <v>0</v>
      </c>
      <c r="M53" s="22">
        <f>IF(M$35="Dose 1",SUMIFS('Supply planning data'!$G:$G,'Supply planning data'!$D:$D,DataViz!$B53,'Supply planning data'!$C:$C,DataViz!M$34),
IF(M$35="Dose 2",SUMIFS('Supply planning data'!$H:$H,'Supply planning data'!$D:$D,DataViz!$B53,'Supply planning data'!$C:$C,DataViz!M$34),
IF(M$35="Wastage",SUMIFS('Supply planning data'!$K:$K,'Supply planning data'!$D:$D,DataViz!$B53,'Supply planning data'!$C:$C,DataViz!M$34),
IF(M$35="Additional",SUMIFS('Supply planning data'!$I:$I,'Supply planning data'!$D:$D,DataViz!$B53,'Supply planning data'!$C:$C,DataViz!M$34),
0))))</f>
        <v>0</v>
      </c>
      <c r="N53" s="22">
        <f>IF(N$35="Dose 1",SUMIFS('Supply planning data'!$G:$G,'Supply planning data'!$D:$D,DataViz!$B53,'Supply planning data'!$C:$C,DataViz!N$34),
IF(N$35="Dose 2",SUMIFS('Supply planning data'!$H:$H,'Supply planning data'!$D:$D,DataViz!$B53,'Supply planning data'!$C:$C,DataViz!N$34),
IF(N$35="Wastage",SUMIFS('Supply planning data'!$K:$K,'Supply planning data'!$D:$D,DataViz!$B53,'Supply planning data'!$C:$C,DataViz!N$34),
IF(N$35="Additional",SUMIFS('Supply planning data'!$I:$I,'Supply planning data'!$D:$D,DataViz!$B53,'Supply planning data'!$C:$C,DataViz!N$34),
0))))</f>
        <v>0</v>
      </c>
      <c r="O53" s="22">
        <f>IF(O$35="Dose 1",SUMIFS('Supply planning data'!$G:$G,'Supply planning data'!$D:$D,DataViz!$B53,'Supply planning data'!$C:$C,DataViz!O$34),
IF(O$35="Dose 2",SUMIFS('Supply planning data'!$H:$H,'Supply planning data'!$D:$D,DataViz!$B53,'Supply planning data'!$C:$C,DataViz!O$34),
IF(O$35="Wastage",SUMIFS('Supply planning data'!$K:$K,'Supply planning data'!$D:$D,DataViz!$B53,'Supply planning data'!$C:$C,DataViz!O$34),
IF(O$35="Additional",SUMIFS('Supply planning data'!$I:$I,'Supply planning data'!$D:$D,DataViz!$B53,'Supply planning data'!$C:$C,DataViz!O$34),
0))))</f>
        <v>0</v>
      </c>
      <c r="P53" s="22">
        <f>IF(P$35="Dose 1",SUMIFS('Supply planning data'!$G:$G,'Supply planning data'!$D:$D,DataViz!$B53,'Supply planning data'!$C:$C,DataViz!P$34),
IF(P$35="Dose 2",SUMIFS('Supply planning data'!$H:$H,'Supply planning data'!$D:$D,DataViz!$B53,'Supply planning data'!$C:$C,DataViz!P$34),
IF(P$35="Wastage",SUMIFS('Supply planning data'!$K:$K,'Supply planning data'!$D:$D,DataViz!$B53,'Supply planning data'!$C:$C,DataViz!P$34),
IF(P$35="Additional",SUMIFS('Supply planning data'!$I:$I,'Supply planning data'!$D:$D,DataViz!$B53,'Supply planning data'!$C:$C,DataViz!P$34),
0))))</f>
        <v>0</v>
      </c>
      <c r="Q53" s="22">
        <f>IF(Q$35="Dose 1",SUMIFS('Supply planning data'!$G:$G,'Supply planning data'!$D:$D,DataViz!$B53,'Supply planning data'!$C:$C,DataViz!Q$34),
IF(Q$35="Dose 2",SUMIFS('Supply planning data'!$H:$H,'Supply planning data'!$D:$D,DataViz!$B53,'Supply planning data'!$C:$C,DataViz!Q$34),
IF(Q$35="Wastage",SUMIFS('Supply planning data'!$K:$K,'Supply planning data'!$D:$D,DataViz!$B53,'Supply planning data'!$C:$C,DataViz!Q$34),
IF(Q$35="Additional",SUMIFS('Supply planning data'!$I:$I,'Supply planning data'!$D:$D,DataViz!$B53,'Supply planning data'!$C:$C,DataViz!Q$34),
0))))</f>
        <v>0</v>
      </c>
      <c r="R53" s="22">
        <f>IF(R$35="Dose 1",SUMIFS('Supply planning data'!$G:$G,'Supply planning data'!$D:$D,DataViz!$B53,'Supply planning data'!$C:$C,DataViz!R$34),
IF(R$35="Dose 2",SUMIFS('Supply planning data'!$H:$H,'Supply planning data'!$D:$D,DataViz!$B53,'Supply planning data'!$C:$C,DataViz!R$34),
IF(R$35="Wastage",SUMIFS('Supply planning data'!$K:$K,'Supply planning data'!$D:$D,DataViz!$B53,'Supply planning data'!$C:$C,DataViz!R$34),
IF(R$35="Additional",SUMIFS('Supply planning data'!$I:$I,'Supply planning data'!$D:$D,DataViz!$B53,'Supply planning data'!$C:$C,DataViz!R$34),
0))))</f>
        <v>0</v>
      </c>
      <c r="S53" s="22">
        <f>IF(S$35="Dose 1",SUMIFS('Supply planning data'!$G:$G,'Supply planning data'!$D:$D,DataViz!$B53,'Supply planning data'!$C:$C,DataViz!S$34),
IF(S$35="Dose 2",SUMIFS('Supply planning data'!$H:$H,'Supply planning data'!$D:$D,DataViz!$B53,'Supply planning data'!$C:$C,DataViz!S$34),
IF(S$35="Wastage",SUMIFS('Supply planning data'!$K:$K,'Supply planning data'!$D:$D,DataViz!$B53,'Supply planning data'!$C:$C,DataViz!S$34),
IF(S$35="Additional",SUMIFS('Supply planning data'!$I:$I,'Supply planning data'!$D:$D,DataViz!$B53,'Supply planning data'!$C:$C,DataViz!S$34),
0))))</f>
        <v>0</v>
      </c>
      <c r="T53" s="22">
        <f>IF(T$35="Dose 1",SUMIFS('Supply planning data'!$G:$G,'Supply planning data'!$D:$D,DataViz!$B53,'Supply planning data'!$C:$C,DataViz!T$34),
IF(T$35="Dose 2",SUMIFS('Supply planning data'!$H:$H,'Supply planning data'!$D:$D,DataViz!$B53,'Supply planning data'!$C:$C,DataViz!T$34),
IF(T$35="Wastage",SUMIFS('Supply planning data'!$K:$K,'Supply planning data'!$D:$D,DataViz!$B53,'Supply planning data'!$C:$C,DataViz!T$34),
IF(T$35="Additional",SUMIFS('Supply planning data'!$I:$I,'Supply planning data'!$D:$D,DataViz!$B53,'Supply planning data'!$C:$C,DataViz!T$34),
0))))</f>
        <v>0</v>
      </c>
      <c r="U53" s="22">
        <f>IF(U$35="Dose 1",SUMIFS('Supply planning data'!$G:$G,'Supply planning data'!$D:$D,DataViz!$B53,'Supply planning data'!$C:$C,DataViz!U$34),
IF(U$35="Dose 2",SUMIFS('Supply planning data'!$H:$H,'Supply planning data'!$D:$D,DataViz!$B53,'Supply planning data'!$C:$C,DataViz!U$34),
IF(U$35="Wastage",SUMIFS('Supply planning data'!$K:$K,'Supply planning data'!$D:$D,DataViz!$B53,'Supply planning data'!$C:$C,DataViz!U$34),
IF(U$35="Additional",SUMIFS('Supply planning data'!$I:$I,'Supply planning data'!$D:$D,DataViz!$B53,'Supply planning data'!$C:$C,DataViz!U$34),
0))))</f>
        <v>0</v>
      </c>
      <c r="V53" s="22">
        <f>IF(V$35="Dose 1",SUMIFS('Supply planning data'!$G:$G,'Supply planning data'!$D:$D,DataViz!$B53,'Supply planning data'!$C:$C,DataViz!V$34),
IF(V$35="Dose 2",SUMIFS('Supply planning data'!$H:$H,'Supply planning data'!$D:$D,DataViz!$B53,'Supply planning data'!$C:$C,DataViz!V$34),
IF(V$35="Wastage",SUMIFS('Supply planning data'!$K:$K,'Supply planning data'!$D:$D,DataViz!$B53,'Supply planning data'!$C:$C,DataViz!V$34),
IF(V$35="Additional",SUMIFS('Supply planning data'!$I:$I,'Supply planning data'!$D:$D,DataViz!$B53,'Supply planning data'!$C:$C,DataViz!V$34),
0))))</f>
        <v>0</v>
      </c>
      <c r="W53" s="22">
        <f>IF(W$35="Dose 1",SUMIFS('Supply planning data'!$G:$G,'Supply planning data'!$D:$D,DataViz!$B53,'Supply planning data'!$C:$C,DataViz!W$34),
IF(W$35="Dose 2",SUMIFS('Supply planning data'!$H:$H,'Supply planning data'!$D:$D,DataViz!$B53,'Supply planning data'!$C:$C,DataViz!W$34),
IF(W$35="Wastage",SUMIFS('Supply planning data'!$K:$K,'Supply planning data'!$D:$D,DataViz!$B53,'Supply planning data'!$C:$C,DataViz!W$34),
IF(W$35="Additional",SUMIFS('Supply planning data'!$I:$I,'Supply planning data'!$D:$D,DataViz!$B53,'Supply planning data'!$C:$C,DataViz!W$34),
0))))</f>
        <v>0</v>
      </c>
      <c r="X53" s="22">
        <f>IF(X$35="Dose 1",SUMIFS('Supply planning data'!$G:$G,'Supply planning data'!$D:$D,DataViz!$B53,'Supply planning data'!$C:$C,DataViz!X$34),
IF(X$35="Dose 2",SUMIFS('Supply planning data'!$H:$H,'Supply planning data'!$D:$D,DataViz!$B53,'Supply planning data'!$C:$C,DataViz!X$34),
IF(X$35="Wastage",SUMIFS('Supply planning data'!$K:$K,'Supply planning data'!$D:$D,DataViz!$B53,'Supply planning data'!$C:$C,DataViz!X$34),
IF(X$35="Additional",SUMIFS('Supply planning data'!$I:$I,'Supply planning data'!$D:$D,DataViz!$B53,'Supply planning data'!$C:$C,DataViz!X$34),
0))))</f>
        <v>0</v>
      </c>
      <c r="Y53" s="22">
        <f>IF(Y$35="Dose 1",SUMIFS('Supply planning data'!$G:$G,'Supply planning data'!$D:$D,DataViz!$B53,'Supply planning data'!$C:$C,DataViz!Y$34),
IF(Y$35="Dose 2",SUMIFS('Supply planning data'!$H:$H,'Supply planning data'!$D:$D,DataViz!$B53,'Supply planning data'!$C:$C,DataViz!Y$34),
IF(Y$35="Wastage",SUMIFS('Supply planning data'!$K:$K,'Supply planning data'!$D:$D,DataViz!$B53,'Supply planning data'!$C:$C,DataViz!Y$34),
IF(Y$35="Additional",SUMIFS('Supply planning data'!$I:$I,'Supply planning data'!$D:$D,DataViz!$B53,'Supply planning data'!$C:$C,DataViz!Y$34),
0))))</f>
        <v>0</v>
      </c>
      <c r="Z53" s="22">
        <f>IF(Z$35="Dose 1",SUMIFS('Supply planning data'!$G:$G,'Supply planning data'!$D:$D,DataViz!$B53,'Supply planning data'!$C:$C,DataViz!Z$34),
IF(Z$35="Dose 2",SUMIFS('Supply planning data'!$H:$H,'Supply planning data'!$D:$D,DataViz!$B53,'Supply planning data'!$C:$C,DataViz!Z$34),
IF(Z$35="Wastage",SUMIFS('Supply planning data'!$K:$K,'Supply planning data'!$D:$D,DataViz!$B53,'Supply planning data'!$C:$C,DataViz!Z$34),
IF(Z$35="Additional",SUMIFS('Supply planning data'!$I:$I,'Supply planning data'!$D:$D,DataViz!$B53,'Supply planning data'!$C:$C,DataViz!Z$34),
0))))</f>
        <v>0</v>
      </c>
      <c r="AA53" s="22">
        <f>IF(AA$35="Dose 1",SUMIFS('Supply planning data'!$G:$G,'Supply planning data'!$D:$D,DataViz!$B53,'Supply planning data'!$C:$C,DataViz!AA$34),
IF(AA$35="Dose 2",SUMIFS('Supply planning data'!$H:$H,'Supply planning data'!$D:$D,DataViz!$B53,'Supply planning data'!$C:$C,DataViz!AA$34),
IF(AA$35="Wastage",SUMIFS('Supply planning data'!$K:$K,'Supply planning data'!$D:$D,DataViz!$B53,'Supply planning data'!$C:$C,DataViz!AA$34),
IF(AA$35="Additional",SUMIFS('Supply planning data'!$I:$I,'Supply planning data'!$D:$D,DataViz!$B53,'Supply planning data'!$C:$C,DataViz!AA$34),
0))))</f>
        <v>0</v>
      </c>
      <c r="AB53" s="22">
        <f>IF(AB$35="Dose 1",SUMIFS('Supply planning data'!$G:$G,'Supply planning data'!$D:$D,DataViz!$B53,'Supply planning data'!$C:$C,DataViz!AB$34),
IF(AB$35="Dose 2",SUMIFS('Supply planning data'!$H:$H,'Supply planning data'!$D:$D,DataViz!$B53,'Supply planning data'!$C:$C,DataViz!AB$34),
IF(AB$35="Wastage",SUMIFS('Supply planning data'!$K:$K,'Supply planning data'!$D:$D,DataViz!$B53,'Supply planning data'!$C:$C,DataViz!AB$34),
IF(AB$35="Additional",SUMIFS('Supply planning data'!$I:$I,'Supply planning data'!$D:$D,DataViz!$B53,'Supply planning data'!$C:$C,DataViz!AB$34),
0))))</f>
        <v>0</v>
      </c>
      <c r="AC53" s="22">
        <f>IF(AC$35="Dose 1",SUMIFS('Supply planning data'!$G:$G,'Supply planning data'!$D:$D,DataViz!$B53,'Supply planning data'!$C:$C,DataViz!AC$34),
IF(AC$35="Dose 2",SUMIFS('Supply planning data'!$H:$H,'Supply planning data'!$D:$D,DataViz!$B53,'Supply planning data'!$C:$C,DataViz!AC$34),
IF(AC$35="Wastage",SUMIFS('Supply planning data'!$K:$K,'Supply planning data'!$D:$D,DataViz!$B53,'Supply planning data'!$C:$C,DataViz!AC$34),
IF(AC$35="Additional",SUMIFS('Supply planning data'!$I:$I,'Supply planning data'!$D:$D,DataViz!$B53,'Supply planning data'!$C:$C,DataViz!AC$34),
0))))</f>
        <v>0</v>
      </c>
      <c r="AD53" s="22">
        <f>IF(AD$35="Dose 1",SUMIFS('Supply planning data'!$G:$G,'Supply planning data'!$D:$D,DataViz!$B53,'Supply planning data'!$C:$C,DataViz!AD$34),
IF(AD$35="Dose 2",SUMIFS('Supply planning data'!$H:$H,'Supply planning data'!$D:$D,DataViz!$B53,'Supply planning data'!$C:$C,DataViz!AD$34),
IF(AD$35="Wastage",SUMIFS('Supply planning data'!$K:$K,'Supply planning data'!$D:$D,DataViz!$B53,'Supply planning data'!$C:$C,DataViz!AD$34),
IF(AD$35="Additional",SUMIFS('Supply planning data'!$I:$I,'Supply planning data'!$D:$D,DataViz!$B53,'Supply planning data'!$C:$C,DataViz!AD$34),
0))))</f>
        <v>0</v>
      </c>
      <c r="AE53" s="22">
        <f>IF(AE$35="Dose 1",SUMIFS('Supply planning data'!$G:$G,'Supply planning data'!$D:$D,DataViz!$B53,'Supply planning data'!$C:$C,DataViz!AE$34),
IF(AE$35="Dose 2",SUMIFS('Supply planning data'!$H:$H,'Supply planning data'!$D:$D,DataViz!$B53,'Supply planning data'!$C:$C,DataViz!AE$34),
IF(AE$35="Wastage",SUMIFS('Supply planning data'!$K:$K,'Supply planning data'!$D:$D,DataViz!$B53,'Supply planning data'!$C:$C,DataViz!AE$34),
IF(AE$35="Additional",SUMIFS('Supply planning data'!$I:$I,'Supply planning data'!$D:$D,DataViz!$B53,'Supply planning data'!$C:$C,DataViz!AE$34),
0))))</f>
        <v>0</v>
      </c>
      <c r="AF53" s="22">
        <f>IF(AF$35="Dose 1",SUMIFS('Supply planning data'!$G:$G,'Supply planning data'!$D:$D,DataViz!$B53,'Supply planning data'!$C:$C,DataViz!AF$34),
IF(AF$35="Dose 2",SUMIFS('Supply planning data'!$H:$H,'Supply planning data'!$D:$D,DataViz!$B53,'Supply planning data'!$C:$C,DataViz!AF$34),
IF(AF$35="Wastage",SUMIFS('Supply planning data'!$K:$K,'Supply planning data'!$D:$D,DataViz!$B53,'Supply planning data'!$C:$C,DataViz!AF$34),
IF(AF$35="Additional",SUMIFS('Supply planning data'!$I:$I,'Supply planning data'!$D:$D,DataViz!$B53,'Supply planning data'!$C:$C,DataViz!AF$34),
0))))</f>
        <v>0</v>
      </c>
      <c r="AG53" s="22">
        <f>IF(AG$35="Dose 1",SUMIFS('Supply planning data'!$G:$G,'Supply planning data'!$D:$D,DataViz!$B53,'Supply planning data'!$C:$C,DataViz!AG$34),
IF(AG$35="Dose 2",SUMIFS('Supply planning data'!$H:$H,'Supply planning data'!$D:$D,DataViz!$B53,'Supply planning data'!$C:$C,DataViz!AG$34),
IF(AG$35="Wastage",SUMIFS('Supply planning data'!$K:$K,'Supply planning data'!$D:$D,DataViz!$B53,'Supply planning data'!$C:$C,DataViz!AG$34),
IF(AG$35="Additional",SUMIFS('Supply planning data'!$I:$I,'Supply planning data'!$D:$D,DataViz!$B53,'Supply planning data'!$C:$C,DataViz!AG$34),
0))))</f>
        <v>0</v>
      </c>
      <c r="AH53" s="22">
        <f>IF(AH$35="Dose 1",SUMIFS('Supply planning data'!$G:$G,'Supply planning data'!$D:$D,DataViz!$B53,'Supply planning data'!$C:$C,DataViz!AH$34),
IF(AH$35="Dose 2",SUMIFS('Supply planning data'!$H:$H,'Supply planning data'!$D:$D,DataViz!$B53,'Supply planning data'!$C:$C,DataViz!AH$34),
IF(AH$35="Wastage",SUMIFS('Supply planning data'!$K:$K,'Supply planning data'!$D:$D,DataViz!$B53,'Supply planning data'!$C:$C,DataViz!AH$34),
IF(AH$35="Additional",SUMIFS('Supply planning data'!$I:$I,'Supply planning data'!$D:$D,DataViz!$B53,'Supply planning data'!$C:$C,DataViz!AH$34),
0))))</f>
        <v>0</v>
      </c>
      <c r="AI53" s="22">
        <f>IF(AI$35="Dose 1",SUMIFS('Supply planning data'!$G:$G,'Supply planning data'!$D:$D,DataViz!$B53,'Supply planning data'!$C:$C,DataViz!AI$34),
IF(AI$35="Dose 2",SUMIFS('Supply planning data'!$H:$H,'Supply planning data'!$D:$D,DataViz!$B53,'Supply planning data'!$C:$C,DataViz!AI$34),
IF(AI$35="Wastage",SUMIFS('Supply planning data'!$K:$K,'Supply planning data'!$D:$D,DataViz!$B53,'Supply planning data'!$C:$C,DataViz!AI$34),
IF(AI$35="Additional",SUMIFS('Supply planning data'!$I:$I,'Supply planning data'!$D:$D,DataViz!$B53,'Supply planning data'!$C:$C,DataViz!AI$34),
0))))</f>
        <v>0</v>
      </c>
      <c r="AJ53" s="22">
        <f>IF(AJ$35="Dose 1",SUMIFS('Supply planning data'!$G:$G,'Supply planning data'!$D:$D,DataViz!$B53,'Supply planning data'!$C:$C,DataViz!AJ$34),
IF(AJ$35="Dose 2",SUMIFS('Supply planning data'!$H:$H,'Supply planning data'!$D:$D,DataViz!$B53,'Supply planning data'!$C:$C,DataViz!AJ$34),
IF(AJ$35="Wastage",SUMIFS('Supply planning data'!$K:$K,'Supply planning data'!$D:$D,DataViz!$B53,'Supply planning data'!$C:$C,DataViz!AJ$34),
IF(AJ$35="Additional",SUMIFS('Supply planning data'!$I:$I,'Supply planning data'!$D:$D,DataViz!$B53,'Supply planning data'!$C:$C,DataViz!AJ$34),
0))))</f>
        <v>0</v>
      </c>
      <c r="AK53" s="22">
        <f>IF(AK$35="Dose 1",SUMIFS('Supply planning data'!$G:$G,'Supply planning data'!$D:$D,DataViz!$B53,'Supply planning data'!$C:$C,DataViz!AK$34),
IF(AK$35="Dose 2",SUMIFS('Supply planning data'!$H:$H,'Supply planning data'!$D:$D,DataViz!$B53,'Supply planning data'!$C:$C,DataViz!AK$34),
IF(AK$35="Wastage",SUMIFS('Supply planning data'!$K:$K,'Supply planning data'!$D:$D,DataViz!$B53,'Supply planning data'!$C:$C,DataViz!AK$34),
IF(AK$35="Additional",SUMIFS('Supply planning data'!$I:$I,'Supply planning data'!$D:$D,DataViz!$B53,'Supply planning data'!$C:$C,DataViz!AK$34),
0))))</f>
        <v>0</v>
      </c>
      <c r="AL53" s="22">
        <f>IF(AL$35="Dose 1",SUMIFS('Supply planning data'!$G:$G,'Supply planning data'!$D:$D,DataViz!$B53,'Supply planning data'!$C:$C,DataViz!AL$34),
IF(AL$35="Dose 2",SUMIFS('Supply planning data'!$H:$H,'Supply planning data'!$D:$D,DataViz!$B53,'Supply planning data'!$C:$C,DataViz!AL$34),
IF(AL$35="Wastage",SUMIFS('Supply planning data'!$K:$K,'Supply planning data'!$D:$D,DataViz!$B53,'Supply planning data'!$C:$C,DataViz!AL$34),
IF(AL$35="Additional",SUMIFS('Supply planning data'!$I:$I,'Supply planning data'!$D:$D,DataViz!$B53,'Supply planning data'!$C:$C,DataViz!AL$34),
0))))</f>
        <v>0</v>
      </c>
      <c r="AM53" s="22">
        <f>IF(AM$35="Dose 1",SUMIFS('Supply planning data'!$G:$G,'Supply planning data'!$D:$D,DataViz!$B53,'Supply planning data'!$C:$C,DataViz!AM$34),
IF(AM$35="Dose 2",SUMIFS('Supply planning data'!$H:$H,'Supply planning data'!$D:$D,DataViz!$B53,'Supply planning data'!$C:$C,DataViz!AM$34),
IF(AM$35="Wastage",SUMIFS('Supply planning data'!$K:$K,'Supply planning data'!$D:$D,DataViz!$B53,'Supply planning data'!$C:$C,DataViz!AM$34),
IF(AM$35="Additional",SUMIFS('Supply planning data'!$I:$I,'Supply planning data'!$D:$D,DataViz!$B53,'Supply planning data'!$C:$C,DataViz!AM$34),
0))))</f>
        <v>0</v>
      </c>
      <c r="AN53" s="22">
        <f>IF(AN$35="Dose 1",SUMIFS('Supply planning data'!$G:$G,'Supply planning data'!$D:$D,DataViz!$B53,'Supply planning data'!$C:$C,DataViz!AN$34),
IF(AN$35="Dose 2",SUMIFS('Supply planning data'!$H:$H,'Supply planning data'!$D:$D,DataViz!$B53,'Supply planning data'!$C:$C,DataViz!AN$34),
IF(AN$35="Wastage",SUMIFS('Supply planning data'!$K:$K,'Supply planning data'!$D:$D,DataViz!$B53,'Supply planning data'!$C:$C,DataViz!AN$34),
IF(AN$35="Additional",SUMIFS('Supply planning data'!$I:$I,'Supply planning data'!$D:$D,DataViz!$B53,'Supply planning data'!$C:$C,DataViz!AN$34),
0))))</f>
        <v>0</v>
      </c>
      <c r="AO53" s="22">
        <f>IF(AO$35="Dose 1",SUMIFS('Supply planning data'!$G:$G,'Supply planning data'!$D:$D,DataViz!$B53,'Supply planning data'!$C:$C,DataViz!AO$34),
IF(AO$35="Dose 2",SUMIFS('Supply planning data'!$H:$H,'Supply planning data'!$D:$D,DataViz!$B53,'Supply planning data'!$C:$C,DataViz!AO$34),
IF(AO$35="Wastage",SUMIFS('Supply planning data'!$K:$K,'Supply planning data'!$D:$D,DataViz!$B53,'Supply planning data'!$C:$C,DataViz!AO$34),
IF(AO$35="Additional",SUMIFS('Supply planning data'!$I:$I,'Supply planning data'!$D:$D,DataViz!$B53,'Supply planning data'!$C:$C,DataViz!AO$34),
0))))</f>
        <v>0</v>
      </c>
      <c r="AP53" s="22">
        <f>IF(AP$35="Dose 1",SUMIFS('Supply planning data'!$G:$G,'Supply planning data'!$D:$D,DataViz!$B53,'Supply planning data'!$C:$C,DataViz!AP$34),
IF(AP$35="Dose 2",SUMIFS('Supply planning data'!$H:$H,'Supply planning data'!$D:$D,DataViz!$B53,'Supply planning data'!$C:$C,DataViz!AP$34),
IF(AP$35="Wastage",SUMIFS('Supply planning data'!$K:$K,'Supply planning data'!$D:$D,DataViz!$B53,'Supply planning data'!$C:$C,DataViz!AP$34),
IF(AP$35="Additional",SUMIFS('Supply planning data'!$I:$I,'Supply planning data'!$D:$D,DataViz!$B53,'Supply planning data'!$C:$C,DataViz!AP$34),
0))))</f>
        <v>0</v>
      </c>
      <c r="AQ53" s="22">
        <f>IF(AQ$35="Dose 1",SUMIFS('Supply planning data'!$G:$G,'Supply planning data'!$D:$D,DataViz!$B53,'Supply planning data'!$C:$C,DataViz!AQ$34),
IF(AQ$35="Dose 2",SUMIFS('Supply planning data'!$H:$H,'Supply planning data'!$D:$D,DataViz!$B53,'Supply planning data'!$C:$C,DataViz!AQ$34),
IF(AQ$35="Wastage",SUMIFS('Supply planning data'!$K:$K,'Supply planning data'!$D:$D,DataViz!$B53,'Supply planning data'!$C:$C,DataViz!AQ$34),
IF(AQ$35="Additional",SUMIFS('Supply planning data'!$I:$I,'Supply planning data'!$D:$D,DataViz!$B53,'Supply planning data'!$C:$C,DataViz!AQ$34),
0))))</f>
        <v>0</v>
      </c>
      <c r="AR53" s="22">
        <f>IF(AR$35="Dose 1",SUMIFS('Supply planning data'!$G:$G,'Supply planning data'!$D:$D,DataViz!$B53,'Supply planning data'!$C:$C,DataViz!AR$34),
IF(AR$35="Dose 2",SUMIFS('Supply planning data'!$H:$H,'Supply planning data'!$D:$D,DataViz!$B53,'Supply planning data'!$C:$C,DataViz!AR$34),
IF(AR$35="Wastage",SUMIFS('Supply planning data'!$K:$K,'Supply planning data'!$D:$D,DataViz!$B53,'Supply planning data'!$C:$C,DataViz!AR$34),
IF(AR$35="Additional",SUMIFS('Supply planning data'!$I:$I,'Supply planning data'!$D:$D,DataViz!$B53,'Supply planning data'!$C:$C,DataViz!AR$34),
0))))</f>
        <v>0</v>
      </c>
      <c r="AS53" s="22">
        <f>IF(AS$35="Dose 1",SUMIFS('Supply planning data'!$G:$G,'Supply planning data'!$D:$D,DataViz!$B53,'Supply planning data'!$C:$C,DataViz!AS$34),
IF(AS$35="Dose 2",SUMIFS('Supply planning data'!$H:$H,'Supply planning data'!$D:$D,DataViz!$B53,'Supply planning data'!$C:$C,DataViz!AS$34),
IF(AS$35="Wastage",SUMIFS('Supply planning data'!$K:$K,'Supply planning data'!$D:$D,DataViz!$B53,'Supply planning data'!$C:$C,DataViz!AS$34),
IF(AS$35="Additional",SUMIFS('Supply planning data'!$I:$I,'Supply planning data'!$D:$D,DataViz!$B53,'Supply planning data'!$C:$C,DataViz!AS$34),
0))))</f>
        <v>0</v>
      </c>
      <c r="AT53" s="22">
        <f>IF(AT$35="Dose 1",SUMIFS('Supply planning data'!$G:$G,'Supply planning data'!$D:$D,DataViz!$B53,'Supply planning data'!$C:$C,DataViz!AT$34),
IF(AT$35="Dose 2",SUMIFS('Supply planning data'!$H:$H,'Supply planning data'!$D:$D,DataViz!$B53,'Supply planning data'!$C:$C,DataViz!AT$34),
IF(AT$35="Wastage",SUMIFS('Supply planning data'!$K:$K,'Supply planning data'!$D:$D,DataViz!$B53,'Supply planning data'!$C:$C,DataViz!AT$34),
IF(AT$35="Additional",SUMIFS('Supply planning data'!$I:$I,'Supply planning data'!$D:$D,DataViz!$B53,'Supply planning data'!$C:$C,DataViz!AT$34),
0))))</f>
        <v>0</v>
      </c>
      <c r="AU53" s="22">
        <f>IF(AU$35="Dose 1",SUMIFS('Supply planning data'!$G:$G,'Supply planning data'!$D:$D,DataViz!$B53,'Supply planning data'!$C:$C,DataViz!AU$34),
IF(AU$35="Dose 2",SUMIFS('Supply planning data'!$H:$H,'Supply planning data'!$D:$D,DataViz!$B53,'Supply planning data'!$C:$C,DataViz!AU$34),
IF(AU$35="Wastage",SUMIFS('Supply planning data'!$K:$K,'Supply planning data'!$D:$D,DataViz!$B53,'Supply planning data'!$C:$C,DataViz!AU$34),
IF(AU$35="Additional",SUMIFS('Supply planning data'!$I:$I,'Supply planning data'!$D:$D,DataViz!$B53,'Supply planning data'!$C:$C,DataViz!AU$34),
0))))</f>
        <v>0</v>
      </c>
      <c r="AV53" s="22">
        <f>IF(AV$35="Dose 1",SUMIFS('Supply planning data'!$G:$G,'Supply planning data'!$D:$D,DataViz!$B53,'Supply planning data'!$C:$C,DataViz!AV$34),
IF(AV$35="Dose 2",SUMIFS('Supply planning data'!$H:$H,'Supply planning data'!$D:$D,DataViz!$B53,'Supply planning data'!$C:$C,DataViz!AV$34),
IF(AV$35="Wastage",SUMIFS('Supply planning data'!$K:$K,'Supply planning data'!$D:$D,DataViz!$B53,'Supply planning data'!$C:$C,DataViz!AV$34),
IF(AV$35="Additional",SUMIFS('Supply planning data'!$I:$I,'Supply planning data'!$D:$D,DataViz!$B53,'Supply planning data'!$C:$C,DataViz!AV$34),
0))))</f>
        <v>0</v>
      </c>
      <c r="AW53" s="22">
        <f>IF(AW$35="Dose 1",SUMIFS('Supply planning data'!$G:$G,'Supply planning data'!$D:$D,DataViz!$B53,'Supply planning data'!$C:$C,DataViz!AW$34),
IF(AW$35="Dose 2",SUMIFS('Supply planning data'!$H:$H,'Supply planning data'!$D:$D,DataViz!$B53,'Supply planning data'!$C:$C,DataViz!AW$34),
IF(AW$35="Wastage",SUMIFS('Supply planning data'!$K:$K,'Supply planning data'!$D:$D,DataViz!$B53,'Supply planning data'!$C:$C,DataViz!AW$34),
IF(AW$35="Additional",SUMIFS('Supply planning data'!$I:$I,'Supply planning data'!$D:$D,DataViz!$B53,'Supply planning data'!$C:$C,DataViz!AW$34),
0))))</f>
        <v>0</v>
      </c>
      <c r="AX53" s="22">
        <f>IF(AX$35="Dose 1",SUMIFS('Supply planning data'!$G:$G,'Supply planning data'!$D:$D,DataViz!$B53,'Supply planning data'!$C:$C,DataViz!AX$34),
IF(AX$35="Dose 2",SUMIFS('Supply planning data'!$H:$H,'Supply planning data'!$D:$D,DataViz!$B53,'Supply planning data'!$C:$C,DataViz!AX$34),
IF(AX$35="Wastage",SUMIFS('Supply planning data'!$K:$K,'Supply planning data'!$D:$D,DataViz!$B53,'Supply planning data'!$C:$C,DataViz!AX$34),
IF(AX$35="Additional",SUMIFS('Supply planning data'!$I:$I,'Supply planning data'!$D:$D,DataViz!$B53,'Supply planning data'!$C:$C,DataViz!AX$34),
0))))</f>
        <v>0</v>
      </c>
      <c r="AY53" s="22">
        <f>IF(AY$35="Dose 1",SUMIFS('Supply planning data'!$G:$G,'Supply planning data'!$D:$D,DataViz!$B53,'Supply planning data'!$C:$C,DataViz!AY$34),
IF(AY$35="Dose 2",SUMIFS('Supply planning data'!$H:$H,'Supply planning data'!$D:$D,DataViz!$B53,'Supply planning data'!$C:$C,DataViz!AY$34),
IF(AY$35="Wastage",SUMIFS('Supply planning data'!$K:$K,'Supply planning data'!$D:$D,DataViz!$B53,'Supply planning data'!$C:$C,DataViz!AY$34),
IF(AY$35="Additional",SUMIFS('Supply planning data'!$I:$I,'Supply planning data'!$D:$D,DataViz!$B53,'Supply planning data'!$C:$C,DataViz!AY$34),
0))))</f>
        <v>0</v>
      </c>
      <c r="AZ53" s="22">
        <f>IF(AZ$35="Dose 1",SUMIFS('Supply planning data'!$G:$G,'Supply planning data'!$D:$D,DataViz!$B53,'Supply planning data'!$C:$C,DataViz!AZ$34),
IF(AZ$35="Dose 2",SUMIFS('Supply planning data'!$H:$H,'Supply planning data'!$D:$D,DataViz!$B53,'Supply planning data'!$C:$C,DataViz!AZ$34),
IF(AZ$35="Wastage",SUMIFS('Supply planning data'!$K:$K,'Supply planning data'!$D:$D,DataViz!$B53,'Supply planning data'!$C:$C,DataViz!AZ$34),
IF(AZ$35="Additional",SUMIFS('Supply planning data'!$I:$I,'Supply planning data'!$D:$D,DataViz!$B53,'Supply planning data'!$C:$C,DataViz!AZ$34),
0))))</f>
        <v>0</v>
      </c>
      <c r="BA53" s="22">
        <f>IF(BA$35="Dose 1",SUMIFS('Supply planning data'!$G:$G,'Supply planning data'!$D:$D,DataViz!$B53,'Supply planning data'!$C:$C,DataViz!BA$34),
IF(BA$35="Dose 2",SUMIFS('Supply planning data'!$H:$H,'Supply planning data'!$D:$D,DataViz!$B53,'Supply planning data'!$C:$C,DataViz!BA$34),
IF(BA$35="Wastage",SUMIFS('Supply planning data'!$K:$K,'Supply planning data'!$D:$D,DataViz!$B53,'Supply planning data'!$C:$C,DataViz!BA$34),
IF(BA$35="Additional",SUMIFS('Supply planning data'!$I:$I,'Supply planning data'!$D:$D,DataViz!$B53,'Supply planning data'!$C:$C,DataViz!BA$34),
0))))</f>
        <v>0</v>
      </c>
      <c r="BB53" s="22">
        <f>IF(BB$35="Dose 1",SUMIFS('Supply planning data'!$G:$G,'Supply planning data'!$D:$D,DataViz!$B53,'Supply planning data'!$C:$C,DataViz!BB$34),
IF(BB$35="Dose 2",SUMIFS('Supply planning data'!$H:$H,'Supply planning data'!$D:$D,DataViz!$B53,'Supply planning data'!$C:$C,DataViz!BB$34),
IF(BB$35="Wastage",SUMIFS('Supply planning data'!$K:$K,'Supply planning data'!$D:$D,DataViz!$B53,'Supply planning data'!$C:$C,DataViz!BB$34),
IF(BB$35="Additional",SUMIFS('Supply planning data'!$I:$I,'Supply planning data'!$D:$D,DataViz!$B53,'Supply planning data'!$C:$C,DataViz!BB$34),
0))))</f>
        <v>0</v>
      </c>
      <c r="BC53" s="22">
        <f>IF(BC$35="Dose 1",SUMIFS('Supply planning data'!$G:$G,'Supply planning data'!$D:$D,DataViz!$B53,'Supply planning data'!$C:$C,DataViz!BC$34),
IF(BC$35="Dose 2",SUMIFS('Supply planning data'!$H:$H,'Supply planning data'!$D:$D,DataViz!$B53,'Supply planning data'!$C:$C,DataViz!BC$34),
IF(BC$35="Wastage",SUMIFS('Supply planning data'!$K:$K,'Supply planning data'!$D:$D,DataViz!$B53,'Supply planning data'!$C:$C,DataViz!BC$34),
IF(BC$35="Additional",SUMIFS('Supply planning data'!$I:$I,'Supply planning data'!$D:$D,DataViz!$B53,'Supply planning data'!$C:$C,DataViz!BC$34),
0))))</f>
        <v>0</v>
      </c>
      <c r="BD53" s="22">
        <f>IF(BD$35="Dose 1",SUMIFS('Supply planning data'!$G:$G,'Supply planning data'!$D:$D,DataViz!$B53,'Supply planning data'!$C:$C,DataViz!BD$34),
IF(BD$35="Dose 2",SUMIFS('Supply planning data'!$H:$H,'Supply planning data'!$D:$D,DataViz!$B53,'Supply planning data'!$C:$C,DataViz!BD$34),
IF(BD$35="Wastage",SUMIFS('Supply planning data'!$K:$K,'Supply planning data'!$D:$D,DataViz!$B53,'Supply planning data'!$C:$C,DataViz!BD$34),
IF(BD$35="Additional",SUMIFS('Supply planning data'!$I:$I,'Supply planning data'!$D:$D,DataViz!$B53,'Supply planning data'!$C:$C,DataViz!BD$34),
0))))</f>
        <v>0</v>
      </c>
      <c r="BE53" s="22">
        <f>IF(BE$35="Dose 1",SUMIFS('Supply planning data'!$G:$G,'Supply planning data'!$D:$D,DataViz!$B53,'Supply planning data'!$C:$C,DataViz!BE$34),
IF(BE$35="Dose 2",SUMIFS('Supply planning data'!$H:$H,'Supply planning data'!$D:$D,DataViz!$B53,'Supply planning data'!$C:$C,DataViz!BE$34),
IF(BE$35="Wastage",SUMIFS('Supply planning data'!$K:$K,'Supply planning data'!$D:$D,DataViz!$B53,'Supply planning data'!$C:$C,DataViz!BE$34),
IF(BE$35="Additional",SUMIFS('Supply planning data'!$I:$I,'Supply planning data'!$D:$D,DataViz!$B53,'Supply planning data'!$C:$C,DataViz!BE$34),
0))))</f>
        <v>0</v>
      </c>
      <c r="BF53" s="22">
        <f>IF(BF$35="Dose 1",SUMIFS('Supply planning data'!$G:$G,'Supply planning data'!$D:$D,DataViz!$B53,'Supply planning data'!$C:$C,DataViz!BF$34),
IF(BF$35="Dose 2",SUMIFS('Supply planning data'!$H:$H,'Supply planning data'!$D:$D,DataViz!$B53,'Supply planning data'!$C:$C,DataViz!BF$34),
IF(BF$35="Wastage",SUMIFS('Supply planning data'!$K:$K,'Supply planning data'!$D:$D,DataViz!$B53,'Supply planning data'!$C:$C,DataViz!BF$34),
IF(BF$35="Additional",SUMIFS('Supply planning data'!$I:$I,'Supply planning data'!$D:$D,DataViz!$B53,'Supply planning data'!$C:$C,DataViz!BF$34),
0))))</f>
        <v>0</v>
      </c>
      <c r="BG53" s="22">
        <f>IF(BG$35="Dose 1",SUMIFS('Supply planning data'!$G:$G,'Supply planning data'!$D:$D,DataViz!$B53,'Supply planning data'!$C:$C,DataViz!BG$34),
IF(BG$35="Dose 2",SUMIFS('Supply planning data'!$H:$H,'Supply planning data'!$D:$D,DataViz!$B53,'Supply planning data'!$C:$C,DataViz!BG$34),
IF(BG$35="Wastage",SUMIFS('Supply planning data'!$K:$K,'Supply planning data'!$D:$D,DataViz!$B53,'Supply planning data'!$C:$C,DataViz!BG$34),
IF(BG$35="Additional",SUMIFS('Supply planning data'!$I:$I,'Supply planning data'!$D:$D,DataViz!$B53,'Supply planning data'!$C:$C,DataViz!BG$34),
0))))</f>
        <v>0</v>
      </c>
      <c r="BH53" s="22">
        <f>IF(BH$35="Dose 1",SUMIFS('Supply planning data'!$G:$G,'Supply planning data'!$D:$D,DataViz!$B53,'Supply planning data'!$C:$C,DataViz!BH$34),
IF(BH$35="Dose 2",SUMIFS('Supply planning data'!$H:$H,'Supply planning data'!$D:$D,DataViz!$B53,'Supply planning data'!$C:$C,DataViz!BH$34),
IF(BH$35="Wastage",SUMIFS('Supply planning data'!$K:$K,'Supply planning data'!$D:$D,DataViz!$B53,'Supply planning data'!$C:$C,DataViz!BH$34),
IF(BH$35="Additional",SUMIFS('Supply planning data'!$I:$I,'Supply planning data'!$D:$D,DataViz!$B53,'Supply planning data'!$C:$C,DataViz!BH$34),
0))))</f>
        <v>0</v>
      </c>
      <c r="BI53" s="22">
        <f>IF(BI$35="Dose 1",SUMIFS('Supply planning data'!$G:$G,'Supply planning data'!$D:$D,DataViz!$B53,'Supply planning data'!$C:$C,DataViz!BI$34),
IF(BI$35="Dose 2",SUMIFS('Supply planning data'!$H:$H,'Supply planning data'!$D:$D,DataViz!$B53,'Supply planning data'!$C:$C,DataViz!BI$34),
IF(BI$35="Wastage",SUMIFS('Supply planning data'!$K:$K,'Supply planning data'!$D:$D,DataViz!$B53,'Supply planning data'!$C:$C,DataViz!BI$34),
IF(BI$35="Additional",SUMIFS('Supply planning data'!$I:$I,'Supply planning data'!$D:$D,DataViz!$B53,'Supply planning data'!$C:$C,DataViz!BI$34),
0))))</f>
        <v>0</v>
      </c>
      <c r="BJ53" s="22">
        <f>IF(BJ$35="Dose 1",SUMIFS('Supply planning data'!$G:$G,'Supply planning data'!$D:$D,DataViz!$B53,'Supply planning data'!$C:$C,DataViz!BJ$34),
IF(BJ$35="Dose 2",SUMIFS('Supply planning data'!$H:$H,'Supply planning data'!$D:$D,DataViz!$B53,'Supply planning data'!$C:$C,DataViz!BJ$34),
IF(BJ$35="Wastage",SUMIFS('Supply planning data'!$K:$K,'Supply planning data'!$D:$D,DataViz!$B53,'Supply planning data'!$C:$C,DataViz!BJ$34),
IF(BJ$35="Additional",SUMIFS('Supply planning data'!$I:$I,'Supply planning data'!$D:$D,DataViz!$B53,'Supply planning data'!$C:$C,DataViz!BJ$34),
0))))</f>
        <v>0</v>
      </c>
      <c r="BK53" s="22">
        <f>IF(BK$35="Dose 1",SUMIFS('Supply planning data'!$G:$G,'Supply planning data'!$D:$D,DataViz!$B53,'Supply planning data'!$C:$C,DataViz!BK$34),
IF(BK$35="Dose 2",SUMIFS('Supply planning data'!$H:$H,'Supply planning data'!$D:$D,DataViz!$B53,'Supply planning data'!$C:$C,DataViz!BK$34),
IF(BK$35="Wastage",SUMIFS('Supply planning data'!$K:$K,'Supply planning data'!$D:$D,DataViz!$B53,'Supply planning data'!$C:$C,DataViz!BK$34),
IF(BK$35="Additional",SUMIFS('Supply planning data'!$I:$I,'Supply planning data'!$D:$D,DataViz!$B53,'Supply planning data'!$C:$C,DataViz!BK$34),
0))))</f>
        <v>0</v>
      </c>
      <c r="BL53" s="22">
        <f>IF(BL$35="Dose 1",SUMIFS('Supply planning data'!$G:$G,'Supply planning data'!$D:$D,DataViz!$B53,'Supply planning data'!$C:$C,DataViz!BL$34),
IF(BL$35="Dose 2",SUMIFS('Supply planning data'!$H:$H,'Supply planning data'!$D:$D,DataViz!$B53,'Supply planning data'!$C:$C,DataViz!BL$34),
IF(BL$35="Wastage",SUMIFS('Supply planning data'!$K:$K,'Supply planning data'!$D:$D,DataViz!$B53,'Supply planning data'!$C:$C,DataViz!BL$34),
IF(BL$35="Additional",SUMIFS('Supply planning data'!$I:$I,'Supply planning data'!$D:$D,DataViz!$B53,'Supply planning data'!$C:$C,DataViz!BL$34),
0))))</f>
        <v>0</v>
      </c>
    </row>
    <row r="54" spans="1:64" x14ac:dyDescent="0.25">
      <c r="A54" s="20">
        <v>16</v>
      </c>
      <c r="B54" s="21">
        <f t="shared" si="15"/>
        <v>44743</v>
      </c>
      <c r="C54" s="22">
        <f>IF(VLOOKUP(Dashboard!$M$6,Start!$B$10:$E$12,4,FALSE)&gt;0,VLOOKUP(Dashboard!$M$6,Start!$B$10:$E$12,4, FALSE),VLOOKUP(Dashboard!$M$6,Start!$B$10:$E$12,3, FALSE))</f>
        <v>60000000</v>
      </c>
      <c r="D54" s="22">
        <f>SUMIFS('Supply planning data'!M:M,'Supply planning data'!D:D,"&lt;="&amp;DataViz!B54)</f>
        <v>2720887</v>
      </c>
      <c r="E54" s="22">
        <f>IF(E$35="Dose 1",SUMIFS('Supply planning data'!$G:$G,'Supply planning data'!$D:$D,DataViz!$B54,'Supply planning data'!$C:$C,DataViz!E$34),
IF(E$35="Dose 2",SUMIFS('Supply planning data'!$H:$H,'Supply planning data'!$D:$D,DataViz!$B54,'Supply planning data'!$C:$C,DataViz!E$34),
IF(E$35="Wastage",SUMIFS('Supply planning data'!$K:$K,'Supply planning data'!$D:$D,DataViz!$B54,'Supply planning data'!$C:$C,DataViz!E$34),
IF(E$35="Additional",SUMIFS('Supply planning data'!$I:$I,'Supply planning data'!$D:$D,DataViz!$B54,'Supply planning data'!$C:$C,DataViz!E$34),
0))))</f>
        <v>0</v>
      </c>
      <c r="F54" s="22">
        <f>IF(F$35="Dose 1",SUMIFS('Supply planning data'!$G:$G,'Supply planning data'!$D:$D,DataViz!$B54,'Supply planning data'!$C:$C,DataViz!F$34),
IF(F$35="Dose 2",SUMIFS('Supply planning data'!$H:$H,'Supply planning data'!$D:$D,DataViz!$B54,'Supply planning data'!$C:$C,DataViz!F$34),
IF(F$35="Wastage",SUMIFS('Supply planning data'!$K:$K,'Supply planning data'!$D:$D,DataViz!$B54,'Supply planning data'!$C:$C,DataViz!F$34),
IF(F$35="Additional",SUMIFS('Supply planning data'!$I:$I,'Supply planning data'!$D:$D,DataViz!$B54,'Supply planning data'!$C:$C,DataViz!F$34),
0))))</f>
        <v>0</v>
      </c>
      <c r="G54" s="22">
        <f>IF(G$35="Dose 1",SUMIFS('Supply planning data'!$G:$G,'Supply planning data'!$D:$D,DataViz!$B54,'Supply planning data'!$C:$C,DataViz!G$34),
IF(G$35="Dose 2",SUMIFS('Supply planning data'!$H:$H,'Supply planning data'!$D:$D,DataViz!$B54,'Supply planning data'!$C:$C,DataViz!G$34),
IF(G$35="Wastage",SUMIFS('Supply planning data'!$K:$K,'Supply planning data'!$D:$D,DataViz!$B54,'Supply planning data'!$C:$C,DataViz!G$34),
IF(G$35="Additional",SUMIFS('Supply planning data'!$I:$I,'Supply planning data'!$D:$D,DataViz!$B54,'Supply planning data'!$C:$C,DataViz!G$34),
0))))</f>
        <v>0</v>
      </c>
      <c r="H54" s="22">
        <f>IF(H$35="Dose 1",SUMIFS('Supply planning data'!$G:$G,'Supply planning data'!$D:$D,DataViz!$B54,'Supply planning data'!$C:$C,DataViz!H$34),
IF(H$35="Dose 2",SUMIFS('Supply planning data'!$H:$H,'Supply planning data'!$D:$D,DataViz!$B54,'Supply planning data'!$C:$C,DataViz!H$34),
IF(H$35="Wastage",SUMIFS('Supply planning data'!$K:$K,'Supply planning data'!$D:$D,DataViz!$B54,'Supply planning data'!$C:$C,DataViz!H$34),
IF(H$35="Additional",SUMIFS('Supply planning data'!$I:$I,'Supply planning data'!$D:$D,DataViz!$B54,'Supply planning data'!$C:$C,DataViz!H$34),
0))))</f>
        <v>0</v>
      </c>
      <c r="I54" s="22">
        <f>IF(I$35="Dose 1",SUMIFS('Supply planning data'!$G:$G,'Supply planning data'!$D:$D,DataViz!$B54,'Supply planning data'!$C:$C,DataViz!I$34),
IF(I$35="Dose 2",SUMIFS('Supply planning data'!$H:$H,'Supply planning data'!$D:$D,DataViz!$B54,'Supply planning data'!$C:$C,DataViz!I$34),
IF(I$35="Wastage",SUMIFS('Supply planning data'!$K:$K,'Supply planning data'!$D:$D,DataViz!$B54,'Supply planning data'!$C:$C,DataViz!I$34),
IF(I$35="Additional",SUMIFS('Supply planning data'!$I:$I,'Supply planning data'!$D:$D,DataViz!$B54,'Supply planning data'!$C:$C,DataViz!I$34),
0))))</f>
        <v>0</v>
      </c>
      <c r="J54" s="22">
        <f>IF(J$35="Dose 1",SUMIFS('Supply planning data'!$G:$G,'Supply planning data'!$D:$D,DataViz!$B54,'Supply planning data'!$C:$C,DataViz!J$34),
IF(J$35="Dose 2",SUMIFS('Supply planning data'!$H:$H,'Supply planning data'!$D:$D,DataViz!$B54,'Supply planning data'!$C:$C,DataViz!J$34),
IF(J$35="Wastage",SUMIFS('Supply planning data'!$K:$K,'Supply planning data'!$D:$D,DataViz!$B54,'Supply planning data'!$C:$C,DataViz!J$34),
IF(J$35="Additional",SUMIFS('Supply planning data'!$I:$I,'Supply planning data'!$D:$D,DataViz!$B54,'Supply planning data'!$C:$C,DataViz!J$34),
0))))</f>
        <v>0</v>
      </c>
      <c r="K54" s="22">
        <f>IF(K$35="Dose 1",SUMIFS('Supply planning data'!$G:$G,'Supply planning data'!$D:$D,DataViz!$B54,'Supply planning data'!$C:$C,DataViz!K$34),
IF(K$35="Dose 2",SUMIFS('Supply planning data'!$H:$H,'Supply planning data'!$D:$D,DataViz!$B54,'Supply planning data'!$C:$C,DataViz!K$34),
IF(K$35="Wastage",SUMIFS('Supply planning data'!$K:$K,'Supply planning data'!$D:$D,DataViz!$B54,'Supply planning data'!$C:$C,DataViz!K$34),
IF(K$35="Additional",SUMIFS('Supply planning data'!$I:$I,'Supply planning data'!$D:$D,DataViz!$B54,'Supply planning data'!$C:$C,DataViz!K$34),
0))))</f>
        <v>0</v>
      </c>
      <c r="L54" s="22">
        <f>IF(L$35="Dose 1",SUMIFS('Supply planning data'!$G:$G,'Supply planning data'!$D:$D,DataViz!$B54,'Supply planning data'!$C:$C,DataViz!L$34),
IF(L$35="Dose 2",SUMIFS('Supply planning data'!$H:$H,'Supply planning data'!$D:$D,DataViz!$B54,'Supply planning data'!$C:$C,DataViz!L$34),
IF(L$35="Wastage",SUMIFS('Supply planning data'!$K:$K,'Supply planning data'!$D:$D,DataViz!$B54,'Supply planning data'!$C:$C,DataViz!L$34),
IF(L$35="Additional",SUMIFS('Supply planning data'!$I:$I,'Supply planning data'!$D:$D,DataViz!$B54,'Supply planning data'!$C:$C,DataViz!L$34),
0))))</f>
        <v>0</v>
      </c>
      <c r="M54" s="22">
        <f>IF(M$35="Dose 1",SUMIFS('Supply planning data'!$G:$G,'Supply planning data'!$D:$D,DataViz!$B54,'Supply planning data'!$C:$C,DataViz!M$34),
IF(M$35="Dose 2",SUMIFS('Supply planning data'!$H:$H,'Supply planning data'!$D:$D,DataViz!$B54,'Supply planning data'!$C:$C,DataViz!M$34),
IF(M$35="Wastage",SUMIFS('Supply planning data'!$K:$K,'Supply planning data'!$D:$D,DataViz!$B54,'Supply planning data'!$C:$C,DataViz!M$34),
IF(M$35="Additional",SUMIFS('Supply planning data'!$I:$I,'Supply planning data'!$D:$D,DataViz!$B54,'Supply planning data'!$C:$C,DataViz!M$34),
0))))</f>
        <v>0</v>
      </c>
      <c r="N54" s="22">
        <f>IF(N$35="Dose 1",SUMIFS('Supply planning data'!$G:$G,'Supply planning data'!$D:$D,DataViz!$B54,'Supply planning data'!$C:$C,DataViz!N$34),
IF(N$35="Dose 2",SUMIFS('Supply planning data'!$H:$H,'Supply planning data'!$D:$D,DataViz!$B54,'Supply planning data'!$C:$C,DataViz!N$34),
IF(N$35="Wastage",SUMIFS('Supply planning data'!$K:$K,'Supply planning data'!$D:$D,DataViz!$B54,'Supply planning data'!$C:$C,DataViz!N$34),
IF(N$35="Additional",SUMIFS('Supply planning data'!$I:$I,'Supply planning data'!$D:$D,DataViz!$B54,'Supply planning data'!$C:$C,DataViz!N$34),
0))))</f>
        <v>0</v>
      </c>
      <c r="O54" s="22">
        <f>IF(O$35="Dose 1",SUMIFS('Supply planning data'!$G:$G,'Supply planning data'!$D:$D,DataViz!$B54,'Supply planning data'!$C:$C,DataViz!O$34),
IF(O$35="Dose 2",SUMIFS('Supply planning data'!$H:$H,'Supply planning data'!$D:$D,DataViz!$B54,'Supply planning data'!$C:$C,DataViz!O$34),
IF(O$35="Wastage",SUMIFS('Supply planning data'!$K:$K,'Supply planning data'!$D:$D,DataViz!$B54,'Supply planning data'!$C:$C,DataViz!O$34),
IF(O$35="Additional",SUMIFS('Supply planning data'!$I:$I,'Supply planning data'!$D:$D,DataViz!$B54,'Supply planning data'!$C:$C,DataViz!O$34),
0))))</f>
        <v>0</v>
      </c>
      <c r="P54" s="22">
        <f>IF(P$35="Dose 1",SUMIFS('Supply planning data'!$G:$G,'Supply planning data'!$D:$D,DataViz!$B54,'Supply planning data'!$C:$C,DataViz!P$34),
IF(P$35="Dose 2",SUMIFS('Supply planning data'!$H:$H,'Supply planning data'!$D:$D,DataViz!$B54,'Supply planning data'!$C:$C,DataViz!P$34),
IF(P$35="Wastage",SUMIFS('Supply planning data'!$K:$K,'Supply planning data'!$D:$D,DataViz!$B54,'Supply planning data'!$C:$C,DataViz!P$34),
IF(P$35="Additional",SUMIFS('Supply planning data'!$I:$I,'Supply planning data'!$D:$D,DataViz!$B54,'Supply planning data'!$C:$C,DataViz!P$34),
0))))</f>
        <v>0</v>
      </c>
      <c r="Q54" s="22">
        <f>IF(Q$35="Dose 1",SUMIFS('Supply planning data'!$G:$G,'Supply planning data'!$D:$D,DataViz!$B54,'Supply planning data'!$C:$C,DataViz!Q$34),
IF(Q$35="Dose 2",SUMIFS('Supply planning data'!$H:$H,'Supply planning data'!$D:$D,DataViz!$B54,'Supply planning data'!$C:$C,DataViz!Q$34),
IF(Q$35="Wastage",SUMIFS('Supply planning data'!$K:$K,'Supply planning data'!$D:$D,DataViz!$B54,'Supply planning data'!$C:$C,DataViz!Q$34),
IF(Q$35="Additional",SUMIFS('Supply planning data'!$I:$I,'Supply planning data'!$D:$D,DataViz!$B54,'Supply planning data'!$C:$C,DataViz!Q$34),
0))))</f>
        <v>0</v>
      </c>
      <c r="R54" s="22">
        <f>IF(R$35="Dose 1",SUMIFS('Supply planning data'!$G:$G,'Supply planning data'!$D:$D,DataViz!$B54,'Supply planning data'!$C:$C,DataViz!R$34),
IF(R$35="Dose 2",SUMIFS('Supply planning data'!$H:$H,'Supply planning data'!$D:$D,DataViz!$B54,'Supply planning data'!$C:$C,DataViz!R$34),
IF(R$35="Wastage",SUMIFS('Supply planning data'!$K:$K,'Supply planning data'!$D:$D,DataViz!$B54,'Supply planning data'!$C:$C,DataViz!R$34),
IF(R$35="Additional",SUMIFS('Supply planning data'!$I:$I,'Supply planning data'!$D:$D,DataViz!$B54,'Supply planning data'!$C:$C,DataViz!R$34),
0))))</f>
        <v>0</v>
      </c>
      <c r="S54" s="22">
        <f>IF(S$35="Dose 1",SUMIFS('Supply planning data'!$G:$G,'Supply planning data'!$D:$D,DataViz!$B54,'Supply planning data'!$C:$C,DataViz!S$34),
IF(S$35="Dose 2",SUMIFS('Supply planning data'!$H:$H,'Supply planning data'!$D:$D,DataViz!$B54,'Supply planning data'!$C:$C,DataViz!S$34),
IF(S$35="Wastage",SUMIFS('Supply planning data'!$K:$K,'Supply planning data'!$D:$D,DataViz!$B54,'Supply planning data'!$C:$C,DataViz!S$34),
IF(S$35="Additional",SUMIFS('Supply planning data'!$I:$I,'Supply planning data'!$D:$D,DataViz!$B54,'Supply planning data'!$C:$C,DataViz!S$34),
0))))</f>
        <v>0</v>
      </c>
      <c r="T54" s="22">
        <f>IF(T$35="Dose 1",SUMIFS('Supply planning data'!$G:$G,'Supply planning data'!$D:$D,DataViz!$B54,'Supply planning data'!$C:$C,DataViz!T$34),
IF(T$35="Dose 2",SUMIFS('Supply planning data'!$H:$H,'Supply planning data'!$D:$D,DataViz!$B54,'Supply planning data'!$C:$C,DataViz!T$34),
IF(T$35="Wastage",SUMIFS('Supply planning data'!$K:$K,'Supply planning data'!$D:$D,DataViz!$B54,'Supply planning data'!$C:$C,DataViz!T$34),
IF(T$35="Additional",SUMIFS('Supply planning data'!$I:$I,'Supply planning data'!$D:$D,DataViz!$B54,'Supply planning data'!$C:$C,DataViz!T$34),
0))))</f>
        <v>0</v>
      </c>
      <c r="U54" s="22">
        <f>IF(U$35="Dose 1",SUMIFS('Supply planning data'!$G:$G,'Supply planning data'!$D:$D,DataViz!$B54,'Supply planning data'!$C:$C,DataViz!U$34),
IF(U$35="Dose 2",SUMIFS('Supply planning data'!$H:$H,'Supply planning data'!$D:$D,DataViz!$B54,'Supply planning data'!$C:$C,DataViz!U$34),
IF(U$35="Wastage",SUMIFS('Supply planning data'!$K:$K,'Supply planning data'!$D:$D,DataViz!$B54,'Supply planning data'!$C:$C,DataViz!U$34),
IF(U$35="Additional",SUMIFS('Supply planning data'!$I:$I,'Supply planning data'!$D:$D,DataViz!$B54,'Supply planning data'!$C:$C,DataViz!U$34),
0))))</f>
        <v>0</v>
      </c>
      <c r="V54" s="22">
        <f>IF(V$35="Dose 1",SUMIFS('Supply planning data'!$G:$G,'Supply planning data'!$D:$D,DataViz!$B54,'Supply planning data'!$C:$C,DataViz!V$34),
IF(V$35="Dose 2",SUMIFS('Supply planning data'!$H:$H,'Supply planning data'!$D:$D,DataViz!$B54,'Supply planning data'!$C:$C,DataViz!V$34),
IF(V$35="Wastage",SUMIFS('Supply planning data'!$K:$K,'Supply planning data'!$D:$D,DataViz!$B54,'Supply planning data'!$C:$C,DataViz!V$34),
IF(V$35="Additional",SUMIFS('Supply planning data'!$I:$I,'Supply planning data'!$D:$D,DataViz!$B54,'Supply planning data'!$C:$C,DataViz!V$34),
0))))</f>
        <v>0</v>
      </c>
      <c r="W54" s="22">
        <f>IF(W$35="Dose 1",SUMIFS('Supply planning data'!$G:$G,'Supply planning data'!$D:$D,DataViz!$B54,'Supply planning data'!$C:$C,DataViz!W$34),
IF(W$35="Dose 2",SUMIFS('Supply planning data'!$H:$H,'Supply planning data'!$D:$D,DataViz!$B54,'Supply planning data'!$C:$C,DataViz!W$34),
IF(W$35="Wastage",SUMIFS('Supply planning data'!$K:$K,'Supply planning data'!$D:$D,DataViz!$B54,'Supply planning data'!$C:$C,DataViz!W$34),
IF(W$35="Additional",SUMIFS('Supply planning data'!$I:$I,'Supply planning data'!$D:$D,DataViz!$B54,'Supply planning data'!$C:$C,DataViz!W$34),
0))))</f>
        <v>0</v>
      </c>
      <c r="X54" s="22">
        <f>IF(X$35="Dose 1",SUMIFS('Supply planning data'!$G:$G,'Supply planning data'!$D:$D,DataViz!$B54,'Supply planning data'!$C:$C,DataViz!X$34),
IF(X$35="Dose 2",SUMIFS('Supply planning data'!$H:$H,'Supply planning data'!$D:$D,DataViz!$B54,'Supply planning data'!$C:$C,DataViz!X$34),
IF(X$35="Wastage",SUMIFS('Supply planning data'!$K:$K,'Supply planning data'!$D:$D,DataViz!$B54,'Supply planning data'!$C:$C,DataViz!X$34),
IF(X$35="Additional",SUMIFS('Supply planning data'!$I:$I,'Supply planning data'!$D:$D,DataViz!$B54,'Supply planning data'!$C:$C,DataViz!X$34),
0))))</f>
        <v>0</v>
      </c>
      <c r="Y54" s="22">
        <f>IF(Y$35="Dose 1",SUMIFS('Supply planning data'!$G:$G,'Supply planning data'!$D:$D,DataViz!$B54,'Supply planning data'!$C:$C,DataViz!Y$34),
IF(Y$35="Dose 2",SUMIFS('Supply planning data'!$H:$H,'Supply planning data'!$D:$D,DataViz!$B54,'Supply planning data'!$C:$C,DataViz!Y$34),
IF(Y$35="Wastage",SUMIFS('Supply planning data'!$K:$K,'Supply planning data'!$D:$D,DataViz!$B54,'Supply planning data'!$C:$C,DataViz!Y$34),
IF(Y$35="Additional",SUMIFS('Supply planning data'!$I:$I,'Supply planning data'!$D:$D,DataViz!$B54,'Supply planning data'!$C:$C,DataViz!Y$34),
0))))</f>
        <v>0</v>
      </c>
      <c r="Z54" s="22">
        <f>IF(Z$35="Dose 1",SUMIFS('Supply planning data'!$G:$G,'Supply planning data'!$D:$D,DataViz!$B54,'Supply planning data'!$C:$C,DataViz!Z$34),
IF(Z$35="Dose 2",SUMIFS('Supply planning data'!$H:$H,'Supply planning data'!$D:$D,DataViz!$B54,'Supply planning data'!$C:$C,DataViz!Z$34),
IF(Z$35="Wastage",SUMIFS('Supply planning data'!$K:$K,'Supply planning data'!$D:$D,DataViz!$B54,'Supply planning data'!$C:$C,DataViz!Z$34),
IF(Z$35="Additional",SUMIFS('Supply planning data'!$I:$I,'Supply planning data'!$D:$D,DataViz!$B54,'Supply planning data'!$C:$C,DataViz!Z$34),
0))))</f>
        <v>0</v>
      </c>
      <c r="AA54" s="22">
        <f>IF(AA$35="Dose 1",SUMIFS('Supply planning data'!$G:$G,'Supply planning data'!$D:$D,DataViz!$B54,'Supply planning data'!$C:$C,DataViz!AA$34),
IF(AA$35="Dose 2",SUMIFS('Supply planning data'!$H:$H,'Supply planning data'!$D:$D,DataViz!$B54,'Supply planning data'!$C:$C,DataViz!AA$34),
IF(AA$35="Wastage",SUMIFS('Supply planning data'!$K:$K,'Supply planning data'!$D:$D,DataViz!$B54,'Supply planning data'!$C:$C,DataViz!AA$34),
IF(AA$35="Additional",SUMIFS('Supply planning data'!$I:$I,'Supply planning data'!$D:$D,DataViz!$B54,'Supply planning data'!$C:$C,DataViz!AA$34),
0))))</f>
        <v>0</v>
      </c>
      <c r="AB54" s="22">
        <f>IF(AB$35="Dose 1",SUMIFS('Supply planning data'!$G:$G,'Supply planning data'!$D:$D,DataViz!$B54,'Supply planning data'!$C:$C,DataViz!AB$34),
IF(AB$35="Dose 2",SUMIFS('Supply planning data'!$H:$H,'Supply planning data'!$D:$D,DataViz!$B54,'Supply planning data'!$C:$C,DataViz!AB$34),
IF(AB$35="Wastage",SUMIFS('Supply planning data'!$K:$K,'Supply planning data'!$D:$D,DataViz!$B54,'Supply planning data'!$C:$C,DataViz!AB$34),
IF(AB$35="Additional",SUMIFS('Supply planning data'!$I:$I,'Supply planning data'!$D:$D,DataViz!$B54,'Supply planning data'!$C:$C,DataViz!AB$34),
0))))</f>
        <v>0</v>
      </c>
      <c r="AC54" s="22">
        <f>IF(AC$35="Dose 1",SUMIFS('Supply planning data'!$G:$G,'Supply planning data'!$D:$D,DataViz!$B54,'Supply planning data'!$C:$C,DataViz!AC$34),
IF(AC$35="Dose 2",SUMIFS('Supply planning data'!$H:$H,'Supply planning data'!$D:$D,DataViz!$B54,'Supply planning data'!$C:$C,DataViz!AC$34),
IF(AC$35="Wastage",SUMIFS('Supply planning data'!$K:$K,'Supply planning data'!$D:$D,DataViz!$B54,'Supply planning data'!$C:$C,DataViz!AC$34),
IF(AC$35="Additional",SUMIFS('Supply planning data'!$I:$I,'Supply planning data'!$D:$D,DataViz!$B54,'Supply planning data'!$C:$C,DataViz!AC$34),
0))))</f>
        <v>0</v>
      </c>
      <c r="AD54" s="22">
        <f>IF(AD$35="Dose 1",SUMIFS('Supply planning data'!$G:$G,'Supply planning data'!$D:$D,DataViz!$B54,'Supply planning data'!$C:$C,DataViz!AD$34),
IF(AD$35="Dose 2",SUMIFS('Supply planning data'!$H:$H,'Supply planning data'!$D:$D,DataViz!$B54,'Supply planning data'!$C:$C,DataViz!AD$34),
IF(AD$35="Wastage",SUMIFS('Supply planning data'!$K:$K,'Supply planning data'!$D:$D,DataViz!$B54,'Supply planning data'!$C:$C,DataViz!AD$34),
IF(AD$35="Additional",SUMIFS('Supply planning data'!$I:$I,'Supply planning data'!$D:$D,DataViz!$B54,'Supply planning data'!$C:$C,DataViz!AD$34),
0))))</f>
        <v>0</v>
      </c>
      <c r="AE54" s="22">
        <f>IF(AE$35="Dose 1",SUMIFS('Supply planning data'!$G:$G,'Supply planning data'!$D:$D,DataViz!$B54,'Supply planning data'!$C:$C,DataViz!AE$34),
IF(AE$35="Dose 2",SUMIFS('Supply planning data'!$H:$H,'Supply planning data'!$D:$D,DataViz!$B54,'Supply planning data'!$C:$C,DataViz!AE$34),
IF(AE$35="Wastage",SUMIFS('Supply planning data'!$K:$K,'Supply planning data'!$D:$D,DataViz!$B54,'Supply planning data'!$C:$C,DataViz!AE$34),
IF(AE$35="Additional",SUMIFS('Supply planning data'!$I:$I,'Supply planning data'!$D:$D,DataViz!$B54,'Supply planning data'!$C:$C,DataViz!AE$34),
0))))</f>
        <v>0</v>
      </c>
      <c r="AF54" s="22">
        <f>IF(AF$35="Dose 1",SUMIFS('Supply planning data'!$G:$G,'Supply planning data'!$D:$D,DataViz!$B54,'Supply planning data'!$C:$C,DataViz!AF$34),
IF(AF$35="Dose 2",SUMIFS('Supply planning data'!$H:$H,'Supply planning data'!$D:$D,DataViz!$B54,'Supply planning data'!$C:$C,DataViz!AF$34),
IF(AF$35="Wastage",SUMIFS('Supply planning data'!$K:$K,'Supply planning data'!$D:$D,DataViz!$B54,'Supply planning data'!$C:$C,DataViz!AF$34),
IF(AF$35="Additional",SUMIFS('Supply planning data'!$I:$I,'Supply planning data'!$D:$D,DataViz!$B54,'Supply planning data'!$C:$C,DataViz!AF$34),
0))))</f>
        <v>0</v>
      </c>
      <c r="AG54" s="22">
        <f>IF(AG$35="Dose 1",SUMIFS('Supply planning data'!$G:$G,'Supply planning data'!$D:$D,DataViz!$B54,'Supply planning data'!$C:$C,DataViz!AG$34),
IF(AG$35="Dose 2",SUMIFS('Supply planning data'!$H:$H,'Supply planning data'!$D:$D,DataViz!$B54,'Supply planning data'!$C:$C,DataViz!AG$34),
IF(AG$35="Wastage",SUMIFS('Supply planning data'!$K:$K,'Supply planning data'!$D:$D,DataViz!$B54,'Supply planning data'!$C:$C,DataViz!AG$34),
IF(AG$35="Additional",SUMIFS('Supply planning data'!$I:$I,'Supply planning data'!$D:$D,DataViz!$B54,'Supply planning data'!$C:$C,DataViz!AG$34),
0))))</f>
        <v>0</v>
      </c>
      <c r="AH54" s="22">
        <f>IF(AH$35="Dose 1",SUMIFS('Supply planning data'!$G:$G,'Supply planning data'!$D:$D,DataViz!$B54,'Supply planning data'!$C:$C,DataViz!AH$34),
IF(AH$35="Dose 2",SUMIFS('Supply planning data'!$H:$H,'Supply planning data'!$D:$D,DataViz!$B54,'Supply planning data'!$C:$C,DataViz!AH$34),
IF(AH$35="Wastage",SUMIFS('Supply planning data'!$K:$K,'Supply planning data'!$D:$D,DataViz!$B54,'Supply planning data'!$C:$C,DataViz!AH$34),
IF(AH$35="Additional",SUMIFS('Supply planning data'!$I:$I,'Supply planning data'!$D:$D,DataViz!$B54,'Supply planning data'!$C:$C,DataViz!AH$34),
0))))</f>
        <v>0</v>
      </c>
      <c r="AI54" s="22">
        <f>IF(AI$35="Dose 1",SUMIFS('Supply planning data'!$G:$G,'Supply planning data'!$D:$D,DataViz!$B54,'Supply planning data'!$C:$C,DataViz!AI$34),
IF(AI$35="Dose 2",SUMIFS('Supply planning data'!$H:$H,'Supply planning data'!$D:$D,DataViz!$B54,'Supply planning data'!$C:$C,DataViz!AI$34),
IF(AI$35="Wastage",SUMIFS('Supply planning data'!$K:$K,'Supply planning data'!$D:$D,DataViz!$B54,'Supply planning data'!$C:$C,DataViz!AI$34),
IF(AI$35="Additional",SUMIFS('Supply planning data'!$I:$I,'Supply planning data'!$D:$D,DataViz!$B54,'Supply planning data'!$C:$C,DataViz!AI$34),
0))))</f>
        <v>0</v>
      </c>
      <c r="AJ54" s="22">
        <f>IF(AJ$35="Dose 1",SUMIFS('Supply planning data'!$G:$G,'Supply planning data'!$D:$D,DataViz!$B54,'Supply planning data'!$C:$C,DataViz!AJ$34),
IF(AJ$35="Dose 2",SUMIFS('Supply planning data'!$H:$H,'Supply planning data'!$D:$D,DataViz!$B54,'Supply planning data'!$C:$C,DataViz!AJ$34),
IF(AJ$35="Wastage",SUMIFS('Supply planning data'!$K:$K,'Supply planning data'!$D:$D,DataViz!$B54,'Supply planning data'!$C:$C,DataViz!AJ$34),
IF(AJ$35="Additional",SUMIFS('Supply planning data'!$I:$I,'Supply planning data'!$D:$D,DataViz!$B54,'Supply planning data'!$C:$C,DataViz!AJ$34),
0))))</f>
        <v>0</v>
      </c>
      <c r="AK54" s="22">
        <f>IF(AK$35="Dose 1",SUMIFS('Supply planning data'!$G:$G,'Supply planning data'!$D:$D,DataViz!$B54,'Supply planning data'!$C:$C,DataViz!AK$34),
IF(AK$35="Dose 2",SUMIFS('Supply planning data'!$H:$H,'Supply planning data'!$D:$D,DataViz!$B54,'Supply planning data'!$C:$C,DataViz!AK$34),
IF(AK$35="Wastage",SUMIFS('Supply planning data'!$K:$K,'Supply planning data'!$D:$D,DataViz!$B54,'Supply planning data'!$C:$C,DataViz!AK$34),
IF(AK$35="Additional",SUMIFS('Supply planning data'!$I:$I,'Supply planning data'!$D:$D,DataViz!$B54,'Supply planning data'!$C:$C,DataViz!AK$34),
0))))</f>
        <v>0</v>
      </c>
      <c r="AL54" s="22">
        <f>IF(AL$35="Dose 1",SUMIFS('Supply planning data'!$G:$G,'Supply planning data'!$D:$D,DataViz!$B54,'Supply planning data'!$C:$C,DataViz!AL$34),
IF(AL$35="Dose 2",SUMIFS('Supply planning data'!$H:$H,'Supply planning data'!$D:$D,DataViz!$B54,'Supply planning data'!$C:$C,DataViz!AL$34),
IF(AL$35="Wastage",SUMIFS('Supply planning data'!$K:$K,'Supply planning data'!$D:$D,DataViz!$B54,'Supply planning data'!$C:$C,DataViz!AL$34),
IF(AL$35="Additional",SUMIFS('Supply planning data'!$I:$I,'Supply planning data'!$D:$D,DataViz!$B54,'Supply planning data'!$C:$C,DataViz!AL$34),
0))))</f>
        <v>0</v>
      </c>
      <c r="AM54" s="22">
        <f>IF(AM$35="Dose 1",SUMIFS('Supply planning data'!$G:$G,'Supply planning data'!$D:$D,DataViz!$B54,'Supply planning data'!$C:$C,DataViz!AM$34),
IF(AM$35="Dose 2",SUMIFS('Supply planning data'!$H:$H,'Supply planning data'!$D:$D,DataViz!$B54,'Supply planning data'!$C:$C,DataViz!AM$34),
IF(AM$35="Wastage",SUMIFS('Supply planning data'!$K:$K,'Supply planning data'!$D:$D,DataViz!$B54,'Supply planning data'!$C:$C,DataViz!AM$34),
IF(AM$35="Additional",SUMIFS('Supply planning data'!$I:$I,'Supply planning data'!$D:$D,DataViz!$B54,'Supply planning data'!$C:$C,DataViz!AM$34),
0))))</f>
        <v>0</v>
      </c>
      <c r="AN54" s="22">
        <f>IF(AN$35="Dose 1",SUMIFS('Supply planning data'!$G:$G,'Supply planning data'!$D:$D,DataViz!$B54,'Supply planning data'!$C:$C,DataViz!AN$34),
IF(AN$35="Dose 2",SUMIFS('Supply planning data'!$H:$H,'Supply planning data'!$D:$D,DataViz!$B54,'Supply planning data'!$C:$C,DataViz!AN$34),
IF(AN$35="Wastage",SUMIFS('Supply planning data'!$K:$K,'Supply planning data'!$D:$D,DataViz!$B54,'Supply planning data'!$C:$C,DataViz!AN$34),
IF(AN$35="Additional",SUMIFS('Supply planning data'!$I:$I,'Supply planning data'!$D:$D,DataViz!$B54,'Supply planning data'!$C:$C,DataViz!AN$34),
0))))</f>
        <v>0</v>
      </c>
      <c r="AO54" s="22">
        <f>IF(AO$35="Dose 1",SUMIFS('Supply planning data'!$G:$G,'Supply planning data'!$D:$D,DataViz!$B54,'Supply planning data'!$C:$C,DataViz!AO$34),
IF(AO$35="Dose 2",SUMIFS('Supply planning data'!$H:$H,'Supply planning data'!$D:$D,DataViz!$B54,'Supply planning data'!$C:$C,DataViz!AO$34),
IF(AO$35="Wastage",SUMIFS('Supply planning data'!$K:$K,'Supply planning data'!$D:$D,DataViz!$B54,'Supply planning data'!$C:$C,DataViz!AO$34),
IF(AO$35="Additional",SUMIFS('Supply planning data'!$I:$I,'Supply planning data'!$D:$D,DataViz!$B54,'Supply planning data'!$C:$C,DataViz!AO$34),
0))))</f>
        <v>0</v>
      </c>
      <c r="AP54" s="22">
        <f>IF(AP$35="Dose 1",SUMIFS('Supply planning data'!$G:$G,'Supply planning data'!$D:$D,DataViz!$B54,'Supply planning data'!$C:$C,DataViz!AP$34),
IF(AP$35="Dose 2",SUMIFS('Supply planning data'!$H:$H,'Supply planning data'!$D:$D,DataViz!$B54,'Supply planning data'!$C:$C,DataViz!AP$34),
IF(AP$35="Wastage",SUMIFS('Supply planning data'!$K:$K,'Supply planning data'!$D:$D,DataViz!$B54,'Supply planning data'!$C:$C,DataViz!AP$34),
IF(AP$35="Additional",SUMIFS('Supply planning data'!$I:$I,'Supply planning data'!$D:$D,DataViz!$B54,'Supply planning data'!$C:$C,DataViz!AP$34),
0))))</f>
        <v>0</v>
      </c>
      <c r="AQ54" s="22">
        <f>IF(AQ$35="Dose 1",SUMIFS('Supply planning data'!$G:$G,'Supply planning data'!$D:$D,DataViz!$B54,'Supply planning data'!$C:$C,DataViz!AQ$34),
IF(AQ$35="Dose 2",SUMIFS('Supply planning data'!$H:$H,'Supply planning data'!$D:$D,DataViz!$B54,'Supply planning data'!$C:$C,DataViz!AQ$34),
IF(AQ$35="Wastage",SUMIFS('Supply planning data'!$K:$K,'Supply planning data'!$D:$D,DataViz!$B54,'Supply planning data'!$C:$C,DataViz!AQ$34),
IF(AQ$35="Additional",SUMIFS('Supply planning data'!$I:$I,'Supply planning data'!$D:$D,DataViz!$B54,'Supply planning data'!$C:$C,DataViz!AQ$34),
0))))</f>
        <v>0</v>
      </c>
      <c r="AR54" s="22">
        <f>IF(AR$35="Dose 1",SUMIFS('Supply planning data'!$G:$G,'Supply planning data'!$D:$D,DataViz!$B54,'Supply planning data'!$C:$C,DataViz!AR$34),
IF(AR$35="Dose 2",SUMIFS('Supply planning data'!$H:$H,'Supply planning data'!$D:$D,DataViz!$B54,'Supply planning data'!$C:$C,DataViz!AR$34),
IF(AR$35="Wastage",SUMIFS('Supply planning data'!$K:$K,'Supply planning data'!$D:$D,DataViz!$B54,'Supply planning data'!$C:$C,DataViz!AR$34),
IF(AR$35="Additional",SUMIFS('Supply planning data'!$I:$I,'Supply planning data'!$D:$D,DataViz!$B54,'Supply planning data'!$C:$C,DataViz!AR$34),
0))))</f>
        <v>0</v>
      </c>
      <c r="AS54" s="22">
        <f>IF(AS$35="Dose 1",SUMIFS('Supply planning data'!$G:$G,'Supply planning data'!$D:$D,DataViz!$B54,'Supply planning data'!$C:$C,DataViz!AS$34),
IF(AS$35="Dose 2",SUMIFS('Supply planning data'!$H:$H,'Supply planning data'!$D:$D,DataViz!$B54,'Supply planning data'!$C:$C,DataViz!AS$34),
IF(AS$35="Wastage",SUMIFS('Supply planning data'!$K:$K,'Supply planning data'!$D:$D,DataViz!$B54,'Supply planning data'!$C:$C,DataViz!AS$34),
IF(AS$35="Additional",SUMIFS('Supply planning data'!$I:$I,'Supply planning data'!$D:$D,DataViz!$B54,'Supply planning data'!$C:$C,DataViz!AS$34),
0))))</f>
        <v>0</v>
      </c>
      <c r="AT54" s="22">
        <f>IF(AT$35="Dose 1",SUMIFS('Supply planning data'!$G:$G,'Supply planning data'!$D:$D,DataViz!$B54,'Supply planning data'!$C:$C,DataViz!AT$34),
IF(AT$35="Dose 2",SUMIFS('Supply planning data'!$H:$H,'Supply planning data'!$D:$D,DataViz!$B54,'Supply planning data'!$C:$C,DataViz!AT$34),
IF(AT$35="Wastage",SUMIFS('Supply planning data'!$K:$K,'Supply planning data'!$D:$D,DataViz!$B54,'Supply planning data'!$C:$C,DataViz!AT$34),
IF(AT$35="Additional",SUMIFS('Supply planning data'!$I:$I,'Supply planning data'!$D:$D,DataViz!$B54,'Supply planning data'!$C:$C,DataViz!AT$34),
0))))</f>
        <v>0</v>
      </c>
      <c r="AU54" s="22">
        <f>IF(AU$35="Dose 1",SUMIFS('Supply planning data'!$G:$G,'Supply planning data'!$D:$D,DataViz!$B54,'Supply planning data'!$C:$C,DataViz!AU$34),
IF(AU$35="Dose 2",SUMIFS('Supply planning data'!$H:$H,'Supply planning data'!$D:$D,DataViz!$B54,'Supply planning data'!$C:$C,DataViz!AU$34),
IF(AU$35="Wastage",SUMIFS('Supply planning data'!$K:$K,'Supply planning data'!$D:$D,DataViz!$B54,'Supply planning data'!$C:$C,DataViz!AU$34),
IF(AU$35="Additional",SUMIFS('Supply planning data'!$I:$I,'Supply planning data'!$D:$D,DataViz!$B54,'Supply planning data'!$C:$C,DataViz!AU$34),
0))))</f>
        <v>0</v>
      </c>
      <c r="AV54" s="22">
        <f>IF(AV$35="Dose 1",SUMIFS('Supply planning data'!$G:$G,'Supply planning data'!$D:$D,DataViz!$B54,'Supply planning data'!$C:$C,DataViz!AV$34),
IF(AV$35="Dose 2",SUMIFS('Supply planning data'!$H:$H,'Supply planning data'!$D:$D,DataViz!$B54,'Supply planning data'!$C:$C,DataViz!AV$34),
IF(AV$35="Wastage",SUMIFS('Supply planning data'!$K:$K,'Supply planning data'!$D:$D,DataViz!$B54,'Supply planning data'!$C:$C,DataViz!AV$34),
IF(AV$35="Additional",SUMIFS('Supply planning data'!$I:$I,'Supply planning data'!$D:$D,DataViz!$B54,'Supply planning data'!$C:$C,DataViz!AV$34),
0))))</f>
        <v>0</v>
      </c>
      <c r="AW54" s="22">
        <f>IF(AW$35="Dose 1",SUMIFS('Supply planning data'!$G:$G,'Supply planning data'!$D:$D,DataViz!$B54,'Supply planning data'!$C:$C,DataViz!AW$34),
IF(AW$35="Dose 2",SUMIFS('Supply planning data'!$H:$H,'Supply planning data'!$D:$D,DataViz!$B54,'Supply planning data'!$C:$C,DataViz!AW$34),
IF(AW$35="Wastage",SUMIFS('Supply planning data'!$K:$K,'Supply planning data'!$D:$D,DataViz!$B54,'Supply planning data'!$C:$C,DataViz!AW$34),
IF(AW$35="Additional",SUMIFS('Supply planning data'!$I:$I,'Supply planning data'!$D:$D,DataViz!$B54,'Supply planning data'!$C:$C,DataViz!AW$34),
0))))</f>
        <v>0</v>
      </c>
      <c r="AX54" s="22">
        <f>IF(AX$35="Dose 1",SUMIFS('Supply planning data'!$G:$G,'Supply planning data'!$D:$D,DataViz!$B54,'Supply planning data'!$C:$C,DataViz!AX$34),
IF(AX$35="Dose 2",SUMIFS('Supply planning data'!$H:$H,'Supply planning data'!$D:$D,DataViz!$B54,'Supply planning data'!$C:$C,DataViz!AX$34),
IF(AX$35="Wastage",SUMIFS('Supply planning data'!$K:$K,'Supply planning data'!$D:$D,DataViz!$B54,'Supply planning data'!$C:$C,DataViz!AX$34),
IF(AX$35="Additional",SUMIFS('Supply planning data'!$I:$I,'Supply planning data'!$D:$D,DataViz!$B54,'Supply planning data'!$C:$C,DataViz!AX$34),
0))))</f>
        <v>0</v>
      </c>
      <c r="AY54" s="22">
        <f>IF(AY$35="Dose 1",SUMIFS('Supply planning data'!$G:$G,'Supply planning data'!$D:$D,DataViz!$B54,'Supply planning data'!$C:$C,DataViz!AY$34),
IF(AY$35="Dose 2",SUMIFS('Supply planning data'!$H:$H,'Supply planning data'!$D:$D,DataViz!$B54,'Supply planning data'!$C:$C,DataViz!AY$34),
IF(AY$35="Wastage",SUMIFS('Supply planning data'!$K:$K,'Supply planning data'!$D:$D,DataViz!$B54,'Supply planning data'!$C:$C,DataViz!AY$34),
IF(AY$35="Additional",SUMIFS('Supply planning data'!$I:$I,'Supply planning data'!$D:$D,DataViz!$B54,'Supply planning data'!$C:$C,DataViz!AY$34),
0))))</f>
        <v>0</v>
      </c>
      <c r="AZ54" s="22">
        <f>IF(AZ$35="Dose 1",SUMIFS('Supply planning data'!$G:$G,'Supply planning data'!$D:$D,DataViz!$B54,'Supply planning data'!$C:$C,DataViz!AZ$34),
IF(AZ$35="Dose 2",SUMIFS('Supply planning data'!$H:$H,'Supply planning data'!$D:$D,DataViz!$B54,'Supply planning data'!$C:$C,DataViz!AZ$34),
IF(AZ$35="Wastage",SUMIFS('Supply planning data'!$K:$K,'Supply planning data'!$D:$D,DataViz!$B54,'Supply planning data'!$C:$C,DataViz!AZ$34),
IF(AZ$35="Additional",SUMIFS('Supply planning data'!$I:$I,'Supply planning data'!$D:$D,DataViz!$B54,'Supply planning data'!$C:$C,DataViz!AZ$34),
0))))</f>
        <v>0</v>
      </c>
      <c r="BA54" s="22">
        <f>IF(BA$35="Dose 1",SUMIFS('Supply planning data'!$G:$G,'Supply planning data'!$D:$D,DataViz!$B54,'Supply planning data'!$C:$C,DataViz!BA$34),
IF(BA$35="Dose 2",SUMIFS('Supply planning data'!$H:$H,'Supply planning data'!$D:$D,DataViz!$B54,'Supply planning data'!$C:$C,DataViz!BA$34),
IF(BA$35="Wastage",SUMIFS('Supply planning data'!$K:$K,'Supply planning data'!$D:$D,DataViz!$B54,'Supply planning data'!$C:$C,DataViz!BA$34),
IF(BA$35="Additional",SUMIFS('Supply planning data'!$I:$I,'Supply planning data'!$D:$D,DataViz!$B54,'Supply planning data'!$C:$C,DataViz!BA$34),
0))))</f>
        <v>0</v>
      </c>
      <c r="BB54" s="22">
        <f>IF(BB$35="Dose 1",SUMIFS('Supply planning data'!$G:$G,'Supply planning data'!$D:$D,DataViz!$B54,'Supply planning data'!$C:$C,DataViz!BB$34),
IF(BB$35="Dose 2",SUMIFS('Supply planning data'!$H:$H,'Supply planning data'!$D:$D,DataViz!$B54,'Supply planning data'!$C:$C,DataViz!BB$34),
IF(BB$35="Wastage",SUMIFS('Supply planning data'!$K:$K,'Supply planning data'!$D:$D,DataViz!$B54,'Supply planning data'!$C:$C,DataViz!BB$34),
IF(BB$35="Additional",SUMIFS('Supply planning data'!$I:$I,'Supply planning data'!$D:$D,DataViz!$B54,'Supply planning data'!$C:$C,DataViz!BB$34),
0))))</f>
        <v>0</v>
      </c>
      <c r="BC54" s="22">
        <f>IF(BC$35="Dose 1",SUMIFS('Supply planning data'!$G:$G,'Supply planning data'!$D:$D,DataViz!$B54,'Supply planning data'!$C:$C,DataViz!BC$34),
IF(BC$35="Dose 2",SUMIFS('Supply planning data'!$H:$H,'Supply planning data'!$D:$D,DataViz!$B54,'Supply planning data'!$C:$C,DataViz!BC$34),
IF(BC$35="Wastage",SUMIFS('Supply planning data'!$K:$K,'Supply planning data'!$D:$D,DataViz!$B54,'Supply planning data'!$C:$C,DataViz!BC$34),
IF(BC$35="Additional",SUMIFS('Supply planning data'!$I:$I,'Supply planning data'!$D:$D,DataViz!$B54,'Supply planning data'!$C:$C,DataViz!BC$34),
0))))</f>
        <v>0</v>
      </c>
      <c r="BD54" s="22">
        <f>IF(BD$35="Dose 1",SUMIFS('Supply planning data'!$G:$G,'Supply planning data'!$D:$D,DataViz!$B54,'Supply planning data'!$C:$C,DataViz!BD$34),
IF(BD$35="Dose 2",SUMIFS('Supply planning data'!$H:$H,'Supply planning data'!$D:$D,DataViz!$B54,'Supply planning data'!$C:$C,DataViz!BD$34),
IF(BD$35="Wastage",SUMIFS('Supply planning data'!$K:$K,'Supply planning data'!$D:$D,DataViz!$B54,'Supply planning data'!$C:$C,DataViz!BD$34),
IF(BD$35="Additional",SUMIFS('Supply planning data'!$I:$I,'Supply planning data'!$D:$D,DataViz!$B54,'Supply planning data'!$C:$C,DataViz!BD$34),
0))))</f>
        <v>0</v>
      </c>
      <c r="BE54" s="22">
        <f>IF(BE$35="Dose 1",SUMIFS('Supply planning data'!$G:$G,'Supply planning data'!$D:$D,DataViz!$B54,'Supply planning data'!$C:$C,DataViz!BE$34),
IF(BE$35="Dose 2",SUMIFS('Supply planning data'!$H:$H,'Supply planning data'!$D:$D,DataViz!$B54,'Supply planning data'!$C:$C,DataViz!BE$34),
IF(BE$35="Wastage",SUMIFS('Supply planning data'!$K:$K,'Supply planning data'!$D:$D,DataViz!$B54,'Supply planning data'!$C:$C,DataViz!BE$34),
IF(BE$35="Additional",SUMIFS('Supply planning data'!$I:$I,'Supply planning data'!$D:$D,DataViz!$B54,'Supply planning data'!$C:$C,DataViz!BE$34),
0))))</f>
        <v>0</v>
      </c>
      <c r="BF54" s="22">
        <f>IF(BF$35="Dose 1",SUMIFS('Supply planning data'!$G:$G,'Supply planning data'!$D:$D,DataViz!$B54,'Supply planning data'!$C:$C,DataViz!BF$34),
IF(BF$35="Dose 2",SUMIFS('Supply planning data'!$H:$H,'Supply planning data'!$D:$D,DataViz!$B54,'Supply planning data'!$C:$C,DataViz!BF$34),
IF(BF$35="Wastage",SUMIFS('Supply planning data'!$K:$K,'Supply planning data'!$D:$D,DataViz!$B54,'Supply planning data'!$C:$C,DataViz!BF$34),
IF(BF$35="Additional",SUMIFS('Supply planning data'!$I:$I,'Supply planning data'!$D:$D,DataViz!$B54,'Supply planning data'!$C:$C,DataViz!BF$34),
0))))</f>
        <v>0</v>
      </c>
      <c r="BG54" s="22">
        <f>IF(BG$35="Dose 1",SUMIFS('Supply planning data'!$G:$G,'Supply planning data'!$D:$D,DataViz!$B54,'Supply planning data'!$C:$C,DataViz!BG$34),
IF(BG$35="Dose 2",SUMIFS('Supply planning data'!$H:$H,'Supply planning data'!$D:$D,DataViz!$B54,'Supply planning data'!$C:$C,DataViz!BG$34),
IF(BG$35="Wastage",SUMIFS('Supply planning data'!$K:$K,'Supply planning data'!$D:$D,DataViz!$B54,'Supply planning data'!$C:$C,DataViz!BG$34),
IF(BG$35="Additional",SUMIFS('Supply planning data'!$I:$I,'Supply planning data'!$D:$D,DataViz!$B54,'Supply planning data'!$C:$C,DataViz!BG$34),
0))))</f>
        <v>0</v>
      </c>
      <c r="BH54" s="22">
        <f>IF(BH$35="Dose 1",SUMIFS('Supply planning data'!$G:$G,'Supply planning data'!$D:$D,DataViz!$B54,'Supply planning data'!$C:$C,DataViz!BH$34),
IF(BH$35="Dose 2",SUMIFS('Supply planning data'!$H:$H,'Supply planning data'!$D:$D,DataViz!$B54,'Supply planning data'!$C:$C,DataViz!BH$34),
IF(BH$35="Wastage",SUMIFS('Supply planning data'!$K:$K,'Supply planning data'!$D:$D,DataViz!$B54,'Supply planning data'!$C:$C,DataViz!BH$34),
IF(BH$35="Additional",SUMIFS('Supply planning data'!$I:$I,'Supply planning data'!$D:$D,DataViz!$B54,'Supply planning data'!$C:$C,DataViz!BH$34),
0))))</f>
        <v>0</v>
      </c>
      <c r="BI54" s="22">
        <f>IF(BI$35="Dose 1",SUMIFS('Supply planning data'!$G:$G,'Supply planning data'!$D:$D,DataViz!$B54,'Supply planning data'!$C:$C,DataViz!BI$34),
IF(BI$35="Dose 2",SUMIFS('Supply planning data'!$H:$H,'Supply planning data'!$D:$D,DataViz!$B54,'Supply planning data'!$C:$C,DataViz!BI$34),
IF(BI$35="Wastage",SUMIFS('Supply planning data'!$K:$K,'Supply planning data'!$D:$D,DataViz!$B54,'Supply planning data'!$C:$C,DataViz!BI$34),
IF(BI$35="Additional",SUMIFS('Supply planning data'!$I:$I,'Supply planning data'!$D:$D,DataViz!$B54,'Supply planning data'!$C:$C,DataViz!BI$34),
0))))</f>
        <v>0</v>
      </c>
      <c r="BJ54" s="22">
        <f>IF(BJ$35="Dose 1",SUMIFS('Supply planning data'!$G:$G,'Supply planning data'!$D:$D,DataViz!$B54,'Supply planning data'!$C:$C,DataViz!BJ$34),
IF(BJ$35="Dose 2",SUMIFS('Supply planning data'!$H:$H,'Supply planning data'!$D:$D,DataViz!$B54,'Supply planning data'!$C:$C,DataViz!BJ$34),
IF(BJ$35="Wastage",SUMIFS('Supply planning data'!$K:$K,'Supply planning data'!$D:$D,DataViz!$B54,'Supply planning data'!$C:$C,DataViz!BJ$34),
IF(BJ$35="Additional",SUMIFS('Supply planning data'!$I:$I,'Supply planning data'!$D:$D,DataViz!$B54,'Supply planning data'!$C:$C,DataViz!BJ$34),
0))))</f>
        <v>0</v>
      </c>
      <c r="BK54" s="22">
        <f>IF(BK$35="Dose 1",SUMIFS('Supply planning data'!$G:$G,'Supply planning data'!$D:$D,DataViz!$B54,'Supply planning data'!$C:$C,DataViz!BK$34),
IF(BK$35="Dose 2",SUMIFS('Supply planning data'!$H:$H,'Supply planning data'!$D:$D,DataViz!$B54,'Supply planning data'!$C:$C,DataViz!BK$34),
IF(BK$35="Wastage",SUMIFS('Supply planning data'!$K:$K,'Supply planning data'!$D:$D,DataViz!$B54,'Supply planning data'!$C:$C,DataViz!BK$34),
IF(BK$35="Additional",SUMIFS('Supply planning data'!$I:$I,'Supply planning data'!$D:$D,DataViz!$B54,'Supply planning data'!$C:$C,DataViz!BK$34),
0))))</f>
        <v>0</v>
      </c>
      <c r="BL54" s="22">
        <f>IF(BL$35="Dose 1",SUMIFS('Supply planning data'!$G:$G,'Supply planning data'!$D:$D,DataViz!$B54,'Supply planning data'!$C:$C,DataViz!BL$34),
IF(BL$35="Dose 2",SUMIFS('Supply planning data'!$H:$H,'Supply planning data'!$D:$D,DataViz!$B54,'Supply planning data'!$C:$C,DataViz!BL$34),
IF(BL$35="Wastage",SUMIFS('Supply planning data'!$K:$K,'Supply planning data'!$D:$D,DataViz!$B54,'Supply planning data'!$C:$C,DataViz!BL$34),
IF(BL$35="Additional",SUMIFS('Supply planning data'!$I:$I,'Supply planning data'!$D:$D,DataViz!$B54,'Supply planning data'!$C:$C,DataViz!BL$34),
0))))</f>
        <v>0</v>
      </c>
    </row>
    <row r="55" spans="1:64" x14ac:dyDescent="0.25">
      <c r="A55" s="20">
        <v>17</v>
      </c>
      <c r="B55" s="21">
        <f t="shared" si="15"/>
        <v>44774</v>
      </c>
      <c r="C55" s="22">
        <f>IF(VLOOKUP(Dashboard!$M$6,Start!$B$10:$E$12,4,FALSE)&gt;0,VLOOKUP(Dashboard!$M$6,Start!$B$10:$E$12,4, FALSE),VLOOKUP(Dashboard!$M$6,Start!$B$10:$E$12,3, FALSE))</f>
        <v>60000000</v>
      </c>
      <c r="D55" s="22">
        <f>SUMIFS('Supply planning data'!M:M,'Supply planning data'!D:D,"&lt;="&amp;DataViz!B55)</f>
        <v>2720887</v>
      </c>
      <c r="E55" s="22">
        <f>IF(E$35="Dose 1",SUMIFS('Supply planning data'!$G:$G,'Supply planning data'!$D:$D,DataViz!$B55,'Supply planning data'!$C:$C,DataViz!E$34),
IF(E$35="Dose 2",SUMIFS('Supply planning data'!$H:$H,'Supply planning data'!$D:$D,DataViz!$B55,'Supply planning data'!$C:$C,DataViz!E$34),
IF(E$35="Wastage",SUMIFS('Supply planning data'!$K:$K,'Supply planning data'!$D:$D,DataViz!$B55,'Supply planning data'!$C:$C,DataViz!E$34),
IF(E$35="Additional",SUMIFS('Supply planning data'!$I:$I,'Supply planning data'!$D:$D,DataViz!$B55,'Supply planning data'!$C:$C,DataViz!E$34),
0))))</f>
        <v>0</v>
      </c>
      <c r="F55" s="22">
        <f>IF(F$35="Dose 1",SUMIFS('Supply planning data'!$G:$G,'Supply planning data'!$D:$D,DataViz!$B55,'Supply planning data'!$C:$C,DataViz!F$34),
IF(F$35="Dose 2",SUMIFS('Supply planning data'!$H:$H,'Supply planning data'!$D:$D,DataViz!$B55,'Supply planning data'!$C:$C,DataViz!F$34),
IF(F$35="Wastage",SUMIFS('Supply planning data'!$K:$K,'Supply planning data'!$D:$D,DataViz!$B55,'Supply planning data'!$C:$C,DataViz!F$34),
IF(F$35="Additional",SUMIFS('Supply planning data'!$I:$I,'Supply planning data'!$D:$D,DataViz!$B55,'Supply planning data'!$C:$C,DataViz!F$34),
0))))</f>
        <v>0</v>
      </c>
      <c r="G55" s="22">
        <f>IF(G$35="Dose 1",SUMIFS('Supply planning data'!$G:$G,'Supply planning data'!$D:$D,DataViz!$B55,'Supply planning data'!$C:$C,DataViz!G$34),
IF(G$35="Dose 2",SUMIFS('Supply planning data'!$H:$H,'Supply planning data'!$D:$D,DataViz!$B55,'Supply planning data'!$C:$C,DataViz!G$34),
IF(G$35="Wastage",SUMIFS('Supply planning data'!$K:$K,'Supply planning data'!$D:$D,DataViz!$B55,'Supply planning data'!$C:$C,DataViz!G$34),
IF(G$35="Additional",SUMIFS('Supply planning data'!$I:$I,'Supply planning data'!$D:$D,DataViz!$B55,'Supply planning data'!$C:$C,DataViz!G$34),
0))))</f>
        <v>0</v>
      </c>
      <c r="H55" s="22">
        <f>IF(H$35="Dose 1",SUMIFS('Supply planning data'!$G:$G,'Supply planning data'!$D:$D,DataViz!$B55,'Supply planning data'!$C:$C,DataViz!H$34),
IF(H$35="Dose 2",SUMIFS('Supply planning data'!$H:$H,'Supply planning data'!$D:$D,DataViz!$B55,'Supply planning data'!$C:$C,DataViz!H$34),
IF(H$35="Wastage",SUMIFS('Supply planning data'!$K:$K,'Supply planning data'!$D:$D,DataViz!$B55,'Supply planning data'!$C:$C,DataViz!H$34),
IF(H$35="Additional",SUMIFS('Supply planning data'!$I:$I,'Supply planning data'!$D:$D,DataViz!$B55,'Supply planning data'!$C:$C,DataViz!H$34),
0))))</f>
        <v>0</v>
      </c>
      <c r="I55" s="22">
        <f>IF(I$35="Dose 1",SUMIFS('Supply planning data'!$G:$G,'Supply planning data'!$D:$D,DataViz!$B55,'Supply planning data'!$C:$C,DataViz!I$34),
IF(I$35="Dose 2",SUMIFS('Supply planning data'!$H:$H,'Supply planning data'!$D:$D,DataViz!$B55,'Supply planning data'!$C:$C,DataViz!I$34),
IF(I$35="Wastage",SUMIFS('Supply planning data'!$K:$K,'Supply planning data'!$D:$D,DataViz!$B55,'Supply planning data'!$C:$C,DataViz!I$34),
IF(I$35="Additional",SUMIFS('Supply planning data'!$I:$I,'Supply planning data'!$D:$D,DataViz!$B55,'Supply planning data'!$C:$C,DataViz!I$34),
0))))</f>
        <v>0</v>
      </c>
      <c r="J55" s="22">
        <f>IF(J$35="Dose 1",SUMIFS('Supply planning data'!$G:$G,'Supply planning data'!$D:$D,DataViz!$B55,'Supply planning data'!$C:$C,DataViz!J$34),
IF(J$35="Dose 2",SUMIFS('Supply planning data'!$H:$H,'Supply planning data'!$D:$D,DataViz!$B55,'Supply planning data'!$C:$C,DataViz!J$34),
IF(J$35="Wastage",SUMIFS('Supply planning data'!$K:$K,'Supply planning data'!$D:$D,DataViz!$B55,'Supply planning data'!$C:$C,DataViz!J$34),
IF(J$35="Additional",SUMIFS('Supply planning data'!$I:$I,'Supply planning data'!$D:$D,DataViz!$B55,'Supply planning data'!$C:$C,DataViz!J$34),
0))))</f>
        <v>0</v>
      </c>
      <c r="K55" s="22">
        <f>IF(K$35="Dose 1",SUMIFS('Supply planning data'!$G:$G,'Supply planning data'!$D:$D,DataViz!$B55,'Supply planning data'!$C:$C,DataViz!K$34),
IF(K$35="Dose 2",SUMIFS('Supply planning data'!$H:$H,'Supply planning data'!$D:$D,DataViz!$B55,'Supply planning data'!$C:$C,DataViz!K$34),
IF(K$35="Wastage",SUMIFS('Supply planning data'!$K:$K,'Supply planning data'!$D:$D,DataViz!$B55,'Supply planning data'!$C:$C,DataViz!K$34),
IF(K$35="Additional",SUMIFS('Supply planning data'!$I:$I,'Supply planning data'!$D:$D,DataViz!$B55,'Supply planning data'!$C:$C,DataViz!K$34),
0))))</f>
        <v>0</v>
      </c>
      <c r="L55" s="22">
        <f>IF(L$35="Dose 1",SUMIFS('Supply planning data'!$G:$G,'Supply planning data'!$D:$D,DataViz!$B55,'Supply planning data'!$C:$C,DataViz!L$34),
IF(L$35="Dose 2",SUMIFS('Supply planning data'!$H:$H,'Supply planning data'!$D:$D,DataViz!$B55,'Supply planning data'!$C:$C,DataViz!L$34),
IF(L$35="Wastage",SUMIFS('Supply planning data'!$K:$K,'Supply planning data'!$D:$D,DataViz!$B55,'Supply planning data'!$C:$C,DataViz!L$34),
IF(L$35="Additional",SUMIFS('Supply planning data'!$I:$I,'Supply planning data'!$D:$D,DataViz!$B55,'Supply planning data'!$C:$C,DataViz!L$34),
0))))</f>
        <v>0</v>
      </c>
      <c r="M55" s="22">
        <f>IF(M$35="Dose 1",SUMIFS('Supply planning data'!$G:$G,'Supply planning data'!$D:$D,DataViz!$B55,'Supply planning data'!$C:$C,DataViz!M$34),
IF(M$35="Dose 2",SUMIFS('Supply planning data'!$H:$H,'Supply planning data'!$D:$D,DataViz!$B55,'Supply planning data'!$C:$C,DataViz!M$34),
IF(M$35="Wastage",SUMIFS('Supply planning data'!$K:$K,'Supply planning data'!$D:$D,DataViz!$B55,'Supply planning data'!$C:$C,DataViz!M$34),
IF(M$35="Additional",SUMIFS('Supply planning data'!$I:$I,'Supply planning data'!$D:$D,DataViz!$B55,'Supply planning data'!$C:$C,DataViz!M$34),
0))))</f>
        <v>0</v>
      </c>
      <c r="N55" s="22">
        <f>IF(N$35="Dose 1",SUMIFS('Supply planning data'!$G:$G,'Supply planning data'!$D:$D,DataViz!$B55,'Supply planning data'!$C:$C,DataViz!N$34),
IF(N$35="Dose 2",SUMIFS('Supply planning data'!$H:$H,'Supply planning data'!$D:$D,DataViz!$B55,'Supply planning data'!$C:$C,DataViz!N$34),
IF(N$35="Wastage",SUMIFS('Supply planning data'!$K:$K,'Supply planning data'!$D:$D,DataViz!$B55,'Supply planning data'!$C:$C,DataViz!N$34),
IF(N$35="Additional",SUMIFS('Supply planning data'!$I:$I,'Supply planning data'!$D:$D,DataViz!$B55,'Supply planning data'!$C:$C,DataViz!N$34),
0))))</f>
        <v>0</v>
      </c>
      <c r="O55" s="22">
        <f>IF(O$35="Dose 1",SUMIFS('Supply planning data'!$G:$G,'Supply planning data'!$D:$D,DataViz!$B55,'Supply planning data'!$C:$C,DataViz!O$34),
IF(O$35="Dose 2",SUMIFS('Supply planning data'!$H:$H,'Supply planning data'!$D:$D,DataViz!$B55,'Supply planning data'!$C:$C,DataViz!O$34),
IF(O$35="Wastage",SUMIFS('Supply planning data'!$K:$K,'Supply planning data'!$D:$D,DataViz!$B55,'Supply planning data'!$C:$C,DataViz!O$34),
IF(O$35="Additional",SUMIFS('Supply planning data'!$I:$I,'Supply planning data'!$D:$D,DataViz!$B55,'Supply planning data'!$C:$C,DataViz!O$34),
0))))</f>
        <v>0</v>
      </c>
      <c r="P55" s="22">
        <f>IF(P$35="Dose 1",SUMIFS('Supply planning data'!$G:$G,'Supply planning data'!$D:$D,DataViz!$B55,'Supply planning data'!$C:$C,DataViz!P$34),
IF(P$35="Dose 2",SUMIFS('Supply planning data'!$H:$H,'Supply planning data'!$D:$D,DataViz!$B55,'Supply planning data'!$C:$C,DataViz!P$34),
IF(P$35="Wastage",SUMIFS('Supply planning data'!$K:$K,'Supply planning data'!$D:$D,DataViz!$B55,'Supply planning data'!$C:$C,DataViz!P$34),
IF(P$35="Additional",SUMIFS('Supply planning data'!$I:$I,'Supply planning data'!$D:$D,DataViz!$B55,'Supply planning data'!$C:$C,DataViz!P$34),
0))))</f>
        <v>0</v>
      </c>
      <c r="Q55" s="22">
        <f>IF(Q$35="Dose 1",SUMIFS('Supply planning data'!$G:$G,'Supply planning data'!$D:$D,DataViz!$B55,'Supply planning data'!$C:$C,DataViz!Q$34),
IF(Q$35="Dose 2",SUMIFS('Supply planning data'!$H:$H,'Supply planning data'!$D:$D,DataViz!$B55,'Supply planning data'!$C:$C,DataViz!Q$34),
IF(Q$35="Wastage",SUMIFS('Supply planning data'!$K:$K,'Supply planning data'!$D:$D,DataViz!$B55,'Supply planning data'!$C:$C,DataViz!Q$34),
IF(Q$35="Additional",SUMIFS('Supply planning data'!$I:$I,'Supply planning data'!$D:$D,DataViz!$B55,'Supply planning data'!$C:$C,DataViz!Q$34),
0))))</f>
        <v>0</v>
      </c>
      <c r="R55" s="22">
        <f>IF(R$35="Dose 1",SUMIFS('Supply planning data'!$G:$G,'Supply planning data'!$D:$D,DataViz!$B55,'Supply planning data'!$C:$C,DataViz!R$34),
IF(R$35="Dose 2",SUMIFS('Supply planning data'!$H:$H,'Supply planning data'!$D:$D,DataViz!$B55,'Supply planning data'!$C:$C,DataViz!R$34),
IF(R$35="Wastage",SUMIFS('Supply planning data'!$K:$K,'Supply planning data'!$D:$D,DataViz!$B55,'Supply planning data'!$C:$C,DataViz!R$34),
IF(R$35="Additional",SUMIFS('Supply planning data'!$I:$I,'Supply planning data'!$D:$D,DataViz!$B55,'Supply planning data'!$C:$C,DataViz!R$34),
0))))</f>
        <v>0</v>
      </c>
      <c r="S55" s="22">
        <f>IF(S$35="Dose 1",SUMIFS('Supply planning data'!$G:$G,'Supply planning data'!$D:$D,DataViz!$B55,'Supply planning data'!$C:$C,DataViz!S$34),
IF(S$35="Dose 2",SUMIFS('Supply planning data'!$H:$H,'Supply planning data'!$D:$D,DataViz!$B55,'Supply planning data'!$C:$C,DataViz!S$34),
IF(S$35="Wastage",SUMIFS('Supply planning data'!$K:$K,'Supply planning data'!$D:$D,DataViz!$B55,'Supply planning data'!$C:$C,DataViz!S$34),
IF(S$35="Additional",SUMIFS('Supply planning data'!$I:$I,'Supply planning data'!$D:$D,DataViz!$B55,'Supply planning data'!$C:$C,DataViz!S$34),
0))))</f>
        <v>0</v>
      </c>
      <c r="T55" s="22">
        <f>IF(T$35="Dose 1",SUMIFS('Supply planning data'!$G:$G,'Supply planning data'!$D:$D,DataViz!$B55,'Supply planning data'!$C:$C,DataViz!T$34),
IF(T$35="Dose 2",SUMIFS('Supply planning data'!$H:$H,'Supply planning data'!$D:$D,DataViz!$B55,'Supply planning data'!$C:$C,DataViz!T$34),
IF(T$35="Wastage",SUMIFS('Supply planning data'!$K:$K,'Supply planning data'!$D:$D,DataViz!$B55,'Supply planning data'!$C:$C,DataViz!T$34),
IF(T$35="Additional",SUMIFS('Supply planning data'!$I:$I,'Supply planning data'!$D:$D,DataViz!$B55,'Supply planning data'!$C:$C,DataViz!T$34),
0))))</f>
        <v>0</v>
      </c>
      <c r="U55" s="22">
        <f>IF(U$35="Dose 1",SUMIFS('Supply planning data'!$G:$G,'Supply planning data'!$D:$D,DataViz!$B55,'Supply planning data'!$C:$C,DataViz!U$34),
IF(U$35="Dose 2",SUMIFS('Supply planning data'!$H:$H,'Supply planning data'!$D:$D,DataViz!$B55,'Supply planning data'!$C:$C,DataViz!U$34),
IF(U$35="Wastage",SUMIFS('Supply planning data'!$K:$K,'Supply planning data'!$D:$D,DataViz!$B55,'Supply planning data'!$C:$C,DataViz!U$34),
IF(U$35="Additional",SUMIFS('Supply planning data'!$I:$I,'Supply planning data'!$D:$D,DataViz!$B55,'Supply planning data'!$C:$C,DataViz!U$34),
0))))</f>
        <v>0</v>
      </c>
      <c r="V55" s="22">
        <f>IF(V$35="Dose 1",SUMIFS('Supply planning data'!$G:$G,'Supply planning data'!$D:$D,DataViz!$B55,'Supply planning data'!$C:$C,DataViz!V$34),
IF(V$35="Dose 2",SUMIFS('Supply planning data'!$H:$H,'Supply planning data'!$D:$D,DataViz!$B55,'Supply planning data'!$C:$C,DataViz!V$34),
IF(V$35="Wastage",SUMIFS('Supply planning data'!$K:$K,'Supply planning data'!$D:$D,DataViz!$B55,'Supply planning data'!$C:$C,DataViz!V$34),
IF(V$35="Additional",SUMIFS('Supply planning data'!$I:$I,'Supply planning data'!$D:$D,DataViz!$B55,'Supply planning data'!$C:$C,DataViz!V$34),
0))))</f>
        <v>0</v>
      </c>
      <c r="W55" s="22">
        <f>IF(W$35="Dose 1",SUMIFS('Supply planning data'!$G:$G,'Supply planning data'!$D:$D,DataViz!$B55,'Supply planning data'!$C:$C,DataViz!W$34),
IF(W$35="Dose 2",SUMIFS('Supply planning data'!$H:$H,'Supply planning data'!$D:$D,DataViz!$B55,'Supply planning data'!$C:$C,DataViz!W$34),
IF(W$35="Wastage",SUMIFS('Supply planning data'!$K:$K,'Supply planning data'!$D:$D,DataViz!$B55,'Supply planning data'!$C:$C,DataViz!W$34),
IF(W$35="Additional",SUMIFS('Supply planning data'!$I:$I,'Supply planning data'!$D:$D,DataViz!$B55,'Supply planning data'!$C:$C,DataViz!W$34),
0))))</f>
        <v>0</v>
      </c>
      <c r="X55" s="22">
        <f>IF(X$35="Dose 1",SUMIFS('Supply planning data'!$G:$G,'Supply planning data'!$D:$D,DataViz!$B55,'Supply planning data'!$C:$C,DataViz!X$34),
IF(X$35="Dose 2",SUMIFS('Supply planning data'!$H:$H,'Supply planning data'!$D:$D,DataViz!$B55,'Supply planning data'!$C:$C,DataViz!X$34),
IF(X$35="Wastage",SUMIFS('Supply planning data'!$K:$K,'Supply planning data'!$D:$D,DataViz!$B55,'Supply planning data'!$C:$C,DataViz!X$34),
IF(X$35="Additional",SUMIFS('Supply planning data'!$I:$I,'Supply planning data'!$D:$D,DataViz!$B55,'Supply planning data'!$C:$C,DataViz!X$34),
0))))</f>
        <v>0</v>
      </c>
      <c r="Y55" s="22">
        <f>IF(Y$35="Dose 1",SUMIFS('Supply planning data'!$G:$G,'Supply planning data'!$D:$D,DataViz!$B55,'Supply planning data'!$C:$C,DataViz!Y$34),
IF(Y$35="Dose 2",SUMIFS('Supply planning data'!$H:$H,'Supply planning data'!$D:$D,DataViz!$B55,'Supply planning data'!$C:$C,DataViz!Y$34),
IF(Y$35="Wastage",SUMIFS('Supply planning data'!$K:$K,'Supply planning data'!$D:$D,DataViz!$B55,'Supply planning data'!$C:$C,DataViz!Y$34),
IF(Y$35="Additional",SUMIFS('Supply planning data'!$I:$I,'Supply planning data'!$D:$D,DataViz!$B55,'Supply planning data'!$C:$C,DataViz!Y$34),
0))))</f>
        <v>0</v>
      </c>
      <c r="Z55" s="22">
        <f>IF(Z$35="Dose 1",SUMIFS('Supply planning data'!$G:$G,'Supply planning data'!$D:$D,DataViz!$B55,'Supply planning data'!$C:$C,DataViz!Z$34),
IF(Z$35="Dose 2",SUMIFS('Supply planning data'!$H:$H,'Supply planning data'!$D:$D,DataViz!$B55,'Supply planning data'!$C:$C,DataViz!Z$34),
IF(Z$35="Wastage",SUMIFS('Supply planning data'!$K:$K,'Supply planning data'!$D:$D,DataViz!$B55,'Supply planning data'!$C:$C,DataViz!Z$34),
IF(Z$35="Additional",SUMIFS('Supply planning data'!$I:$I,'Supply planning data'!$D:$D,DataViz!$B55,'Supply planning data'!$C:$C,DataViz!Z$34),
0))))</f>
        <v>0</v>
      </c>
      <c r="AA55" s="22">
        <f>IF(AA$35="Dose 1",SUMIFS('Supply planning data'!$G:$G,'Supply planning data'!$D:$D,DataViz!$B55,'Supply planning data'!$C:$C,DataViz!AA$34),
IF(AA$35="Dose 2",SUMIFS('Supply planning data'!$H:$H,'Supply planning data'!$D:$D,DataViz!$B55,'Supply planning data'!$C:$C,DataViz!AA$34),
IF(AA$35="Wastage",SUMIFS('Supply planning data'!$K:$K,'Supply planning data'!$D:$D,DataViz!$B55,'Supply planning data'!$C:$C,DataViz!AA$34),
IF(AA$35="Additional",SUMIFS('Supply planning data'!$I:$I,'Supply planning data'!$D:$D,DataViz!$B55,'Supply planning data'!$C:$C,DataViz!AA$34),
0))))</f>
        <v>0</v>
      </c>
      <c r="AB55" s="22">
        <f>IF(AB$35="Dose 1",SUMIFS('Supply planning data'!$G:$G,'Supply planning data'!$D:$D,DataViz!$B55,'Supply planning data'!$C:$C,DataViz!AB$34),
IF(AB$35="Dose 2",SUMIFS('Supply planning data'!$H:$H,'Supply planning data'!$D:$D,DataViz!$B55,'Supply planning data'!$C:$C,DataViz!AB$34),
IF(AB$35="Wastage",SUMIFS('Supply planning data'!$K:$K,'Supply planning data'!$D:$D,DataViz!$B55,'Supply planning data'!$C:$C,DataViz!AB$34),
IF(AB$35="Additional",SUMIFS('Supply planning data'!$I:$I,'Supply planning data'!$D:$D,DataViz!$B55,'Supply planning data'!$C:$C,DataViz!AB$34),
0))))</f>
        <v>0</v>
      </c>
      <c r="AC55" s="22">
        <f>IF(AC$35="Dose 1",SUMIFS('Supply planning data'!$G:$G,'Supply planning data'!$D:$D,DataViz!$B55,'Supply planning data'!$C:$C,DataViz!AC$34),
IF(AC$35="Dose 2",SUMIFS('Supply planning data'!$H:$H,'Supply planning data'!$D:$D,DataViz!$B55,'Supply planning data'!$C:$C,DataViz!AC$34),
IF(AC$35="Wastage",SUMIFS('Supply planning data'!$K:$K,'Supply planning data'!$D:$D,DataViz!$B55,'Supply planning data'!$C:$C,DataViz!AC$34),
IF(AC$35="Additional",SUMIFS('Supply planning data'!$I:$I,'Supply planning data'!$D:$D,DataViz!$B55,'Supply planning data'!$C:$C,DataViz!AC$34),
0))))</f>
        <v>0</v>
      </c>
      <c r="AD55" s="22">
        <f>IF(AD$35="Dose 1",SUMIFS('Supply planning data'!$G:$G,'Supply planning data'!$D:$D,DataViz!$B55,'Supply planning data'!$C:$C,DataViz!AD$34),
IF(AD$35="Dose 2",SUMIFS('Supply planning data'!$H:$H,'Supply planning data'!$D:$D,DataViz!$B55,'Supply planning data'!$C:$C,DataViz!AD$34),
IF(AD$35="Wastage",SUMIFS('Supply planning data'!$K:$K,'Supply planning data'!$D:$D,DataViz!$B55,'Supply planning data'!$C:$C,DataViz!AD$34),
IF(AD$35="Additional",SUMIFS('Supply planning data'!$I:$I,'Supply planning data'!$D:$D,DataViz!$B55,'Supply planning data'!$C:$C,DataViz!AD$34),
0))))</f>
        <v>0</v>
      </c>
      <c r="AE55" s="22">
        <f>IF(AE$35="Dose 1",SUMIFS('Supply planning data'!$G:$G,'Supply planning data'!$D:$D,DataViz!$B55,'Supply planning data'!$C:$C,DataViz!AE$34),
IF(AE$35="Dose 2",SUMIFS('Supply planning data'!$H:$H,'Supply planning data'!$D:$D,DataViz!$B55,'Supply planning data'!$C:$C,DataViz!AE$34),
IF(AE$35="Wastage",SUMIFS('Supply planning data'!$K:$K,'Supply planning data'!$D:$D,DataViz!$B55,'Supply planning data'!$C:$C,DataViz!AE$34),
IF(AE$35="Additional",SUMIFS('Supply planning data'!$I:$I,'Supply planning data'!$D:$D,DataViz!$B55,'Supply planning data'!$C:$C,DataViz!AE$34),
0))))</f>
        <v>0</v>
      </c>
      <c r="AF55" s="22">
        <f>IF(AF$35="Dose 1",SUMIFS('Supply planning data'!$G:$G,'Supply planning data'!$D:$D,DataViz!$B55,'Supply planning data'!$C:$C,DataViz!AF$34),
IF(AF$35="Dose 2",SUMIFS('Supply planning data'!$H:$H,'Supply planning data'!$D:$D,DataViz!$B55,'Supply planning data'!$C:$C,DataViz!AF$34),
IF(AF$35="Wastage",SUMIFS('Supply planning data'!$K:$K,'Supply planning data'!$D:$D,DataViz!$B55,'Supply planning data'!$C:$C,DataViz!AF$34),
IF(AF$35="Additional",SUMIFS('Supply planning data'!$I:$I,'Supply planning data'!$D:$D,DataViz!$B55,'Supply planning data'!$C:$C,DataViz!AF$34),
0))))</f>
        <v>0</v>
      </c>
      <c r="AG55" s="22">
        <f>IF(AG$35="Dose 1",SUMIFS('Supply planning data'!$G:$G,'Supply planning data'!$D:$D,DataViz!$B55,'Supply planning data'!$C:$C,DataViz!AG$34),
IF(AG$35="Dose 2",SUMIFS('Supply planning data'!$H:$H,'Supply planning data'!$D:$D,DataViz!$B55,'Supply planning data'!$C:$C,DataViz!AG$34),
IF(AG$35="Wastage",SUMIFS('Supply planning data'!$K:$K,'Supply planning data'!$D:$D,DataViz!$B55,'Supply planning data'!$C:$C,DataViz!AG$34),
IF(AG$35="Additional",SUMIFS('Supply planning data'!$I:$I,'Supply planning data'!$D:$D,DataViz!$B55,'Supply planning data'!$C:$C,DataViz!AG$34),
0))))</f>
        <v>0</v>
      </c>
      <c r="AH55" s="22">
        <f>IF(AH$35="Dose 1",SUMIFS('Supply planning data'!$G:$G,'Supply planning data'!$D:$D,DataViz!$B55,'Supply planning data'!$C:$C,DataViz!AH$34),
IF(AH$35="Dose 2",SUMIFS('Supply planning data'!$H:$H,'Supply planning data'!$D:$D,DataViz!$B55,'Supply planning data'!$C:$C,DataViz!AH$34),
IF(AH$35="Wastage",SUMIFS('Supply planning data'!$K:$K,'Supply planning data'!$D:$D,DataViz!$B55,'Supply planning data'!$C:$C,DataViz!AH$34),
IF(AH$35="Additional",SUMIFS('Supply planning data'!$I:$I,'Supply planning data'!$D:$D,DataViz!$B55,'Supply planning data'!$C:$C,DataViz!AH$34),
0))))</f>
        <v>0</v>
      </c>
      <c r="AI55" s="22">
        <f>IF(AI$35="Dose 1",SUMIFS('Supply planning data'!$G:$G,'Supply planning data'!$D:$D,DataViz!$B55,'Supply planning data'!$C:$C,DataViz!AI$34),
IF(AI$35="Dose 2",SUMIFS('Supply planning data'!$H:$H,'Supply planning data'!$D:$D,DataViz!$B55,'Supply planning data'!$C:$C,DataViz!AI$34),
IF(AI$35="Wastage",SUMIFS('Supply planning data'!$K:$K,'Supply planning data'!$D:$D,DataViz!$B55,'Supply planning data'!$C:$C,DataViz!AI$34),
IF(AI$35="Additional",SUMIFS('Supply planning data'!$I:$I,'Supply planning data'!$D:$D,DataViz!$B55,'Supply planning data'!$C:$C,DataViz!AI$34),
0))))</f>
        <v>0</v>
      </c>
      <c r="AJ55" s="22">
        <f>IF(AJ$35="Dose 1",SUMIFS('Supply planning data'!$G:$G,'Supply planning data'!$D:$D,DataViz!$B55,'Supply planning data'!$C:$C,DataViz!AJ$34),
IF(AJ$35="Dose 2",SUMIFS('Supply planning data'!$H:$H,'Supply planning data'!$D:$D,DataViz!$B55,'Supply planning data'!$C:$C,DataViz!AJ$34),
IF(AJ$35="Wastage",SUMIFS('Supply planning data'!$K:$K,'Supply planning data'!$D:$D,DataViz!$B55,'Supply planning data'!$C:$C,DataViz!AJ$34),
IF(AJ$35="Additional",SUMIFS('Supply planning data'!$I:$I,'Supply planning data'!$D:$D,DataViz!$B55,'Supply planning data'!$C:$C,DataViz!AJ$34),
0))))</f>
        <v>0</v>
      </c>
      <c r="AK55" s="22">
        <f>IF(AK$35="Dose 1",SUMIFS('Supply planning data'!$G:$G,'Supply planning data'!$D:$D,DataViz!$B55,'Supply planning data'!$C:$C,DataViz!AK$34),
IF(AK$35="Dose 2",SUMIFS('Supply planning data'!$H:$H,'Supply planning data'!$D:$D,DataViz!$B55,'Supply planning data'!$C:$C,DataViz!AK$34),
IF(AK$35="Wastage",SUMIFS('Supply planning data'!$K:$K,'Supply planning data'!$D:$D,DataViz!$B55,'Supply planning data'!$C:$C,DataViz!AK$34),
IF(AK$35="Additional",SUMIFS('Supply planning data'!$I:$I,'Supply planning data'!$D:$D,DataViz!$B55,'Supply planning data'!$C:$C,DataViz!AK$34),
0))))</f>
        <v>0</v>
      </c>
      <c r="AL55" s="22">
        <f>IF(AL$35="Dose 1",SUMIFS('Supply planning data'!$G:$G,'Supply planning data'!$D:$D,DataViz!$B55,'Supply planning data'!$C:$C,DataViz!AL$34),
IF(AL$35="Dose 2",SUMIFS('Supply planning data'!$H:$H,'Supply planning data'!$D:$D,DataViz!$B55,'Supply planning data'!$C:$C,DataViz!AL$34),
IF(AL$35="Wastage",SUMIFS('Supply planning data'!$K:$K,'Supply planning data'!$D:$D,DataViz!$B55,'Supply planning data'!$C:$C,DataViz!AL$34),
IF(AL$35="Additional",SUMIFS('Supply planning data'!$I:$I,'Supply planning data'!$D:$D,DataViz!$B55,'Supply planning data'!$C:$C,DataViz!AL$34),
0))))</f>
        <v>0</v>
      </c>
      <c r="AM55" s="22">
        <f>IF(AM$35="Dose 1",SUMIFS('Supply planning data'!$G:$G,'Supply planning data'!$D:$D,DataViz!$B55,'Supply planning data'!$C:$C,DataViz!AM$34),
IF(AM$35="Dose 2",SUMIFS('Supply planning data'!$H:$H,'Supply planning data'!$D:$D,DataViz!$B55,'Supply planning data'!$C:$C,DataViz!AM$34),
IF(AM$35="Wastage",SUMIFS('Supply planning data'!$K:$K,'Supply planning data'!$D:$D,DataViz!$B55,'Supply planning data'!$C:$C,DataViz!AM$34),
IF(AM$35="Additional",SUMIFS('Supply planning data'!$I:$I,'Supply planning data'!$D:$D,DataViz!$B55,'Supply planning data'!$C:$C,DataViz!AM$34),
0))))</f>
        <v>0</v>
      </c>
      <c r="AN55" s="22">
        <f>IF(AN$35="Dose 1",SUMIFS('Supply planning data'!$G:$G,'Supply planning data'!$D:$D,DataViz!$B55,'Supply planning data'!$C:$C,DataViz!AN$34),
IF(AN$35="Dose 2",SUMIFS('Supply planning data'!$H:$H,'Supply planning data'!$D:$D,DataViz!$B55,'Supply planning data'!$C:$C,DataViz!AN$34),
IF(AN$35="Wastage",SUMIFS('Supply planning data'!$K:$K,'Supply planning data'!$D:$D,DataViz!$B55,'Supply planning data'!$C:$C,DataViz!AN$34),
IF(AN$35="Additional",SUMIFS('Supply planning data'!$I:$I,'Supply planning data'!$D:$D,DataViz!$B55,'Supply planning data'!$C:$C,DataViz!AN$34),
0))))</f>
        <v>0</v>
      </c>
      <c r="AO55" s="22">
        <f>IF(AO$35="Dose 1",SUMIFS('Supply planning data'!$G:$G,'Supply planning data'!$D:$D,DataViz!$B55,'Supply planning data'!$C:$C,DataViz!AO$34),
IF(AO$35="Dose 2",SUMIFS('Supply planning data'!$H:$H,'Supply planning data'!$D:$D,DataViz!$B55,'Supply planning data'!$C:$C,DataViz!AO$34),
IF(AO$35="Wastage",SUMIFS('Supply planning data'!$K:$K,'Supply planning data'!$D:$D,DataViz!$B55,'Supply planning data'!$C:$C,DataViz!AO$34),
IF(AO$35="Additional",SUMIFS('Supply planning data'!$I:$I,'Supply planning data'!$D:$D,DataViz!$B55,'Supply planning data'!$C:$C,DataViz!AO$34),
0))))</f>
        <v>0</v>
      </c>
      <c r="AP55" s="22">
        <f>IF(AP$35="Dose 1",SUMIFS('Supply planning data'!$G:$G,'Supply planning data'!$D:$D,DataViz!$B55,'Supply planning data'!$C:$C,DataViz!AP$34),
IF(AP$35="Dose 2",SUMIFS('Supply planning data'!$H:$H,'Supply planning data'!$D:$D,DataViz!$B55,'Supply planning data'!$C:$C,DataViz!AP$34),
IF(AP$35="Wastage",SUMIFS('Supply planning data'!$K:$K,'Supply planning data'!$D:$D,DataViz!$B55,'Supply planning data'!$C:$C,DataViz!AP$34),
IF(AP$35="Additional",SUMIFS('Supply planning data'!$I:$I,'Supply planning data'!$D:$D,DataViz!$B55,'Supply planning data'!$C:$C,DataViz!AP$34),
0))))</f>
        <v>0</v>
      </c>
      <c r="AQ55" s="22">
        <f>IF(AQ$35="Dose 1",SUMIFS('Supply planning data'!$G:$G,'Supply planning data'!$D:$D,DataViz!$B55,'Supply planning data'!$C:$C,DataViz!AQ$34),
IF(AQ$35="Dose 2",SUMIFS('Supply planning data'!$H:$H,'Supply planning data'!$D:$D,DataViz!$B55,'Supply planning data'!$C:$C,DataViz!AQ$34),
IF(AQ$35="Wastage",SUMIFS('Supply planning data'!$K:$K,'Supply planning data'!$D:$D,DataViz!$B55,'Supply planning data'!$C:$C,DataViz!AQ$34),
IF(AQ$35="Additional",SUMIFS('Supply planning data'!$I:$I,'Supply planning data'!$D:$D,DataViz!$B55,'Supply planning data'!$C:$C,DataViz!AQ$34),
0))))</f>
        <v>0</v>
      </c>
      <c r="AR55" s="22">
        <f>IF(AR$35="Dose 1",SUMIFS('Supply planning data'!$G:$G,'Supply planning data'!$D:$D,DataViz!$B55,'Supply planning data'!$C:$C,DataViz!AR$34),
IF(AR$35="Dose 2",SUMIFS('Supply planning data'!$H:$H,'Supply planning data'!$D:$D,DataViz!$B55,'Supply planning data'!$C:$C,DataViz!AR$34),
IF(AR$35="Wastage",SUMIFS('Supply planning data'!$K:$K,'Supply planning data'!$D:$D,DataViz!$B55,'Supply planning data'!$C:$C,DataViz!AR$34),
IF(AR$35="Additional",SUMIFS('Supply planning data'!$I:$I,'Supply planning data'!$D:$D,DataViz!$B55,'Supply planning data'!$C:$C,DataViz!AR$34),
0))))</f>
        <v>0</v>
      </c>
      <c r="AS55" s="22">
        <f>IF(AS$35="Dose 1",SUMIFS('Supply planning data'!$G:$G,'Supply planning data'!$D:$D,DataViz!$B55,'Supply planning data'!$C:$C,DataViz!AS$34),
IF(AS$35="Dose 2",SUMIFS('Supply planning data'!$H:$H,'Supply planning data'!$D:$D,DataViz!$B55,'Supply planning data'!$C:$C,DataViz!AS$34),
IF(AS$35="Wastage",SUMIFS('Supply planning data'!$K:$K,'Supply planning data'!$D:$D,DataViz!$B55,'Supply planning data'!$C:$C,DataViz!AS$34),
IF(AS$35="Additional",SUMIFS('Supply planning data'!$I:$I,'Supply planning data'!$D:$D,DataViz!$B55,'Supply planning data'!$C:$C,DataViz!AS$34),
0))))</f>
        <v>0</v>
      </c>
      <c r="AT55" s="22">
        <f>IF(AT$35="Dose 1",SUMIFS('Supply planning data'!$G:$G,'Supply planning data'!$D:$D,DataViz!$B55,'Supply planning data'!$C:$C,DataViz!AT$34),
IF(AT$35="Dose 2",SUMIFS('Supply planning data'!$H:$H,'Supply planning data'!$D:$D,DataViz!$B55,'Supply planning data'!$C:$C,DataViz!AT$34),
IF(AT$35="Wastage",SUMIFS('Supply planning data'!$K:$K,'Supply planning data'!$D:$D,DataViz!$B55,'Supply planning data'!$C:$C,DataViz!AT$34),
IF(AT$35="Additional",SUMIFS('Supply planning data'!$I:$I,'Supply planning data'!$D:$D,DataViz!$B55,'Supply planning data'!$C:$C,DataViz!AT$34),
0))))</f>
        <v>0</v>
      </c>
      <c r="AU55" s="22">
        <f>IF(AU$35="Dose 1",SUMIFS('Supply planning data'!$G:$G,'Supply planning data'!$D:$D,DataViz!$B55,'Supply planning data'!$C:$C,DataViz!AU$34),
IF(AU$35="Dose 2",SUMIFS('Supply planning data'!$H:$H,'Supply planning data'!$D:$D,DataViz!$B55,'Supply planning data'!$C:$C,DataViz!AU$34),
IF(AU$35="Wastage",SUMIFS('Supply planning data'!$K:$K,'Supply planning data'!$D:$D,DataViz!$B55,'Supply planning data'!$C:$C,DataViz!AU$34),
IF(AU$35="Additional",SUMIFS('Supply planning data'!$I:$I,'Supply planning data'!$D:$D,DataViz!$B55,'Supply planning data'!$C:$C,DataViz!AU$34),
0))))</f>
        <v>0</v>
      </c>
      <c r="AV55" s="22">
        <f>IF(AV$35="Dose 1",SUMIFS('Supply planning data'!$G:$G,'Supply planning data'!$D:$D,DataViz!$B55,'Supply planning data'!$C:$C,DataViz!AV$34),
IF(AV$35="Dose 2",SUMIFS('Supply planning data'!$H:$H,'Supply planning data'!$D:$D,DataViz!$B55,'Supply planning data'!$C:$C,DataViz!AV$34),
IF(AV$35="Wastage",SUMIFS('Supply planning data'!$K:$K,'Supply planning data'!$D:$D,DataViz!$B55,'Supply planning data'!$C:$C,DataViz!AV$34),
IF(AV$35="Additional",SUMIFS('Supply planning data'!$I:$I,'Supply planning data'!$D:$D,DataViz!$B55,'Supply planning data'!$C:$C,DataViz!AV$34),
0))))</f>
        <v>0</v>
      </c>
      <c r="AW55" s="22">
        <f>IF(AW$35="Dose 1",SUMIFS('Supply planning data'!$G:$G,'Supply planning data'!$D:$D,DataViz!$B55,'Supply planning data'!$C:$C,DataViz!AW$34),
IF(AW$35="Dose 2",SUMIFS('Supply planning data'!$H:$H,'Supply planning data'!$D:$D,DataViz!$B55,'Supply planning data'!$C:$C,DataViz!AW$34),
IF(AW$35="Wastage",SUMIFS('Supply planning data'!$K:$K,'Supply planning data'!$D:$D,DataViz!$B55,'Supply planning data'!$C:$C,DataViz!AW$34),
IF(AW$35="Additional",SUMIFS('Supply planning data'!$I:$I,'Supply planning data'!$D:$D,DataViz!$B55,'Supply planning data'!$C:$C,DataViz!AW$34),
0))))</f>
        <v>0</v>
      </c>
      <c r="AX55" s="22">
        <f>IF(AX$35="Dose 1",SUMIFS('Supply planning data'!$G:$G,'Supply planning data'!$D:$D,DataViz!$B55,'Supply planning data'!$C:$C,DataViz!AX$34),
IF(AX$35="Dose 2",SUMIFS('Supply planning data'!$H:$H,'Supply planning data'!$D:$D,DataViz!$B55,'Supply planning data'!$C:$C,DataViz!AX$34),
IF(AX$35="Wastage",SUMIFS('Supply planning data'!$K:$K,'Supply planning data'!$D:$D,DataViz!$B55,'Supply planning data'!$C:$C,DataViz!AX$34),
IF(AX$35="Additional",SUMIFS('Supply planning data'!$I:$I,'Supply planning data'!$D:$D,DataViz!$B55,'Supply planning data'!$C:$C,DataViz!AX$34),
0))))</f>
        <v>0</v>
      </c>
      <c r="AY55" s="22">
        <f>IF(AY$35="Dose 1",SUMIFS('Supply planning data'!$G:$G,'Supply planning data'!$D:$D,DataViz!$B55,'Supply planning data'!$C:$C,DataViz!AY$34),
IF(AY$35="Dose 2",SUMIFS('Supply planning data'!$H:$H,'Supply planning data'!$D:$D,DataViz!$B55,'Supply planning data'!$C:$C,DataViz!AY$34),
IF(AY$35="Wastage",SUMIFS('Supply planning data'!$K:$K,'Supply planning data'!$D:$D,DataViz!$B55,'Supply planning data'!$C:$C,DataViz!AY$34),
IF(AY$35="Additional",SUMIFS('Supply planning data'!$I:$I,'Supply planning data'!$D:$D,DataViz!$B55,'Supply planning data'!$C:$C,DataViz!AY$34),
0))))</f>
        <v>0</v>
      </c>
      <c r="AZ55" s="22">
        <f>IF(AZ$35="Dose 1",SUMIFS('Supply planning data'!$G:$G,'Supply planning data'!$D:$D,DataViz!$B55,'Supply planning data'!$C:$C,DataViz!AZ$34),
IF(AZ$35="Dose 2",SUMIFS('Supply planning data'!$H:$H,'Supply planning data'!$D:$D,DataViz!$B55,'Supply planning data'!$C:$C,DataViz!AZ$34),
IF(AZ$35="Wastage",SUMIFS('Supply planning data'!$K:$K,'Supply planning data'!$D:$D,DataViz!$B55,'Supply planning data'!$C:$C,DataViz!AZ$34),
IF(AZ$35="Additional",SUMIFS('Supply planning data'!$I:$I,'Supply planning data'!$D:$D,DataViz!$B55,'Supply planning data'!$C:$C,DataViz!AZ$34),
0))))</f>
        <v>0</v>
      </c>
      <c r="BA55" s="22">
        <f>IF(BA$35="Dose 1",SUMIFS('Supply planning data'!$G:$G,'Supply planning data'!$D:$D,DataViz!$B55,'Supply planning data'!$C:$C,DataViz!BA$34),
IF(BA$35="Dose 2",SUMIFS('Supply planning data'!$H:$H,'Supply planning data'!$D:$D,DataViz!$B55,'Supply planning data'!$C:$C,DataViz!BA$34),
IF(BA$35="Wastage",SUMIFS('Supply planning data'!$K:$K,'Supply planning data'!$D:$D,DataViz!$B55,'Supply planning data'!$C:$C,DataViz!BA$34),
IF(BA$35="Additional",SUMIFS('Supply planning data'!$I:$I,'Supply planning data'!$D:$D,DataViz!$B55,'Supply planning data'!$C:$C,DataViz!BA$34),
0))))</f>
        <v>0</v>
      </c>
      <c r="BB55" s="22">
        <f>IF(BB$35="Dose 1",SUMIFS('Supply planning data'!$G:$G,'Supply planning data'!$D:$D,DataViz!$B55,'Supply planning data'!$C:$C,DataViz!BB$34),
IF(BB$35="Dose 2",SUMIFS('Supply planning data'!$H:$H,'Supply planning data'!$D:$D,DataViz!$B55,'Supply planning data'!$C:$C,DataViz!BB$34),
IF(BB$35="Wastage",SUMIFS('Supply planning data'!$K:$K,'Supply planning data'!$D:$D,DataViz!$B55,'Supply planning data'!$C:$C,DataViz!BB$34),
IF(BB$35="Additional",SUMIFS('Supply planning data'!$I:$I,'Supply planning data'!$D:$D,DataViz!$B55,'Supply planning data'!$C:$C,DataViz!BB$34),
0))))</f>
        <v>0</v>
      </c>
      <c r="BC55" s="22">
        <f>IF(BC$35="Dose 1",SUMIFS('Supply planning data'!$G:$G,'Supply planning data'!$D:$D,DataViz!$B55,'Supply planning data'!$C:$C,DataViz!BC$34),
IF(BC$35="Dose 2",SUMIFS('Supply planning data'!$H:$H,'Supply planning data'!$D:$D,DataViz!$B55,'Supply planning data'!$C:$C,DataViz!BC$34),
IF(BC$35="Wastage",SUMIFS('Supply planning data'!$K:$K,'Supply planning data'!$D:$D,DataViz!$B55,'Supply planning data'!$C:$C,DataViz!BC$34),
IF(BC$35="Additional",SUMIFS('Supply planning data'!$I:$I,'Supply planning data'!$D:$D,DataViz!$B55,'Supply planning data'!$C:$C,DataViz!BC$34),
0))))</f>
        <v>0</v>
      </c>
      <c r="BD55" s="22">
        <f>IF(BD$35="Dose 1",SUMIFS('Supply planning data'!$G:$G,'Supply planning data'!$D:$D,DataViz!$B55,'Supply planning data'!$C:$C,DataViz!BD$34),
IF(BD$35="Dose 2",SUMIFS('Supply planning data'!$H:$H,'Supply planning data'!$D:$D,DataViz!$B55,'Supply planning data'!$C:$C,DataViz!BD$34),
IF(BD$35="Wastage",SUMIFS('Supply planning data'!$K:$K,'Supply planning data'!$D:$D,DataViz!$B55,'Supply planning data'!$C:$C,DataViz!BD$34),
IF(BD$35="Additional",SUMIFS('Supply planning data'!$I:$I,'Supply planning data'!$D:$D,DataViz!$B55,'Supply planning data'!$C:$C,DataViz!BD$34),
0))))</f>
        <v>0</v>
      </c>
      <c r="BE55" s="22">
        <f>IF(BE$35="Dose 1",SUMIFS('Supply planning data'!$G:$G,'Supply planning data'!$D:$D,DataViz!$B55,'Supply planning data'!$C:$C,DataViz!BE$34),
IF(BE$35="Dose 2",SUMIFS('Supply planning data'!$H:$H,'Supply planning data'!$D:$D,DataViz!$B55,'Supply planning data'!$C:$C,DataViz!BE$34),
IF(BE$35="Wastage",SUMIFS('Supply planning data'!$K:$K,'Supply planning data'!$D:$D,DataViz!$B55,'Supply planning data'!$C:$C,DataViz!BE$34),
IF(BE$35="Additional",SUMIFS('Supply planning data'!$I:$I,'Supply planning data'!$D:$D,DataViz!$B55,'Supply planning data'!$C:$C,DataViz!BE$34),
0))))</f>
        <v>0</v>
      </c>
      <c r="BF55" s="22">
        <f>IF(BF$35="Dose 1",SUMIFS('Supply planning data'!$G:$G,'Supply planning data'!$D:$D,DataViz!$B55,'Supply planning data'!$C:$C,DataViz!BF$34),
IF(BF$35="Dose 2",SUMIFS('Supply planning data'!$H:$H,'Supply planning data'!$D:$D,DataViz!$B55,'Supply planning data'!$C:$C,DataViz!BF$34),
IF(BF$35="Wastage",SUMIFS('Supply planning data'!$K:$K,'Supply planning data'!$D:$D,DataViz!$B55,'Supply planning data'!$C:$C,DataViz!BF$34),
IF(BF$35="Additional",SUMIFS('Supply planning data'!$I:$I,'Supply planning data'!$D:$D,DataViz!$B55,'Supply planning data'!$C:$C,DataViz!BF$34),
0))))</f>
        <v>0</v>
      </c>
      <c r="BG55" s="22">
        <f>IF(BG$35="Dose 1",SUMIFS('Supply planning data'!$G:$G,'Supply planning data'!$D:$D,DataViz!$B55,'Supply planning data'!$C:$C,DataViz!BG$34),
IF(BG$35="Dose 2",SUMIFS('Supply planning data'!$H:$H,'Supply planning data'!$D:$D,DataViz!$B55,'Supply planning data'!$C:$C,DataViz!BG$34),
IF(BG$35="Wastage",SUMIFS('Supply planning data'!$K:$K,'Supply planning data'!$D:$D,DataViz!$B55,'Supply planning data'!$C:$C,DataViz!BG$34),
IF(BG$35="Additional",SUMIFS('Supply planning data'!$I:$I,'Supply planning data'!$D:$D,DataViz!$B55,'Supply planning data'!$C:$C,DataViz!BG$34),
0))))</f>
        <v>0</v>
      </c>
      <c r="BH55" s="22">
        <f>IF(BH$35="Dose 1",SUMIFS('Supply planning data'!$G:$G,'Supply planning data'!$D:$D,DataViz!$B55,'Supply planning data'!$C:$C,DataViz!BH$34),
IF(BH$35="Dose 2",SUMIFS('Supply planning data'!$H:$H,'Supply planning data'!$D:$D,DataViz!$B55,'Supply planning data'!$C:$C,DataViz!BH$34),
IF(BH$35="Wastage",SUMIFS('Supply planning data'!$K:$K,'Supply planning data'!$D:$D,DataViz!$B55,'Supply planning data'!$C:$C,DataViz!BH$34),
IF(BH$35="Additional",SUMIFS('Supply planning data'!$I:$I,'Supply planning data'!$D:$D,DataViz!$B55,'Supply planning data'!$C:$C,DataViz!BH$34),
0))))</f>
        <v>0</v>
      </c>
      <c r="BI55" s="22">
        <f>IF(BI$35="Dose 1",SUMIFS('Supply planning data'!$G:$G,'Supply planning data'!$D:$D,DataViz!$B55,'Supply planning data'!$C:$C,DataViz!BI$34),
IF(BI$35="Dose 2",SUMIFS('Supply planning data'!$H:$H,'Supply planning data'!$D:$D,DataViz!$B55,'Supply planning data'!$C:$C,DataViz!BI$34),
IF(BI$35="Wastage",SUMIFS('Supply planning data'!$K:$K,'Supply planning data'!$D:$D,DataViz!$B55,'Supply planning data'!$C:$C,DataViz!BI$34),
IF(BI$35="Additional",SUMIFS('Supply planning data'!$I:$I,'Supply planning data'!$D:$D,DataViz!$B55,'Supply planning data'!$C:$C,DataViz!BI$34),
0))))</f>
        <v>0</v>
      </c>
      <c r="BJ55" s="22">
        <f>IF(BJ$35="Dose 1",SUMIFS('Supply planning data'!$G:$G,'Supply planning data'!$D:$D,DataViz!$B55,'Supply planning data'!$C:$C,DataViz!BJ$34),
IF(BJ$35="Dose 2",SUMIFS('Supply planning data'!$H:$H,'Supply planning data'!$D:$D,DataViz!$B55,'Supply planning data'!$C:$C,DataViz!BJ$34),
IF(BJ$35="Wastage",SUMIFS('Supply planning data'!$K:$K,'Supply planning data'!$D:$D,DataViz!$B55,'Supply planning data'!$C:$C,DataViz!BJ$34),
IF(BJ$35="Additional",SUMIFS('Supply planning data'!$I:$I,'Supply planning data'!$D:$D,DataViz!$B55,'Supply planning data'!$C:$C,DataViz!BJ$34),
0))))</f>
        <v>0</v>
      </c>
      <c r="BK55" s="22">
        <f>IF(BK$35="Dose 1",SUMIFS('Supply planning data'!$G:$G,'Supply planning data'!$D:$D,DataViz!$B55,'Supply planning data'!$C:$C,DataViz!BK$34),
IF(BK$35="Dose 2",SUMIFS('Supply planning data'!$H:$H,'Supply planning data'!$D:$D,DataViz!$B55,'Supply planning data'!$C:$C,DataViz!BK$34),
IF(BK$35="Wastage",SUMIFS('Supply planning data'!$K:$K,'Supply planning data'!$D:$D,DataViz!$B55,'Supply planning data'!$C:$C,DataViz!BK$34),
IF(BK$35="Additional",SUMIFS('Supply planning data'!$I:$I,'Supply planning data'!$D:$D,DataViz!$B55,'Supply planning data'!$C:$C,DataViz!BK$34),
0))))</f>
        <v>0</v>
      </c>
      <c r="BL55" s="22">
        <f>IF(BL$35="Dose 1",SUMIFS('Supply planning data'!$G:$G,'Supply planning data'!$D:$D,DataViz!$B55,'Supply planning data'!$C:$C,DataViz!BL$34),
IF(BL$35="Dose 2",SUMIFS('Supply planning data'!$H:$H,'Supply planning data'!$D:$D,DataViz!$B55,'Supply planning data'!$C:$C,DataViz!BL$34),
IF(BL$35="Wastage",SUMIFS('Supply planning data'!$K:$K,'Supply planning data'!$D:$D,DataViz!$B55,'Supply planning data'!$C:$C,DataViz!BL$34),
IF(BL$35="Additional",SUMIFS('Supply planning data'!$I:$I,'Supply planning data'!$D:$D,DataViz!$B55,'Supply planning data'!$C:$C,DataViz!BL$34),
0))))</f>
        <v>0</v>
      </c>
    </row>
    <row r="56" spans="1:64" x14ac:dyDescent="0.25">
      <c r="A56" s="20">
        <v>18</v>
      </c>
      <c r="B56" s="21">
        <f t="shared" si="15"/>
        <v>44805</v>
      </c>
      <c r="C56" s="22">
        <f>IF(VLOOKUP(Dashboard!$M$6,Start!$B$10:$E$12,4,FALSE)&gt;0,VLOOKUP(Dashboard!$M$6,Start!$B$10:$E$12,4, FALSE),VLOOKUP(Dashboard!$M$6,Start!$B$10:$E$12,3, FALSE))</f>
        <v>60000000</v>
      </c>
      <c r="D56" s="22">
        <f>SUMIFS('Supply planning data'!M:M,'Supply planning data'!D:D,"&lt;="&amp;DataViz!B56)</f>
        <v>2720887</v>
      </c>
      <c r="E56" s="22">
        <f>IF(E$35="Dose 1",SUMIFS('Supply planning data'!$G:$G,'Supply planning data'!$D:$D,DataViz!$B56,'Supply planning data'!$C:$C,DataViz!E$34),
IF(E$35="Dose 2",SUMIFS('Supply planning data'!$H:$H,'Supply planning data'!$D:$D,DataViz!$B56,'Supply planning data'!$C:$C,DataViz!E$34),
IF(E$35="Wastage",SUMIFS('Supply planning data'!$K:$K,'Supply planning data'!$D:$D,DataViz!$B56,'Supply planning data'!$C:$C,DataViz!E$34),
IF(E$35="Additional",SUMIFS('Supply planning data'!$I:$I,'Supply planning data'!$D:$D,DataViz!$B56,'Supply planning data'!$C:$C,DataViz!E$34),
0))))</f>
        <v>0</v>
      </c>
      <c r="F56" s="22">
        <f>IF(F$35="Dose 1",SUMIFS('Supply planning data'!$G:$G,'Supply planning data'!$D:$D,DataViz!$B56,'Supply planning data'!$C:$C,DataViz!F$34),
IF(F$35="Dose 2",SUMIFS('Supply planning data'!$H:$H,'Supply planning data'!$D:$D,DataViz!$B56,'Supply planning data'!$C:$C,DataViz!F$34),
IF(F$35="Wastage",SUMIFS('Supply planning data'!$K:$K,'Supply planning data'!$D:$D,DataViz!$B56,'Supply planning data'!$C:$C,DataViz!F$34),
IF(F$35="Additional",SUMIFS('Supply planning data'!$I:$I,'Supply planning data'!$D:$D,DataViz!$B56,'Supply planning data'!$C:$C,DataViz!F$34),
0))))</f>
        <v>0</v>
      </c>
      <c r="G56" s="22">
        <f>IF(G$35="Dose 1",SUMIFS('Supply planning data'!$G:$G,'Supply planning data'!$D:$D,DataViz!$B56,'Supply planning data'!$C:$C,DataViz!G$34),
IF(G$35="Dose 2",SUMIFS('Supply planning data'!$H:$H,'Supply planning data'!$D:$D,DataViz!$B56,'Supply planning data'!$C:$C,DataViz!G$34),
IF(G$35="Wastage",SUMIFS('Supply planning data'!$K:$K,'Supply planning data'!$D:$D,DataViz!$B56,'Supply planning data'!$C:$C,DataViz!G$34),
IF(G$35="Additional",SUMIFS('Supply planning data'!$I:$I,'Supply planning data'!$D:$D,DataViz!$B56,'Supply planning data'!$C:$C,DataViz!G$34),
0))))</f>
        <v>0</v>
      </c>
      <c r="H56" s="22">
        <f>IF(H$35="Dose 1",SUMIFS('Supply planning data'!$G:$G,'Supply planning data'!$D:$D,DataViz!$B56,'Supply planning data'!$C:$C,DataViz!H$34),
IF(H$35="Dose 2",SUMIFS('Supply planning data'!$H:$H,'Supply planning data'!$D:$D,DataViz!$B56,'Supply planning data'!$C:$C,DataViz!H$34),
IF(H$35="Wastage",SUMIFS('Supply planning data'!$K:$K,'Supply planning data'!$D:$D,DataViz!$B56,'Supply planning data'!$C:$C,DataViz!H$34),
IF(H$35="Additional",SUMIFS('Supply planning data'!$I:$I,'Supply planning data'!$D:$D,DataViz!$B56,'Supply planning data'!$C:$C,DataViz!H$34),
0))))</f>
        <v>0</v>
      </c>
      <c r="I56" s="22">
        <f>IF(I$35="Dose 1",SUMIFS('Supply planning data'!$G:$G,'Supply planning data'!$D:$D,DataViz!$B56,'Supply planning data'!$C:$C,DataViz!I$34),
IF(I$35="Dose 2",SUMIFS('Supply planning data'!$H:$H,'Supply planning data'!$D:$D,DataViz!$B56,'Supply planning data'!$C:$C,DataViz!I$34),
IF(I$35="Wastage",SUMIFS('Supply planning data'!$K:$K,'Supply planning data'!$D:$D,DataViz!$B56,'Supply planning data'!$C:$C,DataViz!I$34),
IF(I$35="Additional",SUMIFS('Supply planning data'!$I:$I,'Supply planning data'!$D:$D,DataViz!$B56,'Supply planning data'!$C:$C,DataViz!I$34),
0))))</f>
        <v>0</v>
      </c>
      <c r="J56" s="22">
        <f>IF(J$35="Dose 1",SUMIFS('Supply planning data'!$G:$G,'Supply planning data'!$D:$D,DataViz!$B56,'Supply planning data'!$C:$C,DataViz!J$34),
IF(J$35="Dose 2",SUMIFS('Supply planning data'!$H:$H,'Supply planning data'!$D:$D,DataViz!$B56,'Supply planning data'!$C:$C,DataViz!J$34),
IF(J$35="Wastage",SUMIFS('Supply planning data'!$K:$K,'Supply planning data'!$D:$D,DataViz!$B56,'Supply planning data'!$C:$C,DataViz!J$34),
IF(J$35="Additional",SUMIFS('Supply planning data'!$I:$I,'Supply planning data'!$D:$D,DataViz!$B56,'Supply planning data'!$C:$C,DataViz!J$34),
0))))</f>
        <v>0</v>
      </c>
      <c r="K56" s="22">
        <f>IF(K$35="Dose 1",SUMIFS('Supply planning data'!$G:$G,'Supply planning data'!$D:$D,DataViz!$B56,'Supply planning data'!$C:$C,DataViz!K$34),
IF(K$35="Dose 2",SUMIFS('Supply planning data'!$H:$H,'Supply planning data'!$D:$D,DataViz!$B56,'Supply planning data'!$C:$C,DataViz!K$34),
IF(K$35="Wastage",SUMIFS('Supply planning data'!$K:$K,'Supply planning data'!$D:$D,DataViz!$B56,'Supply planning data'!$C:$C,DataViz!K$34),
IF(K$35="Additional",SUMIFS('Supply planning data'!$I:$I,'Supply planning data'!$D:$D,DataViz!$B56,'Supply planning data'!$C:$C,DataViz!K$34),
0))))</f>
        <v>0</v>
      </c>
      <c r="L56" s="22">
        <f>IF(L$35="Dose 1",SUMIFS('Supply planning data'!$G:$G,'Supply planning data'!$D:$D,DataViz!$B56,'Supply planning data'!$C:$C,DataViz!L$34),
IF(L$35="Dose 2",SUMIFS('Supply planning data'!$H:$H,'Supply planning data'!$D:$D,DataViz!$B56,'Supply planning data'!$C:$C,DataViz!L$34),
IF(L$35="Wastage",SUMIFS('Supply planning data'!$K:$K,'Supply planning data'!$D:$D,DataViz!$B56,'Supply planning data'!$C:$C,DataViz!L$34),
IF(L$35="Additional",SUMIFS('Supply planning data'!$I:$I,'Supply planning data'!$D:$D,DataViz!$B56,'Supply planning data'!$C:$C,DataViz!L$34),
0))))</f>
        <v>0</v>
      </c>
      <c r="M56" s="22">
        <f>IF(M$35="Dose 1",SUMIFS('Supply planning data'!$G:$G,'Supply planning data'!$D:$D,DataViz!$B56,'Supply planning data'!$C:$C,DataViz!M$34),
IF(M$35="Dose 2",SUMIFS('Supply planning data'!$H:$H,'Supply planning data'!$D:$D,DataViz!$B56,'Supply planning data'!$C:$C,DataViz!M$34),
IF(M$35="Wastage",SUMIFS('Supply planning data'!$K:$K,'Supply planning data'!$D:$D,DataViz!$B56,'Supply planning data'!$C:$C,DataViz!M$34),
IF(M$35="Additional",SUMIFS('Supply planning data'!$I:$I,'Supply planning data'!$D:$D,DataViz!$B56,'Supply planning data'!$C:$C,DataViz!M$34),
0))))</f>
        <v>0</v>
      </c>
      <c r="N56" s="22">
        <f>IF(N$35="Dose 1",SUMIFS('Supply planning data'!$G:$G,'Supply planning data'!$D:$D,DataViz!$B56,'Supply planning data'!$C:$C,DataViz!N$34),
IF(N$35="Dose 2",SUMIFS('Supply planning data'!$H:$H,'Supply planning data'!$D:$D,DataViz!$B56,'Supply planning data'!$C:$C,DataViz!N$34),
IF(N$35="Wastage",SUMIFS('Supply planning data'!$K:$K,'Supply planning data'!$D:$D,DataViz!$B56,'Supply planning data'!$C:$C,DataViz!N$34),
IF(N$35="Additional",SUMIFS('Supply planning data'!$I:$I,'Supply planning data'!$D:$D,DataViz!$B56,'Supply planning data'!$C:$C,DataViz!N$34),
0))))</f>
        <v>0</v>
      </c>
      <c r="O56" s="22">
        <f>IF(O$35="Dose 1",SUMIFS('Supply planning data'!$G:$G,'Supply planning data'!$D:$D,DataViz!$B56,'Supply planning data'!$C:$C,DataViz!O$34),
IF(O$35="Dose 2",SUMIFS('Supply planning data'!$H:$H,'Supply planning data'!$D:$D,DataViz!$B56,'Supply planning data'!$C:$C,DataViz!O$34),
IF(O$35="Wastage",SUMIFS('Supply planning data'!$K:$K,'Supply planning data'!$D:$D,DataViz!$B56,'Supply planning data'!$C:$C,DataViz!O$34),
IF(O$35="Additional",SUMIFS('Supply planning data'!$I:$I,'Supply planning data'!$D:$D,DataViz!$B56,'Supply planning data'!$C:$C,DataViz!O$34),
0))))</f>
        <v>0</v>
      </c>
      <c r="P56" s="22">
        <f>IF(P$35="Dose 1",SUMIFS('Supply planning data'!$G:$G,'Supply planning data'!$D:$D,DataViz!$B56,'Supply planning data'!$C:$C,DataViz!P$34),
IF(P$35="Dose 2",SUMIFS('Supply planning data'!$H:$H,'Supply planning data'!$D:$D,DataViz!$B56,'Supply planning data'!$C:$C,DataViz!P$34),
IF(P$35="Wastage",SUMIFS('Supply planning data'!$K:$K,'Supply planning data'!$D:$D,DataViz!$B56,'Supply planning data'!$C:$C,DataViz!P$34),
IF(P$35="Additional",SUMIFS('Supply planning data'!$I:$I,'Supply planning data'!$D:$D,DataViz!$B56,'Supply planning data'!$C:$C,DataViz!P$34),
0))))</f>
        <v>0</v>
      </c>
      <c r="Q56" s="22">
        <f>IF(Q$35="Dose 1",SUMIFS('Supply planning data'!$G:$G,'Supply planning data'!$D:$D,DataViz!$B56,'Supply planning data'!$C:$C,DataViz!Q$34),
IF(Q$35="Dose 2",SUMIFS('Supply planning data'!$H:$H,'Supply planning data'!$D:$D,DataViz!$B56,'Supply planning data'!$C:$C,DataViz!Q$34),
IF(Q$35="Wastage",SUMIFS('Supply planning data'!$K:$K,'Supply planning data'!$D:$D,DataViz!$B56,'Supply planning data'!$C:$C,DataViz!Q$34),
IF(Q$35="Additional",SUMIFS('Supply planning data'!$I:$I,'Supply planning data'!$D:$D,DataViz!$B56,'Supply planning data'!$C:$C,DataViz!Q$34),
0))))</f>
        <v>0</v>
      </c>
      <c r="R56" s="22">
        <f>IF(R$35="Dose 1",SUMIFS('Supply planning data'!$G:$G,'Supply planning data'!$D:$D,DataViz!$B56,'Supply planning data'!$C:$C,DataViz!R$34),
IF(R$35="Dose 2",SUMIFS('Supply planning data'!$H:$H,'Supply planning data'!$D:$D,DataViz!$B56,'Supply planning data'!$C:$C,DataViz!R$34),
IF(R$35="Wastage",SUMIFS('Supply planning data'!$K:$K,'Supply planning data'!$D:$D,DataViz!$B56,'Supply planning data'!$C:$C,DataViz!R$34),
IF(R$35="Additional",SUMIFS('Supply planning data'!$I:$I,'Supply planning data'!$D:$D,DataViz!$B56,'Supply planning data'!$C:$C,DataViz!R$34),
0))))</f>
        <v>0</v>
      </c>
      <c r="S56" s="22">
        <f>IF(S$35="Dose 1",SUMIFS('Supply planning data'!$G:$G,'Supply planning data'!$D:$D,DataViz!$B56,'Supply planning data'!$C:$C,DataViz!S$34),
IF(S$35="Dose 2",SUMIFS('Supply planning data'!$H:$H,'Supply planning data'!$D:$D,DataViz!$B56,'Supply planning data'!$C:$C,DataViz!S$34),
IF(S$35="Wastage",SUMIFS('Supply planning data'!$K:$K,'Supply planning data'!$D:$D,DataViz!$B56,'Supply planning data'!$C:$C,DataViz!S$34),
IF(S$35="Additional",SUMIFS('Supply planning data'!$I:$I,'Supply planning data'!$D:$D,DataViz!$B56,'Supply planning data'!$C:$C,DataViz!S$34),
0))))</f>
        <v>0</v>
      </c>
      <c r="T56" s="22">
        <f>IF(T$35="Dose 1",SUMIFS('Supply planning data'!$G:$G,'Supply planning data'!$D:$D,DataViz!$B56,'Supply planning data'!$C:$C,DataViz!T$34),
IF(T$35="Dose 2",SUMIFS('Supply planning data'!$H:$H,'Supply planning data'!$D:$D,DataViz!$B56,'Supply planning data'!$C:$C,DataViz!T$34),
IF(T$35="Wastage",SUMIFS('Supply planning data'!$K:$K,'Supply planning data'!$D:$D,DataViz!$B56,'Supply planning data'!$C:$C,DataViz!T$34),
IF(T$35="Additional",SUMIFS('Supply planning data'!$I:$I,'Supply planning data'!$D:$D,DataViz!$B56,'Supply planning data'!$C:$C,DataViz!T$34),
0))))</f>
        <v>0</v>
      </c>
      <c r="U56" s="22">
        <f>IF(U$35="Dose 1",SUMIFS('Supply planning data'!$G:$G,'Supply planning data'!$D:$D,DataViz!$B56,'Supply planning data'!$C:$C,DataViz!U$34),
IF(U$35="Dose 2",SUMIFS('Supply planning data'!$H:$H,'Supply planning data'!$D:$D,DataViz!$B56,'Supply planning data'!$C:$C,DataViz!U$34),
IF(U$35="Wastage",SUMIFS('Supply planning data'!$K:$K,'Supply planning data'!$D:$D,DataViz!$B56,'Supply planning data'!$C:$C,DataViz!U$34),
IF(U$35="Additional",SUMIFS('Supply planning data'!$I:$I,'Supply planning data'!$D:$D,DataViz!$B56,'Supply planning data'!$C:$C,DataViz!U$34),
0))))</f>
        <v>0</v>
      </c>
      <c r="V56" s="22">
        <f>IF(V$35="Dose 1",SUMIFS('Supply planning data'!$G:$G,'Supply planning data'!$D:$D,DataViz!$B56,'Supply planning data'!$C:$C,DataViz!V$34),
IF(V$35="Dose 2",SUMIFS('Supply planning data'!$H:$H,'Supply planning data'!$D:$D,DataViz!$B56,'Supply planning data'!$C:$C,DataViz!V$34),
IF(V$35="Wastage",SUMIFS('Supply planning data'!$K:$K,'Supply planning data'!$D:$D,DataViz!$B56,'Supply planning data'!$C:$C,DataViz!V$34),
IF(V$35="Additional",SUMIFS('Supply planning data'!$I:$I,'Supply planning data'!$D:$D,DataViz!$B56,'Supply planning data'!$C:$C,DataViz!V$34),
0))))</f>
        <v>0</v>
      </c>
      <c r="W56" s="22">
        <f>IF(W$35="Dose 1",SUMIFS('Supply planning data'!$G:$G,'Supply planning data'!$D:$D,DataViz!$B56,'Supply planning data'!$C:$C,DataViz!W$34),
IF(W$35="Dose 2",SUMIFS('Supply planning data'!$H:$H,'Supply planning data'!$D:$D,DataViz!$B56,'Supply planning data'!$C:$C,DataViz!W$34),
IF(W$35="Wastage",SUMIFS('Supply planning data'!$K:$K,'Supply planning data'!$D:$D,DataViz!$B56,'Supply planning data'!$C:$C,DataViz!W$34),
IF(W$35="Additional",SUMIFS('Supply planning data'!$I:$I,'Supply planning data'!$D:$D,DataViz!$B56,'Supply planning data'!$C:$C,DataViz!W$34),
0))))</f>
        <v>0</v>
      </c>
      <c r="X56" s="22">
        <f>IF(X$35="Dose 1",SUMIFS('Supply planning data'!$G:$G,'Supply planning data'!$D:$D,DataViz!$B56,'Supply planning data'!$C:$C,DataViz!X$34),
IF(X$35="Dose 2",SUMIFS('Supply planning data'!$H:$H,'Supply planning data'!$D:$D,DataViz!$B56,'Supply planning data'!$C:$C,DataViz!X$34),
IF(X$35="Wastage",SUMIFS('Supply planning data'!$K:$K,'Supply planning data'!$D:$D,DataViz!$B56,'Supply planning data'!$C:$C,DataViz!X$34),
IF(X$35="Additional",SUMIFS('Supply planning data'!$I:$I,'Supply planning data'!$D:$D,DataViz!$B56,'Supply planning data'!$C:$C,DataViz!X$34),
0))))</f>
        <v>0</v>
      </c>
      <c r="Y56" s="22">
        <f>IF(Y$35="Dose 1",SUMIFS('Supply planning data'!$G:$G,'Supply planning data'!$D:$D,DataViz!$B56,'Supply planning data'!$C:$C,DataViz!Y$34),
IF(Y$35="Dose 2",SUMIFS('Supply planning data'!$H:$H,'Supply planning data'!$D:$D,DataViz!$B56,'Supply planning data'!$C:$C,DataViz!Y$34),
IF(Y$35="Wastage",SUMIFS('Supply planning data'!$K:$K,'Supply planning data'!$D:$D,DataViz!$B56,'Supply planning data'!$C:$C,DataViz!Y$34),
IF(Y$35="Additional",SUMIFS('Supply planning data'!$I:$I,'Supply planning data'!$D:$D,DataViz!$B56,'Supply planning data'!$C:$C,DataViz!Y$34),
0))))</f>
        <v>0</v>
      </c>
      <c r="Z56" s="22">
        <f>IF(Z$35="Dose 1",SUMIFS('Supply planning data'!$G:$G,'Supply planning data'!$D:$D,DataViz!$B56,'Supply planning data'!$C:$C,DataViz!Z$34),
IF(Z$35="Dose 2",SUMIFS('Supply planning data'!$H:$H,'Supply planning data'!$D:$D,DataViz!$B56,'Supply planning data'!$C:$C,DataViz!Z$34),
IF(Z$35="Wastage",SUMIFS('Supply planning data'!$K:$K,'Supply planning data'!$D:$D,DataViz!$B56,'Supply planning data'!$C:$C,DataViz!Z$34),
IF(Z$35="Additional",SUMIFS('Supply planning data'!$I:$I,'Supply planning data'!$D:$D,DataViz!$B56,'Supply planning data'!$C:$C,DataViz!Z$34),
0))))</f>
        <v>0</v>
      </c>
      <c r="AA56" s="22">
        <f>IF(AA$35="Dose 1",SUMIFS('Supply planning data'!$G:$G,'Supply planning data'!$D:$D,DataViz!$B56,'Supply planning data'!$C:$C,DataViz!AA$34),
IF(AA$35="Dose 2",SUMIFS('Supply planning data'!$H:$H,'Supply planning data'!$D:$D,DataViz!$B56,'Supply planning data'!$C:$C,DataViz!AA$34),
IF(AA$35="Wastage",SUMIFS('Supply planning data'!$K:$K,'Supply planning data'!$D:$D,DataViz!$B56,'Supply planning data'!$C:$C,DataViz!AA$34),
IF(AA$35="Additional",SUMIFS('Supply planning data'!$I:$I,'Supply planning data'!$D:$D,DataViz!$B56,'Supply planning data'!$C:$C,DataViz!AA$34),
0))))</f>
        <v>0</v>
      </c>
      <c r="AB56" s="22">
        <f>IF(AB$35="Dose 1",SUMIFS('Supply planning data'!$G:$G,'Supply planning data'!$D:$D,DataViz!$B56,'Supply planning data'!$C:$C,DataViz!AB$34),
IF(AB$35="Dose 2",SUMIFS('Supply planning data'!$H:$H,'Supply planning data'!$D:$D,DataViz!$B56,'Supply planning data'!$C:$C,DataViz!AB$34),
IF(AB$35="Wastage",SUMIFS('Supply planning data'!$K:$K,'Supply planning data'!$D:$D,DataViz!$B56,'Supply planning data'!$C:$C,DataViz!AB$34),
IF(AB$35="Additional",SUMIFS('Supply planning data'!$I:$I,'Supply planning data'!$D:$D,DataViz!$B56,'Supply planning data'!$C:$C,DataViz!AB$34),
0))))</f>
        <v>0</v>
      </c>
      <c r="AC56" s="22">
        <f>IF(AC$35="Dose 1",SUMIFS('Supply planning data'!$G:$G,'Supply planning data'!$D:$D,DataViz!$B56,'Supply planning data'!$C:$C,DataViz!AC$34),
IF(AC$35="Dose 2",SUMIFS('Supply planning data'!$H:$H,'Supply planning data'!$D:$D,DataViz!$B56,'Supply planning data'!$C:$C,DataViz!AC$34),
IF(AC$35="Wastage",SUMIFS('Supply planning data'!$K:$K,'Supply planning data'!$D:$D,DataViz!$B56,'Supply planning data'!$C:$C,DataViz!AC$34),
IF(AC$35="Additional",SUMIFS('Supply planning data'!$I:$I,'Supply planning data'!$D:$D,DataViz!$B56,'Supply planning data'!$C:$C,DataViz!AC$34),
0))))</f>
        <v>0</v>
      </c>
      <c r="AD56" s="22">
        <f>IF(AD$35="Dose 1",SUMIFS('Supply planning data'!$G:$G,'Supply planning data'!$D:$D,DataViz!$B56,'Supply planning data'!$C:$C,DataViz!AD$34),
IF(AD$35="Dose 2",SUMIFS('Supply planning data'!$H:$H,'Supply planning data'!$D:$D,DataViz!$B56,'Supply planning data'!$C:$C,DataViz!AD$34),
IF(AD$35="Wastage",SUMIFS('Supply planning data'!$K:$K,'Supply planning data'!$D:$D,DataViz!$B56,'Supply planning data'!$C:$C,DataViz!AD$34),
IF(AD$35="Additional",SUMIFS('Supply planning data'!$I:$I,'Supply planning data'!$D:$D,DataViz!$B56,'Supply planning data'!$C:$C,DataViz!AD$34),
0))))</f>
        <v>0</v>
      </c>
      <c r="AE56" s="22">
        <f>IF(AE$35="Dose 1",SUMIFS('Supply planning data'!$G:$G,'Supply planning data'!$D:$D,DataViz!$B56,'Supply planning data'!$C:$C,DataViz!AE$34),
IF(AE$35="Dose 2",SUMIFS('Supply planning data'!$H:$H,'Supply planning data'!$D:$D,DataViz!$B56,'Supply planning data'!$C:$C,DataViz!AE$34),
IF(AE$35="Wastage",SUMIFS('Supply planning data'!$K:$K,'Supply planning data'!$D:$D,DataViz!$B56,'Supply planning data'!$C:$C,DataViz!AE$34),
IF(AE$35="Additional",SUMIFS('Supply planning data'!$I:$I,'Supply planning data'!$D:$D,DataViz!$B56,'Supply planning data'!$C:$C,DataViz!AE$34),
0))))</f>
        <v>0</v>
      </c>
      <c r="AF56" s="22">
        <f>IF(AF$35="Dose 1",SUMIFS('Supply planning data'!$G:$G,'Supply planning data'!$D:$D,DataViz!$B56,'Supply planning data'!$C:$C,DataViz!AF$34),
IF(AF$35="Dose 2",SUMIFS('Supply planning data'!$H:$H,'Supply planning data'!$D:$D,DataViz!$B56,'Supply planning data'!$C:$C,DataViz!AF$34),
IF(AF$35="Wastage",SUMIFS('Supply planning data'!$K:$K,'Supply planning data'!$D:$D,DataViz!$B56,'Supply planning data'!$C:$C,DataViz!AF$34),
IF(AF$35="Additional",SUMIFS('Supply planning data'!$I:$I,'Supply planning data'!$D:$D,DataViz!$B56,'Supply planning data'!$C:$C,DataViz!AF$34),
0))))</f>
        <v>0</v>
      </c>
      <c r="AG56" s="22">
        <f>IF(AG$35="Dose 1",SUMIFS('Supply planning data'!$G:$G,'Supply planning data'!$D:$D,DataViz!$B56,'Supply planning data'!$C:$C,DataViz!AG$34),
IF(AG$35="Dose 2",SUMIFS('Supply planning data'!$H:$H,'Supply planning data'!$D:$D,DataViz!$B56,'Supply planning data'!$C:$C,DataViz!AG$34),
IF(AG$35="Wastage",SUMIFS('Supply planning data'!$K:$K,'Supply planning data'!$D:$D,DataViz!$B56,'Supply planning data'!$C:$C,DataViz!AG$34),
IF(AG$35="Additional",SUMIFS('Supply planning data'!$I:$I,'Supply planning data'!$D:$D,DataViz!$B56,'Supply planning data'!$C:$C,DataViz!AG$34),
0))))</f>
        <v>0</v>
      </c>
      <c r="AH56" s="22">
        <f>IF(AH$35="Dose 1",SUMIFS('Supply planning data'!$G:$G,'Supply planning data'!$D:$D,DataViz!$B56,'Supply planning data'!$C:$C,DataViz!AH$34),
IF(AH$35="Dose 2",SUMIFS('Supply planning data'!$H:$H,'Supply planning data'!$D:$D,DataViz!$B56,'Supply planning data'!$C:$C,DataViz!AH$34),
IF(AH$35="Wastage",SUMIFS('Supply planning data'!$K:$K,'Supply planning data'!$D:$D,DataViz!$B56,'Supply planning data'!$C:$C,DataViz!AH$34),
IF(AH$35="Additional",SUMIFS('Supply planning data'!$I:$I,'Supply planning data'!$D:$D,DataViz!$B56,'Supply planning data'!$C:$C,DataViz!AH$34),
0))))</f>
        <v>0</v>
      </c>
      <c r="AI56" s="22">
        <f>IF(AI$35="Dose 1",SUMIFS('Supply planning data'!$G:$G,'Supply planning data'!$D:$D,DataViz!$B56,'Supply planning data'!$C:$C,DataViz!AI$34),
IF(AI$35="Dose 2",SUMIFS('Supply planning data'!$H:$H,'Supply planning data'!$D:$D,DataViz!$B56,'Supply planning data'!$C:$C,DataViz!AI$34),
IF(AI$35="Wastage",SUMIFS('Supply planning data'!$K:$K,'Supply planning data'!$D:$D,DataViz!$B56,'Supply planning data'!$C:$C,DataViz!AI$34),
IF(AI$35="Additional",SUMIFS('Supply planning data'!$I:$I,'Supply planning data'!$D:$D,DataViz!$B56,'Supply planning data'!$C:$C,DataViz!AI$34),
0))))</f>
        <v>0</v>
      </c>
      <c r="AJ56" s="22">
        <f>IF(AJ$35="Dose 1",SUMIFS('Supply planning data'!$G:$G,'Supply planning data'!$D:$D,DataViz!$B56,'Supply planning data'!$C:$C,DataViz!AJ$34),
IF(AJ$35="Dose 2",SUMIFS('Supply planning data'!$H:$H,'Supply planning data'!$D:$D,DataViz!$B56,'Supply planning data'!$C:$C,DataViz!AJ$34),
IF(AJ$35="Wastage",SUMIFS('Supply planning data'!$K:$K,'Supply planning data'!$D:$D,DataViz!$B56,'Supply planning data'!$C:$C,DataViz!AJ$34),
IF(AJ$35="Additional",SUMIFS('Supply planning data'!$I:$I,'Supply planning data'!$D:$D,DataViz!$B56,'Supply planning data'!$C:$C,DataViz!AJ$34),
0))))</f>
        <v>0</v>
      </c>
      <c r="AK56" s="22">
        <f>IF(AK$35="Dose 1",SUMIFS('Supply planning data'!$G:$G,'Supply planning data'!$D:$D,DataViz!$B56,'Supply planning data'!$C:$C,DataViz!AK$34),
IF(AK$35="Dose 2",SUMIFS('Supply planning data'!$H:$H,'Supply planning data'!$D:$D,DataViz!$B56,'Supply planning data'!$C:$C,DataViz!AK$34),
IF(AK$35="Wastage",SUMIFS('Supply planning data'!$K:$K,'Supply planning data'!$D:$D,DataViz!$B56,'Supply planning data'!$C:$C,DataViz!AK$34),
IF(AK$35="Additional",SUMIFS('Supply planning data'!$I:$I,'Supply planning data'!$D:$D,DataViz!$B56,'Supply planning data'!$C:$C,DataViz!AK$34),
0))))</f>
        <v>0</v>
      </c>
      <c r="AL56" s="22">
        <f>IF(AL$35="Dose 1",SUMIFS('Supply planning data'!$G:$G,'Supply planning data'!$D:$D,DataViz!$B56,'Supply planning data'!$C:$C,DataViz!AL$34),
IF(AL$35="Dose 2",SUMIFS('Supply planning data'!$H:$H,'Supply planning data'!$D:$D,DataViz!$B56,'Supply planning data'!$C:$C,DataViz!AL$34),
IF(AL$35="Wastage",SUMIFS('Supply planning data'!$K:$K,'Supply planning data'!$D:$D,DataViz!$B56,'Supply planning data'!$C:$C,DataViz!AL$34),
IF(AL$35="Additional",SUMIFS('Supply planning data'!$I:$I,'Supply planning data'!$D:$D,DataViz!$B56,'Supply planning data'!$C:$C,DataViz!AL$34),
0))))</f>
        <v>0</v>
      </c>
      <c r="AM56" s="22">
        <f>IF(AM$35="Dose 1",SUMIFS('Supply planning data'!$G:$G,'Supply planning data'!$D:$D,DataViz!$B56,'Supply planning data'!$C:$C,DataViz!AM$34),
IF(AM$35="Dose 2",SUMIFS('Supply planning data'!$H:$H,'Supply planning data'!$D:$D,DataViz!$B56,'Supply planning data'!$C:$C,DataViz!AM$34),
IF(AM$35="Wastage",SUMIFS('Supply planning data'!$K:$K,'Supply planning data'!$D:$D,DataViz!$B56,'Supply planning data'!$C:$C,DataViz!AM$34),
IF(AM$35="Additional",SUMIFS('Supply planning data'!$I:$I,'Supply planning data'!$D:$D,DataViz!$B56,'Supply planning data'!$C:$C,DataViz!AM$34),
0))))</f>
        <v>0</v>
      </c>
      <c r="AN56" s="22">
        <f>IF(AN$35="Dose 1",SUMIFS('Supply planning data'!$G:$G,'Supply planning data'!$D:$D,DataViz!$B56,'Supply planning data'!$C:$C,DataViz!AN$34),
IF(AN$35="Dose 2",SUMIFS('Supply planning data'!$H:$H,'Supply planning data'!$D:$D,DataViz!$B56,'Supply planning data'!$C:$C,DataViz!AN$34),
IF(AN$35="Wastage",SUMIFS('Supply planning data'!$K:$K,'Supply planning data'!$D:$D,DataViz!$B56,'Supply planning data'!$C:$C,DataViz!AN$34),
IF(AN$35="Additional",SUMIFS('Supply planning data'!$I:$I,'Supply planning data'!$D:$D,DataViz!$B56,'Supply planning data'!$C:$C,DataViz!AN$34),
0))))</f>
        <v>0</v>
      </c>
      <c r="AO56" s="22">
        <f>IF(AO$35="Dose 1",SUMIFS('Supply planning data'!$G:$G,'Supply planning data'!$D:$D,DataViz!$B56,'Supply planning data'!$C:$C,DataViz!AO$34),
IF(AO$35="Dose 2",SUMIFS('Supply planning data'!$H:$H,'Supply planning data'!$D:$D,DataViz!$B56,'Supply planning data'!$C:$C,DataViz!AO$34),
IF(AO$35="Wastage",SUMIFS('Supply planning data'!$K:$K,'Supply planning data'!$D:$D,DataViz!$B56,'Supply planning data'!$C:$C,DataViz!AO$34),
IF(AO$35="Additional",SUMIFS('Supply planning data'!$I:$I,'Supply planning data'!$D:$D,DataViz!$B56,'Supply planning data'!$C:$C,DataViz!AO$34),
0))))</f>
        <v>0</v>
      </c>
      <c r="AP56" s="22">
        <f>IF(AP$35="Dose 1",SUMIFS('Supply planning data'!$G:$G,'Supply planning data'!$D:$D,DataViz!$B56,'Supply planning data'!$C:$C,DataViz!AP$34),
IF(AP$35="Dose 2",SUMIFS('Supply planning data'!$H:$H,'Supply planning data'!$D:$D,DataViz!$B56,'Supply planning data'!$C:$C,DataViz!AP$34),
IF(AP$35="Wastage",SUMIFS('Supply planning data'!$K:$K,'Supply planning data'!$D:$D,DataViz!$B56,'Supply planning data'!$C:$C,DataViz!AP$34),
IF(AP$35="Additional",SUMIFS('Supply planning data'!$I:$I,'Supply planning data'!$D:$D,DataViz!$B56,'Supply planning data'!$C:$C,DataViz!AP$34),
0))))</f>
        <v>0</v>
      </c>
      <c r="AQ56" s="22">
        <f>IF(AQ$35="Dose 1",SUMIFS('Supply planning data'!$G:$G,'Supply planning data'!$D:$D,DataViz!$B56,'Supply planning data'!$C:$C,DataViz!AQ$34),
IF(AQ$35="Dose 2",SUMIFS('Supply planning data'!$H:$H,'Supply planning data'!$D:$D,DataViz!$B56,'Supply planning data'!$C:$C,DataViz!AQ$34),
IF(AQ$35="Wastage",SUMIFS('Supply planning data'!$K:$K,'Supply planning data'!$D:$D,DataViz!$B56,'Supply planning data'!$C:$C,DataViz!AQ$34),
IF(AQ$35="Additional",SUMIFS('Supply planning data'!$I:$I,'Supply planning data'!$D:$D,DataViz!$B56,'Supply planning data'!$C:$C,DataViz!AQ$34),
0))))</f>
        <v>0</v>
      </c>
      <c r="AR56" s="22">
        <f>IF(AR$35="Dose 1",SUMIFS('Supply planning data'!$G:$G,'Supply planning data'!$D:$D,DataViz!$B56,'Supply planning data'!$C:$C,DataViz!AR$34),
IF(AR$35="Dose 2",SUMIFS('Supply planning data'!$H:$H,'Supply planning data'!$D:$D,DataViz!$B56,'Supply planning data'!$C:$C,DataViz!AR$34),
IF(AR$35="Wastage",SUMIFS('Supply planning data'!$K:$K,'Supply planning data'!$D:$D,DataViz!$B56,'Supply planning data'!$C:$C,DataViz!AR$34),
IF(AR$35="Additional",SUMIFS('Supply planning data'!$I:$I,'Supply planning data'!$D:$D,DataViz!$B56,'Supply planning data'!$C:$C,DataViz!AR$34),
0))))</f>
        <v>0</v>
      </c>
      <c r="AS56" s="22">
        <f>IF(AS$35="Dose 1",SUMIFS('Supply planning data'!$G:$G,'Supply planning data'!$D:$D,DataViz!$B56,'Supply planning data'!$C:$C,DataViz!AS$34),
IF(AS$35="Dose 2",SUMIFS('Supply planning data'!$H:$H,'Supply planning data'!$D:$D,DataViz!$B56,'Supply planning data'!$C:$C,DataViz!AS$34),
IF(AS$35="Wastage",SUMIFS('Supply planning data'!$K:$K,'Supply planning data'!$D:$D,DataViz!$B56,'Supply planning data'!$C:$C,DataViz!AS$34),
IF(AS$35="Additional",SUMIFS('Supply planning data'!$I:$I,'Supply planning data'!$D:$D,DataViz!$B56,'Supply planning data'!$C:$C,DataViz!AS$34),
0))))</f>
        <v>0</v>
      </c>
      <c r="AT56" s="22">
        <f>IF(AT$35="Dose 1",SUMIFS('Supply planning data'!$G:$G,'Supply planning data'!$D:$D,DataViz!$B56,'Supply planning data'!$C:$C,DataViz!AT$34),
IF(AT$35="Dose 2",SUMIFS('Supply planning data'!$H:$H,'Supply planning data'!$D:$D,DataViz!$B56,'Supply planning data'!$C:$C,DataViz!AT$34),
IF(AT$35="Wastage",SUMIFS('Supply planning data'!$K:$K,'Supply planning data'!$D:$D,DataViz!$B56,'Supply planning data'!$C:$C,DataViz!AT$34),
IF(AT$35="Additional",SUMIFS('Supply planning data'!$I:$I,'Supply planning data'!$D:$D,DataViz!$B56,'Supply planning data'!$C:$C,DataViz!AT$34),
0))))</f>
        <v>0</v>
      </c>
      <c r="AU56" s="22">
        <f>IF(AU$35="Dose 1",SUMIFS('Supply planning data'!$G:$G,'Supply planning data'!$D:$D,DataViz!$B56,'Supply planning data'!$C:$C,DataViz!AU$34),
IF(AU$35="Dose 2",SUMIFS('Supply planning data'!$H:$H,'Supply planning data'!$D:$D,DataViz!$B56,'Supply planning data'!$C:$C,DataViz!AU$34),
IF(AU$35="Wastage",SUMIFS('Supply planning data'!$K:$K,'Supply planning data'!$D:$D,DataViz!$B56,'Supply planning data'!$C:$C,DataViz!AU$34),
IF(AU$35="Additional",SUMIFS('Supply planning data'!$I:$I,'Supply planning data'!$D:$D,DataViz!$B56,'Supply planning data'!$C:$C,DataViz!AU$34),
0))))</f>
        <v>0</v>
      </c>
      <c r="AV56" s="22">
        <f>IF(AV$35="Dose 1",SUMIFS('Supply planning data'!$G:$G,'Supply planning data'!$D:$D,DataViz!$B56,'Supply planning data'!$C:$C,DataViz!AV$34),
IF(AV$35="Dose 2",SUMIFS('Supply planning data'!$H:$H,'Supply planning data'!$D:$D,DataViz!$B56,'Supply planning data'!$C:$C,DataViz!AV$34),
IF(AV$35="Wastage",SUMIFS('Supply planning data'!$K:$K,'Supply planning data'!$D:$D,DataViz!$B56,'Supply planning data'!$C:$C,DataViz!AV$34),
IF(AV$35="Additional",SUMIFS('Supply planning data'!$I:$I,'Supply planning data'!$D:$D,DataViz!$B56,'Supply planning data'!$C:$C,DataViz!AV$34),
0))))</f>
        <v>0</v>
      </c>
      <c r="AW56" s="22">
        <f>IF(AW$35="Dose 1",SUMIFS('Supply planning data'!$G:$G,'Supply planning data'!$D:$D,DataViz!$B56,'Supply planning data'!$C:$C,DataViz!AW$34),
IF(AW$35="Dose 2",SUMIFS('Supply planning data'!$H:$H,'Supply planning data'!$D:$D,DataViz!$B56,'Supply planning data'!$C:$C,DataViz!AW$34),
IF(AW$35="Wastage",SUMIFS('Supply planning data'!$K:$K,'Supply planning data'!$D:$D,DataViz!$B56,'Supply planning data'!$C:$C,DataViz!AW$34),
IF(AW$35="Additional",SUMIFS('Supply planning data'!$I:$I,'Supply planning data'!$D:$D,DataViz!$B56,'Supply planning data'!$C:$C,DataViz!AW$34),
0))))</f>
        <v>0</v>
      </c>
      <c r="AX56" s="22">
        <f>IF(AX$35="Dose 1",SUMIFS('Supply planning data'!$G:$G,'Supply planning data'!$D:$D,DataViz!$B56,'Supply planning data'!$C:$C,DataViz!AX$34),
IF(AX$35="Dose 2",SUMIFS('Supply planning data'!$H:$H,'Supply planning data'!$D:$D,DataViz!$B56,'Supply planning data'!$C:$C,DataViz!AX$34),
IF(AX$35="Wastage",SUMIFS('Supply planning data'!$K:$K,'Supply planning data'!$D:$D,DataViz!$B56,'Supply planning data'!$C:$C,DataViz!AX$34),
IF(AX$35="Additional",SUMIFS('Supply planning data'!$I:$I,'Supply planning data'!$D:$D,DataViz!$B56,'Supply planning data'!$C:$C,DataViz!AX$34),
0))))</f>
        <v>0</v>
      </c>
      <c r="AY56" s="22">
        <f>IF(AY$35="Dose 1",SUMIFS('Supply planning data'!$G:$G,'Supply planning data'!$D:$D,DataViz!$B56,'Supply planning data'!$C:$C,DataViz!AY$34),
IF(AY$35="Dose 2",SUMIFS('Supply planning data'!$H:$H,'Supply planning data'!$D:$D,DataViz!$B56,'Supply planning data'!$C:$C,DataViz!AY$34),
IF(AY$35="Wastage",SUMIFS('Supply planning data'!$K:$K,'Supply planning data'!$D:$D,DataViz!$B56,'Supply planning data'!$C:$C,DataViz!AY$34),
IF(AY$35="Additional",SUMIFS('Supply planning data'!$I:$I,'Supply planning data'!$D:$D,DataViz!$B56,'Supply planning data'!$C:$C,DataViz!AY$34),
0))))</f>
        <v>0</v>
      </c>
      <c r="AZ56" s="22">
        <f>IF(AZ$35="Dose 1",SUMIFS('Supply planning data'!$G:$G,'Supply planning data'!$D:$D,DataViz!$B56,'Supply planning data'!$C:$C,DataViz!AZ$34),
IF(AZ$35="Dose 2",SUMIFS('Supply planning data'!$H:$H,'Supply planning data'!$D:$D,DataViz!$B56,'Supply planning data'!$C:$C,DataViz!AZ$34),
IF(AZ$35="Wastage",SUMIFS('Supply planning data'!$K:$K,'Supply planning data'!$D:$D,DataViz!$B56,'Supply planning data'!$C:$C,DataViz!AZ$34),
IF(AZ$35="Additional",SUMIFS('Supply planning data'!$I:$I,'Supply planning data'!$D:$D,DataViz!$B56,'Supply planning data'!$C:$C,DataViz!AZ$34),
0))))</f>
        <v>0</v>
      </c>
      <c r="BA56" s="22">
        <f>IF(BA$35="Dose 1",SUMIFS('Supply planning data'!$G:$G,'Supply planning data'!$D:$D,DataViz!$B56,'Supply planning data'!$C:$C,DataViz!BA$34),
IF(BA$35="Dose 2",SUMIFS('Supply planning data'!$H:$H,'Supply planning data'!$D:$D,DataViz!$B56,'Supply planning data'!$C:$C,DataViz!BA$34),
IF(BA$35="Wastage",SUMIFS('Supply planning data'!$K:$K,'Supply planning data'!$D:$D,DataViz!$B56,'Supply planning data'!$C:$C,DataViz!BA$34),
IF(BA$35="Additional",SUMIFS('Supply planning data'!$I:$I,'Supply planning data'!$D:$D,DataViz!$B56,'Supply planning data'!$C:$C,DataViz!BA$34),
0))))</f>
        <v>0</v>
      </c>
      <c r="BB56" s="22">
        <f>IF(BB$35="Dose 1",SUMIFS('Supply planning data'!$G:$G,'Supply planning data'!$D:$D,DataViz!$B56,'Supply planning data'!$C:$C,DataViz!BB$34),
IF(BB$35="Dose 2",SUMIFS('Supply planning data'!$H:$H,'Supply planning data'!$D:$D,DataViz!$B56,'Supply planning data'!$C:$C,DataViz!BB$34),
IF(BB$35="Wastage",SUMIFS('Supply planning data'!$K:$K,'Supply planning data'!$D:$D,DataViz!$B56,'Supply planning data'!$C:$C,DataViz!BB$34),
IF(BB$35="Additional",SUMIFS('Supply planning data'!$I:$I,'Supply planning data'!$D:$D,DataViz!$B56,'Supply planning data'!$C:$C,DataViz!BB$34),
0))))</f>
        <v>0</v>
      </c>
      <c r="BC56" s="22">
        <f>IF(BC$35="Dose 1",SUMIFS('Supply planning data'!$G:$G,'Supply planning data'!$D:$D,DataViz!$B56,'Supply planning data'!$C:$C,DataViz!BC$34),
IF(BC$35="Dose 2",SUMIFS('Supply planning data'!$H:$H,'Supply planning data'!$D:$D,DataViz!$B56,'Supply planning data'!$C:$C,DataViz!BC$34),
IF(BC$35="Wastage",SUMIFS('Supply planning data'!$K:$K,'Supply planning data'!$D:$D,DataViz!$B56,'Supply planning data'!$C:$C,DataViz!BC$34),
IF(BC$35="Additional",SUMIFS('Supply planning data'!$I:$I,'Supply planning data'!$D:$D,DataViz!$B56,'Supply planning data'!$C:$C,DataViz!BC$34),
0))))</f>
        <v>0</v>
      </c>
      <c r="BD56" s="22">
        <f>IF(BD$35="Dose 1",SUMIFS('Supply planning data'!$G:$G,'Supply planning data'!$D:$D,DataViz!$B56,'Supply planning data'!$C:$C,DataViz!BD$34),
IF(BD$35="Dose 2",SUMIFS('Supply planning data'!$H:$H,'Supply planning data'!$D:$D,DataViz!$B56,'Supply planning data'!$C:$C,DataViz!BD$34),
IF(BD$35="Wastage",SUMIFS('Supply planning data'!$K:$K,'Supply planning data'!$D:$D,DataViz!$B56,'Supply planning data'!$C:$C,DataViz!BD$34),
IF(BD$35="Additional",SUMIFS('Supply planning data'!$I:$I,'Supply planning data'!$D:$D,DataViz!$B56,'Supply planning data'!$C:$C,DataViz!BD$34),
0))))</f>
        <v>0</v>
      </c>
      <c r="BE56" s="22">
        <f>IF(BE$35="Dose 1",SUMIFS('Supply planning data'!$G:$G,'Supply planning data'!$D:$D,DataViz!$B56,'Supply planning data'!$C:$C,DataViz!BE$34),
IF(BE$35="Dose 2",SUMIFS('Supply planning data'!$H:$H,'Supply planning data'!$D:$D,DataViz!$B56,'Supply planning data'!$C:$C,DataViz!BE$34),
IF(BE$35="Wastage",SUMIFS('Supply planning data'!$K:$K,'Supply planning data'!$D:$D,DataViz!$B56,'Supply planning data'!$C:$C,DataViz!BE$34),
IF(BE$35="Additional",SUMIFS('Supply planning data'!$I:$I,'Supply planning data'!$D:$D,DataViz!$B56,'Supply planning data'!$C:$C,DataViz!BE$34),
0))))</f>
        <v>0</v>
      </c>
      <c r="BF56" s="22">
        <f>IF(BF$35="Dose 1",SUMIFS('Supply planning data'!$G:$G,'Supply planning data'!$D:$D,DataViz!$B56,'Supply planning data'!$C:$C,DataViz!BF$34),
IF(BF$35="Dose 2",SUMIFS('Supply planning data'!$H:$H,'Supply planning data'!$D:$D,DataViz!$B56,'Supply planning data'!$C:$C,DataViz!BF$34),
IF(BF$35="Wastage",SUMIFS('Supply planning data'!$K:$K,'Supply planning data'!$D:$D,DataViz!$B56,'Supply planning data'!$C:$C,DataViz!BF$34),
IF(BF$35="Additional",SUMIFS('Supply planning data'!$I:$I,'Supply planning data'!$D:$D,DataViz!$B56,'Supply planning data'!$C:$C,DataViz!BF$34),
0))))</f>
        <v>0</v>
      </c>
      <c r="BG56" s="22">
        <f>IF(BG$35="Dose 1",SUMIFS('Supply planning data'!$G:$G,'Supply planning data'!$D:$D,DataViz!$B56,'Supply planning data'!$C:$C,DataViz!BG$34),
IF(BG$35="Dose 2",SUMIFS('Supply planning data'!$H:$H,'Supply planning data'!$D:$D,DataViz!$B56,'Supply planning data'!$C:$C,DataViz!BG$34),
IF(BG$35="Wastage",SUMIFS('Supply planning data'!$K:$K,'Supply planning data'!$D:$D,DataViz!$B56,'Supply planning data'!$C:$C,DataViz!BG$34),
IF(BG$35="Additional",SUMIFS('Supply planning data'!$I:$I,'Supply planning data'!$D:$D,DataViz!$B56,'Supply planning data'!$C:$C,DataViz!BG$34),
0))))</f>
        <v>0</v>
      </c>
      <c r="BH56" s="22">
        <f>IF(BH$35="Dose 1",SUMIFS('Supply planning data'!$G:$G,'Supply planning data'!$D:$D,DataViz!$B56,'Supply planning data'!$C:$C,DataViz!BH$34),
IF(BH$35="Dose 2",SUMIFS('Supply planning data'!$H:$H,'Supply planning data'!$D:$D,DataViz!$B56,'Supply planning data'!$C:$C,DataViz!BH$34),
IF(BH$35="Wastage",SUMIFS('Supply planning data'!$K:$K,'Supply planning data'!$D:$D,DataViz!$B56,'Supply planning data'!$C:$C,DataViz!BH$34),
IF(BH$35="Additional",SUMIFS('Supply planning data'!$I:$I,'Supply planning data'!$D:$D,DataViz!$B56,'Supply planning data'!$C:$C,DataViz!BH$34),
0))))</f>
        <v>0</v>
      </c>
      <c r="BI56" s="22">
        <f>IF(BI$35="Dose 1",SUMIFS('Supply planning data'!$G:$G,'Supply planning data'!$D:$D,DataViz!$B56,'Supply planning data'!$C:$C,DataViz!BI$34),
IF(BI$35="Dose 2",SUMIFS('Supply planning data'!$H:$H,'Supply planning data'!$D:$D,DataViz!$B56,'Supply planning data'!$C:$C,DataViz!BI$34),
IF(BI$35="Wastage",SUMIFS('Supply planning data'!$K:$K,'Supply planning data'!$D:$D,DataViz!$B56,'Supply planning data'!$C:$C,DataViz!BI$34),
IF(BI$35="Additional",SUMIFS('Supply planning data'!$I:$I,'Supply planning data'!$D:$D,DataViz!$B56,'Supply planning data'!$C:$C,DataViz!BI$34),
0))))</f>
        <v>0</v>
      </c>
      <c r="BJ56" s="22">
        <f>IF(BJ$35="Dose 1",SUMIFS('Supply planning data'!$G:$G,'Supply planning data'!$D:$D,DataViz!$B56,'Supply planning data'!$C:$C,DataViz!BJ$34),
IF(BJ$35="Dose 2",SUMIFS('Supply planning data'!$H:$H,'Supply planning data'!$D:$D,DataViz!$B56,'Supply planning data'!$C:$C,DataViz!BJ$34),
IF(BJ$35="Wastage",SUMIFS('Supply planning data'!$K:$K,'Supply planning data'!$D:$D,DataViz!$B56,'Supply planning data'!$C:$C,DataViz!BJ$34),
IF(BJ$35="Additional",SUMIFS('Supply planning data'!$I:$I,'Supply planning data'!$D:$D,DataViz!$B56,'Supply planning data'!$C:$C,DataViz!BJ$34),
0))))</f>
        <v>0</v>
      </c>
      <c r="BK56" s="22">
        <f>IF(BK$35="Dose 1",SUMIFS('Supply planning data'!$G:$G,'Supply planning data'!$D:$D,DataViz!$B56,'Supply planning data'!$C:$C,DataViz!BK$34),
IF(BK$35="Dose 2",SUMIFS('Supply planning data'!$H:$H,'Supply planning data'!$D:$D,DataViz!$B56,'Supply planning data'!$C:$C,DataViz!BK$34),
IF(BK$35="Wastage",SUMIFS('Supply planning data'!$K:$K,'Supply planning data'!$D:$D,DataViz!$B56,'Supply planning data'!$C:$C,DataViz!BK$34),
IF(BK$35="Additional",SUMIFS('Supply planning data'!$I:$I,'Supply planning data'!$D:$D,DataViz!$B56,'Supply planning data'!$C:$C,DataViz!BK$34),
0))))</f>
        <v>0</v>
      </c>
      <c r="BL56" s="22">
        <f>IF(BL$35="Dose 1",SUMIFS('Supply planning data'!$G:$G,'Supply planning data'!$D:$D,DataViz!$B56,'Supply planning data'!$C:$C,DataViz!BL$34),
IF(BL$35="Dose 2",SUMIFS('Supply planning data'!$H:$H,'Supply planning data'!$D:$D,DataViz!$B56,'Supply planning data'!$C:$C,DataViz!BL$34),
IF(BL$35="Wastage",SUMIFS('Supply planning data'!$K:$K,'Supply planning data'!$D:$D,DataViz!$B56,'Supply planning data'!$C:$C,DataViz!BL$34),
IF(BL$35="Additional",SUMIFS('Supply planning data'!$I:$I,'Supply planning data'!$D:$D,DataViz!$B56,'Supply planning data'!$C:$C,DataViz!BL$34),
0))))</f>
        <v>0</v>
      </c>
    </row>
    <row r="57" spans="1:64" x14ac:dyDescent="0.25">
      <c r="A57" s="20">
        <v>19</v>
      </c>
      <c r="B57" s="21">
        <f t="shared" si="15"/>
        <v>44835</v>
      </c>
      <c r="C57" s="22">
        <f>IF(VLOOKUP(Dashboard!$M$6,Start!$B$10:$E$12,4,FALSE)&gt;0,VLOOKUP(Dashboard!$M$6,Start!$B$10:$E$12,4, FALSE),VLOOKUP(Dashboard!$M$6,Start!$B$10:$E$12,3, FALSE))</f>
        <v>60000000</v>
      </c>
      <c r="D57" s="22">
        <f>SUMIFS('Supply planning data'!M:M,'Supply planning data'!D:D,"&lt;="&amp;DataViz!B57)</f>
        <v>2720887</v>
      </c>
      <c r="E57" s="22">
        <f>IF(E$35="Dose 1",SUMIFS('Supply planning data'!$G:$G,'Supply planning data'!$D:$D,DataViz!$B57,'Supply planning data'!$C:$C,DataViz!E$34),
IF(E$35="Dose 2",SUMIFS('Supply planning data'!$H:$H,'Supply planning data'!$D:$D,DataViz!$B57,'Supply planning data'!$C:$C,DataViz!E$34),
IF(E$35="Wastage",SUMIFS('Supply planning data'!$K:$K,'Supply planning data'!$D:$D,DataViz!$B57,'Supply planning data'!$C:$C,DataViz!E$34),
IF(E$35="Additional",SUMIFS('Supply planning data'!$I:$I,'Supply planning data'!$D:$D,DataViz!$B57,'Supply planning data'!$C:$C,DataViz!E$34),
0))))</f>
        <v>0</v>
      </c>
      <c r="F57" s="22">
        <f>IF(F$35="Dose 1",SUMIFS('Supply planning data'!$G:$G,'Supply planning data'!$D:$D,DataViz!$B57,'Supply planning data'!$C:$C,DataViz!F$34),
IF(F$35="Dose 2",SUMIFS('Supply planning data'!$H:$H,'Supply planning data'!$D:$D,DataViz!$B57,'Supply planning data'!$C:$C,DataViz!F$34),
IF(F$35="Wastage",SUMIFS('Supply planning data'!$K:$K,'Supply planning data'!$D:$D,DataViz!$B57,'Supply planning data'!$C:$C,DataViz!F$34),
IF(F$35="Additional",SUMIFS('Supply planning data'!$I:$I,'Supply planning data'!$D:$D,DataViz!$B57,'Supply planning data'!$C:$C,DataViz!F$34),
0))))</f>
        <v>0</v>
      </c>
      <c r="G57" s="22">
        <f>IF(G$35="Dose 1",SUMIFS('Supply planning data'!$G:$G,'Supply planning data'!$D:$D,DataViz!$B57,'Supply planning data'!$C:$C,DataViz!G$34),
IF(G$35="Dose 2",SUMIFS('Supply planning data'!$H:$H,'Supply planning data'!$D:$D,DataViz!$B57,'Supply planning data'!$C:$C,DataViz!G$34),
IF(G$35="Wastage",SUMIFS('Supply planning data'!$K:$K,'Supply planning data'!$D:$D,DataViz!$B57,'Supply planning data'!$C:$C,DataViz!G$34),
IF(G$35="Additional",SUMIFS('Supply planning data'!$I:$I,'Supply planning data'!$D:$D,DataViz!$B57,'Supply planning data'!$C:$C,DataViz!G$34),
0))))</f>
        <v>0</v>
      </c>
      <c r="H57" s="22">
        <f>IF(H$35="Dose 1",SUMIFS('Supply planning data'!$G:$G,'Supply planning data'!$D:$D,DataViz!$B57,'Supply planning data'!$C:$C,DataViz!H$34),
IF(H$35="Dose 2",SUMIFS('Supply planning data'!$H:$H,'Supply planning data'!$D:$D,DataViz!$B57,'Supply planning data'!$C:$C,DataViz!H$34),
IF(H$35="Wastage",SUMIFS('Supply planning data'!$K:$K,'Supply planning data'!$D:$D,DataViz!$B57,'Supply planning data'!$C:$C,DataViz!H$34),
IF(H$35="Additional",SUMIFS('Supply planning data'!$I:$I,'Supply planning data'!$D:$D,DataViz!$B57,'Supply planning data'!$C:$C,DataViz!H$34),
0))))</f>
        <v>0</v>
      </c>
      <c r="I57" s="22">
        <f>IF(I$35="Dose 1",SUMIFS('Supply planning data'!$G:$G,'Supply planning data'!$D:$D,DataViz!$B57,'Supply planning data'!$C:$C,DataViz!I$34),
IF(I$35="Dose 2",SUMIFS('Supply planning data'!$H:$H,'Supply planning data'!$D:$D,DataViz!$B57,'Supply planning data'!$C:$C,DataViz!I$34),
IF(I$35="Wastage",SUMIFS('Supply planning data'!$K:$K,'Supply planning data'!$D:$D,DataViz!$B57,'Supply planning data'!$C:$C,DataViz!I$34),
IF(I$35="Additional",SUMIFS('Supply planning data'!$I:$I,'Supply planning data'!$D:$D,DataViz!$B57,'Supply planning data'!$C:$C,DataViz!I$34),
0))))</f>
        <v>0</v>
      </c>
      <c r="J57" s="22">
        <f>IF(J$35="Dose 1",SUMIFS('Supply planning data'!$G:$G,'Supply planning data'!$D:$D,DataViz!$B57,'Supply planning data'!$C:$C,DataViz!J$34),
IF(J$35="Dose 2",SUMIFS('Supply planning data'!$H:$H,'Supply planning data'!$D:$D,DataViz!$B57,'Supply planning data'!$C:$C,DataViz!J$34),
IF(J$35="Wastage",SUMIFS('Supply planning data'!$K:$K,'Supply planning data'!$D:$D,DataViz!$B57,'Supply planning data'!$C:$C,DataViz!J$34),
IF(J$35="Additional",SUMIFS('Supply planning data'!$I:$I,'Supply planning data'!$D:$D,DataViz!$B57,'Supply planning data'!$C:$C,DataViz!J$34),
0))))</f>
        <v>0</v>
      </c>
      <c r="K57" s="22">
        <f>IF(K$35="Dose 1",SUMIFS('Supply planning data'!$G:$G,'Supply planning data'!$D:$D,DataViz!$B57,'Supply planning data'!$C:$C,DataViz!K$34),
IF(K$35="Dose 2",SUMIFS('Supply planning data'!$H:$H,'Supply planning data'!$D:$D,DataViz!$B57,'Supply planning data'!$C:$C,DataViz!K$34),
IF(K$35="Wastage",SUMIFS('Supply planning data'!$K:$K,'Supply planning data'!$D:$D,DataViz!$B57,'Supply planning data'!$C:$C,DataViz!K$34),
IF(K$35="Additional",SUMIFS('Supply planning data'!$I:$I,'Supply planning data'!$D:$D,DataViz!$B57,'Supply planning data'!$C:$C,DataViz!K$34),
0))))</f>
        <v>0</v>
      </c>
      <c r="L57" s="22">
        <f>IF(L$35="Dose 1",SUMIFS('Supply planning data'!$G:$G,'Supply planning data'!$D:$D,DataViz!$B57,'Supply planning data'!$C:$C,DataViz!L$34),
IF(L$35="Dose 2",SUMIFS('Supply planning data'!$H:$H,'Supply planning data'!$D:$D,DataViz!$B57,'Supply planning data'!$C:$C,DataViz!L$34),
IF(L$35="Wastage",SUMIFS('Supply planning data'!$K:$K,'Supply planning data'!$D:$D,DataViz!$B57,'Supply planning data'!$C:$C,DataViz!L$34),
IF(L$35="Additional",SUMIFS('Supply planning data'!$I:$I,'Supply planning data'!$D:$D,DataViz!$B57,'Supply planning data'!$C:$C,DataViz!L$34),
0))))</f>
        <v>0</v>
      </c>
      <c r="M57" s="22">
        <f>IF(M$35="Dose 1",SUMIFS('Supply planning data'!$G:$G,'Supply planning data'!$D:$D,DataViz!$B57,'Supply planning data'!$C:$C,DataViz!M$34),
IF(M$35="Dose 2",SUMIFS('Supply planning data'!$H:$H,'Supply planning data'!$D:$D,DataViz!$B57,'Supply planning data'!$C:$C,DataViz!M$34),
IF(M$35="Wastage",SUMIFS('Supply planning data'!$K:$K,'Supply planning data'!$D:$D,DataViz!$B57,'Supply planning data'!$C:$C,DataViz!M$34),
IF(M$35="Additional",SUMIFS('Supply planning data'!$I:$I,'Supply planning data'!$D:$D,DataViz!$B57,'Supply planning data'!$C:$C,DataViz!M$34),
0))))</f>
        <v>0</v>
      </c>
      <c r="N57" s="22">
        <f>IF(N$35="Dose 1",SUMIFS('Supply planning data'!$G:$G,'Supply planning data'!$D:$D,DataViz!$B57,'Supply planning data'!$C:$C,DataViz!N$34),
IF(N$35="Dose 2",SUMIFS('Supply planning data'!$H:$H,'Supply planning data'!$D:$D,DataViz!$B57,'Supply planning data'!$C:$C,DataViz!N$34),
IF(N$35="Wastage",SUMIFS('Supply planning data'!$K:$K,'Supply planning data'!$D:$D,DataViz!$B57,'Supply planning data'!$C:$C,DataViz!N$34),
IF(N$35="Additional",SUMIFS('Supply planning data'!$I:$I,'Supply planning data'!$D:$D,DataViz!$B57,'Supply planning data'!$C:$C,DataViz!N$34),
0))))</f>
        <v>0</v>
      </c>
      <c r="O57" s="22">
        <f>IF(O$35="Dose 1",SUMIFS('Supply planning data'!$G:$G,'Supply planning data'!$D:$D,DataViz!$B57,'Supply planning data'!$C:$C,DataViz!O$34),
IF(O$35="Dose 2",SUMIFS('Supply planning data'!$H:$H,'Supply planning data'!$D:$D,DataViz!$B57,'Supply planning data'!$C:$C,DataViz!O$34),
IF(O$35="Wastage",SUMIFS('Supply planning data'!$K:$K,'Supply planning data'!$D:$D,DataViz!$B57,'Supply planning data'!$C:$C,DataViz!O$34),
IF(O$35="Additional",SUMIFS('Supply planning data'!$I:$I,'Supply planning data'!$D:$D,DataViz!$B57,'Supply planning data'!$C:$C,DataViz!O$34),
0))))</f>
        <v>0</v>
      </c>
      <c r="P57" s="22">
        <f>IF(P$35="Dose 1",SUMIFS('Supply planning data'!$G:$G,'Supply planning data'!$D:$D,DataViz!$B57,'Supply planning data'!$C:$C,DataViz!P$34),
IF(P$35="Dose 2",SUMIFS('Supply planning data'!$H:$H,'Supply planning data'!$D:$D,DataViz!$B57,'Supply planning data'!$C:$C,DataViz!P$34),
IF(P$35="Wastage",SUMIFS('Supply planning data'!$K:$K,'Supply planning data'!$D:$D,DataViz!$B57,'Supply planning data'!$C:$C,DataViz!P$34),
IF(P$35="Additional",SUMIFS('Supply planning data'!$I:$I,'Supply planning data'!$D:$D,DataViz!$B57,'Supply planning data'!$C:$C,DataViz!P$34),
0))))</f>
        <v>0</v>
      </c>
      <c r="Q57" s="22">
        <f>IF(Q$35="Dose 1",SUMIFS('Supply planning data'!$G:$G,'Supply planning data'!$D:$D,DataViz!$B57,'Supply planning data'!$C:$C,DataViz!Q$34),
IF(Q$35="Dose 2",SUMIFS('Supply planning data'!$H:$H,'Supply planning data'!$D:$D,DataViz!$B57,'Supply planning data'!$C:$C,DataViz!Q$34),
IF(Q$35="Wastage",SUMIFS('Supply planning data'!$K:$K,'Supply planning data'!$D:$D,DataViz!$B57,'Supply planning data'!$C:$C,DataViz!Q$34),
IF(Q$35="Additional",SUMIFS('Supply planning data'!$I:$I,'Supply planning data'!$D:$D,DataViz!$B57,'Supply planning data'!$C:$C,DataViz!Q$34),
0))))</f>
        <v>0</v>
      </c>
      <c r="R57" s="22">
        <f>IF(R$35="Dose 1",SUMIFS('Supply planning data'!$G:$G,'Supply planning data'!$D:$D,DataViz!$B57,'Supply planning data'!$C:$C,DataViz!R$34),
IF(R$35="Dose 2",SUMIFS('Supply planning data'!$H:$H,'Supply planning data'!$D:$D,DataViz!$B57,'Supply planning data'!$C:$C,DataViz!R$34),
IF(R$35="Wastage",SUMIFS('Supply planning data'!$K:$K,'Supply planning data'!$D:$D,DataViz!$B57,'Supply planning data'!$C:$C,DataViz!R$34),
IF(R$35="Additional",SUMIFS('Supply planning data'!$I:$I,'Supply planning data'!$D:$D,DataViz!$B57,'Supply planning data'!$C:$C,DataViz!R$34),
0))))</f>
        <v>0</v>
      </c>
      <c r="S57" s="22">
        <f>IF(S$35="Dose 1",SUMIFS('Supply planning data'!$G:$G,'Supply planning data'!$D:$D,DataViz!$B57,'Supply planning data'!$C:$C,DataViz!S$34),
IF(S$35="Dose 2",SUMIFS('Supply planning data'!$H:$H,'Supply planning data'!$D:$D,DataViz!$B57,'Supply planning data'!$C:$C,DataViz!S$34),
IF(S$35="Wastage",SUMIFS('Supply planning data'!$K:$K,'Supply planning data'!$D:$D,DataViz!$B57,'Supply planning data'!$C:$C,DataViz!S$34),
IF(S$35="Additional",SUMIFS('Supply planning data'!$I:$I,'Supply planning data'!$D:$D,DataViz!$B57,'Supply planning data'!$C:$C,DataViz!S$34),
0))))</f>
        <v>0</v>
      </c>
      <c r="T57" s="22">
        <f>IF(T$35="Dose 1",SUMIFS('Supply planning data'!$G:$G,'Supply planning data'!$D:$D,DataViz!$B57,'Supply planning data'!$C:$C,DataViz!T$34),
IF(T$35="Dose 2",SUMIFS('Supply planning data'!$H:$H,'Supply planning data'!$D:$D,DataViz!$B57,'Supply planning data'!$C:$C,DataViz!T$34),
IF(T$35="Wastage",SUMIFS('Supply planning data'!$K:$K,'Supply planning data'!$D:$D,DataViz!$B57,'Supply planning data'!$C:$C,DataViz!T$34),
IF(T$35="Additional",SUMIFS('Supply planning data'!$I:$I,'Supply planning data'!$D:$D,DataViz!$B57,'Supply planning data'!$C:$C,DataViz!T$34),
0))))</f>
        <v>0</v>
      </c>
      <c r="U57" s="22">
        <f>IF(U$35="Dose 1",SUMIFS('Supply planning data'!$G:$G,'Supply planning data'!$D:$D,DataViz!$B57,'Supply planning data'!$C:$C,DataViz!U$34),
IF(U$35="Dose 2",SUMIFS('Supply planning data'!$H:$H,'Supply planning data'!$D:$D,DataViz!$B57,'Supply planning data'!$C:$C,DataViz!U$34),
IF(U$35="Wastage",SUMIFS('Supply planning data'!$K:$K,'Supply planning data'!$D:$D,DataViz!$B57,'Supply planning data'!$C:$C,DataViz!U$34),
IF(U$35="Additional",SUMIFS('Supply planning data'!$I:$I,'Supply planning data'!$D:$D,DataViz!$B57,'Supply planning data'!$C:$C,DataViz!U$34),
0))))</f>
        <v>0</v>
      </c>
      <c r="V57" s="22">
        <f>IF(V$35="Dose 1",SUMIFS('Supply planning data'!$G:$G,'Supply planning data'!$D:$D,DataViz!$B57,'Supply planning data'!$C:$C,DataViz!V$34),
IF(V$35="Dose 2",SUMIFS('Supply planning data'!$H:$H,'Supply planning data'!$D:$D,DataViz!$B57,'Supply planning data'!$C:$C,DataViz!V$34),
IF(V$35="Wastage",SUMIFS('Supply planning data'!$K:$K,'Supply planning data'!$D:$D,DataViz!$B57,'Supply planning data'!$C:$C,DataViz!V$34),
IF(V$35="Additional",SUMIFS('Supply planning data'!$I:$I,'Supply planning data'!$D:$D,DataViz!$B57,'Supply planning data'!$C:$C,DataViz!V$34),
0))))</f>
        <v>0</v>
      </c>
      <c r="W57" s="22">
        <f>IF(W$35="Dose 1",SUMIFS('Supply planning data'!$G:$G,'Supply planning data'!$D:$D,DataViz!$B57,'Supply planning data'!$C:$C,DataViz!W$34),
IF(W$35="Dose 2",SUMIFS('Supply planning data'!$H:$H,'Supply planning data'!$D:$D,DataViz!$B57,'Supply planning data'!$C:$C,DataViz!W$34),
IF(W$35="Wastage",SUMIFS('Supply planning data'!$K:$K,'Supply planning data'!$D:$D,DataViz!$B57,'Supply planning data'!$C:$C,DataViz!W$34),
IF(W$35="Additional",SUMIFS('Supply planning data'!$I:$I,'Supply planning data'!$D:$D,DataViz!$B57,'Supply planning data'!$C:$C,DataViz!W$34),
0))))</f>
        <v>0</v>
      </c>
      <c r="X57" s="22">
        <f>IF(X$35="Dose 1",SUMIFS('Supply planning data'!$G:$G,'Supply planning data'!$D:$D,DataViz!$B57,'Supply planning data'!$C:$C,DataViz!X$34),
IF(X$35="Dose 2",SUMIFS('Supply planning data'!$H:$H,'Supply planning data'!$D:$D,DataViz!$B57,'Supply planning data'!$C:$C,DataViz!X$34),
IF(X$35="Wastage",SUMIFS('Supply planning data'!$K:$K,'Supply planning data'!$D:$D,DataViz!$B57,'Supply planning data'!$C:$C,DataViz!X$34),
IF(X$35="Additional",SUMIFS('Supply planning data'!$I:$I,'Supply planning data'!$D:$D,DataViz!$B57,'Supply planning data'!$C:$C,DataViz!X$34),
0))))</f>
        <v>0</v>
      </c>
      <c r="Y57" s="22">
        <f>IF(Y$35="Dose 1",SUMIFS('Supply planning data'!$G:$G,'Supply planning data'!$D:$D,DataViz!$B57,'Supply planning data'!$C:$C,DataViz!Y$34),
IF(Y$35="Dose 2",SUMIFS('Supply planning data'!$H:$H,'Supply planning data'!$D:$D,DataViz!$B57,'Supply planning data'!$C:$C,DataViz!Y$34),
IF(Y$35="Wastage",SUMIFS('Supply planning data'!$K:$K,'Supply planning data'!$D:$D,DataViz!$B57,'Supply planning data'!$C:$C,DataViz!Y$34),
IF(Y$35="Additional",SUMIFS('Supply planning data'!$I:$I,'Supply planning data'!$D:$D,DataViz!$B57,'Supply planning data'!$C:$C,DataViz!Y$34),
0))))</f>
        <v>0</v>
      </c>
      <c r="Z57" s="22">
        <f>IF(Z$35="Dose 1",SUMIFS('Supply planning data'!$G:$G,'Supply planning data'!$D:$D,DataViz!$B57,'Supply planning data'!$C:$C,DataViz!Z$34),
IF(Z$35="Dose 2",SUMIFS('Supply planning data'!$H:$H,'Supply planning data'!$D:$D,DataViz!$B57,'Supply planning data'!$C:$C,DataViz!Z$34),
IF(Z$35="Wastage",SUMIFS('Supply planning data'!$K:$K,'Supply planning data'!$D:$D,DataViz!$B57,'Supply planning data'!$C:$C,DataViz!Z$34),
IF(Z$35="Additional",SUMIFS('Supply planning data'!$I:$I,'Supply planning data'!$D:$D,DataViz!$B57,'Supply planning data'!$C:$C,DataViz!Z$34),
0))))</f>
        <v>0</v>
      </c>
      <c r="AA57" s="22">
        <f>IF(AA$35="Dose 1",SUMIFS('Supply planning data'!$G:$G,'Supply planning data'!$D:$D,DataViz!$B57,'Supply planning data'!$C:$C,DataViz!AA$34),
IF(AA$35="Dose 2",SUMIFS('Supply planning data'!$H:$H,'Supply planning data'!$D:$D,DataViz!$B57,'Supply planning data'!$C:$C,DataViz!AA$34),
IF(AA$35="Wastage",SUMIFS('Supply planning data'!$K:$K,'Supply planning data'!$D:$D,DataViz!$B57,'Supply planning data'!$C:$C,DataViz!AA$34),
IF(AA$35="Additional",SUMIFS('Supply planning data'!$I:$I,'Supply planning data'!$D:$D,DataViz!$B57,'Supply planning data'!$C:$C,DataViz!AA$34),
0))))</f>
        <v>0</v>
      </c>
      <c r="AB57" s="22">
        <f>IF(AB$35="Dose 1",SUMIFS('Supply planning data'!$G:$G,'Supply planning data'!$D:$D,DataViz!$B57,'Supply planning data'!$C:$C,DataViz!AB$34),
IF(AB$35="Dose 2",SUMIFS('Supply planning data'!$H:$H,'Supply planning data'!$D:$D,DataViz!$B57,'Supply planning data'!$C:$C,DataViz!AB$34),
IF(AB$35="Wastage",SUMIFS('Supply planning data'!$K:$K,'Supply planning data'!$D:$D,DataViz!$B57,'Supply planning data'!$C:$C,DataViz!AB$34),
IF(AB$35="Additional",SUMIFS('Supply planning data'!$I:$I,'Supply planning data'!$D:$D,DataViz!$B57,'Supply planning data'!$C:$C,DataViz!AB$34),
0))))</f>
        <v>0</v>
      </c>
      <c r="AC57" s="22">
        <f>IF(AC$35="Dose 1",SUMIFS('Supply planning data'!$G:$G,'Supply planning data'!$D:$D,DataViz!$B57,'Supply planning data'!$C:$C,DataViz!AC$34),
IF(AC$35="Dose 2",SUMIFS('Supply planning data'!$H:$H,'Supply planning data'!$D:$D,DataViz!$B57,'Supply planning data'!$C:$C,DataViz!AC$34),
IF(AC$35="Wastage",SUMIFS('Supply planning data'!$K:$K,'Supply planning data'!$D:$D,DataViz!$B57,'Supply planning data'!$C:$C,DataViz!AC$34),
IF(AC$35="Additional",SUMIFS('Supply planning data'!$I:$I,'Supply planning data'!$D:$D,DataViz!$B57,'Supply planning data'!$C:$C,DataViz!AC$34),
0))))</f>
        <v>0</v>
      </c>
      <c r="AD57" s="22">
        <f>IF(AD$35="Dose 1",SUMIFS('Supply planning data'!$G:$G,'Supply planning data'!$D:$D,DataViz!$B57,'Supply planning data'!$C:$C,DataViz!AD$34),
IF(AD$35="Dose 2",SUMIFS('Supply planning data'!$H:$H,'Supply planning data'!$D:$D,DataViz!$B57,'Supply planning data'!$C:$C,DataViz!AD$34),
IF(AD$35="Wastage",SUMIFS('Supply planning data'!$K:$K,'Supply planning data'!$D:$D,DataViz!$B57,'Supply planning data'!$C:$C,DataViz!AD$34),
IF(AD$35="Additional",SUMIFS('Supply planning data'!$I:$I,'Supply planning data'!$D:$D,DataViz!$B57,'Supply planning data'!$C:$C,DataViz!AD$34),
0))))</f>
        <v>0</v>
      </c>
      <c r="AE57" s="22">
        <f>IF(AE$35="Dose 1",SUMIFS('Supply planning data'!$G:$G,'Supply planning data'!$D:$D,DataViz!$B57,'Supply planning data'!$C:$C,DataViz!AE$34),
IF(AE$35="Dose 2",SUMIFS('Supply planning data'!$H:$H,'Supply planning data'!$D:$D,DataViz!$B57,'Supply planning data'!$C:$C,DataViz!AE$34),
IF(AE$35="Wastage",SUMIFS('Supply planning data'!$K:$K,'Supply planning data'!$D:$D,DataViz!$B57,'Supply planning data'!$C:$C,DataViz!AE$34),
IF(AE$35="Additional",SUMIFS('Supply planning data'!$I:$I,'Supply planning data'!$D:$D,DataViz!$B57,'Supply planning data'!$C:$C,DataViz!AE$34),
0))))</f>
        <v>0</v>
      </c>
      <c r="AF57" s="22">
        <f>IF(AF$35="Dose 1",SUMIFS('Supply planning data'!$G:$G,'Supply planning data'!$D:$D,DataViz!$B57,'Supply planning data'!$C:$C,DataViz!AF$34),
IF(AF$35="Dose 2",SUMIFS('Supply planning data'!$H:$H,'Supply planning data'!$D:$D,DataViz!$B57,'Supply planning data'!$C:$C,DataViz!AF$34),
IF(AF$35="Wastage",SUMIFS('Supply planning data'!$K:$K,'Supply planning data'!$D:$D,DataViz!$B57,'Supply planning data'!$C:$C,DataViz!AF$34),
IF(AF$35="Additional",SUMIFS('Supply planning data'!$I:$I,'Supply planning data'!$D:$D,DataViz!$B57,'Supply planning data'!$C:$C,DataViz!AF$34),
0))))</f>
        <v>0</v>
      </c>
      <c r="AG57" s="22">
        <f>IF(AG$35="Dose 1",SUMIFS('Supply planning data'!$G:$G,'Supply planning data'!$D:$D,DataViz!$B57,'Supply planning data'!$C:$C,DataViz!AG$34),
IF(AG$35="Dose 2",SUMIFS('Supply planning data'!$H:$H,'Supply planning data'!$D:$D,DataViz!$B57,'Supply planning data'!$C:$C,DataViz!AG$34),
IF(AG$35="Wastage",SUMIFS('Supply planning data'!$K:$K,'Supply planning data'!$D:$D,DataViz!$B57,'Supply planning data'!$C:$C,DataViz!AG$34),
IF(AG$35="Additional",SUMIFS('Supply planning data'!$I:$I,'Supply planning data'!$D:$D,DataViz!$B57,'Supply planning data'!$C:$C,DataViz!AG$34),
0))))</f>
        <v>0</v>
      </c>
      <c r="AH57" s="22">
        <f>IF(AH$35="Dose 1",SUMIFS('Supply planning data'!$G:$G,'Supply planning data'!$D:$D,DataViz!$B57,'Supply planning data'!$C:$C,DataViz!AH$34),
IF(AH$35="Dose 2",SUMIFS('Supply planning data'!$H:$H,'Supply planning data'!$D:$D,DataViz!$B57,'Supply planning data'!$C:$C,DataViz!AH$34),
IF(AH$35="Wastage",SUMIFS('Supply planning data'!$K:$K,'Supply planning data'!$D:$D,DataViz!$B57,'Supply planning data'!$C:$C,DataViz!AH$34),
IF(AH$35="Additional",SUMIFS('Supply planning data'!$I:$I,'Supply planning data'!$D:$D,DataViz!$B57,'Supply planning data'!$C:$C,DataViz!AH$34),
0))))</f>
        <v>0</v>
      </c>
      <c r="AI57" s="22">
        <f>IF(AI$35="Dose 1",SUMIFS('Supply planning data'!$G:$G,'Supply planning data'!$D:$D,DataViz!$B57,'Supply planning data'!$C:$C,DataViz!AI$34),
IF(AI$35="Dose 2",SUMIFS('Supply planning data'!$H:$H,'Supply planning data'!$D:$D,DataViz!$B57,'Supply planning data'!$C:$C,DataViz!AI$34),
IF(AI$35="Wastage",SUMIFS('Supply planning data'!$K:$K,'Supply planning data'!$D:$D,DataViz!$B57,'Supply planning data'!$C:$C,DataViz!AI$34),
IF(AI$35="Additional",SUMIFS('Supply planning data'!$I:$I,'Supply planning data'!$D:$D,DataViz!$B57,'Supply planning data'!$C:$C,DataViz!AI$34),
0))))</f>
        <v>0</v>
      </c>
      <c r="AJ57" s="22">
        <f>IF(AJ$35="Dose 1",SUMIFS('Supply planning data'!$G:$G,'Supply planning data'!$D:$D,DataViz!$B57,'Supply planning data'!$C:$C,DataViz!AJ$34),
IF(AJ$35="Dose 2",SUMIFS('Supply planning data'!$H:$H,'Supply planning data'!$D:$D,DataViz!$B57,'Supply planning data'!$C:$C,DataViz!AJ$34),
IF(AJ$35="Wastage",SUMIFS('Supply planning data'!$K:$K,'Supply planning data'!$D:$D,DataViz!$B57,'Supply planning data'!$C:$C,DataViz!AJ$34),
IF(AJ$35="Additional",SUMIFS('Supply planning data'!$I:$I,'Supply planning data'!$D:$D,DataViz!$B57,'Supply planning data'!$C:$C,DataViz!AJ$34),
0))))</f>
        <v>0</v>
      </c>
      <c r="AK57" s="22">
        <f>IF(AK$35="Dose 1",SUMIFS('Supply planning data'!$G:$G,'Supply planning data'!$D:$D,DataViz!$B57,'Supply planning data'!$C:$C,DataViz!AK$34),
IF(AK$35="Dose 2",SUMIFS('Supply planning data'!$H:$H,'Supply planning data'!$D:$D,DataViz!$B57,'Supply planning data'!$C:$C,DataViz!AK$34),
IF(AK$35="Wastage",SUMIFS('Supply planning data'!$K:$K,'Supply planning data'!$D:$D,DataViz!$B57,'Supply planning data'!$C:$C,DataViz!AK$34),
IF(AK$35="Additional",SUMIFS('Supply planning data'!$I:$I,'Supply planning data'!$D:$D,DataViz!$B57,'Supply planning data'!$C:$C,DataViz!AK$34),
0))))</f>
        <v>0</v>
      </c>
      <c r="AL57" s="22">
        <f>IF(AL$35="Dose 1",SUMIFS('Supply planning data'!$G:$G,'Supply planning data'!$D:$D,DataViz!$B57,'Supply planning data'!$C:$C,DataViz!AL$34),
IF(AL$35="Dose 2",SUMIFS('Supply planning data'!$H:$H,'Supply planning data'!$D:$D,DataViz!$B57,'Supply planning data'!$C:$C,DataViz!AL$34),
IF(AL$35="Wastage",SUMIFS('Supply planning data'!$K:$K,'Supply planning data'!$D:$D,DataViz!$B57,'Supply planning data'!$C:$C,DataViz!AL$34),
IF(AL$35="Additional",SUMIFS('Supply planning data'!$I:$I,'Supply planning data'!$D:$D,DataViz!$B57,'Supply planning data'!$C:$C,DataViz!AL$34),
0))))</f>
        <v>0</v>
      </c>
      <c r="AM57" s="22">
        <f>IF(AM$35="Dose 1",SUMIFS('Supply planning data'!$G:$G,'Supply planning data'!$D:$D,DataViz!$B57,'Supply planning data'!$C:$C,DataViz!AM$34),
IF(AM$35="Dose 2",SUMIFS('Supply planning data'!$H:$H,'Supply planning data'!$D:$D,DataViz!$B57,'Supply planning data'!$C:$C,DataViz!AM$34),
IF(AM$35="Wastage",SUMIFS('Supply planning data'!$K:$K,'Supply planning data'!$D:$D,DataViz!$B57,'Supply planning data'!$C:$C,DataViz!AM$34),
IF(AM$35="Additional",SUMIFS('Supply planning data'!$I:$I,'Supply planning data'!$D:$D,DataViz!$B57,'Supply planning data'!$C:$C,DataViz!AM$34),
0))))</f>
        <v>0</v>
      </c>
      <c r="AN57" s="22">
        <f>IF(AN$35="Dose 1",SUMIFS('Supply planning data'!$G:$G,'Supply planning data'!$D:$D,DataViz!$B57,'Supply planning data'!$C:$C,DataViz!AN$34),
IF(AN$35="Dose 2",SUMIFS('Supply planning data'!$H:$H,'Supply planning data'!$D:$D,DataViz!$B57,'Supply planning data'!$C:$C,DataViz!AN$34),
IF(AN$35="Wastage",SUMIFS('Supply planning data'!$K:$K,'Supply planning data'!$D:$D,DataViz!$B57,'Supply planning data'!$C:$C,DataViz!AN$34),
IF(AN$35="Additional",SUMIFS('Supply planning data'!$I:$I,'Supply planning data'!$D:$D,DataViz!$B57,'Supply planning data'!$C:$C,DataViz!AN$34),
0))))</f>
        <v>0</v>
      </c>
      <c r="AO57" s="22">
        <f>IF(AO$35="Dose 1",SUMIFS('Supply planning data'!$G:$G,'Supply planning data'!$D:$D,DataViz!$B57,'Supply planning data'!$C:$C,DataViz!AO$34),
IF(AO$35="Dose 2",SUMIFS('Supply planning data'!$H:$H,'Supply planning data'!$D:$D,DataViz!$B57,'Supply planning data'!$C:$C,DataViz!AO$34),
IF(AO$35="Wastage",SUMIFS('Supply planning data'!$K:$K,'Supply planning data'!$D:$D,DataViz!$B57,'Supply planning data'!$C:$C,DataViz!AO$34),
IF(AO$35="Additional",SUMIFS('Supply planning data'!$I:$I,'Supply planning data'!$D:$D,DataViz!$B57,'Supply planning data'!$C:$C,DataViz!AO$34),
0))))</f>
        <v>0</v>
      </c>
      <c r="AP57" s="22">
        <f>IF(AP$35="Dose 1",SUMIFS('Supply planning data'!$G:$G,'Supply planning data'!$D:$D,DataViz!$B57,'Supply planning data'!$C:$C,DataViz!AP$34),
IF(AP$35="Dose 2",SUMIFS('Supply planning data'!$H:$H,'Supply planning data'!$D:$D,DataViz!$B57,'Supply planning data'!$C:$C,DataViz!AP$34),
IF(AP$35="Wastage",SUMIFS('Supply planning data'!$K:$K,'Supply planning data'!$D:$D,DataViz!$B57,'Supply planning data'!$C:$C,DataViz!AP$34),
IF(AP$35="Additional",SUMIFS('Supply planning data'!$I:$I,'Supply planning data'!$D:$D,DataViz!$B57,'Supply planning data'!$C:$C,DataViz!AP$34),
0))))</f>
        <v>0</v>
      </c>
      <c r="AQ57" s="22">
        <f>IF(AQ$35="Dose 1",SUMIFS('Supply planning data'!$G:$G,'Supply planning data'!$D:$D,DataViz!$B57,'Supply planning data'!$C:$C,DataViz!AQ$34),
IF(AQ$35="Dose 2",SUMIFS('Supply planning data'!$H:$H,'Supply planning data'!$D:$D,DataViz!$B57,'Supply planning data'!$C:$C,DataViz!AQ$34),
IF(AQ$35="Wastage",SUMIFS('Supply planning data'!$K:$K,'Supply planning data'!$D:$D,DataViz!$B57,'Supply planning data'!$C:$C,DataViz!AQ$34),
IF(AQ$35="Additional",SUMIFS('Supply planning data'!$I:$I,'Supply planning data'!$D:$D,DataViz!$B57,'Supply planning data'!$C:$C,DataViz!AQ$34),
0))))</f>
        <v>0</v>
      </c>
      <c r="AR57" s="22">
        <f>IF(AR$35="Dose 1",SUMIFS('Supply planning data'!$G:$G,'Supply planning data'!$D:$D,DataViz!$B57,'Supply planning data'!$C:$C,DataViz!AR$34),
IF(AR$35="Dose 2",SUMIFS('Supply planning data'!$H:$H,'Supply planning data'!$D:$D,DataViz!$B57,'Supply planning data'!$C:$C,DataViz!AR$34),
IF(AR$35="Wastage",SUMIFS('Supply planning data'!$K:$K,'Supply planning data'!$D:$D,DataViz!$B57,'Supply planning data'!$C:$C,DataViz!AR$34),
IF(AR$35="Additional",SUMIFS('Supply planning data'!$I:$I,'Supply planning data'!$D:$D,DataViz!$B57,'Supply planning data'!$C:$C,DataViz!AR$34),
0))))</f>
        <v>0</v>
      </c>
      <c r="AS57" s="22">
        <f>IF(AS$35="Dose 1",SUMIFS('Supply planning data'!$G:$G,'Supply planning data'!$D:$D,DataViz!$B57,'Supply planning data'!$C:$C,DataViz!AS$34),
IF(AS$35="Dose 2",SUMIFS('Supply planning data'!$H:$H,'Supply planning data'!$D:$D,DataViz!$B57,'Supply planning data'!$C:$C,DataViz!AS$34),
IF(AS$35="Wastage",SUMIFS('Supply planning data'!$K:$K,'Supply planning data'!$D:$D,DataViz!$B57,'Supply planning data'!$C:$C,DataViz!AS$34),
IF(AS$35="Additional",SUMIFS('Supply planning data'!$I:$I,'Supply planning data'!$D:$D,DataViz!$B57,'Supply planning data'!$C:$C,DataViz!AS$34),
0))))</f>
        <v>0</v>
      </c>
      <c r="AT57" s="22">
        <f>IF(AT$35="Dose 1",SUMIFS('Supply planning data'!$G:$G,'Supply planning data'!$D:$D,DataViz!$B57,'Supply planning data'!$C:$C,DataViz!AT$34),
IF(AT$35="Dose 2",SUMIFS('Supply planning data'!$H:$H,'Supply planning data'!$D:$D,DataViz!$B57,'Supply planning data'!$C:$C,DataViz!AT$34),
IF(AT$35="Wastage",SUMIFS('Supply planning data'!$K:$K,'Supply planning data'!$D:$D,DataViz!$B57,'Supply planning data'!$C:$C,DataViz!AT$34),
IF(AT$35="Additional",SUMIFS('Supply planning data'!$I:$I,'Supply planning data'!$D:$D,DataViz!$B57,'Supply planning data'!$C:$C,DataViz!AT$34),
0))))</f>
        <v>0</v>
      </c>
      <c r="AU57" s="22">
        <f>IF(AU$35="Dose 1",SUMIFS('Supply planning data'!$G:$G,'Supply planning data'!$D:$D,DataViz!$B57,'Supply planning data'!$C:$C,DataViz!AU$34),
IF(AU$35="Dose 2",SUMIFS('Supply planning data'!$H:$H,'Supply planning data'!$D:$D,DataViz!$B57,'Supply planning data'!$C:$C,DataViz!AU$34),
IF(AU$35="Wastage",SUMIFS('Supply planning data'!$K:$K,'Supply planning data'!$D:$D,DataViz!$B57,'Supply planning data'!$C:$C,DataViz!AU$34),
IF(AU$35="Additional",SUMIFS('Supply planning data'!$I:$I,'Supply planning data'!$D:$D,DataViz!$B57,'Supply planning data'!$C:$C,DataViz!AU$34),
0))))</f>
        <v>0</v>
      </c>
      <c r="AV57" s="22">
        <f>IF(AV$35="Dose 1",SUMIFS('Supply planning data'!$G:$G,'Supply planning data'!$D:$D,DataViz!$B57,'Supply planning data'!$C:$C,DataViz!AV$34),
IF(AV$35="Dose 2",SUMIFS('Supply planning data'!$H:$H,'Supply planning data'!$D:$D,DataViz!$B57,'Supply planning data'!$C:$C,DataViz!AV$34),
IF(AV$35="Wastage",SUMIFS('Supply planning data'!$K:$K,'Supply planning data'!$D:$D,DataViz!$B57,'Supply planning data'!$C:$C,DataViz!AV$34),
IF(AV$35="Additional",SUMIFS('Supply planning data'!$I:$I,'Supply planning data'!$D:$D,DataViz!$B57,'Supply planning data'!$C:$C,DataViz!AV$34),
0))))</f>
        <v>0</v>
      </c>
      <c r="AW57" s="22">
        <f>IF(AW$35="Dose 1",SUMIFS('Supply planning data'!$G:$G,'Supply planning data'!$D:$D,DataViz!$B57,'Supply planning data'!$C:$C,DataViz!AW$34),
IF(AW$35="Dose 2",SUMIFS('Supply planning data'!$H:$H,'Supply planning data'!$D:$D,DataViz!$B57,'Supply planning data'!$C:$C,DataViz!AW$34),
IF(AW$35="Wastage",SUMIFS('Supply planning data'!$K:$K,'Supply planning data'!$D:$D,DataViz!$B57,'Supply planning data'!$C:$C,DataViz!AW$34),
IF(AW$35="Additional",SUMIFS('Supply planning data'!$I:$I,'Supply planning data'!$D:$D,DataViz!$B57,'Supply planning data'!$C:$C,DataViz!AW$34),
0))))</f>
        <v>0</v>
      </c>
      <c r="AX57" s="22">
        <f>IF(AX$35="Dose 1",SUMIFS('Supply planning data'!$G:$G,'Supply planning data'!$D:$D,DataViz!$B57,'Supply planning data'!$C:$C,DataViz!AX$34),
IF(AX$35="Dose 2",SUMIFS('Supply planning data'!$H:$H,'Supply planning data'!$D:$D,DataViz!$B57,'Supply planning data'!$C:$C,DataViz!AX$34),
IF(AX$35="Wastage",SUMIFS('Supply planning data'!$K:$K,'Supply planning data'!$D:$D,DataViz!$B57,'Supply planning data'!$C:$C,DataViz!AX$34),
IF(AX$35="Additional",SUMIFS('Supply planning data'!$I:$I,'Supply planning data'!$D:$D,DataViz!$B57,'Supply planning data'!$C:$C,DataViz!AX$34),
0))))</f>
        <v>0</v>
      </c>
      <c r="AY57" s="22">
        <f>IF(AY$35="Dose 1",SUMIFS('Supply planning data'!$G:$G,'Supply planning data'!$D:$D,DataViz!$B57,'Supply planning data'!$C:$C,DataViz!AY$34),
IF(AY$35="Dose 2",SUMIFS('Supply planning data'!$H:$H,'Supply planning data'!$D:$D,DataViz!$B57,'Supply planning data'!$C:$C,DataViz!AY$34),
IF(AY$35="Wastage",SUMIFS('Supply planning data'!$K:$K,'Supply planning data'!$D:$D,DataViz!$B57,'Supply planning data'!$C:$C,DataViz!AY$34),
IF(AY$35="Additional",SUMIFS('Supply planning data'!$I:$I,'Supply planning data'!$D:$D,DataViz!$B57,'Supply planning data'!$C:$C,DataViz!AY$34),
0))))</f>
        <v>0</v>
      </c>
      <c r="AZ57" s="22">
        <f>IF(AZ$35="Dose 1",SUMIFS('Supply planning data'!$G:$G,'Supply planning data'!$D:$D,DataViz!$B57,'Supply planning data'!$C:$C,DataViz!AZ$34),
IF(AZ$35="Dose 2",SUMIFS('Supply planning data'!$H:$H,'Supply planning data'!$D:$D,DataViz!$B57,'Supply planning data'!$C:$C,DataViz!AZ$34),
IF(AZ$35="Wastage",SUMIFS('Supply planning data'!$K:$K,'Supply planning data'!$D:$D,DataViz!$B57,'Supply planning data'!$C:$C,DataViz!AZ$34),
IF(AZ$35="Additional",SUMIFS('Supply planning data'!$I:$I,'Supply planning data'!$D:$D,DataViz!$B57,'Supply planning data'!$C:$C,DataViz!AZ$34),
0))))</f>
        <v>0</v>
      </c>
      <c r="BA57" s="22">
        <f>IF(BA$35="Dose 1",SUMIFS('Supply planning data'!$G:$G,'Supply planning data'!$D:$D,DataViz!$B57,'Supply planning data'!$C:$C,DataViz!BA$34),
IF(BA$35="Dose 2",SUMIFS('Supply planning data'!$H:$H,'Supply planning data'!$D:$D,DataViz!$B57,'Supply planning data'!$C:$C,DataViz!BA$34),
IF(BA$35="Wastage",SUMIFS('Supply planning data'!$K:$K,'Supply planning data'!$D:$D,DataViz!$B57,'Supply planning data'!$C:$C,DataViz!BA$34),
IF(BA$35="Additional",SUMIFS('Supply planning data'!$I:$I,'Supply planning data'!$D:$D,DataViz!$B57,'Supply planning data'!$C:$C,DataViz!BA$34),
0))))</f>
        <v>0</v>
      </c>
      <c r="BB57" s="22">
        <f>IF(BB$35="Dose 1",SUMIFS('Supply planning data'!$G:$G,'Supply planning data'!$D:$D,DataViz!$B57,'Supply planning data'!$C:$C,DataViz!BB$34),
IF(BB$35="Dose 2",SUMIFS('Supply planning data'!$H:$H,'Supply planning data'!$D:$D,DataViz!$B57,'Supply planning data'!$C:$C,DataViz!BB$34),
IF(BB$35="Wastage",SUMIFS('Supply planning data'!$K:$K,'Supply planning data'!$D:$D,DataViz!$B57,'Supply planning data'!$C:$C,DataViz!BB$34),
IF(BB$35="Additional",SUMIFS('Supply planning data'!$I:$I,'Supply planning data'!$D:$D,DataViz!$B57,'Supply planning data'!$C:$C,DataViz!BB$34),
0))))</f>
        <v>0</v>
      </c>
      <c r="BC57" s="22">
        <f>IF(BC$35="Dose 1",SUMIFS('Supply planning data'!$G:$G,'Supply planning data'!$D:$D,DataViz!$B57,'Supply planning data'!$C:$C,DataViz!BC$34),
IF(BC$35="Dose 2",SUMIFS('Supply planning data'!$H:$H,'Supply planning data'!$D:$D,DataViz!$B57,'Supply planning data'!$C:$C,DataViz!BC$34),
IF(BC$35="Wastage",SUMIFS('Supply planning data'!$K:$K,'Supply planning data'!$D:$D,DataViz!$B57,'Supply planning data'!$C:$C,DataViz!BC$34),
IF(BC$35="Additional",SUMIFS('Supply planning data'!$I:$I,'Supply planning data'!$D:$D,DataViz!$B57,'Supply planning data'!$C:$C,DataViz!BC$34),
0))))</f>
        <v>0</v>
      </c>
      <c r="BD57" s="22">
        <f>IF(BD$35="Dose 1",SUMIFS('Supply planning data'!$G:$G,'Supply planning data'!$D:$D,DataViz!$B57,'Supply planning data'!$C:$C,DataViz!BD$34),
IF(BD$35="Dose 2",SUMIFS('Supply planning data'!$H:$H,'Supply planning data'!$D:$D,DataViz!$B57,'Supply planning data'!$C:$C,DataViz!BD$34),
IF(BD$35="Wastage",SUMIFS('Supply planning data'!$K:$K,'Supply planning data'!$D:$D,DataViz!$B57,'Supply planning data'!$C:$C,DataViz!BD$34),
IF(BD$35="Additional",SUMIFS('Supply planning data'!$I:$I,'Supply planning data'!$D:$D,DataViz!$B57,'Supply planning data'!$C:$C,DataViz!BD$34),
0))))</f>
        <v>0</v>
      </c>
      <c r="BE57" s="22">
        <f>IF(BE$35="Dose 1",SUMIFS('Supply planning data'!$G:$G,'Supply planning data'!$D:$D,DataViz!$B57,'Supply planning data'!$C:$C,DataViz!BE$34),
IF(BE$35="Dose 2",SUMIFS('Supply planning data'!$H:$H,'Supply planning data'!$D:$D,DataViz!$B57,'Supply planning data'!$C:$C,DataViz!BE$34),
IF(BE$35="Wastage",SUMIFS('Supply planning data'!$K:$K,'Supply planning data'!$D:$D,DataViz!$B57,'Supply planning data'!$C:$C,DataViz!BE$34),
IF(BE$35="Additional",SUMIFS('Supply planning data'!$I:$I,'Supply planning data'!$D:$D,DataViz!$B57,'Supply planning data'!$C:$C,DataViz!BE$34),
0))))</f>
        <v>0</v>
      </c>
      <c r="BF57" s="22">
        <f>IF(BF$35="Dose 1",SUMIFS('Supply planning data'!$G:$G,'Supply planning data'!$D:$D,DataViz!$B57,'Supply planning data'!$C:$C,DataViz!BF$34),
IF(BF$35="Dose 2",SUMIFS('Supply planning data'!$H:$H,'Supply planning data'!$D:$D,DataViz!$B57,'Supply planning data'!$C:$C,DataViz!BF$34),
IF(BF$35="Wastage",SUMIFS('Supply planning data'!$K:$K,'Supply planning data'!$D:$D,DataViz!$B57,'Supply planning data'!$C:$C,DataViz!BF$34),
IF(BF$35="Additional",SUMIFS('Supply planning data'!$I:$I,'Supply planning data'!$D:$D,DataViz!$B57,'Supply planning data'!$C:$C,DataViz!BF$34),
0))))</f>
        <v>0</v>
      </c>
      <c r="BG57" s="22">
        <f>IF(BG$35="Dose 1",SUMIFS('Supply planning data'!$G:$G,'Supply planning data'!$D:$D,DataViz!$B57,'Supply planning data'!$C:$C,DataViz!BG$34),
IF(BG$35="Dose 2",SUMIFS('Supply planning data'!$H:$H,'Supply planning data'!$D:$D,DataViz!$B57,'Supply planning data'!$C:$C,DataViz!BG$34),
IF(BG$35="Wastage",SUMIFS('Supply planning data'!$K:$K,'Supply planning data'!$D:$D,DataViz!$B57,'Supply planning data'!$C:$C,DataViz!BG$34),
IF(BG$35="Additional",SUMIFS('Supply planning data'!$I:$I,'Supply planning data'!$D:$D,DataViz!$B57,'Supply planning data'!$C:$C,DataViz!BG$34),
0))))</f>
        <v>0</v>
      </c>
      <c r="BH57" s="22">
        <f>IF(BH$35="Dose 1",SUMIFS('Supply planning data'!$G:$G,'Supply planning data'!$D:$D,DataViz!$B57,'Supply planning data'!$C:$C,DataViz!BH$34),
IF(BH$35="Dose 2",SUMIFS('Supply planning data'!$H:$H,'Supply planning data'!$D:$D,DataViz!$B57,'Supply planning data'!$C:$C,DataViz!BH$34),
IF(BH$35="Wastage",SUMIFS('Supply planning data'!$K:$K,'Supply planning data'!$D:$D,DataViz!$B57,'Supply planning data'!$C:$C,DataViz!BH$34),
IF(BH$35="Additional",SUMIFS('Supply planning data'!$I:$I,'Supply planning data'!$D:$D,DataViz!$B57,'Supply planning data'!$C:$C,DataViz!BH$34),
0))))</f>
        <v>0</v>
      </c>
      <c r="BI57" s="22">
        <f>IF(BI$35="Dose 1",SUMIFS('Supply planning data'!$G:$G,'Supply planning data'!$D:$D,DataViz!$B57,'Supply planning data'!$C:$C,DataViz!BI$34),
IF(BI$35="Dose 2",SUMIFS('Supply planning data'!$H:$H,'Supply planning data'!$D:$D,DataViz!$B57,'Supply planning data'!$C:$C,DataViz!BI$34),
IF(BI$35="Wastage",SUMIFS('Supply planning data'!$K:$K,'Supply planning data'!$D:$D,DataViz!$B57,'Supply planning data'!$C:$C,DataViz!BI$34),
IF(BI$35="Additional",SUMIFS('Supply planning data'!$I:$I,'Supply planning data'!$D:$D,DataViz!$B57,'Supply planning data'!$C:$C,DataViz!BI$34),
0))))</f>
        <v>0</v>
      </c>
      <c r="BJ57" s="22">
        <f>IF(BJ$35="Dose 1",SUMIFS('Supply planning data'!$G:$G,'Supply planning data'!$D:$D,DataViz!$B57,'Supply planning data'!$C:$C,DataViz!BJ$34),
IF(BJ$35="Dose 2",SUMIFS('Supply planning data'!$H:$H,'Supply planning data'!$D:$D,DataViz!$B57,'Supply planning data'!$C:$C,DataViz!BJ$34),
IF(BJ$35="Wastage",SUMIFS('Supply planning data'!$K:$K,'Supply planning data'!$D:$D,DataViz!$B57,'Supply planning data'!$C:$C,DataViz!BJ$34),
IF(BJ$35="Additional",SUMIFS('Supply planning data'!$I:$I,'Supply planning data'!$D:$D,DataViz!$B57,'Supply planning data'!$C:$C,DataViz!BJ$34),
0))))</f>
        <v>0</v>
      </c>
      <c r="BK57" s="22">
        <f>IF(BK$35="Dose 1",SUMIFS('Supply planning data'!$G:$G,'Supply planning data'!$D:$D,DataViz!$B57,'Supply planning data'!$C:$C,DataViz!BK$34),
IF(BK$35="Dose 2",SUMIFS('Supply planning data'!$H:$H,'Supply planning data'!$D:$D,DataViz!$B57,'Supply planning data'!$C:$C,DataViz!BK$34),
IF(BK$35="Wastage",SUMIFS('Supply planning data'!$K:$K,'Supply planning data'!$D:$D,DataViz!$B57,'Supply planning data'!$C:$C,DataViz!BK$34),
IF(BK$35="Additional",SUMIFS('Supply planning data'!$I:$I,'Supply planning data'!$D:$D,DataViz!$B57,'Supply planning data'!$C:$C,DataViz!BK$34),
0))))</f>
        <v>0</v>
      </c>
      <c r="BL57" s="22">
        <f>IF(BL$35="Dose 1",SUMIFS('Supply planning data'!$G:$G,'Supply planning data'!$D:$D,DataViz!$B57,'Supply planning data'!$C:$C,DataViz!BL$34),
IF(BL$35="Dose 2",SUMIFS('Supply planning data'!$H:$H,'Supply planning data'!$D:$D,DataViz!$B57,'Supply planning data'!$C:$C,DataViz!BL$34),
IF(BL$35="Wastage",SUMIFS('Supply planning data'!$K:$K,'Supply planning data'!$D:$D,DataViz!$B57,'Supply planning data'!$C:$C,DataViz!BL$34),
IF(BL$35="Additional",SUMIFS('Supply planning data'!$I:$I,'Supply planning data'!$D:$D,DataViz!$B57,'Supply planning data'!$C:$C,DataViz!BL$34),
0))))</f>
        <v>0</v>
      </c>
    </row>
    <row r="58" spans="1:64" x14ac:dyDescent="0.25">
      <c r="A58" s="20">
        <v>20</v>
      </c>
      <c r="B58" s="21">
        <f t="shared" si="15"/>
        <v>44866</v>
      </c>
      <c r="C58" s="22">
        <f>IF(VLOOKUP(Dashboard!$M$6,Start!$B$10:$E$12,4,FALSE)&gt;0,VLOOKUP(Dashboard!$M$6,Start!$B$10:$E$12,4, FALSE),VLOOKUP(Dashboard!$M$6,Start!$B$10:$E$12,3, FALSE))</f>
        <v>60000000</v>
      </c>
      <c r="D58" s="22">
        <f>SUMIFS('Supply planning data'!M:M,'Supply planning data'!D:D,"&lt;="&amp;DataViz!B58)</f>
        <v>2720887</v>
      </c>
      <c r="E58" s="22">
        <f>IF(E$35="Dose 1",SUMIFS('Supply planning data'!$G:$G,'Supply planning data'!$D:$D,DataViz!$B58,'Supply planning data'!$C:$C,DataViz!E$34),
IF(E$35="Dose 2",SUMIFS('Supply planning data'!$H:$H,'Supply planning data'!$D:$D,DataViz!$B58,'Supply planning data'!$C:$C,DataViz!E$34),
IF(E$35="Wastage",SUMIFS('Supply planning data'!$K:$K,'Supply planning data'!$D:$D,DataViz!$B58,'Supply planning data'!$C:$C,DataViz!E$34),
IF(E$35="Additional",SUMIFS('Supply planning data'!$I:$I,'Supply planning data'!$D:$D,DataViz!$B58,'Supply planning data'!$C:$C,DataViz!E$34),
0))))</f>
        <v>0</v>
      </c>
      <c r="F58" s="22">
        <f>IF(F$35="Dose 1",SUMIFS('Supply planning data'!$G:$G,'Supply planning data'!$D:$D,DataViz!$B58,'Supply planning data'!$C:$C,DataViz!F$34),
IF(F$35="Dose 2",SUMIFS('Supply planning data'!$H:$H,'Supply planning data'!$D:$D,DataViz!$B58,'Supply planning data'!$C:$C,DataViz!F$34),
IF(F$35="Wastage",SUMIFS('Supply planning data'!$K:$K,'Supply planning data'!$D:$D,DataViz!$B58,'Supply planning data'!$C:$C,DataViz!F$34),
IF(F$35="Additional",SUMIFS('Supply planning data'!$I:$I,'Supply planning data'!$D:$D,DataViz!$B58,'Supply planning data'!$C:$C,DataViz!F$34),
0))))</f>
        <v>0</v>
      </c>
      <c r="G58" s="22">
        <f>IF(G$35="Dose 1",SUMIFS('Supply planning data'!$G:$G,'Supply planning data'!$D:$D,DataViz!$B58,'Supply planning data'!$C:$C,DataViz!G$34),
IF(G$35="Dose 2",SUMIFS('Supply planning data'!$H:$H,'Supply planning data'!$D:$D,DataViz!$B58,'Supply planning data'!$C:$C,DataViz!G$34),
IF(G$35="Wastage",SUMIFS('Supply planning data'!$K:$K,'Supply planning data'!$D:$D,DataViz!$B58,'Supply planning data'!$C:$C,DataViz!G$34),
IF(G$35="Additional",SUMIFS('Supply planning data'!$I:$I,'Supply planning data'!$D:$D,DataViz!$B58,'Supply planning data'!$C:$C,DataViz!G$34),
0))))</f>
        <v>0</v>
      </c>
      <c r="H58" s="22">
        <f>IF(H$35="Dose 1",SUMIFS('Supply planning data'!$G:$G,'Supply planning data'!$D:$D,DataViz!$B58,'Supply planning data'!$C:$C,DataViz!H$34),
IF(H$35="Dose 2",SUMIFS('Supply planning data'!$H:$H,'Supply planning data'!$D:$D,DataViz!$B58,'Supply planning data'!$C:$C,DataViz!H$34),
IF(H$35="Wastage",SUMIFS('Supply planning data'!$K:$K,'Supply planning data'!$D:$D,DataViz!$B58,'Supply planning data'!$C:$C,DataViz!H$34),
IF(H$35="Additional",SUMIFS('Supply planning data'!$I:$I,'Supply planning data'!$D:$D,DataViz!$B58,'Supply planning data'!$C:$C,DataViz!H$34),
0))))</f>
        <v>0</v>
      </c>
      <c r="I58" s="22">
        <f>IF(I$35="Dose 1",SUMIFS('Supply planning data'!$G:$G,'Supply planning data'!$D:$D,DataViz!$B58,'Supply planning data'!$C:$C,DataViz!I$34),
IF(I$35="Dose 2",SUMIFS('Supply planning data'!$H:$H,'Supply planning data'!$D:$D,DataViz!$B58,'Supply planning data'!$C:$C,DataViz!I$34),
IF(I$35="Wastage",SUMIFS('Supply planning data'!$K:$K,'Supply planning data'!$D:$D,DataViz!$B58,'Supply planning data'!$C:$C,DataViz!I$34),
IF(I$35="Additional",SUMIFS('Supply planning data'!$I:$I,'Supply planning data'!$D:$D,DataViz!$B58,'Supply planning data'!$C:$C,DataViz!I$34),
0))))</f>
        <v>0</v>
      </c>
      <c r="J58" s="22">
        <f>IF(J$35="Dose 1",SUMIFS('Supply planning data'!$G:$G,'Supply planning data'!$D:$D,DataViz!$B58,'Supply planning data'!$C:$C,DataViz!J$34),
IF(J$35="Dose 2",SUMIFS('Supply planning data'!$H:$H,'Supply planning data'!$D:$D,DataViz!$B58,'Supply planning data'!$C:$C,DataViz!J$34),
IF(J$35="Wastage",SUMIFS('Supply planning data'!$K:$K,'Supply planning data'!$D:$D,DataViz!$B58,'Supply planning data'!$C:$C,DataViz!J$34),
IF(J$35="Additional",SUMIFS('Supply planning data'!$I:$I,'Supply planning data'!$D:$D,DataViz!$B58,'Supply planning data'!$C:$C,DataViz!J$34),
0))))</f>
        <v>0</v>
      </c>
      <c r="K58" s="22">
        <f>IF(K$35="Dose 1",SUMIFS('Supply planning data'!$G:$G,'Supply planning data'!$D:$D,DataViz!$B58,'Supply planning data'!$C:$C,DataViz!K$34),
IF(K$35="Dose 2",SUMIFS('Supply planning data'!$H:$H,'Supply planning data'!$D:$D,DataViz!$B58,'Supply planning data'!$C:$C,DataViz!K$34),
IF(K$35="Wastage",SUMIFS('Supply planning data'!$K:$K,'Supply planning data'!$D:$D,DataViz!$B58,'Supply planning data'!$C:$C,DataViz!K$34),
IF(K$35="Additional",SUMIFS('Supply planning data'!$I:$I,'Supply planning data'!$D:$D,DataViz!$B58,'Supply planning data'!$C:$C,DataViz!K$34),
0))))</f>
        <v>0</v>
      </c>
      <c r="L58" s="22">
        <f>IF(L$35="Dose 1",SUMIFS('Supply planning data'!$G:$G,'Supply planning data'!$D:$D,DataViz!$B58,'Supply planning data'!$C:$C,DataViz!L$34),
IF(L$35="Dose 2",SUMIFS('Supply planning data'!$H:$H,'Supply planning data'!$D:$D,DataViz!$B58,'Supply planning data'!$C:$C,DataViz!L$34),
IF(L$35="Wastage",SUMIFS('Supply planning data'!$K:$K,'Supply planning data'!$D:$D,DataViz!$B58,'Supply planning data'!$C:$C,DataViz!L$34),
IF(L$35="Additional",SUMIFS('Supply planning data'!$I:$I,'Supply planning data'!$D:$D,DataViz!$B58,'Supply planning data'!$C:$C,DataViz!L$34),
0))))</f>
        <v>0</v>
      </c>
      <c r="M58" s="22">
        <f>IF(M$35="Dose 1",SUMIFS('Supply planning data'!$G:$G,'Supply planning data'!$D:$D,DataViz!$B58,'Supply planning data'!$C:$C,DataViz!M$34),
IF(M$35="Dose 2",SUMIFS('Supply planning data'!$H:$H,'Supply planning data'!$D:$D,DataViz!$B58,'Supply planning data'!$C:$C,DataViz!M$34),
IF(M$35="Wastage",SUMIFS('Supply planning data'!$K:$K,'Supply planning data'!$D:$D,DataViz!$B58,'Supply planning data'!$C:$C,DataViz!M$34),
IF(M$35="Additional",SUMIFS('Supply planning data'!$I:$I,'Supply planning data'!$D:$D,DataViz!$B58,'Supply planning data'!$C:$C,DataViz!M$34),
0))))</f>
        <v>0</v>
      </c>
      <c r="N58" s="22">
        <f>IF(N$35="Dose 1",SUMIFS('Supply planning data'!$G:$G,'Supply planning data'!$D:$D,DataViz!$B58,'Supply planning data'!$C:$C,DataViz!N$34),
IF(N$35="Dose 2",SUMIFS('Supply planning data'!$H:$H,'Supply planning data'!$D:$D,DataViz!$B58,'Supply planning data'!$C:$C,DataViz!N$34),
IF(N$35="Wastage",SUMIFS('Supply planning data'!$K:$K,'Supply planning data'!$D:$D,DataViz!$B58,'Supply planning data'!$C:$C,DataViz!N$34),
IF(N$35="Additional",SUMIFS('Supply planning data'!$I:$I,'Supply planning data'!$D:$D,DataViz!$B58,'Supply planning data'!$C:$C,DataViz!N$34),
0))))</f>
        <v>0</v>
      </c>
      <c r="O58" s="22">
        <f>IF(O$35="Dose 1",SUMIFS('Supply planning data'!$G:$G,'Supply planning data'!$D:$D,DataViz!$B58,'Supply planning data'!$C:$C,DataViz!O$34),
IF(O$35="Dose 2",SUMIFS('Supply planning data'!$H:$H,'Supply planning data'!$D:$D,DataViz!$B58,'Supply planning data'!$C:$C,DataViz!O$34),
IF(O$35="Wastage",SUMIFS('Supply planning data'!$K:$K,'Supply planning data'!$D:$D,DataViz!$B58,'Supply planning data'!$C:$C,DataViz!O$34),
IF(O$35="Additional",SUMIFS('Supply planning data'!$I:$I,'Supply planning data'!$D:$D,DataViz!$B58,'Supply planning data'!$C:$C,DataViz!O$34),
0))))</f>
        <v>0</v>
      </c>
      <c r="P58" s="22">
        <f>IF(P$35="Dose 1",SUMIFS('Supply planning data'!$G:$G,'Supply planning data'!$D:$D,DataViz!$B58,'Supply planning data'!$C:$C,DataViz!P$34),
IF(P$35="Dose 2",SUMIFS('Supply planning data'!$H:$H,'Supply planning data'!$D:$D,DataViz!$B58,'Supply planning data'!$C:$C,DataViz!P$34),
IF(P$35="Wastage",SUMIFS('Supply planning data'!$K:$K,'Supply planning data'!$D:$D,DataViz!$B58,'Supply planning data'!$C:$C,DataViz!P$34),
IF(P$35="Additional",SUMIFS('Supply planning data'!$I:$I,'Supply planning data'!$D:$D,DataViz!$B58,'Supply planning data'!$C:$C,DataViz!P$34),
0))))</f>
        <v>0</v>
      </c>
      <c r="Q58" s="22">
        <f>IF(Q$35="Dose 1",SUMIFS('Supply planning data'!$G:$G,'Supply planning data'!$D:$D,DataViz!$B58,'Supply planning data'!$C:$C,DataViz!Q$34),
IF(Q$35="Dose 2",SUMIFS('Supply planning data'!$H:$H,'Supply planning data'!$D:$D,DataViz!$B58,'Supply planning data'!$C:$C,DataViz!Q$34),
IF(Q$35="Wastage",SUMIFS('Supply planning data'!$K:$K,'Supply planning data'!$D:$D,DataViz!$B58,'Supply planning data'!$C:$C,DataViz!Q$34),
IF(Q$35="Additional",SUMIFS('Supply planning data'!$I:$I,'Supply planning data'!$D:$D,DataViz!$B58,'Supply planning data'!$C:$C,DataViz!Q$34),
0))))</f>
        <v>0</v>
      </c>
      <c r="R58" s="22">
        <f>IF(R$35="Dose 1",SUMIFS('Supply planning data'!$G:$G,'Supply planning data'!$D:$D,DataViz!$B58,'Supply planning data'!$C:$C,DataViz!R$34),
IF(R$35="Dose 2",SUMIFS('Supply planning data'!$H:$H,'Supply planning data'!$D:$D,DataViz!$B58,'Supply planning data'!$C:$C,DataViz!R$34),
IF(R$35="Wastage",SUMIFS('Supply planning data'!$K:$K,'Supply planning data'!$D:$D,DataViz!$B58,'Supply planning data'!$C:$C,DataViz!R$34),
IF(R$35="Additional",SUMIFS('Supply planning data'!$I:$I,'Supply planning data'!$D:$D,DataViz!$B58,'Supply planning data'!$C:$C,DataViz!R$34),
0))))</f>
        <v>0</v>
      </c>
      <c r="S58" s="22">
        <f>IF(S$35="Dose 1",SUMIFS('Supply planning data'!$G:$G,'Supply planning data'!$D:$D,DataViz!$B58,'Supply planning data'!$C:$C,DataViz!S$34),
IF(S$35="Dose 2",SUMIFS('Supply planning data'!$H:$H,'Supply planning data'!$D:$D,DataViz!$B58,'Supply planning data'!$C:$C,DataViz!S$34),
IF(S$35="Wastage",SUMIFS('Supply planning data'!$K:$K,'Supply planning data'!$D:$D,DataViz!$B58,'Supply planning data'!$C:$C,DataViz!S$34),
IF(S$35="Additional",SUMIFS('Supply planning data'!$I:$I,'Supply planning data'!$D:$D,DataViz!$B58,'Supply planning data'!$C:$C,DataViz!S$34),
0))))</f>
        <v>0</v>
      </c>
      <c r="T58" s="22">
        <f>IF(T$35="Dose 1",SUMIFS('Supply planning data'!$G:$G,'Supply planning data'!$D:$D,DataViz!$B58,'Supply planning data'!$C:$C,DataViz!T$34),
IF(T$35="Dose 2",SUMIFS('Supply planning data'!$H:$H,'Supply planning data'!$D:$D,DataViz!$B58,'Supply planning data'!$C:$C,DataViz!T$34),
IF(T$35="Wastage",SUMIFS('Supply planning data'!$K:$K,'Supply planning data'!$D:$D,DataViz!$B58,'Supply planning data'!$C:$C,DataViz!T$34),
IF(T$35="Additional",SUMIFS('Supply planning data'!$I:$I,'Supply planning data'!$D:$D,DataViz!$B58,'Supply planning data'!$C:$C,DataViz!T$34),
0))))</f>
        <v>0</v>
      </c>
      <c r="U58" s="22">
        <f>IF(U$35="Dose 1",SUMIFS('Supply planning data'!$G:$G,'Supply planning data'!$D:$D,DataViz!$B58,'Supply planning data'!$C:$C,DataViz!U$34),
IF(U$35="Dose 2",SUMIFS('Supply planning data'!$H:$H,'Supply planning data'!$D:$D,DataViz!$B58,'Supply planning data'!$C:$C,DataViz!U$34),
IF(U$35="Wastage",SUMIFS('Supply planning data'!$K:$K,'Supply planning data'!$D:$D,DataViz!$B58,'Supply planning data'!$C:$C,DataViz!U$34),
IF(U$35="Additional",SUMIFS('Supply planning data'!$I:$I,'Supply planning data'!$D:$D,DataViz!$B58,'Supply planning data'!$C:$C,DataViz!U$34),
0))))</f>
        <v>0</v>
      </c>
      <c r="V58" s="22">
        <f>IF(V$35="Dose 1",SUMIFS('Supply planning data'!$G:$G,'Supply planning data'!$D:$D,DataViz!$B58,'Supply planning data'!$C:$C,DataViz!V$34),
IF(V$35="Dose 2",SUMIFS('Supply planning data'!$H:$H,'Supply planning data'!$D:$D,DataViz!$B58,'Supply planning data'!$C:$C,DataViz!V$34),
IF(V$35="Wastage",SUMIFS('Supply planning data'!$K:$K,'Supply planning data'!$D:$D,DataViz!$B58,'Supply planning data'!$C:$C,DataViz!V$34),
IF(V$35="Additional",SUMIFS('Supply planning data'!$I:$I,'Supply planning data'!$D:$D,DataViz!$B58,'Supply planning data'!$C:$C,DataViz!V$34),
0))))</f>
        <v>0</v>
      </c>
      <c r="W58" s="22">
        <f>IF(W$35="Dose 1",SUMIFS('Supply planning data'!$G:$G,'Supply planning data'!$D:$D,DataViz!$B58,'Supply planning data'!$C:$C,DataViz!W$34),
IF(W$35="Dose 2",SUMIFS('Supply planning data'!$H:$H,'Supply planning data'!$D:$D,DataViz!$B58,'Supply planning data'!$C:$C,DataViz!W$34),
IF(W$35="Wastage",SUMIFS('Supply planning data'!$K:$K,'Supply planning data'!$D:$D,DataViz!$B58,'Supply planning data'!$C:$C,DataViz!W$34),
IF(W$35="Additional",SUMIFS('Supply planning data'!$I:$I,'Supply planning data'!$D:$D,DataViz!$B58,'Supply planning data'!$C:$C,DataViz!W$34),
0))))</f>
        <v>0</v>
      </c>
      <c r="X58" s="22">
        <f>IF(X$35="Dose 1",SUMIFS('Supply planning data'!$G:$G,'Supply planning data'!$D:$D,DataViz!$B58,'Supply planning data'!$C:$C,DataViz!X$34),
IF(X$35="Dose 2",SUMIFS('Supply planning data'!$H:$H,'Supply planning data'!$D:$D,DataViz!$B58,'Supply planning data'!$C:$C,DataViz!X$34),
IF(X$35="Wastage",SUMIFS('Supply planning data'!$K:$K,'Supply planning data'!$D:$D,DataViz!$B58,'Supply planning data'!$C:$C,DataViz!X$34),
IF(X$35="Additional",SUMIFS('Supply planning data'!$I:$I,'Supply planning data'!$D:$D,DataViz!$B58,'Supply planning data'!$C:$C,DataViz!X$34),
0))))</f>
        <v>0</v>
      </c>
      <c r="Y58" s="22">
        <f>IF(Y$35="Dose 1",SUMIFS('Supply planning data'!$G:$G,'Supply planning data'!$D:$D,DataViz!$B58,'Supply planning data'!$C:$C,DataViz!Y$34),
IF(Y$35="Dose 2",SUMIFS('Supply planning data'!$H:$H,'Supply planning data'!$D:$D,DataViz!$B58,'Supply planning data'!$C:$C,DataViz!Y$34),
IF(Y$35="Wastage",SUMIFS('Supply planning data'!$K:$K,'Supply planning data'!$D:$D,DataViz!$B58,'Supply planning data'!$C:$C,DataViz!Y$34),
IF(Y$35="Additional",SUMIFS('Supply planning data'!$I:$I,'Supply planning data'!$D:$D,DataViz!$B58,'Supply planning data'!$C:$C,DataViz!Y$34),
0))))</f>
        <v>0</v>
      </c>
      <c r="Z58" s="22">
        <f>IF(Z$35="Dose 1",SUMIFS('Supply planning data'!$G:$G,'Supply planning data'!$D:$D,DataViz!$B58,'Supply planning data'!$C:$C,DataViz!Z$34),
IF(Z$35="Dose 2",SUMIFS('Supply planning data'!$H:$H,'Supply planning data'!$D:$D,DataViz!$B58,'Supply planning data'!$C:$C,DataViz!Z$34),
IF(Z$35="Wastage",SUMIFS('Supply planning data'!$K:$K,'Supply planning data'!$D:$D,DataViz!$B58,'Supply planning data'!$C:$C,DataViz!Z$34),
IF(Z$35="Additional",SUMIFS('Supply planning data'!$I:$I,'Supply planning data'!$D:$D,DataViz!$B58,'Supply planning data'!$C:$C,DataViz!Z$34),
0))))</f>
        <v>0</v>
      </c>
      <c r="AA58" s="22">
        <f>IF(AA$35="Dose 1",SUMIFS('Supply planning data'!$G:$G,'Supply planning data'!$D:$D,DataViz!$B58,'Supply planning data'!$C:$C,DataViz!AA$34),
IF(AA$35="Dose 2",SUMIFS('Supply planning data'!$H:$H,'Supply planning data'!$D:$D,DataViz!$B58,'Supply planning data'!$C:$C,DataViz!AA$34),
IF(AA$35="Wastage",SUMIFS('Supply planning data'!$K:$K,'Supply planning data'!$D:$D,DataViz!$B58,'Supply planning data'!$C:$C,DataViz!AA$34),
IF(AA$35="Additional",SUMIFS('Supply planning data'!$I:$I,'Supply planning data'!$D:$D,DataViz!$B58,'Supply planning data'!$C:$C,DataViz!AA$34),
0))))</f>
        <v>0</v>
      </c>
      <c r="AB58" s="22">
        <f>IF(AB$35="Dose 1",SUMIFS('Supply planning data'!$G:$G,'Supply planning data'!$D:$D,DataViz!$B58,'Supply planning data'!$C:$C,DataViz!AB$34),
IF(AB$35="Dose 2",SUMIFS('Supply planning data'!$H:$H,'Supply planning data'!$D:$D,DataViz!$B58,'Supply planning data'!$C:$C,DataViz!AB$34),
IF(AB$35="Wastage",SUMIFS('Supply planning data'!$K:$K,'Supply planning data'!$D:$D,DataViz!$B58,'Supply planning data'!$C:$C,DataViz!AB$34),
IF(AB$35="Additional",SUMIFS('Supply planning data'!$I:$I,'Supply planning data'!$D:$D,DataViz!$B58,'Supply planning data'!$C:$C,DataViz!AB$34),
0))))</f>
        <v>0</v>
      </c>
      <c r="AC58" s="22">
        <f>IF(AC$35="Dose 1",SUMIFS('Supply planning data'!$G:$G,'Supply planning data'!$D:$D,DataViz!$B58,'Supply planning data'!$C:$C,DataViz!AC$34),
IF(AC$35="Dose 2",SUMIFS('Supply planning data'!$H:$H,'Supply planning data'!$D:$D,DataViz!$B58,'Supply planning data'!$C:$C,DataViz!AC$34),
IF(AC$35="Wastage",SUMIFS('Supply planning data'!$K:$K,'Supply planning data'!$D:$D,DataViz!$B58,'Supply planning data'!$C:$C,DataViz!AC$34),
IF(AC$35="Additional",SUMIFS('Supply planning data'!$I:$I,'Supply planning data'!$D:$D,DataViz!$B58,'Supply planning data'!$C:$C,DataViz!AC$34),
0))))</f>
        <v>0</v>
      </c>
      <c r="AD58" s="22">
        <f>IF(AD$35="Dose 1",SUMIFS('Supply planning data'!$G:$G,'Supply planning data'!$D:$D,DataViz!$B58,'Supply planning data'!$C:$C,DataViz!AD$34),
IF(AD$35="Dose 2",SUMIFS('Supply planning data'!$H:$H,'Supply planning data'!$D:$D,DataViz!$B58,'Supply planning data'!$C:$C,DataViz!AD$34),
IF(AD$35="Wastage",SUMIFS('Supply planning data'!$K:$K,'Supply planning data'!$D:$D,DataViz!$B58,'Supply planning data'!$C:$C,DataViz!AD$34),
IF(AD$35="Additional",SUMIFS('Supply planning data'!$I:$I,'Supply planning data'!$D:$D,DataViz!$B58,'Supply planning data'!$C:$C,DataViz!AD$34),
0))))</f>
        <v>0</v>
      </c>
      <c r="AE58" s="22">
        <f>IF(AE$35="Dose 1",SUMIFS('Supply planning data'!$G:$G,'Supply planning data'!$D:$D,DataViz!$B58,'Supply planning data'!$C:$C,DataViz!AE$34),
IF(AE$35="Dose 2",SUMIFS('Supply planning data'!$H:$H,'Supply planning data'!$D:$D,DataViz!$B58,'Supply planning data'!$C:$C,DataViz!AE$34),
IF(AE$35="Wastage",SUMIFS('Supply planning data'!$K:$K,'Supply planning data'!$D:$D,DataViz!$B58,'Supply planning data'!$C:$C,DataViz!AE$34),
IF(AE$35="Additional",SUMIFS('Supply planning data'!$I:$I,'Supply planning data'!$D:$D,DataViz!$B58,'Supply planning data'!$C:$C,DataViz!AE$34),
0))))</f>
        <v>0</v>
      </c>
      <c r="AF58" s="22">
        <f>IF(AF$35="Dose 1",SUMIFS('Supply planning data'!$G:$G,'Supply planning data'!$D:$D,DataViz!$B58,'Supply planning data'!$C:$C,DataViz!AF$34),
IF(AF$35="Dose 2",SUMIFS('Supply planning data'!$H:$H,'Supply planning data'!$D:$D,DataViz!$B58,'Supply planning data'!$C:$C,DataViz!AF$34),
IF(AF$35="Wastage",SUMIFS('Supply planning data'!$K:$K,'Supply planning data'!$D:$D,DataViz!$B58,'Supply planning data'!$C:$C,DataViz!AF$34),
IF(AF$35="Additional",SUMIFS('Supply planning data'!$I:$I,'Supply planning data'!$D:$D,DataViz!$B58,'Supply planning data'!$C:$C,DataViz!AF$34),
0))))</f>
        <v>0</v>
      </c>
      <c r="AG58" s="22">
        <f>IF(AG$35="Dose 1",SUMIFS('Supply planning data'!$G:$G,'Supply planning data'!$D:$D,DataViz!$B58,'Supply planning data'!$C:$C,DataViz!AG$34),
IF(AG$35="Dose 2",SUMIFS('Supply planning data'!$H:$H,'Supply planning data'!$D:$D,DataViz!$B58,'Supply planning data'!$C:$C,DataViz!AG$34),
IF(AG$35="Wastage",SUMIFS('Supply planning data'!$K:$K,'Supply planning data'!$D:$D,DataViz!$B58,'Supply planning data'!$C:$C,DataViz!AG$34),
IF(AG$35="Additional",SUMIFS('Supply planning data'!$I:$I,'Supply planning data'!$D:$D,DataViz!$B58,'Supply planning data'!$C:$C,DataViz!AG$34),
0))))</f>
        <v>0</v>
      </c>
      <c r="AH58" s="22">
        <f>IF(AH$35="Dose 1",SUMIFS('Supply planning data'!$G:$G,'Supply planning data'!$D:$D,DataViz!$B58,'Supply planning data'!$C:$C,DataViz!AH$34),
IF(AH$35="Dose 2",SUMIFS('Supply planning data'!$H:$H,'Supply planning data'!$D:$D,DataViz!$B58,'Supply planning data'!$C:$C,DataViz!AH$34),
IF(AH$35="Wastage",SUMIFS('Supply planning data'!$K:$K,'Supply planning data'!$D:$D,DataViz!$B58,'Supply planning data'!$C:$C,DataViz!AH$34),
IF(AH$35="Additional",SUMIFS('Supply planning data'!$I:$I,'Supply planning data'!$D:$D,DataViz!$B58,'Supply planning data'!$C:$C,DataViz!AH$34),
0))))</f>
        <v>0</v>
      </c>
      <c r="AI58" s="22">
        <f>IF(AI$35="Dose 1",SUMIFS('Supply planning data'!$G:$G,'Supply planning data'!$D:$D,DataViz!$B58,'Supply planning data'!$C:$C,DataViz!AI$34),
IF(AI$35="Dose 2",SUMIFS('Supply planning data'!$H:$H,'Supply planning data'!$D:$D,DataViz!$B58,'Supply planning data'!$C:$C,DataViz!AI$34),
IF(AI$35="Wastage",SUMIFS('Supply planning data'!$K:$K,'Supply planning data'!$D:$D,DataViz!$B58,'Supply planning data'!$C:$C,DataViz!AI$34),
IF(AI$35="Additional",SUMIFS('Supply planning data'!$I:$I,'Supply planning data'!$D:$D,DataViz!$B58,'Supply planning data'!$C:$C,DataViz!AI$34),
0))))</f>
        <v>0</v>
      </c>
      <c r="AJ58" s="22">
        <f>IF(AJ$35="Dose 1",SUMIFS('Supply planning data'!$G:$G,'Supply planning data'!$D:$D,DataViz!$B58,'Supply planning data'!$C:$C,DataViz!AJ$34),
IF(AJ$35="Dose 2",SUMIFS('Supply planning data'!$H:$H,'Supply planning data'!$D:$D,DataViz!$B58,'Supply planning data'!$C:$C,DataViz!AJ$34),
IF(AJ$35="Wastage",SUMIFS('Supply planning data'!$K:$K,'Supply planning data'!$D:$D,DataViz!$B58,'Supply planning data'!$C:$C,DataViz!AJ$34),
IF(AJ$35="Additional",SUMIFS('Supply planning data'!$I:$I,'Supply planning data'!$D:$D,DataViz!$B58,'Supply planning data'!$C:$C,DataViz!AJ$34),
0))))</f>
        <v>0</v>
      </c>
      <c r="AK58" s="22">
        <f>IF(AK$35="Dose 1",SUMIFS('Supply planning data'!$G:$G,'Supply planning data'!$D:$D,DataViz!$B58,'Supply planning data'!$C:$C,DataViz!AK$34),
IF(AK$35="Dose 2",SUMIFS('Supply planning data'!$H:$H,'Supply planning data'!$D:$D,DataViz!$B58,'Supply planning data'!$C:$C,DataViz!AK$34),
IF(AK$35="Wastage",SUMIFS('Supply planning data'!$K:$K,'Supply planning data'!$D:$D,DataViz!$B58,'Supply planning data'!$C:$C,DataViz!AK$34),
IF(AK$35="Additional",SUMIFS('Supply planning data'!$I:$I,'Supply planning data'!$D:$D,DataViz!$B58,'Supply planning data'!$C:$C,DataViz!AK$34),
0))))</f>
        <v>0</v>
      </c>
      <c r="AL58" s="22">
        <f>IF(AL$35="Dose 1",SUMIFS('Supply planning data'!$G:$G,'Supply planning data'!$D:$D,DataViz!$B58,'Supply planning data'!$C:$C,DataViz!AL$34),
IF(AL$35="Dose 2",SUMIFS('Supply planning data'!$H:$H,'Supply planning data'!$D:$D,DataViz!$B58,'Supply planning data'!$C:$C,DataViz!AL$34),
IF(AL$35="Wastage",SUMIFS('Supply planning data'!$K:$K,'Supply planning data'!$D:$D,DataViz!$B58,'Supply planning data'!$C:$C,DataViz!AL$34),
IF(AL$35="Additional",SUMIFS('Supply planning data'!$I:$I,'Supply planning data'!$D:$D,DataViz!$B58,'Supply planning data'!$C:$C,DataViz!AL$34),
0))))</f>
        <v>0</v>
      </c>
      <c r="AM58" s="22">
        <f>IF(AM$35="Dose 1",SUMIFS('Supply planning data'!$G:$G,'Supply planning data'!$D:$D,DataViz!$B58,'Supply planning data'!$C:$C,DataViz!AM$34),
IF(AM$35="Dose 2",SUMIFS('Supply planning data'!$H:$H,'Supply planning data'!$D:$D,DataViz!$B58,'Supply planning data'!$C:$C,DataViz!AM$34),
IF(AM$35="Wastage",SUMIFS('Supply planning data'!$K:$K,'Supply planning data'!$D:$D,DataViz!$B58,'Supply planning data'!$C:$C,DataViz!AM$34),
IF(AM$35="Additional",SUMIFS('Supply planning data'!$I:$I,'Supply planning data'!$D:$D,DataViz!$B58,'Supply planning data'!$C:$C,DataViz!AM$34),
0))))</f>
        <v>0</v>
      </c>
      <c r="AN58" s="22">
        <f>IF(AN$35="Dose 1",SUMIFS('Supply planning data'!$G:$G,'Supply planning data'!$D:$D,DataViz!$B58,'Supply planning data'!$C:$C,DataViz!AN$34),
IF(AN$35="Dose 2",SUMIFS('Supply planning data'!$H:$H,'Supply planning data'!$D:$D,DataViz!$B58,'Supply planning data'!$C:$C,DataViz!AN$34),
IF(AN$35="Wastage",SUMIFS('Supply planning data'!$K:$K,'Supply planning data'!$D:$D,DataViz!$B58,'Supply planning data'!$C:$C,DataViz!AN$34),
IF(AN$35="Additional",SUMIFS('Supply planning data'!$I:$I,'Supply planning data'!$D:$D,DataViz!$B58,'Supply planning data'!$C:$C,DataViz!AN$34),
0))))</f>
        <v>0</v>
      </c>
      <c r="AO58" s="22">
        <f>IF(AO$35="Dose 1",SUMIFS('Supply planning data'!$G:$G,'Supply planning data'!$D:$D,DataViz!$B58,'Supply planning data'!$C:$C,DataViz!AO$34),
IF(AO$35="Dose 2",SUMIFS('Supply planning data'!$H:$H,'Supply planning data'!$D:$D,DataViz!$B58,'Supply planning data'!$C:$C,DataViz!AO$34),
IF(AO$35="Wastage",SUMIFS('Supply planning data'!$K:$K,'Supply planning data'!$D:$D,DataViz!$B58,'Supply planning data'!$C:$C,DataViz!AO$34),
IF(AO$35="Additional",SUMIFS('Supply planning data'!$I:$I,'Supply planning data'!$D:$D,DataViz!$B58,'Supply planning data'!$C:$C,DataViz!AO$34),
0))))</f>
        <v>0</v>
      </c>
      <c r="AP58" s="22">
        <f>IF(AP$35="Dose 1",SUMIFS('Supply planning data'!$G:$G,'Supply planning data'!$D:$D,DataViz!$B58,'Supply planning data'!$C:$C,DataViz!AP$34),
IF(AP$35="Dose 2",SUMIFS('Supply planning data'!$H:$H,'Supply planning data'!$D:$D,DataViz!$B58,'Supply planning data'!$C:$C,DataViz!AP$34),
IF(AP$35="Wastage",SUMIFS('Supply planning data'!$K:$K,'Supply planning data'!$D:$D,DataViz!$B58,'Supply planning data'!$C:$C,DataViz!AP$34),
IF(AP$35="Additional",SUMIFS('Supply planning data'!$I:$I,'Supply planning data'!$D:$D,DataViz!$B58,'Supply planning data'!$C:$C,DataViz!AP$34),
0))))</f>
        <v>0</v>
      </c>
      <c r="AQ58" s="22">
        <f>IF(AQ$35="Dose 1",SUMIFS('Supply planning data'!$G:$G,'Supply planning data'!$D:$D,DataViz!$B58,'Supply planning data'!$C:$C,DataViz!AQ$34),
IF(AQ$35="Dose 2",SUMIFS('Supply planning data'!$H:$H,'Supply planning data'!$D:$D,DataViz!$B58,'Supply planning data'!$C:$C,DataViz!AQ$34),
IF(AQ$35="Wastage",SUMIFS('Supply planning data'!$K:$K,'Supply planning data'!$D:$D,DataViz!$B58,'Supply planning data'!$C:$C,DataViz!AQ$34),
IF(AQ$35="Additional",SUMIFS('Supply planning data'!$I:$I,'Supply planning data'!$D:$D,DataViz!$B58,'Supply planning data'!$C:$C,DataViz!AQ$34),
0))))</f>
        <v>0</v>
      </c>
      <c r="AR58" s="22">
        <f>IF(AR$35="Dose 1",SUMIFS('Supply planning data'!$G:$G,'Supply planning data'!$D:$D,DataViz!$B58,'Supply planning data'!$C:$C,DataViz!AR$34),
IF(AR$35="Dose 2",SUMIFS('Supply planning data'!$H:$H,'Supply planning data'!$D:$D,DataViz!$B58,'Supply planning data'!$C:$C,DataViz!AR$34),
IF(AR$35="Wastage",SUMIFS('Supply planning data'!$K:$K,'Supply planning data'!$D:$D,DataViz!$B58,'Supply planning data'!$C:$C,DataViz!AR$34),
IF(AR$35="Additional",SUMIFS('Supply planning data'!$I:$I,'Supply planning data'!$D:$D,DataViz!$B58,'Supply planning data'!$C:$C,DataViz!AR$34),
0))))</f>
        <v>0</v>
      </c>
      <c r="AS58" s="22">
        <f>IF(AS$35="Dose 1",SUMIFS('Supply planning data'!$G:$G,'Supply planning data'!$D:$D,DataViz!$B58,'Supply planning data'!$C:$C,DataViz!AS$34),
IF(AS$35="Dose 2",SUMIFS('Supply planning data'!$H:$H,'Supply planning data'!$D:$D,DataViz!$B58,'Supply planning data'!$C:$C,DataViz!AS$34),
IF(AS$35="Wastage",SUMIFS('Supply planning data'!$K:$K,'Supply planning data'!$D:$D,DataViz!$B58,'Supply planning data'!$C:$C,DataViz!AS$34),
IF(AS$35="Additional",SUMIFS('Supply planning data'!$I:$I,'Supply planning data'!$D:$D,DataViz!$B58,'Supply planning data'!$C:$C,DataViz!AS$34),
0))))</f>
        <v>0</v>
      </c>
      <c r="AT58" s="22">
        <f>IF(AT$35="Dose 1",SUMIFS('Supply planning data'!$G:$G,'Supply planning data'!$D:$D,DataViz!$B58,'Supply planning data'!$C:$C,DataViz!AT$34),
IF(AT$35="Dose 2",SUMIFS('Supply planning data'!$H:$H,'Supply planning data'!$D:$D,DataViz!$B58,'Supply planning data'!$C:$C,DataViz!AT$34),
IF(AT$35="Wastage",SUMIFS('Supply planning data'!$K:$K,'Supply planning data'!$D:$D,DataViz!$B58,'Supply planning data'!$C:$C,DataViz!AT$34),
IF(AT$35="Additional",SUMIFS('Supply planning data'!$I:$I,'Supply planning data'!$D:$D,DataViz!$B58,'Supply planning data'!$C:$C,DataViz!AT$34),
0))))</f>
        <v>0</v>
      </c>
      <c r="AU58" s="22">
        <f>IF(AU$35="Dose 1",SUMIFS('Supply planning data'!$G:$G,'Supply planning data'!$D:$D,DataViz!$B58,'Supply planning data'!$C:$C,DataViz!AU$34),
IF(AU$35="Dose 2",SUMIFS('Supply planning data'!$H:$H,'Supply planning data'!$D:$D,DataViz!$B58,'Supply planning data'!$C:$C,DataViz!AU$34),
IF(AU$35="Wastage",SUMIFS('Supply planning data'!$K:$K,'Supply planning data'!$D:$D,DataViz!$B58,'Supply planning data'!$C:$C,DataViz!AU$34),
IF(AU$35="Additional",SUMIFS('Supply planning data'!$I:$I,'Supply planning data'!$D:$D,DataViz!$B58,'Supply planning data'!$C:$C,DataViz!AU$34),
0))))</f>
        <v>0</v>
      </c>
      <c r="AV58" s="22">
        <f>IF(AV$35="Dose 1",SUMIFS('Supply planning data'!$G:$G,'Supply planning data'!$D:$D,DataViz!$B58,'Supply planning data'!$C:$C,DataViz!AV$34),
IF(AV$35="Dose 2",SUMIFS('Supply planning data'!$H:$H,'Supply planning data'!$D:$D,DataViz!$B58,'Supply planning data'!$C:$C,DataViz!AV$34),
IF(AV$35="Wastage",SUMIFS('Supply planning data'!$K:$K,'Supply planning data'!$D:$D,DataViz!$B58,'Supply planning data'!$C:$C,DataViz!AV$34),
IF(AV$35="Additional",SUMIFS('Supply planning data'!$I:$I,'Supply planning data'!$D:$D,DataViz!$B58,'Supply planning data'!$C:$C,DataViz!AV$34),
0))))</f>
        <v>0</v>
      </c>
      <c r="AW58" s="22">
        <f>IF(AW$35="Dose 1",SUMIFS('Supply planning data'!$G:$G,'Supply planning data'!$D:$D,DataViz!$B58,'Supply planning data'!$C:$C,DataViz!AW$34),
IF(AW$35="Dose 2",SUMIFS('Supply planning data'!$H:$H,'Supply planning data'!$D:$D,DataViz!$B58,'Supply planning data'!$C:$C,DataViz!AW$34),
IF(AW$35="Wastage",SUMIFS('Supply planning data'!$K:$K,'Supply planning data'!$D:$D,DataViz!$B58,'Supply planning data'!$C:$C,DataViz!AW$34),
IF(AW$35="Additional",SUMIFS('Supply planning data'!$I:$I,'Supply planning data'!$D:$D,DataViz!$B58,'Supply planning data'!$C:$C,DataViz!AW$34),
0))))</f>
        <v>0</v>
      </c>
      <c r="AX58" s="22">
        <f>IF(AX$35="Dose 1",SUMIFS('Supply planning data'!$G:$G,'Supply planning data'!$D:$D,DataViz!$B58,'Supply planning data'!$C:$C,DataViz!AX$34),
IF(AX$35="Dose 2",SUMIFS('Supply planning data'!$H:$H,'Supply planning data'!$D:$D,DataViz!$B58,'Supply planning data'!$C:$C,DataViz!AX$34),
IF(AX$35="Wastage",SUMIFS('Supply planning data'!$K:$K,'Supply planning data'!$D:$D,DataViz!$B58,'Supply planning data'!$C:$C,DataViz!AX$34),
IF(AX$35="Additional",SUMIFS('Supply planning data'!$I:$I,'Supply planning data'!$D:$D,DataViz!$B58,'Supply planning data'!$C:$C,DataViz!AX$34),
0))))</f>
        <v>0</v>
      </c>
      <c r="AY58" s="22">
        <f>IF(AY$35="Dose 1",SUMIFS('Supply planning data'!$G:$G,'Supply planning data'!$D:$D,DataViz!$B58,'Supply planning data'!$C:$C,DataViz!AY$34),
IF(AY$35="Dose 2",SUMIFS('Supply planning data'!$H:$H,'Supply planning data'!$D:$D,DataViz!$B58,'Supply planning data'!$C:$C,DataViz!AY$34),
IF(AY$35="Wastage",SUMIFS('Supply planning data'!$K:$K,'Supply planning data'!$D:$D,DataViz!$B58,'Supply planning data'!$C:$C,DataViz!AY$34),
IF(AY$35="Additional",SUMIFS('Supply planning data'!$I:$I,'Supply planning data'!$D:$D,DataViz!$B58,'Supply planning data'!$C:$C,DataViz!AY$34),
0))))</f>
        <v>0</v>
      </c>
      <c r="AZ58" s="22">
        <f>IF(AZ$35="Dose 1",SUMIFS('Supply planning data'!$G:$G,'Supply planning data'!$D:$D,DataViz!$B58,'Supply planning data'!$C:$C,DataViz!AZ$34),
IF(AZ$35="Dose 2",SUMIFS('Supply planning data'!$H:$H,'Supply planning data'!$D:$D,DataViz!$B58,'Supply planning data'!$C:$C,DataViz!AZ$34),
IF(AZ$35="Wastage",SUMIFS('Supply planning data'!$K:$K,'Supply planning data'!$D:$D,DataViz!$B58,'Supply planning data'!$C:$C,DataViz!AZ$34),
IF(AZ$35="Additional",SUMIFS('Supply planning data'!$I:$I,'Supply planning data'!$D:$D,DataViz!$B58,'Supply planning data'!$C:$C,DataViz!AZ$34),
0))))</f>
        <v>0</v>
      </c>
      <c r="BA58" s="22">
        <f>IF(BA$35="Dose 1",SUMIFS('Supply planning data'!$G:$G,'Supply planning data'!$D:$D,DataViz!$B58,'Supply planning data'!$C:$C,DataViz!BA$34),
IF(BA$35="Dose 2",SUMIFS('Supply planning data'!$H:$H,'Supply planning data'!$D:$D,DataViz!$B58,'Supply planning data'!$C:$C,DataViz!BA$34),
IF(BA$35="Wastage",SUMIFS('Supply planning data'!$K:$K,'Supply planning data'!$D:$D,DataViz!$B58,'Supply planning data'!$C:$C,DataViz!BA$34),
IF(BA$35="Additional",SUMIFS('Supply planning data'!$I:$I,'Supply planning data'!$D:$D,DataViz!$B58,'Supply planning data'!$C:$C,DataViz!BA$34),
0))))</f>
        <v>0</v>
      </c>
      <c r="BB58" s="22">
        <f>IF(BB$35="Dose 1",SUMIFS('Supply planning data'!$G:$G,'Supply planning data'!$D:$D,DataViz!$B58,'Supply planning data'!$C:$C,DataViz!BB$34),
IF(BB$35="Dose 2",SUMIFS('Supply planning data'!$H:$H,'Supply planning data'!$D:$D,DataViz!$B58,'Supply planning data'!$C:$C,DataViz!BB$34),
IF(BB$35="Wastage",SUMIFS('Supply planning data'!$K:$K,'Supply planning data'!$D:$D,DataViz!$B58,'Supply planning data'!$C:$C,DataViz!BB$34),
IF(BB$35="Additional",SUMIFS('Supply planning data'!$I:$I,'Supply planning data'!$D:$D,DataViz!$B58,'Supply planning data'!$C:$C,DataViz!BB$34),
0))))</f>
        <v>0</v>
      </c>
      <c r="BC58" s="22">
        <f>IF(BC$35="Dose 1",SUMIFS('Supply planning data'!$G:$G,'Supply planning data'!$D:$D,DataViz!$B58,'Supply planning data'!$C:$C,DataViz!BC$34),
IF(BC$35="Dose 2",SUMIFS('Supply planning data'!$H:$H,'Supply planning data'!$D:$D,DataViz!$B58,'Supply planning data'!$C:$C,DataViz!BC$34),
IF(BC$35="Wastage",SUMIFS('Supply planning data'!$K:$K,'Supply planning data'!$D:$D,DataViz!$B58,'Supply planning data'!$C:$C,DataViz!BC$34),
IF(BC$35="Additional",SUMIFS('Supply planning data'!$I:$I,'Supply planning data'!$D:$D,DataViz!$B58,'Supply planning data'!$C:$C,DataViz!BC$34),
0))))</f>
        <v>0</v>
      </c>
      <c r="BD58" s="22">
        <f>IF(BD$35="Dose 1",SUMIFS('Supply planning data'!$G:$G,'Supply planning data'!$D:$D,DataViz!$B58,'Supply planning data'!$C:$C,DataViz!BD$34),
IF(BD$35="Dose 2",SUMIFS('Supply planning data'!$H:$H,'Supply planning data'!$D:$D,DataViz!$B58,'Supply planning data'!$C:$C,DataViz!BD$34),
IF(BD$35="Wastage",SUMIFS('Supply planning data'!$K:$K,'Supply planning data'!$D:$D,DataViz!$B58,'Supply planning data'!$C:$C,DataViz!BD$34),
IF(BD$35="Additional",SUMIFS('Supply planning data'!$I:$I,'Supply planning data'!$D:$D,DataViz!$B58,'Supply planning data'!$C:$C,DataViz!BD$34),
0))))</f>
        <v>0</v>
      </c>
      <c r="BE58" s="22">
        <f>IF(BE$35="Dose 1",SUMIFS('Supply planning data'!$G:$G,'Supply planning data'!$D:$D,DataViz!$B58,'Supply planning data'!$C:$C,DataViz!BE$34),
IF(BE$35="Dose 2",SUMIFS('Supply planning data'!$H:$H,'Supply planning data'!$D:$D,DataViz!$B58,'Supply planning data'!$C:$C,DataViz!BE$34),
IF(BE$35="Wastage",SUMIFS('Supply planning data'!$K:$K,'Supply planning data'!$D:$D,DataViz!$B58,'Supply planning data'!$C:$C,DataViz!BE$34),
IF(BE$35="Additional",SUMIFS('Supply planning data'!$I:$I,'Supply planning data'!$D:$D,DataViz!$B58,'Supply planning data'!$C:$C,DataViz!BE$34),
0))))</f>
        <v>0</v>
      </c>
      <c r="BF58" s="22">
        <f>IF(BF$35="Dose 1",SUMIFS('Supply planning data'!$G:$G,'Supply planning data'!$D:$D,DataViz!$B58,'Supply planning data'!$C:$C,DataViz!BF$34),
IF(BF$35="Dose 2",SUMIFS('Supply planning data'!$H:$H,'Supply planning data'!$D:$D,DataViz!$B58,'Supply planning data'!$C:$C,DataViz!BF$34),
IF(BF$35="Wastage",SUMIFS('Supply planning data'!$K:$K,'Supply planning data'!$D:$D,DataViz!$B58,'Supply planning data'!$C:$C,DataViz!BF$34),
IF(BF$35="Additional",SUMIFS('Supply planning data'!$I:$I,'Supply planning data'!$D:$D,DataViz!$B58,'Supply planning data'!$C:$C,DataViz!BF$34),
0))))</f>
        <v>0</v>
      </c>
      <c r="BG58" s="22">
        <f>IF(BG$35="Dose 1",SUMIFS('Supply planning data'!$G:$G,'Supply planning data'!$D:$D,DataViz!$B58,'Supply planning data'!$C:$C,DataViz!BG$34),
IF(BG$35="Dose 2",SUMIFS('Supply planning data'!$H:$H,'Supply planning data'!$D:$D,DataViz!$B58,'Supply planning data'!$C:$C,DataViz!BG$34),
IF(BG$35="Wastage",SUMIFS('Supply planning data'!$K:$K,'Supply planning data'!$D:$D,DataViz!$B58,'Supply planning data'!$C:$C,DataViz!BG$34),
IF(BG$35="Additional",SUMIFS('Supply planning data'!$I:$I,'Supply planning data'!$D:$D,DataViz!$B58,'Supply planning data'!$C:$C,DataViz!BG$34),
0))))</f>
        <v>0</v>
      </c>
      <c r="BH58" s="22">
        <f>IF(BH$35="Dose 1",SUMIFS('Supply planning data'!$G:$G,'Supply planning data'!$D:$D,DataViz!$B58,'Supply planning data'!$C:$C,DataViz!BH$34),
IF(BH$35="Dose 2",SUMIFS('Supply planning data'!$H:$H,'Supply planning data'!$D:$D,DataViz!$B58,'Supply planning data'!$C:$C,DataViz!BH$34),
IF(BH$35="Wastage",SUMIFS('Supply planning data'!$K:$K,'Supply planning data'!$D:$D,DataViz!$B58,'Supply planning data'!$C:$C,DataViz!BH$34),
IF(BH$35="Additional",SUMIFS('Supply planning data'!$I:$I,'Supply planning data'!$D:$D,DataViz!$B58,'Supply planning data'!$C:$C,DataViz!BH$34),
0))))</f>
        <v>0</v>
      </c>
      <c r="BI58" s="22">
        <f>IF(BI$35="Dose 1",SUMIFS('Supply planning data'!$G:$G,'Supply planning data'!$D:$D,DataViz!$B58,'Supply planning data'!$C:$C,DataViz!BI$34),
IF(BI$35="Dose 2",SUMIFS('Supply planning data'!$H:$H,'Supply planning data'!$D:$D,DataViz!$B58,'Supply planning data'!$C:$C,DataViz!BI$34),
IF(BI$35="Wastage",SUMIFS('Supply planning data'!$K:$K,'Supply planning data'!$D:$D,DataViz!$B58,'Supply planning data'!$C:$C,DataViz!BI$34),
IF(BI$35="Additional",SUMIFS('Supply planning data'!$I:$I,'Supply planning data'!$D:$D,DataViz!$B58,'Supply planning data'!$C:$C,DataViz!BI$34),
0))))</f>
        <v>0</v>
      </c>
      <c r="BJ58" s="22">
        <f>IF(BJ$35="Dose 1",SUMIFS('Supply planning data'!$G:$G,'Supply planning data'!$D:$D,DataViz!$B58,'Supply planning data'!$C:$C,DataViz!BJ$34),
IF(BJ$35="Dose 2",SUMIFS('Supply planning data'!$H:$H,'Supply planning data'!$D:$D,DataViz!$B58,'Supply planning data'!$C:$C,DataViz!BJ$34),
IF(BJ$35="Wastage",SUMIFS('Supply planning data'!$K:$K,'Supply planning data'!$D:$D,DataViz!$B58,'Supply planning data'!$C:$C,DataViz!BJ$34),
IF(BJ$35="Additional",SUMIFS('Supply planning data'!$I:$I,'Supply planning data'!$D:$D,DataViz!$B58,'Supply planning data'!$C:$C,DataViz!BJ$34),
0))))</f>
        <v>0</v>
      </c>
      <c r="BK58" s="22">
        <f>IF(BK$35="Dose 1",SUMIFS('Supply planning data'!$G:$G,'Supply planning data'!$D:$D,DataViz!$B58,'Supply planning data'!$C:$C,DataViz!BK$34),
IF(BK$35="Dose 2",SUMIFS('Supply planning data'!$H:$H,'Supply planning data'!$D:$D,DataViz!$B58,'Supply planning data'!$C:$C,DataViz!BK$34),
IF(BK$35="Wastage",SUMIFS('Supply planning data'!$K:$K,'Supply planning data'!$D:$D,DataViz!$B58,'Supply planning data'!$C:$C,DataViz!BK$34),
IF(BK$35="Additional",SUMIFS('Supply planning data'!$I:$I,'Supply planning data'!$D:$D,DataViz!$B58,'Supply planning data'!$C:$C,DataViz!BK$34),
0))))</f>
        <v>0</v>
      </c>
      <c r="BL58" s="22">
        <f>IF(BL$35="Dose 1",SUMIFS('Supply planning data'!$G:$G,'Supply planning data'!$D:$D,DataViz!$B58,'Supply planning data'!$C:$C,DataViz!BL$34),
IF(BL$35="Dose 2",SUMIFS('Supply planning data'!$H:$H,'Supply planning data'!$D:$D,DataViz!$B58,'Supply planning data'!$C:$C,DataViz!BL$34),
IF(BL$35="Wastage",SUMIFS('Supply planning data'!$K:$K,'Supply planning data'!$D:$D,DataViz!$B58,'Supply planning data'!$C:$C,DataViz!BL$34),
IF(BL$35="Additional",SUMIFS('Supply planning data'!$I:$I,'Supply planning data'!$D:$D,DataViz!$B58,'Supply planning data'!$C:$C,DataViz!BL$34),
0))))</f>
        <v>0</v>
      </c>
    </row>
    <row r="59" spans="1:64" x14ac:dyDescent="0.25">
      <c r="A59" s="20">
        <v>21</v>
      </c>
      <c r="B59" s="21">
        <f t="shared" si="15"/>
        <v>44896</v>
      </c>
      <c r="C59" s="22">
        <f>IF(VLOOKUP(Dashboard!$M$6,Start!$B$10:$E$12,4,FALSE)&gt;0,VLOOKUP(Dashboard!$M$6,Start!$B$10:$E$12,4, FALSE),VLOOKUP(Dashboard!$M$6,Start!$B$10:$E$12,3, FALSE))</f>
        <v>60000000</v>
      </c>
      <c r="D59" s="22">
        <f>SUMIFS('Supply planning data'!M:M,'Supply planning data'!D:D,"&lt;="&amp;DataViz!B59)</f>
        <v>2720887</v>
      </c>
      <c r="E59" s="22">
        <f>IF(E$35="Dose 1",SUMIFS('Supply planning data'!$G:$G,'Supply planning data'!$D:$D,DataViz!$B59,'Supply planning data'!$C:$C,DataViz!E$34),
IF(E$35="Dose 2",SUMIFS('Supply planning data'!$H:$H,'Supply planning data'!$D:$D,DataViz!$B59,'Supply planning data'!$C:$C,DataViz!E$34),
IF(E$35="Wastage",SUMIFS('Supply planning data'!$K:$K,'Supply planning data'!$D:$D,DataViz!$B59,'Supply planning data'!$C:$C,DataViz!E$34),
IF(E$35="Additional",SUMIFS('Supply planning data'!$I:$I,'Supply planning data'!$D:$D,DataViz!$B59,'Supply planning data'!$C:$C,DataViz!E$34),
0))))</f>
        <v>0</v>
      </c>
      <c r="F59" s="22">
        <f>IF(F$35="Dose 1",SUMIFS('Supply planning data'!$G:$G,'Supply planning data'!$D:$D,DataViz!$B59,'Supply planning data'!$C:$C,DataViz!F$34),
IF(F$35="Dose 2",SUMIFS('Supply planning data'!$H:$H,'Supply planning data'!$D:$D,DataViz!$B59,'Supply planning data'!$C:$C,DataViz!F$34),
IF(F$35="Wastage",SUMIFS('Supply planning data'!$K:$K,'Supply planning data'!$D:$D,DataViz!$B59,'Supply planning data'!$C:$C,DataViz!F$34),
IF(F$35="Additional",SUMIFS('Supply planning data'!$I:$I,'Supply planning data'!$D:$D,DataViz!$B59,'Supply planning data'!$C:$C,DataViz!F$34),
0))))</f>
        <v>0</v>
      </c>
      <c r="G59" s="22">
        <f>IF(G$35="Dose 1",SUMIFS('Supply planning data'!$G:$G,'Supply planning data'!$D:$D,DataViz!$B59,'Supply planning data'!$C:$C,DataViz!G$34),
IF(G$35="Dose 2",SUMIFS('Supply planning data'!$H:$H,'Supply planning data'!$D:$D,DataViz!$B59,'Supply planning data'!$C:$C,DataViz!G$34),
IF(G$35="Wastage",SUMIFS('Supply planning data'!$K:$K,'Supply planning data'!$D:$D,DataViz!$B59,'Supply planning data'!$C:$C,DataViz!G$34),
IF(G$35="Additional",SUMIFS('Supply planning data'!$I:$I,'Supply planning data'!$D:$D,DataViz!$B59,'Supply planning data'!$C:$C,DataViz!G$34),
0))))</f>
        <v>0</v>
      </c>
      <c r="H59" s="22">
        <f>IF(H$35="Dose 1",SUMIFS('Supply planning data'!$G:$G,'Supply planning data'!$D:$D,DataViz!$B59,'Supply planning data'!$C:$C,DataViz!H$34),
IF(H$35="Dose 2",SUMIFS('Supply planning data'!$H:$H,'Supply planning data'!$D:$D,DataViz!$B59,'Supply planning data'!$C:$C,DataViz!H$34),
IF(H$35="Wastage",SUMIFS('Supply planning data'!$K:$K,'Supply planning data'!$D:$D,DataViz!$B59,'Supply planning data'!$C:$C,DataViz!H$34),
IF(H$35="Additional",SUMIFS('Supply planning data'!$I:$I,'Supply planning data'!$D:$D,DataViz!$B59,'Supply planning data'!$C:$C,DataViz!H$34),
0))))</f>
        <v>0</v>
      </c>
      <c r="I59" s="22">
        <f>IF(I$35="Dose 1",SUMIFS('Supply planning data'!$G:$G,'Supply planning data'!$D:$D,DataViz!$B59,'Supply planning data'!$C:$C,DataViz!I$34),
IF(I$35="Dose 2",SUMIFS('Supply planning data'!$H:$H,'Supply planning data'!$D:$D,DataViz!$B59,'Supply planning data'!$C:$C,DataViz!I$34),
IF(I$35="Wastage",SUMIFS('Supply planning data'!$K:$K,'Supply planning data'!$D:$D,DataViz!$B59,'Supply planning data'!$C:$C,DataViz!I$34),
IF(I$35="Additional",SUMIFS('Supply planning data'!$I:$I,'Supply planning data'!$D:$D,DataViz!$B59,'Supply planning data'!$C:$C,DataViz!I$34),
0))))</f>
        <v>0</v>
      </c>
      <c r="J59" s="22">
        <f>IF(J$35="Dose 1",SUMIFS('Supply planning data'!$G:$G,'Supply planning data'!$D:$D,DataViz!$B59,'Supply planning data'!$C:$C,DataViz!J$34),
IF(J$35="Dose 2",SUMIFS('Supply planning data'!$H:$H,'Supply planning data'!$D:$D,DataViz!$B59,'Supply planning data'!$C:$C,DataViz!J$34),
IF(J$35="Wastage",SUMIFS('Supply planning data'!$K:$K,'Supply planning data'!$D:$D,DataViz!$B59,'Supply planning data'!$C:$C,DataViz!J$34),
IF(J$35="Additional",SUMIFS('Supply planning data'!$I:$I,'Supply planning data'!$D:$D,DataViz!$B59,'Supply planning data'!$C:$C,DataViz!J$34),
0))))</f>
        <v>0</v>
      </c>
      <c r="K59" s="22">
        <f>IF(K$35="Dose 1",SUMIFS('Supply planning data'!$G:$G,'Supply planning data'!$D:$D,DataViz!$B59,'Supply planning data'!$C:$C,DataViz!K$34),
IF(K$35="Dose 2",SUMIFS('Supply planning data'!$H:$H,'Supply planning data'!$D:$D,DataViz!$B59,'Supply planning data'!$C:$C,DataViz!K$34),
IF(K$35="Wastage",SUMIFS('Supply planning data'!$K:$K,'Supply planning data'!$D:$D,DataViz!$B59,'Supply planning data'!$C:$C,DataViz!K$34),
IF(K$35="Additional",SUMIFS('Supply planning data'!$I:$I,'Supply planning data'!$D:$D,DataViz!$B59,'Supply planning data'!$C:$C,DataViz!K$34),
0))))</f>
        <v>0</v>
      </c>
      <c r="L59" s="22">
        <f>IF(L$35="Dose 1",SUMIFS('Supply planning data'!$G:$G,'Supply planning data'!$D:$D,DataViz!$B59,'Supply planning data'!$C:$C,DataViz!L$34),
IF(L$35="Dose 2",SUMIFS('Supply planning data'!$H:$H,'Supply planning data'!$D:$D,DataViz!$B59,'Supply planning data'!$C:$C,DataViz!L$34),
IF(L$35="Wastage",SUMIFS('Supply planning data'!$K:$K,'Supply planning data'!$D:$D,DataViz!$B59,'Supply planning data'!$C:$C,DataViz!L$34),
IF(L$35="Additional",SUMIFS('Supply planning data'!$I:$I,'Supply planning data'!$D:$D,DataViz!$B59,'Supply planning data'!$C:$C,DataViz!L$34),
0))))</f>
        <v>0</v>
      </c>
      <c r="M59" s="22">
        <f>IF(M$35="Dose 1",SUMIFS('Supply planning data'!$G:$G,'Supply planning data'!$D:$D,DataViz!$B59,'Supply planning data'!$C:$C,DataViz!M$34),
IF(M$35="Dose 2",SUMIFS('Supply planning data'!$H:$H,'Supply planning data'!$D:$D,DataViz!$B59,'Supply planning data'!$C:$C,DataViz!M$34),
IF(M$35="Wastage",SUMIFS('Supply planning data'!$K:$K,'Supply planning data'!$D:$D,DataViz!$B59,'Supply planning data'!$C:$C,DataViz!M$34),
IF(M$35="Additional",SUMIFS('Supply planning data'!$I:$I,'Supply planning data'!$D:$D,DataViz!$B59,'Supply planning data'!$C:$C,DataViz!M$34),
0))))</f>
        <v>0</v>
      </c>
      <c r="N59" s="22">
        <f>IF(N$35="Dose 1",SUMIFS('Supply planning data'!$G:$G,'Supply planning data'!$D:$D,DataViz!$B59,'Supply planning data'!$C:$C,DataViz!N$34),
IF(N$35="Dose 2",SUMIFS('Supply planning data'!$H:$H,'Supply planning data'!$D:$D,DataViz!$B59,'Supply planning data'!$C:$C,DataViz!N$34),
IF(N$35="Wastage",SUMIFS('Supply planning data'!$K:$K,'Supply planning data'!$D:$D,DataViz!$B59,'Supply planning data'!$C:$C,DataViz!N$34),
IF(N$35="Additional",SUMIFS('Supply planning data'!$I:$I,'Supply planning data'!$D:$D,DataViz!$B59,'Supply planning data'!$C:$C,DataViz!N$34),
0))))</f>
        <v>0</v>
      </c>
      <c r="O59" s="22">
        <f>IF(O$35="Dose 1",SUMIFS('Supply planning data'!$G:$G,'Supply planning data'!$D:$D,DataViz!$B59,'Supply planning data'!$C:$C,DataViz!O$34),
IF(O$35="Dose 2",SUMIFS('Supply planning data'!$H:$H,'Supply planning data'!$D:$D,DataViz!$B59,'Supply planning data'!$C:$C,DataViz!O$34),
IF(O$35="Wastage",SUMIFS('Supply planning data'!$K:$K,'Supply planning data'!$D:$D,DataViz!$B59,'Supply planning data'!$C:$C,DataViz!O$34),
IF(O$35="Additional",SUMIFS('Supply planning data'!$I:$I,'Supply planning data'!$D:$D,DataViz!$B59,'Supply planning data'!$C:$C,DataViz!O$34),
0))))</f>
        <v>0</v>
      </c>
      <c r="P59" s="22">
        <f>IF(P$35="Dose 1",SUMIFS('Supply planning data'!$G:$G,'Supply planning data'!$D:$D,DataViz!$B59,'Supply planning data'!$C:$C,DataViz!P$34),
IF(P$35="Dose 2",SUMIFS('Supply planning data'!$H:$H,'Supply planning data'!$D:$D,DataViz!$B59,'Supply planning data'!$C:$C,DataViz!P$34),
IF(P$35="Wastage",SUMIFS('Supply planning data'!$K:$K,'Supply planning data'!$D:$D,DataViz!$B59,'Supply planning data'!$C:$C,DataViz!P$34),
IF(P$35="Additional",SUMIFS('Supply planning data'!$I:$I,'Supply planning data'!$D:$D,DataViz!$B59,'Supply planning data'!$C:$C,DataViz!P$34),
0))))</f>
        <v>0</v>
      </c>
      <c r="Q59" s="22">
        <f>IF(Q$35="Dose 1",SUMIFS('Supply planning data'!$G:$G,'Supply planning data'!$D:$D,DataViz!$B59,'Supply planning data'!$C:$C,DataViz!Q$34),
IF(Q$35="Dose 2",SUMIFS('Supply planning data'!$H:$H,'Supply planning data'!$D:$D,DataViz!$B59,'Supply planning data'!$C:$C,DataViz!Q$34),
IF(Q$35="Wastage",SUMIFS('Supply planning data'!$K:$K,'Supply planning data'!$D:$D,DataViz!$B59,'Supply planning data'!$C:$C,DataViz!Q$34),
IF(Q$35="Additional",SUMIFS('Supply planning data'!$I:$I,'Supply planning data'!$D:$D,DataViz!$B59,'Supply planning data'!$C:$C,DataViz!Q$34),
0))))</f>
        <v>0</v>
      </c>
      <c r="R59" s="22">
        <f>IF(R$35="Dose 1",SUMIFS('Supply planning data'!$G:$G,'Supply planning data'!$D:$D,DataViz!$B59,'Supply planning data'!$C:$C,DataViz!R$34),
IF(R$35="Dose 2",SUMIFS('Supply planning data'!$H:$H,'Supply planning data'!$D:$D,DataViz!$B59,'Supply planning data'!$C:$C,DataViz!R$34),
IF(R$35="Wastage",SUMIFS('Supply planning data'!$K:$K,'Supply planning data'!$D:$D,DataViz!$B59,'Supply planning data'!$C:$C,DataViz!R$34),
IF(R$35="Additional",SUMIFS('Supply planning data'!$I:$I,'Supply planning data'!$D:$D,DataViz!$B59,'Supply planning data'!$C:$C,DataViz!R$34),
0))))</f>
        <v>0</v>
      </c>
      <c r="S59" s="22">
        <f>IF(S$35="Dose 1",SUMIFS('Supply planning data'!$G:$G,'Supply planning data'!$D:$D,DataViz!$B59,'Supply planning data'!$C:$C,DataViz!S$34),
IF(S$35="Dose 2",SUMIFS('Supply planning data'!$H:$H,'Supply planning data'!$D:$D,DataViz!$B59,'Supply planning data'!$C:$C,DataViz!S$34),
IF(S$35="Wastage",SUMIFS('Supply planning data'!$K:$K,'Supply planning data'!$D:$D,DataViz!$B59,'Supply planning data'!$C:$C,DataViz!S$34),
IF(S$35="Additional",SUMIFS('Supply planning data'!$I:$I,'Supply planning data'!$D:$D,DataViz!$B59,'Supply planning data'!$C:$C,DataViz!S$34),
0))))</f>
        <v>0</v>
      </c>
      <c r="T59" s="22">
        <f>IF(T$35="Dose 1",SUMIFS('Supply planning data'!$G:$G,'Supply planning data'!$D:$D,DataViz!$B59,'Supply planning data'!$C:$C,DataViz!T$34),
IF(T$35="Dose 2",SUMIFS('Supply planning data'!$H:$H,'Supply planning data'!$D:$D,DataViz!$B59,'Supply planning data'!$C:$C,DataViz!T$34),
IF(T$35="Wastage",SUMIFS('Supply planning data'!$K:$K,'Supply planning data'!$D:$D,DataViz!$B59,'Supply planning data'!$C:$C,DataViz!T$34),
IF(T$35="Additional",SUMIFS('Supply planning data'!$I:$I,'Supply planning data'!$D:$D,DataViz!$B59,'Supply planning data'!$C:$C,DataViz!T$34),
0))))</f>
        <v>0</v>
      </c>
      <c r="U59" s="22">
        <f>IF(U$35="Dose 1",SUMIFS('Supply planning data'!$G:$G,'Supply planning data'!$D:$D,DataViz!$B59,'Supply planning data'!$C:$C,DataViz!U$34),
IF(U$35="Dose 2",SUMIFS('Supply planning data'!$H:$H,'Supply planning data'!$D:$D,DataViz!$B59,'Supply planning data'!$C:$C,DataViz!U$34),
IF(U$35="Wastage",SUMIFS('Supply planning data'!$K:$K,'Supply planning data'!$D:$D,DataViz!$B59,'Supply planning data'!$C:$C,DataViz!U$34),
IF(U$35="Additional",SUMIFS('Supply planning data'!$I:$I,'Supply planning data'!$D:$D,DataViz!$B59,'Supply planning data'!$C:$C,DataViz!U$34),
0))))</f>
        <v>0</v>
      </c>
      <c r="V59" s="22">
        <f>IF(V$35="Dose 1",SUMIFS('Supply planning data'!$G:$G,'Supply planning data'!$D:$D,DataViz!$B59,'Supply planning data'!$C:$C,DataViz!V$34),
IF(V$35="Dose 2",SUMIFS('Supply planning data'!$H:$H,'Supply planning data'!$D:$D,DataViz!$B59,'Supply planning data'!$C:$C,DataViz!V$34),
IF(V$35="Wastage",SUMIFS('Supply planning data'!$K:$K,'Supply planning data'!$D:$D,DataViz!$B59,'Supply planning data'!$C:$C,DataViz!V$34),
IF(V$35="Additional",SUMIFS('Supply planning data'!$I:$I,'Supply planning data'!$D:$D,DataViz!$B59,'Supply planning data'!$C:$C,DataViz!V$34),
0))))</f>
        <v>0</v>
      </c>
      <c r="W59" s="22">
        <f>IF(W$35="Dose 1",SUMIFS('Supply planning data'!$G:$G,'Supply planning data'!$D:$D,DataViz!$B59,'Supply planning data'!$C:$C,DataViz!W$34),
IF(W$35="Dose 2",SUMIFS('Supply planning data'!$H:$H,'Supply planning data'!$D:$D,DataViz!$B59,'Supply planning data'!$C:$C,DataViz!W$34),
IF(W$35="Wastage",SUMIFS('Supply planning data'!$K:$K,'Supply planning data'!$D:$D,DataViz!$B59,'Supply planning data'!$C:$C,DataViz!W$34),
IF(W$35="Additional",SUMIFS('Supply planning data'!$I:$I,'Supply planning data'!$D:$D,DataViz!$B59,'Supply planning data'!$C:$C,DataViz!W$34),
0))))</f>
        <v>0</v>
      </c>
      <c r="X59" s="22">
        <f>IF(X$35="Dose 1",SUMIFS('Supply planning data'!$G:$G,'Supply planning data'!$D:$D,DataViz!$B59,'Supply planning data'!$C:$C,DataViz!X$34),
IF(X$35="Dose 2",SUMIFS('Supply planning data'!$H:$H,'Supply planning data'!$D:$D,DataViz!$B59,'Supply planning data'!$C:$C,DataViz!X$34),
IF(X$35="Wastage",SUMIFS('Supply planning data'!$K:$K,'Supply planning data'!$D:$D,DataViz!$B59,'Supply planning data'!$C:$C,DataViz!X$34),
IF(X$35="Additional",SUMIFS('Supply planning data'!$I:$I,'Supply planning data'!$D:$D,DataViz!$B59,'Supply planning data'!$C:$C,DataViz!X$34),
0))))</f>
        <v>0</v>
      </c>
      <c r="Y59" s="22">
        <f>IF(Y$35="Dose 1",SUMIFS('Supply planning data'!$G:$G,'Supply planning data'!$D:$D,DataViz!$B59,'Supply planning data'!$C:$C,DataViz!Y$34),
IF(Y$35="Dose 2",SUMIFS('Supply planning data'!$H:$H,'Supply planning data'!$D:$D,DataViz!$B59,'Supply planning data'!$C:$C,DataViz!Y$34),
IF(Y$35="Wastage",SUMIFS('Supply planning data'!$K:$K,'Supply planning data'!$D:$D,DataViz!$B59,'Supply planning data'!$C:$C,DataViz!Y$34),
IF(Y$35="Additional",SUMIFS('Supply planning data'!$I:$I,'Supply planning data'!$D:$D,DataViz!$B59,'Supply planning data'!$C:$C,DataViz!Y$34),
0))))</f>
        <v>0</v>
      </c>
      <c r="Z59" s="22">
        <f>IF(Z$35="Dose 1",SUMIFS('Supply planning data'!$G:$G,'Supply planning data'!$D:$D,DataViz!$B59,'Supply planning data'!$C:$C,DataViz!Z$34),
IF(Z$35="Dose 2",SUMIFS('Supply planning data'!$H:$H,'Supply planning data'!$D:$D,DataViz!$B59,'Supply planning data'!$C:$C,DataViz!Z$34),
IF(Z$35="Wastage",SUMIFS('Supply planning data'!$K:$K,'Supply planning data'!$D:$D,DataViz!$B59,'Supply planning data'!$C:$C,DataViz!Z$34),
IF(Z$35="Additional",SUMIFS('Supply planning data'!$I:$I,'Supply planning data'!$D:$D,DataViz!$B59,'Supply planning data'!$C:$C,DataViz!Z$34),
0))))</f>
        <v>0</v>
      </c>
      <c r="AA59" s="22">
        <f>IF(AA$35="Dose 1",SUMIFS('Supply planning data'!$G:$G,'Supply planning data'!$D:$D,DataViz!$B59,'Supply planning data'!$C:$C,DataViz!AA$34),
IF(AA$35="Dose 2",SUMIFS('Supply planning data'!$H:$H,'Supply planning data'!$D:$D,DataViz!$B59,'Supply planning data'!$C:$C,DataViz!AA$34),
IF(AA$35="Wastage",SUMIFS('Supply planning data'!$K:$K,'Supply planning data'!$D:$D,DataViz!$B59,'Supply planning data'!$C:$C,DataViz!AA$34),
IF(AA$35="Additional",SUMIFS('Supply planning data'!$I:$I,'Supply planning data'!$D:$D,DataViz!$B59,'Supply planning data'!$C:$C,DataViz!AA$34),
0))))</f>
        <v>0</v>
      </c>
      <c r="AB59" s="22">
        <f>IF(AB$35="Dose 1",SUMIFS('Supply planning data'!$G:$G,'Supply planning data'!$D:$D,DataViz!$B59,'Supply planning data'!$C:$C,DataViz!AB$34),
IF(AB$35="Dose 2",SUMIFS('Supply planning data'!$H:$H,'Supply planning data'!$D:$D,DataViz!$B59,'Supply planning data'!$C:$C,DataViz!AB$34),
IF(AB$35="Wastage",SUMIFS('Supply planning data'!$K:$K,'Supply planning data'!$D:$D,DataViz!$B59,'Supply planning data'!$C:$C,DataViz!AB$34),
IF(AB$35="Additional",SUMIFS('Supply planning data'!$I:$I,'Supply planning data'!$D:$D,DataViz!$B59,'Supply planning data'!$C:$C,DataViz!AB$34),
0))))</f>
        <v>0</v>
      </c>
      <c r="AC59" s="22">
        <f>IF(AC$35="Dose 1",SUMIFS('Supply planning data'!$G:$G,'Supply planning data'!$D:$D,DataViz!$B59,'Supply planning data'!$C:$C,DataViz!AC$34),
IF(AC$35="Dose 2",SUMIFS('Supply planning data'!$H:$H,'Supply planning data'!$D:$D,DataViz!$B59,'Supply planning data'!$C:$C,DataViz!AC$34),
IF(AC$35="Wastage",SUMIFS('Supply planning data'!$K:$K,'Supply planning data'!$D:$D,DataViz!$B59,'Supply planning data'!$C:$C,DataViz!AC$34),
IF(AC$35="Additional",SUMIFS('Supply planning data'!$I:$I,'Supply planning data'!$D:$D,DataViz!$B59,'Supply planning data'!$C:$C,DataViz!AC$34),
0))))</f>
        <v>0</v>
      </c>
      <c r="AD59" s="22">
        <f>IF(AD$35="Dose 1",SUMIFS('Supply planning data'!$G:$G,'Supply planning data'!$D:$D,DataViz!$B59,'Supply planning data'!$C:$C,DataViz!AD$34),
IF(AD$35="Dose 2",SUMIFS('Supply planning data'!$H:$H,'Supply planning data'!$D:$D,DataViz!$B59,'Supply planning data'!$C:$C,DataViz!AD$34),
IF(AD$35="Wastage",SUMIFS('Supply planning data'!$K:$K,'Supply planning data'!$D:$D,DataViz!$B59,'Supply planning data'!$C:$C,DataViz!AD$34),
IF(AD$35="Additional",SUMIFS('Supply planning data'!$I:$I,'Supply planning data'!$D:$D,DataViz!$B59,'Supply planning data'!$C:$C,DataViz!AD$34),
0))))</f>
        <v>0</v>
      </c>
      <c r="AE59" s="22">
        <f>IF(AE$35="Dose 1",SUMIFS('Supply planning data'!$G:$G,'Supply planning data'!$D:$D,DataViz!$B59,'Supply planning data'!$C:$C,DataViz!AE$34),
IF(AE$35="Dose 2",SUMIFS('Supply planning data'!$H:$H,'Supply planning data'!$D:$D,DataViz!$B59,'Supply planning data'!$C:$C,DataViz!AE$34),
IF(AE$35="Wastage",SUMIFS('Supply planning data'!$K:$K,'Supply planning data'!$D:$D,DataViz!$B59,'Supply planning data'!$C:$C,DataViz!AE$34),
IF(AE$35="Additional",SUMIFS('Supply planning data'!$I:$I,'Supply planning data'!$D:$D,DataViz!$B59,'Supply planning data'!$C:$C,DataViz!AE$34),
0))))</f>
        <v>0</v>
      </c>
      <c r="AF59" s="22">
        <f>IF(AF$35="Dose 1",SUMIFS('Supply planning data'!$G:$G,'Supply planning data'!$D:$D,DataViz!$B59,'Supply planning data'!$C:$C,DataViz!AF$34),
IF(AF$35="Dose 2",SUMIFS('Supply planning data'!$H:$H,'Supply planning data'!$D:$D,DataViz!$B59,'Supply planning data'!$C:$C,DataViz!AF$34),
IF(AF$35="Wastage",SUMIFS('Supply planning data'!$K:$K,'Supply planning data'!$D:$D,DataViz!$B59,'Supply planning data'!$C:$C,DataViz!AF$34),
IF(AF$35="Additional",SUMIFS('Supply planning data'!$I:$I,'Supply planning data'!$D:$D,DataViz!$B59,'Supply planning data'!$C:$C,DataViz!AF$34),
0))))</f>
        <v>0</v>
      </c>
      <c r="AG59" s="22">
        <f>IF(AG$35="Dose 1",SUMIFS('Supply planning data'!$G:$G,'Supply planning data'!$D:$D,DataViz!$B59,'Supply planning data'!$C:$C,DataViz!AG$34),
IF(AG$35="Dose 2",SUMIFS('Supply planning data'!$H:$H,'Supply planning data'!$D:$D,DataViz!$B59,'Supply planning data'!$C:$C,DataViz!AG$34),
IF(AG$35="Wastage",SUMIFS('Supply planning data'!$K:$K,'Supply planning data'!$D:$D,DataViz!$B59,'Supply planning data'!$C:$C,DataViz!AG$34),
IF(AG$35="Additional",SUMIFS('Supply planning data'!$I:$I,'Supply planning data'!$D:$D,DataViz!$B59,'Supply planning data'!$C:$C,DataViz!AG$34),
0))))</f>
        <v>0</v>
      </c>
      <c r="AH59" s="22">
        <f>IF(AH$35="Dose 1",SUMIFS('Supply planning data'!$G:$G,'Supply planning data'!$D:$D,DataViz!$B59,'Supply planning data'!$C:$C,DataViz!AH$34),
IF(AH$35="Dose 2",SUMIFS('Supply planning data'!$H:$H,'Supply planning data'!$D:$D,DataViz!$B59,'Supply planning data'!$C:$C,DataViz!AH$34),
IF(AH$35="Wastage",SUMIFS('Supply planning data'!$K:$K,'Supply planning data'!$D:$D,DataViz!$B59,'Supply planning data'!$C:$C,DataViz!AH$34),
IF(AH$35="Additional",SUMIFS('Supply planning data'!$I:$I,'Supply planning data'!$D:$D,DataViz!$B59,'Supply planning data'!$C:$C,DataViz!AH$34),
0))))</f>
        <v>0</v>
      </c>
      <c r="AI59" s="22">
        <f>IF(AI$35="Dose 1",SUMIFS('Supply planning data'!$G:$G,'Supply planning data'!$D:$D,DataViz!$B59,'Supply planning data'!$C:$C,DataViz!AI$34),
IF(AI$35="Dose 2",SUMIFS('Supply planning data'!$H:$H,'Supply planning data'!$D:$D,DataViz!$B59,'Supply planning data'!$C:$C,DataViz!AI$34),
IF(AI$35="Wastage",SUMIFS('Supply planning data'!$K:$K,'Supply planning data'!$D:$D,DataViz!$B59,'Supply planning data'!$C:$C,DataViz!AI$34),
IF(AI$35="Additional",SUMIFS('Supply planning data'!$I:$I,'Supply planning data'!$D:$D,DataViz!$B59,'Supply planning data'!$C:$C,DataViz!AI$34),
0))))</f>
        <v>0</v>
      </c>
      <c r="AJ59" s="22">
        <f>IF(AJ$35="Dose 1",SUMIFS('Supply planning data'!$G:$G,'Supply planning data'!$D:$D,DataViz!$B59,'Supply planning data'!$C:$C,DataViz!AJ$34),
IF(AJ$35="Dose 2",SUMIFS('Supply planning data'!$H:$H,'Supply planning data'!$D:$D,DataViz!$B59,'Supply planning data'!$C:$C,DataViz!AJ$34),
IF(AJ$35="Wastage",SUMIFS('Supply planning data'!$K:$K,'Supply planning data'!$D:$D,DataViz!$B59,'Supply planning data'!$C:$C,DataViz!AJ$34),
IF(AJ$35="Additional",SUMIFS('Supply planning data'!$I:$I,'Supply planning data'!$D:$D,DataViz!$B59,'Supply planning data'!$C:$C,DataViz!AJ$34),
0))))</f>
        <v>0</v>
      </c>
      <c r="AK59" s="22">
        <f>IF(AK$35="Dose 1",SUMIFS('Supply planning data'!$G:$G,'Supply planning data'!$D:$D,DataViz!$B59,'Supply planning data'!$C:$C,DataViz!AK$34),
IF(AK$35="Dose 2",SUMIFS('Supply planning data'!$H:$H,'Supply planning data'!$D:$D,DataViz!$B59,'Supply planning data'!$C:$C,DataViz!AK$34),
IF(AK$35="Wastage",SUMIFS('Supply planning data'!$K:$K,'Supply planning data'!$D:$D,DataViz!$B59,'Supply planning data'!$C:$C,DataViz!AK$34),
IF(AK$35="Additional",SUMIFS('Supply planning data'!$I:$I,'Supply planning data'!$D:$D,DataViz!$B59,'Supply planning data'!$C:$C,DataViz!AK$34),
0))))</f>
        <v>0</v>
      </c>
      <c r="AL59" s="22">
        <f>IF(AL$35="Dose 1",SUMIFS('Supply planning data'!$G:$G,'Supply planning data'!$D:$D,DataViz!$B59,'Supply planning data'!$C:$C,DataViz!AL$34),
IF(AL$35="Dose 2",SUMIFS('Supply planning data'!$H:$H,'Supply planning data'!$D:$D,DataViz!$B59,'Supply planning data'!$C:$C,DataViz!AL$34),
IF(AL$35="Wastage",SUMIFS('Supply planning data'!$K:$K,'Supply planning data'!$D:$D,DataViz!$B59,'Supply planning data'!$C:$C,DataViz!AL$34),
IF(AL$35="Additional",SUMIFS('Supply planning data'!$I:$I,'Supply planning data'!$D:$D,DataViz!$B59,'Supply planning data'!$C:$C,DataViz!AL$34),
0))))</f>
        <v>0</v>
      </c>
      <c r="AM59" s="22">
        <f>IF(AM$35="Dose 1",SUMIFS('Supply planning data'!$G:$G,'Supply planning data'!$D:$D,DataViz!$B59,'Supply planning data'!$C:$C,DataViz!AM$34),
IF(AM$35="Dose 2",SUMIFS('Supply planning data'!$H:$H,'Supply planning data'!$D:$D,DataViz!$B59,'Supply planning data'!$C:$C,DataViz!AM$34),
IF(AM$35="Wastage",SUMIFS('Supply planning data'!$K:$K,'Supply planning data'!$D:$D,DataViz!$B59,'Supply planning data'!$C:$C,DataViz!AM$34),
IF(AM$35="Additional",SUMIFS('Supply planning data'!$I:$I,'Supply planning data'!$D:$D,DataViz!$B59,'Supply planning data'!$C:$C,DataViz!AM$34),
0))))</f>
        <v>0</v>
      </c>
      <c r="AN59" s="22">
        <f>IF(AN$35="Dose 1",SUMIFS('Supply planning data'!$G:$G,'Supply planning data'!$D:$D,DataViz!$B59,'Supply planning data'!$C:$C,DataViz!AN$34),
IF(AN$35="Dose 2",SUMIFS('Supply planning data'!$H:$H,'Supply planning data'!$D:$D,DataViz!$B59,'Supply planning data'!$C:$C,DataViz!AN$34),
IF(AN$35="Wastage",SUMIFS('Supply planning data'!$K:$K,'Supply planning data'!$D:$D,DataViz!$B59,'Supply planning data'!$C:$C,DataViz!AN$34),
IF(AN$35="Additional",SUMIFS('Supply planning data'!$I:$I,'Supply planning data'!$D:$D,DataViz!$B59,'Supply planning data'!$C:$C,DataViz!AN$34),
0))))</f>
        <v>0</v>
      </c>
      <c r="AO59" s="22">
        <f>IF(AO$35="Dose 1",SUMIFS('Supply planning data'!$G:$G,'Supply planning data'!$D:$D,DataViz!$B59,'Supply planning data'!$C:$C,DataViz!AO$34),
IF(AO$35="Dose 2",SUMIFS('Supply planning data'!$H:$H,'Supply planning data'!$D:$D,DataViz!$B59,'Supply planning data'!$C:$C,DataViz!AO$34),
IF(AO$35="Wastage",SUMIFS('Supply planning data'!$K:$K,'Supply planning data'!$D:$D,DataViz!$B59,'Supply planning data'!$C:$C,DataViz!AO$34),
IF(AO$35="Additional",SUMIFS('Supply planning data'!$I:$I,'Supply planning data'!$D:$D,DataViz!$B59,'Supply planning data'!$C:$C,DataViz!AO$34),
0))))</f>
        <v>0</v>
      </c>
      <c r="AP59" s="22">
        <f>IF(AP$35="Dose 1",SUMIFS('Supply planning data'!$G:$G,'Supply planning data'!$D:$D,DataViz!$B59,'Supply planning data'!$C:$C,DataViz!AP$34),
IF(AP$35="Dose 2",SUMIFS('Supply planning data'!$H:$H,'Supply planning data'!$D:$D,DataViz!$B59,'Supply planning data'!$C:$C,DataViz!AP$34),
IF(AP$35="Wastage",SUMIFS('Supply planning data'!$K:$K,'Supply planning data'!$D:$D,DataViz!$B59,'Supply planning data'!$C:$C,DataViz!AP$34),
IF(AP$35="Additional",SUMIFS('Supply planning data'!$I:$I,'Supply planning data'!$D:$D,DataViz!$B59,'Supply planning data'!$C:$C,DataViz!AP$34),
0))))</f>
        <v>0</v>
      </c>
      <c r="AQ59" s="22">
        <f>IF(AQ$35="Dose 1",SUMIFS('Supply planning data'!$G:$G,'Supply planning data'!$D:$D,DataViz!$B59,'Supply planning data'!$C:$C,DataViz!AQ$34),
IF(AQ$35="Dose 2",SUMIFS('Supply planning data'!$H:$H,'Supply planning data'!$D:$D,DataViz!$B59,'Supply planning data'!$C:$C,DataViz!AQ$34),
IF(AQ$35="Wastage",SUMIFS('Supply planning data'!$K:$K,'Supply planning data'!$D:$D,DataViz!$B59,'Supply planning data'!$C:$C,DataViz!AQ$34),
IF(AQ$35="Additional",SUMIFS('Supply planning data'!$I:$I,'Supply planning data'!$D:$D,DataViz!$B59,'Supply planning data'!$C:$C,DataViz!AQ$34),
0))))</f>
        <v>0</v>
      </c>
      <c r="AR59" s="22">
        <f>IF(AR$35="Dose 1",SUMIFS('Supply planning data'!$G:$G,'Supply planning data'!$D:$D,DataViz!$B59,'Supply planning data'!$C:$C,DataViz!AR$34),
IF(AR$35="Dose 2",SUMIFS('Supply planning data'!$H:$H,'Supply planning data'!$D:$D,DataViz!$B59,'Supply planning data'!$C:$C,DataViz!AR$34),
IF(AR$35="Wastage",SUMIFS('Supply planning data'!$K:$K,'Supply planning data'!$D:$D,DataViz!$B59,'Supply planning data'!$C:$C,DataViz!AR$34),
IF(AR$35="Additional",SUMIFS('Supply planning data'!$I:$I,'Supply planning data'!$D:$D,DataViz!$B59,'Supply planning data'!$C:$C,DataViz!AR$34),
0))))</f>
        <v>0</v>
      </c>
      <c r="AS59" s="22">
        <f>IF(AS$35="Dose 1",SUMIFS('Supply planning data'!$G:$G,'Supply planning data'!$D:$D,DataViz!$B59,'Supply planning data'!$C:$C,DataViz!AS$34),
IF(AS$35="Dose 2",SUMIFS('Supply planning data'!$H:$H,'Supply planning data'!$D:$D,DataViz!$B59,'Supply planning data'!$C:$C,DataViz!AS$34),
IF(AS$35="Wastage",SUMIFS('Supply planning data'!$K:$K,'Supply planning data'!$D:$D,DataViz!$B59,'Supply planning data'!$C:$C,DataViz!AS$34),
IF(AS$35="Additional",SUMIFS('Supply planning data'!$I:$I,'Supply planning data'!$D:$D,DataViz!$B59,'Supply planning data'!$C:$C,DataViz!AS$34),
0))))</f>
        <v>0</v>
      </c>
      <c r="AT59" s="22">
        <f>IF(AT$35="Dose 1",SUMIFS('Supply planning data'!$G:$G,'Supply planning data'!$D:$D,DataViz!$B59,'Supply planning data'!$C:$C,DataViz!AT$34),
IF(AT$35="Dose 2",SUMIFS('Supply planning data'!$H:$H,'Supply planning data'!$D:$D,DataViz!$B59,'Supply planning data'!$C:$C,DataViz!AT$34),
IF(AT$35="Wastage",SUMIFS('Supply planning data'!$K:$K,'Supply planning data'!$D:$D,DataViz!$B59,'Supply planning data'!$C:$C,DataViz!AT$34),
IF(AT$35="Additional",SUMIFS('Supply planning data'!$I:$I,'Supply planning data'!$D:$D,DataViz!$B59,'Supply planning data'!$C:$C,DataViz!AT$34),
0))))</f>
        <v>0</v>
      </c>
      <c r="AU59" s="22">
        <f>IF(AU$35="Dose 1",SUMIFS('Supply planning data'!$G:$G,'Supply planning data'!$D:$D,DataViz!$B59,'Supply planning data'!$C:$C,DataViz!AU$34),
IF(AU$35="Dose 2",SUMIFS('Supply planning data'!$H:$H,'Supply planning data'!$D:$D,DataViz!$B59,'Supply planning data'!$C:$C,DataViz!AU$34),
IF(AU$35="Wastage",SUMIFS('Supply planning data'!$K:$K,'Supply planning data'!$D:$D,DataViz!$B59,'Supply planning data'!$C:$C,DataViz!AU$34),
IF(AU$35="Additional",SUMIFS('Supply planning data'!$I:$I,'Supply planning data'!$D:$D,DataViz!$B59,'Supply planning data'!$C:$C,DataViz!AU$34),
0))))</f>
        <v>0</v>
      </c>
      <c r="AV59" s="22">
        <f>IF(AV$35="Dose 1",SUMIFS('Supply planning data'!$G:$G,'Supply planning data'!$D:$D,DataViz!$B59,'Supply planning data'!$C:$C,DataViz!AV$34),
IF(AV$35="Dose 2",SUMIFS('Supply planning data'!$H:$H,'Supply planning data'!$D:$D,DataViz!$B59,'Supply planning data'!$C:$C,DataViz!AV$34),
IF(AV$35="Wastage",SUMIFS('Supply planning data'!$K:$K,'Supply planning data'!$D:$D,DataViz!$B59,'Supply planning data'!$C:$C,DataViz!AV$34),
IF(AV$35="Additional",SUMIFS('Supply planning data'!$I:$I,'Supply planning data'!$D:$D,DataViz!$B59,'Supply planning data'!$C:$C,DataViz!AV$34),
0))))</f>
        <v>0</v>
      </c>
      <c r="AW59" s="22">
        <f>IF(AW$35="Dose 1",SUMIFS('Supply planning data'!$G:$G,'Supply planning data'!$D:$D,DataViz!$B59,'Supply planning data'!$C:$C,DataViz!AW$34),
IF(AW$35="Dose 2",SUMIFS('Supply planning data'!$H:$H,'Supply planning data'!$D:$D,DataViz!$B59,'Supply planning data'!$C:$C,DataViz!AW$34),
IF(AW$35="Wastage",SUMIFS('Supply planning data'!$K:$K,'Supply planning data'!$D:$D,DataViz!$B59,'Supply planning data'!$C:$C,DataViz!AW$34),
IF(AW$35="Additional",SUMIFS('Supply planning data'!$I:$I,'Supply planning data'!$D:$D,DataViz!$B59,'Supply planning data'!$C:$C,DataViz!AW$34),
0))))</f>
        <v>0</v>
      </c>
      <c r="AX59" s="22">
        <f>IF(AX$35="Dose 1",SUMIFS('Supply planning data'!$G:$G,'Supply planning data'!$D:$D,DataViz!$B59,'Supply planning data'!$C:$C,DataViz!AX$34),
IF(AX$35="Dose 2",SUMIFS('Supply planning data'!$H:$H,'Supply planning data'!$D:$D,DataViz!$B59,'Supply planning data'!$C:$C,DataViz!AX$34),
IF(AX$35="Wastage",SUMIFS('Supply planning data'!$K:$K,'Supply planning data'!$D:$D,DataViz!$B59,'Supply planning data'!$C:$C,DataViz!AX$34),
IF(AX$35="Additional",SUMIFS('Supply planning data'!$I:$I,'Supply planning data'!$D:$D,DataViz!$B59,'Supply planning data'!$C:$C,DataViz!AX$34),
0))))</f>
        <v>0</v>
      </c>
      <c r="AY59" s="22">
        <f>IF(AY$35="Dose 1",SUMIFS('Supply planning data'!$G:$G,'Supply planning data'!$D:$D,DataViz!$B59,'Supply planning data'!$C:$C,DataViz!AY$34),
IF(AY$35="Dose 2",SUMIFS('Supply planning data'!$H:$H,'Supply planning data'!$D:$D,DataViz!$B59,'Supply planning data'!$C:$C,DataViz!AY$34),
IF(AY$35="Wastage",SUMIFS('Supply planning data'!$K:$K,'Supply planning data'!$D:$D,DataViz!$B59,'Supply planning data'!$C:$C,DataViz!AY$34),
IF(AY$35="Additional",SUMIFS('Supply planning data'!$I:$I,'Supply planning data'!$D:$D,DataViz!$B59,'Supply planning data'!$C:$C,DataViz!AY$34),
0))))</f>
        <v>0</v>
      </c>
      <c r="AZ59" s="22">
        <f>IF(AZ$35="Dose 1",SUMIFS('Supply planning data'!$G:$G,'Supply planning data'!$D:$D,DataViz!$B59,'Supply planning data'!$C:$C,DataViz!AZ$34),
IF(AZ$35="Dose 2",SUMIFS('Supply planning data'!$H:$H,'Supply planning data'!$D:$D,DataViz!$B59,'Supply planning data'!$C:$C,DataViz!AZ$34),
IF(AZ$35="Wastage",SUMIFS('Supply planning data'!$K:$K,'Supply planning data'!$D:$D,DataViz!$B59,'Supply planning data'!$C:$C,DataViz!AZ$34),
IF(AZ$35="Additional",SUMIFS('Supply planning data'!$I:$I,'Supply planning data'!$D:$D,DataViz!$B59,'Supply planning data'!$C:$C,DataViz!AZ$34),
0))))</f>
        <v>0</v>
      </c>
      <c r="BA59" s="22">
        <f>IF(BA$35="Dose 1",SUMIFS('Supply planning data'!$G:$G,'Supply planning data'!$D:$D,DataViz!$B59,'Supply planning data'!$C:$C,DataViz!BA$34),
IF(BA$35="Dose 2",SUMIFS('Supply planning data'!$H:$H,'Supply planning data'!$D:$D,DataViz!$B59,'Supply planning data'!$C:$C,DataViz!BA$34),
IF(BA$35="Wastage",SUMIFS('Supply planning data'!$K:$K,'Supply planning data'!$D:$D,DataViz!$B59,'Supply planning data'!$C:$C,DataViz!BA$34),
IF(BA$35="Additional",SUMIFS('Supply planning data'!$I:$I,'Supply planning data'!$D:$D,DataViz!$B59,'Supply planning data'!$C:$C,DataViz!BA$34),
0))))</f>
        <v>0</v>
      </c>
      <c r="BB59" s="22">
        <f>IF(BB$35="Dose 1",SUMIFS('Supply planning data'!$G:$G,'Supply planning data'!$D:$D,DataViz!$B59,'Supply planning data'!$C:$C,DataViz!BB$34),
IF(BB$35="Dose 2",SUMIFS('Supply planning data'!$H:$H,'Supply planning data'!$D:$D,DataViz!$B59,'Supply planning data'!$C:$C,DataViz!BB$34),
IF(BB$35="Wastage",SUMIFS('Supply planning data'!$K:$K,'Supply planning data'!$D:$D,DataViz!$B59,'Supply planning data'!$C:$C,DataViz!BB$34),
IF(BB$35="Additional",SUMIFS('Supply planning data'!$I:$I,'Supply planning data'!$D:$D,DataViz!$B59,'Supply planning data'!$C:$C,DataViz!BB$34),
0))))</f>
        <v>0</v>
      </c>
      <c r="BC59" s="22">
        <f>IF(BC$35="Dose 1",SUMIFS('Supply planning data'!$G:$G,'Supply planning data'!$D:$D,DataViz!$B59,'Supply planning data'!$C:$C,DataViz!BC$34),
IF(BC$35="Dose 2",SUMIFS('Supply planning data'!$H:$H,'Supply planning data'!$D:$D,DataViz!$B59,'Supply planning data'!$C:$C,DataViz!BC$34),
IF(BC$35="Wastage",SUMIFS('Supply planning data'!$K:$K,'Supply planning data'!$D:$D,DataViz!$B59,'Supply planning data'!$C:$C,DataViz!BC$34),
IF(BC$35="Additional",SUMIFS('Supply planning data'!$I:$I,'Supply planning data'!$D:$D,DataViz!$B59,'Supply planning data'!$C:$C,DataViz!BC$34),
0))))</f>
        <v>0</v>
      </c>
      <c r="BD59" s="22">
        <f>IF(BD$35="Dose 1",SUMIFS('Supply planning data'!$G:$G,'Supply planning data'!$D:$D,DataViz!$B59,'Supply planning data'!$C:$C,DataViz!BD$34),
IF(BD$35="Dose 2",SUMIFS('Supply planning data'!$H:$H,'Supply planning data'!$D:$D,DataViz!$B59,'Supply planning data'!$C:$C,DataViz!BD$34),
IF(BD$35="Wastage",SUMIFS('Supply planning data'!$K:$K,'Supply planning data'!$D:$D,DataViz!$B59,'Supply planning data'!$C:$C,DataViz!BD$34),
IF(BD$35="Additional",SUMIFS('Supply planning data'!$I:$I,'Supply planning data'!$D:$D,DataViz!$B59,'Supply planning data'!$C:$C,DataViz!BD$34),
0))))</f>
        <v>0</v>
      </c>
      <c r="BE59" s="22">
        <f>IF(BE$35="Dose 1",SUMIFS('Supply planning data'!$G:$G,'Supply planning data'!$D:$D,DataViz!$B59,'Supply planning data'!$C:$C,DataViz!BE$34),
IF(BE$35="Dose 2",SUMIFS('Supply planning data'!$H:$H,'Supply planning data'!$D:$D,DataViz!$B59,'Supply planning data'!$C:$C,DataViz!BE$34),
IF(BE$35="Wastage",SUMIFS('Supply planning data'!$K:$K,'Supply planning data'!$D:$D,DataViz!$B59,'Supply planning data'!$C:$C,DataViz!BE$34),
IF(BE$35="Additional",SUMIFS('Supply planning data'!$I:$I,'Supply planning data'!$D:$D,DataViz!$B59,'Supply planning data'!$C:$C,DataViz!BE$34),
0))))</f>
        <v>0</v>
      </c>
      <c r="BF59" s="22">
        <f>IF(BF$35="Dose 1",SUMIFS('Supply planning data'!$G:$G,'Supply planning data'!$D:$D,DataViz!$B59,'Supply planning data'!$C:$C,DataViz!BF$34),
IF(BF$35="Dose 2",SUMIFS('Supply planning data'!$H:$H,'Supply planning data'!$D:$D,DataViz!$B59,'Supply planning data'!$C:$C,DataViz!BF$34),
IF(BF$35="Wastage",SUMIFS('Supply planning data'!$K:$K,'Supply planning data'!$D:$D,DataViz!$B59,'Supply planning data'!$C:$C,DataViz!BF$34),
IF(BF$35="Additional",SUMIFS('Supply planning data'!$I:$I,'Supply planning data'!$D:$D,DataViz!$B59,'Supply planning data'!$C:$C,DataViz!BF$34),
0))))</f>
        <v>0</v>
      </c>
      <c r="BG59" s="22">
        <f>IF(BG$35="Dose 1",SUMIFS('Supply planning data'!$G:$G,'Supply planning data'!$D:$D,DataViz!$B59,'Supply planning data'!$C:$C,DataViz!BG$34),
IF(BG$35="Dose 2",SUMIFS('Supply planning data'!$H:$H,'Supply planning data'!$D:$D,DataViz!$B59,'Supply planning data'!$C:$C,DataViz!BG$34),
IF(BG$35="Wastage",SUMIFS('Supply planning data'!$K:$K,'Supply planning data'!$D:$D,DataViz!$B59,'Supply planning data'!$C:$C,DataViz!BG$34),
IF(BG$35="Additional",SUMIFS('Supply planning data'!$I:$I,'Supply planning data'!$D:$D,DataViz!$B59,'Supply planning data'!$C:$C,DataViz!BG$34),
0))))</f>
        <v>0</v>
      </c>
      <c r="BH59" s="22">
        <f>IF(BH$35="Dose 1",SUMIFS('Supply planning data'!$G:$G,'Supply planning data'!$D:$D,DataViz!$B59,'Supply planning data'!$C:$C,DataViz!BH$34),
IF(BH$35="Dose 2",SUMIFS('Supply planning data'!$H:$H,'Supply planning data'!$D:$D,DataViz!$B59,'Supply planning data'!$C:$C,DataViz!BH$34),
IF(BH$35="Wastage",SUMIFS('Supply planning data'!$K:$K,'Supply planning data'!$D:$D,DataViz!$B59,'Supply planning data'!$C:$C,DataViz!BH$34),
IF(BH$35="Additional",SUMIFS('Supply planning data'!$I:$I,'Supply planning data'!$D:$D,DataViz!$B59,'Supply planning data'!$C:$C,DataViz!BH$34),
0))))</f>
        <v>0</v>
      </c>
      <c r="BI59" s="22">
        <f>IF(BI$35="Dose 1",SUMIFS('Supply planning data'!$G:$G,'Supply planning data'!$D:$D,DataViz!$B59,'Supply planning data'!$C:$C,DataViz!BI$34),
IF(BI$35="Dose 2",SUMIFS('Supply planning data'!$H:$H,'Supply planning data'!$D:$D,DataViz!$B59,'Supply planning data'!$C:$C,DataViz!BI$34),
IF(BI$35="Wastage",SUMIFS('Supply planning data'!$K:$K,'Supply planning data'!$D:$D,DataViz!$B59,'Supply planning data'!$C:$C,DataViz!BI$34),
IF(BI$35="Additional",SUMIFS('Supply planning data'!$I:$I,'Supply planning data'!$D:$D,DataViz!$B59,'Supply planning data'!$C:$C,DataViz!BI$34),
0))))</f>
        <v>0</v>
      </c>
      <c r="BJ59" s="22">
        <f>IF(BJ$35="Dose 1",SUMIFS('Supply planning data'!$G:$G,'Supply planning data'!$D:$D,DataViz!$B59,'Supply planning data'!$C:$C,DataViz!BJ$34),
IF(BJ$35="Dose 2",SUMIFS('Supply planning data'!$H:$H,'Supply planning data'!$D:$D,DataViz!$B59,'Supply planning data'!$C:$C,DataViz!BJ$34),
IF(BJ$35="Wastage",SUMIFS('Supply planning data'!$K:$K,'Supply planning data'!$D:$D,DataViz!$B59,'Supply planning data'!$C:$C,DataViz!BJ$34),
IF(BJ$35="Additional",SUMIFS('Supply planning data'!$I:$I,'Supply planning data'!$D:$D,DataViz!$B59,'Supply planning data'!$C:$C,DataViz!BJ$34),
0))))</f>
        <v>0</v>
      </c>
      <c r="BK59" s="22">
        <f>IF(BK$35="Dose 1",SUMIFS('Supply planning data'!$G:$G,'Supply planning data'!$D:$D,DataViz!$B59,'Supply planning data'!$C:$C,DataViz!BK$34),
IF(BK$35="Dose 2",SUMIFS('Supply planning data'!$H:$H,'Supply planning data'!$D:$D,DataViz!$B59,'Supply planning data'!$C:$C,DataViz!BK$34),
IF(BK$35="Wastage",SUMIFS('Supply planning data'!$K:$K,'Supply planning data'!$D:$D,DataViz!$B59,'Supply planning data'!$C:$C,DataViz!BK$34),
IF(BK$35="Additional",SUMIFS('Supply planning data'!$I:$I,'Supply planning data'!$D:$D,DataViz!$B59,'Supply planning data'!$C:$C,DataViz!BK$34),
0))))</f>
        <v>0</v>
      </c>
      <c r="BL59" s="22">
        <f>IF(BL$35="Dose 1",SUMIFS('Supply planning data'!$G:$G,'Supply planning data'!$D:$D,DataViz!$B59,'Supply planning data'!$C:$C,DataViz!BL$34),
IF(BL$35="Dose 2",SUMIFS('Supply planning data'!$H:$H,'Supply planning data'!$D:$D,DataViz!$B59,'Supply planning data'!$C:$C,DataViz!BL$34),
IF(BL$35="Wastage",SUMIFS('Supply planning data'!$K:$K,'Supply planning data'!$D:$D,DataViz!$B59,'Supply planning data'!$C:$C,DataViz!BL$34),
IF(BL$35="Additional",SUMIFS('Supply planning data'!$I:$I,'Supply planning data'!$D:$D,DataViz!$B59,'Supply planning data'!$C:$C,DataViz!BL$34),
0))))</f>
        <v>0</v>
      </c>
    </row>
    <row r="60" spans="1:64" x14ac:dyDescent="0.25">
      <c r="A60" s="20">
        <v>22</v>
      </c>
      <c r="B60" s="21">
        <f t="shared" si="15"/>
        <v>44927</v>
      </c>
      <c r="C60" s="22">
        <f>IF(VLOOKUP(Dashboard!$M$6,Start!$B$10:$E$12,4,FALSE)&gt;0,VLOOKUP(Dashboard!$M$6,Start!$B$10:$E$12,4, FALSE),VLOOKUP(Dashboard!$M$6,Start!$B$10:$E$12,3, FALSE))</f>
        <v>60000000</v>
      </c>
      <c r="D60" s="22">
        <f>SUMIFS('Supply planning data'!M:M,'Supply planning data'!D:D,"&lt;="&amp;DataViz!B60)</f>
        <v>2720887</v>
      </c>
      <c r="E60" s="22">
        <f>IF(E$35="Dose 1",SUMIFS('Supply planning data'!$G:$G,'Supply planning data'!$D:$D,DataViz!$B60,'Supply planning data'!$C:$C,DataViz!E$34),
IF(E$35="Dose 2",SUMIFS('Supply planning data'!$H:$H,'Supply planning data'!$D:$D,DataViz!$B60,'Supply planning data'!$C:$C,DataViz!E$34),
IF(E$35="Wastage",SUMIFS('Supply planning data'!$K:$K,'Supply planning data'!$D:$D,DataViz!$B60,'Supply planning data'!$C:$C,DataViz!E$34),
IF(E$35="Additional",SUMIFS('Supply planning data'!$I:$I,'Supply planning data'!$D:$D,DataViz!$B60,'Supply planning data'!$C:$C,DataViz!E$34),
0))))</f>
        <v>0</v>
      </c>
      <c r="F60" s="22">
        <f>IF(F$35="Dose 1",SUMIFS('Supply planning data'!$G:$G,'Supply planning data'!$D:$D,DataViz!$B60,'Supply planning data'!$C:$C,DataViz!F$34),
IF(F$35="Dose 2",SUMIFS('Supply planning data'!$H:$H,'Supply planning data'!$D:$D,DataViz!$B60,'Supply planning data'!$C:$C,DataViz!F$34),
IF(F$35="Wastage",SUMIFS('Supply planning data'!$K:$K,'Supply planning data'!$D:$D,DataViz!$B60,'Supply planning data'!$C:$C,DataViz!F$34),
IF(F$35="Additional",SUMIFS('Supply planning data'!$I:$I,'Supply planning data'!$D:$D,DataViz!$B60,'Supply planning data'!$C:$C,DataViz!F$34),
0))))</f>
        <v>0</v>
      </c>
      <c r="G60" s="22">
        <f>IF(G$35="Dose 1",SUMIFS('Supply planning data'!$G:$G,'Supply planning data'!$D:$D,DataViz!$B60,'Supply planning data'!$C:$C,DataViz!G$34),
IF(G$35="Dose 2",SUMIFS('Supply planning data'!$H:$H,'Supply planning data'!$D:$D,DataViz!$B60,'Supply planning data'!$C:$C,DataViz!G$34),
IF(G$35="Wastage",SUMIFS('Supply planning data'!$K:$K,'Supply planning data'!$D:$D,DataViz!$B60,'Supply planning data'!$C:$C,DataViz!G$34),
IF(G$35="Additional",SUMIFS('Supply planning data'!$I:$I,'Supply planning data'!$D:$D,DataViz!$B60,'Supply planning data'!$C:$C,DataViz!G$34),
0))))</f>
        <v>0</v>
      </c>
      <c r="H60" s="22">
        <f>IF(H$35="Dose 1",SUMIFS('Supply planning data'!$G:$G,'Supply planning data'!$D:$D,DataViz!$B60,'Supply planning data'!$C:$C,DataViz!H$34),
IF(H$35="Dose 2",SUMIFS('Supply planning data'!$H:$H,'Supply planning data'!$D:$D,DataViz!$B60,'Supply planning data'!$C:$C,DataViz!H$34),
IF(H$35="Wastage",SUMIFS('Supply planning data'!$K:$K,'Supply planning data'!$D:$D,DataViz!$B60,'Supply planning data'!$C:$C,DataViz!H$34),
IF(H$35="Additional",SUMIFS('Supply planning data'!$I:$I,'Supply planning data'!$D:$D,DataViz!$B60,'Supply planning data'!$C:$C,DataViz!H$34),
0))))</f>
        <v>0</v>
      </c>
      <c r="I60" s="22">
        <f>IF(I$35="Dose 1",SUMIFS('Supply planning data'!$G:$G,'Supply planning data'!$D:$D,DataViz!$B60,'Supply planning data'!$C:$C,DataViz!I$34),
IF(I$35="Dose 2",SUMIFS('Supply planning data'!$H:$H,'Supply planning data'!$D:$D,DataViz!$B60,'Supply planning data'!$C:$C,DataViz!I$34),
IF(I$35="Wastage",SUMIFS('Supply planning data'!$K:$K,'Supply planning data'!$D:$D,DataViz!$B60,'Supply planning data'!$C:$C,DataViz!I$34),
IF(I$35="Additional",SUMIFS('Supply planning data'!$I:$I,'Supply planning data'!$D:$D,DataViz!$B60,'Supply planning data'!$C:$C,DataViz!I$34),
0))))</f>
        <v>0</v>
      </c>
      <c r="J60" s="22">
        <f>IF(J$35="Dose 1",SUMIFS('Supply planning data'!$G:$G,'Supply planning data'!$D:$D,DataViz!$B60,'Supply planning data'!$C:$C,DataViz!J$34),
IF(J$35="Dose 2",SUMIFS('Supply planning data'!$H:$H,'Supply planning data'!$D:$D,DataViz!$B60,'Supply planning data'!$C:$C,DataViz!J$34),
IF(J$35="Wastage",SUMIFS('Supply planning data'!$K:$K,'Supply planning data'!$D:$D,DataViz!$B60,'Supply planning data'!$C:$C,DataViz!J$34),
IF(J$35="Additional",SUMIFS('Supply planning data'!$I:$I,'Supply planning data'!$D:$D,DataViz!$B60,'Supply planning data'!$C:$C,DataViz!J$34),
0))))</f>
        <v>0</v>
      </c>
      <c r="K60" s="22">
        <f>IF(K$35="Dose 1",SUMIFS('Supply planning data'!$G:$G,'Supply planning data'!$D:$D,DataViz!$B60,'Supply planning data'!$C:$C,DataViz!K$34),
IF(K$35="Dose 2",SUMIFS('Supply planning data'!$H:$H,'Supply planning data'!$D:$D,DataViz!$B60,'Supply planning data'!$C:$C,DataViz!K$34),
IF(K$35="Wastage",SUMIFS('Supply planning data'!$K:$K,'Supply planning data'!$D:$D,DataViz!$B60,'Supply planning data'!$C:$C,DataViz!K$34),
IF(K$35="Additional",SUMIFS('Supply planning data'!$I:$I,'Supply planning data'!$D:$D,DataViz!$B60,'Supply planning data'!$C:$C,DataViz!K$34),
0))))</f>
        <v>0</v>
      </c>
      <c r="L60" s="22">
        <f>IF(L$35="Dose 1",SUMIFS('Supply planning data'!$G:$G,'Supply planning data'!$D:$D,DataViz!$B60,'Supply planning data'!$C:$C,DataViz!L$34),
IF(L$35="Dose 2",SUMIFS('Supply planning data'!$H:$H,'Supply planning data'!$D:$D,DataViz!$B60,'Supply planning data'!$C:$C,DataViz!L$34),
IF(L$35="Wastage",SUMIFS('Supply planning data'!$K:$K,'Supply planning data'!$D:$D,DataViz!$B60,'Supply planning data'!$C:$C,DataViz!L$34),
IF(L$35="Additional",SUMIFS('Supply planning data'!$I:$I,'Supply planning data'!$D:$D,DataViz!$B60,'Supply planning data'!$C:$C,DataViz!L$34),
0))))</f>
        <v>0</v>
      </c>
      <c r="M60" s="22">
        <f>IF(M$35="Dose 1",SUMIFS('Supply planning data'!$G:$G,'Supply planning data'!$D:$D,DataViz!$B60,'Supply planning data'!$C:$C,DataViz!M$34),
IF(M$35="Dose 2",SUMIFS('Supply planning data'!$H:$H,'Supply planning data'!$D:$D,DataViz!$B60,'Supply planning data'!$C:$C,DataViz!M$34),
IF(M$35="Wastage",SUMIFS('Supply planning data'!$K:$K,'Supply planning data'!$D:$D,DataViz!$B60,'Supply planning data'!$C:$C,DataViz!M$34),
IF(M$35="Additional",SUMIFS('Supply planning data'!$I:$I,'Supply planning data'!$D:$D,DataViz!$B60,'Supply planning data'!$C:$C,DataViz!M$34),
0))))</f>
        <v>0</v>
      </c>
      <c r="N60" s="22">
        <f>IF(N$35="Dose 1",SUMIFS('Supply planning data'!$G:$G,'Supply planning data'!$D:$D,DataViz!$B60,'Supply planning data'!$C:$C,DataViz!N$34),
IF(N$35="Dose 2",SUMIFS('Supply planning data'!$H:$H,'Supply planning data'!$D:$D,DataViz!$B60,'Supply planning data'!$C:$C,DataViz!N$34),
IF(N$35="Wastage",SUMIFS('Supply planning data'!$K:$K,'Supply planning data'!$D:$D,DataViz!$B60,'Supply planning data'!$C:$C,DataViz!N$34),
IF(N$35="Additional",SUMIFS('Supply planning data'!$I:$I,'Supply planning data'!$D:$D,DataViz!$B60,'Supply planning data'!$C:$C,DataViz!N$34),
0))))</f>
        <v>0</v>
      </c>
      <c r="O60" s="22">
        <f>IF(O$35="Dose 1",SUMIFS('Supply planning data'!$G:$G,'Supply planning data'!$D:$D,DataViz!$B60,'Supply planning data'!$C:$C,DataViz!O$34),
IF(O$35="Dose 2",SUMIFS('Supply planning data'!$H:$H,'Supply planning data'!$D:$D,DataViz!$B60,'Supply planning data'!$C:$C,DataViz!O$34),
IF(O$35="Wastage",SUMIFS('Supply planning data'!$K:$K,'Supply planning data'!$D:$D,DataViz!$B60,'Supply planning data'!$C:$C,DataViz!O$34),
IF(O$35="Additional",SUMIFS('Supply planning data'!$I:$I,'Supply planning data'!$D:$D,DataViz!$B60,'Supply planning data'!$C:$C,DataViz!O$34),
0))))</f>
        <v>0</v>
      </c>
      <c r="P60" s="22">
        <f>IF(P$35="Dose 1",SUMIFS('Supply planning data'!$G:$G,'Supply planning data'!$D:$D,DataViz!$B60,'Supply planning data'!$C:$C,DataViz!P$34),
IF(P$35="Dose 2",SUMIFS('Supply planning data'!$H:$H,'Supply planning data'!$D:$D,DataViz!$B60,'Supply planning data'!$C:$C,DataViz!P$34),
IF(P$35="Wastage",SUMIFS('Supply planning data'!$K:$K,'Supply planning data'!$D:$D,DataViz!$B60,'Supply planning data'!$C:$C,DataViz!P$34),
IF(P$35="Additional",SUMIFS('Supply planning data'!$I:$I,'Supply planning data'!$D:$D,DataViz!$B60,'Supply planning data'!$C:$C,DataViz!P$34),
0))))</f>
        <v>0</v>
      </c>
      <c r="Q60" s="22">
        <f>IF(Q$35="Dose 1",SUMIFS('Supply planning data'!$G:$G,'Supply planning data'!$D:$D,DataViz!$B60,'Supply planning data'!$C:$C,DataViz!Q$34),
IF(Q$35="Dose 2",SUMIFS('Supply planning data'!$H:$H,'Supply planning data'!$D:$D,DataViz!$B60,'Supply planning data'!$C:$C,DataViz!Q$34),
IF(Q$35="Wastage",SUMIFS('Supply planning data'!$K:$K,'Supply planning data'!$D:$D,DataViz!$B60,'Supply planning data'!$C:$C,DataViz!Q$34),
IF(Q$35="Additional",SUMIFS('Supply planning data'!$I:$I,'Supply planning data'!$D:$D,DataViz!$B60,'Supply planning data'!$C:$C,DataViz!Q$34),
0))))</f>
        <v>0</v>
      </c>
      <c r="R60" s="22">
        <f>IF(R$35="Dose 1",SUMIFS('Supply planning data'!$G:$G,'Supply planning data'!$D:$D,DataViz!$B60,'Supply planning data'!$C:$C,DataViz!R$34),
IF(R$35="Dose 2",SUMIFS('Supply planning data'!$H:$H,'Supply planning data'!$D:$D,DataViz!$B60,'Supply planning data'!$C:$C,DataViz!R$34),
IF(R$35="Wastage",SUMIFS('Supply planning data'!$K:$K,'Supply planning data'!$D:$D,DataViz!$B60,'Supply planning data'!$C:$C,DataViz!R$34),
IF(R$35="Additional",SUMIFS('Supply planning data'!$I:$I,'Supply planning data'!$D:$D,DataViz!$B60,'Supply planning data'!$C:$C,DataViz!R$34),
0))))</f>
        <v>0</v>
      </c>
      <c r="S60" s="22">
        <f>IF(S$35="Dose 1",SUMIFS('Supply planning data'!$G:$G,'Supply planning data'!$D:$D,DataViz!$B60,'Supply planning data'!$C:$C,DataViz!S$34),
IF(S$35="Dose 2",SUMIFS('Supply planning data'!$H:$H,'Supply planning data'!$D:$D,DataViz!$B60,'Supply planning data'!$C:$C,DataViz!S$34),
IF(S$35="Wastage",SUMIFS('Supply planning data'!$K:$K,'Supply planning data'!$D:$D,DataViz!$B60,'Supply planning data'!$C:$C,DataViz!S$34),
IF(S$35="Additional",SUMIFS('Supply planning data'!$I:$I,'Supply planning data'!$D:$D,DataViz!$B60,'Supply planning data'!$C:$C,DataViz!S$34),
0))))</f>
        <v>0</v>
      </c>
      <c r="T60" s="22">
        <f>IF(T$35="Dose 1",SUMIFS('Supply planning data'!$G:$G,'Supply planning data'!$D:$D,DataViz!$B60,'Supply planning data'!$C:$C,DataViz!T$34),
IF(T$35="Dose 2",SUMIFS('Supply planning data'!$H:$H,'Supply planning data'!$D:$D,DataViz!$B60,'Supply planning data'!$C:$C,DataViz!T$34),
IF(T$35="Wastage",SUMIFS('Supply planning data'!$K:$K,'Supply planning data'!$D:$D,DataViz!$B60,'Supply planning data'!$C:$C,DataViz!T$34),
IF(T$35="Additional",SUMIFS('Supply planning data'!$I:$I,'Supply planning data'!$D:$D,DataViz!$B60,'Supply planning data'!$C:$C,DataViz!T$34),
0))))</f>
        <v>0</v>
      </c>
      <c r="U60" s="22">
        <f>IF(U$35="Dose 1",SUMIFS('Supply planning data'!$G:$G,'Supply planning data'!$D:$D,DataViz!$B60,'Supply planning data'!$C:$C,DataViz!U$34),
IF(U$35="Dose 2",SUMIFS('Supply planning data'!$H:$H,'Supply planning data'!$D:$D,DataViz!$B60,'Supply planning data'!$C:$C,DataViz!U$34),
IF(U$35="Wastage",SUMIFS('Supply planning data'!$K:$K,'Supply planning data'!$D:$D,DataViz!$B60,'Supply planning data'!$C:$C,DataViz!U$34),
IF(U$35="Additional",SUMIFS('Supply planning data'!$I:$I,'Supply planning data'!$D:$D,DataViz!$B60,'Supply planning data'!$C:$C,DataViz!U$34),
0))))</f>
        <v>0</v>
      </c>
      <c r="V60" s="22">
        <f>IF(V$35="Dose 1",SUMIFS('Supply planning data'!$G:$G,'Supply planning data'!$D:$D,DataViz!$B60,'Supply planning data'!$C:$C,DataViz!V$34),
IF(V$35="Dose 2",SUMIFS('Supply planning data'!$H:$H,'Supply planning data'!$D:$D,DataViz!$B60,'Supply planning data'!$C:$C,DataViz!V$34),
IF(V$35="Wastage",SUMIFS('Supply planning data'!$K:$K,'Supply planning data'!$D:$D,DataViz!$B60,'Supply planning data'!$C:$C,DataViz!V$34),
IF(V$35="Additional",SUMIFS('Supply planning data'!$I:$I,'Supply planning data'!$D:$D,DataViz!$B60,'Supply planning data'!$C:$C,DataViz!V$34),
0))))</f>
        <v>0</v>
      </c>
      <c r="W60" s="22">
        <f>IF(W$35="Dose 1",SUMIFS('Supply planning data'!$G:$G,'Supply planning data'!$D:$D,DataViz!$B60,'Supply planning data'!$C:$C,DataViz!W$34),
IF(W$35="Dose 2",SUMIFS('Supply planning data'!$H:$H,'Supply planning data'!$D:$D,DataViz!$B60,'Supply planning data'!$C:$C,DataViz!W$34),
IF(W$35="Wastage",SUMIFS('Supply planning data'!$K:$K,'Supply planning data'!$D:$D,DataViz!$B60,'Supply planning data'!$C:$C,DataViz!W$34),
IF(W$35="Additional",SUMIFS('Supply planning data'!$I:$I,'Supply planning data'!$D:$D,DataViz!$B60,'Supply planning data'!$C:$C,DataViz!W$34),
0))))</f>
        <v>0</v>
      </c>
      <c r="X60" s="22">
        <f>IF(X$35="Dose 1",SUMIFS('Supply planning data'!$G:$G,'Supply planning data'!$D:$D,DataViz!$B60,'Supply planning data'!$C:$C,DataViz!X$34),
IF(X$35="Dose 2",SUMIFS('Supply planning data'!$H:$H,'Supply planning data'!$D:$D,DataViz!$B60,'Supply planning data'!$C:$C,DataViz!X$34),
IF(X$35="Wastage",SUMIFS('Supply planning data'!$K:$K,'Supply planning data'!$D:$D,DataViz!$B60,'Supply planning data'!$C:$C,DataViz!X$34),
IF(X$35="Additional",SUMIFS('Supply planning data'!$I:$I,'Supply planning data'!$D:$D,DataViz!$B60,'Supply planning data'!$C:$C,DataViz!X$34),
0))))</f>
        <v>0</v>
      </c>
      <c r="Y60" s="22">
        <f>IF(Y$35="Dose 1",SUMIFS('Supply planning data'!$G:$G,'Supply planning data'!$D:$D,DataViz!$B60,'Supply planning data'!$C:$C,DataViz!Y$34),
IF(Y$35="Dose 2",SUMIFS('Supply planning data'!$H:$H,'Supply planning data'!$D:$D,DataViz!$B60,'Supply planning data'!$C:$C,DataViz!Y$34),
IF(Y$35="Wastage",SUMIFS('Supply planning data'!$K:$K,'Supply planning data'!$D:$D,DataViz!$B60,'Supply planning data'!$C:$C,DataViz!Y$34),
IF(Y$35="Additional",SUMIFS('Supply planning data'!$I:$I,'Supply planning data'!$D:$D,DataViz!$B60,'Supply planning data'!$C:$C,DataViz!Y$34),
0))))</f>
        <v>0</v>
      </c>
      <c r="Z60" s="22">
        <f>IF(Z$35="Dose 1",SUMIFS('Supply planning data'!$G:$G,'Supply planning data'!$D:$D,DataViz!$B60,'Supply planning data'!$C:$C,DataViz!Z$34),
IF(Z$35="Dose 2",SUMIFS('Supply planning data'!$H:$H,'Supply planning data'!$D:$D,DataViz!$B60,'Supply planning data'!$C:$C,DataViz!Z$34),
IF(Z$35="Wastage",SUMIFS('Supply planning data'!$K:$K,'Supply planning data'!$D:$D,DataViz!$B60,'Supply planning data'!$C:$C,DataViz!Z$34),
IF(Z$35="Additional",SUMIFS('Supply planning data'!$I:$I,'Supply planning data'!$D:$D,DataViz!$B60,'Supply planning data'!$C:$C,DataViz!Z$34),
0))))</f>
        <v>0</v>
      </c>
      <c r="AA60" s="22">
        <f>IF(AA$35="Dose 1",SUMIFS('Supply planning data'!$G:$G,'Supply planning data'!$D:$D,DataViz!$B60,'Supply planning data'!$C:$C,DataViz!AA$34),
IF(AA$35="Dose 2",SUMIFS('Supply planning data'!$H:$H,'Supply planning data'!$D:$D,DataViz!$B60,'Supply planning data'!$C:$C,DataViz!AA$34),
IF(AA$35="Wastage",SUMIFS('Supply planning data'!$K:$K,'Supply planning data'!$D:$D,DataViz!$B60,'Supply planning data'!$C:$C,DataViz!AA$34),
IF(AA$35="Additional",SUMIFS('Supply planning data'!$I:$I,'Supply planning data'!$D:$D,DataViz!$B60,'Supply planning data'!$C:$C,DataViz!AA$34),
0))))</f>
        <v>0</v>
      </c>
      <c r="AB60" s="22">
        <f>IF(AB$35="Dose 1",SUMIFS('Supply planning data'!$G:$G,'Supply planning data'!$D:$D,DataViz!$B60,'Supply planning data'!$C:$C,DataViz!AB$34),
IF(AB$35="Dose 2",SUMIFS('Supply planning data'!$H:$H,'Supply planning data'!$D:$D,DataViz!$B60,'Supply planning data'!$C:$C,DataViz!AB$34),
IF(AB$35="Wastage",SUMIFS('Supply planning data'!$K:$K,'Supply planning data'!$D:$D,DataViz!$B60,'Supply planning data'!$C:$C,DataViz!AB$34),
IF(AB$35="Additional",SUMIFS('Supply planning data'!$I:$I,'Supply planning data'!$D:$D,DataViz!$B60,'Supply planning data'!$C:$C,DataViz!AB$34),
0))))</f>
        <v>0</v>
      </c>
      <c r="AC60" s="22">
        <f>IF(AC$35="Dose 1",SUMIFS('Supply planning data'!$G:$G,'Supply planning data'!$D:$D,DataViz!$B60,'Supply planning data'!$C:$C,DataViz!AC$34),
IF(AC$35="Dose 2",SUMIFS('Supply planning data'!$H:$H,'Supply planning data'!$D:$D,DataViz!$B60,'Supply planning data'!$C:$C,DataViz!AC$34),
IF(AC$35="Wastage",SUMIFS('Supply planning data'!$K:$K,'Supply planning data'!$D:$D,DataViz!$B60,'Supply planning data'!$C:$C,DataViz!AC$34),
IF(AC$35="Additional",SUMIFS('Supply planning data'!$I:$I,'Supply planning data'!$D:$D,DataViz!$B60,'Supply planning data'!$C:$C,DataViz!AC$34),
0))))</f>
        <v>0</v>
      </c>
      <c r="AD60" s="22">
        <f>IF(AD$35="Dose 1",SUMIFS('Supply planning data'!$G:$G,'Supply planning data'!$D:$D,DataViz!$B60,'Supply planning data'!$C:$C,DataViz!AD$34),
IF(AD$35="Dose 2",SUMIFS('Supply planning data'!$H:$H,'Supply planning data'!$D:$D,DataViz!$B60,'Supply planning data'!$C:$C,DataViz!AD$34),
IF(AD$35="Wastage",SUMIFS('Supply planning data'!$K:$K,'Supply planning data'!$D:$D,DataViz!$B60,'Supply planning data'!$C:$C,DataViz!AD$34),
IF(AD$35="Additional",SUMIFS('Supply planning data'!$I:$I,'Supply planning data'!$D:$D,DataViz!$B60,'Supply planning data'!$C:$C,DataViz!AD$34),
0))))</f>
        <v>0</v>
      </c>
      <c r="AE60" s="22">
        <f>IF(AE$35="Dose 1",SUMIFS('Supply planning data'!$G:$G,'Supply planning data'!$D:$D,DataViz!$B60,'Supply planning data'!$C:$C,DataViz!AE$34),
IF(AE$35="Dose 2",SUMIFS('Supply planning data'!$H:$H,'Supply planning data'!$D:$D,DataViz!$B60,'Supply planning data'!$C:$C,DataViz!AE$34),
IF(AE$35="Wastage",SUMIFS('Supply planning data'!$K:$K,'Supply planning data'!$D:$D,DataViz!$B60,'Supply planning data'!$C:$C,DataViz!AE$34),
IF(AE$35="Additional",SUMIFS('Supply planning data'!$I:$I,'Supply planning data'!$D:$D,DataViz!$B60,'Supply planning data'!$C:$C,DataViz!AE$34),
0))))</f>
        <v>0</v>
      </c>
      <c r="AF60" s="22">
        <f>IF(AF$35="Dose 1",SUMIFS('Supply planning data'!$G:$G,'Supply planning data'!$D:$D,DataViz!$B60,'Supply planning data'!$C:$C,DataViz!AF$34),
IF(AF$35="Dose 2",SUMIFS('Supply planning data'!$H:$H,'Supply planning data'!$D:$D,DataViz!$B60,'Supply planning data'!$C:$C,DataViz!AF$34),
IF(AF$35="Wastage",SUMIFS('Supply planning data'!$K:$K,'Supply planning data'!$D:$D,DataViz!$B60,'Supply planning data'!$C:$C,DataViz!AF$34),
IF(AF$35="Additional",SUMIFS('Supply planning data'!$I:$I,'Supply planning data'!$D:$D,DataViz!$B60,'Supply planning data'!$C:$C,DataViz!AF$34),
0))))</f>
        <v>0</v>
      </c>
      <c r="AG60" s="22">
        <f>IF(AG$35="Dose 1",SUMIFS('Supply planning data'!$G:$G,'Supply planning data'!$D:$D,DataViz!$B60,'Supply planning data'!$C:$C,DataViz!AG$34),
IF(AG$35="Dose 2",SUMIFS('Supply planning data'!$H:$H,'Supply planning data'!$D:$D,DataViz!$B60,'Supply planning data'!$C:$C,DataViz!AG$34),
IF(AG$35="Wastage",SUMIFS('Supply planning data'!$K:$K,'Supply planning data'!$D:$D,DataViz!$B60,'Supply planning data'!$C:$C,DataViz!AG$34),
IF(AG$35="Additional",SUMIFS('Supply planning data'!$I:$I,'Supply planning data'!$D:$D,DataViz!$B60,'Supply planning data'!$C:$C,DataViz!AG$34),
0))))</f>
        <v>0</v>
      </c>
      <c r="AH60" s="22">
        <f>IF(AH$35="Dose 1",SUMIFS('Supply planning data'!$G:$G,'Supply planning data'!$D:$D,DataViz!$B60,'Supply planning data'!$C:$C,DataViz!AH$34),
IF(AH$35="Dose 2",SUMIFS('Supply planning data'!$H:$H,'Supply planning data'!$D:$D,DataViz!$B60,'Supply planning data'!$C:$C,DataViz!AH$34),
IF(AH$35="Wastage",SUMIFS('Supply planning data'!$K:$K,'Supply planning data'!$D:$D,DataViz!$B60,'Supply planning data'!$C:$C,DataViz!AH$34),
IF(AH$35="Additional",SUMIFS('Supply planning data'!$I:$I,'Supply planning data'!$D:$D,DataViz!$B60,'Supply planning data'!$C:$C,DataViz!AH$34),
0))))</f>
        <v>0</v>
      </c>
      <c r="AI60" s="22">
        <f>IF(AI$35="Dose 1",SUMIFS('Supply planning data'!$G:$G,'Supply planning data'!$D:$D,DataViz!$B60,'Supply planning data'!$C:$C,DataViz!AI$34),
IF(AI$35="Dose 2",SUMIFS('Supply planning data'!$H:$H,'Supply planning data'!$D:$D,DataViz!$B60,'Supply planning data'!$C:$C,DataViz!AI$34),
IF(AI$35="Wastage",SUMIFS('Supply planning data'!$K:$K,'Supply planning data'!$D:$D,DataViz!$B60,'Supply planning data'!$C:$C,DataViz!AI$34),
IF(AI$35="Additional",SUMIFS('Supply planning data'!$I:$I,'Supply planning data'!$D:$D,DataViz!$B60,'Supply planning data'!$C:$C,DataViz!AI$34),
0))))</f>
        <v>0</v>
      </c>
      <c r="AJ60" s="22">
        <f>IF(AJ$35="Dose 1",SUMIFS('Supply planning data'!$G:$G,'Supply planning data'!$D:$D,DataViz!$B60,'Supply planning data'!$C:$C,DataViz!AJ$34),
IF(AJ$35="Dose 2",SUMIFS('Supply planning data'!$H:$H,'Supply planning data'!$D:$D,DataViz!$B60,'Supply planning data'!$C:$C,DataViz!AJ$34),
IF(AJ$35="Wastage",SUMIFS('Supply planning data'!$K:$K,'Supply planning data'!$D:$D,DataViz!$B60,'Supply planning data'!$C:$C,DataViz!AJ$34),
IF(AJ$35="Additional",SUMIFS('Supply planning data'!$I:$I,'Supply planning data'!$D:$D,DataViz!$B60,'Supply planning data'!$C:$C,DataViz!AJ$34),
0))))</f>
        <v>0</v>
      </c>
      <c r="AK60" s="22">
        <f>IF(AK$35="Dose 1",SUMIFS('Supply planning data'!$G:$G,'Supply planning data'!$D:$D,DataViz!$B60,'Supply planning data'!$C:$C,DataViz!AK$34),
IF(AK$35="Dose 2",SUMIFS('Supply planning data'!$H:$H,'Supply planning data'!$D:$D,DataViz!$B60,'Supply planning data'!$C:$C,DataViz!AK$34),
IF(AK$35="Wastage",SUMIFS('Supply planning data'!$K:$K,'Supply planning data'!$D:$D,DataViz!$B60,'Supply planning data'!$C:$C,DataViz!AK$34),
IF(AK$35="Additional",SUMIFS('Supply planning data'!$I:$I,'Supply planning data'!$D:$D,DataViz!$B60,'Supply planning data'!$C:$C,DataViz!AK$34),
0))))</f>
        <v>0</v>
      </c>
      <c r="AL60" s="22">
        <f>IF(AL$35="Dose 1",SUMIFS('Supply planning data'!$G:$G,'Supply planning data'!$D:$D,DataViz!$B60,'Supply planning data'!$C:$C,DataViz!AL$34),
IF(AL$35="Dose 2",SUMIFS('Supply planning data'!$H:$H,'Supply planning data'!$D:$D,DataViz!$B60,'Supply planning data'!$C:$C,DataViz!AL$34),
IF(AL$35="Wastage",SUMIFS('Supply planning data'!$K:$K,'Supply planning data'!$D:$D,DataViz!$B60,'Supply planning data'!$C:$C,DataViz!AL$34),
IF(AL$35="Additional",SUMIFS('Supply planning data'!$I:$I,'Supply planning data'!$D:$D,DataViz!$B60,'Supply planning data'!$C:$C,DataViz!AL$34),
0))))</f>
        <v>0</v>
      </c>
      <c r="AM60" s="22">
        <f>IF(AM$35="Dose 1",SUMIFS('Supply planning data'!$G:$G,'Supply planning data'!$D:$D,DataViz!$B60,'Supply planning data'!$C:$C,DataViz!AM$34),
IF(AM$35="Dose 2",SUMIFS('Supply planning data'!$H:$H,'Supply planning data'!$D:$D,DataViz!$B60,'Supply planning data'!$C:$C,DataViz!AM$34),
IF(AM$35="Wastage",SUMIFS('Supply planning data'!$K:$K,'Supply planning data'!$D:$D,DataViz!$B60,'Supply planning data'!$C:$C,DataViz!AM$34),
IF(AM$35="Additional",SUMIFS('Supply planning data'!$I:$I,'Supply planning data'!$D:$D,DataViz!$B60,'Supply planning data'!$C:$C,DataViz!AM$34),
0))))</f>
        <v>0</v>
      </c>
      <c r="AN60" s="22">
        <f>IF(AN$35="Dose 1",SUMIFS('Supply planning data'!$G:$G,'Supply planning data'!$D:$D,DataViz!$B60,'Supply planning data'!$C:$C,DataViz!AN$34),
IF(AN$35="Dose 2",SUMIFS('Supply planning data'!$H:$H,'Supply planning data'!$D:$D,DataViz!$B60,'Supply planning data'!$C:$C,DataViz!AN$34),
IF(AN$35="Wastage",SUMIFS('Supply planning data'!$K:$K,'Supply planning data'!$D:$D,DataViz!$B60,'Supply planning data'!$C:$C,DataViz!AN$34),
IF(AN$35="Additional",SUMIFS('Supply planning data'!$I:$I,'Supply planning data'!$D:$D,DataViz!$B60,'Supply planning data'!$C:$C,DataViz!AN$34),
0))))</f>
        <v>0</v>
      </c>
      <c r="AO60" s="22">
        <f>IF(AO$35="Dose 1",SUMIFS('Supply planning data'!$G:$G,'Supply planning data'!$D:$D,DataViz!$B60,'Supply planning data'!$C:$C,DataViz!AO$34),
IF(AO$35="Dose 2",SUMIFS('Supply planning data'!$H:$H,'Supply planning data'!$D:$D,DataViz!$B60,'Supply planning data'!$C:$C,DataViz!AO$34),
IF(AO$35="Wastage",SUMIFS('Supply planning data'!$K:$K,'Supply planning data'!$D:$D,DataViz!$B60,'Supply planning data'!$C:$C,DataViz!AO$34),
IF(AO$35="Additional",SUMIFS('Supply planning data'!$I:$I,'Supply planning data'!$D:$D,DataViz!$B60,'Supply planning data'!$C:$C,DataViz!AO$34),
0))))</f>
        <v>0</v>
      </c>
      <c r="AP60" s="22">
        <f>IF(AP$35="Dose 1",SUMIFS('Supply planning data'!$G:$G,'Supply planning data'!$D:$D,DataViz!$B60,'Supply planning data'!$C:$C,DataViz!AP$34),
IF(AP$35="Dose 2",SUMIFS('Supply planning data'!$H:$H,'Supply planning data'!$D:$D,DataViz!$B60,'Supply planning data'!$C:$C,DataViz!AP$34),
IF(AP$35="Wastage",SUMIFS('Supply planning data'!$K:$K,'Supply planning data'!$D:$D,DataViz!$B60,'Supply planning data'!$C:$C,DataViz!AP$34),
IF(AP$35="Additional",SUMIFS('Supply planning data'!$I:$I,'Supply planning data'!$D:$D,DataViz!$B60,'Supply planning data'!$C:$C,DataViz!AP$34),
0))))</f>
        <v>0</v>
      </c>
      <c r="AQ60" s="22">
        <f>IF(AQ$35="Dose 1",SUMIFS('Supply planning data'!$G:$G,'Supply planning data'!$D:$D,DataViz!$B60,'Supply planning data'!$C:$C,DataViz!AQ$34),
IF(AQ$35="Dose 2",SUMIFS('Supply planning data'!$H:$H,'Supply planning data'!$D:$D,DataViz!$B60,'Supply planning data'!$C:$C,DataViz!AQ$34),
IF(AQ$35="Wastage",SUMIFS('Supply planning data'!$K:$K,'Supply planning data'!$D:$D,DataViz!$B60,'Supply planning data'!$C:$C,DataViz!AQ$34),
IF(AQ$35="Additional",SUMIFS('Supply planning data'!$I:$I,'Supply planning data'!$D:$D,DataViz!$B60,'Supply planning data'!$C:$C,DataViz!AQ$34),
0))))</f>
        <v>0</v>
      </c>
      <c r="AR60" s="22">
        <f>IF(AR$35="Dose 1",SUMIFS('Supply planning data'!$G:$G,'Supply planning data'!$D:$D,DataViz!$B60,'Supply planning data'!$C:$C,DataViz!AR$34),
IF(AR$35="Dose 2",SUMIFS('Supply planning data'!$H:$H,'Supply planning data'!$D:$D,DataViz!$B60,'Supply planning data'!$C:$C,DataViz!AR$34),
IF(AR$35="Wastage",SUMIFS('Supply planning data'!$K:$K,'Supply planning data'!$D:$D,DataViz!$B60,'Supply planning data'!$C:$C,DataViz!AR$34),
IF(AR$35="Additional",SUMIFS('Supply planning data'!$I:$I,'Supply planning data'!$D:$D,DataViz!$B60,'Supply planning data'!$C:$C,DataViz!AR$34),
0))))</f>
        <v>0</v>
      </c>
      <c r="AS60" s="22">
        <f>IF(AS$35="Dose 1",SUMIFS('Supply planning data'!$G:$G,'Supply planning data'!$D:$D,DataViz!$B60,'Supply planning data'!$C:$C,DataViz!AS$34),
IF(AS$35="Dose 2",SUMIFS('Supply planning data'!$H:$H,'Supply planning data'!$D:$D,DataViz!$B60,'Supply planning data'!$C:$C,DataViz!AS$34),
IF(AS$35="Wastage",SUMIFS('Supply planning data'!$K:$K,'Supply planning data'!$D:$D,DataViz!$B60,'Supply planning data'!$C:$C,DataViz!AS$34),
IF(AS$35="Additional",SUMIFS('Supply planning data'!$I:$I,'Supply planning data'!$D:$D,DataViz!$B60,'Supply planning data'!$C:$C,DataViz!AS$34),
0))))</f>
        <v>0</v>
      </c>
      <c r="AT60" s="22">
        <f>IF(AT$35="Dose 1",SUMIFS('Supply planning data'!$G:$G,'Supply planning data'!$D:$D,DataViz!$B60,'Supply planning data'!$C:$C,DataViz!AT$34),
IF(AT$35="Dose 2",SUMIFS('Supply planning data'!$H:$H,'Supply planning data'!$D:$D,DataViz!$B60,'Supply planning data'!$C:$C,DataViz!AT$34),
IF(AT$35="Wastage",SUMIFS('Supply planning data'!$K:$K,'Supply planning data'!$D:$D,DataViz!$B60,'Supply planning data'!$C:$C,DataViz!AT$34),
IF(AT$35="Additional",SUMIFS('Supply planning data'!$I:$I,'Supply planning data'!$D:$D,DataViz!$B60,'Supply planning data'!$C:$C,DataViz!AT$34),
0))))</f>
        <v>0</v>
      </c>
      <c r="AU60" s="22">
        <f>IF(AU$35="Dose 1",SUMIFS('Supply planning data'!$G:$G,'Supply planning data'!$D:$D,DataViz!$B60,'Supply planning data'!$C:$C,DataViz!AU$34),
IF(AU$35="Dose 2",SUMIFS('Supply planning data'!$H:$H,'Supply planning data'!$D:$D,DataViz!$B60,'Supply planning data'!$C:$C,DataViz!AU$34),
IF(AU$35="Wastage",SUMIFS('Supply planning data'!$K:$K,'Supply planning data'!$D:$D,DataViz!$B60,'Supply planning data'!$C:$C,DataViz!AU$34),
IF(AU$35="Additional",SUMIFS('Supply planning data'!$I:$I,'Supply planning data'!$D:$D,DataViz!$B60,'Supply planning data'!$C:$C,DataViz!AU$34),
0))))</f>
        <v>0</v>
      </c>
      <c r="AV60" s="22">
        <f>IF(AV$35="Dose 1",SUMIFS('Supply planning data'!$G:$G,'Supply planning data'!$D:$D,DataViz!$B60,'Supply planning data'!$C:$C,DataViz!AV$34),
IF(AV$35="Dose 2",SUMIFS('Supply planning data'!$H:$H,'Supply planning data'!$D:$D,DataViz!$B60,'Supply planning data'!$C:$C,DataViz!AV$34),
IF(AV$35="Wastage",SUMIFS('Supply planning data'!$K:$K,'Supply planning data'!$D:$D,DataViz!$B60,'Supply planning data'!$C:$C,DataViz!AV$34),
IF(AV$35="Additional",SUMIFS('Supply planning data'!$I:$I,'Supply planning data'!$D:$D,DataViz!$B60,'Supply planning data'!$C:$C,DataViz!AV$34),
0))))</f>
        <v>0</v>
      </c>
      <c r="AW60" s="22">
        <f>IF(AW$35="Dose 1",SUMIFS('Supply planning data'!$G:$G,'Supply planning data'!$D:$D,DataViz!$B60,'Supply planning data'!$C:$C,DataViz!AW$34),
IF(AW$35="Dose 2",SUMIFS('Supply planning data'!$H:$H,'Supply planning data'!$D:$D,DataViz!$B60,'Supply planning data'!$C:$C,DataViz!AW$34),
IF(AW$35="Wastage",SUMIFS('Supply planning data'!$K:$K,'Supply planning data'!$D:$D,DataViz!$B60,'Supply planning data'!$C:$C,DataViz!AW$34),
IF(AW$35="Additional",SUMIFS('Supply planning data'!$I:$I,'Supply planning data'!$D:$D,DataViz!$B60,'Supply planning data'!$C:$C,DataViz!AW$34),
0))))</f>
        <v>0</v>
      </c>
      <c r="AX60" s="22">
        <f>IF(AX$35="Dose 1",SUMIFS('Supply planning data'!$G:$G,'Supply planning data'!$D:$D,DataViz!$B60,'Supply planning data'!$C:$C,DataViz!AX$34),
IF(AX$35="Dose 2",SUMIFS('Supply planning data'!$H:$H,'Supply planning data'!$D:$D,DataViz!$B60,'Supply planning data'!$C:$C,DataViz!AX$34),
IF(AX$35="Wastage",SUMIFS('Supply planning data'!$K:$K,'Supply planning data'!$D:$D,DataViz!$B60,'Supply planning data'!$C:$C,DataViz!AX$34),
IF(AX$35="Additional",SUMIFS('Supply planning data'!$I:$I,'Supply planning data'!$D:$D,DataViz!$B60,'Supply planning data'!$C:$C,DataViz!AX$34),
0))))</f>
        <v>0</v>
      </c>
      <c r="AY60" s="22">
        <f>IF(AY$35="Dose 1",SUMIFS('Supply planning data'!$G:$G,'Supply planning data'!$D:$D,DataViz!$B60,'Supply planning data'!$C:$C,DataViz!AY$34),
IF(AY$35="Dose 2",SUMIFS('Supply planning data'!$H:$H,'Supply planning data'!$D:$D,DataViz!$B60,'Supply planning data'!$C:$C,DataViz!AY$34),
IF(AY$35="Wastage",SUMIFS('Supply planning data'!$K:$K,'Supply planning data'!$D:$D,DataViz!$B60,'Supply planning data'!$C:$C,DataViz!AY$34),
IF(AY$35="Additional",SUMIFS('Supply planning data'!$I:$I,'Supply planning data'!$D:$D,DataViz!$B60,'Supply planning data'!$C:$C,DataViz!AY$34),
0))))</f>
        <v>0</v>
      </c>
      <c r="AZ60" s="22">
        <f>IF(AZ$35="Dose 1",SUMIFS('Supply planning data'!$G:$G,'Supply planning data'!$D:$D,DataViz!$B60,'Supply planning data'!$C:$C,DataViz!AZ$34),
IF(AZ$35="Dose 2",SUMIFS('Supply planning data'!$H:$H,'Supply planning data'!$D:$D,DataViz!$B60,'Supply planning data'!$C:$C,DataViz!AZ$34),
IF(AZ$35="Wastage",SUMIFS('Supply planning data'!$K:$K,'Supply planning data'!$D:$D,DataViz!$B60,'Supply planning data'!$C:$C,DataViz!AZ$34),
IF(AZ$35="Additional",SUMIFS('Supply planning data'!$I:$I,'Supply planning data'!$D:$D,DataViz!$B60,'Supply planning data'!$C:$C,DataViz!AZ$34),
0))))</f>
        <v>0</v>
      </c>
      <c r="BA60" s="22">
        <f>IF(BA$35="Dose 1",SUMIFS('Supply planning data'!$G:$G,'Supply planning data'!$D:$D,DataViz!$B60,'Supply planning data'!$C:$C,DataViz!BA$34),
IF(BA$35="Dose 2",SUMIFS('Supply planning data'!$H:$H,'Supply planning data'!$D:$D,DataViz!$B60,'Supply planning data'!$C:$C,DataViz!BA$34),
IF(BA$35="Wastage",SUMIFS('Supply planning data'!$K:$K,'Supply planning data'!$D:$D,DataViz!$B60,'Supply planning data'!$C:$C,DataViz!BA$34),
IF(BA$35="Additional",SUMIFS('Supply planning data'!$I:$I,'Supply planning data'!$D:$D,DataViz!$B60,'Supply planning data'!$C:$C,DataViz!BA$34),
0))))</f>
        <v>0</v>
      </c>
      <c r="BB60" s="22">
        <f>IF(BB$35="Dose 1",SUMIFS('Supply planning data'!$G:$G,'Supply planning data'!$D:$D,DataViz!$B60,'Supply planning data'!$C:$C,DataViz!BB$34),
IF(BB$35="Dose 2",SUMIFS('Supply planning data'!$H:$H,'Supply planning data'!$D:$D,DataViz!$B60,'Supply planning data'!$C:$C,DataViz!BB$34),
IF(BB$35="Wastage",SUMIFS('Supply planning data'!$K:$K,'Supply planning data'!$D:$D,DataViz!$B60,'Supply planning data'!$C:$C,DataViz!BB$34),
IF(BB$35="Additional",SUMIFS('Supply planning data'!$I:$I,'Supply planning data'!$D:$D,DataViz!$B60,'Supply planning data'!$C:$C,DataViz!BB$34),
0))))</f>
        <v>0</v>
      </c>
      <c r="BC60" s="22">
        <f>IF(BC$35="Dose 1",SUMIFS('Supply planning data'!$G:$G,'Supply planning data'!$D:$D,DataViz!$B60,'Supply planning data'!$C:$C,DataViz!BC$34),
IF(BC$35="Dose 2",SUMIFS('Supply planning data'!$H:$H,'Supply planning data'!$D:$D,DataViz!$B60,'Supply planning data'!$C:$C,DataViz!BC$34),
IF(BC$35="Wastage",SUMIFS('Supply planning data'!$K:$K,'Supply planning data'!$D:$D,DataViz!$B60,'Supply planning data'!$C:$C,DataViz!BC$34),
IF(BC$35="Additional",SUMIFS('Supply planning data'!$I:$I,'Supply planning data'!$D:$D,DataViz!$B60,'Supply planning data'!$C:$C,DataViz!BC$34),
0))))</f>
        <v>0</v>
      </c>
      <c r="BD60" s="22">
        <f>IF(BD$35="Dose 1",SUMIFS('Supply planning data'!$G:$G,'Supply planning data'!$D:$D,DataViz!$B60,'Supply planning data'!$C:$C,DataViz!BD$34),
IF(BD$35="Dose 2",SUMIFS('Supply planning data'!$H:$H,'Supply planning data'!$D:$D,DataViz!$B60,'Supply planning data'!$C:$C,DataViz!BD$34),
IF(BD$35="Wastage",SUMIFS('Supply planning data'!$K:$K,'Supply planning data'!$D:$D,DataViz!$B60,'Supply planning data'!$C:$C,DataViz!BD$34),
IF(BD$35="Additional",SUMIFS('Supply planning data'!$I:$I,'Supply planning data'!$D:$D,DataViz!$B60,'Supply planning data'!$C:$C,DataViz!BD$34),
0))))</f>
        <v>0</v>
      </c>
      <c r="BE60" s="22">
        <f>IF(BE$35="Dose 1",SUMIFS('Supply planning data'!$G:$G,'Supply planning data'!$D:$D,DataViz!$B60,'Supply planning data'!$C:$C,DataViz!BE$34),
IF(BE$35="Dose 2",SUMIFS('Supply planning data'!$H:$H,'Supply planning data'!$D:$D,DataViz!$B60,'Supply planning data'!$C:$C,DataViz!BE$34),
IF(BE$35="Wastage",SUMIFS('Supply planning data'!$K:$K,'Supply planning data'!$D:$D,DataViz!$B60,'Supply planning data'!$C:$C,DataViz!BE$34),
IF(BE$35="Additional",SUMIFS('Supply planning data'!$I:$I,'Supply planning data'!$D:$D,DataViz!$B60,'Supply planning data'!$C:$C,DataViz!BE$34),
0))))</f>
        <v>0</v>
      </c>
      <c r="BF60" s="22">
        <f>IF(BF$35="Dose 1",SUMIFS('Supply planning data'!$G:$G,'Supply planning data'!$D:$D,DataViz!$B60,'Supply planning data'!$C:$C,DataViz!BF$34),
IF(BF$35="Dose 2",SUMIFS('Supply planning data'!$H:$H,'Supply planning data'!$D:$D,DataViz!$B60,'Supply planning data'!$C:$C,DataViz!BF$34),
IF(BF$35="Wastage",SUMIFS('Supply planning data'!$K:$K,'Supply planning data'!$D:$D,DataViz!$B60,'Supply planning data'!$C:$C,DataViz!BF$34),
IF(BF$35="Additional",SUMIFS('Supply planning data'!$I:$I,'Supply planning data'!$D:$D,DataViz!$B60,'Supply planning data'!$C:$C,DataViz!BF$34),
0))))</f>
        <v>0</v>
      </c>
      <c r="BG60" s="22">
        <f>IF(BG$35="Dose 1",SUMIFS('Supply planning data'!$G:$G,'Supply planning data'!$D:$D,DataViz!$B60,'Supply planning data'!$C:$C,DataViz!BG$34),
IF(BG$35="Dose 2",SUMIFS('Supply planning data'!$H:$H,'Supply planning data'!$D:$D,DataViz!$B60,'Supply planning data'!$C:$C,DataViz!BG$34),
IF(BG$35="Wastage",SUMIFS('Supply planning data'!$K:$K,'Supply planning data'!$D:$D,DataViz!$B60,'Supply planning data'!$C:$C,DataViz!BG$34),
IF(BG$35="Additional",SUMIFS('Supply planning data'!$I:$I,'Supply planning data'!$D:$D,DataViz!$B60,'Supply planning data'!$C:$C,DataViz!BG$34),
0))))</f>
        <v>0</v>
      </c>
      <c r="BH60" s="22">
        <f>IF(BH$35="Dose 1",SUMIFS('Supply planning data'!$G:$G,'Supply planning data'!$D:$D,DataViz!$B60,'Supply planning data'!$C:$C,DataViz!BH$34),
IF(BH$35="Dose 2",SUMIFS('Supply planning data'!$H:$H,'Supply planning data'!$D:$D,DataViz!$B60,'Supply planning data'!$C:$C,DataViz!BH$34),
IF(BH$35="Wastage",SUMIFS('Supply planning data'!$K:$K,'Supply planning data'!$D:$D,DataViz!$B60,'Supply planning data'!$C:$C,DataViz!BH$34),
IF(BH$35="Additional",SUMIFS('Supply planning data'!$I:$I,'Supply planning data'!$D:$D,DataViz!$B60,'Supply planning data'!$C:$C,DataViz!BH$34),
0))))</f>
        <v>0</v>
      </c>
      <c r="BI60" s="22">
        <f>IF(BI$35="Dose 1",SUMIFS('Supply planning data'!$G:$G,'Supply planning data'!$D:$D,DataViz!$B60,'Supply planning data'!$C:$C,DataViz!BI$34),
IF(BI$35="Dose 2",SUMIFS('Supply planning data'!$H:$H,'Supply planning data'!$D:$D,DataViz!$B60,'Supply planning data'!$C:$C,DataViz!BI$34),
IF(BI$35="Wastage",SUMIFS('Supply planning data'!$K:$K,'Supply planning data'!$D:$D,DataViz!$B60,'Supply planning data'!$C:$C,DataViz!BI$34),
IF(BI$35="Additional",SUMIFS('Supply planning data'!$I:$I,'Supply planning data'!$D:$D,DataViz!$B60,'Supply planning data'!$C:$C,DataViz!BI$34),
0))))</f>
        <v>0</v>
      </c>
      <c r="BJ60" s="22">
        <f>IF(BJ$35="Dose 1",SUMIFS('Supply planning data'!$G:$G,'Supply planning data'!$D:$D,DataViz!$B60,'Supply planning data'!$C:$C,DataViz!BJ$34),
IF(BJ$35="Dose 2",SUMIFS('Supply planning data'!$H:$H,'Supply planning data'!$D:$D,DataViz!$B60,'Supply planning data'!$C:$C,DataViz!BJ$34),
IF(BJ$35="Wastage",SUMIFS('Supply planning data'!$K:$K,'Supply planning data'!$D:$D,DataViz!$B60,'Supply planning data'!$C:$C,DataViz!BJ$34),
IF(BJ$35="Additional",SUMIFS('Supply planning data'!$I:$I,'Supply planning data'!$D:$D,DataViz!$B60,'Supply planning data'!$C:$C,DataViz!BJ$34),
0))))</f>
        <v>0</v>
      </c>
      <c r="BK60" s="22">
        <f>IF(BK$35="Dose 1",SUMIFS('Supply planning data'!$G:$G,'Supply planning data'!$D:$D,DataViz!$B60,'Supply planning data'!$C:$C,DataViz!BK$34),
IF(BK$35="Dose 2",SUMIFS('Supply planning data'!$H:$H,'Supply planning data'!$D:$D,DataViz!$B60,'Supply planning data'!$C:$C,DataViz!BK$34),
IF(BK$35="Wastage",SUMIFS('Supply planning data'!$K:$K,'Supply planning data'!$D:$D,DataViz!$B60,'Supply planning data'!$C:$C,DataViz!BK$34),
IF(BK$35="Additional",SUMIFS('Supply planning data'!$I:$I,'Supply planning data'!$D:$D,DataViz!$B60,'Supply planning data'!$C:$C,DataViz!BK$34),
0))))</f>
        <v>0</v>
      </c>
      <c r="BL60" s="22">
        <f>IF(BL$35="Dose 1",SUMIFS('Supply planning data'!$G:$G,'Supply planning data'!$D:$D,DataViz!$B60,'Supply planning data'!$C:$C,DataViz!BL$34),
IF(BL$35="Dose 2",SUMIFS('Supply planning data'!$H:$H,'Supply planning data'!$D:$D,DataViz!$B60,'Supply planning data'!$C:$C,DataViz!BL$34),
IF(BL$35="Wastage",SUMIFS('Supply planning data'!$K:$K,'Supply planning data'!$D:$D,DataViz!$B60,'Supply planning data'!$C:$C,DataViz!BL$34),
IF(BL$35="Additional",SUMIFS('Supply planning data'!$I:$I,'Supply planning data'!$D:$D,DataViz!$B60,'Supply planning data'!$C:$C,DataViz!BL$34),
0))))</f>
        <v>0</v>
      </c>
    </row>
    <row r="61" spans="1:64" x14ac:dyDescent="0.25">
      <c r="A61" s="20">
        <v>23</v>
      </c>
      <c r="B61" s="21">
        <f t="shared" si="15"/>
        <v>44958</v>
      </c>
      <c r="C61" s="22">
        <f>IF(VLOOKUP(Dashboard!$M$6,Start!$B$10:$E$12,4,FALSE)&gt;0,VLOOKUP(Dashboard!$M$6,Start!$B$10:$E$12,4, FALSE),VLOOKUP(Dashboard!$M$6,Start!$B$10:$E$12,3, FALSE))</f>
        <v>60000000</v>
      </c>
      <c r="D61" s="22">
        <f>SUMIFS('Supply planning data'!M:M,'Supply planning data'!D:D,"&lt;="&amp;DataViz!B61)</f>
        <v>2720887</v>
      </c>
      <c r="E61" s="22">
        <f>IF(E$35="Dose 1",SUMIFS('Supply planning data'!$G:$G,'Supply planning data'!$D:$D,DataViz!$B61,'Supply planning data'!$C:$C,DataViz!E$34),
IF(E$35="Dose 2",SUMIFS('Supply planning data'!$H:$H,'Supply planning data'!$D:$D,DataViz!$B61,'Supply planning data'!$C:$C,DataViz!E$34),
IF(E$35="Wastage",SUMIFS('Supply planning data'!$K:$K,'Supply planning data'!$D:$D,DataViz!$B61,'Supply planning data'!$C:$C,DataViz!E$34),
IF(E$35="Additional",SUMIFS('Supply planning data'!$I:$I,'Supply planning data'!$D:$D,DataViz!$B61,'Supply planning data'!$C:$C,DataViz!E$34),
0))))</f>
        <v>0</v>
      </c>
      <c r="F61" s="22">
        <f>IF(F$35="Dose 1",SUMIFS('Supply planning data'!$G:$G,'Supply planning data'!$D:$D,DataViz!$B61,'Supply planning data'!$C:$C,DataViz!F$34),
IF(F$35="Dose 2",SUMIFS('Supply planning data'!$H:$H,'Supply planning data'!$D:$D,DataViz!$B61,'Supply planning data'!$C:$C,DataViz!F$34),
IF(F$35="Wastage",SUMIFS('Supply planning data'!$K:$K,'Supply planning data'!$D:$D,DataViz!$B61,'Supply planning data'!$C:$C,DataViz!F$34),
IF(F$35="Additional",SUMIFS('Supply planning data'!$I:$I,'Supply planning data'!$D:$D,DataViz!$B61,'Supply planning data'!$C:$C,DataViz!F$34),
0))))</f>
        <v>0</v>
      </c>
      <c r="G61" s="22">
        <f>IF(G$35="Dose 1",SUMIFS('Supply planning data'!$G:$G,'Supply planning data'!$D:$D,DataViz!$B61,'Supply planning data'!$C:$C,DataViz!G$34),
IF(G$35="Dose 2",SUMIFS('Supply planning data'!$H:$H,'Supply planning data'!$D:$D,DataViz!$B61,'Supply planning data'!$C:$C,DataViz!G$34),
IF(G$35="Wastage",SUMIFS('Supply planning data'!$K:$K,'Supply planning data'!$D:$D,DataViz!$B61,'Supply planning data'!$C:$C,DataViz!G$34),
IF(G$35="Additional",SUMIFS('Supply planning data'!$I:$I,'Supply planning data'!$D:$D,DataViz!$B61,'Supply planning data'!$C:$C,DataViz!G$34),
0))))</f>
        <v>0</v>
      </c>
      <c r="H61" s="22">
        <f>IF(H$35="Dose 1",SUMIFS('Supply planning data'!$G:$G,'Supply planning data'!$D:$D,DataViz!$B61,'Supply planning data'!$C:$C,DataViz!H$34),
IF(H$35="Dose 2",SUMIFS('Supply planning data'!$H:$H,'Supply planning data'!$D:$D,DataViz!$B61,'Supply planning data'!$C:$C,DataViz!H$34),
IF(H$35="Wastage",SUMIFS('Supply planning data'!$K:$K,'Supply planning data'!$D:$D,DataViz!$B61,'Supply planning data'!$C:$C,DataViz!H$34),
IF(H$35="Additional",SUMIFS('Supply planning data'!$I:$I,'Supply planning data'!$D:$D,DataViz!$B61,'Supply planning data'!$C:$C,DataViz!H$34),
0))))</f>
        <v>0</v>
      </c>
      <c r="I61" s="22">
        <f>IF(I$35="Dose 1",SUMIFS('Supply planning data'!$G:$G,'Supply planning data'!$D:$D,DataViz!$B61,'Supply planning data'!$C:$C,DataViz!I$34),
IF(I$35="Dose 2",SUMIFS('Supply planning data'!$H:$H,'Supply planning data'!$D:$D,DataViz!$B61,'Supply planning data'!$C:$C,DataViz!I$34),
IF(I$35="Wastage",SUMIFS('Supply planning data'!$K:$K,'Supply planning data'!$D:$D,DataViz!$B61,'Supply planning data'!$C:$C,DataViz!I$34),
IF(I$35="Additional",SUMIFS('Supply planning data'!$I:$I,'Supply planning data'!$D:$D,DataViz!$B61,'Supply planning data'!$C:$C,DataViz!I$34),
0))))</f>
        <v>0</v>
      </c>
      <c r="J61" s="22">
        <f>IF(J$35="Dose 1",SUMIFS('Supply planning data'!$G:$G,'Supply planning data'!$D:$D,DataViz!$B61,'Supply planning data'!$C:$C,DataViz!J$34),
IF(J$35="Dose 2",SUMIFS('Supply planning data'!$H:$H,'Supply planning data'!$D:$D,DataViz!$B61,'Supply planning data'!$C:$C,DataViz!J$34),
IF(J$35="Wastage",SUMIFS('Supply planning data'!$K:$K,'Supply planning data'!$D:$D,DataViz!$B61,'Supply planning data'!$C:$C,DataViz!J$34),
IF(J$35="Additional",SUMIFS('Supply planning data'!$I:$I,'Supply planning data'!$D:$D,DataViz!$B61,'Supply planning data'!$C:$C,DataViz!J$34),
0))))</f>
        <v>0</v>
      </c>
      <c r="K61" s="22">
        <f>IF(K$35="Dose 1",SUMIFS('Supply planning data'!$G:$G,'Supply planning data'!$D:$D,DataViz!$B61,'Supply planning data'!$C:$C,DataViz!K$34),
IF(K$35="Dose 2",SUMIFS('Supply planning data'!$H:$H,'Supply planning data'!$D:$D,DataViz!$B61,'Supply planning data'!$C:$C,DataViz!K$34),
IF(K$35="Wastage",SUMIFS('Supply planning data'!$K:$K,'Supply planning data'!$D:$D,DataViz!$B61,'Supply planning data'!$C:$C,DataViz!K$34),
IF(K$35="Additional",SUMIFS('Supply planning data'!$I:$I,'Supply planning data'!$D:$D,DataViz!$B61,'Supply planning data'!$C:$C,DataViz!K$34),
0))))</f>
        <v>0</v>
      </c>
      <c r="L61" s="22">
        <f>IF(L$35="Dose 1",SUMIFS('Supply planning data'!$G:$G,'Supply planning data'!$D:$D,DataViz!$B61,'Supply planning data'!$C:$C,DataViz!L$34),
IF(L$35="Dose 2",SUMIFS('Supply planning data'!$H:$H,'Supply planning data'!$D:$D,DataViz!$B61,'Supply planning data'!$C:$C,DataViz!L$34),
IF(L$35="Wastage",SUMIFS('Supply planning data'!$K:$K,'Supply planning data'!$D:$D,DataViz!$B61,'Supply planning data'!$C:$C,DataViz!L$34),
IF(L$35="Additional",SUMIFS('Supply planning data'!$I:$I,'Supply planning data'!$D:$D,DataViz!$B61,'Supply planning data'!$C:$C,DataViz!L$34),
0))))</f>
        <v>0</v>
      </c>
      <c r="M61" s="22">
        <f>IF(M$35="Dose 1",SUMIFS('Supply planning data'!$G:$G,'Supply planning data'!$D:$D,DataViz!$B61,'Supply planning data'!$C:$C,DataViz!M$34),
IF(M$35="Dose 2",SUMIFS('Supply planning data'!$H:$H,'Supply planning data'!$D:$D,DataViz!$B61,'Supply planning data'!$C:$C,DataViz!M$34),
IF(M$35="Wastage",SUMIFS('Supply planning data'!$K:$K,'Supply planning data'!$D:$D,DataViz!$B61,'Supply planning data'!$C:$C,DataViz!M$34),
IF(M$35="Additional",SUMIFS('Supply planning data'!$I:$I,'Supply planning data'!$D:$D,DataViz!$B61,'Supply planning data'!$C:$C,DataViz!M$34),
0))))</f>
        <v>0</v>
      </c>
      <c r="N61" s="22">
        <f>IF(N$35="Dose 1",SUMIFS('Supply planning data'!$G:$G,'Supply planning data'!$D:$D,DataViz!$B61,'Supply planning data'!$C:$C,DataViz!N$34),
IF(N$35="Dose 2",SUMIFS('Supply planning data'!$H:$H,'Supply planning data'!$D:$D,DataViz!$B61,'Supply planning data'!$C:$C,DataViz!N$34),
IF(N$35="Wastage",SUMIFS('Supply planning data'!$K:$K,'Supply planning data'!$D:$D,DataViz!$B61,'Supply planning data'!$C:$C,DataViz!N$34),
IF(N$35="Additional",SUMIFS('Supply planning data'!$I:$I,'Supply planning data'!$D:$D,DataViz!$B61,'Supply planning data'!$C:$C,DataViz!N$34),
0))))</f>
        <v>0</v>
      </c>
      <c r="O61" s="22">
        <f>IF(O$35="Dose 1",SUMIFS('Supply planning data'!$G:$G,'Supply planning data'!$D:$D,DataViz!$B61,'Supply planning data'!$C:$C,DataViz!O$34),
IF(O$35="Dose 2",SUMIFS('Supply planning data'!$H:$H,'Supply planning data'!$D:$D,DataViz!$B61,'Supply planning data'!$C:$C,DataViz!O$34),
IF(O$35="Wastage",SUMIFS('Supply planning data'!$K:$K,'Supply planning data'!$D:$D,DataViz!$B61,'Supply planning data'!$C:$C,DataViz!O$34),
IF(O$35="Additional",SUMIFS('Supply planning data'!$I:$I,'Supply planning data'!$D:$D,DataViz!$B61,'Supply planning data'!$C:$C,DataViz!O$34),
0))))</f>
        <v>0</v>
      </c>
      <c r="P61" s="22">
        <f>IF(P$35="Dose 1",SUMIFS('Supply planning data'!$G:$G,'Supply planning data'!$D:$D,DataViz!$B61,'Supply planning data'!$C:$C,DataViz!P$34),
IF(P$35="Dose 2",SUMIFS('Supply planning data'!$H:$H,'Supply planning data'!$D:$D,DataViz!$B61,'Supply planning data'!$C:$C,DataViz!P$34),
IF(P$35="Wastage",SUMIFS('Supply planning data'!$K:$K,'Supply planning data'!$D:$D,DataViz!$B61,'Supply planning data'!$C:$C,DataViz!P$34),
IF(P$35="Additional",SUMIFS('Supply planning data'!$I:$I,'Supply planning data'!$D:$D,DataViz!$B61,'Supply planning data'!$C:$C,DataViz!P$34),
0))))</f>
        <v>0</v>
      </c>
      <c r="Q61" s="22">
        <f>IF(Q$35="Dose 1",SUMIFS('Supply planning data'!$G:$G,'Supply planning data'!$D:$D,DataViz!$B61,'Supply planning data'!$C:$C,DataViz!Q$34),
IF(Q$35="Dose 2",SUMIFS('Supply planning data'!$H:$H,'Supply planning data'!$D:$D,DataViz!$B61,'Supply planning data'!$C:$C,DataViz!Q$34),
IF(Q$35="Wastage",SUMIFS('Supply planning data'!$K:$K,'Supply planning data'!$D:$D,DataViz!$B61,'Supply planning data'!$C:$C,DataViz!Q$34),
IF(Q$35="Additional",SUMIFS('Supply planning data'!$I:$I,'Supply planning data'!$D:$D,DataViz!$B61,'Supply planning data'!$C:$C,DataViz!Q$34),
0))))</f>
        <v>0</v>
      </c>
      <c r="R61" s="22">
        <f>IF(R$35="Dose 1",SUMIFS('Supply planning data'!$G:$G,'Supply planning data'!$D:$D,DataViz!$B61,'Supply planning data'!$C:$C,DataViz!R$34),
IF(R$35="Dose 2",SUMIFS('Supply planning data'!$H:$H,'Supply planning data'!$D:$D,DataViz!$B61,'Supply planning data'!$C:$C,DataViz!R$34),
IF(R$35="Wastage",SUMIFS('Supply planning data'!$K:$K,'Supply planning data'!$D:$D,DataViz!$B61,'Supply planning data'!$C:$C,DataViz!R$34),
IF(R$35="Additional",SUMIFS('Supply planning data'!$I:$I,'Supply planning data'!$D:$D,DataViz!$B61,'Supply planning data'!$C:$C,DataViz!R$34),
0))))</f>
        <v>0</v>
      </c>
      <c r="S61" s="22">
        <f>IF(S$35="Dose 1",SUMIFS('Supply planning data'!$G:$G,'Supply planning data'!$D:$D,DataViz!$B61,'Supply planning data'!$C:$C,DataViz!S$34),
IF(S$35="Dose 2",SUMIFS('Supply planning data'!$H:$H,'Supply planning data'!$D:$D,DataViz!$B61,'Supply planning data'!$C:$C,DataViz!S$34),
IF(S$35="Wastage",SUMIFS('Supply planning data'!$K:$K,'Supply planning data'!$D:$D,DataViz!$B61,'Supply planning data'!$C:$C,DataViz!S$34),
IF(S$35="Additional",SUMIFS('Supply planning data'!$I:$I,'Supply planning data'!$D:$D,DataViz!$B61,'Supply planning data'!$C:$C,DataViz!S$34),
0))))</f>
        <v>0</v>
      </c>
      <c r="T61" s="22">
        <f>IF(T$35="Dose 1",SUMIFS('Supply planning data'!$G:$G,'Supply planning data'!$D:$D,DataViz!$B61,'Supply planning data'!$C:$C,DataViz!T$34),
IF(T$35="Dose 2",SUMIFS('Supply planning data'!$H:$H,'Supply planning data'!$D:$D,DataViz!$B61,'Supply planning data'!$C:$C,DataViz!T$34),
IF(T$35="Wastage",SUMIFS('Supply planning data'!$K:$K,'Supply planning data'!$D:$D,DataViz!$B61,'Supply planning data'!$C:$C,DataViz!T$34),
IF(T$35="Additional",SUMIFS('Supply planning data'!$I:$I,'Supply planning data'!$D:$D,DataViz!$B61,'Supply planning data'!$C:$C,DataViz!T$34),
0))))</f>
        <v>0</v>
      </c>
      <c r="U61" s="22">
        <f>IF(U$35="Dose 1",SUMIFS('Supply planning data'!$G:$G,'Supply planning data'!$D:$D,DataViz!$B61,'Supply planning data'!$C:$C,DataViz!U$34),
IF(U$35="Dose 2",SUMIFS('Supply planning data'!$H:$H,'Supply planning data'!$D:$D,DataViz!$B61,'Supply planning data'!$C:$C,DataViz!U$34),
IF(U$35="Wastage",SUMIFS('Supply planning data'!$K:$K,'Supply planning data'!$D:$D,DataViz!$B61,'Supply planning data'!$C:$C,DataViz!U$34),
IF(U$35="Additional",SUMIFS('Supply planning data'!$I:$I,'Supply planning data'!$D:$D,DataViz!$B61,'Supply planning data'!$C:$C,DataViz!U$34),
0))))</f>
        <v>0</v>
      </c>
      <c r="V61" s="22">
        <f>IF(V$35="Dose 1",SUMIFS('Supply planning data'!$G:$G,'Supply planning data'!$D:$D,DataViz!$B61,'Supply planning data'!$C:$C,DataViz!V$34),
IF(V$35="Dose 2",SUMIFS('Supply planning data'!$H:$H,'Supply planning data'!$D:$D,DataViz!$B61,'Supply planning data'!$C:$C,DataViz!V$34),
IF(V$35="Wastage",SUMIFS('Supply planning data'!$K:$K,'Supply planning data'!$D:$D,DataViz!$B61,'Supply planning data'!$C:$C,DataViz!V$34),
IF(V$35="Additional",SUMIFS('Supply planning data'!$I:$I,'Supply planning data'!$D:$D,DataViz!$B61,'Supply planning data'!$C:$C,DataViz!V$34),
0))))</f>
        <v>0</v>
      </c>
      <c r="W61" s="22">
        <f>IF(W$35="Dose 1",SUMIFS('Supply planning data'!$G:$G,'Supply planning data'!$D:$D,DataViz!$B61,'Supply planning data'!$C:$C,DataViz!W$34),
IF(W$35="Dose 2",SUMIFS('Supply planning data'!$H:$H,'Supply planning data'!$D:$D,DataViz!$B61,'Supply planning data'!$C:$C,DataViz!W$34),
IF(W$35="Wastage",SUMIFS('Supply planning data'!$K:$K,'Supply planning data'!$D:$D,DataViz!$B61,'Supply planning data'!$C:$C,DataViz!W$34),
IF(W$35="Additional",SUMIFS('Supply planning data'!$I:$I,'Supply planning data'!$D:$D,DataViz!$B61,'Supply planning data'!$C:$C,DataViz!W$34),
0))))</f>
        <v>0</v>
      </c>
      <c r="X61" s="22">
        <f>IF(X$35="Dose 1",SUMIFS('Supply planning data'!$G:$G,'Supply planning data'!$D:$D,DataViz!$B61,'Supply planning data'!$C:$C,DataViz!X$34),
IF(X$35="Dose 2",SUMIFS('Supply planning data'!$H:$H,'Supply planning data'!$D:$D,DataViz!$B61,'Supply planning data'!$C:$C,DataViz!X$34),
IF(X$35="Wastage",SUMIFS('Supply planning data'!$K:$K,'Supply planning data'!$D:$D,DataViz!$B61,'Supply planning data'!$C:$C,DataViz!X$34),
IF(X$35="Additional",SUMIFS('Supply planning data'!$I:$I,'Supply planning data'!$D:$D,DataViz!$B61,'Supply planning data'!$C:$C,DataViz!X$34),
0))))</f>
        <v>0</v>
      </c>
      <c r="Y61" s="22">
        <f>IF(Y$35="Dose 1",SUMIFS('Supply planning data'!$G:$G,'Supply planning data'!$D:$D,DataViz!$B61,'Supply planning data'!$C:$C,DataViz!Y$34),
IF(Y$35="Dose 2",SUMIFS('Supply planning data'!$H:$H,'Supply planning data'!$D:$D,DataViz!$B61,'Supply planning data'!$C:$C,DataViz!Y$34),
IF(Y$35="Wastage",SUMIFS('Supply planning data'!$K:$K,'Supply planning data'!$D:$D,DataViz!$B61,'Supply planning data'!$C:$C,DataViz!Y$34),
IF(Y$35="Additional",SUMIFS('Supply planning data'!$I:$I,'Supply planning data'!$D:$D,DataViz!$B61,'Supply planning data'!$C:$C,DataViz!Y$34),
0))))</f>
        <v>0</v>
      </c>
      <c r="Z61" s="22">
        <f>IF(Z$35="Dose 1",SUMIFS('Supply planning data'!$G:$G,'Supply planning data'!$D:$D,DataViz!$B61,'Supply planning data'!$C:$C,DataViz!Z$34),
IF(Z$35="Dose 2",SUMIFS('Supply planning data'!$H:$H,'Supply planning data'!$D:$D,DataViz!$B61,'Supply planning data'!$C:$C,DataViz!Z$34),
IF(Z$35="Wastage",SUMIFS('Supply planning data'!$K:$K,'Supply planning data'!$D:$D,DataViz!$B61,'Supply planning data'!$C:$C,DataViz!Z$34),
IF(Z$35="Additional",SUMIFS('Supply planning data'!$I:$I,'Supply planning data'!$D:$D,DataViz!$B61,'Supply planning data'!$C:$C,DataViz!Z$34),
0))))</f>
        <v>0</v>
      </c>
      <c r="AA61" s="22">
        <f>IF(AA$35="Dose 1",SUMIFS('Supply planning data'!$G:$G,'Supply planning data'!$D:$D,DataViz!$B61,'Supply planning data'!$C:$C,DataViz!AA$34),
IF(AA$35="Dose 2",SUMIFS('Supply planning data'!$H:$H,'Supply planning data'!$D:$D,DataViz!$B61,'Supply planning data'!$C:$C,DataViz!AA$34),
IF(AA$35="Wastage",SUMIFS('Supply planning data'!$K:$K,'Supply planning data'!$D:$D,DataViz!$B61,'Supply planning data'!$C:$C,DataViz!AA$34),
IF(AA$35="Additional",SUMIFS('Supply planning data'!$I:$I,'Supply planning data'!$D:$D,DataViz!$B61,'Supply planning data'!$C:$C,DataViz!AA$34),
0))))</f>
        <v>0</v>
      </c>
      <c r="AB61" s="22">
        <f>IF(AB$35="Dose 1",SUMIFS('Supply planning data'!$G:$G,'Supply planning data'!$D:$D,DataViz!$B61,'Supply planning data'!$C:$C,DataViz!AB$34),
IF(AB$35="Dose 2",SUMIFS('Supply planning data'!$H:$H,'Supply planning data'!$D:$D,DataViz!$B61,'Supply planning data'!$C:$C,DataViz!AB$34),
IF(AB$35="Wastage",SUMIFS('Supply planning data'!$K:$K,'Supply planning data'!$D:$D,DataViz!$B61,'Supply planning data'!$C:$C,DataViz!AB$34),
IF(AB$35="Additional",SUMIFS('Supply planning data'!$I:$I,'Supply planning data'!$D:$D,DataViz!$B61,'Supply planning data'!$C:$C,DataViz!AB$34),
0))))</f>
        <v>0</v>
      </c>
      <c r="AC61" s="22">
        <f>IF(AC$35="Dose 1",SUMIFS('Supply planning data'!$G:$G,'Supply planning data'!$D:$D,DataViz!$B61,'Supply planning data'!$C:$C,DataViz!AC$34),
IF(AC$35="Dose 2",SUMIFS('Supply planning data'!$H:$H,'Supply planning data'!$D:$D,DataViz!$B61,'Supply planning data'!$C:$C,DataViz!AC$34),
IF(AC$35="Wastage",SUMIFS('Supply planning data'!$K:$K,'Supply planning data'!$D:$D,DataViz!$B61,'Supply planning data'!$C:$C,DataViz!AC$34),
IF(AC$35="Additional",SUMIFS('Supply planning data'!$I:$I,'Supply planning data'!$D:$D,DataViz!$B61,'Supply planning data'!$C:$C,DataViz!AC$34),
0))))</f>
        <v>0</v>
      </c>
      <c r="AD61" s="22">
        <f>IF(AD$35="Dose 1",SUMIFS('Supply planning data'!$G:$G,'Supply planning data'!$D:$D,DataViz!$B61,'Supply planning data'!$C:$C,DataViz!AD$34),
IF(AD$35="Dose 2",SUMIFS('Supply planning data'!$H:$H,'Supply planning data'!$D:$D,DataViz!$B61,'Supply planning data'!$C:$C,DataViz!AD$34),
IF(AD$35="Wastage",SUMIFS('Supply planning data'!$K:$K,'Supply planning data'!$D:$D,DataViz!$B61,'Supply planning data'!$C:$C,DataViz!AD$34),
IF(AD$35="Additional",SUMIFS('Supply planning data'!$I:$I,'Supply planning data'!$D:$D,DataViz!$B61,'Supply planning data'!$C:$C,DataViz!AD$34),
0))))</f>
        <v>0</v>
      </c>
      <c r="AE61" s="22">
        <f>IF(AE$35="Dose 1",SUMIFS('Supply planning data'!$G:$G,'Supply planning data'!$D:$D,DataViz!$B61,'Supply planning data'!$C:$C,DataViz!AE$34),
IF(AE$35="Dose 2",SUMIFS('Supply planning data'!$H:$H,'Supply planning data'!$D:$D,DataViz!$B61,'Supply planning data'!$C:$C,DataViz!AE$34),
IF(AE$35="Wastage",SUMIFS('Supply planning data'!$K:$K,'Supply planning data'!$D:$D,DataViz!$B61,'Supply planning data'!$C:$C,DataViz!AE$34),
IF(AE$35="Additional",SUMIFS('Supply planning data'!$I:$I,'Supply planning data'!$D:$D,DataViz!$B61,'Supply planning data'!$C:$C,DataViz!AE$34),
0))))</f>
        <v>0</v>
      </c>
      <c r="AF61" s="22">
        <f>IF(AF$35="Dose 1",SUMIFS('Supply planning data'!$G:$G,'Supply planning data'!$D:$D,DataViz!$B61,'Supply planning data'!$C:$C,DataViz!AF$34),
IF(AF$35="Dose 2",SUMIFS('Supply planning data'!$H:$H,'Supply planning data'!$D:$D,DataViz!$B61,'Supply planning data'!$C:$C,DataViz!AF$34),
IF(AF$35="Wastage",SUMIFS('Supply planning data'!$K:$K,'Supply planning data'!$D:$D,DataViz!$B61,'Supply planning data'!$C:$C,DataViz!AF$34),
IF(AF$35="Additional",SUMIFS('Supply planning data'!$I:$I,'Supply planning data'!$D:$D,DataViz!$B61,'Supply planning data'!$C:$C,DataViz!AF$34),
0))))</f>
        <v>0</v>
      </c>
      <c r="AG61" s="22">
        <f>IF(AG$35="Dose 1",SUMIFS('Supply planning data'!$G:$G,'Supply planning data'!$D:$D,DataViz!$B61,'Supply planning data'!$C:$C,DataViz!AG$34),
IF(AG$35="Dose 2",SUMIFS('Supply planning data'!$H:$H,'Supply planning data'!$D:$D,DataViz!$B61,'Supply planning data'!$C:$C,DataViz!AG$34),
IF(AG$35="Wastage",SUMIFS('Supply planning data'!$K:$K,'Supply planning data'!$D:$D,DataViz!$B61,'Supply planning data'!$C:$C,DataViz!AG$34),
IF(AG$35="Additional",SUMIFS('Supply planning data'!$I:$I,'Supply planning data'!$D:$D,DataViz!$B61,'Supply planning data'!$C:$C,DataViz!AG$34),
0))))</f>
        <v>0</v>
      </c>
      <c r="AH61" s="22">
        <f>IF(AH$35="Dose 1",SUMIFS('Supply planning data'!$G:$G,'Supply planning data'!$D:$D,DataViz!$B61,'Supply planning data'!$C:$C,DataViz!AH$34),
IF(AH$35="Dose 2",SUMIFS('Supply planning data'!$H:$H,'Supply planning data'!$D:$D,DataViz!$B61,'Supply planning data'!$C:$C,DataViz!AH$34),
IF(AH$35="Wastage",SUMIFS('Supply planning data'!$K:$K,'Supply planning data'!$D:$D,DataViz!$B61,'Supply planning data'!$C:$C,DataViz!AH$34),
IF(AH$35="Additional",SUMIFS('Supply planning data'!$I:$I,'Supply planning data'!$D:$D,DataViz!$B61,'Supply planning data'!$C:$C,DataViz!AH$34),
0))))</f>
        <v>0</v>
      </c>
      <c r="AI61" s="22">
        <f>IF(AI$35="Dose 1",SUMIFS('Supply planning data'!$G:$G,'Supply planning data'!$D:$D,DataViz!$B61,'Supply planning data'!$C:$C,DataViz!AI$34),
IF(AI$35="Dose 2",SUMIFS('Supply planning data'!$H:$H,'Supply planning data'!$D:$D,DataViz!$B61,'Supply planning data'!$C:$C,DataViz!AI$34),
IF(AI$35="Wastage",SUMIFS('Supply planning data'!$K:$K,'Supply planning data'!$D:$D,DataViz!$B61,'Supply planning data'!$C:$C,DataViz!AI$34),
IF(AI$35="Additional",SUMIFS('Supply planning data'!$I:$I,'Supply planning data'!$D:$D,DataViz!$B61,'Supply planning data'!$C:$C,DataViz!AI$34),
0))))</f>
        <v>0</v>
      </c>
      <c r="AJ61" s="22">
        <f>IF(AJ$35="Dose 1",SUMIFS('Supply planning data'!$G:$G,'Supply planning data'!$D:$D,DataViz!$B61,'Supply planning data'!$C:$C,DataViz!AJ$34),
IF(AJ$35="Dose 2",SUMIFS('Supply planning data'!$H:$H,'Supply planning data'!$D:$D,DataViz!$B61,'Supply planning data'!$C:$C,DataViz!AJ$34),
IF(AJ$35="Wastage",SUMIFS('Supply planning data'!$K:$K,'Supply planning data'!$D:$D,DataViz!$B61,'Supply planning data'!$C:$C,DataViz!AJ$34),
IF(AJ$35="Additional",SUMIFS('Supply planning data'!$I:$I,'Supply planning data'!$D:$D,DataViz!$B61,'Supply planning data'!$C:$C,DataViz!AJ$34),
0))))</f>
        <v>0</v>
      </c>
      <c r="AK61" s="22">
        <f>IF(AK$35="Dose 1",SUMIFS('Supply planning data'!$G:$G,'Supply planning data'!$D:$D,DataViz!$B61,'Supply planning data'!$C:$C,DataViz!AK$34),
IF(AK$35="Dose 2",SUMIFS('Supply planning data'!$H:$H,'Supply planning data'!$D:$D,DataViz!$B61,'Supply planning data'!$C:$C,DataViz!AK$34),
IF(AK$35="Wastage",SUMIFS('Supply planning data'!$K:$K,'Supply planning data'!$D:$D,DataViz!$B61,'Supply planning data'!$C:$C,DataViz!AK$34),
IF(AK$35="Additional",SUMIFS('Supply planning data'!$I:$I,'Supply planning data'!$D:$D,DataViz!$B61,'Supply planning data'!$C:$C,DataViz!AK$34),
0))))</f>
        <v>0</v>
      </c>
      <c r="AL61" s="22">
        <f>IF(AL$35="Dose 1",SUMIFS('Supply planning data'!$G:$G,'Supply planning data'!$D:$D,DataViz!$B61,'Supply planning data'!$C:$C,DataViz!AL$34),
IF(AL$35="Dose 2",SUMIFS('Supply planning data'!$H:$H,'Supply planning data'!$D:$D,DataViz!$B61,'Supply planning data'!$C:$C,DataViz!AL$34),
IF(AL$35="Wastage",SUMIFS('Supply planning data'!$K:$K,'Supply planning data'!$D:$D,DataViz!$B61,'Supply planning data'!$C:$C,DataViz!AL$34),
IF(AL$35="Additional",SUMIFS('Supply planning data'!$I:$I,'Supply planning data'!$D:$D,DataViz!$B61,'Supply planning data'!$C:$C,DataViz!AL$34),
0))))</f>
        <v>0</v>
      </c>
      <c r="AM61" s="22">
        <f>IF(AM$35="Dose 1",SUMIFS('Supply planning data'!$G:$G,'Supply planning data'!$D:$D,DataViz!$B61,'Supply planning data'!$C:$C,DataViz!AM$34),
IF(AM$35="Dose 2",SUMIFS('Supply planning data'!$H:$H,'Supply planning data'!$D:$D,DataViz!$B61,'Supply planning data'!$C:$C,DataViz!AM$34),
IF(AM$35="Wastage",SUMIFS('Supply planning data'!$K:$K,'Supply planning data'!$D:$D,DataViz!$B61,'Supply planning data'!$C:$C,DataViz!AM$34),
IF(AM$35="Additional",SUMIFS('Supply planning data'!$I:$I,'Supply planning data'!$D:$D,DataViz!$B61,'Supply planning data'!$C:$C,DataViz!AM$34),
0))))</f>
        <v>0</v>
      </c>
      <c r="AN61" s="22">
        <f>IF(AN$35="Dose 1",SUMIFS('Supply planning data'!$G:$G,'Supply planning data'!$D:$D,DataViz!$B61,'Supply planning data'!$C:$C,DataViz!AN$34),
IF(AN$35="Dose 2",SUMIFS('Supply planning data'!$H:$H,'Supply planning data'!$D:$D,DataViz!$B61,'Supply planning data'!$C:$C,DataViz!AN$34),
IF(AN$35="Wastage",SUMIFS('Supply planning data'!$K:$K,'Supply planning data'!$D:$D,DataViz!$B61,'Supply planning data'!$C:$C,DataViz!AN$34),
IF(AN$35="Additional",SUMIFS('Supply planning data'!$I:$I,'Supply planning data'!$D:$D,DataViz!$B61,'Supply planning data'!$C:$C,DataViz!AN$34),
0))))</f>
        <v>0</v>
      </c>
      <c r="AO61" s="22">
        <f>IF(AO$35="Dose 1",SUMIFS('Supply planning data'!$G:$G,'Supply planning data'!$D:$D,DataViz!$B61,'Supply planning data'!$C:$C,DataViz!AO$34),
IF(AO$35="Dose 2",SUMIFS('Supply planning data'!$H:$H,'Supply planning data'!$D:$D,DataViz!$B61,'Supply planning data'!$C:$C,DataViz!AO$34),
IF(AO$35="Wastage",SUMIFS('Supply planning data'!$K:$K,'Supply planning data'!$D:$D,DataViz!$B61,'Supply planning data'!$C:$C,DataViz!AO$34),
IF(AO$35="Additional",SUMIFS('Supply planning data'!$I:$I,'Supply planning data'!$D:$D,DataViz!$B61,'Supply planning data'!$C:$C,DataViz!AO$34),
0))))</f>
        <v>0</v>
      </c>
      <c r="AP61" s="22">
        <f>IF(AP$35="Dose 1",SUMIFS('Supply planning data'!$G:$G,'Supply planning data'!$D:$D,DataViz!$B61,'Supply planning data'!$C:$C,DataViz!AP$34),
IF(AP$35="Dose 2",SUMIFS('Supply planning data'!$H:$H,'Supply planning data'!$D:$D,DataViz!$B61,'Supply planning data'!$C:$C,DataViz!AP$34),
IF(AP$35="Wastage",SUMIFS('Supply planning data'!$K:$K,'Supply planning data'!$D:$D,DataViz!$B61,'Supply planning data'!$C:$C,DataViz!AP$34),
IF(AP$35="Additional",SUMIFS('Supply planning data'!$I:$I,'Supply planning data'!$D:$D,DataViz!$B61,'Supply planning data'!$C:$C,DataViz!AP$34),
0))))</f>
        <v>0</v>
      </c>
      <c r="AQ61" s="22">
        <f>IF(AQ$35="Dose 1",SUMIFS('Supply planning data'!$G:$G,'Supply planning data'!$D:$D,DataViz!$B61,'Supply planning data'!$C:$C,DataViz!AQ$34),
IF(AQ$35="Dose 2",SUMIFS('Supply planning data'!$H:$H,'Supply planning data'!$D:$D,DataViz!$B61,'Supply planning data'!$C:$C,DataViz!AQ$34),
IF(AQ$35="Wastage",SUMIFS('Supply planning data'!$K:$K,'Supply planning data'!$D:$D,DataViz!$B61,'Supply planning data'!$C:$C,DataViz!AQ$34),
IF(AQ$35="Additional",SUMIFS('Supply planning data'!$I:$I,'Supply planning data'!$D:$D,DataViz!$B61,'Supply planning data'!$C:$C,DataViz!AQ$34),
0))))</f>
        <v>0</v>
      </c>
      <c r="AR61" s="22">
        <f>IF(AR$35="Dose 1",SUMIFS('Supply planning data'!$G:$G,'Supply planning data'!$D:$D,DataViz!$B61,'Supply planning data'!$C:$C,DataViz!AR$34),
IF(AR$35="Dose 2",SUMIFS('Supply planning data'!$H:$H,'Supply planning data'!$D:$D,DataViz!$B61,'Supply planning data'!$C:$C,DataViz!AR$34),
IF(AR$35="Wastage",SUMIFS('Supply planning data'!$K:$K,'Supply planning data'!$D:$D,DataViz!$B61,'Supply planning data'!$C:$C,DataViz!AR$34),
IF(AR$35="Additional",SUMIFS('Supply planning data'!$I:$I,'Supply planning data'!$D:$D,DataViz!$B61,'Supply planning data'!$C:$C,DataViz!AR$34),
0))))</f>
        <v>0</v>
      </c>
      <c r="AS61" s="22">
        <f>IF(AS$35="Dose 1",SUMIFS('Supply planning data'!$G:$G,'Supply planning data'!$D:$D,DataViz!$B61,'Supply planning data'!$C:$C,DataViz!AS$34),
IF(AS$35="Dose 2",SUMIFS('Supply planning data'!$H:$H,'Supply planning data'!$D:$D,DataViz!$B61,'Supply planning data'!$C:$C,DataViz!AS$34),
IF(AS$35="Wastage",SUMIFS('Supply planning data'!$K:$K,'Supply planning data'!$D:$D,DataViz!$B61,'Supply planning data'!$C:$C,DataViz!AS$34),
IF(AS$35="Additional",SUMIFS('Supply planning data'!$I:$I,'Supply planning data'!$D:$D,DataViz!$B61,'Supply planning data'!$C:$C,DataViz!AS$34),
0))))</f>
        <v>0</v>
      </c>
      <c r="AT61" s="22">
        <f>IF(AT$35="Dose 1",SUMIFS('Supply planning data'!$G:$G,'Supply planning data'!$D:$D,DataViz!$B61,'Supply planning data'!$C:$C,DataViz!AT$34),
IF(AT$35="Dose 2",SUMIFS('Supply planning data'!$H:$H,'Supply planning data'!$D:$D,DataViz!$B61,'Supply planning data'!$C:$C,DataViz!AT$34),
IF(AT$35="Wastage",SUMIFS('Supply planning data'!$K:$K,'Supply planning data'!$D:$D,DataViz!$B61,'Supply planning data'!$C:$C,DataViz!AT$34),
IF(AT$35="Additional",SUMIFS('Supply planning data'!$I:$I,'Supply planning data'!$D:$D,DataViz!$B61,'Supply planning data'!$C:$C,DataViz!AT$34),
0))))</f>
        <v>0</v>
      </c>
      <c r="AU61" s="22">
        <f>IF(AU$35="Dose 1",SUMIFS('Supply planning data'!$G:$G,'Supply planning data'!$D:$D,DataViz!$B61,'Supply planning data'!$C:$C,DataViz!AU$34),
IF(AU$35="Dose 2",SUMIFS('Supply planning data'!$H:$H,'Supply planning data'!$D:$D,DataViz!$B61,'Supply planning data'!$C:$C,DataViz!AU$34),
IF(AU$35="Wastage",SUMIFS('Supply planning data'!$K:$K,'Supply planning data'!$D:$D,DataViz!$B61,'Supply planning data'!$C:$C,DataViz!AU$34),
IF(AU$35="Additional",SUMIFS('Supply planning data'!$I:$I,'Supply planning data'!$D:$D,DataViz!$B61,'Supply planning data'!$C:$C,DataViz!AU$34),
0))))</f>
        <v>0</v>
      </c>
      <c r="AV61" s="22">
        <f>IF(AV$35="Dose 1",SUMIFS('Supply planning data'!$G:$G,'Supply planning data'!$D:$D,DataViz!$B61,'Supply planning data'!$C:$C,DataViz!AV$34),
IF(AV$35="Dose 2",SUMIFS('Supply planning data'!$H:$H,'Supply planning data'!$D:$D,DataViz!$B61,'Supply planning data'!$C:$C,DataViz!AV$34),
IF(AV$35="Wastage",SUMIFS('Supply planning data'!$K:$K,'Supply planning data'!$D:$D,DataViz!$B61,'Supply planning data'!$C:$C,DataViz!AV$34),
IF(AV$35="Additional",SUMIFS('Supply planning data'!$I:$I,'Supply planning data'!$D:$D,DataViz!$B61,'Supply planning data'!$C:$C,DataViz!AV$34),
0))))</f>
        <v>0</v>
      </c>
      <c r="AW61" s="22">
        <f>IF(AW$35="Dose 1",SUMIFS('Supply planning data'!$G:$G,'Supply planning data'!$D:$D,DataViz!$B61,'Supply planning data'!$C:$C,DataViz!AW$34),
IF(AW$35="Dose 2",SUMIFS('Supply planning data'!$H:$H,'Supply planning data'!$D:$D,DataViz!$B61,'Supply planning data'!$C:$C,DataViz!AW$34),
IF(AW$35="Wastage",SUMIFS('Supply planning data'!$K:$K,'Supply planning data'!$D:$D,DataViz!$B61,'Supply planning data'!$C:$C,DataViz!AW$34),
IF(AW$35="Additional",SUMIFS('Supply planning data'!$I:$I,'Supply planning data'!$D:$D,DataViz!$B61,'Supply planning data'!$C:$C,DataViz!AW$34),
0))))</f>
        <v>0</v>
      </c>
      <c r="AX61" s="22">
        <f>IF(AX$35="Dose 1",SUMIFS('Supply planning data'!$G:$G,'Supply planning data'!$D:$D,DataViz!$B61,'Supply planning data'!$C:$C,DataViz!AX$34),
IF(AX$35="Dose 2",SUMIFS('Supply planning data'!$H:$H,'Supply planning data'!$D:$D,DataViz!$B61,'Supply planning data'!$C:$C,DataViz!AX$34),
IF(AX$35="Wastage",SUMIFS('Supply planning data'!$K:$K,'Supply planning data'!$D:$D,DataViz!$B61,'Supply planning data'!$C:$C,DataViz!AX$34),
IF(AX$35="Additional",SUMIFS('Supply planning data'!$I:$I,'Supply planning data'!$D:$D,DataViz!$B61,'Supply planning data'!$C:$C,DataViz!AX$34),
0))))</f>
        <v>0</v>
      </c>
      <c r="AY61" s="22">
        <f>IF(AY$35="Dose 1",SUMIFS('Supply planning data'!$G:$G,'Supply planning data'!$D:$D,DataViz!$B61,'Supply planning data'!$C:$C,DataViz!AY$34),
IF(AY$35="Dose 2",SUMIFS('Supply planning data'!$H:$H,'Supply planning data'!$D:$D,DataViz!$B61,'Supply planning data'!$C:$C,DataViz!AY$34),
IF(AY$35="Wastage",SUMIFS('Supply planning data'!$K:$K,'Supply planning data'!$D:$D,DataViz!$B61,'Supply planning data'!$C:$C,DataViz!AY$34),
IF(AY$35="Additional",SUMIFS('Supply planning data'!$I:$I,'Supply planning data'!$D:$D,DataViz!$B61,'Supply planning data'!$C:$C,DataViz!AY$34),
0))))</f>
        <v>0</v>
      </c>
      <c r="AZ61" s="22">
        <f>IF(AZ$35="Dose 1",SUMIFS('Supply planning data'!$G:$G,'Supply planning data'!$D:$D,DataViz!$B61,'Supply planning data'!$C:$C,DataViz!AZ$34),
IF(AZ$35="Dose 2",SUMIFS('Supply planning data'!$H:$H,'Supply planning data'!$D:$D,DataViz!$B61,'Supply planning data'!$C:$C,DataViz!AZ$34),
IF(AZ$35="Wastage",SUMIFS('Supply planning data'!$K:$K,'Supply planning data'!$D:$D,DataViz!$B61,'Supply planning data'!$C:$C,DataViz!AZ$34),
IF(AZ$35="Additional",SUMIFS('Supply planning data'!$I:$I,'Supply planning data'!$D:$D,DataViz!$B61,'Supply planning data'!$C:$C,DataViz!AZ$34),
0))))</f>
        <v>0</v>
      </c>
      <c r="BA61" s="22">
        <f>IF(BA$35="Dose 1",SUMIFS('Supply planning data'!$G:$G,'Supply planning data'!$D:$D,DataViz!$B61,'Supply planning data'!$C:$C,DataViz!BA$34),
IF(BA$35="Dose 2",SUMIFS('Supply planning data'!$H:$H,'Supply planning data'!$D:$D,DataViz!$B61,'Supply planning data'!$C:$C,DataViz!BA$34),
IF(BA$35="Wastage",SUMIFS('Supply planning data'!$K:$K,'Supply planning data'!$D:$D,DataViz!$B61,'Supply planning data'!$C:$C,DataViz!BA$34),
IF(BA$35="Additional",SUMIFS('Supply planning data'!$I:$I,'Supply planning data'!$D:$D,DataViz!$B61,'Supply planning data'!$C:$C,DataViz!BA$34),
0))))</f>
        <v>0</v>
      </c>
      <c r="BB61" s="22">
        <f>IF(BB$35="Dose 1",SUMIFS('Supply planning data'!$G:$G,'Supply planning data'!$D:$D,DataViz!$B61,'Supply planning data'!$C:$C,DataViz!BB$34),
IF(BB$35="Dose 2",SUMIFS('Supply planning data'!$H:$H,'Supply planning data'!$D:$D,DataViz!$B61,'Supply planning data'!$C:$C,DataViz!BB$34),
IF(BB$35="Wastage",SUMIFS('Supply planning data'!$K:$K,'Supply planning data'!$D:$D,DataViz!$B61,'Supply planning data'!$C:$C,DataViz!BB$34),
IF(BB$35="Additional",SUMIFS('Supply planning data'!$I:$I,'Supply planning data'!$D:$D,DataViz!$B61,'Supply planning data'!$C:$C,DataViz!BB$34),
0))))</f>
        <v>0</v>
      </c>
      <c r="BC61" s="22">
        <f>IF(BC$35="Dose 1",SUMIFS('Supply planning data'!$G:$G,'Supply planning data'!$D:$D,DataViz!$B61,'Supply planning data'!$C:$C,DataViz!BC$34),
IF(BC$35="Dose 2",SUMIFS('Supply planning data'!$H:$H,'Supply planning data'!$D:$D,DataViz!$B61,'Supply planning data'!$C:$C,DataViz!BC$34),
IF(BC$35="Wastage",SUMIFS('Supply planning data'!$K:$K,'Supply planning data'!$D:$D,DataViz!$B61,'Supply planning data'!$C:$C,DataViz!BC$34),
IF(BC$35="Additional",SUMIFS('Supply planning data'!$I:$I,'Supply planning data'!$D:$D,DataViz!$B61,'Supply planning data'!$C:$C,DataViz!BC$34),
0))))</f>
        <v>0</v>
      </c>
      <c r="BD61" s="22">
        <f>IF(BD$35="Dose 1",SUMIFS('Supply planning data'!$G:$G,'Supply planning data'!$D:$D,DataViz!$B61,'Supply planning data'!$C:$C,DataViz!BD$34),
IF(BD$35="Dose 2",SUMIFS('Supply planning data'!$H:$H,'Supply planning data'!$D:$D,DataViz!$B61,'Supply planning data'!$C:$C,DataViz!BD$34),
IF(BD$35="Wastage",SUMIFS('Supply planning data'!$K:$K,'Supply planning data'!$D:$D,DataViz!$B61,'Supply planning data'!$C:$C,DataViz!BD$34),
IF(BD$35="Additional",SUMIFS('Supply planning data'!$I:$I,'Supply planning data'!$D:$D,DataViz!$B61,'Supply planning data'!$C:$C,DataViz!BD$34),
0))))</f>
        <v>0</v>
      </c>
      <c r="BE61" s="22">
        <f>IF(BE$35="Dose 1",SUMIFS('Supply planning data'!$G:$G,'Supply planning data'!$D:$D,DataViz!$B61,'Supply planning data'!$C:$C,DataViz!BE$34),
IF(BE$35="Dose 2",SUMIFS('Supply planning data'!$H:$H,'Supply planning data'!$D:$D,DataViz!$B61,'Supply planning data'!$C:$C,DataViz!BE$34),
IF(BE$35="Wastage",SUMIFS('Supply planning data'!$K:$K,'Supply planning data'!$D:$D,DataViz!$B61,'Supply planning data'!$C:$C,DataViz!BE$34),
IF(BE$35="Additional",SUMIFS('Supply planning data'!$I:$I,'Supply planning data'!$D:$D,DataViz!$B61,'Supply planning data'!$C:$C,DataViz!BE$34),
0))))</f>
        <v>0</v>
      </c>
      <c r="BF61" s="22">
        <f>IF(BF$35="Dose 1",SUMIFS('Supply planning data'!$G:$G,'Supply planning data'!$D:$D,DataViz!$B61,'Supply planning data'!$C:$C,DataViz!BF$34),
IF(BF$35="Dose 2",SUMIFS('Supply planning data'!$H:$H,'Supply planning data'!$D:$D,DataViz!$B61,'Supply planning data'!$C:$C,DataViz!BF$34),
IF(BF$35="Wastage",SUMIFS('Supply planning data'!$K:$K,'Supply planning data'!$D:$D,DataViz!$B61,'Supply planning data'!$C:$C,DataViz!BF$34),
IF(BF$35="Additional",SUMIFS('Supply planning data'!$I:$I,'Supply planning data'!$D:$D,DataViz!$B61,'Supply planning data'!$C:$C,DataViz!BF$34),
0))))</f>
        <v>0</v>
      </c>
      <c r="BG61" s="22">
        <f>IF(BG$35="Dose 1",SUMIFS('Supply planning data'!$G:$G,'Supply planning data'!$D:$D,DataViz!$B61,'Supply planning data'!$C:$C,DataViz!BG$34),
IF(BG$35="Dose 2",SUMIFS('Supply planning data'!$H:$H,'Supply planning data'!$D:$D,DataViz!$B61,'Supply planning data'!$C:$C,DataViz!BG$34),
IF(BG$35="Wastage",SUMIFS('Supply planning data'!$K:$K,'Supply planning data'!$D:$D,DataViz!$B61,'Supply planning data'!$C:$C,DataViz!BG$34),
IF(BG$35="Additional",SUMIFS('Supply planning data'!$I:$I,'Supply planning data'!$D:$D,DataViz!$B61,'Supply planning data'!$C:$C,DataViz!BG$34),
0))))</f>
        <v>0</v>
      </c>
      <c r="BH61" s="22">
        <f>IF(BH$35="Dose 1",SUMIFS('Supply planning data'!$G:$G,'Supply planning data'!$D:$D,DataViz!$B61,'Supply planning data'!$C:$C,DataViz!BH$34),
IF(BH$35="Dose 2",SUMIFS('Supply planning data'!$H:$H,'Supply planning data'!$D:$D,DataViz!$B61,'Supply planning data'!$C:$C,DataViz!BH$34),
IF(BH$35="Wastage",SUMIFS('Supply planning data'!$K:$K,'Supply planning data'!$D:$D,DataViz!$B61,'Supply planning data'!$C:$C,DataViz!BH$34),
IF(BH$35="Additional",SUMIFS('Supply planning data'!$I:$I,'Supply planning data'!$D:$D,DataViz!$B61,'Supply planning data'!$C:$C,DataViz!BH$34),
0))))</f>
        <v>0</v>
      </c>
      <c r="BI61" s="22">
        <f>IF(BI$35="Dose 1",SUMIFS('Supply planning data'!$G:$G,'Supply planning data'!$D:$D,DataViz!$B61,'Supply planning data'!$C:$C,DataViz!BI$34),
IF(BI$35="Dose 2",SUMIFS('Supply planning data'!$H:$H,'Supply planning data'!$D:$D,DataViz!$B61,'Supply planning data'!$C:$C,DataViz!BI$34),
IF(BI$35="Wastage",SUMIFS('Supply planning data'!$K:$K,'Supply planning data'!$D:$D,DataViz!$B61,'Supply planning data'!$C:$C,DataViz!BI$34),
IF(BI$35="Additional",SUMIFS('Supply planning data'!$I:$I,'Supply planning data'!$D:$D,DataViz!$B61,'Supply planning data'!$C:$C,DataViz!BI$34),
0))))</f>
        <v>0</v>
      </c>
      <c r="BJ61" s="22">
        <f>IF(BJ$35="Dose 1",SUMIFS('Supply planning data'!$G:$G,'Supply planning data'!$D:$D,DataViz!$B61,'Supply planning data'!$C:$C,DataViz!BJ$34),
IF(BJ$35="Dose 2",SUMIFS('Supply planning data'!$H:$H,'Supply planning data'!$D:$D,DataViz!$B61,'Supply planning data'!$C:$C,DataViz!BJ$34),
IF(BJ$35="Wastage",SUMIFS('Supply planning data'!$K:$K,'Supply planning data'!$D:$D,DataViz!$B61,'Supply planning data'!$C:$C,DataViz!BJ$34),
IF(BJ$35="Additional",SUMIFS('Supply planning data'!$I:$I,'Supply planning data'!$D:$D,DataViz!$B61,'Supply planning data'!$C:$C,DataViz!BJ$34),
0))))</f>
        <v>0</v>
      </c>
      <c r="BK61" s="22">
        <f>IF(BK$35="Dose 1",SUMIFS('Supply planning data'!$G:$G,'Supply planning data'!$D:$D,DataViz!$B61,'Supply planning data'!$C:$C,DataViz!BK$34),
IF(BK$35="Dose 2",SUMIFS('Supply planning data'!$H:$H,'Supply planning data'!$D:$D,DataViz!$B61,'Supply planning data'!$C:$C,DataViz!BK$34),
IF(BK$35="Wastage",SUMIFS('Supply planning data'!$K:$K,'Supply planning data'!$D:$D,DataViz!$B61,'Supply planning data'!$C:$C,DataViz!BK$34),
IF(BK$35="Additional",SUMIFS('Supply planning data'!$I:$I,'Supply planning data'!$D:$D,DataViz!$B61,'Supply planning data'!$C:$C,DataViz!BK$34),
0))))</f>
        <v>0</v>
      </c>
      <c r="BL61" s="22">
        <f>IF(BL$35="Dose 1",SUMIFS('Supply planning data'!$G:$G,'Supply planning data'!$D:$D,DataViz!$B61,'Supply planning data'!$C:$C,DataViz!BL$34),
IF(BL$35="Dose 2",SUMIFS('Supply planning data'!$H:$H,'Supply planning data'!$D:$D,DataViz!$B61,'Supply planning data'!$C:$C,DataViz!BL$34),
IF(BL$35="Wastage",SUMIFS('Supply planning data'!$K:$K,'Supply planning data'!$D:$D,DataViz!$B61,'Supply planning data'!$C:$C,DataViz!BL$34),
IF(BL$35="Additional",SUMIFS('Supply planning data'!$I:$I,'Supply planning data'!$D:$D,DataViz!$B61,'Supply planning data'!$C:$C,DataViz!BL$34),
0))))</f>
        <v>0</v>
      </c>
    </row>
    <row r="62" spans="1:64" x14ac:dyDescent="0.25">
      <c r="A62" s="20">
        <v>24</v>
      </c>
      <c r="B62" s="21">
        <f t="shared" si="15"/>
        <v>44986</v>
      </c>
      <c r="C62" s="22">
        <f>IF(VLOOKUP(Dashboard!$M$6,Start!$B$10:$E$12,4,FALSE)&gt;0,VLOOKUP(Dashboard!$M$6,Start!$B$10:$E$12,4, FALSE),VLOOKUP(Dashboard!$M$6,Start!$B$10:$E$12,3, FALSE))</f>
        <v>60000000</v>
      </c>
      <c r="D62" s="22">
        <f>SUMIFS('Supply planning data'!M:M,'Supply planning data'!D:D,"&lt;="&amp;DataViz!B62)</f>
        <v>2720887</v>
      </c>
      <c r="E62" s="22">
        <f>IF(E$35="Dose 1",SUMIFS('Supply planning data'!$G:$G,'Supply planning data'!$D:$D,DataViz!$B62,'Supply planning data'!$C:$C,DataViz!E$34),
IF(E$35="Dose 2",SUMIFS('Supply planning data'!$H:$H,'Supply planning data'!$D:$D,DataViz!$B62,'Supply planning data'!$C:$C,DataViz!E$34),
IF(E$35="Wastage",SUMIFS('Supply planning data'!$K:$K,'Supply planning data'!$D:$D,DataViz!$B62,'Supply planning data'!$C:$C,DataViz!E$34),
IF(E$35="Additional",SUMIFS('Supply planning data'!$I:$I,'Supply planning data'!$D:$D,DataViz!$B62,'Supply planning data'!$C:$C,DataViz!E$34),
0))))</f>
        <v>0</v>
      </c>
      <c r="F62" s="22">
        <f>IF(F$35="Dose 1",SUMIFS('Supply planning data'!$G:$G,'Supply planning data'!$D:$D,DataViz!$B62,'Supply planning data'!$C:$C,DataViz!F$34),
IF(F$35="Dose 2",SUMIFS('Supply planning data'!$H:$H,'Supply planning data'!$D:$D,DataViz!$B62,'Supply planning data'!$C:$C,DataViz!F$34),
IF(F$35="Wastage",SUMIFS('Supply planning data'!$K:$K,'Supply planning data'!$D:$D,DataViz!$B62,'Supply planning data'!$C:$C,DataViz!F$34),
IF(F$35="Additional",SUMIFS('Supply planning data'!$I:$I,'Supply planning data'!$D:$D,DataViz!$B62,'Supply planning data'!$C:$C,DataViz!F$34),
0))))</f>
        <v>0</v>
      </c>
      <c r="G62" s="22">
        <f>IF(G$35="Dose 1",SUMIFS('Supply planning data'!$G:$G,'Supply planning data'!$D:$D,DataViz!$B62,'Supply planning data'!$C:$C,DataViz!G$34),
IF(G$35="Dose 2",SUMIFS('Supply planning data'!$H:$H,'Supply planning data'!$D:$D,DataViz!$B62,'Supply planning data'!$C:$C,DataViz!G$34),
IF(G$35="Wastage",SUMIFS('Supply planning data'!$K:$K,'Supply planning data'!$D:$D,DataViz!$B62,'Supply planning data'!$C:$C,DataViz!G$34),
IF(G$35="Additional",SUMIFS('Supply planning data'!$I:$I,'Supply planning data'!$D:$D,DataViz!$B62,'Supply planning data'!$C:$C,DataViz!G$34),
0))))</f>
        <v>0</v>
      </c>
      <c r="H62" s="22">
        <f>IF(H$35="Dose 1",SUMIFS('Supply planning data'!$G:$G,'Supply planning data'!$D:$D,DataViz!$B62,'Supply planning data'!$C:$C,DataViz!H$34),
IF(H$35="Dose 2",SUMIFS('Supply planning data'!$H:$H,'Supply planning data'!$D:$D,DataViz!$B62,'Supply planning data'!$C:$C,DataViz!H$34),
IF(H$35="Wastage",SUMIFS('Supply planning data'!$K:$K,'Supply planning data'!$D:$D,DataViz!$B62,'Supply planning data'!$C:$C,DataViz!H$34),
IF(H$35="Additional",SUMIFS('Supply planning data'!$I:$I,'Supply planning data'!$D:$D,DataViz!$B62,'Supply planning data'!$C:$C,DataViz!H$34),
0))))</f>
        <v>0</v>
      </c>
      <c r="I62" s="22">
        <f>IF(I$35="Dose 1",SUMIFS('Supply planning data'!$G:$G,'Supply planning data'!$D:$D,DataViz!$B62,'Supply planning data'!$C:$C,DataViz!I$34),
IF(I$35="Dose 2",SUMIFS('Supply planning data'!$H:$H,'Supply planning data'!$D:$D,DataViz!$B62,'Supply planning data'!$C:$C,DataViz!I$34),
IF(I$35="Wastage",SUMIFS('Supply planning data'!$K:$K,'Supply planning data'!$D:$D,DataViz!$B62,'Supply planning data'!$C:$C,DataViz!I$34),
IF(I$35="Additional",SUMIFS('Supply planning data'!$I:$I,'Supply planning data'!$D:$D,DataViz!$B62,'Supply planning data'!$C:$C,DataViz!I$34),
0))))</f>
        <v>0</v>
      </c>
      <c r="J62" s="22">
        <f>IF(J$35="Dose 1",SUMIFS('Supply planning data'!$G:$G,'Supply planning data'!$D:$D,DataViz!$B62,'Supply planning data'!$C:$C,DataViz!J$34),
IF(J$35="Dose 2",SUMIFS('Supply planning data'!$H:$H,'Supply planning data'!$D:$D,DataViz!$B62,'Supply planning data'!$C:$C,DataViz!J$34),
IF(J$35="Wastage",SUMIFS('Supply planning data'!$K:$K,'Supply planning data'!$D:$D,DataViz!$B62,'Supply planning data'!$C:$C,DataViz!J$34),
IF(J$35="Additional",SUMIFS('Supply planning data'!$I:$I,'Supply planning data'!$D:$D,DataViz!$B62,'Supply planning data'!$C:$C,DataViz!J$34),
0))))</f>
        <v>0</v>
      </c>
      <c r="K62" s="22">
        <f>IF(K$35="Dose 1",SUMIFS('Supply planning data'!$G:$G,'Supply planning data'!$D:$D,DataViz!$B62,'Supply planning data'!$C:$C,DataViz!K$34),
IF(K$35="Dose 2",SUMIFS('Supply planning data'!$H:$H,'Supply planning data'!$D:$D,DataViz!$B62,'Supply planning data'!$C:$C,DataViz!K$34),
IF(K$35="Wastage",SUMIFS('Supply planning data'!$K:$K,'Supply planning data'!$D:$D,DataViz!$B62,'Supply planning data'!$C:$C,DataViz!K$34),
IF(K$35="Additional",SUMIFS('Supply planning data'!$I:$I,'Supply planning data'!$D:$D,DataViz!$B62,'Supply planning data'!$C:$C,DataViz!K$34),
0))))</f>
        <v>0</v>
      </c>
      <c r="L62" s="22">
        <f>IF(L$35="Dose 1",SUMIFS('Supply planning data'!$G:$G,'Supply planning data'!$D:$D,DataViz!$B62,'Supply planning data'!$C:$C,DataViz!L$34),
IF(L$35="Dose 2",SUMIFS('Supply planning data'!$H:$H,'Supply planning data'!$D:$D,DataViz!$B62,'Supply planning data'!$C:$C,DataViz!L$34),
IF(L$35="Wastage",SUMIFS('Supply planning data'!$K:$K,'Supply planning data'!$D:$D,DataViz!$B62,'Supply planning data'!$C:$C,DataViz!L$34),
IF(L$35="Additional",SUMIFS('Supply planning data'!$I:$I,'Supply planning data'!$D:$D,DataViz!$B62,'Supply planning data'!$C:$C,DataViz!L$34),
0))))</f>
        <v>0</v>
      </c>
      <c r="M62" s="22">
        <f>IF(M$35="Dose 1",SUMIFS('Supply planning data'!$G:$G,'Supply planning data'!$D:$D,DataViz!$B62,'Supply planning data'!$C:$C,DataViz!M$34),
IF(M$35="Dose 2",SUMIFS('Supply planning data'!$H:$H,'Supply planning data'!$D:$D,DataViz!$B62,'Supply planning data'!$C:$C,DataViz!M$34),
IF(M$35="Wastage",SUMIFS('Supply planning data'!$K:$K,'Supply planning data'!$D:$D,DataViz!$B62,'Supply planning data'!$C:$C,DataViz!M$34),
IF(M$35="Additional",SUMIFS('Supply planning data'!$I:$I,'Supply planning data'!$D:$D,DataViz!$B62,'Supply planning data'!$C:$C,DataViz!M$34),
0))))</f>
        <v>0</v>
      </c>
      <c r="N62" s="22">
        <f>IF(N$35="Dose 1",SUMIFS('Supply planning data'!$G:$G,'Supply planning data'!$D:$D,DataViz!$B62,'Supply planning data'!$C:$C,DataViz!N$34),
IF(N$35="Dose 2",SUMIFS('Supply planning data'!$H:$H,'Supply planning data'!$D:$D,DataViz!$B62,'Supply planning data'!$C:$C,DataViz!N$34),
IF(N$35="Wastage",SUMIFS('Supply planning data'!$K:$K,'Supply planning data'!$D:$D,DataViz!$B62,'Supply planning data'!$C:$C,DataViz!N$34),
IF(N$35="Additional",SUMIFS('Supply planning data'!$I:$I,'Supply planning data'!$D:$D,DataViz!$B62,'Supply planning data'!$C:$C,DataViz!N$34),
0))))</f>
        <v>0</v>
      </c>
      <c r="O62" s="22">
        <f>IF(O$35="Dose 1",SUMIFS('Supply planning data'!$G:$G,'Supply planning data'!$D:$D,DataViz!$B62,'Supply planning data'!$C:$C,DataViz!O$34),
IF(O$35="Dose 2",SUMIFS('Supply planning data'!$H:$H,'Supply planning data'!$D:$D,DataViz!$B62,'Supply planning data'!$C:$C,DataViz!O$34),
IF(O$35="Wastage",SUMIFS('Supply planning data'!$K:$K,'Supply planning data'!$D:$D,DataViz!$B62,'Supply planning data'!$C:$C,DataViz!O$34),
IF(O$35="Additional",SUMIFS('Supply planning data'!$I:$I,'Supply planning data'!$D:$D,DataViz!$B62,'Supply planning data'!$C:$C,DataViz!O$34),
0))))</f>
        <v>0</v>
      </c>
      <c r="P62" s="22">
        <f>IF(P$35="Dose 1",SUMIFS('Supply planning data'!$G:$G,'Supply planning data'!$D:$D,DataViz!$B62,'Supply planning data'!$C:$C,DataViz!P$34),
IF(P$35="Dose 2",SUMIFS('Supply planning data'!$H:$H,'Supply planning data'!$D:$D,DataViz!$B62,'Supply planning data'!$C:$C,DataViz!P$34),
IF(P$35="Wastage",SUMIFS('Supply planning data'!$K:$K,'Supply planning data'!$D:$D,DataViz!$B62,'Supply planning data'!$C:$C,DataViz!P$34),
IF(P$35="Additional",SUMIFS('Supply planning data'!$I:$I,'Supply planning data'!$D:$D,DataViz!$B62,'Supply planning data'!$C:$C,DataViz!P$34),
0))))</f>
        <v>0</v>
      </c>
      <c r="Q62" s="22">
        <f>IF(Q$35="Dose 1",SUMIFS('Supply planning data'!$G:$G,'Supply planning data'!$D:$D,DataViz!$B62,'Supply planning data'!$C:$C,DataViz!Q$34),
IF(Q$35="Dose 2",SUMIFS('Supply planning data'!$H:$H,'Supply planning data'!$D:$D,DataViz!$B62,'Supply planning data'!$C:$C,DataViz!Q$34),
IF(Q$35="Wastage",SUMIFS('Supply planning data'!$K:$K,'Supply planning data'!$D:$D,DataViz!$B62,'Supply planning data'!$C:$C,DataViz!Q$34),
IF(Q$35="Additional",SUMIFS('Supply planning data'!$I:$I,'Supply planning data'!$D:$D,DataViz!$B62,'Supply planning data'!$C:$C,DataViz!Q$34),
0))))</f>
        <v>0</v>
      </c>
      <c r="R62" s="22">
        <f>IF(R$35="Dose 1",SUMIFS('Supply planning data'!$G:$G,'Supply planning data'!$D:$D,DataViz!$B62,'Supply planning data'!$C:$C,DataViz!R$34),
IF(R$35="Dose 2",SUMIFS('Supply planning data'!$H:$H,'Supply planning data'!$D:$D,DataViz!$B62,'Supply planning data'!$C:$C,DataViz!R$34),
IF(R$35="Wastage",SUMIFS('Supply planning data'!$K:$K,'Supply planning data'!$D:$D,DataViz!$B62,'Supply planning data'!$C:$C,DataViz!R$34),
IF(R$35="Additional",SUMIFS('Supply planning data'!$I:$I,'Supply planning data'!$D:$D,DataViz!$B62,'Supply planning data'!$C:$C,DataViz!R$34),
0))))</f>
        <v>0</v>
      </c>
      <c r="S62" s="22">
        <f>IF(S$35="Dose 1",SUMIFS('Supply planning data'!$G:$G,'Supply planning data'!$D:$D,DataViz!$B62,'Supply planning data'!$C:$C,DataViz!S$34),
IF(S$35="Dose 2",SUMIFS('Supply planning data'!$H:$H,'Supply planning data'!$D:$D,DataViz!$B62,'Supply planning data'!$C:$C,DataViz!S$34),
IF(S$35="Wastage",SUMIFS('Supply planning data'!$K:$K,'Supply planning data'!$D:$D,DataViz!$B62,'Supply planning data'!$C:$C,DataViz!S$34),
IF(S$35="Additional",SUMIFS('Supply planning data'!$I:$I,'Supply planning data'!$D:$D,DataViz!$B62,'Supply planning data'!$C:$C,DataViz!S$34),
0))))</f>
        <v>0</v>
      </c>
      <c r="T62" s="22">
        <f>IF(T$35="Dose 1",SUMIFS('Supply planning data'!$G:$G,'Supply planning data'!$D:$D,DataViz!$B62,'Supply planning data'!$C:$C,DataViz!T$34),
IF(T$35="Dose 2",SUMIFS('Supply planning data'!$H:$H,'Supply planning data'!$D:$D,DataViz!$B62,'Supply planning data'!$C:$C,DataViz!T$34),
IF(T$35="Wastage",SUMIFS('Supply planning data'!$K:$K,'Supply planning data'!$D:$D,DataViz!$B62,'Supply planning data'!$C:$C,DataViz!T$34),
IF(T$35="Additional",SUMIFS('Supply planning data'!$I:$I,'Supply planning data'!$D:$D,DataViz!$B62,'Supply planning data'!$C:$C,DataViz!T$34),
0))))</f>
        <v>0</v>
      </c>
      <c r="U62" s="22">
        <f>IF(U$35="Dose 1",SUMIFS('Supply planning data'!$G:$G,'Supply planning data'!$D:$D,DataViz!$B62,'Supply planning data'!$C:$C,DataViz!U$34),
IF(U$35="Dose 2",SUMIFS('Supply planning data'!$H:$H,'Supply planning data'!$D:$D,DataViz!$B62,'Supply planning data'!$C:$C,DataViz!U$34),
IF(U$35="Wastage",SUMIFS('Supply planning data'!$K:$K,'Supply planning data'!$D:$D,DataViz!$B62,'Supply planning data'!$C:$C,DataViz!U$34),
IF(U$35="Additional",SUMIFS('Supply planning data'!$I:$I,'Supply planning data'!$D:$D,DataViz!$B62,'Supply planning data'!$C:$C,DataViz!U$34),
0))))</f>
        <v>0</v>
      </c>
      <c r="V62" s="22">
        <f>IF(V$35="Dose 1",SUMIFS('Supply planning data'!$G:$G,'Supply planning data'!$D:$D,DataViz!$B62,'Supply planning data'!$C:$C,DataViz!V$34),
IF(V$35="Dose 2",SUMIFS('Supply planning data'!$H:$H,'Supply planning data'!$D:$D,DataViz!$B62,'Supply planning data'!$C:$C,DataViz!V$34),
IF(V$35="Wastage",SUMIFS('Supply planning data'!$K:$K,'Supply planning data'!$D:$D,DataViz!$B62,'Supply planning data'!$C:$C,DataViz!V$34),
IF(V$35="Additional",SUMIFS('Supply planning data'!$I:$I,'Supply planning data'!$D:$D,DataViz!$B62,'Supply planning data'!$C:$C,DataViz!V$34),
0))))</f>
        <v>0</v>
      </c>
      <c r="W62" s="22">
        <f>IF(W$35="Dose 1",SUMIFS('Supply planning data'!$G:$G,'Supply planning data'!$D:$D,DataViz!$B62,'Supply planning data'!$C:$C,DataViz!W$34),
IF(W$35="Dose 2",SUMIFS('Supply planning data'!$H:$H,'Supply planning data'!$D:$D,DataViz!$B62,'Supply planning data'!$C:$C,DataViz!W$34),
IF(W$35="Wastage",SUMIFS('Supply planning data'!$K:$K,'Supply planning data'!$D:$D,DataViz!$B62,'Supply planning data'!$C:$C,DataViz!W$34),
IF(W$35="Additional",SUMIFS('Supply planning data'!$I:$I,'Supply planning data'!$D:$D,DataViz!$B62,'Supply planning data'!$C:$C,DataViz!W$34),
0))))</f>
        <v>0</v>
      </c>
      <c r="X62" s="22">
        <f>IF(X$35="Dose 1",SUMIFS('Supply planning data'!$G:$G,'Supply planning data'!$D:$D,DataViz!$B62,'Supply planning data'!$C:$C,DataViz!X$34),
IF(X$35="Dose 2",SUMIFS('Supply planning data'!$H:$H,'Supply planning data'!$D:$D,DataViz!$B62,'Supply planning data'!$C:$C,DataViz!X$34),
IF(X$35="Wastage",SUMIFS('Supply planning data'!$K:$K,'Supply planning data'!$D:$D,DataViz!$B62,'Supply planning data'!$C:$C,DataViz!X$34),
IF(X$35="Additional",SUMIFS('Supply planning data'!$I:$I,'Supply planning data'!$D:$D,DataViz!$B62,'Supply planning data'!$C:$C,DataViz!X$34),
0))))</f>
        <v>0</v>
      </c>
      <c r="Y62" s="22">
        <f>IF(Y$35="Dose 1",SUMIFS('Supply planning data'!$G:$G,'Supply planning data'!$D:$D,DataViz!$B62,'Supply planning data'!$C:$C,DataViz!Y$34),
IF(Y$35="Dose 2",SUMIFS('Supply planning data'!$H:$H,'Supply planning data'!$D:$D,DataViz!$B62,'Supply planning data'!$C:$C,DataViz!Y$34),
IF(Y$35="Wastage",SUMIFS('Supply planning data'!$K:$K,'Supply planning data'!$D:$D,DataViz!$B62,'Supply planning data'!$C:$C,DataViz!Y$34),
IF(Y$35="Additional",SUMIFS('Supply planning data'!$I:$I,'Supply planning data'!$D:$D,DataViz!$B62,'Supply planning data'!$C:$C,DataViz!Y$34),
0))))</f>
        <v>0</v>
      </c>
      <c r="Z62" s="22">
        <f>IF(Z$35="Dose 1",SUMIFS('Supply planning data'!$G:$G,'Supply planning data'!$D:$D,DataViz!$B62,'Supply planning data'!$C:$C,DataViz!Z$34),
IF(Z$35="Dose 2",SUMIFS('Supply planning data'!$H:$H,'Supply planning data'!$D:$D,DataViz!$B62,'Supply planning data'!$C:$C,DataViz!Z$34),
IF(Z$35="Wastage",SUMIFS('Supply planning data'!$K:$K,'Supply planning data'!$D:$D,DataViz!$B62,'Supply planning data'!$C:$C,DataViz!Z$34),
IF(Z$35="Additional",SUMIFS('Supply planning data'!$I:$I,'Supply planning data'!$D:$D,DataViz!$B62,'Supply planning data'!$C:$C,DataViz!Z$34),
0))))</f>
        <v>0</v>
      </c>
      <c r="AA62" s="22">
        <f>IF(AA$35="Dose 1",SUMIFS('Supply planning data'!$G:$G,'Supply planning data'!$D:$D,DataViz!$B62,'Supply planning data'!$C:$C,DataViz!AA$34),
IF(AA$35="Dose 2",SUMIFS('Supply planning data'!$H:$H,'Supply planning data'!$D:$D,DataViz!$B62,'Supply planning data'!$C:$C,DataViz!AA$34),
IF(AA$35="Wastage",SUMIFS('Supply planning data'!$K:$K,'Supply planning data'!$D:$D,DataViz!$B62,'Supply planning data'!$C:$C,DataViz!AA$34),
IF(AA$35="Additional",SUMIFS('Supply planning data'!$I:$I,'Supply planning data'!$D:$D,DataViz!$B62,'Supply planning data'!$C:$C,DataViz!AA$34),
0))))</f>
        <v>0</v>
      </c>
      <c r="AB62" s="22">
        <f>IF(AB$35="Dose 1",SUMIFS('Supply planning data'!$G:$G,'Supply planning data'!$D:$D,DataViz!$B62,'Supply planning data'!$C:$C,DataViz!AB$34),
IF(AB$35="Dose 2",SUMIFS('Supply planning data'!$H:$H,'Supply planning data'!$D:$D,DataViz!$B62,'Supply planning data'!$C:$C,DataViz!AB$34),
IF(AB$35="Wastage",SUMIFS('Supply planning data'!$K:$K,'Supply planning data'!$D:$D,DataViz!$B62,'Supply planning data'!$C:$C,DataViz!AB$34),
IF(AB$35="Additional",SUMIFS('Supply planning data'!$I:$I,'Supply planning data'!$D:$D,DataViz!$B62,'Supply planning data'!$C:$C,DataViz!AB$34),
0))))</f>
        <v>0</v>
      </c>
      <c r="AC62" s="22">
        <f>IF(AC$35="Dose 1",SUMIFS('Supply planning data'!$G:$G,'Supply planning data'!$D:$D,DataViz!$B62,'Supply planning data'!$C:$C,DataViz!AC$34),
IF(AC$35="Dose 2",SUMIFS('Supply planning data'!$H:$H,'Supply planning data'!$D:$D,DataViz!$B62,'Supply planning data'!$C:$C,DataViz!AC$34),
IF(AC$35="Wastage",SUMIFS('Supply planning data'!$K:$K,'Supply planning data'!$D:$D,DataViz!$B62,'Supply planning data'!$C:$C,DataViz!AC$34),
IF(AC$35="Additional",SUMIFS('Supply planning data'!$I:$I,'Supply planning data'!$D:$D,DataViz!$B62,'Supply planning data'!$C:$C,DataViz!AC$34),
0))))</f>
        <v>0</v>
      </c>
      <c r="AD62" s="22">
        <f>IF(AD$35="Dose 1",SUMIFS('Supply planning data'!$G:$G,'Supply planning data'!$D:$D,DataViz!$B62,'Supply planning data'!$C:$C,DataViz!AD$34),
IF(AD$35="Dose 2",SUMIFS('Supply planning data'!$H:$H,'Supply planning data'!$D:$D,DataViz!$B62,'Supply planning data'!$C:$C,DataViz!AD$34),
IF(AD$35="Wastage",SUMIFS('Supply planning data'!$K:$K,'Supply planning data'!$D:$D,DataViz!$B62,'Supply planning data'!$C:$C,DataViz!AD$34),
IF(AD$35="Additional",SUMIFS('Supply planning data'!$I:$I,'Supply planning data'!$D:$D,DataViz!$B62,'Supply planning data'!$C:$C,DataViz!AD$34),
0))))</f>
        <v>0</v>
      </c>
      <c r="AE62" s="22">
        <f>IF(AE$35="Dose 1",SUMIFS('Supply planning data'!$G:$G,'Supply planning data'!$D:$D,DataViz!$B62,'Supply planning data'!$C:$C,DataViz!AE$34),
IF(AE$35="Dose 2",SUMIFS('Supply planning data'!$H:$H,'Supply planning data'!$D:$D,DataViz!$B62,'Supply planning data'!$C:$C,DataViz!AE$34),
IF(AE$35="Wastage",SUMIFS('Supply planning data'!$K:$K,'Supply planning data'!$D:$D,DataViz!$B62,'Supply planning data'!$C:$C,DataViz!AE$34),
IF(AE$35="Additional",SUMIFS('Supply planning data'!$I:$I,'Supply planning data'!$D:$D,DataViz!$B62,'Supply planning data'!$C:$C,DataViz!AE$34),
0))))</f>
        <v>0</v>
      </c>
      <c r="AF62" s="22">
        <f>IF(AF$35="Dose 1",SUMIFS('Supply planning data'!$G:$G,'Supply planning data'!$D:$D,DataViz!$B62,'Supply planning data'!$C:$C,DataViz!AF$34),
IF(AF$35="Dose 2",SUMIFS('Supply planning data'!$H:$H,'Supply planning data'!$D:$D,DataViz!$B62,'Supply planning data'!$C:$C,DataViz!AF$34),
IF(AF$35="Wastage",SUMIFS('Supply planning data'!$K:$K,'Supply planning data'!$D:$D,DataViz!$B62,'Supply planning data'!$C:$C,DataViz!AF$34),
IF(AF$35="Additional",SUMIFS('Supply planning data'!$I:$I,'Supply planning data'!$D:$D,DataViz!$B62,'Supply planning data'!$C:$C,DataViz!AF$34),
0))))</f>
        <v>0</v>
      </c>
      <c r="AG62" s="22">
        <f>IF(AG$35="Dose 1",SUMIFS('Supply planning data'!$G:$G,'Supply planning data'!$D:$D,DataViz!$B62,'Supply planning data'!$C:$C,DataViz!AG$34),
IF(AG$35="Dose 2",SUMIFS('Supply planning data'!$H:$H,'Supply planning data'!$D:$D,DataViz!$B62,'Supply planning data'!$C:$C,DataViz!AG$34),
IF(AG$35="Wastage",SUMIFS('Supply planning data'!$K:$K,'Supply planning data'!$D:$D,DataViz!$B62,'Supply planning data'!$C:$C,DataViz!AG$34),
IF(AG$35="Additional",SUMIFS('Supply planning data'!$I:$I,'Supply planning data'!$D:$D,DataViz!$B62,'Supply planning data'!$C:$C,DataViz!AG$34),
0))))</f>
        <v>0</v>
      </c>
      <c r="AH62" s="22">
        <f>IF(AH$35="Dose 1",SUMIFS('Supply planning data'!$G:$G,'Supply planning data'!$D:$D,DataViz!$B62,'Supply planning data'!$C:$C,DataViz!AH$34),
IF(AH$35="Dose 2",SUMIFS('Supply planning data'!$H:$H,'Supply planning data'!$D:$D,DataViz!$B62,'Supply planning data'!$C:$C,DataViz!AH$34),
IF(AH$35="Wastage",SUMIFS('Supply planning data'!$K:$K,'Supply planning data'!$D:$D,DataViz!$B62,'Supply planning data'!$C:$C,DataViz!AH$34),
IF(AH$35="Additional",SUMIFS('Supply planning data'!$I:$I,'Supply planning data'!$D:$D,DataViz!$B62,'Supply planning data'!$C:$C,DataViz!AH$34),
0))))</f>
        <v>0</v>
      </c>
      <c r="AI62" s="22">
        <f>IF(AI$35="Dose 1",SUMIFS('Supply planning data'!$G:$G,'Supply planning data'!$D:$D,DataViz!$B62,'Supply planning data'!$C:$C,DataViz!AI$34),
IF(AI$35="Dose 2",SUMIFS('Supply planning data'!$H:$H,'Supply planning data'!$D:$D,DataViz!$B62,'Supply planning data'!$C:$C,DataViz!AI$34),
IF(AI$35="Wastage",SUMIFS('Supply planning data'!$K:$K,'Supply planning data'!$D:$D,DataViz!$B62,'Supply planning data'!$C:$C,DataViz!AI$34),
IF(AI$35="Additional",SUMIFS('Supply planning data'!$I:$I,'Supply planning data'!$D:$D,DataViz!$B62,'Supply planning data'!$C:$C,DataViz!AI$34),
0))))</f>
        <v>0</v>
      </c>
      <c r="AJ62" s="22">
        <f>IF(AJ$35="Dose 1",SUMIFS('Supply planning data'!$G:$G,'Supply planning data'!$D:$D,DataViz!$B62,'Supply planning data'!$C:$C,DataViz!AJ$34),
IF(AJ$35="Dose 2",SUMIFS('Supply planning data'!$H:$H,'Supply planning data'!$D:$D,DataViz!$B62,'Supply planning data'!$C:$C,DataViz!AJ$34),
IF(AJ$35="Wastage",SUMIFS('Supply planning data'!$K:$K,'Supply planning data'!$D:$D,DataViz!$B62,'Supply planning data'!$C:$C,DataViz!AJ$34),
IF(AJ$35="Additional",SUMIFS('Supply planning data'!$I:$I,'Supply planning data'!$D:$D,DataViz!$B62,'Supply planning data'!$C:$C,DataViz!AJ$34),
0))))</f>
        <v>0</v>
      </c>
      <c r="AK62" s="22">
        <f>IF(AK$35="Dose 1",SUMIFS('Supply planning data'!$G:$G,'Supply planning data'!$D:$D,DataViz!$B62,'Supply planning data'!$C:$C,DataViz!AK$34),
IF(AK$35="Dose 2",SUMIFS('Supply planning data'!$H:$H,'Supply planning data'!$D:$D,DataViz!$B62,'Supply planning data'!$C:$C,DataViz!AK$34),
IF(AK$35="Wastage",SUMIFS('Supply planning data'!$K:$K,'Supply planning data'!$D:$D,DataViz!$B62,'Supply planning data'!$C:$C,DataViz!AK$34),
IF(AK$35="Additional",SUMIFS('Supply planning data'!$I:$I,'Supply planning data'!$D:$D,DataViz!$B62,'Supply planning data'!$C:$C,DataViz!AK$34),
0))))</f>
        <v>0</v>
      </c>
      <c r="AL62" s="22">
        <f>IF(AL$35="Dose 1",SUMIFS('Supply planning data'!$G:$G,'Supply planning data'!$D:$D,DataViz!$B62,'Supply planning data'!$C:$C,DataViz!AL$34),
IF(AL$35="Dose 2",SUMIFS('Supply planning data'!$H:$H,'Supply planning data'!$D:$D,DataViz!$B62,'Supply planning data'!$C:$C,DataViz!AL$34),
IF(AL$35="Wastage",SUMIFS('Supply planning data'!$K:$K,'Supply planning data'!$D:$D,DataViz!$B62,'Supply planning data'!$C:$C,DataViz!AL$34),
IF(AL$35="Additional",SUMIFS('Supply planning data'!$I:$I,'Supply planning data'!$D:$D,DataViz!$B62,'Supply planning data'!$C:$C,DataViz!AL$34),
0))))</f>
        <v>0</v>
      </c>
      <c r="AM62" s="22">
        <f>IF(AM$35="Dose 1",SUMIFS('Supply planning data'!$G:$G,'Supply planning data'!$D:$D,DataViz!$B62,'Supply planning data'!$C:$C,DataViz!AM$34),
IF(AM$35="Dose 2",SUMIFS('Supply planning data'!$H:$H,'Supply planning data'!$D:$D,DataViz!$B62,'Supply planning data'!$C:$C,DataViz!AM$34),
IF(AM$35="Wastage",SUMIFS('Supply planning data'!$K:$K,'Supply planning data'!$D:$D,DataViz!$B62,'Supply planning data'!$C:$C,DataViz!AM$34),
IF(AM$35="Additional",SUMIFS('Supply planning data'!$I:$I,'Supply planning data'!$D:$D,DataViz!$B62,'Supply planning data'!$C:$C,DataViz!AM$34),
0))))</f>
        <v>0</v>
      </c>
      <c r="AN62" s="22">
        <f>IF(AN$35="Dose 1",SUMIFS('Supply planning data'!$G:$G,'Supply planning data'!$D:$D,DataViz!$B62,'Supply planning data'!$C:$C,DataViz!AN$34),
IF(AN$35="Dose 2",SUMIFS('Supply planning data'!$H:$H,'Supply planning data'!$D:$D,DataViz!$B62,'Supply planning data'!$C:$C,DataViz!AN$34),
IF(AN$35="Wastage",SUMIFS('Supply planning data'!$K:$K,'Supply planning data'!$D:$D,DataViz!$B62,'Supply planning data'!$C:$C,DataViz!AN$34),
IF(AN$35="Additional",SUMIFS('Supply planning data'!$I:$I,'Supply planning data'!$D:$D,DataViz!$B62,'Supply planning data'!$C:$C,DataViz!AN$34),
0))))</f>
        <v>0</v>
      </c>
      <c r="AO62" s="22">
        <f>IF(AO$35="Dose 1",SUMIFS('Supply planning data'!$G:$G,'Supply planning data'!$D:$D,DataViz!$B62,'Supply planning data'!$C:$C,DataViz!AO$34),
IF(AO$35="Dose 2",SUMIFS('Supply planning data'!$H:$H,'Supply planning data'!$D:$D,DataViz!$B62,'Supply planning data'!$C:$C,DataViz!AO$34),
IF(AO$35="Wastage",SUMIFS('Supply planning data'!$K:$K,'Supply planning data'!$D:$D,DataViz!$B62,'Supply planning data'!$C:$C,DataViz!AO$34),
IF(AO$35="Additional",SUMIFS('Supply planning data'!$I:$I,'Supply planning data'!$D:$D,DataViz!$B62,'Supply planning data'!$C:$C,DataViz!AO$34),
0))))</f>
        <v>0</v>
      </c>
      <c r="AP62" s="22">
        <f>IF(AP$35="Dose 1",SUMIFS('Supply planning data'!$G:$G,'Supply planning data'!$D:$D,DataViz!$B62,'Supply planning data'!$C:$C,DataViz!AP$34),
IF(AP$35="Dose 2",SUMIFS('Supply planning data'!$H:$H,'Supply planning data'!$D:$D,DataViz!$B62,'Supply planning data'!$C:$C,DataViz!AP$34),
IF(AP$35="Wastage",SUMIFS('Supply planning data'!$K:$K,'Supply planning data'!$D:$D,DataViz!$B62,'Supply planning data'!$C:$C,DataViz!AP$34),
IF(AP$35="Additional",SUMIFS('Supply planning data'!$I:$I,'Supply planning data'!$D:$D,DataViz!$B62,'Supply planning data'!$C:$C,DataViz!AP$34),
0))))</f>
        <v>0</v>
      </c>
      <c r="AQ62" s="22">
        <f>IF(AQ$35="Dose 1",SUMIFS('Supply planning data'!$G:$G,'Supply planning data'!$D:$D,DataViz!$B62,'Supply planning data'!$C:$C,DataViz!AQ$34),
IF(AQ$35="Dose 2",SUMIFS('Supply planning data'!$H:$H,'Supply planning data'!$D:$D,DataViz!$B62,'Supply planning data'!$C:$C,DataViz!AQ$34),
IF(AQ$35="Wastage",SUMIFS('Supply planning data'!$K:$K,'Supply planning data'!$D:$D,DataViz!$B62,'Supply planning data'!$C:$C,DataViz!AQ$34),
IF(AQ$35="Additional",SUMIFS('Supply planning data'!$I:$I,'Supply planning data'!$D:$D,DataViz!$B62,'Supply planning data'!$C:$C,DataViz!AQ$34),
0))))</f>
        <v>0</v>
      </c>
      <c r="AR62" s="22">
        <f>IF(AR$35="Dose 1",SUMIFS('Supply planning data'!$G:$G,'Supply planning data'!$D:$D,DataViz!$B62,'Supply planning data'!$C:$C,DataViz!AR$34),
IF(AR$35="Dose 2",SUMIFS('Supply planning data'!$H:$H,'Supply planning data'!$D:$D,DataViz!$B62,'Supply planning data'!$C:$C,DataViz!AR$34),
IF(AR$35="Wastage",SUMIFS('Supply planning data'!$K:$K,'Supply planning data'!$D:$D,DataViz!$B62,'Supply planning data'!$C:$C,DataViz!AR$34),
IF(AR$35="Additional",SUMIFS('Supply planning data'!$I:$I,'Supply planning data'!$D:$D,DataViz!$B62,'Supply planning data'!$C:$C,DataViz!AR$34),
0))))</f>
        <v>0</v>
      </c>
      <c r="AS62" s="22">
        <f>IF(AS$35="Dose 1",SUMIFS('Supply planning data'!$G:$G,'Supply planning data'!$D:$D,DataViz!$B62,'Supply planning data'!$C:$C,DataViz!AS$34),
IF(AS$35="Dose 2",SUMIFS('Supply planning data'!$H:$H,'Supply planning data'!$D:$D,DataViz!$B62,'Supply planning data'!$C:$C,DataViz!AS$34),
IF(AS$35="Wastage",SUMIFS('Supply planning data'!$K:$K,'Supply planning data'!$D:$D,DataViz!$B62,'Supply planning data'!$C:$C,DataViz!AS$34),
IF(AS$35="Additional",SUMIFS('Supply planning data'!$I:$I,'Supply planning data'!$D:$D,DataViz!$B62,'Supply planning data'!$C:$C,DataViz!AS$34),
0))))</f>
        <v>0</v>
      </c>
      <c r="AT62" s="22">
        <f>IF(AT$35="Dose 1",SUMIFS('Supply planning data'!$G:$G,'Supply planning data'!$D:$D,DataViz!$B62,'Supply planning data'!$C:$C,DataViz!AT$34),
IF(AT$35="Dose 2",SUMIFS('Supply planning data'!$H:$H,'Supply planning data'!$D:$D,DataViz!$B62,'Supply planning data'!$C:$C,DataViz!AT$34),
IF(AT$35="Wastage",SUMIFS('Supply planning data'!$K:$K,'Supply planning data'!$D:$D,DataViz!$B62,'Supply planning data'!$C:$C,DataViz!AT$34),
IF(AT$35="Additional",SUMIFS('Supply planning data'!$I:$I,'Supply planning data'!$D:$D,DataViz!$B62,'Supply planning data'!$C:$C,DataViz!AT$34),
0))))</f>
        <v>0</v>
      </c>
      <c r="AU62" s="22">
        <f>IF(AU$35="Dose 1",SUMIFS('Supply planning data'!$G:$G,'Supply planning data'!$D:$D,DataViz!$B62,'Supply planning data'!$C:$C,DataViz!AU$34),
IF(AU$35="Dose 2",SUMIFS('Supply planning data'!$H:$H,'Supply planning data'!$D:$D,DataViz!$B62,'Supply planning data'!$C:$C,DataViz!AU$34),
IF(AU$35="Wastage",SUMIFS('Supply planning data'!$K:$K,'Supply planning data'!$D:$D,DataViz!$B62,'Supply planning data'!$C:$C,DataViz!AU$34),
IF(AU$35="Additional",SUMIFS('Supply planning data'!$I:$I,'Supply planning data'!$D:$D,DataViz!$B62,'Supply planning data'!$C:$C,DataViz!AU$34),
0))))</f>
        <v>0</v>
      </c>
      <c r="AV62" s="22">
        <f>IF(AV$35="Dose 1",SUMIFS('Supply planning data'!$G:$G,'Supply planning data'!$D:$D,DataViz!$B62,'Supply planning data'!$C:$C,DataViz!AV$34),
IF(AV$35="Dose 2",SUMIFS('Supply planning data'!$H:$H,'Supply planning data'!$D:$D,DataViz!$B62,'Supply planning data'!$C:$C,DataViz!AV$34),
IF(AV$35="Wastage",SUMIFS('Supply planning data'!$K:$K,'Supply planning data'!$D:$D,DataViz!$B62,'Supply planning data'!$C:$C,DataViz!AV$34),
IF(AV$35="Additional",SUMIFS('Supply planning data'!$I:$I,'Supply planning data'!$D:$D,DataViz!$B62,'Supply planning data'!$C:$C,DataViz!AV$34),
0))))</f>
        <v>0</v>
      </c>
      <c r="AW62" s="22">
        <f>IF(AW$35="Dose 1",SUMIFS('Supply planning data'!$G:$G,'Supply planning data'!$D:$D,DataViz!$B62,'Supply planning data'!$C:$C,DataViz!AW$34),
IF(AW$35="Dose 2",SUMIFS('Supply planning data'!$H:$H,'Supply planning data'!$D:$D,DataViz!$B62,'Supply planning data'!$C:$C,DataViz!AW$34),
IF(AW$35="Wastage",SUMIFS('Supply planning data'!$K:$K,'Supply planning data'!$D:$D,DataViz!$B62,'Supply planning data'!$C:$C,DataViz!AW$34),
IF(AW$35="Additional",SUMIFS('Supply planning data'!$I:$I,'Supply planning data'!$D:$D,DataViz!$B62,'Supply planning data'!$C:$C,DataViz!AW$34),
0))))</f>
        <v>0</v>
      </c>
      <c r="AX62" s="22">
        <f>IF(AX$35="Dose 1",SUMIFS('Supply planning data'!$G:$G,'Supply planning data'!$D:$D,DataViz!$B62,'Supply planning data'!$C:$C,DataViz!AX$34),
IF(AX$35="Dose 2",SUMIFS('Supply planning data'!$H:$H,'Supply planning data'!$D:$D,DataViz!$B62,'Supply planning data'!$C:$C,DataViz!AX$34),
IF(AX$35="Wastage",SUMIFS('Supply planning data'!$K:$K,'Supply planning data'!$D:$D,DataViz!$B62,'Supply planning data'!$C:$C,DataViz!AX$34),
IF(AX$35="Additional",SUMIFS('Supply planning data'!$I:$I,'Supply planning data'!$D:$D,DataViz!$B62,'Supply planning data'!$C:$C,DataViz!AX$34),
0))))</f>
        <v>0</v>
      </c>
      <c r="AY62" s="22">
        <f>IF(AY$35="Dose 1",SUMIFS('Supply planning data'!$G:$G,'Supply planning data'!$D:$D,DataViz!$B62,'Supply planning data'!$C:$C,DataViz!AY$34),
IF(AY$35="Dose 2",SUMIFS('Supply planning data'!$H:$H,'Supply planning data'!$D:$D,DataViz!$B62,'Supply planning data'!$C:$C,DataViz!AY$34),
IF(AY$35="Wastage",SUMIFS('Supply planning data'!$K:$K,'Supply planning data'!$D:$D,DataViz!$B62,'Supply planning data'!$C:$C,DataViz!AY$34),
IF(AY$35="Additional",SUMIFS('Supply planning data'!$I:$I,'Supply planning data'!$D:$D,DataViz!$B62,'Supply planning data'!$C:$C,DataViz!AY$34),
0))))</f>
        <v>0</v>
      </c>
      <c r="AZ62" s="22">
        <f>IF(AZ$35="Dose 1",SUMIFS('Supply planning data'!$G:$G,'Supply planning data'!$D:$D,DataViz!$B62,'Supply planning data'!$C:$C,DataViz!AZ$34),
IF(AZ$35="Dose 2",SUMIFS('Supply planning data'!$H:$H,'Supply planning data'!$D:$D,DataViz!$B62,'Supply planning data'!$C:$C,DataViz!AZ$34),
IF(AZ$35="Wastage",SUMIFS('Supply planning data'!$K:$K,'Supply planning data'!$D:$D,DataViz!$B62,'Supply planning data'!$C:$C,DataViz!AZ$34),
IF(AZ$35="Additional",SUMIFS('Supply planning data'!$I:$I,'Supply planning data'!$D:$D,DataViz!$B62,'Supply planning data'!$C:$C,DataViz!AZ$34),
0))))</f>
        <v>0</v>
      </c>
      <c r="BA62" s="22">
        <f>IF(BA$35="Dose 1",SUMIFS('Supply planning data'!$G:$G,'Supply planning data'!$D:$D,DataViz!$B62,'Supply planning data'!$C:$C,DataViz!BA$34),
IF(BA$35="Dose 2",SUMIFS('Supply planning data'!$H:$H,'Supply planning data'!$D:$D,DataViz!$B62,'Supply planning data'!$C:$C,DataViz!BA$34),
IF(BA$35="Wastage",SUMIFS('Supply planning data'!$K:$K,'Supply planning data'!$D:$D,DataViz!$B62,'Supply planning data'!$C:$C,DataViz!BA$34),
IF(BA$35="Additional",SUMIFS('Supply planning data'!$I:$I,'Supply planning data'!$D:$D,DataViz!$B62,'Supply planning data'!$C:$C,DataViz!BA$34),
0))))</f>
        <v>0</v>
      </c>
      <c r="BB62" s="22">
        <f>IF(BB$35="Dose 1",SUMIFS('Supply planning data'!$G:$G,'Supply planning data'!$D:$D,DataViz!$B62,'Supply planning data'!$C:$C,DataViz!BB$34),
IF(BB$35="Dose 2",SUMIFS('Supply planning data'!$H:$H,'Supply planning data'!$D:$D,DataViz!$B62,'Supply planning data'!$C:$C,DataViz!BB$34),
IF(BB$35="Wastage",SUMIFS('Supply planning data'!$K:$K,'Supply planning data'!$D:$D,DataViz!$B62,'Supply planning data'!$C:$C,DataViz!BB$34),
IF(BB$35="Additional",SUMIFS('Supply planning data'!$I:$I,'Supply planning data'!$D:$D,DataViz!$B62,'Supply planning data'!$C:$C,DataViz!BB$34),
0))))</f>
        <v>0</v>
      </c>
      <c r="BC62" s="22">
        <f>IF(BC$35="Dose 1",SUMIFS('Supply planning data'!$G:$G,'Supply planning data'!$D:$D,DataViz!$B62,'Supply planning data'!$C:$C,DataViz!BC$34),
IF(BC$35="Dose 2",SUMIFS('Supply planning data'!$H:$H,'Supply planning data'!$D:$D,DataViz!$B62,'Supply planning data'!$C:$C,DataViz!BC$34),
IF(BC$35="Wastage",SUMIFS('Supply planning data'!$K:$K,'Supply planning data'!$D:$D,DataViz!$B62,'Supply planning data'!$C:$C,DataViz!BC$34),
IF(BC$35="Additional",SUMIFS('Supply planning data'!$I:$I,'Supply planning data'!$D:$D,DataViz!$B62,'Supply planning data'!$C:$C,DataViz!BC$34),
0))))</f>
        <v>0</v>
      </c>
      <c r="BD62" s="22">
        <f>IF(BD$35="Dose 1",SUMIFS('Supply planning data'!$G:$G,'Supply planning data'!$D:$D,DataViz!$B62,'Supply planning data'!$C:$C,DataViz!BD$34),
IF(BD$35="Dose 2",SUMIFS('Supply planning data'!$H:$H,'Supply planning data'!$D:$D,DataViz!$B62,'Supply planning data'!$C:$C,DataViz!BD$34),
IF(BD$35="Wastage",SUMIFS('Supply planning data'!$K:$K,'Supply planning data'!$D:$D,DataViz!$B62,'Supply planning data'!$C:$C,DataViz!BD$34),
IF(BD$35="Additional",SUMIFS('Supply planning data'!$I:$I,'Supply planning data'!$D:$D,DataViz!$B62,'Supply planning data'!$C:$C,DataViz!BD$34),
0))))</f>
        <v>0</v>
      </c>
      <c r="BE62" s="22">
        <f>IF(BE$35="Dose 1",SUMIFS('Supply planning data'!$G:$G,'Supply planning data'!$D:$D,DataViz!$B62,'Supply planning data'!$C:$C,DataViz!BE$34),
IF(BE$35="Dose 2",SUMIFS('Supply planning data'!$H:$H,'Supply planning data'!$D:$D,DataViz!$B62,'Supply planning data'!$C:$C,DataViz!BE$34),
IF(BE$35="Wastage",SUMIFS('Supply planning data'!$K:$K,'Supply planning data'!$D:$D,DataViz!$B62,'Supply planning data'!$C:$C,DataViz!BE$34),
IF(BE$35="Additional",SUMIFS('Supply planning data'!$I:$I,'Supply planning data'!$D:$D,DataViz!$B62,'Supply planning data'!$C:$C,DataViz!BE$34),
0))))</f>
        <v>0</v>
      </c>
      <c r="BF62" s="22">
        <f>IF(BF$35="Dose 1",SUMIFS('Supply planning data'!$G:$G,'Supply planning data'!$D:$D,DataViz!$B62,'Supply planning data'!$C:$C,DataViz!BF$34),
IF(BF$35="Dose 2",SUMIFS('Supply planning data'!$H:$H,'Supply planning data'!$D:$D,DataViz!$B62,'Supply planning data'!$C:$C,DataViz!BF$34),
IF(BF$35="Wastage",SUMIFS('Supply planning data'!$K:$K,'Supply planning data'!$D:$D,DataViz!$B62,'Supply planning data'!$C:$C,DataViz!BF$34),
IF(BF$35="Additional",SUMIFS('Supply planning data'!$I:$I,'Supply planning data'!$D:$D,DataViz!$B62,'Supply planning data'!$C:$C,DataViz!BF$34),
0))))</f>
        <v>0</v>
      </c>
      <c r="BG62" s="22">
        <f>IF(BG$35="Dose 1",SUMIFS('Supply planning data'!$G:$G,'Supply planning data'!$D:$D,DataViz!$B62,'Supply planning data'!$C:$C,DataViz!BG$34),
IF(BG$35="Dose 2",SUMIFS('Supply planning data'!$H:$H,'Supply planning data'!$D:$D,DataViz!$B62,'Supply planning data'!$C:$C,DataViz!BG$34),
IF(BG$35="Wastage",SUMIFS('Supply planning data'!$K:$K,'Supply planning data'!$D:$D,DataViz!$B62,'Supply planning data'!$C:$C,DataViz!BG$34),
IF(BG$35="Additional",SUMIFS('Supply planning data'!$I:$I,'Supply planning data'!$D:$D,DataViz!$B62,'Supply planning data'!$C:$C,DataViz!BG$34),
0))))</f>
        <v>0</v>
      </c>
      <c r="BH62" s="22">
        <f>IF(BH$35="Dose 1",SUMIFS('Supply planning data'!$G:$G,'Supply planning data'!$D:$D,DataViz!$B62,'Supply planning data'!$C:$C,DataViz!BH$34),
IF(BH$35="Dose 2",SUMIFS('Supply planning data'!$H:$H,'Supply planning data'!$D:$D,DataViz!$B62,'Supply planning data'!$C:$C,DataViz!BH$34),
IF(BH$35="Wastage",SUMIFS('Supply planning data'!$K:$K,'Supply planning data'!$D:$D,DataViz!$B62,'Supply planning data'!$C:$C,DataViz!BH$34),
IF(BH$35="Additional",SUMIFS('Supply planning data'!$I:$I,'Supply planning data'!$D:$D,DataViz!$B62,'Supply planning data'!$C:$C,DataViz!BH$34),
0))))</f>
        <v>0</v>
      </c>
      <c r="BI62" s="22">
        <f>IF(BI$35="Dose 1",SUMIFS('Supply planning data'!$G:$G,'Supply planning data'!$D:$D,DataViz!$B62,'Supply planning data'!$C:$C,DataViz!BI$34),
IF(BI$35="Dose 2",SUMIFS('Supply planning data'!$H:$H,'Supply planning data'!$D:$D,DataViz!$B62,'Supply planning data'!$C:$C,DataViz!BI$34),
IF(BI$35="Wastage",SUMIFS('Supply planning data'!$K:$K,'Supply planning data'!$D:$D,DataViz!$B62,'Supply planning data'!$C:$C,DataViz!BI$34),
IF(BI$35="Additional",SUMIFS('Supply planning data'!$I:$I,'Supply planning data'!$D:$D,DataViz!$B62,'Supply planning data'!$C:$C,DataViz!BI$34),
0))))</f>
        <v>0</v>
      </c>
      <c r="BJ62" s="22">
        <f>IF(BJ$35="Dose 1",SUMIFS('Supply planning data'!$G:$G,'Supply planning data'!$D:$D,DataViz!$B62,'Supply planning data'!$C:$C,DataViz!BJ$34),
IF(BJ$35="Dose 2",SUMIFS('Supply planning data'!$H:$H,'Supply planning data'!$D:$D,DataViz!$B62,'Supply planning data'!$C:$C,DataViz!BJ$34),
IF(BJ$35="Wastage",SUMIFS('Supply planning data'!$K:$K,'Supply planning data'!$D:$D,DataViz!$B62,'Supply planning data'!$C:$C,DataViz!BJ$34),
IF(BJ$35="Additional",SUMIFS('Supply planning data'!$I:$I,'Supply planning data'!$D:$D,DataViz!$B62,'Supply planning data'!$C:$C,DataViz!BJ$34),
0))))</f>
        <v>0</v>
      </c>
      <c r="BK62" s="22">
        <f>IF(BK$35="Dose 1",SUMIFS('Supply planning data'!$G:$G,'Supply planning data'!$D:$D,DataViz!$B62,'Supply planning data'!$C:$C,DataViz!BK$34),
IF(BK$35="Dose 2",SUMIFS('Supply planning data'!$H:$H,'Supply planning data'!$D:$D,DataViz!$B62,'Supply planning data'!$C:$C,DataViz!BK$34),
IF(BK$35="Wastage",SUMIFS('Supply planning data'!$K:$K,'Supply planning data'!$D:$D,DataViz!$B62,'Supply planning data'!$C:$C,DataViz!BK$34),
IF(BK$35="Additional",SUMIFS('Supply planning data'!$I:$I,'Supply planning data'!$D:$D,DataViz!$B62,'Supply planning data'!$C:$C,DataViz!BK$34),
0))))</f>
        <v>0</v>
      </c>
      <c r="BL62" s="22">
        <f>IF(BL$35="Dose 1",SUMIFS('Supply planning data'!$G:$G,'Supply planning data'!$D:$D,DataViz!$B62,'Supply planning data'!$C:$C,DataViz!BL$34),
IF(BL$35="Dose 2",SUMIFS('Supply planning data'!$H:$H,'Supply planning data'!$D:$D,DataViz!$B62,'Supply planning data'!$C:$C,DataViz!BL$34),
IF(BL$35="Wastage",SUMIFS('Supply planning data'!$K:$K,'Supply planning data'!$D:$D,DataViz!$B62,'Supply planning data'!$C:$C,DataViz!BL$34),
IF(BL$35="Additional",SUMIFS('Supply planning data'!$I:$I,'Supply planning data'!$D:$D,DataViz!$B62,'Supply planning data'!$C:$C,DataViz!BL$34),
0))))</f>
        <v>0</v>
      </c>
    </row>
    <row r="63" spans="1:64" x14ac:dyDescent="0.25">
      <c r="C63" s="22"/>
      <c r="L63" s="30"/>
    </row>
    <row r="64" spans="1:64" x14ac:dyDescent="0.25">
      <c r="C64" s="22"/>
    </row>
    <row r="66" spans="1:19" x14ac:dyDescent="0.25">
      <c r="A66" t="s">
        <v>130</v>
      </c>
      <c r="E66" s="24">
        <f>IFERROR(SUM(E72:E95),0)</f>
        <v>0</v>
      </c>
      <c r="F66" s="24">
        <f t="shared" ref="F66:S66" si="16">IFERROR(SUM(F72:F95),0)</f>
        <v>0</v>
      </c>
      <c r="G66" s="24">
        <f t="shared" si="16"/>
        <v>0</v>
      </c>
      <c r="H66" s="24">
        <f t="shared" si="16"/>
        <v>110538</v>
      </c>
      <c r="I66" s="24">
        <f t="shared" si="16"/>
        <v>0</v>
      </c>
      <c r="J66" s="24">
        <f t="shared" si="16"/>
        <v>0</v>
      </c>
      <c r="K66" s="24">
        <f t="shared" si="16"/>
        <v>0</v>
      </c>
      <c r="L66" s="24">
        <f t="shared" si="16"/>
        <v>0</v>
      </c>
      <c r="M66" s="24">
        <f t="shared" si="16"/>
        <v>0</v>
      </c>
      <c r="N66" s="24">
        <f t="shared" si="16"/>
        <v>0</v>
      </c>
      <c r="O66" s="24">
        <f t="shared" si="16"/>
        <v>0</v>
      </c>
      <c r="P66" s="24">
        <f t="shared" si="16"/>
        <v>0</v>
      </c>
      <c r="Q66" s="24">
        <f t="shared" si="16"/>
        <v>0</v>
      </c>
      <c r="R66" s="24">
        <f t="shared" si="16"/>
        <v>0</v>
      </c>
      <c r="S66" s="24">
        <f t="shared" si="16"/>
        <v>0</v>
      </c>
    </row>
    <row r="67" spans="1:19" x14ac:dyDescent="0.25">
      <c r="E67" s="43" t="str">
        <f>Start!$C$17</f>
        <v>AstraZeneca</v>
      </c>
      <c r="F67" s="42" t="str">
        <f>Start!$C$18</f>
        <v>Jansen</v>
      </c>
      <c r="G67" s="43" t="str">
        <f>Start!$C$19</f>
        <v>Moderna</v>
      </c>
      <c r="H67" s="42" t="str">
        <f>Start!$C$20</f>
        <v>Pfizer</v>
      </c>
      <c r="I67" s="43" t="str">
        <f>Start!$C$21</f>
        <v>Sinovac</v>
      </c>
      <c r="J67" s="42">
        <f>Start!$C$22</f>
        <v>0</v>
      </c>
      <c r="K67" s="43">
        <f>Start!$C$23</f>
        <v>0</v>
      </c>
      <c r="L67" s="42">
        <f>Start!$C$24</f>
        <v>0</v>
      </c>
      <c r="M67" s="43">
        <f>Start!$C$25</f>
        <v>0</v>
      </c>
      <c r="N67" s="42">
        <f>Start!$C$26</f>
        <v>0</v>
      </c>
      <c r="O67" s="43">
        <f>Start!$C$27</f>
        <v>0</v>
      </c>
      <c r="P67" s="42">
        <f>Start!$C$28</f>
        <v>0</v>
      </c>
      <c r="Q67" s="43">
        <f>Start!$C$29</f>
        <v>0</v>
      </c>
      <c r="R67" s="42">
        <f>Start!$C$30</f>
        <v>0</v>
      </c>
      <c r="S67" s="43">
        <f>Start!$C$31</f>
        <v>0</v>
      </c>
    </row>
    <row r="68" spans="1:19" x14ac:dyDescent="0.25"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1:19" x14ac:dyDescent="0.25">
      <c r="L69" s="31"/>
    </row>
    <row r="70" spans="1:19" x14ac:dyDescent="0.25">
      <c r="E70" t="str">
        <f>IF(E66&gt;0,E67,"")</f>
        <v/>
      </c>
      <c r="F70" t="str">
        <f t="shared" ref="F70:S70" si="17">IF(F66&gt;0,F67,"")</f>
        <v/>
      </c>
      <c r="G70" t="str">
        <f t="shared" si="17"/>
        <v/>
      </c>
      <c r="H70" t="str">
        <f t="shared" si="17"/>
        <v>Pfizer</v>
      </c>
      <c r="I70" t="str">
        <f t="shared" si="17"/>
        <v/>
      </c>
      <c r="J70" t="str">
        <f t="shared" si="17"/>
        <v/>
      </c>
      <c r="K70" t="str">
        <f t="shared" si="17"/>
        <v/>
      </c>
      <c r="L70" t="str">
        <f t="shared" si="17"/>
        <v/>
      </c>
      <c r="M70" t="str">
        <f t="shared" si="17"/>
        <v/>
      </c>
      <c r="N70" t="str">
        <f t="shared" si="17"/>
        <v/>
      </c>
      <c r="O70" t="str">
        <f t="shared" si="17"/>
        <v/>
      </c>
      <c r="P70" t="str">
        <f t="shared" si="17"/>
        <v/>
      </c>
      <c r="Q70" t="str">
        <f t="shared" si="17"/>
        <v/>
      </c>
      <c r="R70" t="str">
        <f t="shared" si="17"/>
        <v/>
      </c>
      <c r="S70" t="str">
        <f t="shared" si="17"/>
        <v/>
      </c>
    </row>
    <row r="71" spans="1:19" ht="45" x14ac:dyDescent="0.25">
      <c r="A71" s="10"/>
      <c r="B71" s="10" t="s">
        <v>190</v>
      </c>
      <c r="C71" s="10" t="s">
        <v>140</v>
      </c>
      <c r="D71" s="10" t="s">
        <v>101</v>
      </c>
      <c r="E71" s="44" t="str">
        <f t="shared" ref="E71:F71" si="18">IF(E70="","",IF(E66&lt;=0,"",E67))</f>
        <v/>
      </c>
      <c r="F71" s="44" t="str">
        <f t="shared" si="18"/>
        <v/>
      </c>
      <c r="G71" s="44" t="str">
        <f>IF(G70="","",IF(G66&lt;=0,"",G67))</f>
        <v/>
      </c>
      <c r="H71" s="44" t="str">
        <f t="shared" ref="H71:S71" si="19">IF(H70="","",IF(H66&lt;=0,"",H67))</f>
        <v>Pfizer</v>
      </c>
      <c r="I71" s="44" t="str">
        <f t="shared" si="19"/>
        <v/>
      </c>
      <c r="J71" s="44" t="str">
        <f t="shared" si="19"/>
        <v/>
      </c>
      <c r="K71" s="44" t="str">
        <f t="shared" si="19"/>
        <v/>
      </c>
      <c r="L71" s="44" t="str">
        <f t="shared" si="19"/>
        <v/>
      </c>
      <c r="M71" s="44" t="str">
        <f t="shared" si="19"/>
        <v/>
      </c>
      <c r="N71" s="44" t="str">
        <f t="shared" si="19"/>
        <v/>
      </c>
      <c r="O71" s="44" t="str">
        <f t="shared" si="19"/>
        <v/>
      </c>
      <c r="P71" s="44" t="str">
        <f t="shared" si="19"/>
        <v/>
      </c>
      <c r="Q71" s="44" t="str">
        <f t="shared" si="19"/>
        <v/>
      </c>
      <c r="R71" s="44" t="str">
        <f t="shared" si="19"/>
        <v/>
      </c>
      <c r="S71" s="44" t="str">
        <f t="shared" si="19"/>
        <v/>
      </c>
    </row>
    <row r="72" spans="1:19" x14ac:dyDescent="0.25">
      <c r="A72" s="20">
        <v>1</v>
      </c>
      <c r="B72" s="21">
        <f>Dashboard!C$6</f>
        <v>44287</v>
      </c>
      <c r="C72" s="22">
        <f>IF(VLOOKUP(Dashboard!$M$6,Start!$B$10:$E$12,4,FALSE)&gt;0,VLOOKUP(Dashboard!$M$6,Start!$B$10:$E$12,4, FALSE),VLOOKUP(Dashboard!$M$6,Start!$B$10:$E$12,3, FALSE))</f>
        <v>60000000</v>
      </c>
      <c r="D72" s="22">
        <f>SUMIFS('Supply planning data'!M:M,'Supply planning data'!D:D,"&lt;="&amp;DataViz!B72)</f>
        <v>0</v>
      </c>
      <c r="E72" s="22">
        <f>SUMIFS('Supply planning data'!$U:$U,'Supply planning data'!$D:$D,DataViz!$B72,'Supply planning data'!$C:$C,DataViz!E$67)</f>
        <v>0</v>
      </c>
      <c r="F72" s="22">
        <f>SUMIFS('Supply planning data'!$U:$U,'Supply planning data'!$D:$D,DataViz!$B72,'Supply planning data'!$C:$C,DataViz!F$67)</f>
        <v>0</v>
      </c>
      <c r="G72" s="22">
        <f>SUMIFS('Supply planning data'!$U:$U,'Supply planning data'!$D:$D,DataViz!$B72,'Supply planning data'!$C:$C,DataViz!G$67)</f>
        <v>0</v>
      </c>
      <c r="H72" s="22">
        <f>SUMIFS('Supply planning data'!$U:$U,'Supply planning data'!$D:$D,DataViz!$B72,'Supply planning data'!$C:$C,DataViz!H$67)</f>
        <v>0</v>
      </c>
      <c r="I72" s="22">
        <f>SUMIFS('Supply planning data'!$U:$U,'Supply planning data'!$D:$D,DataViz!$B72,'Supply planning data'!$C:$C,DataViz!I$67)</f>
        <v>0</v>
      </c>
      <c r="J72" s="22">
        <f>SUMIFS('Supply planning data'!$U:$U,'Supply planning data'!$D:$D,DataViz!$B72,'Supply planning data'!$C:$C,DataViz!J$67)</f>
        <v>0</v>
      </c>
      <c r="K72" s="22">
        <f>SUMIFS('Supply planning data'!$U:$U,'Supply planning data'!$D:$D,DataViz!$B72,'Supply planning data'!$C:$C,DataViz!K$67)</f>
        <v>0</v>
      </c>
      <c r="L72" s="22">
        <f>SUMIFS('Supply planning data'!$U:$U,'Supply planning data'!$D:$D,DataViz!$B72,'Supply planning data'!$C:$C,DataViz!L$67)</f>
        <v>0</v>
      </c>
      <c r="M72" s="22">
        <f>SUMIFS('Supply planning data'!$U:$U,'Supply planning data'!$D:$D,DataViz!$B72,'Supply planning data'!$C:$C,DataViz!M$67)</f>
        <v>0</v>
      </c>
      <c r="N72" s="22">
        <f>SUMIFS('Supply planning data'!$U:$U,'Supply planning data'!$D:$D,DataViz!$B72,'Supply planning data'!$C:$C,DataViz!N$67)</f>
        <v>0</v>
      </c>
      <c r="O72" s="22">
        <f>SUMIFS('Supply planning data'!$U:$U,'Supply planning data'!$D:$D,DataViz!$B72,'Supply planning data'!$C:$C,DataViz!O$67)</f>
        <v>0</v>
      </c>
      <c r="P72" s="22">
        <f>SUMIFS('Supply planning data'!$U:$U,'Supply planning data'!$D:$D,DataViz!$B72,'Supply planning data'!$C:$C,DataViz!P$67)</f>
        <v>0</v>
      </c>
      <c r="Q72" s="22">
        <f>SUMIFS('Supply planning data'!$U:$U,'Supply planning data'!$D:$D,DataViz!$B72,'Supply planning data'!$C:$C,DataViz!Q$67)</f>
        <v>0</v>
      </c>
      <c r="R72" s="22">
        <f>SUMIFS('Supply planning data'!$U:$U,'Supply planning data'!$D:$D,DataViz!$B72,'Supply planning data'!$C:$C,DataViz!R$67)</f>
        <v>0</v>
      </c>
      <c r="S72" s="22">
        <f>IF(S$35="Dose 1",SUMIFS('Supply planning data'!$G:$G,'Supply planning data'!$D:$D,DataViz!$B72,'Supply planning data'!$C:$C,DataViz!S$34),
IF(S$35="Dose 2",SUMIFS('Supply planning data'!$H:$H,'Supply planning data'!$D:$D,DataViz!$B72,'Supply planning data'!$C:$C,DataViz!S$34),
IF(S$35="Dose 2",SUMIFS('Supply planning data'!$L:$L,'Supply planning data'!$D:$D,DataViz!$B72,'Supply planning data'!$C:$C,DataViz!S$34),
0)))</f>
        <v>0</v>
      </c>
    </row>
    <row r="73" spans="1:19" x14ac:dyDescent="0.25">
      <c r="A73" s="20">
        <v>2</v>
      </c>
      <c r="B73" s="21">
        <f>DATE(YEAR(B72),MONTH(B72)+1,1)</f>
        <v>44317</v>
      </c>
      <c r="C73" s="22">
        <f>IF(VLOOKUP(Dashboard!$M$6,Start!$B$10:$E$12,4,FALSE)&gt;0,VLOOKUP(Dashboard!$M$6,Start!$B$10:$E$12,4, FALSE),VLOOKUP(Dashboard!$M$6,Start!$B$10:$E$12,3, FALSE))</f>
        <v>60000000</v>
      </c>
      <c r="D73" s="22">
        <f>SUMIFS('Supply planning data'!M:M,'Supply planning data'!D:D,"&lt;="&amp;DataViz!B73)</f>
        <v>42445</v>
      </c>
      <c r="E73" s="22">
        <f>SUMIFS('Supply planning data'!$U:$U,'Supply planning data'!$D:$D,DataViz!$B73,'Supply planning data'!$C:$C,DataViz!E$67)</f>
        <v>0</v>
      </c>
      <c r="F73" s="22">
        <f>SUMIFS('Supply planning data'!$U:$U,'Supply planning data'!$D:$D,DataViz!$B73,'Supply planning data'!$C:$C,DataViz!F$67)</f>
        <v>0</v>
      </c>
      <c r="G73" s="22">
        <f>SUMIFS('Supply planning data'!$U:$U,'Supply planning data'!$D:$D,DataViz!$B73,'Supply planning data'!$C:$C,DataViz!G$67)</f>
        <v>0</v>
      </c>
      <c r="H73" s="22">
        <f>SUMIFS('Supply planning data'!$U:$U,'Supply planning data'!$D:$D,DataViz!$B73,'Supply planning data'!$C:$C,DataViz!H$67)</f>
        <v>0</v>
      </c>
      <c r="I73" s="22">
        <f>SUMIFS('Supply planning data'!$U:$U,'Supply planning data'!$D:$D,DataViz!$B73,'Supply planning data'!$C:$C,DataViz!I$67)</f>
        <v>0</v>
      </c>
      <c r="J73" s="22">
        <f>SUMIFS('Supply planning data'!$U:$U,'Supply planning data'!$D:$D,DataViz!$B73,'Supply planning data'!$C:$C,DataViz!J$67)</f>
        <v>0</v>
      </c>
      <c r="K73" s="22">
        <f>SUMIFS('Supply planning data'!$U:$U,'Supply planning data'!$D:$D,DataViz!$B73,'Supply planning data'!$C:$C,DataViz!K$67)</f>
        <v>0</v>
      </c>
      <c r="L73" s="22">
        <f>SUMIFS('Supply planning data'!$U:$U,'Supply planning data'!$D:$D,DataViz!$B73,'Supply planning data'!$C:$C,DataViz!L$67)</f>
        <v>0</v>
      </c>
      <c r="M73" s="22">
        <f>SUMIFS('Supply planning data'!$U:$U,'Supply planning data'!$D:$D,DataViz!$B73,'Supply planning data'!$C:$C,DataViz!M$67)</f>
        <v>0</v>
      </c>
      <c r="N73" s="22">
        <f>SUMIFS('Supply planning data'!$U:$U,'Supply planning data'!$D:$D,DataViz!$B73,'Supply planning data'!$C:$C,DataViz!N$67)</f>
        <v>0</v>
      </c>
      <c r="O73" s="22">
        <f>SUMIFS('Supply planning data'!$U:$U,'Supply planning data'!$D:$D,DataViz!$B73,'Supply planning data'!$C:$C,DataViz!O$67)</f>
        <v>0</v>
      </c>
      <c r="P73" s="22">
        <f>SUMIFS('Supply planning data'!$U:$U,'Supply planning data'!$D:$D,DataViz!$B73,'Supply planning data'!$C:$C,DataViz!P$67)</f>
        <v>0</v>
      </c>
      <c r="Q73" s="22">
        <f>SUMIFS('Supply planning data'!$U:$U,'Supply planning data'!$D:$D,DataViz!$B73,'Supply planning data'!$C:$C,DataViz!Q$67)</f>
        <v>0</v>
      </c>
      <c r="R73" s="22">
        <f>SUMIFS('Supply planning data'!$U:$U,'Supply planning data'!$D:$D,DataViz!$B73,'Supply planning data'!$C:$C,DataViz!R$67)</f>
        <v>0</v>
      </c>
      <c r="S73" s="22">
        <f>IF(S$35="Dose 1",SUMIFS('Supply planning data'!$G:$G,'Supply planning data'!$D:$D,DataViz!$B73,'Supply planning data'!$C:$C,DataViz!S$34),
IF(S$35="Dose 2",SUMIFS('Supply planning data'!$H:$H,'Supply planning data'!$D:$D,DataViz!$B73,'Supply planning data'!$C:$C,DataViz!S$34),
IF(S$35="Dose 2",SUMIFS('Supply planning data'!$L:$L,'Supply planning data'!$D:$D,DataViz!$B73,'Supply planning data'!$C:$C,DataViz!S$34),
0)))</f>
        <v>0</v>
      </c>
    </row>
    <row r="74" spans="1:19" x14ac:dyDescent="0.25">
      <c r="A74" s="20">
        <v>3</v>
      </c>
      <c r="B74" s="21">
        <f t="shared" ref="B74:B95" si="20">DATE(YEAR(B73),MONTH(B73)+1,1)</f>
        <v>44348</v>
      </c>
      <c r="C74" s="22">
        <f>IF(VLOOKUP(Dashboard!$M$6,Start!$B$10:$E$12,4,FALSE)&gt;0,VLOOKUP(Dashboard!$M$6,Start!$B$10:$E$12,4, FALSE),VLOOKUP(Dashboard!$M$6,Start!$B$10:$E$12,3, FALSE))</f>
        <v>60000000</v>
      </c>
      <c r="D74" s="22">
        <f>SUMIFS('Supply planning data'!M:M,'Supply planning data'!D:D,"&lt;="&amp;DataViz!B74)</f>
        <v>127320</v>
      </c>
      <c r="E74" s="22">
        <f>SUMIFS('Supply planning data'!$U:$U,'Supply planning data'!$D:$D,DataViz!$B74,'Supply planning data'!$C:$C,DataViz!E$67)</f>
        <v>0</v>
      </c>
      <c r="F74" s="22">
        <f>SUMIFS('Supply planning data'!$U:$U,'Supply planning data'!$D:$D,DataViz!$B74,'Supply planning data'!$C:$C,DataViz!F$67)</f>
        <v>0</v>
      </c>
      <c r="G74" s="22">
        <f>SUMIFS('Supply planning data'!$U:$U,'Supply planning data'!$D:$D,DataViz!$B74,'Supply planning data'!$C:$C,DataViz!G$67)</f>
        <v>0</v>
      </c>
      <c r="H74" s="22">
        <f>SUMIFS('Supply planning data'!$U:$U,'Supply planning data'!$D:$D,DataViz!$B74,'Supply planning data'!$C:$C,DataViz!H$67)</f>
        <v>0</v>
      </c>
      <c r="I74" s="22">
        <f>SUMIFS('Supply planning data'!$U:$U,'Supply planning data'!$D:$D,DataViz!$B74,'Supply planning data'!$C:$C,DataViz!I$67)</f>
        <v>0</v>
      </c>
      <c r="J74" s="22">
        <f>SUMIFS('Supply planning data'!$U:$U,'Supply planning data'!$D:$D,DataViz!$B74,'Supply planning data'!$C:$C,DataViz!J$67)</f>
        <v>0</v>
      </c>
      <c r="K74" s="22">
        <f>SUMIFS('Supply planning data'!$U:$U,'Supply planning data'!$D:$D,DataViz!$B74,'Supply planning data'!$C:$C,DataViz!K$67)</f>
        <v>0</v>
      </c>
      <c r="L74" s="22">
        <f>SUMIFS('Supply planning data'!$U:$U,'Supply planning data'!$D:$D,DataViz!$B74,'Supply planning data'!$C:$C,DataViz!L$67)</f>
        <v>0</v>
      </c>
      <c r="M74" s="22">
        <f>SUMIFS('Supply planning data'!$U:$U,'Supply planning data'!$D:$D,DataViz!$B74,'Supply planning data'!$C:$C,DataViz!M$67)</f>
        <v>0</v>
      </c>
      <c r="N74" s="22">
        <f>SUMIFS('Supply planning data'!$U:$U,'Supply planning data'!$D:$D,DataViz!$B74,'Supply planning data'!$C:$C,DataViz!N$67)</f>
        <v>0</v>
      </c>
      <c r="O74" s="22">
        <f>SUMIFS('Supply planning data'!$U:$U,'Supply planning data'!$D:$D,DataViz!$B74,'Supply planning data'!$C:$C,DataViz!O$67)</f>
        <v>0</v>
      </c>
      <c r="P74" s="22">
        <f>SUMIFS('Supply planning data'!$U:$U,'Supply planning data'!$D:$D,DataViz!$B74,'Supply planning data'!$C:$C,DataViz!P$67)</f>
        <v>0</v>
      </c>
      <c r="Q74" s="22">
        <f>SUMIFS('Supply planning data'!$U:$U,'Supply planning data'!$D:$D,DataViz!$B74,'Supply planning data'!$C:$C,DataViz!Q$67)</f>
        <v>0</v>
      </c>
      <c r="R74" s="22">
        <f>SUMIFS('Supply planning data'!$U:$U,'Supply planning data'!$D:$D,DataViz!$B74,'Supply planning data'!$C:$C,DataViz!R$67)</f>
        <v>0</v>
      </c>
      <c r="S74" s="22">
        <f>IF(S$35="Dose 1",SUMIFS('Supply planning data'!$G:$G,'Supply planning data'!$D:$D,DataViz!$B74,'Supply planning data'!$C:$C,DataViz!S$34),
IF(S$35="Dose 2",SUMIFS('Supply planning data'!$H:$H,'Supply planning data'!$D:$D,DataViz!$B74,'Supply planning data'!$C:$C,DataViz!S$34),
IF(S$35="Dose 2",SUMIFS('Supply planning data'!$L:$L,'Supply planning data'!$D:$D,DataViz!$B74,'Supply planning data'!$C:$C,DataViz!S$34),
0)))</f>
        <v>0</v>
      </c>
    </row>
    <row r="75" spans="1:19" x14ac:dyDescent="0.25">
      <c r="A75" s="20">
        <v>4</v>
      </c>
      <c r="B75" s="21">
        <f t="shared" si="20"/>
        <v>44378</v>
      </c>
      <c r="C75" s="22">
        <f>IF(VLOOKUP(Dashboard!$M$6,Start!$B$10:$E$12,4,FALSE)&gt;0,VLOOKUP(Dashboard!$M$6,Start!$B$10:$E$12,4, FALSE),VLOOKUP(Dashboard!$M$6,Start!$B$10:$E$12,3, FALSE))</f>
        <v>60000000</v>
      </c>
      <c r="D75" s="22">
        <f>SUMIFS('Supply planning data'!M:M,'Supply planning data'!D:D,"&lt;="&amp;DataViz!B75)</f>
        <v>197160</v>
      </c>
      <c r="E75" s="22">
        <f>SUMIFS('Supply planning data'!$U:$U,'Supply planning data'!$D:$D,DataViz!$B75,'Supply planning data'!$C:$C,DataViz!E$67)</f>
        <v>0</v>
      </c>
      <c r="F75" s="22">
        <f>SUMIFS('Supply planning data'!$U:$U,'Supply planning data'!$D:$D,DataViz!$B75,'Supply planning data'!$C:$C,DataViz!F$67)</f>
        <v>0</v>
      </c>
      <c r="G75" s="22">
        <f>SUMIFS('Supply planning data'!$U:$U,'Supply planning data'!$D:$D,DataViz!$B75,'Supply planning data'!$C:$C,DataViz!G$67)</f>
        <v>0</v>
      </c>
      <c r="H75" s="22">
        <f>SUMIFS('Supply planning data'!$U:$U,'Supply planning data'!$D:$D,DataViz!$B75,'Supply planning data'!$C:$C,DataViz!H$67)</f>
        <v>0</v>
      </c>
      <c r="I75" s="22">
        <f>SUMIFS('Supply planning data'!$U:$U,'Supply planning data'!$D:$D,DataViz!$B75,'Supply planning data'!$C:$C,DataViz!I$67)</f>
        <v>0</v>
      </c>
      <c r="J75" s="22">
        <f>SUMIFS('Supply planning data'!$U:$U,'Supply planning data'!$D:$D,DataViz!$B75,'Supply planning data'!$C:$C,DataViz!J$67)</f>
        <v>0</v>
      </c>
      <c r="K75" s="22">
        <f>SUMIFS('Supply planning data'!$U:$U,'Supply planning data'!$D:$D,DataViz!$B75,'Supply planning data'!$C:$C,DataViz!K$67)</f>
        <v>0</v>
      </c>
      <c r="L75" s="22">
        <f>SUMIFS('Supply planning data'!$U:$U,'Supply planning data'!$D:$D,DataViz!$B75,'Supply planning data'!$C:$C,DataViz!L$67)</f>
        <v>0</v>
      </c>
      <c r="M75" s="22">
        <f>SUMIFS('Supply planning data'!$U:$U,'Supply planning data'!$D:$D,DataViz!$B75,'Supply planning data'!$C:$C,DataViz!M$67)</f>
        <v>0</v>
      </c>
      <c r="N75" s="22">
        <f>SUMIFS('Supply planning data'!$U:$U,'Supply planning data'!$D:$D,DataViz!$B75,'Supply planning data'!$C:$C,DataViz!N$67)</f>
        <v>0</v>
      </c>
      <c r="O75" s="22">
        <f>SUMIFS('Supply planning data'!$U:$U,'Supply planning data'!$D:$D,DataViz!$B75,'Supply planning data'!$C:$C,DataViz!O$67)</f>
        <v>0</v>
      </c>
      <c r="P75" s="22">
        <f>SUMIFS('Supply planning data'!$U:$U,'Supply planning data'!$D:$D,DataViz!$B75,'Supply planning data'!$C:$C,DataViz!P$67)</f>
        <v>0</v>
      </c>
      <c r="Q75" s="22">
        <f>SUMIFS('Supply planning data'!$U:$U,'Supply planning data'!$D:$D,DataViz!$B75,'Supply planning data'!$C:$C,DataViz!Q$67)</f>
        <v>0</v>
      </c>
      <c r="R75" s="22">
        <f>SUMIFS('Supply planning data'!$U:$U,'Supply planning data'!$D:$D,DataViz!$B75,'Supply planning data'!$C:$C,DataViz!R$67)</f>
        <v>0</v>
      </c>
      <c r="S75" s="22">
        <f>IF(S$35="Dose 1",SUMIFS('Supply planning data'!$G:$G,'Supply planning data'!$D:$D,DataViz!$B75,'Supply planning data'!$C:$C,DataViz!S$34),
IF(S$35="Dose 2",SUMIFS('Supply planning data'!$H:$H,'Supply planning data'!$D:$D,DataViz!$B75,'Supply planning data'!$C:$C,DataViz!S$34),
IF(S$35="Dose 2",SUMIFS('Supply planning data'!$L:$L,'Supply planning data'!$D:$D,DataViz!$B75,'Supply planning data'!$C:$C,DataViz!S$34),
0)))</f>
        <v>0</v>
      </c>
    </row>
    <row r="76" spans="1:19" x14ac:dyDescent="0.25">
      <c r="A76" s="20">
        <v>5</v>
      </c>
      <c r="B76" s="21">
        <f t="shared" si="20"/>
        <v>44409</v>
      </c>
      <c r="C76" s="22">
        <f>IF(VLOOKUP(Dashboard!$M$6,Start!$B$10:$E$12,4,FALSE)&gt;0,VLOOKUP(Dashboard!$M$6,Start!$B$10:$E$12,4, FALSE),VLOOKUP(Dashboard!$M$6,Start!$B$10:$E$12,3, FALSE))</f>
        <v>60000000</v>
      </c>
      <c r="D76" s="22">
        <f>SUMIFS('Supply planning data'!M:M,'Supply planning data'!D:D,"&lt;="&amp;DataViz!B76)</f>
        <v>198813</v>
      </c>
      <c r="E76" s="22">
        <f>SUMIFS('Supply planning data'!$U:$U,'Supply planning data'!$D:$D,DataViz!$B76,'Supply planning data'!$C:$C,DataViz!E$67)</f>
        <v>0</v>
      </c>
      <c r="F76" s="22">
        <f>SUMIFS('Supply planning data'!$U:$U,'Supply planning data'!$D:$D,DataViz!$B76,'Supply planning data'!$C:$C,DataViz!F$67)</f>
        <v>0</v>
      </c>
      <c r="G76" s="22">
        <f>SUMIFS('Supply planning data'!$U:$U,'Supply planning data'!$D:$D,DataViz!$B76,'Supply planning data'!$C:$C,DataViz!G$67)</f>
        <v>0</v>
      </c>
      <c r="H76" s="22">
        <f>SUMIFS('Supply planning data'!$U:$U,'Supply planning data'!$D:$D,DataViz!$B76,'Supply planning data'!$C:$C,DataViz!H$67)</f>
        <v>0</v>
      </c>
      <c r="I76" s="22">
        <f>SUMIFS('Supply planning data'!$U:$U,'Supply planning data'!$D:$D,DataViz!$B76,'Supply planning data'!$C:$C,DataViz!I$67)</f>
        <v>0</v>
      </c>
      <c r="J76" s="22">
        <f>SUMIFS('Supply planning data'!$U:$U,'Supply planning data'!$D:$D,DataViz!$B76,'Supply planning data'!$C:$C,DataViz!J$67)</f>
        <v>0</v>
      </c>
      <c r="K76" s="22">
        <f>SUMIFS('Supply planning data'!$U:$U,'Supply planning data'!$D:$D,DataViz!$B76,'Supply planning data'!$C:$C,DataViz!K$67)</f>
        <v>0</v>
      </c>
      <c r="L76" s="22">
        <f>SUMIFS('Supply planning data'!$U:$U,'Supply planning data'!$D:$D,DataViz!$B76,'Supply planning data'!$C:$C,DataViz!L$67)</f>
        <v>0</v>
      </c>
      <c r="M76" s="22">
        <f>SUMIFS('Supply planning data'!$U:$U,'Supply planning data'!$D:$D,DataViz!$B76,'Supply planning data'!$C:$C,DataViz!M$67)</f>
        <v>0</v>
      </c>
      <c r="N76" s="22">
        <f>SUMIFS('Supply planning data'!$U:$U,'Supply planning data'!$D:$D,DataViz!$B76,'Supply planning data'!$C:$C,DataViz!N$67)</f>
        <v>0</v>
      </c>
      <c r="O76" s="22">
        <f>SUMIFS('Supply planning data'!$U:$U,'Supply planning data'!$D:$D,DataViz!$B76,'Supply planning data'!$C:$C,DataViz!O$67)</f>
        <v>0</v>
      </c>
      <c r="P76" s="22">
        <f>SUMIFS('Supply planning data'!$U:$U,'Supply planning data'!$D:$D,DataViz!$B76,'Supply planning data'!$C:$C,DataViz!P$67)</f>
        <v>0</v>
      </c>
      <c r="Q76" s="22">
        <f>SUMIFS('Supply planning data'!$U:$U,'Supply planning data'!$D:$D,DataViz!$B76,'Supply planning data'!$C:$C,DataViz!Q$67)</f>
        <v>0</v>
      </c>
      <c r="R76" s="22">
        <f>SUMIFS('Supply planning data'!$U:$U,'Supply planning data'!$D:$D,DataViz!$B76,'Supply planning data'!$C:$C,DataViz!R$67)</f>
        <v>0</v>
      </c>
      <c r="S76" s="22">
        <f>IF(S$35="Dose 1",SUMIFS('Supply planning data'!$G:$G,'Supply planning data'!$D:$D,DataViz!$B76,'Supply planning data'!$C:$C,DataViz!S$34),
IF(S$35="Dose 2",SUMIFS('Supply planning data'!$H:$H,'Supply planning data'!$D:$D,DataViz!$B76,'Supply planning data'!$C:$C,DataViz!S$34),
IF(S$35="Dose 2",SUMIFS('Supply planning data'!$L:$L,'Supply planning data'!$D:$D,DataViz!$B76,'Supply planning data'!$C:$C,DataViz!S$34),
0)))</f>
        <v>0</v>
      </c>
    </row>
    <row r="77" spans="1:19" x14ac:dyDescent="0.25">
      <c r="A77" s="20">
        <v>6</v>
      </c>
      <c r="B77" s="21">
        <f t="shared" si="20"/>
        <v>44440</v>
      </c>
      <c r="C77" s="22">
        <f>IF(VLOOKUP(Dashboard!$M$6,Start!$B$10:$E$12,4,FALSE)&gt;0,VLOOKUP(Dashboard!$M$6,Start!$B$10:$E$12,4, FALSE),VLOOKUP(Dashboard!$M$6,Start!$B$10:$E$12,3, FALSE))</f>
        <v>60000000</v>
      </c>
      <c r="D77" s="22">
        <f>SUMIFS('Supply planning data'!M:M,'Supply planning data'!D:D,"&lt;="&amp;DataViz!B77)</f>
        <v>553643</v>
      </c>
      <c r="E77" s="22">
        <f>SUMIFS('Supply planning data'!$U:$U,'Supply planning data'!$D:$D,DataViz!$B77,'Supply planning data'!$C:$C,DataViz!E$67)</f>
        <v>0</v>
      </c>
      <c r="F77" s="22">
        <f>SUMIFS('Supply planning data'!$U:$U,'Supply planning data'!$D:$D,DataViz!$B77,'Supply planning data'!$C:$C,DataViz!F$67)</f>
        <v>0</v>
      </c>
      <c r="G77" s="22">
        <f>SUMIFS('Supply planning data'!$U:$U,'Supply planning data'!$D:$D,DataViz!$B77,'Supply planning data'!$C:$C,DataViz!G$67)</f>
        <v>0</v>
      </c>
      <c r="H77" s="22">
        <f>SUMIFS('Supply planning data'!$U:$U,'Supply planning data'!$D:$D,DataViz!$B77,'Supply planning data'!$C:$C,DataViz!H$67)</f>
        <v>0</v>
      </c>
      <c r="I77" s="22">
        <f>SUMIFS('Supply planning data'!$U:$U,'Supply planning data'!$D:$D,DataViz!$B77,'Supply planning data'!$C:$C,DataViz!I$67)</f>
        <v>0</v>
      </c>
      <c r="J77" s="22">
        <f>SUMIFS('Supply planning data'!$U:$U,'Supply planning data'!$D:$D,DataViz!$B77,'Supply planning data'!$C:$C,DataViz!J$67)</f>
        <v>0</v>
      </c>
      <c r="K77" s="22">
        <f>SUMIFS('Supply planning data'!$U:$U,'Supply planning data'!$D:$D,DataViz!$B77,'Supply planning data'!$C:$C,DataViz!K$67)</f>
        <v>0</v>
      </c>
      <c r="L77" s="22">
        <f>SUMIFS('Supply planning data'!$U:$U,'Supply planning data'!$D:$D,DataViz!$B77,'Supply planning data'!$C:$C,DataViz!L$67)</f>
        <v>0</v>
      </c>
      <c r="M77" s="22">
        <f>SUMIFS('Supply planning data'!$U:$U,'Supply planning data'!$D:$D,DataViz!$B77,'Supply planning data'!$C:$C,DataViz!M$67)</f>
        <v>0</v>
      </c>
      <c r="N77" s="22">
        <f>SUMIFS('Supply planning data'!$U:$U,'Supply planning data'!$D:$D,DataViz!$B77,'Supply planning data'!$C:$C,DataViz!N$67)</f>
        <v>0</v>
      </c>
      <c r="O77" s="22">
        <f>SUMIFS('Supply planning data'!$U:$U,'Supply planning data'!$D:$D,DataViz!$B77,'Supply planning data'!$C:$C,DataViz!O$67)</f>
        <v>0</v>
      </c>
      <c r="P77" s="22">
        <f>SUMIFS('Supply planning data'!$U:$U,'Supply planning data'!$D:$D,DataViz!$B77,'Supply planning data'!$C:$C,DataViz!P$67)</f>
        <v>0</v>
      </c>
      <c r="Q77" s="22">
        <f>SUMIFS('Supply planning data'!$U:$U,'Supply planning data'!$D:$D,DataViz!$B77,'Supply planning data'!$C:$C,DataViz!Q$67)</f>
        <v>0</v>
      </c>
      <c r="R77" s="22">
        <f>SUMIFS('Supply planning data'!$U:$U,'Supply planning data'!$D:$D,DataViz!$B77,'Supply planning data'!$C:$C,DataViz!R$67)</f>
        <v>0</v>
      </c>
      <c r="S77" s="22">
        <f>IF(S$35="Dose 1",SUMIFS('Supply planning data'!$G:$G,'Supply planning data'!$D:$D,DataViz!$B77,'Supply planning data'!$C:$C,DataViz!S$34),
IF(S$35="Dose 2",SUMIFS('Supply planning data'!$H:$H,'Supply planning data'!$D:$D,DataViz!$B77,'Supply planning data'!$C:$C,DataViz!S$34),
IF(S$35="Dose 2",SUMIFS('Supply planning data'!$L:$L,'Supply planning data'!$D:$D,DataViz!$B77,'Supply planning data'!$C:$C,DataViz!S$34),
0)))</f>
        <v>0</v>
      </c>
    </row>
    <row r="78" spans="1:19" x14ac:dyDescent="0.25">
      <c r="A78" s="20">
        <v>7</v>
      </c>
      <c r="B78" s="21">
        <f t="shared" si="20"/>
        <v>44470</v>
      </c>
      <c r="C78" s="22">
        <f>IF(VLOOKUP(Dashboard!$M$6,Start!$B$10:$E$12,4,FALSE)&gt;0,VLOOKUP(Dashboard!$M$6,Start!$B$10:$E$12,4, FALSE),VLOOKUP(Dashboard!$M$6,Start!$B$10:$E$12,3, FALSE))</f>
        <v>60000000</v>
      </c>
      <c r="D78" s="22">
        <f>SUMIFS('Supply planning data'!M:M,'Supply planning data'!D:D,"&lt;="&amp;DataViz!B78)</f>
        <v>835951</v>
      </c>
      <c r="E78" s="22">
        <f>SUMIFS('Supply planning data'!$U:$U,'Supply planning data'!$D:$D,DataViz!$B78,'Supply planning data'!$C:$C,DataViz!E$67)</f>
        <v>0</v>
      </c>
      <c r="F78" s="22">
        <f>SUMIFS('Supply planning data'!$U:$U,'Supply planning data'!$D:$D,DataViz!$B78,'Supply planning data'!$C:$C,DataViz!F$67)</f>
        <v>0</v>
      </c>
      <c r="G78" s="22">
        <f>SUMIFS('Supply planning data'!$U:$U,'Supply planning data'!$D:$D,DataViz!$B78,'Supply planning data'!$C:$C,DataViz!G$67)</f>
        <v>0</v>
      </c>
      <c r="H78" s="22">
        <f>SUMIFS('Supply planning data'!$U:$U,'Supply planning data'!$D:$D,DataViz!$B78,'Supply planning data'!$C:$C,DataViz!H$67)</f>
        <v>0</v>
      </c>
      <c r="I78" s="22">
        <f>SUMIFS('Supply planning data'!$U:$U,'Supply planning data'!$D:$D,DataViz!$B78,'Supply planning data'!$C:$C,DataViz!I$67)</f>
        <v>0</v>
      </c>
      <c r="J78" s="22">
        <f>SUMIFS('Supply planning data'!$U:$U,'Supply planning data'!$D:$D,DataViz!$B78,'Supply planning data'!$C:$C,DataViz!J$67)</f>
        <v>0</v>
      </c>
      <c r="K78" s="22">
        <f>SUMIFS('Supply planning data'!$U:$U,'Supply planning data'!$D:$D,DataViz!$B78,'Supply planning data'!$C:$C,DataViz!K$67)</f>
        <v>0</v>
      </c>
      <c r="L78" s="22">
        <f>SUMIFS('Supply planning data'!$U:$U,'Supply planning data'!$D:$D,DataViz!$B78,'Supply planning data'!$C:$C,DataViz!L$67)</f>
        <v>0</v>
      </c>
      <c r="M78" s="22">
        <f>SUMIFS('Supply planning data'!$U:$U,'Supply planning data'!$D:$D,DataViz!$B78,'Supply planning data'!$C:$C,DataViz!M$67)</f>
        <v>0</v>
      </c>
      <c r="N78" s="22">
        <f>SUMIFS('Supply planning data'!$U:$U,'Supply planning data'!$D:$D,DataViz!$B78,'Supply planning data'!$C:$C,DataViz!N$67)</f>
        <v>0</v>
      </c>
      <c r="O78" s="22">
        <f>SUMIFS('Supply planning data'!$U:$U,'Supply planning data'!$D:$D,DataViz!$B78,'Supply planning data'!$C:$C,DataViz!O$67)</f>
        <v>0</v>
      </c>
      <c r="P78" s="22">
        <f>SUMIFS('Supply planning data'!$U:$U,'Supply planning data'!$D:$D,DataViz!$B78,'Supply planning data'!$C:$C,DataViz!P$67)</f>
        <v>0</v>
      </c>
      <c r="Q78" s="22">
        <f>SUMIFS('Supply planning data'!$U:$U,'Supply planning data'!$D:$D,DataViz!$B78,'Supply planning data'!$C:$C,DataViz!Q$67)</f>
        <v>0</v>
      </c>
      <c r="R78" s="22">
        <f>SUMIFS('Supply planning data'!$U:$U,'Supply planning data'!$D:$D,DataViz!$B78,'Supply planning data'!$C:$C,DataViz!R$67)</f>
        <v>0</v>
      </c>
      <c r="S78" s="22">
        <f>IF(S$35="Dose 1",SUMIFS('Supply planning data'!$G:$G,'Supply planning data'!$D:$D,DataViz!$B78,'Supply planning data'!$C:$C,DataViz!S$34),
IF(S$35="Dose 2",SUMIFS('Supply planning data'!$H:$H,'Supply planning data'!$D:$D,DataViz!$B78,'Supply planning data'!$C:$C,DataViz!S$34),
IF(S$35="Dose 2",SUMIFS('Supply planning data'!$L:$L,'Supply planning data'!$D:$D,DataViz!$B78,'Supply planning data'!$C:$C,DataViz!S$34),
0)))</f>
        <v>0</v>
      </c>
    </row>
    <row r="79" spans="1:19" x14ac:dyDescent="0.25">
      <c r="A79" s="20">
        <v>8</v>
      </c>
      <c r="B79" s="21">
        <f t="shared" si="20"/>
        <v>44501</v>
      </c>
      <c r="C79" s="22">
        <f>IF(VLOOKUP(Dashboard!$M$6,Start!$B$10:$E$12,4,FALSE)&gt;0,VLOOKUP(Dashboard!$M$6,Start!$B$10:$E$12,4, FALSE),VLOOKUP(Dashboard!$M$6,Start!$B$10:$E$12,3, FALSE))</f>
        <v>60000000</v>
      </c>
      <c r="D79" s="22">
        <f>SUMIFS('Supply planning data'!M:M,'Supply planning data'!D:D,"&lt;="&amp;DataViz!B79)</f>
        <v>1237526</v>
      </c>
      <c r="E79" s="22">
        <f>SUMIFS('Supply planning data'!$U:$U,'Supply planning data'!$D:$D,DataViz!$B79,'Supply planning data'!$C:$C,DataViz!E$67)</f>
        <v>0</v>
      </c>
      <c r="F79" s="22">
        <f>SUMIFS('Supply planning data'!$U:$U,'Supply planning data'!$D:$D,DataViz!$B79,'Supply planning data'!$C:$C,DataViz!F$67)</f>
        <v>0</v>
      </c>
      <c r="G79" s="22">
        <f>SUMIFS('Supply planning data'!$U:$U,'Supply planning data'!$D:$D,DataViz!$B79,'Supply planning data'!$C:$C,DataViz!G$67)</f>
        <v>0</v>
      </c>
      <c r="H79" s="22">
        <f>SUMIFS('Supply planning data'!$U:$U,'Supply planning data'!$D:$D,DataViz!$B79,'Supply planning data'!$C:$C,DataViz!H$67)</f>
        <v>0</v>
      </c>
      <c r="I79" s="22">
        <f>SUMIFS('Supply planning data'!$U:$U,'Supply planning data'!$D:$D,DataViz!$B79,'Supply planning data'!$C:$C,DataViz!I$67)</f>
        <v>0</v>
      </c>
      <c r="J79" s="22">
        <f>SUMIFS('Supply planning data'!$U:$U,'Supply planning data'!$D:$D,DataViz!$B79,'Supply planning data'!$C:$C,DataViz!J$67)</f>
        <v>0</v>
      </c>
      <c r="K79" s="22">
        <f>SUMIFS('Supply planning data'!$U:$U,'Supply planning data'!$D:$D,DataViz!$B79,'Supply planning data'!$C:$C,DataViz!K$67)</f>
        <v>0</v>
      </c>
      <c r="L79" s="22">
        <f>SUMIFS('Supply planning data'!$U:$U,'Supply planning data'!$D:$D,DataViz!$B79,'Supply planning data'!$C:$C,DataViz!L$67)</f>
        <v>0</v>
      </c>
      <c r="M79" s="22">
        <f>SUMIFS('Supply planning data'!$U:$U,'Supply planning data'!$D:$D,DataViz!$B79,'Supply planning data'!$C:$C,DataViz!M$67)</f>
        <v>0</v>
      </c>
      <c r="N79" s="22">
        <f>SUMIFS('Supply planning data'!$U:$U,'Supply planning data'!$D:$D,DataViz!$B79,'Supply planning data'!$C:$C,DataViz!N$67)</f>
        <v>0</v>
      </c>
      <c r="O79" s="22">
        <f>SUMIFS('Supply planning data'!$U:$U,'Supply planning data'!$D:$D,DataViz!$B79,'Supply planning data'!$C:$C,DataViz!O$67)</f>
        <v>0</v>
      </c>
      <c r="P79" s="22">
        <f>SUMIFS('Supply planning data'!$U:$U,'Supply planning data'!$D:$D,DataViz!$B79,'Supply planning data'!$C:$C,DataViz!P$67)</f>
        <v>0</v>
      </c>
      <c r="Q79" s="22">
        <f>SUMIFS('Supply planning data'!$U:$U,'Supply planning data'!$D:$D,DataViz!$B79,'Supply planning data'!$C:$C,DataViz!Q$67)</f>
        <v>0</v>
      </c>
      <c r="R79" s="22">
        <f>SUMIFS('Supply planning data'!$U:$U,'Supply planning data'!$D:$D,DataViz!$B79,'Supply planning data'!$C:$C,DataViz!R$67)</f>
        <v>0</v>
      </c>
      <c r="S79" s="22">
        <f>IF(S$35="Dose 1",SUMIFS('Supply planning data'!$G:$G,'Supply planning data'!$D:$D,DataViz!$B79,'Supply planning data'!$C:$C,DataViz!S$34),
IF(S$35="Dose 2",SUMIFS('Supply planning data'!$H:$H,'Supply planning data'!$D:$D,DataViz!$B79,'Supply planning data'!$C:$C,DataViz!S$34),
IF(S$35="Dose 2",SUMIFS('Supply planning data'!$L:$L,'Supply planning data'!$D:$D,DataViz!$B79,'Supply planning data'!$C:$C,DataViz!S$34),
0)))</f>
        <v>0</v>
      </c>
    </row>
    <row r="80" spans="1:19" x14ac:dyDescent="0.25">
      <c r="A80" s="20">
        <v>9</v>
      </c>
      <c r="B80" s="21">
        <f t="shared" si="20"/>
        <v>44531</v>
      </c>
      <c r="C80" s="22">
        <f>IF(VLOOKUP(Dashboard!$M$6,Start!$B$10:$E$12,4,FALSE)&gt;0,VLOOKUP(Dashboard!$M$6,Start!$B$10:$E$12,4, FALSE),VLOOKUP(Dashboard!$M$6,Start!$B$10:$E$12,3, FALSE))</f>
        <v>60000000</v>
      </c>
      <c r="D80" s="22">
        <f>SUMIFS('Supply planning data'!M:M,'Supply planning data'!D:D,"&lt;="&amp;DataViz!B80)</f>
        <v>1821035</v>
      </c>
      <c r="E80" s="22">
        <f>SUMIFS('Supply planning data'!$U:$U,'Supply planning data'!$D:$D,DataViz!$B80,'Supply planning data'!$C:$C,DataViz!E$67)</f>
        <v>0</v>
      </c>
      <c r="F80" s="22">
        <f>SUMIFS('Supply planning data'!$U:$U,'Supply planning data'!$D:$D,DataViz!$B80,'Supply planning data'!$C:$C,DataViz!F$67)</f>
        <v>0</v>
      </c>
      <c r="G80" s="22">
        <f>SUMIFS('Supply planning data'!$U:$U,'Supply planning data'!$D:$D,DataViz!$B80,'Supply planning data'!$C:$C,DataViz!G$67)</f>
        <v>0</v>
      </c>
      <c r="H80" s="22">
        <f>SUMIFS('Supply planning data'!$U:$U,'Supply planning data'!$D:$D,DataViz!$B80,'Supply planning data'!$C:$C,DataViz!H$67)</f>
        <v>0</v>
      </c>
      <c r="I80" s="22">
        <f>SUMIFS('Supply planning data'!$U:$U,'Supply planning data'!$D:$D,DataViz!$B80,'Supply planning data'!$C:$C,DataViz!I$67)</f>
        <v>0</v>
      </c>
      <c r="J80" s="22">
        <f>SUMIFS('Supply planning data'!$U:$U,'Supply planning data'!$D:$D,DataViz!$B80,'Supply planning data'!$C:$C,DataViz!J$67)</f>
        <v>0</v>
      </c>
      <c r="K80" s="22">
        <f>SUMIFS('Supply planning data'!$U:$U,'Supply planning data'!$D:$D,DataViz!$B80,'Supply planning data'!$C:$C,DataViz!K$67)</f>
        <v>0</v>
      </c>
      <c r="L80" s="22">
        <f>SUMIFS('Supply planning data'!$U:$U,'Supply planning data'!$D:$D,DataViz!$B80,'Supply planning data'!$C:$C,DataViz!L$67)</f>
        <v>0</v>
      </c>
      <c r="M80" s="22">
        <f>SUMIFS('Supply planning data'!$U:$U,'Supply planning data'!$D:$D,DataViz!$B80,'Supply planning data'!$C:$C,DataViz!M$67)</f>
        <v>0</v>
      </c>
      <c r="N80" s="22">
        <f>SUMIFS('Supply planning data'!$U:$U,'Supply planning data'!$D:$D,DataViz!$B80,'Supply planning data'!$C:$C,DataViz!N$67)</f>
        <v>0</v>
      </c>
      <c r="O80" s="22">
        <f>SUMIFS('Supply planning data'!$U:$U,'Supply planning data'!$D:$D,DataViz!$B80,'Supply planning data'!$C:$C,DataViz!O$67)</f>
        <v>0</v>
      </c>
      <c r="P80" s="22">
        <f>SUMIFS('Supply planning data'!$U:$U,'Supply planning data'!$D:$D,DataViz!$B80,'Supply planning data'!$C:$C,DataViz!P$67)</f>
        <v>0</v>
      </c>
      <c r="Q80" s="22">
        <f>SUMIFS('Supply planning data'!$U:$U,'Supply planning data'!$D:$D,DataViz!$B80,'Supply planning data'!$C:$C,DataViz!Q$67)</f>
        <v>0</v>
      </c>
      <c r="R80" s="22">
        <f>SUMIFS('Supply planning data'!$U:$U,'Supply planning data'!$D:$D,DataViz!$B80,'Supply planning data'!$C:$C,DataViz!R$67)</f>
        <v>0</v>
      </c>
      <c r="S80" s="22">
        <f>IF(S$35="Dose 1",SUMIFS('Supply planning data'!$G:$G,'Supply planning data'!$D:$D,DataViz!$B80,'Supply planning data'!$C:$C,DataViz!S$34),
IF(S$35="Dose 2",SUMIFS('Supply planning data'!$H:$H,'Supply planning data'!$D:$D,DataViz!$B80,'Supply planning data'!$C:$C,DataViz!S$34),
IF(S$35="Dose 2",SUMIFS('Supply planning data'!$L:$L,'Supply planning data'!$D:$D,DataViz!$B80,'Supply planning data'!$C:$C,DataViz!S$34),
0)))</f>
        <v>0</v>
      </c>
    </row>
    <row r="81" spans="1:19" x14ac:dyDescent="0.25">
      <c r="A81" s="20">
        <v>10</v>
      </c>
      <c r="B81" s="21">
        <f t="shared" si="20"/>
        <v>44562</v>
      </c>
      <c r="C81" s="22">
        <f>IF(VLOOKUP(Dashboard!$M$6,Start!$B$10:$E$12,4,FALSE)&gt;0,VLOOKUP(Dashboard!$M$6,Start!$B$10:$E$12,4, FALSE),VLOOKUP(Dashboard!$M$6,Start!$B$10:$E$12,3, FALSE))</f>
        <v>60000000</v>
      </c>
      <c r="D81" s="22">
        <f>SUMIFS('Supply planning data'!M:M,'Supply planning data'!D:D,"&lt;="&amp;DataViz!B81)</f>
        <v>2017490</v>
      </c>
      <c r="E81" s="22">
        <f>SUMIFS('Supply planning data'!$U:$U,'Supply planning data'!$D:$D,DataViz!$B81,'Supply planning data'!$C:$C,DataViz!E$67)</f>
        <v>0</v>
      </c>
      <c r="F81" s="22">
        <f>SUMIFS('Supply planning data'!$U:$U,'Supply planning data'!$D:$D,DataViz!$B81,'Supply planning data'!$C:$C,DataViz!F$67)</f>
        <v>0</v>
      </c>
      <c r="G81" s="22">
        <f>SUMIFS('Supply planning data'!$U:$U,'Supply planning data'!$D:$D,DataViz!$B81,'Supply planning data'!$C:$C,DataViz!G$67)</f>
        <v>0</v>
      </c>
      <c r="H81" s="22">
        <f>SUMIFS('Supply planning data'!$U:$U,'Supply planning data'!$D:$D,DataViz!$B81,'Supply planning data'!$C:$C,DataViz!H$67)</f>
        <v>0</v>
      </c>
      <c r="I81" s="22">
        <f>SUMIFS('Supply planning data'!$U:$U,'Supply planning data'!$D:$D,DataViz!$B81,'Supply planning data'!$C:$C,DataViz!I$67)</f>
        <v>0</v>
      </c>
      <c r="J81" s="22">
        <f>SUMIFS('Supply planning data'!$U:$U,'Supply planning data'!$D:$D,DataViz!$B81,'Supply planning data'!$C:$C,DataViz!J$67)</f>
        <v>0</v>
      </c>
      <c r="K81" s="22">
        <f>SUMIFS('Supply planning data'!$U:$U,'Supply planning data'!$D:$D,DataViz!$B81,'Supply planning data'!$C:$C,DataViz!K$67)</f>
        <v>0</v>
      </c>
      <c r="L81" s="22">
        <f>SUMIFS('Supply planning data'!$U:$U,'Supply planning data'!$D:$D,DataViz!$B81,'Supply planning data'!$C:$C,DataViz!L$67)</f>
        <v>0</v>
      </c>
      <c r="M81" s="22">
        <f>SUMIFS('Supply planning data'!$U:$U,'Supply planning data'!$D:$D,DataViz!$B81,'Supply planning data'!$C:$C,DataViz!M$67)</f>
        <v>0</v>
      </c>
      <c r="N81" s="22">
        <f>SUMIFS('Supply planning data'!$U:$U,'Supply planning data'!$D:$D,DataViz!$B81,'Supply planning data'!$C:$C,DataViz!N$67)</f>
        <v>0</v>
      </c>
      <c r="O81" s="22">
        <f>SUMIFS('Supply planning data'!$U:$U,'Supply planning data'!$D:$D,DataViz!$B81,'Supply planning data'!$C:$C,DataViz!O$67)</f>
        <v>0</v>
      </c>
      <c r="P81" s="22">
        <f>SUMIFS('Supply planning data'!$U:$U,'Supply planning data'!$D:$D,DataViz!$B81,'Supply planning data'!$C:$C,DataViz!P$67)</f>
        <v>0</v>
      </c>
      <c r="Q81" s="22">
        <f>SUMIFS('Supply planning data'!$U:$U,'Supply planning data'!$D:$D,DataViz!$B81,'Supply planning data'!$C:$C,DataViz!Q$67)</f>
        <v>0</v>
      </c>
      <c r="R81" s="22">
        <f>SUMIFS('Supply planning data'!$U:$U,'Supply planning data'!$D:$D,DataViz!$B81,'Supply planning data'!$C:$C,DataViz!R$67)</f>
        <v>0</v>
      </c>
      <c r="S81" s="22">
        <f>IF(S$35="Dose 1",SUMIFS('Supply planning data'!$G:$G,'Supply planning data'!$D:$D,DataViz!$B81,'Supply planning data'!$C:$C,DataViz!S$34),
IF(S$35="Dose 2",SUMIFS('Supply planning data'!$H:$H,'Supply planning data'!$D:$D,DataViz!$B81,'Supply planning data'!$C:$C,DataViz!S$34),
IF(S$35="Dose 2",SUMIFS('Supply planning data'!$L:$L,'Supply planning data'!$D:$D,DataViz!$B81,'Supply planning data'!$C:$C,DataViz!S$34),
0)))</f>
        <v>0</v>
      </c>
    </row>
    <row r="82" spans="1:19" x14ac:dyDescent="0.25">
      <c r="A82" s="20">
        <v>11</v>
      </c>
      <c r="B82" s="21">
        <f t="shared" si="20"/>
        <v>44593</v>
      </c>
      <c r="C82" s="22">
        <f>IF(VLOOKUP(Dashboard!$M$6,Start!$B$10:$E$12,4,FALSE)&gt;0,VLOOKUP(Dashboard!$M$6,Start!$B$10:$E$12,4, FALSE),VLOOKUP(Dashboard!$M$6,Start!$B$10:$E$12,3, FALSE))</f>
        <v>60000000</v>
      </c>
      <c r="D82" s="22">
        <f>SUMIFS('Supply planning data'!M:M,'Supply planning data'!D:D,"&lt;="&amp;DataViz!B82)</f>
        <v>2517158</v>
      </c>
      <c r="E82" s="22">
        <f>SUMIFS('Supply planning data'!$U:$U,'Supply planning data'!$D:$D,DataViz!$B82,'Supply planning data'!$C:$C,DataViz!E$67)</f>
        <v>0</v>
      </c>
      <c r="F82" s="22">
        <f>SUMIFS('Supply planning data'!$U:$U,'Supply planning data'!$D:$D,DataViz!$B82,'Supply planning data'!$C:$C,DataViz!F$67)</f>
        <v>0</v>
      </c>
      <c r="G82" s="22">
        <f>SUMIFS('Supply planning data'!$U:$U,'Supply planning data'!$D:$D,DataViz!$B82,'Supply planning data'!$C:$C,DataViz!G$67)</f>
        <v>0</v>
      </c>
      <c r="H82" s="22">
        <f>SUMIFS('Supply planning data'!$U:$U,'Supply planning data'!$D:$D,DataViz!$B82,'Supply planning data'!$C:$C,DataViz!H$67)</f>
        <v>0</v>
      </c>
      <c r="I82" s="22">
        <f>SUMIFS('Supply planning data'!$U:$U,'Supply planning data'!$D:$D,DataViz!$B82,'Supply planning data'!$C:$C,DataViz!I$67)</f>
        <v>0</v>
      </c>
      <c r="J82" s="22">
        <f>SUMIFS('Supply planning data'!$U:$U,'Supply planning data'!$D:$D,DataViz!$B82,'Supply planning data'!$C:$C,DataViz!J$67)</f>
        <v>0</v>
      </c>
      <c r="K82" s="22">
        <f>SUMIFS('Supply planning data'!$U:$U,'Supply planning data'!$D:$D,DataViz!$B82,'Supply planning data'!$C:$C,DataViz!K$67)</f>
        <v>0</v>
      </c>
      <c r="L82" s="22">
        <f>SUMIFS('Supply planning data'!$U:$U,'Supply planning data'!$D:$D,DataViz!$B82,'Supply planning data'!$C:$C,DataViz!L$67)</f>
        <v>0</v>
      </c>
      <c r="M82" s="22">
        <f>SUMIFS('Supply planning data'!$U:$U,'Supply planning data'!$D:$D,DataViz!$B82,'Supply planning data'!$C:$C,DataViz!M$67)</f>
        <v>0</v>
      </c>
      <c r="N82" s="22">
        <f>SUMIFS('Supply planning data'!$U:$U,'Supply planning data'!$D:$D,DataViz!$B82,'Supply planning data'!$C:$C,DataViz!N$67)</f>
        <v>0</v>
      </c>
      <c r="O82" s="22">
        <f>SUMIFS('Supply planning data'!$U:$U,'Supply planning data'!$D:$D,DataViz!$B82,'Supply planning data'!$C:$C,DataViz!O$67)</f>
        <v>0</v>
      </c>
      <c r="P82" s="22">
        <f>SUMIFS('Supply planning data'!$U:$U,'Supply planning data'!$D:$D,DataViz!$B82,'Supply planning data'!$C:$C,DataViz!P$67)</f>
        <v>0</v>
      </c>
      <c r="Q82" s="22">
        <f>SUMIFS('Supply planning data'!$U:$U,'Supply planning data'!$D:$D,DataViz!$B82,'Supply planning data'!$C:$C,DataViz!Q$67)</f>
        <v>0</v>
      </c>
      <c r="R82" s="22">
        <f>SUMIFS('Supply planning data'!$U:$U,'Supply planning data'!$D:$D,DataViz!$B82,'Supply planning data'!$C:$C,DataViz!R$67)</f>
        <v>0</v>
      </c>
      <c r="S82" s="22">
        <f>IF(S$35="Dose 1",SUMIFS('Supply planning data'!$G:$G,'Supply planning data'!$D:$D,DataViz!$B82,'Supply planning data'!$C:$C,DataViz!S$34),
IF(S$35="Dose 2",SUMIFS('Supply planning data'!$H:$H,'Supply planning data'!$D:$D,DataViz!$B82,'Supply planning data'!$C:$C,DataViz!S$34),
IF(S$35="Dose 2",SUMIFS('Supply planning data'!$L:$L,'Supply planning data'!$D:$D,DataViz!$B82,'Supply planning data'!$C:$C,DataViz!S$34),
0)))</f>
        <v>0</v>
      </c>
    </row>
    <row r="83" spans="1:19" x14ac:dyDescent="0.25">
      <c r="A83" s="20">
        <v>12</v>
      </c>
      <c r="B83" s="21">
        <f t="shared" si="20"/>
        <v>44621</v>
      </c>
      <c r="C83" s="22">
        <f>IF(VLOOKUP(Dashboard!$M$6,Start!$B$10:$E$12,4,FALSE)&gt;0,VLOOKUP(Dashboard!$M$6,Start!$B$10:$E$12,4, FALSE),VLOOKUP(Dashboard!$M$6,Start!$B$10:$E$12,3, FALSE))</f>
        <v>60000000</v>
      </c>
      <c r="D83" s="22">
        <f>SUMIFS('Supply planning data'!M:M,'Supply planning data'!D:D,"&lt;="&amp;DataViz!B83)</f>
        <v>2720887</v>
      </c>
      <c r="E83" s="22">
        <f>SUMIFS('Supply planning data'!$U:$U,'Supply planning data'!$D:$D,DataViz!$B83,'Supply planning data'!$C:$C,DataViz!E$67)</f>
        <v>0</v>
      </c>
      <c r="F83" s="22">
        <f>SUMIFS('Supply planning data'!$U:$U,'Supply planning data'!$D:$D,DataViz!$B83,'Supply planning data'!$C:$C,DataViz!F$67)</f>
        <v>0</v>
      </c>
      <c r="G83" s="22">
        <f>SUMIFS('Supply planning data'!$U:$U,'Supply planning data'!$D:$D,DataViz!$B83,'Supply planning data'!$C:$C,DataViz!G$67)</f>
        <v>0</v>
      </c>
      <c r="H83" s="22">
        <f>SUMIFS('Supply planning data'!$U:$U,'Supply planning data'!$D:$D,DataViz!$B83,'Supply planning data'!$C:$C,DataViz!H$67)</f>
        <v>0</v>
      </c>
      <c r="I83" s="22">
        <f>SUMIFS('Supply planning data'!$U:$U,'Supply planning data'!$D:$D,DataViz!$B83,'Supply planning data'!$C:$C,DataViz!I$67)</f>
        <v>0</v>
      </c>
      <c r="J83" s="22">
        <f>SUMIFS('Supply planning data'!$U:$U,'Supply planning data'!$D:$D,DataViz!$B83,'Supply planning data'!$C:$C,DataViz!J$67)</f>
        <v>0</v>
      </c>
      <c r="K83" s="22">
        <f>SUMIFS('Supply planning data'!$U:$U,'Supply planning data'!$D:$D,DataViz!$B83,'Supply planning data'!$C:$C,DataViz!K$67)</f>
        <v>0</v>
      </c>
      <c r="L83" s="22">
        <f>SUMIFS('Supply planning data'!$U:$U,'Supply planning data'!$D:$D,DataViz!$B83,'Supply planning data'!$C:$C,DataViz!L$67)</f>
        <v>0</v>
      </c>
      <c r="M83" s="22">
        <f>SUMIFS('Supply planning data'!$U:$U,'Supply planning data'!$D:$D,DataViz!$B83,'Supply planning data'!$C:$C,DataViz!M$67)</f>
        <v>0</v>
      </c>
      <c r="N83" s="22">
        <f>SUMIFS('Supply planning data'!$U:$U,'Supply planning data'!$D:$D,DataViz!$B83,'Supply planning data'!$C:$C,DataViz!N$67)</f>
        <v>0</v>
      </c>
      <c r="O83" s="22">
        <f>SUMIFS('Supply planning data'!$U:$U,'Supply planning data'!$D:$D,DataViz!$B83,'Supply planning data'!$C:$C,DataViz!O$67)</f>
        <v>0</v>
      </c>
      <c r="P83" s="22">
        <f>SUMIFS('Supply planning data'!$U:$U,'Supply planning data'!$D:$D,DataViz!$B83,'Supply planning data'!$C:$C,DataViz!P$67)</f>
        <v>0</v>
      </c>
      <c r="Q83" s="22">
        <f>SUMIFS('Supply planning data'!$U:$U,'Supply planning data'!$D:$D,DataViz!$B83,'Supply planning data'!$C:$C,DataViz!Q$67)</f>
        <v>0</v>
      </c>
      <c r="R83" s="22">
        <f>SUMIFS('Supply planning data'!$U:$U,'Supply planning data'!$D:$D,DataViz!$B83,'Supply planning data'!$C:$C,DataViz!R$67)</f>
        <v>0</v>
      </c>
      <c r="S83" s="22">
        <f>IF(S$35="Dose 1",SUMIFS('Supply planning data'!$G:$G,'Supply planning data'!$D:$D,DataViz!$B83,'Supply planning data'!$C:$C,DataViz!S$34),
IF(S$35="Dose 2",SUMIFS('Supply planning data'!$H:$H,'Supply planning data'!$D:$D,DataViz!$B83,'Supply planning data'!$C:$C,DataViz!S$34),
IF(S$35="Dose 2",SUMIFS('Supply planning data'!$L:$L,'Supply planning data'!$D:$D,DataViz!$B83,'Supply planning data'!$C:$C,DataViz!S$34),
0)))</f>
        <v>0</v>
      </c>
    </row>
    <row r="84" spans="1:19" x14ac:dyDescent="0.25">
      <c r="A84" s="20">
        <v>13</v>
      </c>
      <c r="B84" s="21">
        <f t="shared" si="20"/>
        <v>44652</v>
      </c>
      <c r="C84" s="22">
        <f>IF(VLOOKUP(Dashboard!$M$6,Start!$B$10:$E$12,4,FALSE)&gt;0,VLOOKUP(Dashboard!$M$6,Start!$B$10:$E$12,4, FALSE),VLOOKUP(Dashboard!$M$6,Start!$B$10:$E$12,3, FALSE))</f>
        <v>60000000</v>
      </c>
      <c r="D84" s="22">
        <f>SUMIFS('Supply planning data'!M:M,'Supply planning data'!D:D,"&lt;="&amp;DataViz!B84)</f>
        <v>2720887</v>
      </c>
      <c r="E84" s="22">
        <f>SUMIFS('Supply planning data'!$U:$U,'Supply planning data'!$D:$D,DataViz!$B84,'Supply planning data'!$C:$C,DataViz!E$67)</f>
        <v>0</v>
      </c>
      <c r="F84" s="22">
        <f>SUMIFS('Supply planning data'!$U:$U,'Supply planning data'!$D:$D,DataViz!$B84,'Supply planning data'!$C:$C,DataViz!F$67)</f>
        <v>0</v>
      </c>
      <c r="G84" s="22">
        <f>SUMIFS('Supply planning data'!$U:$U,'Supply planning data'!$D:$D,DataViz!$B84,'Supply planning data'!$C:$C,DataViz!G$67)</f>
        <v>0</v>
      </c>
      <c r="H84" s="22">
        <f>SUMIFS('Supply planning data'!$U:$U,'Supply planning data'!$D:$D,DataViz!$B84,'Supply planning data'!$C:$C,DataViz!H$67)</f>
        <v>0</v>
      </c>
      <c r="I84" s="22">
        <f>SUMIFS('Supply planning data'!$U:$U,'Supply planning data'!$D:$D,DataViz!$B84,'Supply planning data'!$C:$C,DataViz!I$67)</f>
        <v>0</v>
      </c>
      <c r="J84" s="22">
        <f>SUMIFS('Supply planning data'!$U:$U,'Supply planning data'!$D:$D,DataViz!$B84,'Supply planning data'!$C:$C,DataViz!J$67)</f>
        <v>0</v>
      </c>
      <c r="K84" s="22">
        <f>SUMIFS('Supply planning data'!$U:$U,'Supply planning data'!$D:$D,DataViz!$B84,'Supply planning data'!$C:$C,DataViz!K$67)</f>
        <v>0</v>
      </c>
      <c r="L84" s="22">
        <f>SUMIFS('Supply planning data'!$U:$U,'Supply planning data'!$D:$D,DataViz!$B84,'Supply planning data'!$C:$C,DataViz!L$67)</f>
        <v>0</v>
      </c>
      <c r="M84" s="22">
        <f>SUMIFS('Supply planning data'!$U:$U,'Supply planning data'!$D:$D,DataViz!$B84,'Supply planning data'!$C:$C,DataViz!M$67)</f>
        <v>0</v>
      </c>
      <c r="N84" s="22">
        <f>SUMIFS('Supply planning data'!$U:$U,'Supply planning data'!$D:$D,DataViz!$B84,'Supply planning data'!$C:$C,DataViz!N$67)</f>
        <v>0</v>
      </c>
      <c r="O84" s="22">
        <f>SUMIFS('Supply planning data'!$U:$U,'Supply planning data'!$D:$D,DataViz!$B84,'Supply planning data'!$C:$C,DataViz!O$67)</f>
        <v>0</v>
      </c>
      <c r="P84" s="22">
        <f>SUMIFS('Supply planning data'!$U:$U,'Supply planning data'!$D:$D,DataViz!$B84,'Supply planning data'!$C:$C,DataViz!P$67)</f>
        <v>0</v>
      </c>
      <c r="Q84" s="22">
        <f>SUMIFS('Supply planning data'!$U:$U,'Supply planning data'!$D:$D,DataViz!$B84,'Supply planning data'!$C:$C,DataViz!Q$67)</f>
        <v>0</v>
      </c>
      <c r="R84" s="22">
        <f>SUMIFS('Supply planning data'!$U:$U,'Supply planning data'!$D:$D,DataViz!$B84,'Supply planning data'!$C:$C,DataViz!R$67)</f>
        <v>0</v>
      </c>
      <c r="S84" s="22">
        <f>IF(S$35="Dose 1",SUMIFS('Supply planning data'!$G:$G,'Supply planning data'!$D:$D,DataViz!$B84,'Supply planning data'!$C:$C,DataViz!S$34),
IF(S$35="Dose 2",SUMIFS('Supply planning data'!$H:$H,'Supply planning data'!$D:$D,DataViz!$B84,'Supply planning data'!$C:$C,DataViz!S$34),
IF(S$35="Dose 2",SUMIFS('Supply planning data'!$L:$L,'Supply planning data'!$D:$D,DataViz!$B84,'Supply planning data'!$C:$C,DataViz!S$34),
0)))</f>
        <v>0</v>
      </c>
    </row>
    <row r="85" spans="1:19" x14ac:dyDescent="0.25">
      <c r="A85" s="20">
        <v>14</v>
      </c>
      <c r="B85" s="21">
        <f t="shared" si="20"/>
        <v>44682</v>
      </c>
      <c r="C85" s="22">
        <f>IF(VLOOKUP(Dashboard!$M$6,Start!$B$10:$E$12,4,FALSE)&gt;0,VLOOKUP(Dashboard!$M$6,Start!$B$10:$E$12,4, FALSE),VLOOKUP(Dashboard!$M$6,Start!$B$10:$E$12,3, FALSE))</f>
        <v>60000000</v>
      </c>
      <c r="D85" s="22">
        <f>SUMIFS('Supply planning data'!M:M,'Supply planning data'!D:D,"&lt;="&amp;DataViz!B85)</f>
        <v>2720887</v>
      </c>
      <c r="E85" s="22">
        <f>SUMIFS('Supply planning data'!$U:$U,'Supply planning data'!$D:$D,DataViz!$B85,'Supply planning data'!$C:$C,DataViz!E$67)</f>
        <v>0</v>
      </c>
      <c r="F85" s="22">
        <f>SUMIFS('Supply planning data'!$U:$U,'Supply planning data'!$D:$D,DataViz!$B85,'Supply planning data'!$C:$C,DataViz!F$67)</f>
        <v>0</v>
      </c>
      <c r="G85" s="22">
        <f>SUMIFS('Supply planning data'!$U:$U,'Supply planning data'!$D:$D,DataViz!$B85,'Supply planning data'!$C:$C,DataViz!G$67)</f>
        <v>0</v>
      </c>
      <c r="H85" s="22">
        <f>SUMIFS('Supply planning data'!$U:$U,'Supply planning data'!$D:$D,DataViz!$B85,'Supply planning data'!$C:$C,DataViz!H$67)</f>
        <v>0</v>
      </c>
      <c r="I85" s="22">
        <f>SUMIFS('Supply planning data'!$U:$U,'Supply planning data'!$D:$D,DataViz!$B85,'Supply planning data'!$C:$C,DataViz!I$67)</f>
        <v>0</v>
      </c>
      <c r="J85" s="22">
        <f>SUMIFS('Supply planning data'!$U:$U,'Supply planning data'!$D:$D,DataViz!$B85,'Supply planning data'!$C:$C,DataViz!J$67)</f>
        <v>0</v>
      </c>
      <c r="K85" s="22">
        <f>SUMIFS('Supply planning data'!$U:$U,'Supply planning data'!$D:$D,DataViz!$B85,'Supply planning data'!$C:$C,DataViz!K$67)</f>
        <v>0</v>
      </c>
      <c r="L85" s="22">
        <f>SUMIFS('Supply planning data'!$U:$U,'Supply planning data'!$D:$D,DataViz!$B85,'Supply planning data'!$C:$C,DataViz!L$67)</f>
        <v>0</v>
      </c>
      <c r="M85" s="22">
        <f>SUMIFS('Supply planning data'!$U:$U,'Supply planning data'!$D:$D,DataViz!$B85,'Supply planning data'!$C:$C,DataViz!M$67)</f>
        <v>0</v>
      </c>
      <c r="N85" s="22">
        <f>SUMIFS('Supply planning data'!$U:$U,'Supply planning data'!$D:$D,DataViz!$B85,'Supply planning data'!$C:$C,DataViz!N$67)</f>
        <v>0</v>
      </c>
      <c r="O85" s="22">
        <f>SUMIFS('Supply planning data'!$U:$U,'Supply planning data'!$D:$D,DataViz!$B85,'Supply planning data'!$C:$C,DataViz!O$67)</f>
        <v>0</v>
      </c>
      <c r="P85" s="22">
        <f>SUMIFS('Supply planning data'!$U:$U,'Supply planning data'!$D:$D,DataViz!$B85,'Supply planning data'!$C:$C,DataViz!P$67)</f>
        <v>0</v>
      </c>
      <c r="Q85" s="22">
        <f>SUMIFS('Supply planning data'!$U:$U,'Supply planning data'!$D:$D,DataViz!$B85,'Supply planning data'!$C:$C,DataViz!Q$67)</f>
        <v>0</v>
      </c>
      <c r="R85" s="22">
        <f>SUMIFS('Supply planning data'!$U:$U,'Supply planning data'!$D:$D,DataViz!$B85,'Supply planning data'!$C:$C,DataViz!R$67)</f>
        <v>0</v>
      </c>
      <c r="S85" s="22">
        <f>IF(S$35="Dose 1",SUMIFS('Supply planning data'!$G:$G,'Supply planning data'!$D:$D,DataViz!$B85,'Supply planning data'!$C:$C,DataViz!S$34),
IF(S$35="Dose 2",SUMIFS('Supply planning data'!$H:$H,'Supply planning data'!$D:$D,DataViz!$B85,'Supply planning data'!$C:$C,DataViz!S$34),
IF(S$35="Dose 2",SUMIFS('Supply planning data'!$L:$L,'Supply planning data'!$D:$D,DataViz!$B85,'Supply planning data'!$C:$C,DataViz!S$34),
0)))</f>
        <v>0</v>
      </c>
    </row>
    <row r="86" spans="1:19" x14ac:dyDescent="0.25">
      <c r="A86" s="20">
        <v>15</v>
      </c>
      <c r="B86" s="21">
        <f t="shared" si="20"/>
        <v>44713</v>
      </c>
      <c r="C86" s="22">
        <f>IF(VLOOKUP(Dashboard!$M$6,Start!$B$10:$E$12,4,FALSE)&gt;0,VLOOKUP(Dashboard!$M$6,Start!$B$10:$E$12,4, FALSE),VLOOKUP(Dashboard!$M$6,Start!$B$10:$E$12,3, FALSE))</f>
        <v>60000000</v>
      </c>
      <c r="D86" s="22">
        <f>SUMIFS('Supply planning data'!M:M,'Supply planning data'!D:D,"&lt;="&amp;DataViz!B86)</f>
        <v>2720887</v>
      </c>
      <c r="E86" s="22">
        <f>SUMIFS('Supply planning data'!$U:$U,'Supply planning data'!$D:$D,DataViz!$B86,'Supply planning data'!$C:$C,DataViz!E$67)</f>
        <v>0</v>
      </c>
      <c r="F86" s="22">
        <f>SUMIFS('Supply planning data'!$U:$U,'Supply planning data'!$D:$D,DataViz!$B86,'Supply planning data'!$C:$C,DataViz!F$67)</f>
        <v>0</v>
      </c>
      <c r="G86" s="22">
        <f>SUMIFS('Supply planning data'!$U:$U,'Supply planning data'!$D:$D,DataViz!$B86,'Supply planning data'!$C:$C,DataViz!G$67)</f>
        <v>0</v>
      </c>
      <c r="H86" s="22">
        <f>SUMIFS('Supply planning data'!$U:$U,'Supply planning data'!$D:$D,DataViz!$B86,'Supply planning data'!$C:$C,DataViz!H$67)</f>
        <v>0</v>
      </c>
      <c r="I86" s="22">
        <f>SUMIFS('Supply planning data'!$U:$U,'Supply planning data'!$D:$D,DataViz!$B86,'Supply planning data'!$C:$C,DataViz!I$67)</f>
        <v>0</v>
      </c>
      <c r="J86" s="22">
        <f>SUMIFS('Supply planning data'!$U:$U,'Supply planning data'!$D:$D,DataViz!$B86,'Supply planning data'!$C:$C,DataViz!J$67)</f>
        <v>0</v>
      </c>
      <c r="K86" s="22">
        <f>SUMIFS('Supply planning data'!$U:$U,'Supply planning data'!$D:$D,DataViz!$B86,'Supply planning data'!$C:$C,DataViz!K$67)</f>
        <v>0</v>
      </c>
      <c r="L86" s="22">
        <f>SUMIFS('Supply planning data'!$U:$U,'Supply planning data'!$D:$D,DataViz!$B86,'Supply planning data'!$C:$C,DataViz!L$67)</f>
        <v>0</v>
      </c>
      <c r="M86" s="22">
        <f>SUMIFS('Supply planning data'!$U:$U,'Supply planning data'!$D:$D,DataViz!$B86,'Supply planning data'!$C:$C,DataViz!M$67)</f>
        <v>0</v>
      </c>
      <c r="N86" s="22">
        <f>SUMIFS('Supply planning data'!$U:$U,'Supply planning data'!$D:$D,DataViz!$B86,'Supply planning data'!$C:$C,DataViz!N$67)</f>
        <v>0</v>
      </c>
      <c r="O86" s="22">
        <f>SUMIFS('Supply planning data'!$U:$U,'Supply planning data'!$D:$D,DataViz!$B86,'Supply planning data'!$C:$C,DataViz!O$67)</f>
        <v>0</v>
      </c>
      <c r="P86" s="22">
        <f>SUMIFS('Supply planning data'!$U:$U,'Supply planning data'!$D:$D,DataViz!$B86,'Supply planning data'!$C:$C,DataViz!P$67)</f>
        <v>0</v>
      </c>
      <c r="Q86" s="22">
        <f>SUMIFS('Supply planning data'!$U:$U,'Supply planning data'!$D:$D,DataViz!$B86,'Supply planning data'!$C:$C,DataViz!Q$67)</f>
        <v>0</v>
      </c>
      <c r="R86" s="22">
        <f>SUMIFS('Supply planning data'!$U:$U,'Supply planning data'!$D:$D,DataViz!$B86,'Supply planning data'!$C:$C,DataViz!R$67)</f>
        <v>0</v>
      </c>
      <c r="S86" s="22">
        <f>IF(S$35="Dose 1",SUMIFS('Supply planning data'!$G:$G,'Supply planning data'!$D:$D,DataViz!$B86,'Supply planning data'!$C:$C,DataViz!S$34),
IF(S$35="Dose 2",SUMIFS('Supply planning data'!$H:$H,'Supply planning data'!$D:$D,DataViz!$B86,'Supply planning data'!$C:$C,DataViz!S$34),
IF(S$35="Dose 2",SUMIFS('Supply planning data'!$L:$L,'Supply planning data'!$D:$D,DataViz!$B86,'Supply planning data'!$C:$C,DataViz!S$34),
0)))</f>
        <v>0</v>
      </c>
    </row>
    <row r="87" spans="1:19" x14ac:dyDescent="0.25">
      <c r="A87" s="20">
        <v>16</v>
      </c>
      <c r="B87" s="21">
        <f t="shared" si="20"/>
        <v>44743</v>
      </c>
      <c r="C87" s="22">
        <f>IF(VLOOKUP(Dashboard!$M$6,Start!$B$10:$E$12,4,FALSE)&gt;0,VLOOKUP(Dashboard!$M$6,Start!$B$10:$E$12,4, FALSE),VLOOKUP(Dashboard!$M$6,Start!$B$10:$E$12,3, FALSE))</f>
        <v>60000000</v>
      </c>
      <c r="D87" s="22">
        <f>SUMIFS('Supply planning data'!M:M,'Supply planning data'!D:D,"&lt;="&amp;DataViz!B87)</f>
        <v>2720887</v>
      </c>
      <c r="E87" s="22">
        <f>SUMIFS('Supply planning data'!$U:$U,'Supply planning data'!$D:$D,DataViz!$B87,'Supply planning data'!$C:$C,DataViz!E$67)</f>
        <v>0</v>
      </c>
      <c r="F87" s="22">
        <f>SUMIFS('Supply planning data'!$U:$U,'Supply planning data'!$D:$D,DataViz!$B87,'Supply planning data'!$C:$C,DataViz!F$67)</f>
        <v>0</v>
      </c>
      <c r="G87" s="22">
        <f>SUMIFS('Supply planning data'!$U:$U,'Supply planning data'!$D:$D,DataViz!$B87,'Supply planning data'!$C:$C,DataViz!G$67)</f>
        <v>0</v>
      </c>
      <c r="H87" s="22">
        <f>SUMIFS('Supply planning data'!$U:$U,'Supply planning data'!$D:$D,DataViz!$B87,'Supply planning data'!$C:$C,DataViz!H$67)</f>
        <v>110538</v>
      </c>
      <c r="I87" s="22">
        <f>SUMIFS('Supply planning data'!$U:$U,'Supply planning data'!$D:$D,DataViz!$B87,'Supply planning data'!$C:$C,DataViz!I$67)</f>
        <v>0</v>
      </c>
      <c r="J87" s="22">
        <f>SUMIFS('Supply planning data'!$U:$U,'Supply planning data'!$D:$D,DataViz!$B87,'Supply planning data'!$C:$C,DataViz!J$67)</f>
        <v>0</v>
      </c>
      <c r="K87" s="22">
        <f>SUMIFS('Supply planning data'!$U:$U,'Supply planning data'!$D:$D,DataViz!$B87,'Supply planning data'!$C:$C,DataViz!K$67)</f>
        <v>0</v>
      </c>
      <c r="L87" s="22">
        <f>SUMIFS('Supply planning data'!$U:$U,'Supply planning data'!$D:$D,DataViz!$B87,'Supply planning data'!$C:$C,DataViz!L$67)</f>
        <v>0</v>
      </c>
      <c r="M87" s="22">
        <f>SUMIFS('Supply planning data'!$U:$U,'Supply planning data'!$D:$D,DataViz!$B87,'Supply planning data'!$C:$C,DataViz!M$67)</f>
        <v>0</v>
      </c>
      <c r="N87" s="22">
        <f>SUMIFS('Supply planning data'!$U:$U,'Supply planning data'!$D:$D,DataViz!$B87,'Supply planning data'!$C:$C,DataViz!N$67)</f>
        <v>0</v>
      </c>
      <c r="O87" s="22">
        <f>SUMIFS('Supply planning data'!$U:$U,'Supply planning data'!$D:$D,DataViz!$B87,'Supply planning data'!$C:$C,DataViz!O$67)</f>
        <v>0</v>
      </c>
      <c r="P87" s="22">
        <f>SUMIFS('Supply planning data'!$U:$U,'Supply planning data'!$D:$D,DataViz!$B87,'Supply planning data'!$C:$C,DataViz!P$67)</f>
        <v>0</v>
      </c>
      <c r="Q87" s="22">
        <f>SUMIFS('Supply planning data'!$U:$U,'Supply planning data'!$D:$D,DataViz!$B87,'Supply planning data'!$C:$C,DataViz!Q$67)</f>
        <v>0</v>
      </c>
      <c r="R87" s="22">
        <f>SUMIFS('Supply planning data'!$U:$U,'Supply planning data'!$D:$D,DataViz!$B87,'Supply planning data'!$C:$C,DataViz!R$67)</f>
        <v>0</v>
      </c>
      <c r="S87" s="22">
        <f>IF(S$35="Dose 1",SUMIFS('Supply planning data'!$G:$G,'Supply planning data'!$D:$D,DataViz!$B87,'Supply planning data'!$C:$C,DataViz!S$34),
IF(S$35="Dose 2",SUMIFS('Supply planning data'!$H:$H,'Supply planning data'!$D:$D,DataViz!$B87,'Supply planning data'!$C:$C,DataViz!S$34),
IF(S$35="Dose 2",SUMIFS('Supply planning data'!$L:$L,'Supply planning data'!$D:$D,DataViz!$B87,'Supply planning data'!$C:$C,DataViz!S$34),
0)))</f>
        <v>0</v>
      </c>
    </row>
    <row r="88" spans="1:19" x14ac:dyDescent="0.25">
      <c r="A88" s="20">
        <v>17</v>
      </c>
      <c r="B88" s="21">
        <f t="shared" si="20"/>
        <v>44774</v>
      </c>
      <c r="C88" s="22">
        <f>IF(VLOOKUP(Dashboard!$M$6,Start!$B$10:$E$12,4,FALSE)&gt;0,VLOOKUP(Dashboard!$M$6,Start!$B$10:$E$12,4, FALSE),VLOOKUP(Dashboard!$M$6,Start!$B$10:$E$12,3, FALSE))</f>
        <v>60000000</v>
      </c>
      <c r="D88" s="22">
        <f>SUMIFS('Supply planning data'!M:M,'Supply planning data'!D:D,"&lt;="&amp;DataViz!B88)</f>
        <v>2720887</v>
      </c>
      <c r="E88" s="22">
        <f>SUMIFS('Supply planning data'!$U:$U,'Supply planning data'!$D:$D,DataViz!$B88,'Supply planning data'!$C:$C,DataViz!E$67)</f>
        <v>0</v>
      </c>
      <c r="F88" s="22">
        <f>SUMIFS('Supply planning data'!$U:$U,'Supply planning data'!$D:$D,DataViz!$B88,'Supply planning data'!$C:$C,DataViz!F$67)</f>
        <v>0</v>
      </c>
      <c r="G88" s="22">
        <f>SUMIFS('Supply planning data'!$U:$U,'Supply planning data'!$D:$D,DataViz!$B88,'Supply planning data'!$C:$C,DataViz!G$67)</f>
        <v>0</v>
      </c>
      <c r="H88" s="22">
        <f>SUMIFS('Supply planning data'!$U:$U,'Supply planning data'!$D:$D,DataViz!$B88,'Supply planning data'!$C:$C,DataViz!H$67)</f>
        <v>0</v>
      </c>
      <c r="I88" s="22">
        <f>SUMIFS('Supply planning data'!$U:$U,'Supply planning data'!$D:$D,DataViz!$B88,'Supply planning data'!$C:$C,DataViz!I$67)</f>
        <v>0</v>
      </c>
      <c r="J88" s="22">
        <f>SUMIFS('Supply planning data'!$U:$U,'Supply planning data'!$D:$D,DataViz!$B88,'Supply planning data'!$C:$C,DataViz!J$67)</f>
        <v>0</v>
      </c>
      <c r="K88" s="22">
        <f>SUMIFS('Supply planning data'!$U:$U,'Supply planning data'!$D:$D,DataViz!$B88,'Supply planning data'!$C:$C,DataViz!K$67)</f>
        <v>0</v>
      </c>
      <c r="L88" s="22">
        <f>SUMIFS('Supply planning data'!$U:$U,'Supply planning data'!$D:$D,DataViz!$B88,'Supply planning data'!$C:$C,DataViz!L$67)</f>
        <v>0</v>
      </c>
      <c r="M88" s="22">
        <f>SUMIFS('Supply planning data'!$U:$U,'Supply planning data'!$D:$D,DataViz!$B88,'Supply planning data'!$C:$C,DataViz!M$67)</f>
        <v>0</v>
      </c>
      <c r="N88" s="22">
        <f>SUMIFS('Supply planning data'!$U:$U,'Supply planning data'!$D:$D,DataViz!$B88,'Supply planning data'!$C:$C,DataViz!N$67)</f>
        <v>0</v>
      </c>
      <c r="O88" s="22">
        <f>SUMIFS('Supply planning data'!$U:$U,'Supply planning data'!$D:$D,DataViz!$B88,'Supply planning data'!$C:$C,DataViz!O$67)</f>
        <v>0</v>
      </c>
      <c r="P88" s="22">
        <f>SUMIFS('Supply planning data'!$U:$U,'Supply planning data'!$D:$D,DataViz!$B88,'Supply planning data'!$C:$C,DataViz!P$67)</f>
        <v>0</v>
      </c>
      <c r="Q88" s="22">
        <f>SUMIFS('Supply planning data'!$U:$U,'Supply planning data'!$D:$D,DataViz!$B88,'Supply planning data'!$C:$C,DataViz!Q$67)</f>
        <v>0</v>
      </c>
      <c r="R88" s="22">
        <f>SUMIFS('Supply planning data'!$U:$U,'Supply planning data'!$D:$D,DataViz!$B88,'Supply planning data'!$C:$C,DataViz!R$67)</f>
        <v>0</v>
      </c>
      <c r="S88" s="22">
        <f>IF(S$35="Dose 1",SUMIFS('Supply planning data'!$G:$G,'Supply planning data'!$D:$D,DataViz!$B88,'Supply planning data'!$C:$C,DataViz!S$34),
IF(S$35="Dose 2",SUMIFS('Supply planning data'!$H:$H,'Supply planning data'!$D:$D,DataViz!$B88,'Supply planning data'!$C:$C,DataViz!S$34),
IF(S$35="Dose 2",SUMIFS('Supply planning data'!$L:$L,'Supply planning data'!$D:$D,DataViz!$B88,'Supply planning data'!$C:$C,DataViz!S$34),
0)))</f>
        <v>0</v>
      </c>
    </row>
    <row r="89" spans="1:19" x14ac:dyDescent="0.25">
      <c r="A89" s="20">
        <v>18</v>
      </c>
      <c r="B89" s="21">
        <f t="shared" si="20"/>
        <v>44805</v>
      </c>
      <c r="C89" s="22">
        <f>IF(VLOOKUP(Dashboard!$M$6,Start!$B$10:$E$12,4,FALSE)&gt;0,VLOOKUP(Dashboard!$M$6,Start!$B$10:$E$12,4, FALSE),VLOOKUP(Dashboard!$M$6,Start!$B$10:$E$12,3, FALSE))</f>
        <v>60000000</v>
      </c>
      <c r="D89" s="22">
        <f>SUMIFS('Supply planning data'!M:M,'Supply planning data'!D:D,"&lt;="&amp;DataViz!B89)</f>
        <v>2720887</v>
      </c>
      <c r="E89" s="22">
        <f>SUMIFS('Supply planning data'!$U:$U,'Supply planning data'!$D:$D,DataViz!$B89,'Supply planning data'!$C:$C,DataViz!E$67)</f>
        <v>0</v>
      </c>
      <c r="F89" s="22">
        <f>SUMIFS('Supply planning data'!$U:$U,'Supply planning data'!$D:$D,DataViz!$B89,'Supply planning data'!$C:$C,DataViz!F$67)</f>
        <v>0</v>
      </c>
      <c r="G89" s="22">
        <f>SUMIFS('Supply planning data'!$U:$U,'Supply planning data'!$D:$D,DataViz!$B89,'Supply planning data'!$C:$C,DataViz!G$67)</f>
        <v>0</v>
      </c>
      <c r="H89" s="22">
        <f>SUMIFS('Supply planning data'!$U:$U,'Supply planning data'!$D:$D,DataViz!$B89,'Supply planning data'!$C:$C,DataViz!H$67)</f>
        <v>0</v>
      </c>
      <c r="I89" s="22">
        <f>SUMIFS('Supply planning data'!$U:$U,'Supply planning data'!$D:$D,DataViz!$B89,'Supply planning data'!$C:$C,DataViz!I$67)</f>
        <v>0</v>
      </c>
      <c r="J89" s="22">
        <f>SUMIFS('Supply planning data'!$U:$U,'Supply planning data'!$D:$D,DataViz!$B89,'Supply planning data'!$C:$C,DataViz!J$67)</f>
        <v>0</v>
      </c>
      <c r="K89" s="22">
        <f>SUMIFS('Supply planning data'!$U:$U,'Supply planning data'!$D:$D,DataViz!$B89,'Supply planning data'!$C:$C,DataViz!K$67)</f>
        <v>0</v>
      </c>
      <c r="L89" s="22">
        <f>SUMIFS('Supply planning data'!$U:$U,'Supply planning data'!$D:$D,DataViz!$B89,'Supply planning data'!$C:$C,DataViz!L$67)</f>
        <v>0</v>
      </c>
      <c r="M89" s="22">
        <f>SUMIFS('Supply planning data'!$U:$U,'Supply planning data'!$D:$D,DataViz!$B89,'Supply planning data'!$C:$C,DataViz!M$67)</f>
        <v>0</v>
      </c>
      <c r="N89" s="22">
        <f>SUMIFS('Supply planning data'!$U:$U,'Supply planning data'!$D:$D,DataViz!$B89,'Supply planning data'!$C:$C,DataViz!N$67)</f>
        <v>0</v>
      </c>
      <c r="O89" s="22">
        <f>SUMIFS('Supply planning data'!$U:$U,'Supply planning data'!$D:$D,DataViz!$B89,'Supply planning data'!$C:$C,DataViz!O$67)</f>
        <v>0</v>
      </c>
      <c r="P89" s="22">
        <f>SUMIFS('Supply planning data'!$U:$U,'Supply planning data'!$D:$D,DataViz!$B89,'Supply planning data'!$C:$C,DataViz!P$67)</f>
        <v>0</v>
      </c>
      <c r="Q89" s="22">
        <f>SUMIFS('Supply planning data'!$U:$U,'Supply planning data'!$D:$D,DataViz!$B89,'Supply planning data'!$C:$C,DataViz!Q$67)</f>
        <v>0</v>
      </c>
      <c r="R89" s="22">
        <f>SUMIFS('Supply planning data'!$U:$U,'Supply planning data'!$D:$D,DataViz!$B89,'Supply planning data'!$C:$C,DataViz!R$67)</f>
        <v>0</v>
      </c>
      <c r="S89" s="22">
        <f>IF(S$35="Dose 1",SUMIFS('Supply planning data'!$G:$G,'Supply planning data'!$D:$D,DataViz!$B89,'Supply planning data'!$C:$C,DataViz!S$34),
IF(S$35="Dose 2",SUMIFS('Supply planning data'!$H:$H,'Supply planning data'!$D:$D,DataViz!$B89,'Supply planning data'!$C:$C,DataViz!S$34),
IF(S$35="Dose 2",SUMIFS('Supply planning data'!$L:$L,'Supply planning data'!$D:$D,DataViz!$B89,'Supply planning data'!$C:$C,DataViz!S$34),
0)))</f>
        <v>0</v>
      </c>
    </row>
    <row r="90" spans="1:19" x14ac:dyDescent="0.25">
      <c r="A90" s="20">
        <v>19</v>
      </c>
      <c r="B90" s="21">
        <f t="shared" si="20"/>
        <v>44835</v>
      </c>
      <c r="C90" s="22">
        <f>IF(VLOOKUP(Dashboard!$M$6,Start!$B$10:$E$12,4,FALSE)&gt;0,VLOOKUP(Dashboard!$M$6,Start!$B$10:$E$12,4, FALSE),VLOOKUP(Dashboard!$M$6,Start!$B$10:$E$12,3, FALSE))</f>
        <v>60000000</v>
      </c>
      <c r="D90" s="22">
        <f>SUMIFS('Supply planning data'!M:M,'Supply planning data'!D:D,"&lt;="&amp;DataViz!B90)</f>
        <v>2720887</v>
      </c>
      <c r="E90" s="22">
        <f>SUMIFS('Supply planning data'!$U:$U,'Supply planning data'!$D:$D,DataViz!$B90,'Supply planning data'!$C:$C,DataViz!E$67)</f>
        <v>0</v>
      </c>
      <c r="F90" s="22">
        <f>SUMIFS('Supply planning data'!$U:$U,'Supply planning data'!$D:$D,DataViz!$B90,'Supply planning data'!$C:$C,DataViz!F$67)</f>
        <v>0</v>
      </c>
      <c r="G90" s="22">
        <f>SUMIFS('Supply planning data'!$U:$U,'Supply planning data'!$D:$D,DataViz!$B90,'Supply planning data'!$C:$C,DataViz!G$67)</f>
        <v>0</v>
      </c>
      <c r="H90" s="22">
        <f>SUMIFS('Supply planning data'!$U:$U,'Supply planning data'!$D:$D,DataViz!$B90,'Supply planning data'!$C:$C,DataViz!H$67)</f>
        <v>0</v>
      </c>
      <c r="I90" s="22">
        <f>SUMIFS('Supply planning data'!$U:$U,'Supply planning data'!$D:$D,DataViz!$B90,'Supply planning data'!$C:$C,DataViz!I$67)</f>
        <v>0</v>
      </c>
      <c r="J90" s="22">
        <f>SUMIFS('Supply planning data'!$U:$U,'Supply planning data'!$D:$D,DataViz!$B90,'Supply planning data'!$C:$C,DataViz!J$67)</f>
        <v>0</v>
      </c>
      <c r="K90" s="22">
        <f>SUMIFS('Supply planning data'!$U:$U,'Supply planning data'!$D:$D,DataViz!$B90,'Supply planning data'!$C:$C,DataViz!K$67)</f>
        <v>0</v>
      </c>
      <c r="L90" s="22">
        <f>SUMIFS('Supply planning data'!$U:$U,'Supply planning data'!$D:$D,DataViz!$B90,'Supply planning data'!$C:$C,DataViz!L$67)</f>
        <v>0</v>
      </c>
      <c r="M90" s="22">
        <f>SUMIFS('Supply planning data'!$U:$U,'Supply planning data'!$D:$D,DataViz!$B90,'Supply planning data'!$C:$C,DataViz!M$67)</f>
        <v>0</v>
      </c>
      <c r="N90" s="22">
        <f>SUMIFS('Supply planning data'!$U:$U,'Supply planning data'!$D:$D,DataViz!$B90,'Supply planning data'!$C:$C,DataViz!N$67)</f>
        <v>0</v>
      </c>
      <c r="O90" s="22">
        <f>SUMIFS('Supply planning data'!$U:$U,'Supply planning data'!$D:$D,DataViz!$B90,'Supply planning data'!$C:$C,DataViz!O$67)</f>
        <v>0</v>
      </c>
      <c r="P90" s="22">
        <f>SUMIFS('Supply planning data'!$U:$U,'Supply planning data'!$D:$D,DataViz!$B90,'Supply planning data'!$C:$C,DataViz!P$67)</f>
        <v>0</v>
      </c>
      <c r="Q90" s="22">
        <f>SUMIFS('Supply planning data'!$U:$U,'Supply planning data'!$D:$D,DataViz!$B90,'Supply planning data'!$C:$C,DataViz!Q$67)</f>
        <v>0</v>
      </c>
      <c r="R90" s="22">
        <f>SUMIFS('Supply planning data'!$U:$U,'Supply planning data'!$D:$D,DataViz!$B90,'Supply planning data'!$C:$C,DataViz!R$67)</f>
        <v>0</v>
      </c>
      <c r="S90" s="22">
        <f>IF(S$35="Dose 1",SUMIFS('Supply planning data'!$G:$G,'Supply planning data'!$D:$D,DataViz!$B90,'Supply planning data'!$C:$C,DataViz!S$34),
IF(S$35="Dose 2",SUMIFS('Supply planning data'!$H:$H,'Supply planning data'!$D:$D,DataViz!$B90,'Supply planning data'!$C:$C,DataViz!S$34),
IF(S$35="Dose 2",SUMIFS('Supply planning data'!$L:$L,'Supply planning data'!$D:$D,DataViz!$B90,'Supply planning data'!$C:$C,DataViz!S$34),
0)))</f>
        <v>0</v>
      </c>
    </row>
    <row r="91" spans="1:19" x14ac:dyDescent="0.25">
      <c r="A91" s="20">
        <v>20</v>
      </c>
      <c r="B91" s="21">
        <f t="shared" si="20"/>
        <v>44866</v>
      </c>
      <c r="C91" s="22">
        <f>IF(VLOOKUP(Dashboard!$M$6,Start!$B$10:$E$12,4,FALSE)&gt;0,VLOOKUP(Dashboard!$M$6,Start!$B$10:$E$12,4, FALSE),VLOOKUP(Dashboard!$M$6,Start!$B$10:$E$12,3, FALSE))</f>
        <v>60000000</v>
      </c>
      <c r="D91" s="22">
        <f>SUMIFS('Supply planning data'!M:M,'Supply planning data'!D:D,"&lt;="&amp;DataViz!B91)</f>
        <v>2720887</v>
      </c>
      <c r="E91" s="22">
        <f>SUMIFS('Supply planning data'!$U:$U,'Supply planning data'!$D:$D,DataViz!$B91,'Supply planning data'!$C:$C,DataViz!E$67)</f>
        <v>0</v>
      </c>
      <c r="F91" s="22">
        <f>SUMIFS('Supply planning data'!$U:$U,'Supply planning data'!$D:$D,DataViz!$B91,'Supply planning data'!$C:$C,DataViz!F$67)</f>
        <v>0</v>
      </c>
      <c r="G91" s="22">
        <f>SUMIFS('Supply planning data'!$U:$U,'Supply planning data'!$D:$D,DataViz!$B91,'Supply planning data'!$C:$C,DataViz!G$67)</f>
        <v>0</v>
      </c>
      <c r="H91" s="22">
        <f>SUMIFS('Supply planning data'!$U:$U,'Supply planning data'!$D:$D,DataViz!$B91,'Supply planning data'!$C:$C,DataViz!H$67)</f>
        <v>0</v>
      </c>
      <c r="I91" s="22">
        <f>SUMIFS('Supply planning data'!$U:$U,'Supply planning data'!$D:$D,DataViz!$B91,'Supply planning data'!$C:$C,DataViz!I$67)</f>
        <v>0</v>
      </c>
      <c r="J91" s="22">
        <f>SUMIFS('Supply planning data'!$U:$U,'Supply planning data'!$D:$D,DataViz!$B91,'Supply planning data'!$C:$C,DataViz!J$67)</f>
        <v>0</v>
      </c>
      <c r="K91" s="22">
        <f>SUMIFS('Supply planning data'!$U:$U,'Supply planning data'!$D:$D,DataViz!$B91,'Supply planning data'!$C:$C,DataViz!K$67)</f>
        <v>0</v>
      </c>
      <c r="L91" s="22">
        <f>SUMIFS('Supply planning data'!$U:$U,'Supply planning data'!$D:$D,DataViz!$B91,'Supply planning data'!$C:$C,DataViz!L$67)</f>
        <v>0</v>
      </c>
      <c r="M91" s="22">
        <f>SUMIFS('Supply planning data'!$U:$U,'Supply planning data'!$D:$D,DataViz!$B91,'Supply planning data'!$C:$C,DataViz!M$67)</f>
        <v>0</v>
      </c>
      <c r="N91" s="22">
        <f>SUMIFS('Supply planning data'!$U:$U,'Supply planning data'!$D:$D,DataViz!$B91,'Supply planning data'!$C:$C,DataViz!N$67)</f>
        <v>0</v>
      </c>
      <c r="O91" s="22">
        <f>SUMIFS('Supply planning data'!$U:$U,'Supply planning data'!$D:$D,DataViz!$B91,'Supply planning data'!$C:$C,DataViz!O$67)</f>
        <v>0</v>
      </c>
      <c r="P91" s="22">
        <f>SUMIFS('Supply planning data'!$U:$U,'Supply planning data'!$D:$D,DataViz!$B91,'Supply planning data'!$C:$C,DataViz!P$67)</f>
        <v>0</v>
      </c>
      <c r="Q91" s="22">
        <f>SUMIFS('Supply planning data'!$U:$U,'Supply planning data'!$D:$D,DataViz!$B91,'Supply planning data'!$C:$C,DataViz!Q$67)</f>
        <v>0</v>
      </c>
      <c r="R91" s="22">
        <f>SUMIFS('Supply planning data'!$U:$U,'Supply planning data'!$D:$D,DataViz!$B91,'Supply planning data'!$C:$C,DataViz!R$67)</f>
        <v>0</v>
      </c>
      <c r="S91" s="22">
        <f>IF(S$35="Dose 1",SUMIFS('Supply planning data'!$G:$G,'Supply planning data'!$D:$D,DataViz!$B91,'Supply planning data'!$C:$C,DataViz!S$34),
IF(S$35="Dose 2",SUMIFS('Supply planning data'!$H:$H,'Supply planning data'!$D:$D,DataViz!$B91,'Supply planning data'!$C:$C,DataViz!S$34),
IF(S$35="Dose 2",SUMIFS('Supply planning data'!$L:$L,'Supply planning data'!$D:$D,DataViz!$B91,'Supply planning data'!$C:$C,DataViz!S$34),
0)))</f>
        <v>0</v>
      </c>
    </row>
    <row r="92" spans="1:19" x14ac:dyDescent="0.25">
      <c r="A92" s="20">
        <v>21</v>
      </c>
      <c r="B92" s="21">
        <f t="shared" si="20"/>
        <v>44896</v>
      </c>
      <c r="C92" s="22">
        <f>IF(VLOOKUP(Dashboard!$M$6,Start!$B$10:$E$12,4,FALSE)&gt;0,VLOOKUP(Dashboard!$M$6,Start!$B$10:$E$12,4, FALSE),VLOOKUP(Dashboard!$M$6,Start!$B$10:$E$12,3, FALSE))</f>
        <v>60000000</v>
      </c>
      <c r="D92" s="22">
        <f>SUMIFS('Supply planning data'!M:M,'Supply planning data'!D:D,"&lt;="&amp;DataViz!B92)</f>
        <v>2720887</v>
      </c>
      <c r="E92" s="22">
        <f>SUMIFS('Supply planning data'!$U:$U,'Supply planning data'!$D:$D,DataViz!$B92,'Supply planning data'!$C:$C,DataViz!E$67)</f>
        <v>0</v>
      </c>
      <c r="F92" s="22">
        <f>SUMIFS('Supply planning data'!$U:$U,'Supply planning data'!$D:$D,DataViz!$B92,'Supply planning data'!$C:$C,DataViz!F$67)</f>
        <v>0</v>
      </c>
      <c r="G92" s="22">
        <f>SUMIFS('Supply planning data'!$U:$U,'Supply planning data'!$D:$D,DataViz!$B92,'Supply planning data'!$C:$C,DataViz!G$67)</f>
        <v>0</v>
      </c>
      <c r="H92" s="22">
        <f>SUMIFS('Supply planning data'!$U:$U,'Supply planning data'!$D:$D,DataViz!$B92,'Supply planning data'!$C:$C,DataViz!H$67)</f>
        <v>0</v>
      </c>
      <c r="I92" s="22">
        <f>SUMIFS('Supply planning data'!$U:$U,'Supply planning data'!$D:$D,DataViz!$B92,'Supply planning data'!$C:$C,DataViz!I$67)</f>
        <v>0</v>
      </c>
      <c r="J92" s="22">
        <f>SUMIFS('Supply planning data'!$U:$U,'Supply planning data'!$D:$D,DataViz!$B92,'Supply planning data'!$C:$C,DataViz!J$67)</f>
        <v>0</v>
      </c>
      <c r="K92" s="22">
        <f>SUMIFS('Supply planning data'!$U:$U,'Supply planning data'!$D:$D,DataViz!$B92,'Supply planning data'!$C:$C,DataViz!K$67)</f>
        <v>0</v>
      </c>
      <c r="L92" s="22">
        <f>SUMIFS('Supply planning data'!$U:$U,'Supply planning data'!$D:$D,DataViz!$B92,'Supply planning data'!$C:$C,DataViz!L$67)</f>
        <v>0</v>
      </c>
      <c r="M92" s="22">
        <f>SUMIFS('Supply planning data'!$U:$U,'Supply planning data'!$D:$D,DataViz!$B92,'Supply planning data'!$C:$C,DataViz!M$67)</f>
        <v>0</v>
      </c>
      <c r="N92" s="22">
        <f>SUMIFS('Supply planning data'!$U:$U,'Supply planning data'!$D:$D,DataViz!$B92,'Supply planning data'!$C:$C,DataViz!N$67)</f>
        <v>0</v>
      </c>
      <c r="O92" s="22">
        <f>SUMIFS('Supply planning data'!$U:$U,'Supply planning data'!$D:$D,DataViz!$B92,'Supply planning data'!$C:$C,DataViz!O$67)</f>
        <v>0</v>
      </c>
      <c r="P92" s="22">
        <f>SUMIFS('Supply planning data'!$U:$U,'Supply planning data'!$D:$D,DataViz!$B92,'Supply planning data'!$C:$C,DataViz!P$67)</f>
        <v>0</v>
      </c>
      <c r="Q92" s="22">
        <f>SUMIFS('Supply planning data'!$U:$U,'Supply planning data'!$D:$D,DataViz!$B92,'Supply planning data'!$C:$C,DataViz!Q$67)</f>
        <v>0</v>
      </c>
      <c r="R92" s="22">
        <f>SUMIFS('Supply planning data'!$U:$U,'Supply planning data'!$D:$D,DataViz!$B92,'Supply planning data'!$C:$C,DataViz!R$67)</f>
        <v>0</v>
      </c>
      <c r="S92" s="22">
        <f>IF(S$35="Dose 1",SUMIFS('Supply planning data'!$G:$G,'Supply planning data'!$D:$D,DataViz!$B92,'Supply planning data'!$C:$C,DataViz!S$34),
IF(S$35="Dose 2",SUMIFS('Supply planning data'!$H:$H,'Supply planning data'!$D:$D,DataViz!$B92,'Supply planning data'!$C:$C,DataViz!S$34),
IF(S$35="Dose 2",SUMIFS('Supply planning data'!$L:$L,'Supply planning data'!$D:$D,DataViz!$B92,'Supply planning data'!$C:$C,DataViz!S$34),
0)))</f>
        <v>0</v>
      </c>
    </row>
    <row r="93" spans="1:19" x14ac:dyDescent="0.25">
      <c r="A93" s="20">
        <v>22</v>
      </c>
      <c r="B93" s="21">
        <f t="shared" si="20"/>
        <v>44927</v>
      </c>
      <c r="C93" s="22">
        <f>IF(VLOOKUP(Dashboard!$M$6,Start!$B$10:$E$12,4,FALSE)&gt;0,VLOOKUP(Dashboard!$M$6,Start!$B$10:$E$12,4, FALSE),VLOOKUP(Dashboard!$M$6,Start!$B$10:$E$12,3, FALSE))</f>
        <v>60000000</v>
      </c>
      <c r="D93" s="22">
        <f>SUMIFS('Supply planning data'!M:M,'Supply planning data'!D:D,"&lt;="&amp;DataViz!B93)</f>
        <v>2720887</v>
      </c>
      <c r="E93" s="22">
        <f>SUMIFS('Supply planning data'!$U:$U,'Supply planning data'!$D:$D,DataViz!$B93,'Supply planning data'!$C:$C,DataViz!E$67)</f>
        <v>0</v>
      </c>
      <c r="F93" s="22">
        <f>SUMIFS('Supply planning data'!$U:$U,'Supply planning data'!$D:$D,DataViz!$B93,'Supply planning data'!$C:$C,DataViz!F$67)</f>
        <v>0</v>
      </c>
      <c r="G93" s="22">
        <f>SUMIFS('Supply planning data'!$U:$U,'Supply planning data'!$D:$D,DataViz!$B93,'Supply planning data'!$C:$C,DataViz!G$67)</f>
        <v>0</v>
      </c>
      <c r="H93" s="22">
        <f>SUMIFS('Supply planning data'!$U:$U,'Supply planning data'!$D:$D,DataViz!$B93,'Supply planning data'!$C:$C,DataViz!H$67)</f>
        <v>0</v>
      </c>
      <c r="I93" s="22">
        <f>SUMIFS('Supply planning data'!$U:$U,'Supply planning data'!$D:$D,DataViz!$B93,'Supply planning data'!$C:$C,DataViz!I$67)</f>
        <v>0</v>
      </c>
      <c r="J93" s="22">
        <f>SUMIFS('Supply planning data'!$U:$U,'Supply planning data'!$D:$D,DataViz!$B93,'Supply planning data'!$C:$C,DataViz!J$67)</f>
        <v>0</v>
      </c>
      <c r="K93" s="22">
        <f>SUMIFS('Supply planning data'!$U:$U,'Supply planning data'!$D:$D,DataViz!$B93,'Supply planning data'!$C:$C,DataViz!K$67)</f>
        <v>0</v>
      </c>
      <c r="L93" s="22">
        <f>SUMIFS('Supply planning data'!$U:$U,'Supply planning data'!$D:$D,DataViz!$B93,'Supply planning data'!$C:$C,DataViz!L$67)</f>
        <v>0</v>
      </c>
      <c r="M93" s="22">
        <f>SUMIFS('Supply planning data'!$U:$U,'Supply planning data'!$D:$D,DataViz!$B93,'Supply planning data'!$C:$C,DataViz!M$67)</f>
        <v>0</v>
      </c>
      <c r="N93" s="22">
        <f>SUMIFS('Supply planning data'!$U:$U,'Supply planning data'!$D:$D,DataViz!$B93,'Supply planning data'!$C:$C,DataViz!N$67)</f>
        <v>0</v>
      </c>
      <c r="O93" s="22">
        <f>SUMIFS('Supply planning data'!$U:$U,'Supply planning data'!$D:$D,DataViz!$B93,'Supply planning data'!$C:$C,DataViz!O$67)</f>
        <v>0</v>
      </c>
      <c r="P93" s="22">
        <f>SUMIFS('Supply planning data'!$U:$U,'Supply planning data'!$D:$D,DataViz!$B93,'Supply planning data'!$C:$C,DataViz!P$67)</f>
        <v>0</v>
      </c>
      <c r="Q93" s="22">
        <f>SUMIFS('Supply planning data'!$U:$U,'Supply planning data'!$D:$D,DataViz!$B93,'Supply planning data'!$C:$C,DataViz!Q$67)</f>
        <v>0</v>
      </c>
      <c r="R93" s="22">
        <f>SUMIFS('Supply planning data'!$U:$U,'Supply planning data'!$D:$D,DataViz!$B93,'Supply planning data'!$C:$C,DataViz!R$67)</f>
        <v>0</v>
      </c>
      <c r="S93" s="22">
        <f>IF(S$35="Dose 1",SUMIFS('Supply planning data'!$G:$G,'Supply planning data'!$D:$D,DataViz!$B93,'Supply planning data'!$C:$C,DataViz!S$34),
IF(S$35="Dose 2",SUMIFS('Supply planning data'!$H:$H,'Supply planning data'!$D:$D,DataViz!$B93,'Supply planning data'!$C:$C,DataViz!S$34),
IF(S$35="Dose 2",SUMIFS('Supply planning data'!$L:$L,'Supply planning data'!$D:$D,DataViz!$B93,'Supply planning data'!$C:$C,DataViz!S$34),
0)))</f>
        <v>0</v>
      </c>
    </row>
    <row r="94" spans="1:19" x14ac:dyDescent="0.25">
      <c r="A94" s="20">
        <v>23</v>
      </c>
      <c r="B94" s="21">
        <f t="shared" si="20"/>
        <v>44958</v>
      </c>
      <c r="C94" s="22">
        <f>IF(VLOOKUP(Dashboard!$M$6,Start!$B$10:$E$12,4,FALSE)&gt;0,VLOOKUP(Dashboard!$M$6,Start!$B$10:$E$12,4, FALSE),VLOOKUP(Dashboard!$M$6,Start!$B$10:$E$12,3, FALSE))</f>
        <v>60000000</v>
      </c>
      <c r="D94" s="22">
        <f>SUMIFS('Supply planning data'!M:M,'Supply planning data'!D:D,"&lt;="&amp;DataViz!B94)</f>
        <v>2720887</v>
      </c>
      <c r="E94" s="22">
        <f>SUMIFS('Supply planning data'!$U:$U,'Supply planning data'!$D:$D,DataViz!$B94,'Supply planning data'!$C:$C,DataViz!E$67)</f>
        <v>0</v>
      </c>
      <c r="F94" s="22">
        <f>SUMIFS('Supply planning data'!$U:$U,'Supply planning data'!$D:$D,DataViz!$B94,'Supply planning data'!$C:$C,DataViz!F$67)</f>
        <v>0</v>
      </c>
      <c r="G94" s="22">
        <f>SUMIFS('Supply planning data'!$U:$U,'Supply planning data'!$D:$D,DataViz!$B94,'Supply planning data'!$C:$C,DataViz!G$67)</f>
        <v>0</v>
      </c>
      <c r="H94" s="22">
        <f>SUMIFS('Supply planning data'!$U:$U,'Supply planning data'!$D:$D,DataViz!$B94,'Supply planning data'!$C:$C,DataViz!H$67)</f>
        <v>0</v>
      </c>
      <c r="I94" s="22">
        <f>SUMIFS('Supply planning data'!$U:$U,'Supply planning data'!$D:$D,DataViz!$B94,'Supply planning data'!$C:$C,DataViz!I$67)</f>
        <v>0</v>
      </c>
      <c r="J94" s="22">
        <f>SUMIFS('Supply planning data'!$U:$U,'Supply planning data'!$D:$D,DataViz!$B94,'Supply planning data'!$C:$C,DataViz!J$67)</f>
        <v>0</v>
      </c>
      <c r="K94" s="22">
        <f>SUMIFS('Supply planning data'!$U:$U,'Supply planning data'!$D:$D,DataViz!$B94,'Supply planning data'!$C:$C,DataViz!K$67)</f>
        <v>0</v>
      </c>
      <c r="L94" s="22">
        <f>SUMIFS('Supply planning data'!$U:$U,'Supply planning data'!$D:$D,DataViz!$B94,'Supply planning data'!$C:$C,DataViz!L$67)</f>
        <v>0</v>
      </c>
      <c r="M94" s="22">
        <f>SUMIFS('Supply planning data'!$U:$U,'Supply planning data'!$D:$D,DataViz!$B94,'Supply planning data'!$C:$C,DataViz!M$67)</f>
        <v>0</v>
      </c>
      <c r="N94" s="22">
        <f>SUMIFS('Supply planning data'!$U:$U,'Supply planning data'!$D:$D,DataViz!$B94,'Supply planning data'!$C:$C,DataViz!N$67)</f>
        <v>0</v>
      </c>
      <c r="O94" s="22">
        <f>SUMIFS('Supply planning data'!$U:$U,'Supply planning data'!$D:$D,DataViz!$B94,'Supply planning data'!$C:$C,DataViz!O$67)</f>
        <v>0</v>
      </c>
      <c r="P94" s="22">
        <f>SUMIFS('Supply planning data'!$U:$U,'Supply planning data'!$D:$D,DataViz!$B94,'Supply planning data'!$C:$C,DataViz!P$67)</f>
        <v>0</v>
      </c>
      <c r="Q94" s="22">
        <f>SUMIFS('Supply planning data'!$U:$U,'Supply planning data'!$D:$D,DataViz!$B94,'Supply planning data'!$C:$C,DataViz!Q$67)</f>
        <v>0</v>
      </c>
      <c r="R94" s="22">
        <f>SUMIFS('Supply planning data'!$U:$U,'Supply planning data'!$D:$D,DataViz!$B94,'Supply planning data'!$C:$C,DataViz!R$67)</f>
        <v>0</v>
      </c>
      <c r="S94" s="22">
        <f>IF(S$35="Dose 1",SUMIFS('Supply planning data'!$G:$G,'Supply planning data'!$D:$D,DataViz!$B94,'Supply planning data'!$C:$C,DataViz!S$34),
IF(S$35="Dose 2",SUMIFS('Supply planning data'!$H:$H,'Supply planning data'!$D:$D,DataViz!$B94,'Supply planning data'!$C:$C,DataViz!S$34),
IF(S$35="Dose 2",SUMIFS('Supply planning data'!$L:$L,'Supply planning data'!$D:$D,DataViz!$B94,'Supply planning data'!$C:$C,DataViz!S$34),
0)))</f>
        <v>0</v>
      </c>
    </row>
    <row r="95" spans="1:19" x14ac:dyDescent="0.25">
      <c r="A95" s="20">
        <v>24</v>
      </c>
      <c r="B95" s="21">
        <f t="shared" si="20"/>
        <v>44986</v>
      </c>
      <c r="C95" s="22">
        <f>IF(VLOOKUP(Dashboard!$M$6,Start!$B$10:$E$12,4,FALSE)&gt;0,VLOOKUP(Dashboard!$M$6,Start!$B$10:$E$12,4, FALSE),VLOOKUP(Dashboard!$M$6,Start!$B$10:$E$12,3, FALSE))</f>
        <v>60000000</v>
      </c>
      <c r="D95" s="22">
        <f>SUMIFS('Supply planning data'!M:M,'Supply planning data'!D:D,"&lt;="&amp;DataViz!B95)</f>
        <v>2720887</v>
      </c>
      <c r="E95" s="22">
        <f>SUMIFS('Supply planning data'!$U:$U,'Supply planning data'!$D:$D,DataViz!$B95,'Supply planning data'!$C:$C,DataViz!E$67)</f>
        <v>0</v>
      </c>
      <c r="F95" s="22">
        <f>SUMIFS('Supply planning data'!$U:$U,'Supply planning data'!$D:$D,DataViz!$B95,'Supply planning data'!$C:$C,DataViz!F$67)</f>
        <v>0</v>
      </c>
      <c r="G95" s="22">
        <f>SUMIFS('Supply planning data'!$U:$U,'Supply planning data'!$D:$D,DataViz!$B95,'Supply planning data'!$C:$C,DataViz!G$67)</f>
        <v>0</v>
      </c>
      <c r="H95" s="22">
        <f>SUMIFS('Supply planning data'!$U:$U,'Supply planning data'!$D:$D,DataViz!$B95,'Supply planning data'!$C:$C,DataViz!H$67)</f>
        <v>0</v>
      </c>
      <c r="I95" s="22">
        <f>SUMIFS('Supply planning data'!$U:$U,'Supply planning data'!$D:$D,DataViz!$B95,'Supply planning data'!$C:$C,DataViz!I$67)</f>
        <v>0</v>
      </c>
      <c r="J95" s="22">
        <f>SUMIFS('Supply planning data'!$U:$U,'Supply planning data'!$D:$D,DataViz!$B95,'Supply planning data'!$C:$C,DataViz!J$67)</f>
        <v>0</v>
      </c>
      <c r="K95" s="22">
        <f>SUMIFS('Supply planning data'!$U:$U,'Supply planning data'!$D:$D,DataViz!$B95,'Supply planning data'!$C:$C,DataViz!K$67)</f>
        <v>0</v>
      </c>
      <c r="L95" s="22">
        <f>SUMIFS('Supply planning data'!$U:$U,'Supply planning data'!$D:$D,DataViz!$B95,'Supply planning data'!$C:$C,DataViz!L$67)</f>
        <v>0</v>
      </c>
      <c r="M95" s="22">
        <f>SUMIFS('Supply planning data'!$U:$U,'Supply planning data'!$D:$D,DataViz!$B95,'Supply planning data'!$C:$C,DataViz!M$67)</f>
        <v>0</v>
      </c>
      <c r="N95" s="22">
        <f>SUMIFS('Supply planning data'!$U:$U,'Supply planning data'!$D:$D,DataViz!$B95,'Supply planning data'!$C:$C,DataViz!N$67)</f>
        <v>0</v>
      </c>
      <c r="O95" s="22">
        <f>SUMIFS('Supply planning data'!$U:$U,'Supply planning data'!$D:$D,DataViz!$B95,'Supply planning data'!$C:$C,DataViz!O$67)</f>
        <v>0</v>
      </c>
      <c r="P95" s="22">
        <f>SUMIFS('Supply planning data'!$U:$U,'Supply planning data'!$D:$D,DataViz!$B95,'Supply planning data'!$C:$C,DataViz!P$67)</f>
        <v>0</v>
      </c>
      <c r="Q95" s="22">
        <f>SUMIFS('Supply planning data'!$U:$U,'Supply planning data'!$D:$D,DataViz!$B95,'Supply planning data'!$C:$C,DataViz!Q$67)</f>
        <v>0</v>
      </c>
      <c r="R95" s="22">
        <f>SUMIFS('Supply planning data'!$U:$U,'Supply planning data'!$D:$D,DataViz!$B95,'Supply planning data'!$C:$C,DataViz!R$67)</f>
        <v>0</v>
      </c>
      <c r="S95" s="22">
        <f>IF(S$35="Dose 1",SUMIFS('Supply planning data'!$G:$G,'Supply planning data'!$D:$D,DataViz!$B95,'Supply planning data'!$C:$C,DataViz!S$34),
IF(S$35="Dose 2",SUMIFS('Supply planning data'!$H:$H,'Supply planning data'!$D:$D,DataViz!$B95,'Supply planning data'!$C:$C,DataViz!S$34),
IF(S$35="Dose 2",SUMIFS('Supply planning data'!$L:$L,'Supply planning data'!$D:$D,DataViz!$B95,'Supply planning data'!$C:$C,DataViz!S$34),
0)))</f>
        <v>0</v>
      </c>
    </row>
    <row r="96" spans="1:19" x14ac:dyDescent="0.25">
      <c r="C96" s="22"/>
    </row>
    <row r="97" spans="1:65" x14ac:dyDescent="0.25">
      <c r="C97" s="22"/>
    </row>
    <row r="102" spans="1:65" ht="18.75" x14ac:dyDescent="0.3">
      <c r="A102" s="153" t="s">
        <v>204</v>
      </c>
      <c r="O102" s="153" t="s">
        <v>205</v>
      </c>
    </row>
    <row r="103" spans="1:65" x14ac:dyDescent="0.25">
      <c r="A103">
        <f>Dashboard!$H$30</f>
        <v>0</v>
      </c>
      <c r="N103" t="s">
        <v>206</v>
      </c>
      <c r="O103" s="171" t="s">
        <v>207</v>
      </c>
      <c r="AN103" t="s">
        <v>206</v>
      </c>
      <c r="AO103" s="171" t="s">
        <v>208</v>
      </c>
    </row>
    <row r="104" spans="1:65" x14ac:dyDescent="0.25">
      <c r="A104" s="148"/>
      <c r="B104" s="148" t="s">
        <v>190</v>
      </c>
      <c r="C104" t="s">
        <v>209</v>
      </c>
      <c r="D104" t="s">
        <v>210</v>
      </c>
      <c r="E104" t="s">
        <v>211</v>
      </c>
      <c r="F104" s="149" t="s">
        <v>212</v>
      </c>
      <c r="G104" s="149" t="s">
        <v>101</v>
      </c>
      <c r="P104" s="170">
        <f>Dashboard!C6</f>
        <v>44287</v>
      </c>
      <c r="Q104" s="170">
        <f>DATE(YEAR(P104),MONTH(P104)+1,1)</f>
        <v>44317</v>
      </c>
      <c r="R104" s="170">
        <f t="shared" ref="R104:AM104" si="21">DATE(YEAR(Q104),MONTH(Q104)+1,1)</f>
        <v>44348</v>
      </c>
      <c r="S104" s="170">
        <f t="shared" si="21"/>
        <v>44378</v>
      </c>
      <c r="T104" s="170">
        <f t="shared" si="21"/>
        <v>44409</v>
      </c>
      <c r="U104" s="170">
        <f t="shared" si="21"/>
        <v>44440</v>
      </c>
      <c r="V104" s="170">
        <f t="shared" si="21"/>
        <v>44470</v>
      </c>
      <c r="W104" s="170">
        <f t="shared" si="21"/>
        <v>44501</v>
      </c>
      <c r="X104" s="170">
        <f t="shared" si="21"/>
        <v>44531</v>
      </c>
      <c r="Y104" s="170">
        <f t="shared" si="21"/>
        <v>44562</v>
      </c>
      <c r="Z104" s="170">
        <f t="shared" si="21"/>
        <v>44593</v>
      </c>
      <c r="AA104" s="170">
        <f t="shared" si="21"/>
        <v>44621</v>
      </c>
      <c r="AB104" s="170">
        <f t="shared" si="21"/>
        <v>44652</v>
      </c>
      <c r="AC104" s="170">
        <f t="shared" si="21"/>
        <v>44682</v>
      </c>
      <c r="AD104" s="170">
        <f t="shared" si="21"/>
        <v>44713</v>
      </c>
      <c r="AE104" s="170">
        <f t="shared" si="21"/>
        <v>44743</v>
      </c>
      <c r="AF104" s="170">
        <f t="shared" si="21"/>
        <v>44774</v>
      </c>
      <c r="AG104" s="170">
        <f t="shared" si="21"/>
        <v>44805</v>
      </c>
      <c r="AH104" s="170">
        <f t="shared" si="21"/>
        <v>44835</v>
      </c>
      <c r="AI104" s="170">
        <f t="shared" si="21"/>
        <v>44866</v>
      </c>
      <c r="AJ104" s="170">
        <f t="shared" si="21"/>
        <v>44896</v>
      </c>
      <c r="AK104" s="170">
        <f t="shared" si="21"/>
        <v>44927</v>
      </c>
      <c r="AL104" s="170">
        <f t="shared" si="21"/>
        <v>44958</v>
      </c>
      <c r="AM104" s="170">
        <f t="shared" si="21"/>
        <v>44986</v>
      </c>
      <c r="AP104" s="170">
        <f>P104</f>
        <v>44287</v>
      </c>
      <c r="AQ104" s="170">
        <f>DATE(YEAR(AP104),MONTH(AP104)+1,1)</f>
        <v>44317</v>
      </c>
      <c r="AR104" s="170">
        <f t="shared" ref="AR104:BM104" si="22">DATE(YEAR(AQ104),MONTH(AQ104)+1,1)</f>
        <v>44348</v>
      </c>
      <c r="AS104" s="170">
        <f t="shared" si="22"/>
        <v>44378</v>
      </c>
      <c r="AT104" s="170">
        <f t="shared" si="22"/>
        <v>44409</v>
      </c>
      <c r="AU104" s="170">
        <f t="shared" si="22"/>
        <v>44440</v>
      </c>
      <c r="AV104" s="170">
        <f t="shared" si="22"/>
        <v>44470</v>
      </c>
      <c r="AW104" s="170">
        <f t="shared" si="22"/>
        <v>44501</v>
      </c>
      <c r="AX104" s="170">
        <f t="shared" si="22"/>
        <v>44531</v>
      </c>
      <c r="AY104" s="170">
        <f t="shared" si="22"/>
        <v>44562</v>
      </c>
      <c r="AZ104" s="170">
        <f t="shared" si="22"/>
        <v>44593</v>
      </c>
      <c r="BA104" s="170">
        <f t="shared" si="22"/>
        <v>44621</v>
      </c>
      <c r="BB104" s="170">
        <f t="shared" si="22"/>
        <v>44652</v>
      </c>
      <c r="BC104" s="170">
        <f t="shared" si="22"/>
        <v>44682</v>
      </c>
      <c r="BD104" s="170">
        <f t="shared" si="22"/>
        <v>44713</v>
      </c>
      <c r="BE104" s="170">
        <f t="shared" si="22"/>
        <v>44743</v>
      </c>
      <c r="BF104" s="170">
        <f t="shared" si="22"/>
        <v>44774</v>
      </c>
      <c r="BG104" s="170">
        <f t="shared" si="22"/>
        <v>44805</v>
      </c>
      <c r="BH104" s="170">
        <f t="shared" si="22"/>
        <v>44835</v>
      </c>
      <c r="BI104" s="170">
        <f t="shared" si="22"/>
        <v>44866</v>
      </c>
      <c r="BJ104" s="170">
        <f t="shared" si="22"/>
        <v>44896</v>
      </c>
      <c r="BK104" s="170">
        <f t="shared" si="22"/>
        <v>44927</v>
      </c>
      <c r="BL104" s="170">
        <f t="shared" si="22"/>
        <v>44958</v>
      </c>
      <c r="BM104" s="170">
        <f t="shared" si="22"/>
        <v>44986</v>
      </c>
    </row>
    <row r="105" spans="1:65" x14ac:dyDescent="0.25">
      <c r="A105" s="150">
        <v>1</v>
      </c>
      <c r="B105" s="151">
        <f>Dashboard!C$6</f>
        <v>44287</v>
      </c>
      <c r="C105" s="152">
        <f>SUMIFS('Supply planning data'!G:G,'Supply planning data'!D:D,"&lt;="&amp;DataViz!B105, 'Supply planning data'!C:C, Dashboard!$H$30)</f>
        <v>0</v>
      </c>
      <c r="D105" s="152">
        <f>SUMIFS('Supply planning data'!H:H,'Supply planning data'!D:D,"&lt;="&amp;DataViz!B105, 'Supply planning data'!C:C, Dashboard!$H$30)</f>
        <v>0</v>
      </c>
      <c r="E105" s="152">
        <f>SUMIFS('Supply planning data'!I:I,'Supply planning data'!D:D,"&lt;="&amp;DataViz!B105, 'Supply planning data'!C:C, Dashboard!$H$30)</f>
        <v>0</v>
      </c>
      <c r="F105" s="152">
        <f>SUMIFS('Supply planning data'!K:K,'Supply planning data'!D:D,"&lt;="&amp;DataViz!B105, 'Supply planning data'!C:C, Dashboard!$H$30)</f>
        <v>0</v>
      </c>
      <c r="G105" s="152">
        <f>SUMIFS('Supply planning data'!M:M,'Supply planning data'!D:D,"&lt;="&amp;DataViz!B105, 'Supply planning data'!C:C, Dashboard!$H$30)</f>
        <v>0</v>
      </c>
      <c r="J105" s="154"/>
      <c r="K105" s="155"/>
      <c r="O105" t="s">
        <v>213</v>
      </c>
      <c r="P105">
        <f>COUNTIFS('Supply planning data'!$N:$N,"&lt;&gt;", 'Supply planning data'!$O:$O,DataViz!$O105, 'Supply planning data'!$D:$D, DataViz!P$104)+COUNTIFS('Supply planning data'!$P:$P,"&lt;&gt;", 'Supply planning data'!$Q:$Q,DataViz!$O105, 'Supply planning data'!$D:$D, DataViz!P$104)</f>
        <v>0</v>
      </c>
      <c r="Q105">
        <f>COUNTIFS('Supply planning data'!$N:$N,"&lt;&gt;", 'Supply planning data'!$O:$O,DataViz!$O105, 'Supply planning data'!$D:$D, DataViz!Q$104)+COUNTIFS('Supply planning data'!$P:$P,"&lt;&gt;", 'Supply planning data'!$Q:$Q,DataViz!$O105, 'Supply planning data'!$D:$D, DataViz!Q$104)</f>
        <v>0</v>
      </c>
      <c r="R105">
        <f>COUNTIFS('Supply planning data'!$N:$N,"&lt;&gt;", 'Supply planning data'!$O:$O,DataViz!$O105, 'Supply planning data'!$D:$D, DataViz!R$104)+COUNTIFS('Supply planning data'!$P:$P,"&lt;&gt;", 'Supply planning data'!$Q:$Q,DataViz!$O105, 'Supply planning data'!$D:$D, DataViz!R$104)</f>
        <v>0</v>
      </c>
      <c r="S105">
        <f>COUNTIFS('Supply planning data'!$N:$N,"&lt;&gt;", 'Supply planning data'!$O:$O,DataViz!$O105, 'Supply planning data'!$D:$D, DataViz!S$104)+COUNTIFS('Supply planning data'!$P:$P,"&lt;&gt;", 'Supply planning data'!$Q:$Q,DataViz!$O105, 'Supply planning data'!$D:$D, DataViz!S$104)</f>
        <v>0</v>
      </c>
      <c r="T105">
        <f>COUNTIFS('Supply planning data'!$N:$N,"&lt;&gt;", 'Supply planning data'!$O:$O,DataViz!$O105, 'Supply planning data'!$D:$D, DataViz!T$104)+COUNTIFS('Supply planning data'!$P:$P,"&lt;&gt;", 'Supply planning data'!$Q:$Q,DataViz!$O105, 'Supply planning data'!$D:$D, DataViz!T$104)</f>
        <v>0</v>
      </c>
      <c r="U105">
        <f>COUNTIFS('Supply planning data'!$N:$N,"&lt;&gt;", 'Supply planning data'!$O:$O,DataViz!$O105, 'Supply planning data'!$D:$D, DataViz!U$104)+COUNTIFS('Supply planning data'!$P:$P,"&lt;&gt;", 'Supply planning data'!$Q:$Q,DataViz!$O105, 'Supply planning data'!$D:$D, DataViz!U$104)</f>
        <v>0</v>
      </c>
      <c r="V105">
        <f>COUNTIFS('Supply planning data'!$N:$N,"&lt;&gt;", 'Supply planning data'!$O:$O,DataViz!$O105, 'Supply planning data'!$D:$D, DataViz!V$104)+COUNTIFS('Supply planning data'!$P:$P,"&lt;&gt;", 'Supply planning data'!$Q:$Q,DataViz!$O105, 'Supply planning data'!$D:$D, DataViz!V$104)</f>
        <v>0</v>
      </c>
      <c r="W105">
        <f>COUNTIFS('Supply planning data'!$N:$N,"&lt;&gt;", 'Supply planning data'!$O:$O,DataViz!$O105, 'Supply planning data'!$D:$D, DataViz!W$104)+COUNTIFS('Supply planning data'!$P:$P,"&lt;&gt;", 'Supply planning data'!$Q:$Q,DataViz!$O105, 'Supply planning data'!$D:$D, DataViz!W$104)</f>
        <v>0</v>
      </c>
      <c r="X105">
        <f>COUNTIFS('Supply planning data'!$N:$N,"&lt;&gt;", 'Supply planning data'!$O:$O,DataViz!$O105, 'Supply planning data'!$D:$D, DataViz!X$104)+COUNTIFS('Supply planning data'!$P:$P,"&lt;&gt;", 'Supply planning data'!$Q:$Q,DataViz!$O105, 'Supply planning data'!$D:$D, DataViz!X$104)</f>
        <v>0</v>
      </c>
      <c r="Y105">
        <f>COUNTIFS('Supply planning data'!$N:$N,"&lt;&gt;", 'Supply planning data'!$O:$O,DataViz!$O105, 'Supply planning data'!$D:$D, DataViz!Y$104)+COUNTIFS('Supply planning data'!$P:$P,"&lt;&gt;", 'Supply planning data'!$Q:$Q,DataViz!$O105, 'Supply planning data'!$D:$D, DataViz!Y$104)</f>
        <v>0</v>
      </c>
      <c r="Z105">
        <f>COUNTIFS('Supply planning data'!$N:$N,"&lt;&gt;", 'Supply planning data'!$O:$O,DataViz!$O105, 'Supply planning data'!$D:$D, DataViz!Z$104)+COUNTIFS('Supply planning data'!$P:$P,"&lt;&gt;", 'Supply planning data'!$Q:$Q,DataViz!$O105, 'Supply planning data'!$D:$D, DataViz!Z$104)</f>
        <v>0</v>
      </c>
      <c r="AA105">
        <f>COUNTIFS('Supply planning data'!$N:$N,"&lt;&gt;", 'Supply planning data'!$O:$O,DataViz!$O105, 'Supply planning data'!$D:$D, DataViz!AA$104)+COUNTIFS('Supply planning data'!$P:$P,"&lt;&gt;", 'Supply planning data'!$Q:$Q,DataViz!$O105, 'Supply planning data'!$D:$D, DataViz!AA$104)</f>
        <v>0</v>
      </c>
      <c r="AB105">
        <f>COUNTIFS('Supply planning data'!$N:$N,"&lt;&gt;", 'Supply planning data'!$O:$O,DataViz!$O105, 'Supply planning data'!$D:$D, DataViz!AB$104)+COUNTIFS('Supply planning data'!$P:$P,"&lt;&gt;", 'Supply planning data'!$Q:$Q,DataViz!$O105, 'Supply planning data'!$D:$D, DataViz!AB$104)</f>
        <v>0</v>
      </c>
      <c r="AC105">
        <f>COUNTIFS('Supply planning data'!$N:$N,"&lt;&gt;", 'Supply planning data'!$O:$O,DataViz!$O105, 'Supply planning data'!$D:$D, DataViz!AC$104)+COUNTIFS('Supply planning data'!$P:$P,"&lt;&gt;", 'Supply planning data'!$Q:$Q,DataViz!$O105, 'Supply planning data'!$D:$D, DataViz!AC$104)</f>
        <v>0</v>
      </c>
      <c r="AD105">
        <f>COUNTIFS('Supply planning data'!$N:$N,"&lt;&gt;", 'Supply planning data'!$O:$O,DataViz!$O105, 'Supply planning data'!$D:$D, DataViz!AD$104)+COUNTIFS('Supply planning data'!$P:$P,"&lt;&gt;", 'Supply planning data'!$Q:$Q,DataViz!$O105, 'Supply planning data'!$D:$D, DataViz!AD$104)</f>
        <v>0</v>
      </c>
      <c r="AE105">
        <f>COUNTIFS('Supply planning data'!$N:$N,"&lt;&gt;", 'Supply planning data'!$O:$O,DataViz!$O105, 'Supply planning data'!$D:$D, DataViz!AE$104)+COUNTIFS('Supply planning data'!$P:$P,"&lt;&gt;", 'Supply planning data'!$Q:$Q,DataViz!$O105, 'Supply planning data'!$D:$D, DataViz!AE$104)</f>
        <v>0</v>
      </c>
      <c r="AF105">
        <f>COUNTIFS('Supply planning data'!$N:$N,"&lt;&gt;", 'Supply planning data'!$O:$O,DataViz!$O105, 'Supply planning data'!$D:$D, DataViz!AF$104)+COUNTIFS('Supply planning data'!$P:$P,"&lt;&gt;", 'Supply planning data'!$Q:$Q,DataViz!$O105, 'Supply planning data'!$D:$D, DataViz!AF$104)</f>
        <v>0</v>
      </c>
      <c r="AG105">
        <f>COUNTIFS('Supply planning data'!$N:$N,"&lt;&gt;", 'Supply planning data'!$O:$O,DataViz!$O105, 'Supply planning data'!$D:$D, DataViz!AG$104)+COUNTIFS('Supply planning data'!$P:$P,"&lt;&gt;", 'Supply planning data'!$Q:$Q,DataViz!$O105, 'Supply planning data'!$D:$D, DataViz!AG$104)</f>
        <v>0</v>
      </c>
      <c r="AH105">
        <f>COUNTIFS('Supply planning data'!$N:$N,"&lt;&gt;", 'Supply planning data'!$O:$O,DataViz!$O105, 'Supply planning data'!$D:$D, DataViz!AH$104)+COUNTIFS('Supply planning data'!$P:$P,"&lt;&gt;", 'Supply planning data'!$Q:$Q,DataViz!$O105, 'Supply planning data'!$D:$D, DataViz!AH$104)</f>
        <v>0</v>
      </c>
      <c r="AI105">
        <f>COUNTIFS('Supply planning data'!$N:$N,"&lt;&gt;", 'Supply planning data'!$O:$O,DataViz!$O105, 'Supply planning data'!$D:$D, DataViz!AI$104)+COUNTIFS('Supply planning data'!$P:$P,"&lt;&gt;", 'Supply planning data'!$Q:$Q,DataViz!$O105, 'Supply planning data'!$D:$D, DataViz!AI$104)</f>
        <v>0</v>
      </c>
      <c r="AJ105">
        <f>COUNTIFS('Supply planning data'!$N:$N,"&lt;&gt;", 'Supply planning data'!$O:$O,DataViz!$O105, 'Supply planning data'!$D:$D, DataViz!AJ$104)+COUNTIFS('Supply planning data'!$P:$P,"&lt;&gt;", 'Supply planning data'!$Q:$Q,DataViz!$O105, 'Supply planning data'!$D:$D, DataViz!AJ$104)</f>
        <v>0</v>
      </c>
      <c r="AK105">
        <f>COUNTIFS('Supply planning data'!$N:$N,"&lt;&gt;", 'Supply planning data'!$O:$O,DataViz!$O105, 'Supply planning data'!$D:$D, DataViz!AK$104)+COUNTIFS('Supply planning data'!$P:$P,"&lt;&gt;", 'Supply planning data'!$Q:$Q,DataViz!$O105, 'Supply planning data'!$D:$D, DataViz!AK$104)</f>
        <v>0</v>
      </c>
      <c r="AL105">
        <f>COUNTIFS('Supply planning data'!$N:$N,"&lt;&gt;", 'Supply planning data'!$O:$O,DataViz!$O105, 'Supply planning data'!$D:$D, DataViz!AL$104)+COUNTIFS('Supply planning data'!$P:$P,"&lt;&gt;", 'Supply planning data'!$Q:$Q,DataViz!$O105, 'Supply planning data'!$D:$D, DataViz!AL$104)</f>
        <v>0</v>
      </c>
      <c r="AM105">
        <f>COUNTIFS('Supply planning data'!$N:$N,"&lt;&gt;", 'Supply planning data'!$O:$O,DataViz!$O105, 'Supply planning data'!$D:$D, DataViz!AM$104)+COUNTIFS('Supply planning data'!$P:$P,"&lt;&gt;", 'Supply planning data'!$Q:$Q,DataViz!$O105, 'Supply planning data'!$D:$D, DataViz!AM$104)</f>
        <v>0</v>
      </c>
      <c r="AO105" t="s">
        <v>213</v>
      </c>
      <c r="AP105" s="41">
        <f>ABS(SUMIFS('Supply planning data'!$N:$N,'Supply planning data'!$O:$O,DataViz!$AO105,'Supply planning data'!$D:$D,DataViz!AP$104)+SUMIFS('Supply planning data'!$P:$P,'Supply planning data'!$Q:$Q,DataViz!$AO105,'Supply planning data'!$D:$D,DataViz!AP$104))</f>
        <v>0</v>
      </c>
      <c r="AQ105" s="41">
        <f>ABS(SUMIFS('Supply planning data'!$N:$N,'Supply planning data'!$O:$O,DataViz!$AO105,'Supply planning data'!$D:$D,DataViz!AQ$104)+SUMIFS('Supply planning data'!$P:$P,'Supply planning data'!$Q:$Q,DataViz!$AO105,'Supply planning data'!$D:$D,DataViz!AQ$104))</f>
        <v>0</v>
      </c>
      <c r="AR105" s="41">
        <f>ABS(SUMIFS('Supply planning data'!$N:$N,'Supply planning data'!$O:$O,DataViz!$AO105,'Supply planning data'!$D:$D,DataViz!AR$104)+SUMIFS('Supply planning data'!$P:$P,'Supply planning data'!$Q:$Q,DataViz!$AO105,'Supply planning data'!$D:$D,DataViz!AR$104))</f>
        <v>0</v>
      </c>
      <c r="AS105" s="41">
        <f>ABS(SUMIFS('Supply planning data'!$N:$N,'Supply planning data'!$O:$O,DataViz!$AO105,'Supply planning data'!$D:$D,DataViz!AS$104)+SUMIFS('Supply planning data'!$P:$P,'Supply planning data'!$Q:$Q,DataViz!$AO105,'Supply planning data'!$D:$D,DataViz!AS$104))</f>
        <v>0</v>
      </c>
      <c r="AT105" s="41">
        <f>ABS(SUMIFS('Supply planning data'!$N:$N,'Supply planning data'!$O:$O,DataViz!$AO105,'Supply planning data'!$D:$D,DataViz!AT$104)+SUMIFS('Supply planning data'!$P:$P,'Supply planning data'!$Q:$Q,DataViz!$AO105,'Supply planning data'!$D:$D,DataViz!AT$104))</f>
        <v>0</v>
      </c>
      <c r="AU105" s="41">
        <f>ABS(SUMIFS('Supply planning data'!$N:$N,'Supply planning data'!$O:$O,DataViz!$AO105,'Supply planning data'!$D:$D,DataViz!AU$104)+SUMIFS('Supply planning data'!$P:$P,'Supply planning data'!$Q:$Q,DataViz!$AO105,'Supply planning data'!$D:$D,DataViz!AU$104))</f>
        <v>0</v>
      </c>
      <c r="AV105" s="41">
        <f>ABS(SUMIFS('Supply planning data'!$N:$N,'Supply planning data'!$O:$O,DataViz!$AO105,'Supply planning data'!$D:$D,DataViz!AV$104)+SUMIFS('Supply planning data'!$P:$P,'Supply planning data'!$Q:$Q,DataViz!$AO105,'Supply planning data'!$D:$D,DataViz!AV$104))</f>
        <v>0</v>
      </c>
      <c r="AW105" s="41">
        <f>ABS(SUMIFS('Supply planning data'!$N:$N,'Supply planning data'!$O:$O,DataViz!$AO105,'Supply planning data'!$D:$D,DataViz!AW$104)+SUMIFS('Supply planning data'!$P:$P,'Supply planning data'!$Q:$Q,DataViz!$AO105,'Supply planning data'!$D:$D,DataViz!AW$104))</f>
        <v>0</v>
      </c>
      <c r="AX105" s="41">
        <f>ABS(SUMIFS('Supply planning data'!$N:$N,'Supply planning data'!$O:$O,DataViz!$AO105,'Supply planning data'!$D:$D,DataViz!AX$104)+SUMIFS('Supply planning data'!$P:$P,'Supply planning data'!$Q:$Q,DataViz!$AO105,'Supply planning data'!$D:$D,DataViz!AX$104))</f>
        <v>0</v>
      </c>
      <c r="AY105" s="41">
        <f>ABS(SUMIFS('Supply planning data'!$N:$N,'Supply planning data'!$O:$O,DataViz!$AO105,'Supply planning data'!$D:$D,DataViz!AY$104)+SUMIFS('Supply planning data'!$P:$P,'Supply planning data'!$Q:$Q,DataViz!$AO105,'Supply planning data'!$D:$D,DataViz!AY$104))</f>
        <v>0</v>
      </c>
      <c r="AZ105" s="41">
        <f>ABS(SUMIFS('Supply planning data'!$N:$N,'Supply planning data'!$O:$O,DataViz!$AO105,'Supply planning data'!$D:$D,DataViz!AZ$104)+SUMIFS('Supply planning data'!$P:$P,'Supply planning data'!$Q:$Q,DataViz!$AO105,'Supply planning data'!$D:$D,DataViz!AZ$104))</f>
        <v>0</v>
      </c>
      <c r="BA105" s="41">
        <f>ABS(SUMIFS('Supply planning data'!$N:$N,'Supply planning data'!$O:$O,DataViz!$AO105,'Supply planning data'!$D:$D,DataViz!BA$104)+SUMIFS('Supply planning data'!$P:$P,'Supply planning data'!$Q:$Q,DataViz!$AO105,'Supply planning data'!$D:$D,DataViz!BA$104))</f>
        <v>0</v>
      </c>
      <c r="BB105" s="41">
        <f>ABS(SUMIFS('Supply planning data'!$N:$N,'Supply planning data'!$O:$O,DataViz!$AO105,'Supply planning data'!$D:$D,DataViz!BB$104)+SUMIFS('Supply planning data'!$P:$P,'Supply planning data'!$Q:$Q,DataViz!$AO105,'Supply planning data'!$D:$D,DataViz!BB$104))</f>
        <v>0</v>
      </c>
      <c r="BC105" s="41">
        <f>ABS(SUMIFS('Supply planning data'!$N:$N,'Supply planning data'!$O:$O,DataViz!$AO105,'Supply planning data'!$D:$D,DataViz!BC$104)+SUMIFS('Supply planning data'!$P:$P,'Supply planning data'!$Q:$Q,DataViz!$AO105,'Supply planning data'!$D:$D,DataViz!BC$104))</f>
        <v>0</v>
      </c>
      <c r="BD105" s="41">
        <f>ABS(SUMIFS('Supply planning data'!$N:$N,'Supply planning data'!$O:$O,DataViz!$AO105,'Supply planning data'!$D:$D,DataViz!BD$104)+SUMIFS('Supply planning data'!$P:$P,'Supply planning data'!$Q:$Q,DataViz!$AO105,'Supply planning data'!$D:$D,DataViz!BD$104))</f>
        <v>0</v>
      </c>
      <c r="BE105" s="41">
        <f>ABS(SUMIFS('Supply planning data'!$N:$N,'Supply planning data'!$O:$O,DataViz!$AO105,'Supply planning data'!$D:$D,DataViz!BE$104)+SUMIFS('Supply planning data'!$P:$P,'Supply planning data'!$Q:$Q,DataViz!$AO105,'Supply planning data'!$D:$D,DataViz!BE$104))</f>
        <v>0</v>
      </c>
      <c r="BF105" s="41">
        <f>ABS(SUMIFS('Supply planning data'!$N:$N,'Supply planning data'!$O:$O,DataViz!$AO105,'Supply planning data'!$D:$D,DataViz!BF$104)+SUMIFS('Supply planning data'!$P:$P,'Supply planning data'!$Q:$Q,DataViz!$AO105,'Supply planning data'!$D:$D,DataViz!BF$104))</f>
        <v>0</v>
      </c>
      <c r="BG105" s="41">
        <f>ABS(SUMIFS('Supply planning data'!$N:$N,'Supply planning data'!$O:$O,DataViz!$AO105,'Supply planning data'!$D:$D,DataViz!BG$104)+SUMIFS('Supply planning data'!$P:$P,'Supply planning data'!$Q:$Q,DataViz!$AO105,'Supply planning data'!$D:$D,DataViz!BG$104))</f>
        <v>0</v>
      </c>
      <c r="BH105" s="41">
        <f>ABS(SUMIFS('Supply planning data'!$N:$N,'Supply planning data'!$O:$O,DataViz!$AO105,'Supply planning data'!$D:$D,DataViz!BH$104)+SUMIFS('Supply planning data'!$P:$P,'Supply planning data'!$Q:$Q,DataViz!$AO105,'Supply planning data'!$D:$D,DataViz!BH$104))</f>
        <v>0</v>
      </c>
      <c r="BI105" s="41">
        <f>ABS(SUMIFS('Supply planning data'!$N:$N,'Supply planning data'!$O:$O,DataViz!$AO105,'Supply planning data'!$D:$D,DataViz!BI$104)+SUMIFS('Supply planning data'!$P:$P,'Supply planning data'!$Q:$Q,DataViz!$AO105,'Supply planning data'!$D:$D,DataViz!BI$104))</f>
        <v>0</v>
      </c>
      <c r="BJ105" s="41">
        <f>ABS(SUMIFS('Supply planning data'!$N:$N,'Supply planning data'!$O:$O,DataViz!$AO105,'Supply planning data'!$D:$D,DataViz!BJ$104)+SUMIFS('Supply planning data'!$P:$P,'Supply planning data'!$Q:$Q,DataViz!$AO105,'Supply planning data'!$D:$D,DataViz!BJ$104))</f>
        <v>0</v>
      </c>
      <c r="BK105" s="41">
        <f>ABS(SUMIFS('Supply planning data'!$N:$N,'Supply planning data'!$O:$O,DataViz!$AO105,'Supply planning data'!$D:$D,DataViz!BK$104)+SUMIFS('Supply planning data'!$P:$P,'Supply planning data'!$Q:$Q,DataViz!$AO105,'Supply planning data'!$D:$D,DataViz!BK$104))</f>
        <v>0</v>
      </c>
      <c r="BL105" s="41">
        <f>ABS(SUMIFS('Supply planning data'!$N:$N,'Supply planning data'!$O:$O,DataViz!$AO105,'Supply planning data'!$D:$D,DataViz!BL$104)+SUMIFS('Supply planning data'!$P:$P,'Supply planning data'!$Q:$Q,DataViz!$AO105,'Supply planning data'!$D:$D,DataViz!BL$104))</f>
        <v>0</v>
      </c>
      <c r="BM105" s="41">
        <f>ABS(SUMIFS('Supply planning data'!$N:$N,'Supply planning data'!$O:$O,DataViz!$AO105,'Supply planning data'!$D:$D,DataViz!BM$104)+SUMIFS('Supply planning data'!$P:$P,'Supply planning data'!$Q:$Q,DataViz!$AO105,'Supply planning data'!$D:$D,DataViz!BM$104))</f>
        <v>0</v>
      </c>
    </row>
    <row r="106" spans="1:65" x14ac:dyDescent="0.25">
      <c r="A106" s="150">
        <v>2</v>
      </c>
      <c r="B106" s="151">
        <f>DATE(YEAR(B105),MONTH(B105)+1,1)</f>
        <v>44317</v>
      </c>
      <c r="C106" s="152">
        <f>SUMIFS('Supply planning data'!G:G,'Supply planning data'!D:D,"&lt;="&amp;DataViz!B106, 'Supply planning data'!C:C, Dashboard!$H$30)</f>
        <v>0</v>
      </c>
      <c r="D106" s="152">
        <f>SUMIFS('Supply planning data'!H:H,'Supply planning data'!D:D,"&lt;="&amp;DataViz!B106, 'Supply planning data'!C:C, Dashboard!$H$30)</f>
        <v>0</v>
      </c>
      <c r="E106" s="152">
        <f>SUMIFS('Supply planning data'!I:I,'Supply planning data'!D:D,"&lt;="&amp;DataViz!B106, 'Supply planning data'!C:C, Dashboard!$H$30)</f>
        <v>0</v>
      </c>
      <c r="F106" s="152">
        <f>SUMIFS('Supply planning data'!K:K,'Supply planning data'!D:D,"&lt;="&amp;DataViz!B106, 'Supply planning data'!C:C, Dashboard!$H$30)</f>
        <v>0</v>
      </c>
      <c r="G106" s="152">
        <f>SUMIFS('Supply planning data'!M:M,'Supply planning data'!D:D,"&lt;="&amp;DataViz!B106, 'Supply planning data'!C:C, Dashboard!$H$30)</f>
        <v>0</v>
      </c>
      <c r="J106" s="154"/>
      <c r="K106" s="155"/>
      <c r="O106" t="s">
        <v>214</v>
      </c>
      <c r="P106">
        <f>COUNTIFS('Supply planning data'!$N:$N,"&lt;&gt;", 'Supply planning data'!$O:$O,DataViz!$O106, 'Supply planning data'!$D:$D, DataViz!P$104)+COUNTIFS('Supply planning data'!$P:$P,"&lt;&gt;", 'Supply planning data'!$Q:$Q,DataViz!$O106, 'Supply planning data'!$D:$D, DataViz!P$104)</f>
        <v>0</v>
      </c>
      <c r="Q106">
        <f>COUNTIFS('Supply planning data'!$N:$N,"&lt;&gt;", 'Supply planning data'!$O:$O,DataViz!$O106, 'Supply planning data'!$D:$D, DataViz!Q$104)+COUNTIFS('Supply planning data'!$P:$P,"&lt;&gt;", 'Supply planning data'!$Q:$Q,DataViz!$O106, 'Supply planning data'!$D:$D, DataViz!Q$104)</f>
        <v>0</v>
      </c>
      <c r="R106">
        <f>COUNTIFS('Supply planning data'!$N:$N,"&lt;&gt;", 'Supply planning data'!$O:$O,DataViz!$O106, 'Supply planning data'!$D:$D, DataViz!R$104)+COUNTIFS('Supply planning data'!$P:$P,"&lt;&gt;", 'Supply planning data'!$Q:$Q,DataViz!$O106, 'Supply planning data'!$D:$D, DataViz!R$104)</f>
        <v>0</v>
      </c>
      <c r="S106">
        <f>COUNTIFS('Supply planning data'!$N:$N,"&lt;&gt;", 'Supply planning data'!$O:$O,DataViz!$O106, 'Supply planning data'!$D:$D, DataViz!S$104)+COUNTIFS('Supply planning data'!$P:$P,"&lt;&gt;", 'Supply planning data'!$Q:$Q,DataViz!$O106, 'Supply planning data'!$D:$D, DataViz!S$104)</f>
        <v>0</v>
      </c>
      <c r="T106">
        <f>COUNTIFS('Supply planning data'!$N:$N,"&lt;&gt;", 'Supply planning data'!$O:$O,DataViz!$O106, 'Supply planning data'!$D:$D, DataViz!T$104)+COUNTIFS('Supply planning data'!$P:$P,"&lt;&gt;", 'Supply planning data'!$Q:$Q,DataViz!$O106, 'Supply planning data'!$D:$D, DataViz!T$104)</f>
        <v>0</v>
      </c>
      <c r="U106">
        <f>COUNTIFS('Supply planning data'!$N:$N,"&lt;&gt;", 'Supply planning data'!$O:$O,DataViz!$O106, 'Supply planning data'!$D:$D, DataViz!U$104)+COUNTIFS('Supply planning data'!$P:$P,"&lt;&gt;", 'Supply planning data'!$Q:$Q,DataViz!$O106, 'Supply planning data'!$D:$D, DataViz!U$104)</f>
        <v>0</v>
      </c>
      <c r="V106">
        <f>COUNTIFS('Supply planning data'!$N:$N,"&lt;&gt;", 'Supply planning data'!$O:$O,DataViz!$O106, 'Supply planning data'!$D:$D, DataViz!V$104)+COUNTIFS('Supply planning data'!$P:$P,"&lt;&gt;", 'Supply planning data'!$Q:$Q,DataViz!$O106, 'Supply planning data'!$D:$D, DataViz!V$104)</f>
        <v>0</v>
      </c>
      <c r="W106">
        <f>COUNTIFS('Supply planning data'!$N:$N,"&lt;&gt;", 'Supply planning data'!$O:$O,DataViz!$O106, 'Supply planning data'!$D:$D, DataViz!W$104)+COUNTIFS('Supply planning data'!$P:$P,"&lt;&gt;", 'Supply planning data'!$Q:$Q,DataViz!$O106, 'Supply planning data'!$D:$D, DataViz!W$104)</f>
        <v>0</v>
      </c>
      <c r="X106">
        <f>COUNTIFS('Supply planning data'!$N:$N,"&lt;&gt;", 'Supply planning data'!$O:$O,DataViz!$O106, 'Supply planning data'!$D:$D, DataViz!X$104)+COUNTIFS('Supply planning data'!$P:$P,"&lt;&gt;", 'Supply planning data'!$Q:$Q,DataViz!$O106, 'Supply planning data'!$D:$D, DataViz!X$104)</f>
        <v>0</v>
      </c>
      <c r="Y106">
        <f>COUNTIFS('Supply planning data'!$N:$N,"&lt;&gt;", 'Supply planning data'!$O:$O,DataViz!$O106, 'Supply planning data'!$D:$D, DataViz!Y$104)+COUNTIFS('Supply planning data'!$P:$P,"&lt;&gt;", 'Supply planning data'!$Q:$Q,DataViz!$O106, 'Supply planning data'!$D:$D, DataViz!Y$104)</f>
        <v>0</v>
      </c>
      <c r="Z106">
        <f>COUNTIFS('Supply planning data'!$N:$N,"&lt;&gt;", 'Supply planning data'!$O:$O,DataViz!$O106, 'Supply planning data'!$D:$D, DataViz!Z$104)+COUNTIFS('Supply planning data'!$P:$P,"&lt;&gt;", 'Supply planning data'!$Q:$Q,DataViz!$O106, 'Supply planning data'!$D:$D, DataViz!Z$104)</f>
        <v>0</v>
      </c>
      <c r="AA106">
        <f>COUNTIFS('Supply planning data'!$N:$N,"&lt;&gt;", 'Supply planning data'!$O:$O,DataViz!$O106, 'Supply planning data'!$D:$D, DataViz!AA$104)+COUNTIFS('Supply planning data'!$P:$P,"&lt;&gt;", 'Supply planning data'!$Q:$Q,DataViz!$O106, 'Supply planning data'!$D:$D, DataViz!AA$104)</f>
        <v>0</v>
      </c>
      <c r="AB106">
        <f>COUNTIFS('Supply planning data'!$N:$N,"&lt;&gt;", 'Supply planning data'!$O:$O,DataViz!$O106, 'Supply planning data'!$D:$D, DataViz!AB$104)+COUNTIFS('Supply planning data'!$P:$P,"&lt;&gt;", 'Supply planning data'!$Q:$Q,DataViz!$O106, 'Supply planning data'!$D:$D, DataViz!AB$104)</f>
        <v>0</v>
      </c>
      <c r="AC106">
        <f>COUNTIFS('Supply planning data'!$N:$N,"&lt;&gt;", 'Supply planning data'!$O:$O,DataViz!$O106, 'Supply planning data'!$D:$D, DataViz!AC$104)+COUNTIFS('Supply planning data'!$P:$P,"&lt;&gt;", 'Supply planning data'!$Q:$Q,DataViz!$O106, 'Supply planning data'!$D:$D, DataViz!AC$104)</f>
        <v>0</v>
      </c>
      <c r="AD106">
        <f>COUNTIFS('Supply planning data'!$N:$N,"&lt;&gt;", 'Supply planning data'!$O:$O,DataViz!$O106, 'Supply planning data'!$D:$D, DataViz!AD$104)+COUNTIFS('Supply planning data'!$P:$P,"&lt;&gt;", 'Supply planning data'!$Q:$Q,DataViz!$O106, 'Supply planning data'!$D:$D, DataViz!AD$104)</f>
        <v>0</v>
      </c>
      <c r="AE106">
        <f>COUNTIFS('Supply planning data'!$N:$N,"&lt;&gt;", 'Supply planning data'!$O:$O,DataViz!$O106, 'Supply planning data'!$D:$D, DataViz!AE$104)+COUNTIFS('Supply planning data'!$P:$P,"&lt;&gt;", 'Supply planning data'!$Q:$Q,DataViz!$O106, 'Supply planning data'!$D:$D, DataViz!AE$104)</f>
        <v>0</v>
      </c>
      <c r="AF106">
        <f>COUNTIFS('Supply planning data'!$N:$N,"&lt;&gt;", 'Supply planning data'!$O:$O,DataViz!$O106, 'Supply planning data'!$D:$D, DataViz!AF$104)+COUNTIFS('Supply planning data'!$P:$P,"&lt;&gt;", 'Supply planning data'!$Q:$Q,DataViz!$O106, 'Supply planning data'!$D:$D, DataViz!AF$104)</f>
        <v>0</v>
      </c>
      <c r="AG106">
        <f>COUNTIFS('Supply planning data'!$N:$N,"&lt;&gt;", 'Supply planning data'!$O:$O,DataViz!$O106, 'Supply planning data'!$D:$D, DataViz!AG$104)+COUNTIFS('Supply planning data'!$P:$P,"&lt;&gt;", 'Supply planning data'!$Q:$Q,DataViz!$O106, 'Supply planning data'!$D:$D, DataViz!AG$104)</f>
        <v>0</v>
      </c>
      <c r="AH106">
        <f>COUNTIFS('Supply planning data'!$N:$N,"&lt;&gt;", 'Supply planning data'!$O:$O,DataViz!$O106, 'Supply planning data'!$D:$D, DataViz!AH$104)+COUNTIFS('Supply planning data'!$P:$P,"&lt;&gt;", 'Supply planning data'!$Q:$Q,DataViz!$O106, 'Supply planning data'!$D:$D, DataViz!AH$104)</f>
        <v>0</v>
      </c>
      <c r="AI106">
        <f>COUNTIFS('Supply planning data'!$N:$N,"&lt;&gt;", 'Supply planning data'!$O:$O,DataViz!$O106, 'Supply planning data'!$D:$D, DataViz!AI$104)+COUNTIFS('Supply planning data'!$P:$P,"&lt;&gt;", 'Supply planning data'!$Q:$Q,DataViz!$O106, 'Supply planning data'!$D:$D, DataViz!AI$104)</f>
        <v>0</v>
      </c>
      <c r="AJ106">
        <f>COUNTIFS('Supply planning data'!$N:$N,"&lt;&gt;", 'Supply planning data'!$O:$O,DataViz!$O106, 'Supply planning data'!$D:$D, DataViz!AJ$104)+COUNTIFS('Supply planning data'!$P:$P,"&lt;&gt;", 'Supply planning data'!$Q:$Q,DataViz!$O106, 'Supply planning data'!$D:$D, DataViz!AJ$104)</f>
        <v>0</v>
      </c>
      <c r="AK106">
        <f>COUNTIFS('Supply planning data'!$N:$N,"&lt;&gt;", 'Supply planning data'!$O:$O,DataViz!$O106, 'Supply planning data'!$D:$D, DataViz!AK$104)+COUNTIFS('Supply planning data'!$P:$P,"&lt;&gt;", 'Supply planning data'!$Q:$Q,DataViz!$O106, 'Supply planning data'!$D:$D, DataViz!AK$104)</f>
        <v>0</v>
      </c>
      <c r="AL106">
        <f>COUNTIFS('Supply planning data'!$N:$N,"&lt;&gt;", 'Supply planning data'!$O:$O,DataViz!$O106, 'Supply planning data'!$D:$D, DataViz!AL$104)+COUNTIFS('Supply planning data'!$P:$P,"&lt;&gt;", 'Supply planning data'!$Q:$Q,DataViz!$O106, 'Supply planning data'!$D:$D, DataViz!AL$104)</f>
        <v>0</v>
      </c>
      <c r="AM106">
        <f>COUNTIFS('Supply planning data'!$N:$N,"&lt;&gt;", 'Supply planning data'!$O:$O,DataViz!$O106, 'Supply planning data'!$D:$D, DataViz!AM$104)+COUNTIFS('Supply planning data'!$P:$P,"&lt;&gt;", 'Supply planning data'!$Q:$Q,DataViz!$O106, 'Supply planning data'!$D:$D, DataViz!AM$104)</f>
        <v>0</v>
      </c>
      <c r="AO106" t="s">
        <v>214</v>
      </c>
      <c r="AP106" s="41">
        <f>ABS(SUMIFS('Supply planning data'!$N:$N,'Supply planning data'!$O:$O,DataViz!$AO106,'Supply planning data'!$D:$D,DataViz!AP$104)+SUMIFS('Supply planning data'!$P:$P,'Supply planning data'!$Q:$Q,DataViz!$AO106,'Supply planning data'!$D:$D,DataViz!AP$104))</f>
        <v>0</v>
      </c>
      <c r="AQ106" s="41">
        <f>ABS(SUMIFS('Supply planning data'!$N:$N,'Supply planning data'!$O:$O,DataViz!$AO106,'Supply planning data'!$D:$D,DataViz!AQ$104)+SUMIFS('Supply planning data'!$P:$P,'Supply planning data'!$Q:$Q,DataViz!$AO106,'Supply planning data'!$D:$D,DataViz!AQ$104))</f>
        <v>0</v>
      </c>
      <c r="AR106" s="41">
        <f>ABS(SUMIFS('Supply planning data'!$N:$N,'Supply planning data'!$O:$O,DataViz!$AO106,'Supply planning data'!$D:$D,DataViz!AR$104)+SUMIFS('Supply planning data'!$P:$P,'Supply planning data'!$Q:$Q,DataViz!$AO106,'Supply planning data'!$D:$D,DataViz!AR$104))</f>
        <v>0</v>
      </c>
      <c r="AS106" s="41">
        <f>ABS(SUMIFS('Supply planning data'!$N:$N,'Supply planning data'!$O:$O,DataViz!$AO106,'Supply planning data'!$D:$D,DataViz!AS$104)+SUMIFS('Supply planning data'!$P:$P,'Supply planning data'!$Q:$Q,DataViz!$AO106,'Supply planning data'!$D:$D,DataViz!AS$104))</f>
        <v>0</v>
      </c>
      <c r="AT106" s="41">
        <f>ABS(SUMIFS('Supply planning data'!$N:$N,'Supply planning data'!$O:$O,DataViz!$AO106,'Supply planning data'!$D:$D,DataViz!AT$104)+SUMIFS('Supply planning data'!$P:$P,'Supply planning data'!$Q:$Q,DataViz!$AO106,'Supply planning data'!$D:$D,DataViz!AT$104))</f>
        <v>0</v>
      </c>
      <c r="AU106" s="41">
        <f>ABS(SUMIFS('Supply planning data'!$N:$N,'Supply planning data'!$O:$O,DataViz!$AO106,'Supply planning data'!$D:$D,DataViz!AU$104)+SUMIFS('Supply planning data'!$P:$P,'Supply planning data'!$Q:$Q,DataViz!$AO106,'Supply planning data'!$D:$D,DataViz!AU$104))</f>
        <v>0</v>
      </c>
      <c r="AV106" s="41">
        <f>ABS(SUMIFS('Supply planning data'!$N:$N,'Supply planning data'!$O:$O,DataViz!$AO106,'Supply planning data'!$D:$D,DataViz!AV$104)+SUMIFS('Supply planning data'!$P:$P,'Supply planning data'!$Q:$Q,DataViz!$AO106,'Supply planning data'!$D:$D,DataViz!AV$104))</f>
        <v>0</v>
      </c>
      <c r="AW106" s="41">
        <f>ABS(SUMIFS('Supply planning data'!$N:$N,'Supply planning data'!$O:$O,DataViz!$AO106,'Supply planning data'!$D:$D,DataViz!AW$104)+SUMIFS('Supply planning data'!$P:$P,'Supply planning data'!$Q:$Q,DataViz!$AO106,'Supply planning data'!$D:$D,DataViz!AW$104))</f>
        <v>0</v>
      </c>
      <c r="AX106" s="41">
        <f>ABS(SUMIFS('Supply planning data'!$N:$N,'Supply planning data'!$O:$O,DataViz!$AO106,'Supply planning data'!$D:$D,DataViz!AX$104)+SUMIFS('Supply planning data'!$P:$P,'Supply planning data'!$Q:$Q,DataViz!$AO106,'Supply planning data'!$D:$D,DataViz!AX$104))</f>
        <v>0</v>
      </c>
      <c r="AY106" s="41">
        <f>ABS(SUMIFS('Supply planning data'!$N:$N,'Supply planning data'!$O:$O,DataViz!$AO106,'Supply planning data'!$D:$D,DataViz!AY$104)+SUMIFS('Supply planning data'!$P:$P,'Supply planning data'!$Q:$Q,DataViz!$AO106,'Supply planning data'!$D:$D,DataViz!AY$104))</f>
        <v>0</v>
      </c>
      <c r="AZ106" s="41">
        <f>ABS(SUMIFS('Supply planning data'!$N:$N,'Supply planning data'!$O:$O,DataViz!$AO106,'Supply planning data'!$D:$D,DataViz!AZ$104)+SUMIFS('Supply planning data'!$P:$P,'Supply planning data'!$Q:$Q,DataViz!$AO106,'Supply planning data'!$D:$D,DataViz!AZ$104))</f>
        <v>0</v>
      </c>
      <c r="BA106" s="41">
        <f>ABS(SUMIFS('Supply planning data'!$N:$N,'Supply planning data'!$O:$O,DataViz!$AO106,'Supply planning data'!$D:$D,DataViz!BA$104)+SUMIFS('Supply planning data'!$P:$P,'Supply planning data'!$Q:$Q,DataViz!$AO106,'Supply planning data'!$D:$D,DataViz!BA$104))</f>
        <v>0</v>
      </c>
      <c r="BB106" s="41">
        <f>ABS(SUMIFS('Supply planning data'!$N:$N,'Supply planning data'!$O:$O,DataViz!$AO106,'Supply planning data'!$D:$D,DataViz!BB$104)+SUMIFS('Supply planning data'!$P:$P,'Supply planning data'!$Q:$Q,DataViz!$AO106,'Supply planning data'!$D:$D,DataViz!BB$104))</f>
        <v>0</v>
      </c>
      <c r="BC106" s="41">
        <f>ABS(SUMIFS('Supply planning data'!$N:$N,'Supply planning data'!$O:$O,DataViz!$AO106,'Supply planning data'!$D:$D,DataViz!BC$104)+SUMIFS('Supply planning data'!$P:$P,'Supply planning data'!$Q:$Q,DataViz!$AO106,'Supply planning data'!$D:$D,DataViz!BC$104))</f>
        <v>0</v>
      </c>
      <c r="BD106" s="41">
        <f>ABS(SUMIFS('Supply planning data'!$N:$N,'Supply planning data'!$O:$O,DataViz!$AO106,'Supply planning data'!$D:$D,DataViz!BD$104)+SUMIFS('Supply planning data'!$P:$P,'Supply planning data'!$Q:$Q,DataViz!$AO106,'Supply planning data'!$D:$D,DataViz!BD$104))</f>
        <v>0</v>
      </c>
      <c r="BE106" s="41">
        <f>ABS(SUMIFS('Supply planning data'!$N:$N,'Supply planning data'!$O:$O,DataViz!$AO106,'Supply planning data'!$D:$D,DataViz!BE$104)+SUMIFS('Supply planning data'!$P:$P,'Supply planning data'!$Q:$Q,DataViz!$AO106,'Supply planning data'!$D:$D,DataViz!BE$104))</f>
        <v>0</v>
      </c>
      <c r="BF106" s="41">
        <f>ABS(SUMIFS('Supply planning data'!$N:$N,'Supply planning data'!$O:$O,DataViz!$AO106,'Supply planning data'!$D:$D,DataViz!BF$104)+SUMIFS('Supply planning data'!$P:$P,'Supply planning data'!$Q:$Q,DataViz!$AO106,'Supply planning data'!$D:$D,DataViz!BF$104))</f>
        <v>0</v>
      </c>
      <c r="BG106" s="41">
        <f>ABS(SUMIFS('Supply planning data'!$N:$N,'Supply planning data'!$O:$O,DataViz!$AO106,'Supply planning data'!$D:$D,DataViz!BG$104)+SUMIFS('Supply planning data'!$P:$P,'Supply planning data'!$Q:$Q,DataViz!$AO106,'Supply planning data'!$D:$D,DataViz!BG$104))</f>
        <v>0</v>
      </c>
      <c r="BH106" s="41">
        <f>ABS(SUMIFS('Supply planning data'!$N:$N,'Supply planning data'!$O:$O,DataViz!$AO106,'Supply planning data'!$D:$D,DataViz!BH$104)+SUMIFS('Supply planning data'!$P:$P,'Supply planning data'!$Q:$Q,DataViz!$AO106,'Supply planning data'!$D:$D,DataViz!BH$104))</f>
        <v>0</v>
      </c>
      <c r="BI106" s="41">
        <f>ABS(SUMIFS('Supply planning data'!$N:$N,'Supply planning data'!$O:$O,DataViz!$AO106,'Supply planning data'!$D:$D,DataViz!BI$104)+SUMIFS('Supply planning data'!$P:$P,'Supply planning data'!$Q:$Q,DataViz!$AO106,'Supply planning data'!$D:$D,DataViz!BI$104))</f>
        <v>0</v>
      </c>
      <c r="BJ106" s="41">
        <f>ABS(SUMIFS('Supply planning data'!$N:$N,'Supply planning data'!$O:$O,DataViz!$AO106,'Supply planning data'!$D:$D,DataViz!BJ$104)+SUMIFS('Supply planning data'!$P:$P,'Supply planning data'!$Q:$Q,DataViz!$AO106,'Supply planning data'!$D:$D,DataViz!BJ$104))</f>
        <v>0</v>
      </c>
      <c r="BK106" s="41">
        <f>ABS(SUMIFS('Supply planning data'!$N:$N,'Supply planning data'!$O:$O,DataViz!$AO106,'Supply planning data'!$D:$D,DataViz!BK$104)+SUMIFS('Supply planning data'!$P:$P,'Supply planning data'!$Q:$Q,DataViz!$AO106,'Supply planning data'!$D:$D,DataViz!BK$104))</f>
        <v>0</v>
      </c>
      <c r="BL106" s="41">
        <f>ABS(SUMIFS('Supply planning data'!$N:$N,'Supply planning data'!$O:$O,DataViz!$AO106,'Supply planning data'!$D:$D,DataViz!BL$104)+SUMIFS('Supply planning data'!$P:$P,'Supply planning data'!$Q:$Q,DataViz!$AO106,'Supply planning data'!$D:$D,DataViz!BL$104))</f>
        <v>0</v>
      </c>
      <c r="BM106" s="41">
        <f>ABS(SUMIFS('Supply planning data'!$N:$N,'Supply planning data'!$O:$O,DataViz!$AO106,'Supply planning data'!$D:$D,DataViz!BM$104)+SUMIFS('Supply planning data'!$P:$P,'Supply planning data'!$Q:$Q,DataViz!$AO106,'Supply planning data'!$D:$D,DataViz!BM$104))</f>
        <v>0</v>
      </c>
    </row>
    <row r="107" spans="1:65" x14ac:dyDescent="0.25">
      <c r="A107" s="150">
        <v>3</v>
      </c>
      <c r="B107" s="151">
        <f t="shared" ref="B107:B128" si="23">DATE(YEAR(B106),MONTH(B106)+1,1)</f>
        <v>44348</v>
      </c>
      <c r="C107" s="152">
        <f>SUMIFS('Supply planning data'!G:G,'Supply planning data'!D:D,"&lt;="&amp;DataViz!B107, 'Supply planning data'!C:C, Dashboard!$H$30)</f>
        <v>0</v>
      </c>
      <c r="D107" s="152">
        <f>SUMIFS('Supply planning data'!H:H,'Supply planning data'!D:D,"&lt;="&amp;DataViz!B107, 'Supply planning data'!C:C, Dashboard!$H$30)</f>
        <v>0</v>
      </c>
      <c r="E107" s="152">
        <f>SUMIFS('Supply planning data'!I:I,'Supply planning data'!D:D,"&lt;="&amp;DataViz!B107, 'Supply planning data'!C:C, Dashboard!$H$30)</f>
        <v>0</v>
      </c>
      <c r="F107" s="152">
        <f>SUMIFS('Supply planning data'!K:K,'Supply planning data'!D:D,"&lt;="&amp;DataViz!B107, 'Supply planning data'!C:C, Dashboard!$H$30)</f>
        <v>0</v>
      </c>
      <c r="G107" s="152">
        <f>SUMIFS('Supply planning data'!M:M,'Supply planning data'!D:D,"&lt;="&amp;DataViz!B107, 'Supply planning data'!C:C, Dashboard!$H$30)</f>
        <v>0</v>
      </c>
      <c r="J107" s="154"/>
      <c r="K107" s="155"/>
      <c r="O107" t="s">
        <v>130</v>
      </c>
      <c r="P107">
        <f>COUNTIFS('Supply planning data'!$N:$N,"&lt;&gt;", 'Supply planning data'!$O:$O,DataViz!$O107, 'Supply planning data'!$D:$D, DataViz!P$104)+COUNTIFS('Supply planning data'!$P:$P,"&lt;&gt;", 'Supply planning data'!$Q:$Q,DataViz!$O107, 'Supply planning data'!$D:$D, DataViz!P$104)</f>
        <v>0</v>
      </c>
      <c r="Q107">
        <f>COUNTIFS('Supply planning data'!$N:$N,"&lt;&gt;", 'Supply planning data'!$O:$O,DataViz!$O107, 'Supply planning data'!$D:$D, DataViz!Q$104)+COUNTIFS('Supply planning data'!$P:$P,"&lt;&gt;", 'Supply planning data'!$Q:$Q,DataViz!$O107, 'Supply planning data'!$D:$D, DataViz!Q$104)</f>
        <v>0</v>
      </c>
      <c r="R107">
        <f>COUNTIFS('Supply planning data'!$N:$N,"&lt;&gt;", 'Supply planning data'!$O:$O,DataViz!$O107, 'Supply planning data'!$D:$D, DataViz!R$104)+COUNTIFS('Supply planning data'!$P:$P,"&lt;&gt;", 'Supply planning data'!$Q:$Q,DataViz!$O107, 'Supply planning data'!$D:$D, DataViz!R$104)</f>
        <v>0</v>
      </c>
      <c r="S107">
        <f>COUNTIFS('Supply planning data'!$N:$N,"&lt;&gt;", 'Supply planning data'!$O:$O,DataViz!$O107, 'Supply planning data'!$D:$D, DataViz!S$104)+COUNTIFS('Supply planning data'!$P:$P,"&lt;&gt;", 'Supply planning data'!$Q:$Q,DataViz!$O107, 'Supply planning data'!$D:$D, DataViz!S$104)</f>
        <v>0</v>
      </c>
      <c r="T107">
        <f>COUNTIFS('Supply planning data'!$N:$N,"&lt;&gt;", 'Supply planning data'!$O:$O,DataViz!$O107, 'Supply planning data'!$D:$D, DataViz!T$104)+COUNTIFS('Supply planning data'!$P:$P,"&lt;&gt;", 'Supply planning data'!$Q:$Q,DataViz!$O107, 'Supply planning data'!$D:$D, DataViz!T$104)</f>
        <v>1</v>
      </c>
      <c r="U107">
        <f>COUNTIFS('Supply planning data'!$N:$N,"&lt;&gt;", 'Supply planning data'!$O:$O,DataViz!$O107, 'Supply planning data'!$D:$D, DataViz!U$104)+COUNTIFS('Supply planning data'!$P:$P,"&lt;&gt;", 'Supply planning data'!$Q:$Q,DataViz!$O107, 'Supply planning data'!$D:$D, DataViz!U$104)</f>
        <v>0</v>
      </c>
      <c r="V107">
        <f>COUNTIFS('Supply planning data'!$N:$N,"&lt;&gt;", 'Supply planning data'!$O:$O,DataViz!$O107, 'Supply planning data'!$D:$D, DataViz!V$104)+COUNTIFS('Supply planning data'!$P:$P,"&lt;&gt;", 'Supply planning data'!$Q:$Q,DataViz!$O107, 'Supply planning data'!$D:$D, DataViz!V$104)</f>
        <v>0</v>
      </c>
      <c r="W107">
        <f>COUNTIFS('Supply planning data'!$N:$N,"&lt;&gt;", 'Supply planning data'!$O:$O,DataViz!$O107, 'Supply planning data'!$D:$D, DataViz!W$104)+COUNTIFS('Supply planning data'!$P:$P,"&lt;&gt;", 'Supply planning data'!$Q:$Q,DataViz!$O107, 'Supply planning data'!$D:$D, DataViz!W$104)</f>
        <v>0</v>
      </c>
      <c r="X107">
        <f>COUNTIFS('Supply planning data'!$N:$N,"&lt;&gt;", 'Supply planning data'!$O:$O,DataViz!$O107, 'Supply planning data'!$D:$D, DataViz!X$104)+COUNTIFS('Supply planning data'!$P:$P,"&lt;&gt;", 'Supply planning data'!$Q:$Q,DataViz!$O107, 'Supply planning data'!$D:$D, DataViz!X$104)</f>
        <v>0</v>
      </c>
      <c r="Y107">
        <f>COUNTIFS('Supply planning data'!$N:$N,"&lt;&gt;", 'Supply planning data'!$O:$O,DataViz!$O107, 'Supply planning data'!$D:$D, DataViz!Y$104)+COUNTIFS('Supply planning data'!$P:$P,"&lt;&gt;", 'Supply planning data'!$Q:$Q,DataViz!$O107, 'Supply planning data'!$D:$D, DataViz!Y$104)</f>
        <v>0</v>
      </c>
      <c r="Z107">
        <f>COUNTIFS('Supply planning data'!$N:$N,"&lt;&gt;", 'Supply planning data'!$O:$O,DataViz!$O107, 'Supply planning data'!$D:$D, DataViz!Z$104)+COUNTIFS('Supply planning data'!$P:$P,"&lt;&gt;", 'Supply planning data'!$Q:$Q,DataViz!$O107, 'Supply planning data'!$D:$D, DataViz!Z$104)</f>
        <v>1</v>
      </c>
      <c r="AA107">
        <f>COUNTIFS('Supply planning data'!$N:$N,"&lt;&gt;", 'Supply planning data'!$O:$O,DataViz!$O107, 'Supply planning data'!$D:$D, DataViz!AA$104)+COUNTIFS('Supply planning data'!$P:$P,"&lt;&gt;", 'Supply planning data'!$Q:$Q,DataViz!$O107, 'Supply planning data'!$D:$D, DataViz!AA$104)</f>
        <v>0</v>
      </c>
      <c r="AB107">
        <f>COUNTIFS('Supply planning data'!$N:$N,"&lt;&gt;", 'Supply planning data'!$O:$O,DataViz!$O107, 'Supply planning data'!$D:$D, DataViz!AB$104)+COUNTIFS('Supply planning data'!$P:$P,"&lt;&gt;", 'Supply planning data'!$Q:$Q,DataViz!$O107, 'Supply planning data'!$D:$D, DataViz!AB$104)</f>
        <v>0</v>
      </c>
      <c r="AC107">
        <f>COUNTIFS('Supply planning data'!$N:$N,"&lt;&gt;", 'Supply planning data'!$O:$O,DataViz!$O107, 'Supply planning data'!$D:$D, DataViz!AC$104)+COUNTIFS('Supply planning data'!$P:$P,"&lt;&gt;", 'Supply planning data'!$Q:$Q,DataViz!$O107, 'Supply planning data'!$D:$D, DataViz!AC$104)</f>
        <v>0</v>
      </c>
      <c r="AD107">
        <f>COUNTIFS('Supply planning data'!$N:$N,"&lt;&gt;", 'Supply planning data'!$O:$O,DataViz!$O107, 'Supply planning data'!$D:$D, DataViz!AD$104)+COUNTIFS('Supply planning data'!$P:$P,"&lt;&gt;", 'Supply planning data'!$Q:$Q,DataViz!$O107, 'Supply planning data'!$D:$D, DataViz!AD$104)</f>
        <v>0</v>
      </c>
      <c r="AE107">
        <f>COUNTIFS('Supply planning data'!$N:$N,"&lt;&gt;", 'Supply planning data'!$O:$O,DataViz!$O107, 'Supply planning data'!$D:$D, DataViz!AE$104)+COUNTIFS('Supply planning data'!$P:$P,"&lt;&gt;", 'Supply planning data'!$Q:$Q,DataViz!$O107, 'Supply planning data'!$D:$D, DataViz!AE$104)</f>
        <v>0</v>
      </c>
      <c r="AF107">
        <f>COUNTIFS('Supply planning data'!$N:$N,"&lt;&gt;", 'Supply planning data'!$O:$O,DataViz!$O107, 'Supply planning data'!$D:$D, DataViz!AF$104)+COUNTIFS('Supply planning data'!$P:$P,"&lt;&gt;", 'Supply planning data'!$Q:$Q,DataViz!$O107, 'Supply planning data'!$D:$D, DataViz!AF$104)</f>
        <v>0</v>
      </c>
      <c r="AG107">
        <f>COUNTIFS('Supply planning data'!$N:$N,"&lt;&gt;", 'Supply planning data'!$O:$O,DataViz!$O107, 'Supply planning data'!$D:$D, DataViz!AG$104)+COUNTIFS('Supply planning data'!$P:$P,"&lt;&gt;", 'Supply planning data'!$Q:$Q,DataViz!$O107, 'Supply planning data'!$D:$D, DataViz!AG$104)</f>
        <v>0</v>
      </c>
      <c r="AH107">
        <f>COUNTIFS('Supply planning data'!$N:$N,"&lt;&gt;", 'Supply planning data'!$O:$O,DataViz!$O107, 'Supply planning data'!$D:$D, DataViz!AH$104)+COUNTIFS('Supply planning data'!$P:$P,"&lt;&gt;", 'Supply planning data'!$Q:$Q,DataViz!$O107, 'Supply planning data'!$D:$D, DataViz!AH$104)</f>
        <v>0</v>
      </c>
      <c r="AI107">
        <f>COUNTIFS('Supply planning data'!$N:$N,"&lt;&gt;", 'Supply planning data'!$O:$O,DataViz!$O107, 'Supply planning data'!$D:$D, DataViz!AI$104)+COUNTIFS('Supply planning data'!$P:$P,"&lt;&gt;", 'Supply planning data'!$Q:$Q,DataViz!$O107, 'Supply planning data'!$D:$D, DataViz!AI$104)</f>
        <v>0</v>
      </c>
      <c r="AJ107">
        <f>COUNTIFS('Supply planning data'!$N:$N,"&lt;&gt;", 'Supply planning data'!$O:$O,DataViz!$O107, 'Supply planning data'!$D:$D, DataViz!AJ$104)+COUNTIFS('Supply planning data'!$P:$P,"&lt;&gt;", 'Supply planning data'!$Q:$Q,DataViz!$O107, 'Supply planning data'!$D:$D, DataViz!AJ$104)</f>
        <v>0</v>
      </c>
      <c r="AK107">
        <f>COUNTIFS('Supply planning data'!$N:$N,"&lt;&gt;", 'Supply planning data'!$O:$O,DataViz!$O107, 'Supply planning data'!$D:$D, DataViz!AK$104)+COUNTIFS('Supply planning data'!$P:$P,"&lt;&gt;", 'Supply planning data'!$Q:$Q,DataViz!$O107, 'Supply planning data'!$D:$D, DataViz!AK$104)</f>
        <v>0</v>
      </c>
      <c r="AL107">
        <f>COUNTIFS('Supply planning data'!$N:$N,"&lt;&gt;", 'Supply planning data'!$O:$O,DataViz!$O107, 'Supply planning data'!$D:$D, DataViz!AL$104)+COUNTIFS('Supply planning data'!$P:$P,"&lt;&gt;", 'Supply planning data'!$Q:$Q,DataViz!$O107, 'Supply planning data'!$D:$D, DataViz!AL$104)</f>
        <v>0</v>
      </c>
      <c r="AM107">
        <f>COUNTIFS('Supply planning data'!$N:$N,"&lt;&gt;", 'Supply planning data'!$O:$O,DataViz!$O107, 'Supply planning data'!$D:$D, DataViz!AM$104)+COUNTIFS('Supply planning data'!$P:$P,"&lt;&gt;", 'Supply planning data'!$Q:$Q,DataViz!$O107, 'Supply planning data'!$D:$D, DataViz!AM$104)</f>
        <v>0</v>
      </c>
      <c r="AO107" t="s">
        <v>130</v>
      </c>
      <c r="AP107" s="41">
        <f>ABS(SUMIFS('Supply planning data'!$N:$N,'Supply planning data'!$O:$O,DataViz!$AO107,'Supply planning data'!$D:$D,DataViz!AP$104)+SUMIFS('Supply planning data'!$P:$P,'Supply planning data'!$Q:$Q,DataViz!$AO107,'Supply planning data'!$D:$D,DataViz!AP$104))</f>
        <v>0</v>
      </c>
      <c r="AQ107" s="41">
        <f>ABS(SUMIFS('Supply planning data'!$N:$N,'Supply planning data'!$O:$O,DataViz!$AO107,'Supply planning data'!$D:$D,DataViz!AQ$104)+SUMIFS('Supply planning data'!$P:$P,'Supply planning data'!$Q:$Q,DataViz!$AO107,'Supply planning data'!$D:$D,DataViz!AQ$104))</f>
        <v>0</v>
      </c>
      <c r="AR107" s="41">
        <f>ABS(SUMIFS('Supply planning data'!$N:$N,'Supply planning data'!$O:$O,DataViz!$AO107,'Supply planning data'!$D:$D,DataViz!AR$104)+SUMIFS('Supply planning data'!$P:$P,'Supply planning data'!$Q:$Q,DataViz!$AO107,'Supply planning data'!$D:$D,DataViz!AR$104))</f>
        <v>0</v>
      </c>
      <c r="AS107" s="41">
        <f>ABS(SUMIFS('Supply planning data'!$N:$N,'Supply planning data'!$O:$O,DataViz!$AO107,'Supply planning data'!$D:$D,DataViz!AS$104)+SUMIFS('Supply planning data'!$P:$P,'Supply planning data'!$Q:$Q,DataViz!$AO107,'Supply planning data'!$D:$D,DataViz!AS$104))</f>
        <v>0</v>
      </c>
      <c r="AT107" s="41">
        <f>ABS(SUMIFS('Supply planning data'!$N:$N,'Supply planning data'!$O:$O,DataViz!$AO107,'Supply planning data'!$D:$D,DataViz!AT$104)+SUMIFS('Supply planning data'!$P:$P,'Supply planning data'!$Q:$Q,DataViz!$AO107,'Supply planning data'!$D:$D,DataViz!AT$104))</f>
        <v>193140</v>
      </c>
      <c r="AU107" s="41">
        <f>ABS(SUMIFS('Supply planning data'!$N:$N,'Supply planning data'!$O:$O,DataViz!$AO107,'Supply planning data'!$D:$D,DataViz!AU$104)+SUMIFS('Supply planning data'!$P:$P,'Supply planning data'!$Q:$Q,DataViz!$AO107,'Supply planning data'!$D:$D,DataViz!AU$104))</f>
        <v>0</v>
      </c>
      <c r="AV107" s="41">
        <f>ABS(SUMIFS('Supply planning data'!$N:$N,'Supply planning data'!$O:$O,DataViz!$AO107,'Supply planning data'!$D:$D,DataViz!AV$104)+SUMIFS('Supply planning data'!$P:$P,'Supply planning data'!$Q:$Q,DataViz!$AO107,'Supply planning data'!$D:$D,DataViz!AV$104))</f>
        <v>0</v>
      </c>
      <c r="AW107" s="41">
        <f>ABS(SUMIFS('Supply planning data'!$N:$N,'Supply planning data'!$O:$O,DataViz!$AO107,'Supply planning data'!$D:$D,DataViz!AW$104)+SUMIFS('Supply planning data'!$P:$P,'Supply planning data'!$Q:$Q,DataViz!$AO107,'Supply planning data'!$D:$D,DataViz!AW$104))</f>
        <v>0</v>
      </c>
      <c r="AX107" s="41">
        <f>ABS(SUMIFS('Supply planning data'!$N:$N,'Supply planning data'!$O:$O,DataViz!$AO107,'Supply planning data'!$D:$D,DataViz!AX$104)+SUMIFS('Supply planning data'!$P:$P,'Supply planning data'!$Q:$Q,DataViz!$AO107,'Supply planning data'!$D:$D,DataViz!AX$104))</f>
        <v>0</v>
      </c>
      <c r="AY107" s="41">
        <f>ABS(SUMIFS('Supply planning data'!$N:$N,'Supply planning data'!$O:$O,DataViz!$AO107,'Supply planning data'!$D:$D,DataViz!AY$104)+SUMIFS('Supply planning data'!$P:$P,'Supply planning data'!$Q:$Q,DataViz!$AO107,'Supply planning data'!$D:$D,DataViz!AY$104))</f>
        <v>0</v>
      </c>
      <c r="AZ107" s="41">
        <f>ABS(SUMIFS('Supply planning data'!$N:$N,'Supply planning data'!$O:$O,DataViz!$AO107,'Supply planning data'!$D:$D,DataViz!AZ$104)+SUMIFS('Supply planning data'!$P:$P,'Supply planning data'!$Q:$Q,DataViz!$AO107,'Supply planning data'!$D:$D,DataViz!AZ$104))</f>
        <v>128057</v>
      </c>
      <c r="BA107" s="41">
        <f>ABS(SUMIFS('Supply planning data'!$N:$N,'Supply planning data'!$O:$O,DataViz!$AO107,'Supply planning data'!$D:$D,DataViz!BA$104)+SUMIFS('Supply planning data'!$P:$P,'Supply planning data'!$Q:$Q,DataViz!$AO107,'Supply planning data'!$D:$D,DataViz!BA$104))</f>
        <v>0</v>
      </c>
      <c r="BB107" s="41">
        <f>ABS(SUMIFS('Supply planning data'!$N:$N,'Supply planning data'!$O:$O,DataViz!$AO107,'Supply planning data'!$D:$D,DataViz!BB$104)+SUMIFS('Supply planning data'!$P:$P,'Supply planning data'!$Q:$Q,DataViz!$AO107,'Supply planning data'!$D:$D,DataViz!BB$104))</f>
        <v>0</v>
      </c>
      <c r="BC107" s="41">
        <f>ABS(SUMIFS('Supply planning data'!$N:$N,'Supply planning data'!$O:$O,DataViz!$AO107,'Supply planning data'!$D:$D,DataViz!BC$104)+SUMIFS('Supply planning data'!$P:$P,'Supply planning data'!$Q:$Q,DataViz!$AO107,'Supply planning data'!$D:$D,DataViz!BC$104))</f>
        <v>0</v>
      </c>
      <c r="BD107" s="41">
        <f>ABS(SUMIFS('Supply planning data'!$N:$N,'Supply planning data'!$O:$O,DataViz!$AO107,'Supply planning data'!$D:$D,DataViz!BD$104)+SUMIFS('Supply planning data'!$P:$P,'Supply planning data'!$Q:$Q,DataViz!$AO107,'Supply planning data'!$D:$D,DataViz!BD$104))</f>
        <v>0</v>
      </c>
      <c r="BE107" s="41">
        <f>ABS(SUMIFS('Supply planning data'!$N:$N,'Supply planning data'!$O:$O,DataViz!$AO107,'Supply planning data'!$D:$D,DataViz!BE$104)+SUMIFS('Supply planning data'!$P:$P,'Supply planning data'!$Q:$Q,DataViz!$AO107,'Supply planning data'!$D:$D,DataViz!BE$104))</f>
        <v>0</v>
      </c>
      <c r="BF107" s="41">
        <f>ABS(SUMIFS('Supply planning data'!$N:$N,'Supply planning data'!$O:$O,DataViz!$AO107,'Supply planning data'!$D:$D,DataViz!BF$104)+SUMIFS('Supply planning data'!$P:$P,'Supply planning data'!$Q:$Q,DataViz!$AO107,'Supply planning data'!$D:$D,DataViz!BF$104))</f>
        <v>0</v>
      </c>
      <c r="BG107" s="41">
        <f>ABS(SUMIFS('Supply planning data'!$N:$N,'Supply planning data'!$O:$O,DataViz!$AO107,'Supply planning data'!$D:$D,DataViz!BG$104)+SUMIFS('Supply planning data'!$P:$P,'Supply planning data'!$Q:$Q,DataViz!$AO107,'Supply planning data'!$D:$D,DataViz!BG$104))</f>
        <v>0</v>
      </c>
      <c r="BH107" s="41">
        <f>ABS(SUMIFS('Supply planning data'!$N:$N,'Supply planning data'!$O:$O,DataViz!$AO107,'Supply planning data'!$D:$D,DataViz!BH$104)+SUMIFS('Supply planning data'!$P:$P,'Supply planning data'!$Q:$Q,DataViz!$AO107,'Supply planning data'!$D:$D,DataViz!BH$104))</f>
        <v>0</v>
      </c>
      <c r="BI107" s="41">
        <f>ABS(SUMIFS('Supply planning data'!$N:$N,'Supply planning data'!$O:$O,DataViz!$AO107,'Supply planning data'!$D:$D,DataViz!BI$104)+SUMIFS('Supply planning data'!$P:$P,'Supply planning data'!$Q:$Q,DataViz!$AO107,'Supply planning data'!$D:$D,DataViz!BI$104))</f>
        <v>0</v>
      </c>
      <c r="BJ107" s="41">
        <f>ABS(SUMIFS('Supply planning data'!$N:$N,'Supply planning data'!$O:$O,DataViz!$AO107,'Supply planning data'!$D:$D,DataViz!BJ$104)+SUMIFS('Supply planning data'!$P:$P,'Supply planning data'!$Q:$Q,DataViz!$AO107,'Supply planning data'!$D:$D,DataViz!BJ$104))</f>
        <v>0</v>
      </c>
      <c r="BK107" s="41">
        <f>ABS(SUMIFS('Supply planning data'!$N:$N,'Supply planning data'!$O:$O,DataViz!$AO107,'Supply planning data'!$D:$D,DataViz!BK$104)+SUMIFS('Supply planning data'!$P:$P,'Supply planning data'!$Q:$Q,DataViz!$AO107,'Supply planning data'!$D:$D,DataViz!BK$104))</f>
        <v>0</v>
      </c>
      <c r="BL107" s="41">
        <f>ABS(SUMIFS('Supply planning data'!$N:$N,'Supply planning data'!$O:$O,DataViz!$AO107,'Supply planning data'!$D:$D,DataViz!BL$104)+SUMIFS('Supply planning data'!$P:$P,'Supply planning data'!$Q:$Q,DataViz!$AO107,'Supply planning data'!$D:$D,DataViz!BL$104))</f>
        <v>0</v>
      </c>
      <c r="BM107" s="41">
        <f>ABS(SUMIFS('Supply planning data'!$N:$N,'Supply planning data'!$O:$O,DataViz!$AO107,'Supply planning data'!$D:$D,DataViz!BM$104)+SUMIFS('Supply planning data'!$P:$P,'Supply planning data'!$Q:$Q,DataViz!$AO107,'Supply planning data'!$D:$D,DataViz!BM$104))</f>
        <v>0</v>
      </c>
    </row>
    <row r="108" spans="1:65" x14ac:dyDescent="0.25">
      <c r="A108" s="150">
        <v>4</v>
      </c>
      <c r="B108" s="151">
        <f t="shared" si="23"/>
        <v>44378</v>
      </c>
      <c r="C108" s="152">
        <f>SUMIFS('Supply planning data'!G:G,'Supply planning data'!D:D,"&lt;="&amp;DataViz!B108, 'Supply planning data'!C:C, Dashboard!$H$30)</f>
        <v>0</v>
      </c>
      <c r="D108" s="152">
        <f>SUMIFS('Supply planning data'!H:H,'Supply planning data'!D:D,"&lt;="&amp;DataViz!B108, 'Supply planning data'!C:C, Dashboard!$H$30)</f>
        <v>0</v>
      </c>
      <c r="E108" s="152">
        <f>SUMIFS('Supply planning data'!I:I,'Supply planning data'!D:D,"&lt;="&amp;DataViz!B108, 'Supply planning data'!C:C, Dashboard!$H$30)</f>
        <v>0</v>
      </c>
      <c r="F108" s="152">
        <f>SUMIFS('Supply planning data'!K:K,'Supply planning data'!D:D,"&lt;="&amp;DataViz!B108, 'Supply planning data'!C:C, Dashboard!$H$30)</f>
        <v>0</v>
      </c>
      <c r="G108" s="152">
        <f>SUMIFS('Supply planning data'!M:M,'Supply planning data'!D:D,"&lt;="&amp;DataViz!B108, 'Supply planning data'!C:C, Dashboard!$H$30)</f>
        <v>0</v>
      </c>
      <c r="J108" s="154"/>
      <c r="K108" s="155"/>
      <c r="O108" t="s">
        <v>215</v>
      </c>
      <c r="P108">
        <f>COUNTIFS('Supply planning data'!$N:$N,"&lt;&gt;", 'Supply planning data'!$O:$O,DataViz!$O108, 'Supply planning data'!$D:$D, DataViz!P$104)+COUNTIFS('Supply planning data'!$P:$P,"&lt;&gt;", 'Supply planning data'!$Q:$Q,DataViz!$O108, 'Supply planning data'!$D:$D, DataViz!P$104)</f>
        <v>0</v>
      </c>
      <c r="Q108">
        <f>COUNTIFS('Supply planning data'!$N:$N,"&lt;&gt;", 'Supply planning data'!$O:$O,DataViz!$O108, 'Supply planning data'!$D:$D, DataViz!Q$104)+COUNTIFS('Supply planning data'!$P:$P,"&lt;&gt;", 'Supply planning data'!$Q:$Q,DataViz!$O108, 'Supply planning data'!$D:$D, DataViz!Q$104)</f>
        <v>0</v>
      </c>
      <c r="R108">
        <f>COUNTIFS('Supply planning data'!$N:$N,"&lt;&gt;", 'Supply planning data'!$O:$O,DataViz!$O108, 'Supply planning data'!$D:$D, DataViz!R$104)+COUNTIFS('Supply planning data'!$P:$P,"&lt;&gt;", 'Supply planning data'!$Q:$Q,DataViz!$O108, 'Supply planning data'!$D:$D, DataViz!R$104)</f>
        <v>0</v>
      </c>
      <c r="S108">
        <f>COUNTIFS('Supply planning data'!$N:$N,"&lt;&gt;", 'Supply planning data'!$O:$O,DataViz!$O108, 'Supply planning data'!$D:$D, DataViz!S$104)+COUNTIFS('Supply planning data'!$P:$P,"&lt;&gt;", 'Supply planning data'!$Q:$Q,DataViz!$O108, 'Supply planning data'!$D:$D, DataViz!S$104)</f>
        <v>0</v>
      </c>
      <c r="T108">
        <f>COUNTIFS('Supply planning data'!$N:$N,"&lt;&gt;", 'Supply planning data'!$O:$O,DataViz!$O108, 'Supply planning data'!$D:$D, DataViz!T$104)+COUNTIFS('Supply planning data'!$P:$P,"&lt;&gt;", 'Supply planning data'!$Q:$Q,DataViz!$O108, 'Supply planning data'!$D:$D, DataViz!T$104)</f>
        <v>0</v>
      </c>
      <c r="U108">
        <f>COUNTIFS('Supply planning data'!$N:$N,"&lt;&gt;", 'Supply planning data'!$O:$O,DataViz!$O108, 'Supply planning data'!$D:$D, DataViz!U$104)+COUNTIFS('Supply planning data'!$P:$P,"&lt;&gt;", 'Supply planning data'!$Q:$Q,DataViz!$O108, 'Supply planning data'!$D:$D, DataViz!U$104)</f>
        <v>0</v>
      </c>
      <c r="V108">
        <f>COUNTIFS('Supply planning data'!$N:$N,"&lt;&gt;", 'Supply planning data'!$O:$O,DataViz!$O108, 'Supply planning data'!$D:$D, DataViz!V$104)+COUNTIFS('Supply planning data'!$P:$P,"&lt;&gt;", 'Supply planning data'!$Q:$Q,DataViz!$O108, 'Supply planning data'!$D:$D, DataViz!V$104)</f>
        <v>0</v>
      </c>
      <c r="W108">
        <f>COUNTIFS('Supply planning data'!$N:$N,"&lt;&gt;", 'Supply planning data'!$O:$O,DataViz!$O108, 'Supply planning data'!$D:$D, DataViz!W$104)+COUNTIFS('Supply planning data'!$P:$P,"&lt;&gt;", 'Supply planning data'!$Q:$Q,DataViz!$O108, 'Supply planning data'!$D:$D, DataViz!W$104)</f>
        <v>0</v>
      </c>
      <c r="X108">
        <f>COUNTIFS('Supply planning data'!$N:$N,"&lt;&gt;", 'Supply planning data'!$O:$O,DataViz!$O108, 'Supply planning data'!$D:$D, DataViz!X$104)+COUNTIFS('Supply planning data'!$P:$P,"&lt;&gt;", 'Supply planning data'!$Q:$Q,DataViz!$O108, 'Supply planning data'!$D:$D, DataViz!X$104)</f>
        <v>0</v>
      </c>
      <c r="Y108">
        <f>COUNTIFS('Supply planning data'!$N:$N,"&lt;&gt;", 'Supply planning data'!$O:$O,DataViz!$O108, 'Supply planning data'!$D:$D, DataViz!Y$104)+COUNTIFS('Supply planning data'!$P:$P,"&lt;&gt;", 'Supply planning data'!$Q:$Q,DataViz!$O108, 'Supply planning data'!$D:$D, DataViz!Y$104)</f>
        <v>0</v>
      </c>
      <c r="Z108">
        <f>COUNTIFS('Supply planning data'!$N:$N,"&lt;&gt;", 'Supply planning data'!$O:$O,DataViz!$O108, 'Supply planning data'!$D:$D, DataViz!Z$104)+COUNTIFS('Supply planning data'!$P:$P,"&lt;&gt;", 'Supply planning data'!$Q:$Q,DataViz!$O108, 'Supply planning data'!$D:$D, DataViz!Z$104)</f>
        <v>0</v>
      </c>
      <c r="AA108">
        <f>COUNTIFS('Supply planning data'!$N:$N,"&lt;&gt;", 'Supply planning data'!$O:$O,DataViz!$O108, 'Supply planning data'!$D:$D, DataViz!AA$104)+COUNTIFS('Supply planning data'!$P:$P,"&lt;&gt;", 'Supply planning data'!$Q:$Q,DataViz!$O108, 'Supply planning data'!$D:$D, DataViz!AA$104)</f>
        <v>0</v>
      </c>
      <c r="AB108">
        <f>COUNTIFS('Supply planning data'!$N:$N,"&lt;&gt;", 'Supply planning data'!$O:$O,DataViz!$O108, 'Supply planning data'!$D:$D, DataViz!AB$104)+COUNTIFS('Supply planning data'!$P:$P,"&lt;&gt;", 'Supply planning data'!$Q:$Q,DataViz!$O108, 'Supply planning data'!$D:$D, DataViz!AB$104)</f>
        <v>0</v>
      </c>
      <c r="AC108">
        <f>COUNTIFS('Supply planning data'!$N:$N,"&lt;&gt;", 'Supply planning data'!$O:$O,DataViz!$O108, 'Supply planning data'!$D:$D, DataViz!AC$104)+COUNTIFS('Supply planning data'!$P:$P,"&lt;&gt;", 'Supply planning data'!$Q:$Q,DataViz!$O108, 'Supply planning data'!$D:$D, DataViz!AC$104)</f>
        <v>0</v>
      </c>
      <c r="AD108">
        <f>COUNTIFS('Supply planning data'!$N:$N,"&lt;&gt;", 'Supply planning data'!$O:$O,DataViz!$O108, 'Supply planning data'!$D:$D, DataViz!AD$104)+COUNTIFS('Supply planning data'!$P:$P,"&lt;&gt;", 'Supply planning data'!$Q:$Q,DataViz!$O108, 'Supply planning data'!$D:$D, DataViz!AD$104)</f>
        <v>0</v>
      </c>
      <c r="AE108">
        <f>COUNTIFS('Supply planning data'!$N:$N,"&lt;&gt;", 'Supply planning data'!$O:$O,DataViz!$O108, 'Supply planning data'!$D:$D, DataViz!AE$104)+COUNTIFS('Supply planning data'!$P:$P,"&lt;&gt;", 'Supply planning data'!$Q:$Q,DataViz!$O108, 'Supply planning data'!$D:$D, DataViz!AE$104)</f>
        <v>0</v>
      </c>
      <c r="AF108">
        <f>COUNTIFS('Supply planning data'!$N:$N,"&lt;&gt;", 'Supply planning data'!$O:$O,DataViz!$O108, 'Supply planning data'!$D:$D, DataViz!AF$104)+COUNTIFS('Supply planning data'!$P:$P,"&lt;&gt;", 'Supply planning data'!$Q:$Q,DataViz!$O108, 'Supply planning data'!$D:$D, DataViz!AF$104)</f>
        <v>0</v>
      </c>
      <c r="AG108">
        <f>COUNTIFS('Supply planning data'!$N:$N,"&lt;&gt;", 'Supply planning data'!$O:$O,DataViz!$O108, 'Supply planning data'!$D:$D, DataViz!AG$104)+COUNTIFS('Supply planning data'!$P:$P,"&lt;&gt;", 'Supply planning data'!$Q:$Q,DataViz!$O108, 'Supply planning data'!$D:$D, DataViz!AG$104)</f>
        <v>0</v>
      </c>
      <c r="AH108">
        <f>COUNTIFS('Supply planning data'!$N:$N,"&lt;&gt;", 'Supply planning data'!$O:$O,DataViz!$O108, 'Supply planning data'!$D:$D, DataViz!AH$104)+COUNTIFS('Supply planning data'!$P:$P,"&lt;&gt;", 'Supply planning data'!$Q:$Q,DataViz!$O108, 'Supply planning data'!$D:$D, DataViz!AH$104)</f>
        <v>0</v>
      </c>
      <c r="AI108">
        <f>COUNTIFS('Supply planning data'!$N:$N,"&lt;&gt;", 'Supply planning data'!$O:$O,DataViz!$O108, 'Supply planning data'!$D:$D, DataViz!AI$104)+COUNTIFS('Supply planning data'!$P:$P,"&lt;&gt;", 'Supply planning data'!$Q:$Q,DataViz!$O108, 'Supply planning data'!$D:$D, DataViz!AI$104)</f>
        <v>0</v>
      </c>
      <c r="AJ108">
        <f>COUNTIFS('Supply planning data'!$N:$N,"&lt;&gt;", 'Supply planning data'!$O:$O,DataViz!$O108, 'Supply planning data'!$D:$D, DataViz!AJ$104)+COUNTIFS('Supply planning data'!$P:$P,"&lt;&gt;", 'Supply planning data'!$Q:$Q,DataViz!$O108, 'Supply planning data'!$D:$D, DataViz!AJ$104)</f>
        <v>0</v>
      </c>
      <c r="AK108">
        <f>COUNTIFS('Supply planning data'!$N:$N,"&lt;&gt;", 'Supply planning data'!$O:$O,DataViz!$O108, 'Supply planning data'!$D:$D, DataViz!AK$104)+COUNTIFS('Supply planning data'!$P:$P,"&lt;&gt;", 'Supply planning data'!$Q:$Q,DataViz!$O108, 'Supply planning data'!$D:$D, DataViz!AK$104)</f>
        <v>0</v>
      </c>
      <c r="AL108">
        <f>COUNTIFS('Supply planning data'!$N:$N,"&lt;&gt;", 'Supply planning data'!$O:$O,DataViz!$O108, 'Supply planning data'!$D:$D, DataViz!AL$104)+COUNTIFS('Supply planning data'!$P:$P,"&lt;&gt;", 'Supply planning data'!$Q:$Q,DataViz!$O108, 'Supply planning data'!$D:$D, DataViz!AL$104)</f>
        <v>0</v>
      </c>
      <c r="AM108">
        <f>COUNTIFS('Supply planning data'!$N:$N,"&lt;&gt;", 'Supply planning data'!$O:$O,DataViz!$O108, 'Supply planning data'!$D:$D, DataViz!AM$104)+COUNTIFS('Supply planning data'!$P:$P,"&lt;&gt;", 'Supply planning data'!$Q:$Q,DataViz!$O108, 'Supply planning data'!$D:$D, DataViz!AM$104)</f>
        <v>0</v>
      </c>
      <c r="AO108" t="s">
        <v>215</v>
      </c>
      <c r="AP108" s="41">
        <f>ABS(SUMIFS('Supply planning data'!$N:$N,'Supply planning data'!$O:$O,DataViz!$AO108,'Supply planning data'!$D:$D,DataViz!AP$104)+SUMIFS('Supply planning data'!$P:$P,'Supply planning data'!$Q:$Q,DataViz!$AO108,'Supply planning data'!$D:$D,DataViz!AP$104))</f>
        <v>0</v>
      </c>
      <c r="AQ108" s="41">
        <f>ABS(SUMIFS('Supply planning data'!$N:$N,'Supply planning data'!$O:$O,DataViz!$AO108,'Supply planning data'!$D:$D,DataViz!AQ$104)+SUMIFS('Supply planning data'!$P:$P,'Supply planning data'!$Q:$Q,DataViz!$AO108,'Supply planning data'!$D:$D,DataViz!AQ$104))</f>
        <v>0</v>
      </c>
      <c r="AR108" s="41">
        <f>ABS(SUMIFS('Supply planning data'!$N:$N,'Supply planning data'!$O:$O,DataViz!$AO108,'Supply planning data'!$D:$D,DataViz!AR$104)+SUMIFS('Supply planning data'!$P:$P,'Supply planning data'!$Q:$Q,DataViz!$AO108,'Supply planning data'!$D:$D,DataViz!AR$104))</f>
        <v>0</v>
      </c>
      <c r="AS108" s="41">
        <f>ABS(SUMIFS('Supply planning data'!$N:$N,'Supply planning data'!$O:$O,DataViz!$AO108,'Supply planning data'!$D:$D,DataViz!AS$104)+SUMIFS('Supply planning data'!$P:$P,'Supply planning data'!$Q:$Q,DataViz!$AO108,'Supply planning data'!$D:$D,DataViz!AS$104))</f>
        <v>0</v>
      </c>
      <c r="AT108" s="41">
        <f>ABS(SUMIFS('Supply planning data'!$N:$N,'Supply planning data'!$O:$O,DataViz!$AO108,'Supply planning data'!$D:$D,DataViz!AT$104)+SUMIFS('Supply planning data'!$P:$P,'Supply planning data'!$Q:$Q,DataViz!$AO108,'Supply planning data'!$D:$D,DataViz!AT$104))</f>
        <v>0</v>
      </c>
      <c r="AU108" s="41">
        <f>ABS(SUMIFS('Supply planning data'!$N:$N,'Supply planning data'!$O:$O,DataViz!$AO108,'Supply planning data'!$D:$D,DataViz!AU$104)+SUMIFS('Supply planning data'!$P:$P,'Supply planning data'!$Q:$Q,DataViz!$AO108,'Supply planning data'!$D:$D,DataViz!AU$104))</f>
        <v>0</v>
      </c>
      <c r="AV108" s="41">
        <f>ABS(SUMIFS('Supply planning data'!$N:$N,'Supply planning data'!$O:$O,DataViz!$AO108,'Supply planning data'!$D:$D,DataViz!AV$104)+SUMIFS('Supply planning data'!$P:$P,'Supply planning data'!$Q:$Q,DataViz!$AO108,'Supply planning data'!$D:$D,DataViz!AV$104))</f>
        <v>0</v>
      </c>
      <c r="AW108" s="41">
        <f>ABS(SUMIFS('Supply planning data'!$N:$N,'Supply planning data'!$O:$O,DataViz!$AO108,'Supply planning data'!$D:$D,DataViz!AW$104)+SUMIFS('Supply planning data'!$P:$P,'Supply planning data'!$Q:$Q,DataViz!$AO108,'Supply planning data'!$D:$D,DataViz!AW$104))</f>
        <v>0</v>
      </c>
      <c r="AX108" s="41">
        <f>ABS(SUMIFS('Supply planning data'!$N:$N,'Supply planning data'!$O:$O,DataViz!$AO108,'Supply planning data'!$D:$D,DataViz!AX$104)+SUMIFS('Supply planning data'!$P:$P,'Supply planning data'!$Q:$Q,DataViz!$AO108,'Supply planning data'!$D:$D,DataViz!AX$104))</f>
        <v>0</v>
      </c>
      <c r="AY108" s="41">
        <f>ABS(SUMIFS('Supply planning data'!$N:$N,'Supply planning data'!$O:$O,DataViz!$AO108,'Supply planning data'!$D:$D,DataViz!AY$104)+SUMIFS('Supply planning data'!$P:$P,'Supply planning data'!$Q:$Q,DataViz!$AO108,'Supply planning data'!$D:$D,DataViz!AY$104))</f>
        <v>0</v>
      </c>
      <c r="AZ108" s="41">
        <f>ABS(SUMIFS('Supply planning data'!$N:$N,'Supply planning data'!$O:$O,DataViz!$AO108,'Supply planning data'!$D:$D,DataViz!AZ$104)+SUMIFS('Supply planning data'!$P:$P,'Supply planning data'!$Q:$Q,DataViz!$AO108,'Supply planning data'!$D:$D,DataViz!AZ$104))</f>
        <v>0</v>
      </c>
      <c r="BA108" s="41">
        <f>ABS(SUMIFS('Supply planning data'!$N:$N,'Supply planning data'!$O:$O,DataViz!$AO108,'Supply planning data'!$D:$D,DataViz!BA$104)+SUMIFS('Supply planning data'!$P:$P,'Supply planning data'!$Q:$Q,DataViz!$AO108,'Supply planning data'!$D:$D,DataViz!BA$104))</f>
        <v>0</v>
      </c>
      <c r="BB108" s="41">
        <f>ABS(SUMIFS('Supply planning data'!$N:$N,'Supply planning data'!$O:$O,DataViz!$AO108,'Supply planning data'!$D:$D,DataViz!BB$104)+SUMIFS('Supply planning data'!$P:$P,'Supply planning data'!$Q:$Q,DataViz!$AO108,'Supply planning data'!$D:$D,DataViz!BB$104))</f>
        <v>0</v>
      </c>
      <c r="BC108" s="41">
        <f>ABS(SUMIFS('Supply planning data'!$N:$N,'Supply planning data'!$O:$O,DataViz!$AO108,'Supply planning data'!$D:$D,DataViz!BC$104)+SUMIFS('Supply planning data'!$P:$P,'Supply planning data'!$Q:$Q,DataViz!$AO108,'Supply planning data'!$D:$D,DataViz!BC$104))</f>
        <v>0</v>
      </c>
      <c r="BD108" s="41">
        <f>ABS(SUMIFS('Supply planning data'!$N:$N,'Supply planning data'!$O:$O,DataViz!$AO108,'Supply planning data'!$D:$D,DataViz!BD$104)+SUMIFS('Supply planning data'!$P:$P,'Supply planning data'!$Q:$Q,DataViz!$AO108,'Supply planning data'!$D:$D,DataViz!BD$104))</f>
        <v>0</v>
      </c>
      <c r="BE108" s="41">
        <f>ABS(SUMIFS('Supply planning data'!$N:$N,'Supply planning data'!$O:$O,DataViz!$AO108,'Supply planning data'!$D:$D,DataViz!BE$104)+SUMIFS('Supply planning data'!$P:$P,'Supply planning data'!$Q:$Q,DataViz!$AO108,'Supply planning data'!$D:$D,DataViz!BE$104))</f>
        <v>0</v>
      </c>
      <c r="BF108" s="41">
        <f>ABS(SUMIFS('Supply planning data'!$N:$N,'Supply planning data'!$O:$O,DataViz!$AO108,'Supply planning data'!$D:$D,DataViz!BF$104)+SUMIFS('Supply planning data'!$P:$P,'Supply planning data'!$Q:$Q,DataViz!$AO108,'Supply planning data'!$D:$D,DataViz!BF$104))</f>
        <v>0</v>
      </c>
      <c r="BG108" s="41">
        <f>ABS(SUMIFS('Supply planning data'!$N:$N,'Supply planning data'!$O:$O,DataViz!$AO108,'Supply planning data'!$D:$D,DataViz!BG$104)+SUMIFS('Supply planning data'!$P:$P,'Supply planning data'!$Q:$Q,DataViz!$AO108,'Supply planning data'!$D:$D,DataViz!BG$104))</f>
        <v>0</v>
      </c>
      <c r="BH108" s="41">
        <f>ABS(SUMIFS('Supply planning data'!$N:$N,'Supply planning data'!$O:$O,DataViz!$AO108,'Supply planning data'!$D:$D,DataViz!BH$104)+SUMIFS('Supply planning data'!$P:$P,'Supply planning data'!$Q:$Q,DataViz!$AO108,'Supply planning data'!$D:$D,DataViz!BH$104))</f>
        <v>0</v>
      </c>
      <c r="BI108" s="41">
        <f>ABS(SUMIFS('Supply planning data'!$N:$N,'Supply planning data'!$O:$O,DataViz!$AO108,'Supply planning data'!$D:$D,DataViz!BI$104)+SUMIFS('Supply planning data'!$P:$P,'Supply planning data'!$Q:$Q,DataViz!$AO108,'Supply planning data'!$D:$D,DataViz!BI$104))</f>
        <v>0</v>
      </c>
      <c r="BJ108" s="41">
        <f>ABS(SUMIFS('Supply planning data'!$N:$N,'Supply planning data'!$O:$O,DataViz!$AO108,'Supply planning data'!$D:$D,DataViz!BJ$104)+SUMIFS('Supply planning data'!$P:$P,'Supply planning data'!$Q:$Q,DataViz!$AO108,'Supply planning data'!$D:$D,DataViz!BJ$104))</f>
        <v>0</v>
      </c>
      <c r="BK108" s="41">
        <f>ABS(SUMIFS('Supply planning data'!$N:$N,'Supply planning data'!$O:$O,DataViz!$AO108,'Supply planning data'!$D:$D,DataViz!BK$104)+SUMIFS('Supply planning data'!$P:$P,'Supply planning data'!$Q:$Q,DataViz!$AO108,'Supply planning data'!$D:$D,DataViz!BK$104))</f>
        <v>0</v>
      </c>
      <c r="BL108" s="41">
        <f>ABS(SUMIFS('Supply planning data'!$N:$N,'Supply planning data'!$O:$O,DataViz!$AO108,'Supply planning data'!$D:$D,DataViz!BL$104)+SUMIFS('Supply planning data'!$P:$P,'Supply planning data'!$Q:$Q,DataViz!$AO108,'Supply planning data'!$D:$D,DataViz!BL$104))</f>
        <v>0</v>
      </c>
      <c r="BM108" s="41">
        <f>ABS(SUMIFS('Supply planning data'!$N:$N,'Supply planning data'!$O:$O,DataViz!$AO108,'Supply planning data'!$D:$D,DataViz!BM$104)+SUMIFS('Supply planning data'!$P:$P,'Supply planning data'!$Q:$Q,DataViz!$AO108,'Supply planning data'!$D:$D,DataViz!BM$104))</f>
        <v>0</v>
      </c>
    </row>
    <row r="109" spans="1:65" x14ac:dyDescent="0.25">
      <c r="A109" s="150">
        <v>5</v>
      </c>
      <c r="B109" s="151">
        <f t="shared" si="23"/>
        <v>44409</v>
      </c>
      <c r="C109" s="152">
        <f>SUMIFS('Supply planning data'!G:G,'Supply planning data'!D:D,"&lt;="&amp;DataViz!B109, 'Supply planning data'!C:C, Dashboard!$H$30)</f>
        <v>0</v>
      </c>
      <c r="D109" s="152">
        <f>SUMIFS('Supply planning data'!H:H,'Supply planning data'!D:D,"&lt;="&amp;DataViz!B109, 'Supply planning data'!C:C, Dashboard!$H$30)</f>
        <v>0</v>
      </c>
      <c r="E109" s="152">
        <f>SUMIFS('Supply planning data'!I:I,'Supply planning data'!D:D,"&lt;="&amp;DataViz!B109, 'Supply planning data'!C:C, Dashboard!$H$30)</f>
        <v>0</v>
      </c>
      <c r="F109" s="152">
        <f>SUMIFS('Supply planning data'!K:K,'Supply planning data'!D:D,"&lt;="&amp;DataViz!B109, 'Supply planning data'!C:C, Dashboard!$H$30)</f>
        <v>0</v>
      </c>
      <c r="G109" s="152">
        <f>SUMIFS('Supply planning data'!M:M,'Supply planning data'!D:D,"&lt;="&amp;DataViz!B109, 'Supply planning data'!C:C, Dashboard!$H$30)</f>
        <v>0</v>
      </c>
      <c r="J109" s="154"/>
      <c r="K109" s="155"/>
      <c r="O109" t="s">
        <v>216</v>
      </c>
      <c r="P109">
        <f>COUNTIFS('Supply planning data'!$N:$N,"&lt;&gt;", 'Supply planning data'!$O:$O,DataViz!$O109, 'Supply planning data'!$D:$D, DataViz!P$104)+COUNTIFS('Supply planning data'!$P:$P,"&lt;&gt;", 'Supply planning data'!$Q:$Q,DataViz!$O109, 'Supply planning data'!$D:$D, DataViz!P$104)</f>
        <v>0</v>
      </c>
      <c r="Q109">
        <f>COUNTIFS('Supply planning data'!$N:$N,"&lt;&gt;", 'Supply planning data'!$O:$O,DataViz!$O109, 'Supply planning data'!$D:$D, DataViz!Q$104)+COUNTIFS('Supply planning data'!$P:$P,"&lt;&gt;", 'Supply planning data'!$Q:$Q,DataViz!$O109, 'Supply planning data'!$D:$D, DataViz!Q$104)</f>
        <v>0</v>
      </c>
      <c r="R109">
        <f>COUNTIFS('Supply planning data'!$N:$N,"&lt;&gt;", 'Supply planning data'!$O:$O,DataViz!$O109, 'Supply planning data'!$D:$D, DataViz!R$104)+COUNTIFS('Supply planning data'!$P:$P,"&lt;&gt;", 'Supply planning data'!$Q:$Q,DataViz!$O109, 'Supply planning data'!$D:$D, DataViz!R$104)</f>
        <v>0</v>
      </c>
      <c r="S109">
        <f>COUNTIFS('Supply planning data'!$N:$N,"&lt;&gt;", 'Supply planning data'!$O:$O,DataViz!$O109, 'Supply planning data'!$D:$D, DataViz!S$104)+COUNTIFS('Supply planning data'!$P:$P,"&lt;&gt;", 'Supply planning data'!$Q:$Q,DataViz!$O109, 'Supply planning data'!$D:$D, DataViz!S$104)</f>
        <v>0</v>
      </c>
      <c r="T109">
        <f>COUNTIFS('Supply planning data'!$N:$N,"&lt;&gt;", 'Supply planning data'!$O:$O,DataViz!$O109, 'Supply planning data'!$D:$D, DataViz!T$104)+COUNTIFS('Supply planning data'!$P:$P,"&lt;&gt;", 'Supply planning data'!$Q:$Q,DataViz!$O109, 'Supply planning data'!$D:$D, DataViz!T$104)</f>
        <v>0</v>
      </c>
      <c r="U109">
        <f>COUNTIFS('Supply planning data'!$N:$N,"&lt;&gt;", 'Supply planning data'!$O:$O,DataViz!$O109, 'Supply planning data'!$D:$D, DataViz!U$104)+COUNTIFS('Supply planning data'!$P:$P,"&lt;&gt;", 'Supply planning data'!$Q:$Q,DataViz!$O109, 'Supply planning data'!$D:$D, DataViz!U$104)</f>
        <v>0</v>
      </c>
      <c r="V109">
        <f>COUNTIFS('Supply planning data'!$N:$N,"&lt;&gt;", 'Supply planning data'!$O:$O,DataViz!$O109, 'Supply planning data'!$D:$D, DataViz!V$104)+COUNTIFS('Supply planning data'!$P:$P,"&lt;&gt;", 'Supply planning data'!$Q:$Q,DataViz!$O109, 'Supply planning data'!$D:$D, DataViz!V$104)</f>
        <v>0</v>
      </c>
      <c r="W109">
        <f>COUNTIFS('Supply planning data'!$N:$N,"&lt;&gt;", 'Supply planning data'!$O:$O,DataViz!$O109, 'Supply planning data'!$D:$D, DataViz!W$104)+COUNTIFS('Supply planning data'!$P:$P,"&lt;&gt;", 'Supply planning data'!$Q:$Q,DataViz!$O109, 'Supply planning data'!$D:$D, DataViz!W$104)</f>
        <v>0</v>
      </c>
      <c r="X109">
        <f>COUNTIFS('Supply planning data'!$N:$N,"&lt;&gt;", 'Supply planning data'!$O:$O,DataViz!$O109, 'Supply planning data'!$D:$D, DataViz!X$104)+COUNTIFS('Supply planning data'!$P:$P,"&lt;&gt;", 'Supply planning data'!$Q:$Q,DataViz!$O109, 'Supply planning data'!$D:$D, DataViz!X$104)</f>
        <v>0</v>
      </c>
      <c r="Y109">
        <f>COUNTIFS('Supply planning data'!$N:$N,"&lt;&gt;", 'Supply planning data'!$O:$O,DataViz!$O109, 'Supply planning data'!$D:$D, DataViz!Y$104)+COUNTIFS('Supply planning data'!$P:$P,"&lt;&gt;", 'Supply planning data'!$Q:$Q,DataViz!$O109, 'Supply planning data'!$D:$D, DataViz!Y$104)</f>
        <v>0</v>
      </c>
      <c r="Z109">
        <f>COUNTIFS('Supply planning data'!$N:$N,"&lt;&gt;", 'Supply planning data'!$O:$O,DataViz!$O109, 'Supply planning data'!$D:$D, DataViz!Z$104)+COUNTIFS('Supply planning data'!$P:$P,"&lt;&gt;", 'Supply planning data'!$Q:$Q,DataViz!$O109, 'Supply planning data'!$D:$D, DataViz!Z$104)</f>
        <v>0</v>
      </c>
      <c r="AA109">
        <f>COUNTIFS('Supply planning data'!$N:$N,"&lt;&gt;", 'Supply planning data'!$O:$O,DataViz!$O109, 'Supply planning data'!$D:$D, DataViz!AA$104)+COUNTIFS('Supply planning data'!$P:$P,"&lt;&gt;", 'Supply planning data'!$Q:$Q,DataViz!$O109, 'Supply planning data'!$D:$D, DataViz!AA$104)</f>
        <v>0</v>
      </c>
      <c r="AB109">
        <f>COUNTIFS('Supply planning data'!$N:$N,"&lt;&gt;", 'Supply planning data'!$O:$O,DataViz!$O109, 'Supply planning data'!$D:$D, DataViz!AB$104)+COUNTIFS('Supply planning data'!$P:$P,"&lt;&gt;", 'Supply planning data'!$Q:$Q,DataViz!$O109, 'Supply planning data'!$D:$D, DataViz!AB$104)</f>
        <v>0</v>
      </c>
      <c r="AC109">
        <f>COUNTIFS('Supply planning data'!$N:$N,"&lt;&gt;", 'Supply planning data'!$O:$O,DataViz!$O109, 'Supply planning data'!$D:$D, DataViz!AC$104)+COUNTIFS('Supply planning data'!$P:$P,"&lt;&gt;", 'Supply planning data'!$Q:$Q,DataViz!$O109, 'Supply planning data'!$D:$D, DataViz!AC$104)</f>
        <v>0</v>
      </c>
      <c r="AD109">
        <f>COUNTIFS('Supply planning data'!$N:$N,"&lt;&gt;", 'Supply planning data'!$O:$O,DataViz!$O109, 'Supply planning data'!$D:$D, DataViz!AD$104)+COUNTIFS('Supply planning data'!$P:$P,"&lt;&gt;", 'Supply planning data'!$Q:$Q,DataViz!$O109, 'Supply planning data'!$D:$D, DataViz!AD$104)</f>
        <v>0</v>
      </c>
      <c r="AE109">
        <f>COUNTIFS('Supply planning data'!$N:$N,"&lt;&gt;", 'Supply planning data'!$O:$O,DataViz!$O109, 'Supply planning data'!$D:$D, DataViz!AE$104)+COUNTIFS('Supply planning data'!$P:$P,"&lt;&gt;", 'Supply planning data'!$Q:$Q,DataViz!$O109, 'Supply planning data'!$D:$D, DataViz!AE$104)</f>
        <v>0</v>
      </c>
      <c r="AF109">
        <f>COUNTIFS('Supply planning data'!$N:$N,"&lt;&gt;", 'Supply planning data'!$O:$O,DataViz!$O109, 'Supply planning data'!$D:$D, DataViz!AF$104)+COUNTIFS('Supply planning data'!$P:$P,"&lt;&gt;", 'Supply planning data'!$Q:$Q,DataViz!$O109, 'Supply planning data'!$D:$D, DataViz!AF$104)</f>
        <v>0</v>
      </c>
      <c r="AG109">
        <f>COUNTIFS('Supply planning data'!$N:$N,"&lt;&gt;", 'Supply planning data'!$O:$O,DataViz!$O109, 'Supply planning data'!$D:$D, DataViz!AG$104)+COUNTIFS('Supply planning data'!$P:$P,"&lt;&gt;", 'Supply planning data'!$Q:$Q,DataViz!$O109, 'Supply planning data'!$D:$D, DataViz!AG$104)</f>
        <v>0</v>
      </c>
      <c r="AH109">
        <f>COUNTIFS('Supply planning data'!$N:$N,"&lt;&gt;", 'Supply planning data'!$O:$O,DataViz!$O109, 'Supply planning data'!$D:$D, DataViz!AH$104)+COUNTIFS('Supply planning data'!$P:$P,"&lt;&gt;", 'Supply planning data'!$Q:$Q,DataViz!$O109, 'Supply planning data'!$D:$D, DataViz!AH$104)</f>
        <v>0</v>
      </c>
      <c r="AI109">
        <f>COUNTIFS('Supply planning data'!$N:$N,"&lt;&gt;", 'Supply planning data'!$O:$O,DataViz!$O109, 'Supply planning data'!$D:$D, DataViz!AI$104)+COUNTIFS('Supply planning data'!$P:$P,"&lt;&gt;", 'Supply planning data'!$Q:$Q,DataViz!$O109, 'Supply planning data'!$D:$D, DataViz!AI$104)</f>
        <v>0</v>
      </c>
      <c r="AJ109">
        <f>COUNTIFS('Supply planning data'!$N:$N,"&lt;&gt;", 'Supply planning data'!$O:$O,DataViz!$O109, 'Supply planning data'!$D:$D, DataViz!AJ$104)+COUNTIFS('Supply planning data'!$P:$P,"&lt;&gt;", 'Supply planning data'!$Q:$Q,DataViz!$O109, 'Supply planning data'!$D:$D, DataViz!AJ$104)</f>
        <v>0</v>
      </c>
      <c r="AK109">
        <f>COUNTIFS('Supply planning data'!$N:$N,"&lt;&gt;", 'Supply planning data'!$O:$O,DataViz!$O109, 'Supply planning data'!$D:$D, DataViz!AK$104)+COUNTIFS('Supply planning data'!$P:$P,"&lt;&gt;", 'Supply planning data'!$Q:$Q,DataViz!$O109, 'Supply planning data'!$D:$D, DataViz!AK$104)</f>
        <v>0</v>
      </c>
      <c r="AL109">
        <f>COUNTIFS('Supply planning data'!$N:$N,"&lt;&gt;", 'Supply planning data'!$O:$O,DataViz!$O109, 'Supply planning data'!$D:$D, DataViz!AL$104)+COUNTIFS('Supply planning data'!$P:$P,"&lt;&gt;", 'Supply planning data'!$Q:$Q,DataViz!$O109, 'Supply planning data'!$D:$D, DataViz!AL$104)</f>
        <v>0</v>
      </c>
      <c r="AM109">
        <f>COUNTIFS('Supply planning data'!$N:$N,"&lt;&gt;", 'Supply planning data'!$O:$O,DataViz!$O109, 'Supply planning data'!$D:$D, DataViz!AM$104)+COUNTIFS('Supply planning data'!$P:$P,"&lt;&gt;", 'Supply planning data'!$Q:$Q,DataViz!$O109, 'Supply planning data'!$D:$D, DataViz!AM$104)</f>
        <v>0</v>
      </c>
      <c r="AO109" t="s">
        <v>216</v>
      </c>
      <c r="AP109" s="41">
        <f>ABS(SUMIFS('Supply planning data'!$N:$N,'Supply planning data'!$O:$O,DataViz!$AO109,'Supply planning data'!$D:$D,DataViz!AP$104)+SUMIFS('Supply planning data'!$P:$P,'Supply planning data'!$Q:$Q,DataViz!$AO109,'Supply planning data'!$D:$D,DataViz!AP$104))</f>
        <v>0</v>
      </c>
      <c r="AQ109" s="41">
        <f>ABS(SUMIFS('Supply planning data'!$N:$N,'Supply planning data'!$O:$O,DataViz!$AO109,'Supply planning data'!$D:$D,DataViz!AQ$104)+SUMIFS('Supply planning data'!$P:$P,'Supply planning data'!$Q:$Q,DataViz!$AO109,'Supply planning data'!$D:$D,DataViz!AQ$104))</f>
        <v>0</v>
      </c>
      <c r="AR109" s="41">
        <f>ABS(SUMIFS('Supply planning data'!$N:$N,'Supply planning data'!$O:$O,DataViz!$AO109,'Supply planning data'!$D:$D,DataViz!AR$104)+SUMIFS('Supply planning data'!$P:$P,'Supply planning data'!$Q:$Q,DataViz!$AO109,'Supply planning data'!$D:$D,DataViz!AR$104))</f>
        <v>0</v>
      </c>
      <c r="AS109" s="41">
        <f>ABS(SUMIFS('Supply planning data'!$N:$N,'Supply planning data'!$O:$O,DataViz!$AO109,'Supply planning data'!$D:$D,DataViz!AS$104)+SUMIFS('Supply planning data'!$P:$P,'Supply planning data'!$Q:$Q,DataViz!$AO109,'Supply planning data'!$D:$D,DataViz!AS$104))</f>
        <v>0</v>
      </c>
      <c r="AT109" s="41">
        <f>ABS(SUMIFS('Supply planning data'!$N:$N,'Supply planning data'!$O:$O,DataViz!$AO109,'Supply planning data'!$D:$D,DataViz!AT$104)+SUMIFS('Supply planning data'!$P:$P,'Supply planning data'!$Q:$Q,DataViz!$AO109,'Supply planning data'!$D:$D,DataViz!AT$104))</f>
        <v>0</v>
      </c>
      <c r="AU109" s="41">
        <f>ABS(SUMIFS('Supply planning data'!$N:$N,'Supply planning data'!$O:$O,DataViz!$AO109,'Supply planning data'!$D:$D,DataViz!AU$104)+SUMIFS('Supply planning data'!$P:$P,'Supply planning data'!$Q:$Q,DataViz!$AO109,'Supply planning data'!$D:$D,DataViz!AU$104))</f>
        <v>0</v>
      </c>
      <c r="AV109" s="41">
        <f>ABS(SUMIFS('Supply planning data'!$N:$N,'Supply planning data'!$O:$O,DataViz!$AO109,'Supply planning data'!$D:$D,DataViz!AV$104)+SUMIFS('Supply planning data'!$P:$P,'Supply planning data'!$Q:$Q,DataViz!$AO109,'Supply planning data'!$D:$D,DataViz!AV$104))</f>
        <v>0</v>
      </c>
      <c r="AW109" s="41">
        <f>ABS(SUMIFS('Supply planning data'!$N:$N,'Supply planning data'!$O:$O,DataViz!$AO109,'Supply planning data'!$D:$D,DataViz!AW$104)+SUMIFS('Supply planning data'!$P:$P,'Supply planning data'!$Q:$Q,DataViz!$AO109,'Supply planning data'!$D:$D,DataViz!AW$104))</f>
        <v>0</v>
      </c>
      <c r="AX109" s="41">
        <f>ABS(SUMIFS('Supply planning data'!$N:$N,'Supply planning data'!$O:$O,DataViz!$AO109,'Supply planning data'!$D:$D,DataViz!AX$104)+SUMIFS('Supply planning data'!$P:$P,'Supply planning data'!$Q:$Q,DataViz!$AO109,'Supply planning data'!$D:$D,DataViz!AX$104))</f>
        <v>0</v>
      </c>
      <c r="AY109" s="41">
        <f>ABS(SUMIFS('Supply planning data'!$N:$N,'Supply planning data'!$O:$O,DataViz!$AO109,'Supply planning data'!$D:$D,DataViz!AY$104)+SUMIFS('Supply planning data'!$P:$P,'Supply planning data'!$Q:$Q,DataViz!$AO109,'Supply planning data'!$D:$D,DataViz!AY$104))</f>
        <v>0</v>
      </c>
      <c r="AZ109" s="41">
        <f>ABS(SUMIFS('Supply planning data'!$N:$N,'Supply planning data'!$O:$O,DataViz!$AO109,'Supply planning data'!$D:$D,DataViz!AZ$104)+SUMIFS('Supply planning data'!$P:$P,'Supply planning data'!$Q:$Q,DataViz!$AO109,'Supply planning data'!$D:$D,DataViz!AZ$104))</f>
        <v>0</v>
      </c>
      <c r="BA109" s="41">
        <f>ABS(SUMIFS('Supply planning data'!$N:$N,'Supply planning data'!$O:$O,DataViz!$AO109,'Supply planning data'!$D:$D,DataViz!BA$104)+SUMIFS('Supply planning data'!$P:$P,'Supply planning data'!$Q:$Q,DataViz!$AO109,'Supply planning data'!$D:$D,DataViz!BA$104))</f>
        <v>0</v>
      </c>
      <c r="BB109" s="41">
        <f>ABS(SUMIFS('Supply planning data'!$N:$N,'Supply planning data'!$O:$O,DataViz!$AO109,'Supply planning data'!$D:$D,DataViz!BB$104)+SUMIFS('Supply planning data'!$P:$P,'Supply planning data'!$Q:$Q,DataViz!$AO109,'Supply planning data'!$D:$D,DataViz!BB$104))</f>
        <v>0</v>
      </c>
      <c r="BC109" s="41">
        <f>ABS(SUMIFS('Supply planning data'!$N:$N,'Supply planning data'!$O:$O,DataViz!$AO109,'Supply planning data'!$D:$D,DataViz!BC$104)+SUMIFS('Supply planning data'!$P:$P,'Supply planning data'!$Q:$Q,DataViz!$AO109,'Supply planning data'!$D:$D,DataViz!BC$104))</f>
        <v>0</v>
      </c>
      <c r="BD109" s="41">
        <f>ABS(SUMIFS('Supply planning data'!$N:$N,'Supply planning data'!$O:$O,DataViz!$AO109,'Supply planning data'!$D:$D,DataViz!BD$104)+SUMIFS('Supply planning data'!$P:$P,'Supply planning data'!$Q:$Q,DataViz!$AO109,'Supply planning data'!$D:$D,DataViz!BD$104))</f>
        <v>0</v>
      </c>
      <c r="BE109" s="41">
        <f>ABS(SUMIFS('Supply planning data'!$N:$N,'Supply planning data'!$O:$O,DataViz!$AO109,'Supply planning data'!$D:$D,DataViz!BE$104)+SUMIFS('Supply planning data'!$P:$P,'Supply planning data'!$Q:$Q,DataViz!$AO109,'Supply planning data'!$D:$D,DataViz!BE$104))</f>
        <v>0</v>
      </c>
      <c r="BF109" s="41">
        <f>ABS(SUMIFS('Supply planning data'!$N:$N,'Supply planning data'!$O:$O,DataViz!$AO109,'Supply planning data'!$D:$D,DataViz!BF$104)+SUMIFS('Supply planning data'!$P:$P,'Supply planning data'!$Q:$Q,DataViz!$AO109,'Supply planning data'!$D:$D,DataViz!BF$104))</f>
        <v>0</v>
      </c>
      <c r="BG109" s="41">
        <f>ABS(SUMIFS('Supply planning data'!$N:$N,'Supply planning data'!$O:$O,DataViz!$AO109,'Supply planning data'!$D:$D,DataViz!BG$104)+SUMIFS('Supply planning data'!$P:$P,'Supply planning data'!$Q:$Q,DataViz!$AO109,'Supply planning data'!$D:$D,DataViz!BG$104))</f>
        <v>0</v>
      </c>
      <c r="BH109" s="41">
        <f>ABS(SUMIFS('Supply planning data'!$N:$N,'Supply planning data'!$O:$O,DataViz!$AO109,'Supply planning data'!$D:$D,DataViz!BH$104)+SUMIFS('Supply planning data'!$P:$P,'Supply planning data'!$Q:$Q,DataViz!$AO109,'Supply planning data'!$D:$D,DataViz!BH$104))</f>
        <v>0</v>
      </c>
      <c r="BI109" s="41">
        <f>ABS(SUMIFS('Supply planning data'!$N:$N,'Supply planning data'!$O:$O,DataViz!$AO109,'Supply planning data'!$D:$D,DataViz!BI$104)+SUMIFS('Supply planning data'!$P:$P,'Supply planning data'!$Q:$Q,DataViz!$AO109,'Supply planning data'!$D:$D,DataViz!BI$104))</f>
        <v>0</v>
      </c>
      <c r="BJ109" s="41">
        <f>ABS(SUMIFS('Supply planning data'!$N:$N,'Supply planning data'!$O:$O,DataViz!$AO109,'Supply planning data'!$D:$D,DataViz!BJ$104)+SUMIFS('Supply planning data'!$P:$P,'Supply planning data'!$Q:$Q,DataViz!$AO109,'Supply planning data'!$D:$D,DataViz!BJ$104))</f>
        <v>0</v>
      </c>
      <c r="BK109" s="41">
        <f>ABS(SUMIFS('Supply planning data'!$N:$N,'Supply planning data'!$O:$O,DataViz!$AO109,'Supply planning data'!$D:$D,DataViz!BK$104)+SUMIFS('Supply planning data'!$P:$P,'Supply planning data'!$Q:$Q,DataViz!$AO109,'Supply planning data'!$D:$D,DataViz!BK$104))</f>
        <v>0</v>
      </c>
      <c r="BL109" s="41">
        <f>ABS(SUMIFS('Supply planning data'!$N:$N,'Supply planning data'!$O:$O,DataViz!$AO109,'Supply planning data'!$D:$D,DataViz!BL$104)+SUMIFS('Supply planning data'!$P:$P,'Supply planning data'!$Q:$Q,DataViz!$AO109,'Supply planning data'!$D:$D,DataViz!BL$104))</f>
        <v>0</v>
      </c>
      <c r="BM109" s="41">
        <f>ABS(SUMIFS('Supply planning data'!$N:$N,'Supply planning data'!$O:$O,DataViz!$AO109,'Supply planning data'!$D:$D,DataViz!BM$104)+SUMIFS('Supply planning data'!$P:$P,'Supply planning data'!$Q:$Q,DataViz!$AO109,'Supply planning data'!$D:$D,DataViz!BM$104))</f>
        <v>0</v>
      </c>
    </row>
    <row r="110" spans="1:65" x14ac:dyDescent="0.25">
      <c r="A110" s="150">
        <v>6</v>
      </c>
      <c r="B110" s="151">
        <f t="shared" si="23"/>
        <v>44440</v>
      </c>
      <c r="C110" s="152">
        <f>SUMIFS('Supply planning data'!G:G,'Supply planning data'!D:D,"&lt;="&amp;DataViz!B110, 'Supply planning data'!C:C, Dashboard!$H$30)</f>
        <v>0</v>
      </c>
      <c r="D110" s="152">
        <f>SUMIFS('Supply planning data'!H:H,'Supply planning data'!D:D,"&lt;="&amp;DataViz!B110, 'Supply planning data'!C:C, Dashboard!$H$30)</f>
        <v>0</v>
      </c>
      <c r="E110" s="152">
        <f>SUMIFS('Supply planning data'!I:I,'Supply planning data'!D:D,"&lt;="&amp;DataViz!B110, 'Supply planning data'!C:C, Dashboard!$H$30)</f>
        <v>0</v>
      </c>
      <c r="F110" s="152">
        <f>SUMIFS('Supply planning data'!K:K,'Supply planning data'!D:D,"&lt;="&amp;DataViz!B110, 'Supply planning data'!C:C, Dashboard!$H$30)</f>
        <v>0</v>
      </c>
      <c r="G110" s="152">
        <f>SUMIFS('Supply planning data'!M:M,'Supply planning data'!D:D,"&lt;="&amp;DataViz!B110, 'Supply planning data'!C:C, Dashboard!$H$30)</f>
        <v>0</v>
      </c>
      <c r="J110" s="154"/>
      <c r="K110" s="155"/>
      <c r="O110" t="s">
        <v>217</v>
      </c>
      <c r="P110">
        <f>COUNTIFS('Supply planning data'!$N:$N,"&lt;&gt;", 'Supply planning data'!$O:$O,DataViz!$O110, 'Supply planning data'!$D:$D, DataViz!P$104)+COUNTIFS('Supply planning data'!$P:$P,"&lt;&gt;", 'Supply planning data'!$Q:$Q,DataViz!$O110, 'Supply planning data'!$D:$D, DataViz!P$104)</f>
        <v>0</v>
      </c>
      <c r="Q110">
        <f>COUNTIFS('Supply planning data'!$N:$N,"&lt;&gt;", 'Supply planning data'!$O:$O,DataViz!$O110, 'Supply planning data'!$D:$D, DataViz!Q$104)+COUNTIFS('Supply planning data'!$P:$P,"&lt;&gt;", 'Supply planning data'!$Q:$Q,DataViz!$O110, 'Supply planning data'!$D:$D, DataViz!Q$104)</f>
        <v>0</v>
      </c>
      <c r="R110">
        <f>COUNTIFS('Supply planning data'!$N:$N,"&lt;&gt;", 'Supply planning data'!$O:$O,DataViz!$O110, 'Supply planning data'!$D:$D, DataViz!R$104)+COUNTIFS('Supply planning data'!$P:$P,"&lt;&gt;", 'Supply planning data'!$Q:$Q,DataViz!$O110, 'Supply planning data'!$D:$D, DataViz!R$104)</f>
        <v>0</v>
      </c>
      <c r="S110">
        <f>COUNTIFS('Supply planning data'!$N:$N,"&lt;&gt;", 'Supply planning data'!$O:$O,DataViz!$O110, 'Supply planning data'!$D:$D, DataViz!S$104)+COUNTIFS('Supply planning data'!$P:$P,"&lt;&gt;", 'Supply planning data'!$Q:$Q,DataViz!$O110, 'Supply planning data'!$D:$D, DataViz!S$104)</f>
        <v>0</v>
      </c>
      <c r="T110">
        <f>COUNTIFS('Supply planning data'!$N:$N,"&lt;&gt;", 'Supply planning data'!$O:$O,DataViz!$O110, 'Supply planning data'!$D:$D, DataViz!T$104)+COUNTIFS('Supply planning data'!$P:$P,"&lt;&gt;", 'Supply planning data'!$Q:$Q,DataViz!$O110, 'Supply planning data'!$D:$D, DataViz!T$104)</f>
        <v>0</v>
      </c>
      <c r="U110">
        <f>COUNTIFS('Supply planning data'!$N:$N,"&lt;&gt;", 'Supply planning data'!$O:$O,DataViz!$O110, 'Supply planning data'!$D:$D, DataViz!U$104)+COUNTIFS('Supply planning data'!$P:$P,"&lt;&gt;", 'Supply planning data'!$Q:$Q,DataViz!$O110, 'Supply planning data'!$D:$D, DataViz!U$104)</f>
        <v>0</v>
      </c>
      <c r="V110">
        <f>COUNTIFS('Supply planning data'!$N:$N,"&lt;&gt;", 'Supply planning data'!$O:$O,DataViz!$O110, 'Supply planning data'!$D:$D, DataViz!V$104)+COUNTIFS('Supply planning data'!$P:$P,"&lt;&gt;", 'Supply planning data'!$Q:$Q,DataViz!$O110, 'Supply planning data'!$D:$D, DataViz!V$104)</f>
        <v>0</v>
      </c>
      <c r="W110">
        <f>COUNTIFS('Supply planning data'!$N:$N,"&lt;&gt;", 'Supply planning data'!$O:$O,DataViz!$O110, 'Supply planning data'!$D:$D, DataViz!W$104)+COUNTIFS('Supply planning data'!$P:$P,"&lt;&gt;", 'Supply planning data'!$Q:$Q,DataViz!$O110, 'Supply planning data'!$D:$D, DataViz!W$104)</f>
        <v>0</v>
      </c>
      <c r="X110">
        <f>COUNTIFS('Supply planning data'!$N:$N,"&lt;&gt;", 'Supply planning data'!$O:$O,DataViz!$O110, 'Supply planning data'!$D:$D, DataViz!X$104)+COUNTIFS('Supply planning data'!$P:$P,"&lt;&gt;", 'Supply planning data'!$Q:$Q,DataViz!$O110, 'Supply planning data'!$D:$D, DataViz!X$104)</f>
        <v>0</v>
      </c>
      <c r="Y110">
        <f>COUNTIFS('Supply planning data'!$N:$N,"&lt;&gt;", 'Supply planning data'!$O:$O,DataViz!$O110, 'Supply planning data'!$D:$D, DataViz!Y$104)+COUNTIFS('Supply planning data'!$P:$P,"&lt;&gt;", 'Supply planning data'!$Q:$Q,DataViz!$O110, 'Supply planning data'!$D:$D, DataViz!Y$104)</f>
        <v>0</v>
      </c>
      <c r="Z110">
        <f>COUNTIFS('Supply planning data'!$N:$N,"&lt;&gt;", 'Supply planning data'!$O:$O,DataViz!$O110, 'Supply planning data'!$D:$D, DataViz!Z$104)+COUNTIFS('Supply planning data'!$P:$P,"&lt;&gt;", 'Supply planning data'!$Q:$Q,DataViz!$O110, 'Supply planning data'!$D:$D, DataViz!Z$104)</f>
        <v>0</v>
      </c>
      <c r="AA110">
        <f>COUNTIFS('Supply planning data'!$N:$N,"&lt;&gt;", 'Supply planning data'!$O:$O,DataViz!$O110, 'Supply planning data'!$D:$D, DataViz!AA$104)+COUNTIFS('Supply planning data'!$P:$P,"&lt;&gt;", 'Supply planning data'!$Q:$Q,DataViz!$O110, 'Supply planning data'!$D:$D, DataViz!AA$104)</f>
        <v>0</v>
      </c>
      <c r="AB110">
        <f>COUNTIFS('Supply planning data'!$N:$N,"&lt;&gt;", 'Supply planning data'!$O:$O,DataViz!$O110, 'Supply planning data'!$D:$D, DataViz!AB$104)+COUNTIFS('Supply planning data'!$P:$P,"&lt;&gt;", 'Supply planning data'!$Q:$Q,DataViz!$O110, 'Supply planning data'!$D:$D, DataViz!AB$104)</f>
        <v>0</v>
      </c>
      <c r="AC110">
        <f>COUNTIFS('Supply planning data'!$N:$N,"&lt;&gt;", 'Supply planning data'!$O:$O,DataViz!$O110, 'Supply planning data'!$D:$D, DataViz!AC$104)+COUNTIFS('Supply planning data'!$P:$P,"&lt;&gt;", 'Supply planning data'!$Q:$Q,DataViz!$O110, 'Supply planning data'!$D:$D, DataViz!AC$104)</f>
        <v>0</v>
      </c>
      <c r="AD110">
        <f>COUNTIFS('Supply planning data'!$N:$N,"&lt;&gt;", 'Supply planning data'!$O:$O,DataViz!$O110, 'Supply planning data'!$D:$D, DataViz!AD$104)+COUNTIFS('Supply planning data'!$P:$P,"&lt;&gt;", 'Supply planning data'!$Q:$Q,DataViz!$O110, 'Supply planning data'!$D:$D, DataViz!AD$104)</f>
        <v>0</v>
      </c>
      <c r="AE110">
        <f>COUNTIFS('Supply planning data'!$N:$N,"&lt;&gt;", 'Supply planning data'!$O:$O,DataViz!$O110, 'Supply planning data'!$D:$D, DataViz!AE$104)+COUNTIFS('Supply planning data'!$P:$P,"&lt;&gt;", 'Supply planning data'!$Q:$Q,DataViz!$O110, 'Supply planning data'!$D:$D, DataViz!AE$104)</f>
        <v>0</v>
      </c>
      <c r="AF110">
        <f>COUNTIFS('Supply planning data'!$N:$N,"&lt;&gt;", 'Supply planning data'!$O:$O,DataViz!$O110, 'Supply planning data'!$D:$D, DataViz!AF$104)+COUNTIFS('Supply planning data'!$P:$P,"&lt;&gt;", 'Supply planning data'!$Q:$Q,DataViz!$O110, 'Supply planning data'!$D:$D, DataViz!AF$104)</f>
        <v>0</v>
      </c>
      <c r="AG110">
        <f>COUNTIFS('Supply planning data'!$N:$N,"&lt;&gt;", 'Supply planning data'!$O:$O,DataViz!$O110, 'Supply planning data'!$D:$D, DataViz!AG$104)+COUNTIFS('Supply planning data'!$P:$P,"&lt;&gt;", 'Supply planning data'!$Q:$Q,DataViz!$O110, 'Supply planning data'!$D:$D, DataViz!AG$104)</f>
        <v>0</v>
      </c>
      <c r="AH110">
        <f>COUNTIFS('Supply planning data'!$N:$N,"&lt;&gt;", 'Supply planning data'!$O:$O,DataViz!$O110, 'Supply planning data'!$D:$D, DataViz!AH$104)+COUNTIFS('Supply planning data'!$P:$P,"&lt;&gt;", 'Supply planning data'!$Q:$Q,DataViz!$O110, 'Supply planning data'!$D:$D, DataViz!AH$104)</f>
        <v>0</v>
      </c>
      <c r="AI110">
        <f>COUNTIFS('Supply planning data'!$N:$N,"&lt;&gt;", 'Supply planning data'!$O:$O,DataViz!$O110, 'Supply planning data'!$D:$D, DataViz!AI$104)+COUNTIFS('Supply planning data'!$P:$P,"&lt;&gt;", 'Supply planning data'!$Q:$Q,DataViz!$O110, 'Supply planning data'!$D:$D, DataViz!AI$104)</f>
        <v>0</v>
      </c>
      <c r="AJ110">
        <f>COUNTIFS('Supply planning data'!$N:$N,"&lt;&gt;", 'Supply planning data'!$O:$O,DataViz!$O110, 'Supply planning data'!$D:$D, DataViz!AJ$104)+COUNTIFS('Supply planning data'!$P:$P,"&lt;&gt;", 'Supply planning data'!$Q:$Q,DataViz!$O110, 'Supply planning data'!$D:$D, DataViz!AJ$104)</f>
        <v>0</v>
      </c>
      <c r="AK110">
        <f>COUNTIFS('Supply planning data'!$N:$N,"&lt;&gt;", 'Supply planning data'!$O:$O,DataViz!$O110, 'Supply planning data'!$D:$D, DataViz!AK$104)+COUNTIFS('Supply planning data'!$P:$P,"&lt;&gt;", 'Supply planning data'!$Q:$Q,DataViz!$O110, 'Supply planning data'!$D:$D, DataViz!AK$104)</f>
        <v>0</v>
      </c>
      <c r="AL110">
        <f>COUNTIFS('Supply planning data'!$N:$N,"&lt;&gt;", 'Supply planning data'!$O:$O,DataViz!$O110, 'Supply planning data'!$D:$D, DataViz!AL$104)+COUNTIFS('Supply planning data'!$P:$P,"&lt;&gt;", 'Supply planning data'!$Q:$Q,DataViz!$O110, 'Supply planning data'!$D:$D, DataViz!AL$104)</f>
        <v>0</v>
      </c>
      <c r="AM110">
        <f>COUNTIFS('Supply planning data'!$N:$N,"&lt;&gt;", 'Supply planning data'!$O:$O,DataViz!$O110, 'Supply planning data'!$D:$D, DataViz!AM$104)+COUNTIFS('Supply planning data'!$P:$P,"&lt;&gt;", 'Supply planning data'!$Q:$Q,DataViz!$O110, 'Supply planning data'!$D:$D, DataViz!AM$104)</f>
        <v>0</v>
      </c>
      <c r="AO110" t="s">
        <v>217</v>
      </c>
      <c r="AP110" s="41">
        <f>ABS(SUMIFS('Supply planning data'!$N:$N,'Supply planning data'!$O:$O,DataViz!$AO110,'Supply planning data'!$D:$D,DataViz!AP$104)+SUMIFS('Supply planning data'!$P:$P,'Supply planning data'!$Q:$Q,DataViz!$AO110,'Supply planning data'!$D:$D,DataViz!AP$104))</f>
        <v>0</v>
      </c>
      <c r="AQ110" s="41">
        <f>ABS(SUMIFS('Supply planning data'!$N:$N,'Supply planning data'!$O:$O,DataViz!$AO110,'Supply planning data'!$D:$D,DataViz!AQ$104)+SUMIFS('Supply planning data'!$P:$P,'Supply planning data'!$Q:$Q,DataViz!$AO110,'Supply planning data'!$D:$D,DataViz!AQ$104))</f>
        <v>0</v>
      </c>
      <c r="AR110" s="41">
        <f>ABS(SUMIFS('Supply planning data'!$N:$N,'Supply planning data'!$O:$O,DataViz!$AO110,'Supply planning data'!$D:$D,DataViz!AR$104)+SUMIFS('Supply planning data'!$P:$P,'Supply planning data'!$Q:$Q,DataViz!$AO110,'Supply planning data'!$D:$D,DataViz!AR$104))</f>
        <v>0</v>
      </c>
      <c r="AS110" s="41">
        <f>ABS(SUMIFS('Supply planning data'!$N:$N,'Supply planning data'!$O:$O,DataViz!$AO110,'Supply planning data'!$D:$D,DataViz!AS$104)+SUMIFS('Supply planning data'!$P:$P,'Supply planning data'!$Q:$Q,DataViz!$AO110,'Supply planning data'!$D:$D,DataViz!AS$104))</f>
        <v>0</v>
      </c>
      <c r="AT110" s="41">
        <f>ABS(SUMIFS('Supply planning data'!$N:$N,'Supply planning data'!$O:$O,DataViz!$AO110,'Supply planning data'!$D:$D,DataViz!AT$104)+SUMIFS('Supply planning data'!$P:$P,'Supply planning data'!$Q:$Q,DataViz!$AO110,'Supply planning data'!$D:$D,DataViz!AT$104))</f>
        <v>0</v>
      </c>
      <c r="AU110" s="41">
        <f>ABS(SUMIFS('Supply planning data'!$N:$N,'Supply planning data'!$O:$O,DataViz!$AO110,'Supply planning data'!$D:$D,DataViz!AU$104)+SUMIFS('Supply planning data'!$P:$P,'Supply planning data'!$Q:$Q,DataViz!$AO110,'Supply planning data'!$D:$D,DataViz!AU$104))</f>
        <v>0</v>
      </c>
      <c r="AV110" s="41">
        <f>ABS(SUMIFS('Supply planning data'!$N:$N,'Supply planning data'!$O:$O,DataViz!$AO110,'Supply planning data'!$D:$D,DataViz!AV$104)+SUMIFS('Supply planning data'!$P:$P,'Supply planning data'!$Q:$Q,DataViz!$AO110,'Supply planning data'!$D:$D,DataViz!AV$104))</f>
        <v>0</v>
      </c>
      <c r="AW110" s="41">
        <f>ABS(SUMIFS('Supply planning data'!$N:$N,'Supply planning data'!$O:$O,DataViz!$AO110,'Supply planning data'!$D:$D,DataViz!AW$104)+SUMIFS('Supply planning data'!$P:$P,'Supply planning data'!$Q:$Q,DataViz!$AO110,'Supply planning data'!$D:$D,DataViz!AW$104))</f>
        <v>0</v>
      </c>
      <c r="AX110" s="41">
        <f>ABS(SUMIFS('Supply planning data'!$N:$N,'Supply planning data'!$O:$O,DataViz!$AO110,'Supply planning data'!$D:$D,DataViz!AX$104)+SUMIFS('Supply planning data'!$P:$P,'Supply planning data'!$Q:$Q,DataViz!$AO110,'Supply planning data'!$D:$D,DataViz!AX$104))</f>
        <v>0</v>
      </c>
      <c r="AY110" s="41">
        <f>ABS(SUMIFS('Supply planning data'!$N:$N,'Supply planning data'!$O:$O,DataViz!$AO110,'Supply planning data'!$D:$D,DataViz!AY$104)+SUMIFS('Supply planning data'!$P:$P,'Supply planning data'!$Q:$Q,DataViz!$AO110,'Supply planning data'!$D:$D,DataViz!AY$104))</f>
        <v>0</v>
      </c>
      <c r="AZ110" s="41">
        <f>ABS(SUMIFS('Supply planning data'!$N:$N,'Supply planning data'!$O:$O,DataViz!$AO110,'Supply planning data'!$D:$D,DataViz!AZ$104)+SUMIFS('Supply planning data'!$P:$P,'Supply planning data'!$Q:$Q,DataViz!$AO110,'Supply planning data'!$D:$D,DataViz!AZ$104))</f>
        <v>0</v>
      </c>
      <c r="BA110" s="41">
        <f>ABS(SUMIFS('Supply planning data'!$N:$N,'Supply planning data'!$O:$O,DataViz!$AO110,'Supply planning data'!$D:$D,DataViz!BA$104)+SUMIFS('Supply planning data'!$P:$P,'Supply planning data'!$Q:$Q,DataViz!$AO110,'Supply planning data'!$D:$D,DataViz!BA$104))</f>
        <v>0</v>
      </c>
      <c r="BB110" s="41">
        <f>ABS(SUMIFS('Supply planning data'!$N:$N,'Supply planning data'!$O:$O,DataViz!$AO110,'Supply planning data'!$D:$D,DataViz!BB$104)+SUMIFS('Supply planning data'!$P:$P,'Supply planning data'!$Q:$Q,DataViz!$AO110,'Supply planning data'!$D:$D,DataViz!BB$104))</f>
        <v>0</v>
      </c>
      <c r="BC110" s="41">
        <f>ABS(SUMIFS('Supply planning data'!$N:$N,'Supply planning data'!$O:$O,DataViz!$AO110,'Supply planning data'!$D:$D,DataViz!BC$104)+SUMIFS('Supply planning data'!$P:$P,'Supply planning data'!$Q:$Q,DataViz!$AO110,'Supply planning data'!$D:$D,DataViz!BC$104))</f>
        <v>0</v>
      </c>
      <c r="BD110" s="41">
        <f>ABS(SUMIFS('Supply planning data'!$N:$N,'Supply planning data'!$O:$O,DataViz!$AO110,'Supply planning data'!$D:$D,DataViz!BD$104)+SUMIFS('Supply planning data'!$P:$P,'Supply planning data'!$Q:$Q,DataViz!$AO110,'Supply planning data'!$D:$D,DataViz!BD$104))</f>
        <v>0</v>
      </c>
      <c r="BE110" s="41">
        <f>ABS(SUMIFS('Supply planning data'!$N:$N,'Supply planning data'!$O:$O,DataViz!$AO110,'Supply planning data'!$D:$D,DataViz!BE$104)+SUMIFS('Supply planning data'!$P:$P,'Supply planning data'!$Q:$Q,DataViz!$AO110,'Supply planning data'!$D:$D,DataViz!BE$104))</f>
        <v>0</v>
      </c>
      <c r="BF110" s="41">
        <f>ABS(SUMIFS('Supply planning data'!$N:$N,'Supply planning data'!$O:$O,DataViz!$AO110,'Supply planning data'!$D:$D,DataViz!BF$104)+SUMIFS('Supply planning data'!$P:$P,'Supply planning data'!$Q:$Q,DataViz!$AO110,'Supply planning data'!$D:$D,DataViz!BF$104))</f>
        <v>0</v>
      </c>
      <c r="BG110" s="41">
        <f>ABS(SUMIFS('Supply planning data'!$N:$N,'Supply planning data'!$O:$O,DataViz!$AO110,'Supply planning data'!$D:$D,DataViz!BG$104)+SUMIFS('Supply planning data'!$P:$P,'Supply planning data'!$Q:$Q,DataViz!$AO110,'Supply planning data'!$D:$D,DataViz!BG$104))</f>
        <v>0</v>
      </c>
      <c r="BH110" s="41">
        <f>ABS(SUMIFS('Supply planning data'!$N:$N,'Supply planning data'!$O:$O,DataViz!$AO110,'Supply planning data'!$D:$D,DataViz!BH$104)+SUMIFS('Supply planning data'!$P:$P,'Supply planning data'!$Q:$Q,DataViz!$AO110,'Supply planning data'!$D:$D,DataViz!BH$104))</f>
        <v>0</v>
      </c>
      <c r="BI110" s="41">
        <f>ABS(SUMIFS('Supply planning data'!$N:$N,'Supply planning data'!$O:$O,DataViz!$AO110,'Supply planning data'!$D:$D,DataViz!BI$104)+SUMIFS('Supply planning data'!$P:$P,'Supply planning data'!$Q:$Q,DataViz!$AO110,'Supply planning data'!$D:$D,DataViz!BI$104))</f>
        <v>0</v>
      </c>
      <c r="BJ110" s="41">
        <f>ABS(SUMIFS('Supply planning data'!$N:$N,'Supply planning data'!$O:$O,DataViz!$AO110,'Supply planning data'!$D:$D,DataViz!BJ$104)+SUMIFS('Supply planning data'!$P:$P,'Supply planning data'!$Q:$Q,DataViz!$AO110,'Supply planning data'!$D:$D,DataViz!BJ$104))</f>
        <v>0</v>
      </c>
      <c r="BK110" s="41">
        <f>ABS(SUMIFS('Supply planning data'!$N:$N,'Supply planning data'!$O:$O,DataViz!$AO110,'Supply planning data'!$D:$D,DataViz!BK$104)+SUMIFS('Supply planning data'!$P:$P,'Supply planning data'!$Q:$Q,DataViz!$AO110,'Supply planning data'!$D:$D,DataViz!BK$104))</f>
        <v>0</v>
      </c>
      <c r="BL110" s="41">
        <f>ABS(SUMIFS('Supply planning data'!$N:$N,'Supply planning data'!$O:$O,DataViz!$AO110,'Supply planning data'!$D:$D,DataViz!BL$104)+SUMIFS('Supply planning data'!$P:$P,'Supply planning data'!$Q:$Q,DataViz!$AO110,'Supply planning data'!$D:$D,DataViz!BL$104))</f>
        <v>0</v>
      </c>
      <c r="BM110" s="41">
        <f>ABS(SUMIFS('Supply planning data'!$N:$N,'Supply planning data'!$O:$O,DataViz!$AO110,'Supply planning data'!$D:$D,DataViz!BM$104)+SUMIFS('Supply planning data'!$P:$P,'Supply planning data'!$Q:$Q,DataViz!$AO110,'Supply planning data'!$D:$D,DataViz!BM$104))</f>
        <v>0</v>
      </c>
    </row>
    <row r="111" spans="1:65" x14ac:dyDescent="0.25">
      <c r="A111" s="150">
        <v>7</v>
      </c>
      <c r="B111" s="151">
        <f t="shared" si="23"/>
        <v>44470</v>
      </c>
      <c r="C111" s="152">
        <f>SUMIFS('Supply planning data'!G:G,'Supply planning data'!D:D,"&lt;="&amp;DataViz!B111, 'Supply planning data'!C:C, Dashboard!$H$30)</f>
        <v>0</v>
      </c>
      <c r="D111" s="152">
        <f>SUMIFS('Supply planning data'!H:H,'Supply planning data'!D:D,"&lt;="&amp;DataViz!B111, 'Supply planning data'!C:C, Dashboard!$H$30)</f>
        <v>0</v>
      </c>
      <c r="E111" s="152">
        <f>SUMIFS('Supply planning data'!I:I,'Supply planning data'!D:D,"&lt;="&amp;DataViz!B111, 'Supply planning data'!C:C, Dashboard!$H$30)</f>
        <v>0</v>
      </c>
      <c r="F111" s="152">
        <f>SUMIFS('Supply planning data'!K:K,'Supply planning data'!D:D,"&lt;="&amp;DataViz!B111, 'Supply planning data'!C:C, Dashboard!$H$30)</f>
        <v>0</v>
      </c>
      <c r="G111" s="152">
        <f>SUMIFS('Supply planning data'!M:M,'Supply planning data'!D:D,"&lt;="&amp;DataViz!B111, 'Supply planning data'!C:C, Dashboard!$H$30)</f>
        <v>0</v>
      </c>
      <c r="J111" s="154"/>
      <c r="K111" s="155"/>
      <c r="O111" t="s">
        <v>218</v>
      </c>
      <c r="P111">
        <f>COUNTIFS('Supply planning data'!$N:$N,"&lt;&gt;", 'Supply planning data'!$O:$O,DataViz!$O111, 'Supply planning data'!$D:$D, DataViz!P$104)+COUNTIFS('Supply planning data'!$P:$P,"&lt;&gt;", 'Supply planning data'!$Q:$Q,DataViz!$O111, 'Supply planning data'!$D:$D, DataViz!P$104)</f>
        <v>0</v>
      </c>
      <c r="Q111">
        <f>COUNTIFS('Supply planning data'!$N:$N,"&lt;&gt;", 'Supply planning data'!$O:$O,DataViz!$O111, 'Supply planning data'!$D:$D, DataViz!Q$104)+COUNTIFS('Supply planning data'!$P:$P,"&lt;&gt;", 'Supply planning data'!$Q:$Q,DataViz!$O111, 'Supply planning data'!$D:$D, DataViz!Q$104)</f>
        <v>0</v>
      </c>
      <c r="R111">
        <f>COUNTIFS('Supply planning data'!$N:$N,"&lt;&gt;", 'Supply planning data'!$O:$O,DataViz!$O111, 'Supply planning data'!$D:$D, DataViz!R$104)+COUNTIFS('Supply planning data'!$P:$P,"&lt;&gt;", 'Supply planning data'!$Q:$Q,DataViz!$O111, 'Supply planning data'!$D:$D, DataViz!R$104)</f>
        <v>0</v>
      </c>
      <c r="S111">
        <f>COUNTIFS('Supply planning data'!$N:$N,"&lt;&gt;", 'Supply planning data'!$O:$O,DataViz!$O111, 'Supply planning data'!$D:$D, DataViz!S$104)+COUNTIFS('Supply planning data'!$P:$P,"&lt;&gt;", 'Supply planning data'!$Q:$Q,DataViz!$O111, 'Supply planning data'!$D:$D, DataViz!S$104)</f>
        <v>0</v>
      </c>
      <c r="T111">
        <f>COUNTIFS('Supply planning data'!$N:$N,"&lt;&gt;", 'Supply planning data'!$O:$O,DataViz!$O111, 'Supply planning data'!$D:$D, DataViz!T$104)+COUNTIFS('Supply planning data'!$P:$P,"&lt;&gt;", 'Supply planning data'!$Q:$Q,DataViz!$O111, 'Supply planning data'!$D:$D, DataViz!T$104)</f>
        <v>0</v>
      </c>
      <c r="U111">
        <f>COUNTIFS('Supply planning data'!$N:$N,"&lt;&gt;", 'Supply planning data'!$O:$O,DataViz!$O111, 'Supply planning data'!$D:$D, DataViz!U$104)+COUNTIFS('Supply planning data'!$P:$P,"&lt;&gt;", 'Supply planning data'!$Q:$Q,DataViz!$O111, 'Supply planning data'!$D:$D, DataViz!U$104)</f>
        <v>0</v>
      </c>
      <c r="V111">
        <f>COUNTIFS('Supply planning data'!$N:$N,"&lt;&gt;", 'Supply planning data'!$O:$O,DataViz!$O111, 'Supply planning data'!$D:$D, DataViz!V$104)+COUNTIFS('Supply planning data'!$P:$P,"&lt;&gt;", 'Supply planning data'!$Q:$Q,DataViz!$O111, 'Supply planning data'!$D:$D, DataViz!V$104)</f>
        <v>0</v>
      </c>
      <c r="W111">
        <f>COUNTIFS('Supply planning data'!$N:$N,"&lt;&gt;", 'Supply planning data'!$O:$O,DataViz!$O111, 'Supply planning data'!$D:$D, DataViz!W$104)+COUNTIFS('Supply planning data'!$P:$P,"&lt;&gt;", 'Supply planning data'!$Q:$Q,DataViz!$O111, 'Supply planning data'!$D:$D, DataViz!W$104)</f>
        <v>0</v>
      </c>
      <c r="X111">
        <f>COUNTIFS('Supply planning data'!$N:$N,"&lt;&gt;", 'Supply planning data'!$O:$O,DataViz!$O111, 'Supply planning data'!$D:$D, DataViz!X$104)+COUNTIFS('Supply planning data'!$P:$P,"&lt;&gt;", 'Supply planning data'!$Q:$Q,DataViz!$O111, 'Supply planning data'!$D:$D, DataViz!X$104)</f>
        <v>0</v>
      </c>
      <c r="Y111">
        <f>COUNTIFS('Supply planning data'!$N:$N,"&lt;&gt;", 'Supply planning data'!$O:$O,DataViz!$O111, 'Supply planning data'!$D:$D, DataViz!Y$104)+COUNTIFS('Supply planning data'!$P:$P,"&lt;&gt;", 'Supply planning data'!$Q:$Q,DataViz!$O111, 'Supply planning data'!$D:$D, DataViz!Y$104)</f>
        <v>0</v>
      </c>
      <c r="Z111">
        <f>COUNTIFS('Supply planning data'!$N:$N,"&lt;&gt;", 'Supply planning data'!$O:$O,DataViz!$O111, 'Supply planning data'!$D:$D, DataViz!Z$104)+COUNTIFS('Supply planning data'!$P:$P,"&lt;&gt;", 'Supply planning data'!$Q:$Q,DataViz!$O111, 'Supply planning data'!$D:$D, DataViz!Z$104)</f>
        <v>0</v>
      </c>
      <c r="AA111">
        <f>COUNTIFS('Supply planning data'!$N:$N,"&lt;&gt;", 'Supply planning data'!$O:$O,DataViz!$O111, 'Supply planning data'!$D:$D, DataViz!AA$104)+COUNTIFS('Supply planning data'!$P:$P,"&lt;&gt;", 'Supply planning data'!$Q:$Q,DataViz!$O111, 'Supply planning data'!$D:$D, DataViz!AA$104)</f>
        <v>0</v>
      </c>
      <c r="AB111">
        <f>COUNTIFS('Supply planning data'!$N:$N,"&lt;&gt;", 'Supply planning data'!$O:$O,DataViz!$O111, 'Supply planning data'!$D:$D, DataViz!AB$104)+COUNTIFS('Supply planning data'!$P:$P,"&lt;&gt;", 'Supply planning data'!$Q:$Q,DataViz!$O111, 'Supply planning data'!$D:$D, DataViz!AB$104)</f>
        <v>0</v>
      </c>
      <c r="AC111">
        <f>COUNTIFS('Supply planning data'!$N:$N,"&lt;&gt;", 'Supply planning data'!$O:$O,DataViz!$O111, 'Supply planning data'!$D:$D, DataViz!AC$104)+COUNTIFS('Supply planning data'!$P:$P,"&lt;&gt;", 'Supply planning data'!$Q:$Q,DataViz!$O111, 'Supply planning data'!$D:$D, DataViz!AC$104)</f>
        <v>0</v>
      </c>
      <c r="AD111">
        <f>COUNTIFS('Supply planning data'!$N:$N,"&lt;&gt;", 'Supply planning data'!$O:$O,DataViz!$O111, 'Supply planning data'!$D:$D, DataViz!AD$104)+COUNTIFS('Supply planning data'!$P:$P,"&lt;&gt;", 'Supply planning data'!$Q:$Q,DataViz!$O111, 'Supply planning data'!$D:$D, DataViz!AD$104)</f>
        <v>0</v>
      </c>
      <c r="AE111">
        <f>COUNTIFS('Supply planning data'!$N:$N,"&lt;&gt;", 'Supply planning data'!$O:$O,DataViz!$O111, 'Supply planning data'!$D:$D, DataViz!AE$104)+COUNTIFS('Supply planning data'!$P:$P,"&lt;&gt;", 'Supply planning data'!$Q:$Q,DataViz!$O111, 'Supply planning data'!$D:$D, DataViz!AE$104)</f>
        <v>0</v>
      </c>
      <c r="AF111">
        <f>COUNTIFS('Supply planning data'!$N:$N,"&lt;&gt;", 'Supply planning data'!$O:$O,DataViz!$O111, 'Supply planning data'!$D:$D, DataViz!AF$104)+COUNTIFS('Supply planning data'!$P:$P,"&lt;&gt;", 'Supply planning data'!$Q:$Q,DataViz!$O111, 'Supply planning data'!$D:$D, DataViz!AF$104)</f>
        <v>0</v>
      </c>
      <c r="AG111">
        <f>COUNTIFS('Supply planning data'!$N:$N,"&lt;&gt;", 'Supply planning data'!$O:$O,DataViz!$O111, 'Supply planning data'!$D:$D, DataViz!AG$104)+COUNTIFS('Supply planning data'!$P:$P,"&lt;&gt;", 'Supply planning data'!$Q:$Q,DataViz!$O111, 'Supply planning data'!$D:$D, DataViz!AG$104)</f>
        <v>0</v>
      </c>
      <c r="AH111">
        <f>COUNTIFS('Supply planning data'!$N:$N,"&lt;&gt;", 'Supply planning data'!$O:$O,DataViz!$O111, 'Supply planning data'!$D:$D, DataViz!AH$104)+COUNTIFS('Supply planning data'!$P:$P,"&lt;&gt;", 'Supply planning data'!$Q:$Q,DataViz!$O111, 'Supply planning data'!$D:$D, DataViz!AH$104)</f>
        <v>0</v>
      </c>
      <c r="AI111">
        <f>COUNTIFS('Supply planning data'!$N:$N,"&lt;&gt;", 'Supply planning data'!$O:$O,DataViz!$O111, 'Supply planning data'!$D:$D, DataViz!AI$104)+COUNTIFS('Supply planning data'!$P:$P,"&lt;&gt;", 'Supply planning data'!$Q:$Q,DataViz!$O111, 'Supply planning data'!$D:$D, DataViz!AI$104)</f>
        <v>0</v>
      </c>
      <c r="AJ111">
        <f>COUNTIFS('Supply planning data'!$N:$N,"&lt;&gt;", 'Supply planning data'!$O:$O,DataViz!$O111, 'Supply planning data'!$D:$D, DataViz!AJ$104)+COUNTIFS('Supply planning data'!$P:$P,"&lt;&gt;", 'Supply planning data'!$Q:$Q,DataViz!$O111, 'Supply planning data'!$D:$D, DataViz!AJ$104)</f>
        <v>0</v>
      </c>
      <c r="AK111">
        <f>COUNTIFS('Supply planning data'!$N:$N,"&lt;&gt;", 'Supply planning data'!$O:$O,DataViz!$O111, 'Supply planning data'!$D:$D, DataViz!AK$104)+COUNTIFS('Supply planning data'!$P:$P,"&lt;&gt;", 'Supply planning data'!$Q:$Q,DataViz!$O111, 'Supply planning data'!$D:$D, DataViz!AK$104)</f>
        <v>0</v>
      </c>
      <c r="AL111">
        <f>COUNTIFS('Supply planning data'!$N:$N,"&lt;&gt;", 'Supply planning data'!$O:$O,DataViz!$O111, 'Supply planning data'!$D:$D, DataViz!AL$104)+COUNTIFS('Supply planning data'!$P:$P,"&lt;&gt;", 'Supply planning data'!$Q:$Q,DataViz!$O111, 'Supply planning data'!$D:$D, DataViz!AL$104)</f>
        <v>0</v>
      </c>
      <c r="AM111">
        <f>COUNTIFS('Supply planning data'!$N:$N,"&lt;&gt;", 'Supply planning data'!$O:$O,DataViz!$O111, 'Supply planning data'!$D:$D, DataViz!AM$104)+COUNTIFS('Supply planning data'!$P:$P,"&lt;&gt;", 'Supply planning data'!$Q:$Q,DataViz!$O111, 'Supply planning data'!$D:$D, DataViz!AM$104)</f>
        <v>0</v>
      </c>
      <c r="AO111" t="s">
        <v>218</v>
      </c>
      <c r="AP111" s="41">
        <f>ABS(SUMIFS('Supply planning data'!$N:$N,'Supply planning data'!$O:$O,DataViz!$AO111,'Supply planning data'!$D:$D,DataViz!AP$104)+SUMIFS('Supply planning data'!$P:$P,'Supply planning data'!$Q:$Q,DataViz!$AO111,'Supply planning data'!$D:$D,DataViz!AP$104))</f>
        <v>0</v>
      </c>
      <c r="AQ111" s="41">
        <f>ABS(SUMIFS('Supply planning data'!$N:$N,'Supply planning data'!$O:$O,DataViz!$AO111,'Supply planning data'!$D:$D,DataViz!AQ$104)+SUMIFS('Supply planning data'!$P:$P,'Supply planning data'!$Q:$Q,DataViz!$AO111,'Supply planning data'!$D:$D,DataViz!AQ$104))</f>
        <v>0</v>
      </c>
      <c r="AR111" s="41">
        <f>ABS(SUMIFS('Supply planning data'!$N:$N,'Supply planning data'!$O:$O,DataViz!$AO111,'Supply planning data'!$D:$D,DataViz!AR$104)+SUMIFS('Supply planning data'!$P:$P,'Supply planning data'!$Q:$Q,DataViz!$AO111,'Supply planning data'!$D:$D,DataViz!AR$104))</f>
        <v>0</v>
      </c>
      <c r="AS111" s="41">
        <f>ABS(SUMIFS('Supply planning data'!$N:$N,'Supply planning data'!$O:$O,DataViz!$AO111,'Supply planning data'!$D:$D,DataViz!AS$104)+SUMIFS('Supply planning data'!$P:$P,'Supply planning data'!$Q:$Q,DataViz!$AO111,'Supply planning data'!$D:$D,DataViz!AS$104))</f>
        <v>0</v>
      </c>
      <c r="AT111" s="41">
        <f>ABS(SUMIFS('Supply planning data'!$N:$N,'Supply planning data'!$O:$O,DataViz!$AO111,'Supply planning data'!$D:$D,DataViz!AT$104)+SUMIFS('Supply planning data'!$P:$P,'Supply planning data'!$Q:$Q,DataViz!$AO111,'Supply planning data'!$D:$D,DataViz!AT$104))</f>
        <v>0</v>
      </c>
      <c r="AU111" s="41">
        <f>ABS(SUMIFS('Supply planning data'!$N:$N,'Supply planning data'!$O:$O,DataViz!$AO111,'Supply planning data'!$D:$D,DataViz!AU$104)+SUMIFS('Supply planning data'!$P:$P,'Supply planning data'!$Q:$Q,DataViz!$AO111,'Supply planning data'!$D:$D,DataViz!AU$104))</f>
        <v>0</v>
      </c>
      <c r="AV111" s="41">
        <f>ABS(SUMIFS('Supply planning data'!$N:$N,'Supply planning data'!$O:$O,DataViz!$AO111,'Supply planning data'!$D:$D,DataViz!AV$104)+SUMIFS('Supply planning data'!$P:$P,'Supply planning data'!$Q:$Q,DataViz!$AO111,'Supply planning data'!$D:$D,DataViz!AV$104))</f>
        <v>0</v>
      </c>
      <c r="AW111" s="41">
        <f>ABS(SUMIFS('Supply planning data'!$N:$N,'Supply planning data'!$O:$O,DataViz!$AO111,'Supply planning data'!$D:$D,DataViz!AW$104)+SUMIFS('Supply planning data'!$P:$P,'Supply planning data'!$Q:$Q,DataViz!$AO111,'Supply planning data'!$D:$D,DataViz!AW$104))</f>
        <v>0</v>
      </c>
      <c r="AX111" s="41">
        <f>ABS(SUMIFS('Supply planning data'!$N:$N,'Supply planning data'!$O:$O,DataViz!$AO111,'Supply planning data'!$D:$D,DataViz!AX$104)+SUMIFS('Supply planning data'!$P:$P,'Supply planning data'!$Q:$Q,DataViz!$AO111,'Supply planning data'!$D:$D,DataViz!AX$104))</f>
        <v>0</v>
      </c>
      <c r="AY111" s="41">
        <f>ABS(SUMIFS('Supply planning data'!$N:$N,'Supply planning data'!$O:$O,DataViz!$AO111,'Supply planning data'!$D:$D,DataViz!AY$104)+SUMIFS('Supply planning data'!$P:$P,'Supply planning data'!$Q:$Q,DataViz!$AO111,'Supply planning data'!$D:$D,DataViz!AY$104))</f>
        <v>0</v>
      </c>
      <c r="AZ111" s="41">
        <f>ABS(SUMIFS('Supply planning data'!$N:$N,'Supply planning data'!$O:$O,DataViz!$AO111,'Supply planning data'!$D:$D,DataViz!AZ$104)+SUMIFS('Supply planning data'!$P:$P,'Supply planning data'!$Q:$Q,DataViz!$AO111,'Supply planning data'!$D:$D,DataViz!AZ$104))</f>
        <v>0</v>
      </c>
      <c r="BA111" s="41">
        <f>ABS(SUMIFS('Supply planning data'!$N:$N,'Supply planning data'!$O:$O,DataViz!$AO111,'Supply planning data'!$D:$D,DataViz!BA$104)+SUMIFS('Supply planning data'!$P:$P,'Supply planning data'!$Q:$Q,DataViz!$AO111,'Supply planning data'!$D:$D,DataViz!BA$104))</f>
        <v>0</v>
      </c>
      <c r="BB111" s="41">
        <f>ABS(SUMIFS('Supply planning data'!$N:$N,'Supply planning data'!$O:$O,DataViz!$AO111,'Supply planning data'!$D:$D,DataViz!BB$104)+SUMIFS('Supply planning data'!$P:$P,'Supply planning data'!$Q:$Q,DataViz!$AO111,'Supply planning data'!$D:$D,DataViz!BB$104))</f>
        <v>0</v>
      </c>
      <c r="BC111" s="41">
        <f>ABS(SUMIFS('Supply planning data'!$N:$N,'Supply planning data'!$O:$O,DataViz!$AO111,'Supply planning data'!$D:$D,DataViz!BC$104)+SUMIFS('Supply planning data'!$P:$P,'Supply planning data'!$Q:$Q,DataViz!$AO111,'Supply planning data'!$D:$D,DataViz!BC$104))</f>
        <v>0</v>
      </c>
      <c r="BD111" s="41">
        <f>ABS(SUMIFS('Supply planning data'!$N:$N,'Supply planning data'!$O:$O,DataViz!$AO111,'Supply planning data'!$D:$D,DataViz!BD$104)+SUMIFS('Supply planning data'!$P:$P,'Supply planning data'!$Q:$Q,DataViz!$AO111,'Supply planning data'!$D:$D,DataViz!BD$104))</f>
        <v>0</v>
      </c>
      <c r="BE111" s="41">
        <f>ABS(SUMIFS('Supply planning data'!$N:$N,'Supply planning data'!$O:$O,DataViz!$AO111,'Supply planning data'!$D:$D,DataViz!BE$104)+SUMIFS('Supply planning data'!$P:$P,'Supply planning data'!$Q:$Q,DataViz!$AO111,'Supply planning data'!$D:$D,DataViz!BE$104))</f>
        <v>0</v>
      </c>
      <c r="BF111" s="41">
        <f>ABS(SUMIFS('Supply planning data'!$N:$N,'Supply planning data'!$O:$O,DataViz!$AO111,'Supply planning data'!$D:$D,DataViz!BF$104)+SUMIFS('Supply planning data'!$P:$P,'Supply planning data'!$Q:$Q,DataViz!$AO111,'Supply planning data'!$D:$D,DataViz!BF$104))</f>
        <v>0</v>
      </c>
      <c r="BG111" s="41">
        <f>ABS(SUMIFS('Supply planning data'!$N:$N,'Supply planning data'!$O:$O,DataViz!$AO111,'Supply planning data'!$D:$D,DataViz!BG$104)+SUMIFS('Supply planning data'!$P:$P,'Supply planning data'!$Q:$Q,DataViz!$AO111,'Supply planning data'!$D:$D,DataViz!BG$104))</f>
        <v>0</v>
      </c>
      <c r="BH111" s="41">
        <f>ABS(SUMIFS('Supply planning data'!$N:$N,'Supply planning data'!$O:$O,DataViz!$AO111,'Supply planning data'!$D:$D,DataViz!BH$104)+SUMIFS('Supply planning data'!$P:$P,'Supply planning data'!$Q:$Q,DataViz!$AO111,'Supply planning data'!$D:$D,DataViz!BH$104))</f>
        <v>0</v>
      </c>
      <c r="BI111" s="41">
        <f>ABS(SUMIFS('Supply planning data'!$N:$N,'Supply planning data'!$O:$O,DataViz!$AO111,'Supply planning data'!$D:$D,DataViz!BI$104)+SUMIFS('Supply planning data'!$P:$P,'Supply planning data'!$Q:$Q,DataViz!$AO111,'Supply planning data'!$D:$D,DataViz!BI$104))</f>
        <v>0</v>
      </c>
      <c r="BJ111" s="41">
        <f>ABS(SUMIFS('Supply planning data'!$N:$N,'Supply planning data'!$O:$O,DataViz!$AO111,'Supply planning data'!$D:$D,DataViz!BJ$104)+SUMIFS('Supply planning data'!$P:$P,'Supply planning data'!$Q:$Q,DataViz!$AO111,'Supply planning data'!$D:$D,DataViz!BJ$104))</f>
        <v>0</v>
      </c>
      <c r="BK111" s="41">
        <f>ABS(SUMIFS('Supply planning data'!$N:$N,'Supply planning data'!$O:$O,DataViz!$AO111,'Supply planning data'!$D:$D,DataViz!BK$104)+SUMIFS('Supply planning data'!$P:$P,'Supply planning data'!$Q:$Q,DataViz!$AO111,'Supply planning data'!$D:$D,DataViz!BK$104))</f>
        <v>0</v>
      </c>
      <c r="BL111" s="41">
        <f>ABS(SUMIFS('Supply planning data'!$N:$N,'Supply planning data'!$O:$O,DataViz!$AO111,'Supply planning data'!$D:$D,DataViz!BL$104)+SUMIFS('Supply planning data'!$P:$P,'Supply planning data'!$Q:$Q,DataViz!$AO111,'Supply planning data'!$D:$D,DataViz!BL$104))</f>
        <v>0</v>
      </c>
      <c r="BM111" s="41">
        <f>ABS(SUMIFS('Supply planning data'!$N:$N,'Supply planning data'!$O:$O,DataViz!$AO111,'Supply planning data'!$D:$D,DataViz!BM$104)+SUMIFS('Supply planning data'!$P:$P,'Supply planning data'!$Q:$Q,DataViz!$AO111,'Supply planning data'!$D:$D,DataViz!BM$104))</f>
        <v>0</v>
      </c>
    </row>
    <row r="112" spans="1:65" x14ac:dyDescent="0.25">
      <c r="A112" s="150">
        <v>8</v>
      </c>
      <c r="B112" s="151">
        <f t="shared" si="23"/>
        <v>44501</v>
      </c>
      <c r="C112" s="152">
        <f>SUMIFS('Supply planning data'!G:G,'Supply planning data'!D:D,"&lt;="&amp;DataViz!B112, 'Supply planning data'!C:C, Dashboard!$H$30)</f>
        <v>0</v>
      </c>
      <c r="D112" s="152">
        <f>SUMIFS('Supply planning data'!H:H,'Supply planning data'!D:D,"&lt;="&amp;DataViz!B112, 'Supply planning data'!C:C, Dashboard!$H$30)</f>
        <v>0</v>
      </c>
      <c r="E112" s="152">
        <f>SUMIFS('Supply planning data'!I:I,'Supply planning data'!D:D,"&lt;="&amp;DataViz!B112, 'Supply planning data'!C:C, Dashboard!$H$30)</f>
        <v>0</v>
      </c>
      <c r="F112" s="152">
        <f>SUMIFS('Supply planning data'!K:K,'Supply planning data'!D:D,"&lt;="&amp;DataViz!B112, 'Supply planning data'!C:C, Dashboard!$H$30)</f>
        <v>0</v>
      </c>
      <c r="G112" s="152">
        <f>SUMIFS('Supply planning data'!M:M,'Supply planning data'!D:D,"&lt;="&amp;DataViz!B112, 'Supply planning data'!C:C, Dashboard!$H$30)</f>
        <v>0</v>
      </c>
      <c r="J112" s="154"/>
      <c r="K112" s="155"/>
    </row>
    <row r="113" spans="1:39" ht="15.75" x14ac:dyDescent="0.25">
      <c r="A113" s="150">
        <v>9</v>
      </c>
      <c r="B113" s="151">
        <f t="shared" si="23"/>
        <v>44531</v>
      </c>
      <c r="C113" s="152">
        <f>SUMIFS('Supply planning data'!G:G,'Supply planning data'!D:D,"&lt;="&amp;DataViz!B113, 'Supply planning data'!C:C, Dashboard!$H$30)</f>
        <v>0</v>
      </c>
      <c r="D113" s="152">
        <f>SUMIFS('Supply planning data'!H:H,'Supply planning data'!D:D,"&lt;="&amp;DataViz!B113, 'Supply planning data'!C:C, Dashboard!$H$30)</f>
        <v>0</v>
      </c>
      <c r="E113" s="152">
        <f>SUMIFS('Supply planning data'!I:I,'Supply planning data'!D:D,"&lt;="&amp;DataViz!B113, 'Supply planning data'!C:C, Dashboard!$H$30)</f>
        <v>0</v>
      </c>
      <c r="F113" s="152">
        <f>SUMIFS('Supply planning data'!K:K,'Supply planning data'!D:D,"&lt;="&amp;DataViz!B113, 'Supply planning data'!C:C, Dashboard!$H$30)</f>
        <v>0</v>
      </c>
      <c r="G113" s="152">
        <f>SUMIFS('Supply planning data'!M:M,'Supply planning data'!D:D,"&lt;="&amp;DataViz!B113, 'Supply planning data'!C:C, Dashboard!$H$30)</f>
        <v>0</v>
      </c>
      <c r="J113" s="154"/>
      <c r="K113" s="155"/>
      <c r="N113" t="s">
        <v>219</v>
      </c>
      <c r="O113" s="162" t="s">
        <v>220</v>
      </c>
    </row>
    <row r="114" spans="1:39" x14ac:dyDescent="0.25">
      <c r="A114" s="150">
        <v>10</v>
      </c>
      <c r="B114" s="151">
        <f t="shared" si="23"/>
        <v>44562</v>
      </c>
      <c r="C114" s="152">
        <f>SUMIFS('Supply planning data'!G:G,'Supply planning data'!D:D,"&lt;="&amp;DataViz!B114, 'Supply planning data'!C:C, Dashboard!$H$30)</f>
        <v>0</v>
      </c>
      <c r="D114" s="152">
        <f>SUMIFS('Supply planning data'!H:H,'Supply planning data'!D:D,"&lt;="&amp;DataViz!B114, 'Supply planning data'!C:C, Dashboard!$H$30)</f>
        <v>0</v>
      </c>
      <c r="E114" s="152">
        <f>SUMIFS('Supply planning data'!I:I,'Supply planning data'!D:D,"&lt;="&amp;DataViz!B114, 'Supply planning data'!C:C, Dashboard!$H$30)</f>
        <v>0</v>
      </c>
      <c r="F114" s="152">
        <f>SUMIFS('Supply planning data'!K:K,'Supply planning data'!D:D,"&lt;="&amp;DataViz!B114, 'Supply planning data'!C:C, Dashboard!$H$30)</f>
        <v>0</v>
      </c>
      <c r="G114" s="152">
        <f>SUMIFS('Supply planning data'!M:M,'Supply planning data'!D:D,"&lt;="&amp;DataViz!B114, 'Supply planning data'!C:C, Dashboard!$H$30)</f>
        <v>0</v>
      </c>
      <c r="J114" s="154"/>
      <c r="K114" s="155"/>
      <c r="P114" s="170">
        <f>P104</f>
        <v>44287</v>
      </c>
      <c r="Q114" s="170">
        <f>DATE(YEAR(P114),MONTH(P114)+1,1)</f>
        <v>44317</v>
      </c>
      <c r="R114" s="170">
        <f t="shared" ref="R114:AM114" si="24">DATE(YEAR(Q114),MONTH(Q114)+1,1)</f>
        <v>44348</v>
      </c>
      <c r="S114" s="170">
        <f t="shared" si="24"/>
        <v>44378</v>
      </c>
      <c r="T114" s="170">
        <f t="shared" si="24"/>
        <v>44409</v>
      </c>
      <c r="U114" s="170">
        <f t="shared" si="24"/>
        <v>44440</v>
      </c>
      <c r="V114" s="170">
        <f t="shared" si="24"/>
        <v>44470</v>
      </c>
      <c r="W114" s="170">
        <f t="shared" si="24"/>
        <v>44501</v>
      </c>
      <c r="X114" s="170">
        <f t="shared" si="24"/>
        <v>44531</v>
      </c>
      <c r="Y114" s="170">
        <f t="shared" si="24"/>
        <v>44562</v>
      </c>
      <c r="Z114" s="170">
        <f t="shared" si="24"/>
        <v>44593</v>
      </c>
      <c r="AA114" s="170">
        <f t="shared" si="24"/>
        <v>44621</v>
      </c>
      <c r="AB114" s="170">
        <f t="shared" si="24"/>
        <v>44652</v>
      </c>
      <c r="AC114" s="170">
        <f t="shared" si="24"/>
        <v>44682</v>
      </c>
      <c r="AD114" s="170">
        <f t="shared" si="24"/>
        <v>44713</v>
      </c>
      <c r="AE114" s="170">
        <f t="shared" si="24"/>
        <v>44743</v>
      </c>
      <c r="AF114" s="170">
        <f t="shared" si="24"/>
        <v>44774</v>
      </c>
      <c r="AG114" s="170">
        <f t="shared" si="24"/>
        <v>44805</v>
      </c>
      <c r="AH114" s="170">
        <f t="shared" si="24"/>
        <v>44835</v>
      </c>
      <c r="AI114" s="170">
        <f t="shared" si="24"/>
        <v>44866</v>
      </c>
      <c r="AJ114" s="170">
        <f t="shared" si="24"/>
        <v>44896</v>
      </c>
      <c r="AK114" s="170">
        <f t="shared" si="24"/>
        <v>44927</v>
      </c>
      <c r="AL114" s="170">
        <f t="shared" si="24"/>
        <v>44958</v>
      </c>
      <c r="AM114" s="170">
        <f t="shared" si="24"/>
        <v>44986</v>
      </c>
    </row>
    <row r="115" spans="1:39" x14ac:dyDescent="0.25">
      <c r="A115" s="150">
        <v>11</v>
      </c>
      <c r="B115" s="151">
        <f t="shared" si="23"/>
        <v>44593</v>
      </c>
      <c r="C115" s="152">
        <f>SUMIFS('Supply planning data'!G:G,'Supply planning data'!D:D,"&lt;="&amp;DataViz!B115, 'Supply planning data'!C:C, Dashboard!$H$30)</f>
        <v>0</v>
      </c>
      <c r="D115" s="152">
        <f>SUMIFS('Supply planning data'!H:H,'Supply planning data'!D:D,"&lt;="&amp;DataViz!B115, 'Supply planning data'!C:C, Dashboard!$H$30)</f>
        <v>0</v>
      </c>
      <c r="E115" s="152">
        <f>SUMIFS('Supply planning data'!I:I,'Supply planning data'!D:D,"&lt;="&amp;DataViz!B115, 'Supply planning data'!C:C, Dashboard!$H$30)</f>
        <v>0</v>
      </c>
      <c r="F115" s="152">
        <f>SUMIFS('Supply planning data'!K:K,'Supply planning data'!D:D,"&lt;="&amp;DataViz!B115, 'Supply planning data'!C:C, Dashboard!$H$30)</f>
        <v>0</v>
      </c>
      <c r="G115" s="152">
        <f>SUMIFS('Supply planning data'!M:M,'Supply planning data'!D:D,"&lt;="&amp;DataViz!B115, 'Supply planning data'!C:C, Dashboard!$H$30)</f>
        <v>0</v>
      </c>
      <c r="J115" s="154"/>
      <c r="K115" s="155"/>
      <c r="O115" t="str">
        <f>Start!C17</f>
        <v>AstraZeneca</v>
      </c>
      <c r="P115">
        <f>COUNTIFS('Supply planning data'!$N:$N,"&lt;&gt;", 'Supply planning data'!$C:$C,DataViz!$O115, 'Supply planning data'!$D:$D, DataViz!P$114)+COUNTIFS('Supply planning data'!$P:$P,"&lt;&gt;", 'Supply planning data'!$C:$C,DataViz!$O115, 'Supply planning data'!$D:$D, DataViz!P$114)</f>
        <v>0</v>
      </c>
      <c r="Q115">
        <f>COUNTIFS('Supply planning data'!$N:$N,"&lt;&gt;", 'Supply planning data'!$C:$C,DataViz!$O115, 'Supply planning data'!$D:$D, DataViz!Q$114)+COUNTIFS('Supply planning data'!$P:$P,"&lt;&gt;", 'Supply planning data'!$C:$C,DataViz!$O115, 'Supply planning data'!$D:$D, DataViz!Q$114)</f>
        <v>0</v>
      </c>
      <c r="R115">
        <f>COUNTIFS('Supply planning data'!$N:$N,"&lt;&gt;", 'Supply planning data'!$C:$C,DataViz!$O115, 'Supply planning data'!$D:$D, DataViz!R$114)+COUNTIFS('Supply planning data'!$P:$P,"&lt;&gt;", 'Supply planning data'!$C:$C,DataViz!$O115, 'Supply planning data'!$D:$D, DataViz!R$114)</f>
        <v>0</v>
      </c>
      <c r="S115">
        <f>COUNTIFS('Supply planning data'!$N:$N,"&lt;&gt;", 'Supply planning data'!$C:$C,DataViz!$O115, 'Supply planning data'!$D:$D, DataViz!S$114)+COUNTIFS('Supply planning data'!$P:$P,"&lt;&gt;", 'Supply planning data'!$C:$C,DataViz!$O115, 'Supply planning data'!$D:$D, DataViz!S$114)</f>
        <v>0</v>
      </c>
      <c r="T115">
        <f>COUNTIFS('Supply planning data'!$N:$N,"&lt;&gt;", 'Supply planning data'!$C:$C,DataViz!$O115, 'Supply planning data'!$D:$D, DataViz!T$114)+COUNTIFS('Supply planning data'!$P:$P,"&lt;&gt;", 'Supply planning data'!$C:$C,DataViz!$O115, 'Supply planning data'!$D:$D, DataViz!T$114)</f>
        <v>1</v>
      </c>
      <c r="U115">
        <f>COUNTIFS('Supply planning data'!$N:$N,"&lt;&gt;", 'Supply planning data'!$C:$C,DataViz!$O115, 'Supply planning data'!$D:$D, DataViz!U$114)+COUNTIFS('Supply planning data'!$P:$P,"&lt;&gt;", 'Supply planning data'!$C:$C,DataViz!$O115, 'Supply planning data'!$D:$D, DataViz!U$114)</f>
        <v>0</v>
      </c>
      <c r="V115">
        <f>COUNTIFS('Supply planning data'!$N:$N,"&lt;&gt;", 'Supply planning data'!$C:$C,DataViz!$O115, 'Supply planning data'!$D:$D, DataViz!V$114)+COUNTIFS('Supply planning data'!$P:$P,"&lt;&gt;", 'Supply planning data'!$C:$C,DataViz!$O115, 'Supply planning data'!$D:$D, DataViz!V$114)</f>
        <v>0</v>
      </c>
      <c r="W115">
        <f>COUNTIFS('Supply planning data'!$N:$N,"&lt;&gt;", 'Supply planning data'!$C:$C,DataViz!$O115, 'Supply planning data'!$D:$D, DataViz!W$114)+COUNTIFS('Supply planning data'!$P:$P,"&lt;&gt;", 'Supply planning data'!$C:$C,DataViz!$O115, 'Supply planning data'!$D:$D, DataViz!W$114)</f>
        <v>0</v>
      </c>
      <c r="X115">
        <f>COUNTIFS('Supply planning data'!$N:$N,"&lt;&gt;", 'Supply planning data'!$C:$C,DataViz!$O115, 'Supply planning data'!$D:$D, DataViz!X$114)+COUNTIFS('Supply planning data'!$P:$P,"&lt;&gt;", 'Supply planning data'!$C:$C,DataViz!$O115, 'Supply planning data'!$D:$D, DataViz!X$114)</f>
        <v>0</v>
      </c>
      <c r="Y115">
        <f>COUNTIFS('Supply planning data'!$N:$N,"&lt;&gt;", 'Supply planning data'!$C:$C,DataViz!$O115, 'Supply planning data'!$D:$D, DataViz!Y$114)+COUNTIFS('Supply planning data'!$P:$P,"&lt;&gt;", 'Supply planning data'!$C:$C,DataViz!$O115, 'Supply planning data'!$D:$D, DataViz!Y$114)</f>
        <v>0</v>
      </c>
      <c r="Z115">
        <f>COUNTIFS('Supply planning data'!$N:$N,"&lt;&gt;", 'Supply planning data'!$C:$C,DataViz!$O115, 'Supply planning data'!$D:$D, DataViz!Z$114)+COUNTIFS('Supply planning data'!$P:$P,"&lt;&gt;", 'Supply planning data'!$C:$C,DataViz!$O115, 'Supply planning data'!$D:$D, DataViz!Z$114)</f>
        <v>1</v>
      </c>
      <c r="AA115">
        <f>COUNTIFS('Supply planning data'!$N:$N,"&lt;&gt;", 'Supply planning data'!$C:$C,DataViz!$O115, 'Supply planning data'!$D:$D, DataViz!AA$114)+COUNTIFS('Supply planning data'!$P:$P,"&lt;&gt;", 'Supply planning data'!$C:$C,DataViz!$O115, 'Supply planning data'!$D:$D, DataViz!AA$114)</f>
        <v>0</v>
      </c>
      <c r="AB115">
        <f>COUNTIFS('Supply planning data'!$N:$N,"&lt;&gt;", 'Supply planning data'!$C:$C,DataViz!$O115, 'Supply planning data'!$D:$D, DataViz!AB$114)+COUNTIFS('Supply planning data'!$P:$P,"&lt;&gt;", 'Supply planning data'!$C:$C,DataViz!$O115, 'Supply planning data'!$D:$D, DataViz!AB$114)</f>
        <v>0</v>
      </c>
      <c r="AC115">
        <f>COUNTIFS('Supply planning data'!$N:$N,"&lt;&gt;", 'Supply planning data'!$C:$C,DataViz!$O115, 'Supply planning data'!$D:$D, DataViz!AC$114)+COUNTIFS('Supply planning data'!$P:$P,"&lt;&gt;", 'Supply planning data'!$C:$C,DataViz!$O115, 'Supply planning data'!$D:$D, DataViz!AC$114)</f>
        <v>0</v>
      </c>
      <c r="AD115">
        <f>COUNTIFS('Supply planning data'!$N:$N,"&lt;&gt;", 'Supply planning data'!$C:$C,DataViz!$O115, 'Supply planning data'!$D:$D, DataViz!AD$114)+COUNTIFS('Supply planning data'!$P:$P,"&lt;&gt;", 'Supply planning data'!$C:$C,DataViz!$O115, 'Supply planning data'!$D:$D, DataViz!AD$114)</f>
        <v>0</v>
      </c>
      <c r="AE115">
        <f>COUNTIFS('Supply planning data'!$N:$N,"&lt;&gt;", 'Supply planning data'!$C:$C,DataViz!$O115, 'Supply planning data'!$D:$D, DataViz!AE$114)+COUNTIFS('Supply planning data'!$P:$P,"&lt;&gt;", 'Supply planning data'!$C:$C,DataViz!$O115, 'Supply planning data'!$D:$D, DataViz!AE$114)</f>
        <v>0</v>
      </c>
      <c r="AF115">
        <f>COUNTIFS('Supply planning data'!$N:$N,"&lt;&gt;", 'Supply planning data'!$C:$C,DataViz!$O115, 'Supply planning data'!$D:$D, DataViz!AF$114)+COUNTIFS('Supply planning data'!$P:$P,"&lt;&gt;", 'Supply planning data'!$C:$C,DataViz!$O115, 'Supply planning data'!$D:$D, DataViz!AF$114)</f>
        <v>0</v>
      </c>
      <c r="AG115">
        <f>COUNTIFS('Supply planning data'!$N:$N,"&lt;&gt;", 'Supply planning data'!$C:$C,DataViz!$O115, 'Supply planning data'!$D:$D, DataViz!AG$114)+COUNTIFS('Supply planning data'!$P:$P,"&lt;&gt;", 'Supply planning data'!$C:$C,DataViz!$O115, 'Supply planning data'!$D:$D, DataViz!AG$114)</f>
        <v>0</v>
      </c>
      <c r="AH115">
        <f>COUNTIFS('Supply planning data'!$N:$N,"&lt;&gt;", 'Supply planning data'!$C:$C,DataViz!$O115, 'Supply planning data'!$D:$D, DataViz!AH$114)+COUNTIFS('Supply planning data'!$P:$P,"&lt;&gt;", 'Supply planning data'!$C:$C,DataViz!$O115, 'Supply planning data'!$D:$D, DataViz!AH$114)</f>
        <v>0</v>
      </c>
      <c r="AI115">
        <f>COUNTIFS('Supply planning data'!$N:$N,"&lt;&gt;", 'Supply planning data'!$C:$C,DataViz!$O115, 'Supply planning data'!$D:$D, DataViz!AI$114)+COUNTIFS('Supply planning data'!$P:$P,"&lt;&gt;", 'Supply planning data'!$C:$C,DataViz!$O115, 'Supply planning data'!$D:$D, DataViz!AI$114)</f>
        <v>0</v>
      </c>
      <c r="AJ115">
        <f>COUNTIFS('Supply planning data'!$N:$N,"&lt;&gt;", 'Supply planning data'!$C:$C,DataViz!$O115, 'Supply planning data'!$D:$D, DataViz!AJ$114)+COUNTIFS('Supply planning data'!$P:$P,"&lt;&gt;", 'Supply planning data'!$C:$C,DataViz!$O115, 'Supply planning data'!$D:$D, DataViz!AJ$114)</f>
        <v>0</v>
      </c>
      <c r="AK115">
        <f>COUNTIFS('Supply planning data'!$N:$N,"&lt;&gt;", 'Supply planning data'!$C:$C,DataViz!$O115, 'Supply planning data'!$D:$D, DataViz!AK$114)+COUNTIFS('Supply planning data'!$P:$P,"&lt;&gt;", 'Supply planning data'!$C:$C,DataViz!$O115, 'Supply planning data'!$D:$D, DataViz!AK$114)</f>
        <v>0</v>
      </c>
      <c r="AL115">
        <f>COUNTIFS('Supply planning data'!$N:$N,"&lt;&gt;", 'Supply planning data'!$C:$C,DataViz!$O115, 'Supply planning data'!$D:$D, DataViz!AL$114)+COUNTIFS('Supply planning data'!$P:$P,"&lt;&gt;", 'Supply planning data'!$C:$C,DataViz!$O115, 'Supply planning data'!$D:$D, DataViz!AL$114)</f>
        <v>0</v>
      </c>
      <c r="AM115">
        <f>COUNTIFS('Supply planning data'!$N:$N,"&lt;&gt;", 'Supply planning data'!$C:$C,DataViz!$O115, 'Supply planning data'!$D:$D, DataViz!AM$114)+COUNTIFS('Supply planning data'!$P:$P,"&lt;&gt;", 'Supply planning data'!$C:$C,DataViz!$O115, 'Supply planning data'!$D:$D, DataViz!AM$114)</f>
        <v>0</v>
      </c>
    </row>
    <row r="116" spans="1:39" x14ac:dyDescent="0.25">
      <c r="A116" s="150">
        <v>12</v>
      </c>
      <c r="B116" s="151">
        <f t="shared" si="23"/>
        <v>44621</v>
      </c>
      <c r="C116" s="152">
        <f>SUMIFS('Supply planning data'!G:G,'Supply planning data'!D:D,"&lt;="&amp;DataViz!B116, 'Supply planning data'!C:C, Dashboard!$H$30)</f>
        <v>0</v>
      </c>
      <c r="D116" s="152">
        <f>SUMIFS('Supply planning data'!H:H,'Supply planning data'!D:D,"&lt;="&amp;DataViz!B116, 'Supply planning data'!C:C, Dashboard!$H$30)</f>
        <v>0</v>
      </c>
      <c r="E116" s="152">
        <f>SUMIFS('Supply planning data'!I:I,'Supply planning data'!D:D,"&lt;="&amp;DataViz!B116, 'Supply planning data'!C:C, Dashboard!$H$30)</f>
        <v>0</v>
      </c>
      <c r="F116" s="152">
        <f>SUMIFS('Supply planning data'!K:K,'Supply planning data'!D:D,"&lt;="&amp;DataViz!B116, 'Supply planning data'!C:C, Dashboard!$H$30)</f>
        <v>0</v>
      </c>
      <c r="G116" s="152">
        <f>SUMIFS('Supply planning data'!M:M,'Supply planning data'!D:D,"&lt;="&amp;DataViz!B116, 'Supply planning data'!C:C, Dashboard!$H$30)</f>
        <v>0</v>
      </c>
      <c r="J116" s="154"/>
      <c r="K116" s="155"/>
      <c r="O116" t="str">
        <f>Start!C18</f>
        <v>Jansen</v>
      </c>
      <c r="P116">
        <f>COUNTIFS('Supply planning data'!$N:$N,"&lt;&gt;", 'Supply planning data'!$C:$C,DataViz!$O116, 'Supply planning data'!$D:$D, DataViz!P$114)+COUNTIFS('Supply planning data'!$P:$P,"&lt;&gt;", 'Supply planning data'!$C:$C,DataViz!$O116, 'Supply planning data'!$D:$D, DataViz!P$114)</f>
        <v>0</v>
      </c>
      <c r="Q116">
        <f>COUNTIFS('Supply planning data'!$N:$N,"&lt;&gt;", 'Supply planning data'!$C:$C,DataViz!$O116, 'Supply planning data'!$D:$D, DataViz!Q$114)+COUNTIFS('Supply planning data'!$P:$P,"&lt;&gt;", 'Supply planning data'!$C:$C,DataViz!$O116, 'Supply planning data'!$D:$D, DataViz!Q$114)</f>
        <v>0</v>
      </c>
      <c r="R116">
        <f>COUNTIFS('Supply planning data'!$N:$N,"&lt;&gt;", 'Supply planning data'!$C:$C,DataViz!$O116, 'Supply planning data'!$D:$D, DataViz!R$114)+COUNTIFS('Supply planning data'!$P:$P,"&lt;&gt;", 'Supply planning data'!$C:$C,DataViz!$O116, 'Supply planning data'!$D:$D, DataViz!R$114)</f>
        <v>0</v>
      </c>
      <c r="S116">
        <f>COUNTIFS('Supply planning data'!$N:$N,"&lt;&gt;", 'Supply planning data'!$C:$C,DataViz!$O116, 'Supply planning data'!$D:$D, DataViz!S$114)+COUNTIFS('Supply planning data'!$P:$P,"&lt;&gt;", 'Supply planning data'!$C:$C,DataViz!$O116, 'Supply planning data'!$D:$D, DataViz!S$114)</f>
        <v>0</v>
      </c>
      <c r="T116">
        <f>COUNTIFS('Supply planning data'!$N:$N,"&lt;&gt;", 'Supply planning data'!$C:$C,DataViz!$O116, 'Supply planning data'!$D:$D, DataViz!T$114)+COUNTIFS('Supply planning data'!$P:$P,"&lt;&gt;", 'Supply planning data'!$C:$C,DataViz!$O116, 'Supply planning data'!$D:$D, DataViz!T$114)</f>
        <v>0</v>
      </c>
      <c r="U116">
        <f>COUNTIFS('Supply planning data'!$N:$N,"&lt;&gt;", 'Supply planning data'!$C:$C,DataViz!$O116, 'Supply planning data'!$D:$D, DataViz!U$114)+COUNTIFS('Supply planning data'!$P:$P,"&lt;&gt;", 'Supply planning data'!$C:$C,DataViz!$O116, 'Supply planning data'!$D:$D, DataViz!U$114)</f>
        <v>0</v>
      </c>
      <c r="V116">
        <f>COUNTIFS('Supply planning data'!$N:$N,"&lt;&gt;", 'Supply planning data'!$C:$C,DataViz!$O116, 'Supply planning data'!$D:$D, DataViz!V$114)+COUNTIFS('Supply planning data'!$P:$P,"&lt;&gt;", 'Supply planning data'!$C:$C,DataViz!$O116, 'Supply planning data'!$D:$D, DataViz!V$114)</f>
        <v>0</v>
      </c>
      <c r="W116">
        <f>COUNTIFS('Supply planning data'!$N:$N,"&lt;&gt;", 'Supply planning data'!$C:$C,DataViz!$O116, 'Supply planning data'!$D:$D, DataViz!W$114)+COUNTIFS('Supply planning data'!$P:$P,"&lt;&gt;", 'Supply planning data'!$C:$C,DataViz!$O116, 'Supply planning data'!$D:$D, DataViz!W$114)</f>
        <v>0</v>
      </c>
      <c r="X116">
        <f>COUNTIFS('Supply planning data'!$N:$N,"&lt;&gt;", 'Supply planning data'!$C:$C,DataViz!$O116, 'Supply planning data'!$D:$D, DataViz!X$114)+COUNTIFS('Supply planning data'!$P:$P,"&lt;&gt;", 'Supply planning data'!$C:$C,DataViz!$O116, 'Supply planning data'!$D:$D, DataViz!X$114)</f>
        <v>0</v>
      </c>
      <c r="Y116">
        <f>COUNTIFS('Supply planning data'!$N:$N,"&lt;&gt;", 'Supply planning data'!$C:$C,DataViz!$O116, 'Supply planning data'!$D:$D, DataViz!Y$114)+COUNTIFS('Supply planning data'!$P:$P,"&lt;&gt;", 'Supply planning data'!$C:$C,DataViz!$O116, 'Supply planning data'!$D:$D, DataViz!Y$114)</f>
        <v>0</v>
      </c>
      <c r="Z116">
        <f>COUNTIFS('Supply planning data'!$N:$N,"&lt;&gt;", 'Supply planning data'!$C:$C,DataViz!$O116, 'Supply planning data'!$D:$D, DataViz!Z$114)+COUNTIFS('Supply planning data'!$P:$P,"&lt;&gt;", 'Supply planning data'!$C:$C,DataViz!$O116, 'Supply planning data'!$D:$D, DataViz!Z$114)</f>
        <v>0</v>
      </c>
      <c r="AA116">
        <f>COUNTIFS('Supply planning data'!$N:$N,"&lt;&gt;", 'Supply planning data'!$C:$C,DataViz!$O116, 'Supply planning data'!$D:$D, DataViz!AA$114)+COUNTIFS('Supply planning data'!$P:$P,"&lt;&gt;", 'Supply planning data'!$C:$C,DataViz!$O116, 'Supply planning data'!$D:$D, DataViz!AA$114)</f>
        <v>0</v>
      </c>
      <c r="AB116">
        <f>COUNTIFS('Supply planning data'!$N:$N,"&lt;&gt;", 'Supply planning data'!$C:$C,DataViz!$O116, 'Supply planning data'!$D:$D, DataViz!AB$114)+COUNTIFS('Supply planning data'!$P:$P,"&lt;&gt;", 'Supply planning data'!$C:$C,DataViz!$O116, 'Supply planning data'!$D:$D, DataViz!AB$114)</f>
        <v>0</v>
      </c>
      <c r="AC116">
        <f>COUNTIFS('Supply planning data'!$N:$N,"&lt;&gt;", 'Supply planning data'!$C:$C,DataViz!$O116, 'Supply planning data'!$D:$D, DataViz!AC$114)+COUNTIFS('Supply planning data'!$P:$P,"&lt;&gt;", 'Supply planning data'!$C:$C,DataViz!$O116, 'Supply planning data'!$D:$D, DataViz!AC$114)</f>
        <v>0</v>
      </c>
      <c r="AD116">
        <f>COUNTIFS('Supply planning data'!$N:$N,"&lt;&gt;", 'Supply planning data'!$C:$C,DataViz!$O116, 'Supply planning data'!$D:$D, DataViz!AD$114)+COUNTIFS('Supply planning data'!$P:$P,"&lt;&gt;", 'Supply planning data'!$C:$C,DataViz!$O116, 'Supply planning data'!$D:$D, DataViz!AD$114)</f>
        <v>0</v>
      </c>
      <c r="AE116">
        <f>COUNTIFS('Supply planning data'!$N:$N,"&lt;&gt;", 'Supply planning data'!$C:$C,DataViz!$O116, 'Supply planning data'!$D:$D, DataViz!AE$114)+COUNTIFS('Supply planning data'!$P:$P,"&lt;&gt;", 'Supply planning data'!$C:$C,DataViz!$O116, 'Supply planning data'!$D:$D, DataViz!AE$114)</f>
        <v>0</v>
      </c>
      <c r="AF116">
        <f>COUNTIFS('Supply planning data'!$N:$N,"&lt;&gt;", 'Supply planning data'!$C:$C,DataViz!$O116, 'Supply planning data'!$D:$D, DataViz!AF$114)+COUNTIFS('Supply planning data'!$P:$P,"&lt;&gt;", 'Supply planning data'!$C:$C,DataViz!$O116, 'Supply planning data'!$D:$D, DataViz!AF$114)</f>
        <v>0</v>
      </c>
      <c r="AG116">
        <f>COUNTIFS('Supply planning data'!$N:$N,"&lt;&gt;", 'Supply planning data'!$C:$C,DataViz!$O116, 'Supply planning data'!$D:$D, DataViz!AG$114)+COUNTIFS('Supply planning data'!$P:$P,"&lt;&gt;", 'Supply planning data'!$C:$C,DataViz!$O116, 'Supply planning data'!$D:$D, DataViz!AG$114)</f>
        <v>0</v>
      </c>
      <c r="AH116">
        <f>COUNTIFS('Supply planning data'!$N:$N,"&lt;&gt;", 'Supply planning data'!$C:$C,DataViz!$O116, 'Supply planning data'!$D:$D, DataViz!AH$114)+COUNTIFS('Supply planning data'!$P:$P,"&lt;&gt;", 'Supply planning data'!$C:$C,DataViz!$O116, 'Supply planning data'!$D:$D, DataViz!AH$114)</f>
        <v>0</v>
      </c>
      <c r="AI116">
        <f>COUNTIFS('Supply planning data'!$N:$N,"&lt;&gt;", 'Supply planning data'!$C:$C,DataViz!$O116, 'Supply planning data'!$D:$D, DataViz!AI$114)+COUNTIFS('Supply planning data'!$P:$P,"&lt;&gt;", 'Supply planning data'!$C:$C,DataViz!$O116, 'Supply planning data'!$D:$D, DataViz!AI$114)</f>
        <v>0</v>
      </c>
      <c r="AJ116">
        <f>COUNTIFS('Supply planning data'!$N:$N,"&lt;&gt;", 'Supply planning data'!$C:$C,DataViz!$O116, 'Supply planning data'!$D:$D, DataViz!AJ$114)+COUNTIFS('Supply planning data'!$P:$P,"&lt;&gt;", 'Supply planning data'!$C:$C,DataViz!$O116, 'Supply planning data'!$D:$D, DataViz!AJ$114)</f>
        <v>0</v>
      </c>
      <c r="AK116">
        <f>COUNTIFS('Supply planning data'!$N:$N,"&lt;&gt;", 'Supply planning data'!$C:$C,DataViz!$O116, 'Supply planning data'!$D:$D, DataViz!AK$114)+COUNTIFS('Supply planning data'!$P:$P,"&lt;&gt;", 'Supply planning data'!$C:$C,DataViz!$O116, 'Supply planning data'!$D:$D, DataViz!AK$114)</f>
        <v>0</v>
      </c>
      <c r="AL116">
        <f>COUNTIFS('Supply planning data'!$N:$N,"&lt;&gt;", 'Supply planning data'!$C:$C,DataViz!$O116, 'Supply planning data'!$D:$D, DataViz!AL$114)+COUNTIFS('Supply planning data'!$P:$P,"&lt;&gt;", 'Supply planning data'!$C:$C,DataViz!$O116, 'Supply planning data'!$D:$D, DataViz!AL$114)</f>
        <v>0</v>
      </c>
      <c r="AM116">
        <f>COUNTIFS('Supply planning data'!$N:$N,"&lt;&gt;", 'Supply planning data'!$C:$C,DataViz!$O116, 'Supply planning data'!$D:$D, DataViz!AM$114)+COUNTIFS('Supply planning data'!$P:$P,"&lt;&gt;", 'Supply planning data'!$C:$C,DataViz!$O116, 'Supply planning data'!$D:$D, DataViz!AM$114)</f>
        <v>0</v>
      </c>
    </row>
    <row r="117" spans="1:39" x14ac:dyDescent="0.25">
      <c r="A117" s="150">
        <v>13</v>
      </c>
      <c r="B117" s="151">
        <f t="shared" si="23"/>
        <v>44652</v>
      </c>
      <c r="C117" s="152">
        <f>SUMIFS('Supply planning data'!G:G,'Supply planning data'!D:D,"&lt;="&amp;DataViz!B117, 'Supply planning data'!C:C, Dashboard!$H$30)</f>
        <v>0</v>
      </c>
      <c r="D117" s="152">
        <f>SUMIFS('Supply planning data'!H:H,'Supply planning data'!D:D,"&lt;="&amp;DataViz!B117, 'Supply planning data'!C:C, Dashboard!$H$30)</f>
        <v>0</v>
      </c>
      <c r="E117" s="152">
        <f>SUMIFS('Supply planning data'!I:I,'Supply planning data'!D:D,"&lt;="&amp;DataViz!B117, 'Supply planning data'!C:C, Dashboard!$H$30)</f>
        <v>0</v>
      </c>
      <c r="F117" s="152">
        <f>SUMIFS('Supply planning data'!K:K,'Supply planning data'!D:D,"&lt;="&amp;DataViz!B117, 'Supply planning data'!C:C, Dashboard!$H$30)</f>
        <v>0</v>
      </c>
      <c r="G117" s="152">
        <f>SUMIFS('Supply planning data'!M:M,'Supply planning data'!D:D,"&lt;="&amp;DataViz!B117, 'Supply planning data'!C:C, Dashboard!$H$30)</f>
        <v>0</v>
      </c>
      <c r="J117" s="154"/>
      <c r="K117" s="155"/>
      <c r="O117" t="str">
        <f>Start!C19</f>
        <v>Moderna</v>
      </c>
      <c r="P117">
        <f>COUNTIFS('Supply planning data'!$N:$N,"&lt;&gt;", 'Supply planning data'!$C:$C,DataViz!$O117, 'Supply planning data'!$D:$D, DataViz!P$114)+COUNTIFS('Supply planning data'!$P:$P,"&lt;&gt;", 'Supply planning data'!$C:$C,DataViz!$O117, 'Supply planning data'!$D:$D, DataViz!P$114)</f>
        <v>0</v>
      </c>
      <c r="Q117">
        <f>COUNTIFS('Supply planning data'!$N:$N,"&lt;&gt;", 'Supply planning data'!$C:$C,DataViz!$O117, 'Supply planning data'!$D:$D, DataViz!Q$114)+COUNTIFS('Supply planning data'!$P:$P,"&lt;&gt;", 'Supply planning data'!$C:$C,DataViz!$O117, 'Supply planning data'!$D:$D, DataViz!Q$114)</f>
        <v>0</v>
      </c>
      <c r="R117">
        <f>COUNTIFS('Supply planning data'!$N:$N,"&lt;&gt;", 'Supply planning data'!$C:$C,DataViz!$O117, 'Supply planning data'!$D:$D, DataViz!R$114)+COUNTIFS('Supply planning data'!$P:$P,"&lt;&gt;", 'Supply planning data'!$C:$C,DataViz!$O117, 'Supply planning data'!$D:$D, DataViz!R$114)</f>
        <v>0</v>
      </c>
      <c r="S117">
        <f>COUNTIFS('Supply planning data'!$N:$N,"&lt;&gt;", 'Supply planning data'!$C:$C,DataViz!$O117, 'Supply planning data'!$D:$D, DataViz!S$114)+COUNTIFS('Supply planning data'!$P:$P,"&lt;&gt;", 'Supply planning data'!$C:$C,DataViz!$O117, 'Supply planning data'!$D:$D, DataViz!S$114)</f>
        <v>0</v>
      </c>
      <c r="T117">
        <f>COUNTIFS('Supply planning data'!$N:$N,"&lt;&gt;", 'Supply planning data'!$C:$C,DataViz!$O117, 'Supply planning data'!$D:$D, DataViz!T$114)+COUNTIFS('Supply planning data'!$P:$P,"&lt;&gt;", 'Supply planning data'!$C:$C,DataViz!$O117, 'Supply planning data'!$D:$D, DataViz!T$114)</f>
        <v>0</v>
      </c>
      <c r="U117">
        <f>COUNTIFS('Supply planning data'!$N:$N,"&lt;&gt;", 'Supply planning data'!$C:$C,DataViz!$O117, 'Supply planning data'!$D:$D, DataViz!U$114)+COUNTIFS('Supply planning data'!$P:$P,"&lt;&gt;", 'Supply planning data'!$C:$C,DataViz!$O117, 'Supply planning data'!$D:$D, DataViz!U$114)</f>
        <v>0</v>
      </c>
      <c r="V117">
        <f>COUNTIFS('Supply planning data'!$N:$N,"&lt;&gt;", 'Supply planning data'!$C:$C,DataViz!$O117, 'Supply planning data'!$D:$D, DataViz!V$114)+COUNTIFS('Supply planning data'!$P:$P,"&lt;&gt;", 'Supply planning data'!$C:$C,DataViz!$O117, 'Supply planning data'!$D:$D, DataViz!V$114)</f>
        <v>0</v>
      </c>
      <c r="W117">
        <f>COUNTIFS('Supply planning data'!$N:$N,"&lt;&gt;", 'Supply planning data'!$C:$C,DataViz!$O117, 'Supply planning data'!$D:$D, DataViz!W$114)+COUNTIFS('Supply planning data'!$P:$P,"&lt;&gt;", 'Supply planning data'!$C:$C,DataViz!$O117, 'Supply planning data'!$D:$D, DataViz!W$114)</f>
        <v>0</v>
      </c>
      <c r="X117">
        <f>COUNTIFS('Supply planning data'!$N:$N,"&lt;&gt;", 'Supply planning data'!$C:$C,DataViz!$O117, 'Supply planning data'!$D:$D, DataViz!X$114)+COUNTIFS('Supply planning data'!$P:$P,"&lt;&gt;", 'Supply planning data'!$C:$C,DataViz!$O117, 'Supply planning data'!$D:$D, DataViz!X$114)</f>
        <v>0</v>
      </c>
      <c r="Y117">
        <f>COUNTIFS('Supply planning data'!$N:$N,"&lt;&gt;", 'Supply planning data'!$C:$C,DataViz!$O117, 'Supply planning data'!$D:$D, DataViz!Y$114)+COUNTIFS('Supply planning data'!$P:$P,"&lt;&gt;", 'Supply planning data'!$C:$C,DataViz!$O117, 'Supply planning data'!$D:$D, DataViz!Y$114)</f>
        <v>0</v>
      </c>
      <c r="Z117">
        <f>COUNTIFS('Supply planning data'!$N:$N,"&lt;&gt;", 'Supply planning data'!$C:$C,DataViz!$O117, 'Supply planning data'!$D:$D, DataViz!Z$114)+COUNTIFS('Supply planning data'!$P:$P,"&lt;&gt;", 'Supply planning data'!$C:$C,DataViz!$O117, 'Supply planning data'!$D:$D, DataViz!Z$114)</f>
        <v>0</v>
      </c>
      <c r="AA117">
        <f>COUNTIFS('Supply planning data'!$N:$N,"&lt;&gt;", 'Supply planning data'!$C:$C,DataViz!$O117, 'Supply planning data'!$D:$D, DataViz!AA$114)+COUNTIFS('Supply planning data'!$P:$P,"&lt;&gt;", 'Supply planning data'!$C:$C,DataViz!$O117, 'Supply planning data'!$D:$D, DataViz!AA$114)</f>
        <v>0</v>
      </c>
      <c r="AB117">
        <f>COUNTIFS('Supply planning data'!$N:$N,"&lt;&gt;", 'Supply planning data'!$C:$C,DataViz!$O117, 'Supply planning data'!$D:$D, DataViz!AB$114)+COUNTIFS('Supply planning data'!$P:$P,"&lt;&gt;", 'Supply planning data'!$C:$C,DataViz!$O117, 'Supply planning data'!$D:$D, DataViz!AB$114)</f>
        <v>0</v>
      </c>
      <c r="AC117">
        <f>COUNTIFS('Supply planning data'!$N:$N,"&lt;&gt;", 'Supply planning data'!$C:$C,DataViz!$O117, 'Supply planning data'!$D:$D, DataViz!AC$114)+COUNTIFS('Supply planning data'!$P:$P,"&lt;&gt;", 'Supply planning data'!$C:$C,DataViz!$O117, 'Supply planning data'!$D:$D, DataViz!AC$114)</f>
        <v>0</v>
      </c>
      <c r="AD117">
        <f>COUNTIFS('Supply planning data'!$N:$N,"&lt;&gt;", 'Supply planning data'!$C:$C,DataViz!$O117, 'Supply planning data'!$D:$D, DataViz!AD$114)+COUNTIFS('Supply planning data'!$P:$P,"&lt;&gt;", 'Supply planning data'!$C:$C,DataViz!$O117, 'Supply planning data'!$D:$D, DataViz!AD$114)</f>
        <v>0</v>
      </c>
      <c r="AE117">
        <f>COUNTIFS('Supply planning data'!$N:$N,"&lt;&gt;", 'Supply planning data'!$C:$C,DataViz!$O117, 'Supply planning data'!$D:$D, DataViz!AE$114)+COUNTIFS('Supply planning data'!$P:$P,"&lt;&gt;", 'Supply planning data'!$C:$C,DataViz!$O117, 'Supply planning data'!$D:$D, DataViz!AE$114)</f>
        <v>0</v>
      </c>
      <c r="AF117">
        <f>COUNTIFS('Supply planning data'!$N:$N,"&lt;&gt;", 'Supply planning data'!$C:$C,DataViz!$O117, 'Supply planning data'!$D:$D, DataViz!AF$114)+COUNTIFS('Supply planning data'!$P:$P,"&lt;&gt;", 'Supply planning data'!$C:$C,DataViz!$O117, 'Supply planning data'!$D:$D, DataViz!AF$114)</f>
        <v>0</v>
      </c>
      <c r="AG117">
        <f>COUNTIFS('Supply planning data'!$N:$N,"&lt;&gt;", 'Supply planning data'!$C:$C,DataViz!$O117, 'Supply planning data'!$D:$D, DataViz!AG$114)+COUNTIFS('Supply planning data'!$P:$P,"&lt;&gt;", 'Supply planning data'!$C:$C,DataViz!$O117, 'Supply planning data'!$D:$D, DataViz!AG$114)</f>
        <v>0</v>
      </c>
      <c r="AH117">
        <f>COUNTIFS('Supply planning data'!$N:$N,"&lt;&gt;", 'Supply planning data'!$C:$C,DataViz!$O117, 'Supply planning data'!$D:$D, DataViz!AH$114)+COUNTIFS('Supply planning data'!$P:$P,"&lt;&gt;", 'Supply planning data'!$C:$C,DataViz!$O117, 'Supply planning data'!$D:$D, DataViz!AH$114)</f>
        <v>0</v>
      </c>
      <c r="AI117">
        <f>COUNTIFS('Supply planning data'!$N:$N,"&lt;&gt;", 'Supply planning data'!$C:$C,DataViz!$O117, 'Supply planning data'!$D:$D, DataViz!AI$114)+COUNTIFS('Supply planning data'!$P:$P,"&lt;&gt;", 'Supply planning data'!$C:$C,DataViz!$O117, 'Supply planning data'!$D:$D, DataViz!AI$114)</f>
        <v>0</v>
      </c>
      <c r="AJ117">
        <f>COUNTIFS('Supply planning data'!$N:$N,"&lt;&gt;", 'Supply planning data'!$C:$C,DataViz!$O117, 'Supply planning data'!$D:$D, DataViz!AJ$114)+COUNTIFS('Supply planning data'!$P:$P,"&lt;&gt;", 'Supply planning data'!$C:$C,DataViz!$O117, 'Supply planning data'!$D:$D, DataViz!AJ$114)</f>
        <v>0</v>
      </c>
      <c r="AK117">
        <f>COUNTIFS('Supply planning data'!$N:$N,"&lt;&gt;", 'Supply planning data'!$C:$C,DataViz!$O117, 'Supply planning data'!$D:$D, DataViz!AK$114)+COUNTIFS('Supply planning data'!$P:$P,"&lt;&gt;", 'Supply planning data'!$C:$C,DataViz!$O117, 'Supply planning data'!$D:$D, DataViz!AK$114)</f>
        <v>0</v>
      </c>
      <c r="AL117">
        <f>COUNTIFS('Supply planning data'!$N:$N,"&lt;&gt;", 'Supply planning data'!$C:$C,DataViz!$O117, 'Supply planning data'!$D:$D, DataViz!AL$114)+COUNTIFS('Supply planning data'!$P:$P,"&lt;&gt;", 'Supply planning data'!$C:$C,DataViz!$O117, 'Supply planning data'!$D:$D, DataViz!AL$114)</f>
        <v>0</v>
      </c>
      <c r="AM117">
        <f>COUNTIFS('Supply planning data'!$N:$N,"&lt;&gt;", 'Supply planning data'!$C:$C,DataViz!$O117, 'Supply planning data'!$D:$D, DataViz!AM$114)+COUNTIFS('Supply planning data'!$P:$P,"&lt;&gt;", 'Supply planning data'!$C:$C,DataViz!$O117, 'Supply planning data'!$D:$D, DataViz!AM$114)</f>
        <v>0</v>
      </c>
    </row>
    <row r="118" spans="1:39" x14ac:dyDescent="0.25">
      <c r="A118" s="150">
        <v>14</v>
      </c>
      <c r="B118" s="151">
        <f t="shared" si="23"/>
        <v>44682</v>
      </c>
      <c r="C118" s="152">
        <f>SUMIFS('Supply planning data'!G:G,'Supply planning data'!D:D,"&lt;="&amp;DataViz!B118, 'Supply planning data'!C:C, Dashboard!$H$30)</f>
        <v>0</v>
      </c>
      <c r="D118" s="152">
        <f>SUMIFS('Supply planning data'!H:H,'Supply planning data'!D:D,"&lt;="&amp;DataViz!B118, 'Supply planning data'!C:C, Dashboard!$H$30)</f>
        <v>0</v>
      </c>
      <c r="E118" s="152">
        <f>SUMIFS('Supply planning data'!I:I,'Supply planning data'!D:D,"&lt;="&amp;DataViz!B118, 'Supply planning data'!C:C, Dashboard!$H$30)</f>
        <v>0</v>
      </c>
      <c r="F118" s="152">
        <f>SUMIFS('Supply planning data'!K:K,'Supply planning data'!D:D,"&lt;="&amp;DataViz!B118, 'Supply planning data'!C:C, Dashboard!$H$30)</f>
        <v>0</v>
      </c>
      <c r="G118" s="152">
        <f>SUMIFS('Supply planning data'!M:M,'Supply planning data'!D:D,"&lt;="&amp;DataViz!B118, 'Supply planning data'!C:C, Dashboard!$H$30)</f>
        <v>0</v>
      </c>
      <c r="J118" s="154"/>
      <c r="K118" s="155"/>
      <c r="O118" t="str">
        <f>Start!C20</f>
        <v>Pfizer</v>
      </c>
      <c r="P118">
        <f>COUNTIFS('Supply planning data'!$N:$N,"&lt;&gt;", 'Supply planning data'!$C:$C,DataViz!$O118, 'Supply planning data'!$D:$D, DataViz!P$114)+COUNTIFS('Supply planning data'!$P:$P,"&lt;&gt;", 'Supply planning data'!$C:$C,DataViz!$O118, 'Supply planning data'!$D:$D, DataViz!P$114)</f>
        <v>0</v>
      </c>
      <c r="Q118">
        <f>COUNTIFS('Supply planning data'!$N:$N,"&lt;&gt;", 'Supply planning data'!$C:$C,DataViz!$O118, 'Supply planning data'!$D:$D, DataViz!Q$114)+COUNTIFS('Supply planning data'!$P:$P,"&lt;&gt;", 'Supply planning data'!$C:$C,DataViz!$O118, 'Supply planning data'!$D:$D, DataViz!Q$114)</f>
        <v>0</v>
      </c>
      <c r="R118">
        <f>COUNTIFS('Supply planning data'!$N:$N,"&lt;&gt;", 'Supply planning data'!$C:$C,DataViz!$O118, 'Supply planning data'!$D:$D, DataViz!R$114)+COUNTIFS('Supply planning data'!$P:$P,"&lt;&gt;", 'Supply planning data'!$C:$C,DataViz!$O118, 'Supply planning data'!$D:$D, DataViz!R$114)</f>
        <v>0</v>
      </c>
      <c r="S118">
        <f>COUNTIFS('Supply planning data'!$N:$N,"&lt;&gt;", 'Supply planning data'!$C:$C,DataViz!$O118, 'Supply planning data'!$D:$D, DataViz!S$114)+COUNTIFS('Supply planning data'!$P:$P,"&lt;&gt;", 'Supply planning data'!$C:$C,DataViz!$O118, 'Supply planning data'!$D:$D, DataViz!S$114)</f>
        <v>0</v>
      </c>
      <c r="T118">
        <f>COUNTIFS('Supply planning data'!$N:$N,"&lt;&gt;", 'Supply planning data'!$C:$C,DataViz!$O118, 'Supply planning data'!$D:$D, DataViz!T$114)+COUNTIFS('Supply planning data'!$P:$P,"&lt;&gt;", 'Supply planning data'!$C:$C,DataViz!$O118, 'Supply planning data'!$D:$D, DataViz!T$114)</f>
        <v>0</v>
      </c>
      <c r="U118">
        <f>COUNTIFS('Supply planning data'!$N:$N,"&lt;&gt;", 'Supply planning data'!$C:$C,DataViz!$O118, 'Supply planning data'!$D:$D, DataViz!U$114)+COUNTIFS('Supply planning data'!$P:$P,"&lt;&gt;", 'Supply planning data'!$C:$C,DataViz!$O118, 'Supply planning data'!$D:$D, DataViz!U$114)</f>
        <v>0</v>
      </c>
      <c r="V118">
        <f>COUNTIFS('Supply planning data'!$N:$N,"&lt;&gt;", 'Supply planning data'!$C:$C,DataViz!$O118, 'Supply planning data'!$D:$D, DataViz!V$114)+COUNTIFS('Supply planning data'!$P:$P,"&lt;&gt;", 'Supply planning data'!$C:$C,DataViz!$O118, 'Supply planning data'!$D:$D, DataViz!V$114)</f>
        <v>0</v>
      </c>
      <c r="W118">
        <f>COUNTIFS('Supply planning data'!$N:$N,"&lt;&gt;", 'Supply planning data'!$C:$C,DataViz!$O118, 'Supply planning data'!$D:$D, DataViz!W$114)+COUNTIFS('Supply planning data'!$P:$P,"&lt;&gt;", 'Supply planning data'!$C:$C,DataViz!$O118, 'Supply planning data'!$D:$D, DataViz!W$114)</f>
        <v>0</v>
      </c>
      <c r="X118">
        <f>COUNTIFS('Supply planning data'!$N:$N,"&lt;&gt;", 'Supply planning data'!$C:$C,DataViz!$O118, 'Supply planning data'!$D:$D, DataViz!X$114)+COUNTIFS('Supply planning data'!$P:$P,"&lt;&gt;", 'Supply planning data'!$C:$C,DataViz!$O118, 'Supply planning data'!$D:$D, DataViz!X$114)</f>
        <v>0</v>
      </c>
      <c r="Y118">
        <f>COUNTIFS('Supply planning data'!$N:$N,"&lt;&gt;", 'Supply planning data'!$C:$C,DataViz!$O118, 'Supply planning data'!$D:$D, DataViz!Y$114)+COUNTIFS('Supply planning data'!$P:$P,"&lt;&gt;", 'Supply planning data'!$C:$C,DataViz!$O118, 'Supply planning data'!$D:$D, DataViz!Y$114)</f>
        <v>0</v>
      </c>
      <c r="Z118">
        <f>COUNTIFS('Supply planning data'!$N:$N,"&lt;&gt;", 'Supply planning data'!$C:$C,DataViz!$O118, 'Supply planning data'!$D:$D, DataViz!Z$114)+COUNTIFS('Supply planning data'!$P:$P,"&lt;&gt;", 'Supply planning data'!$C:$C,DataViz!$O118, 'Supply planning data'!$D:$D, DataViz!Z$114)</f>
        <v>0</v>
      </c>
      <c r="AA118">
        <f>COUNTIFS('Supply planning data'!$N:$N,"&lt;&gt;", 'Supply planning data'!$C:$C,DataViz!$O118, 'Supply planning data'!$D:$D, DataViz!AA$114)+COUNTIFS('Supply planning data'!$P:$P,"&lt;&gt;", 'Supply planning data'!$C:$C,DataViz!$O118, 'Supply planning data'!$D:$D, DataViz!AA$114)</f>
        <v>0</v>
      </c>
      <c r="AB118">
        <f>COUNTIFS('Supply planning data'!$N:$N,"&lt;&gt;", 'Supply planning data'!$C:$C,DataViz!$O118, 'Supply planning data'!$D:$D, DataViz!AB$114)+COUNTIFS('Supply planning data'!$P:$P,"&lt;&gt;", 'Supply planning data'!$C:$C,DataViz!$O118, 'Supply planning data'!$D:$D, DataViz!AB$114)</f>
        <v>0</v>
      </c>
      <c r="AC118">
        <f>COUNTIFS('Supply planning data'!$N:$N,"&lt;&gt;", 'Supply planning data'!$C:$C,DataViz!$O118, 'Supply planning data'!$D:$D, DataViz!AC$114)+COUNTIFS('Supply planning data'!$P:$P,"&lt;&gt;", 'Supply planning data'!$C:$C,DataViz!$O118, 'Supply planning data'!$D:$D, DataViz!AC$114)</f>
        <v>0</v>
      </c>
      <c r="AD118">
        <f>COUNTIFS('Supply planning data'!$N:$N,"&lt;&gt;", 'Supply planning data'!$C:$C,DataViz!$O118, 'Supply planning data'!$D:$D, DataViz!AD$114)+COUNTIFS('Supply planning data'!$P:$P,"&lt;&gt;", 'Supply planning data'!$C:$C,DataViz!$O118, 'Supply planning data'!$D:$D, DataViz!AD$114)</f>
        <v>0</v>
      </c>
      <c r="AE118">
        <f>COUNTIFS('Supply planning data'!$N:$N,"&lt;&gt;", 'Supply planning data'!$C:$C,DataViz!$O118, 'Supply planning data'!$D:$D, DataViz!AE$114)+COUNTIFS('Supply planning data'!$P:$P,"&lt;&gt;", 'Supply planning data'!$C:$C,DataViz!$O118, 'Supply planning data'!$D:$D, DataViz!AE$114)</f>
        <v>0</v>
      </c>
      <c r="AF118">
        <f>COUNTIFS('Supply planning data'!$N:$N,"&lt;&gt;", 'Supply planning data'!$C:$C,DataViz!$O118, 'Supply planning data'!$D:$D, DataViz!AF$114)+COUNTIFS('Supply planning data'!$P:$P,"&lt;&gt;", 'Supply planning data'!$C:$C,DataViz!$O118, 'Supply planning data'!$D:$D, DataViz!AF$114)</f>
        <v>0</v>
      </c>
      <c r="AG118">
        <f>COUNTIFS('Supply planning data'!$N:$N,"&lt;&gt;", 'Supply planning data'!$C:$C,DataViz!$O118, 'Supply planning data'!$D:$D, DataViz!AG$114)+COUNTIFS('Supply planning data'!$P:$P,"&lt;&gt;", 'Supply planning data'!$C:$C,DataViz!$O118, 'Supply planning data'!$D:$D, DataViz!AG$114)</f>
        <v>0</v>
      </c>
      <c r="AH118">
        <f>COUNTIFS('Supply planning data'!$N:$N,"&lt;&gt;", 'Supply planning data'!$C:$C,DataViz!$O118, 'Supply planning data'!$D:$D, DataViz!AH$114)+COUNTIFS('Supply planning data'!$P:$P,"&lt;&gt;", 'Supply planning data'!$C:$C,DataViz!$O118, 'Supply planning data'!$D:$D, DataViz!AH$114)</f>
        <v>0</v>
      </c>
      <c r="AI118">
        <f>COUNTIFS('Supply planning data'!$N:$N,"&lt;&gt;", 'Supply planning data'!$C:$C,DataViz!$O118, 'Supply planning data'!$D:$D, DataViz!AI$114)+COUNTIFS('Supply planning data'!$P:$P,"&lt;&gt;", 'Supply planning data'!$C:$C,DataViz!$O118, 'Supply planning data'!$D:$D, DataViz!AI$114)</f>
        <v>0</v>
      </c>
      <c r="AJ118">
        <f>COUNTIFS('Supply planning data'!$N:$N,"&lt;&gt;", 'Supply planning data'!$C:$C,DataViz!$O118, 'Supply planning data'!$D:$D, DataViz!AJ$114)+COUNTIFS('Supply planning data'!$P:$P,"&lt;&gt;", 'Supply planning data'!$C:$C,DataViz!$O118, 'Supply planning data'!$D:$D, DataViz!AJ$114)</f>
        <v>0</v>
      </c>
      <c r="AK118">
        <f>COUNTIFS('Supply planning data'!$N:$N,"&lt;&gt;", 'Supply planning data'!$C:$C,DataViz!$O118, 'Supply planning data'!$D:$D, DataViz!AK$114)+COUNTIFS('Supply planning data'!$P:$P,"&lt;&gt;", 'Supply planning data'!$C:$C,DataViz!$O118, 'Supply planning data'!$D:$D, DataViz!AK$114)</f>
        <v>0</v>
      </c>
      <c r="AL118">
        <f>COUNTIFS('Supply planning data'!$N:$N,"&lt;&gt;", 'Supply planning data'!$C:$C,DataViz!$O118, 'Supply planning data'!$D:$D, DataViz!AL$114)+COUNTIFS('Supply planning data'!$P:$P,"&lt;&gt;", 'Supply planning data'!$C:$C,DataViz!$O118, 'Supply planning data'!$D:$D, DataViz!AL$114)</f>
        <v>0</v>
      </c>
      <c r="AM118">
        <f>COUNTIFS('Supply planning data'!$N:$N,"&lt;&gt;", 'Supply planning data'!$C:$C,DataViz!$O118, 'Supply planning data'!$D:$D, DataViz!AM$114)+COUNTIFS('Supply planning data'!$P:$P,"&lt;&gt;", 'Supply planning data'!$C:$C,DataViz!$O118, 'Supply planning data'!$D:$D, DataViz!AM$114)</f>
        <v>0</v>
      </c>
    </row>
    <row r="119" spans="1:39" x14ac:dyDescent="0.25">
      <c r="A119" s="150">
        <v>15</v>
      </c>
      <c r="B119" s="151">
        <f t="shared" si="23"/>
        <v>44713</v>
      </c>
      <c r="C119" s="152">
        <f>SUMIFS('Supply planning data'!G:G,'Supply planning data'!D:D,"&lt;="&amp;DataViz!B119, 'Supply planning data'!C:C, Dashboard!$H$30)</f>
        <v>0</v>
      </c>
      <c r="D119" s="152">
        <f>SUMIFS('Supply planning data'!H:H,'Supply planning data'!D:D,"&lt;="&amp;DataViz!B119, 'Supply planning data'!C:C, Dashboard!$H$30)</f>
        <v>0</v>
      </c>
      <c r="E119" s="152">
        <f>SUMIFS('Supply planning data'!I:I,'Supply planning data'!D:D,"&lt;="&amp;DataViz!B119, 'Supply planning data'!C:C, Dashboard!$H$30)</f>
        <v>0</v>
      </c>
      <c r="F119" s="152">
        <f>SUMIFS('Supply planning data'!K:K,'Supply planning data'!D:D,"&lt;="&amp;DataViz!B119, 'Supply planning data'!C:C, Dashboard!$H$30)</f>
        <v>0</v>
      </c>
      <c r="G119" s="152">
        <f>SUMIFS('Supply planning data'!M:M,'Supply planning data'!D:D,"&lt;="&amp;DataViz!B119, 'Supply planning data'!C:C, Dashboard!$H$30)</f>
        <v>0</v>
      </c>
      <c r="J119" s="154"/>
      <c r="K119" s="155"/>
      <c r="O119" t="str">
        <f>Start!C21</f>
        <v>Sinovac</v>
      </c>
      <c r="P119">
        <f>COUNTIFS('Supply planning data'!$N:$N,"&lt;&gt;", 'Supply planning data'!$C:$C,DataViz!$O119, 'Supply planning data'!$D:$D, DataViz!P$114)+COUNTIFS('Supply planning data'!$P:$P,"&lt;&gt;", 'Supply planning data'!$C:$C,DataViz!$O119, 'Supply planning data'!$D:$D, DataViz!P$114)</f>
        <v>0</v>
      </c>
      <c r="Q119">
        <f>COUNTIFS('Supply planning data'!$N:$N,"&lt;&gt;", 'Supply planning data'!$C:$C,DataViz!$O119, 'Supply planning data'!$D:$D, DataViz!Q$114)+COUNTIFS('Supply planning data'!$P:$P,"&lt;&gt;", 'Supply planning data'!$C:$C,DataViz!$O119, 'Supply planning data'!$D:$D, DataViz!Q$114)</f>
        <v>0</v>
      </c>
      <c r="R119">
        <f>COUNTIFS('Supply planning data'!$N:$N,"&lt;&gt;", 'Supply planning data'!$C:$C,DataViz!$O119, 'Supply planning data'!$D:$D, DataViz!R$114)+COUNTIFS('Supply planning data'!$P:$P,"&lt;&gt;", 'Supply planning data'!$C:$C,DataViz!$O119, 'Supply planning data'!$D:$D, DataViz!R$114)</f>
        <v>0</v>
      </c>
      <c r="S119">
        <f>COUNTIFS('Supply planning data'!$N:$N,"&lt;&gt;", 'Supply planning data'!$C:$C,DataViz!$O119, 'Supply planning data'!$D:$D, DataViz!S$114)+COUNTIFS('Supply planning data'!$P:$P,"&lt;&gt;", 'Supply planning data'!$C:$C,DataViz!$O119, 'Supply planning data'!$D:$D, DataViz!S$114)</f>
        <v>0</v>
      </c>
      <c r="T119">
        <f>COUNTIFS('Supply planning data'!$N:$N,"&lt;&gt;", 'Supply planning data'!$C:$C,DataViz!$O119, 'Supply planning data'!$D:$D, DataViz!T$114)+COUNTIFS('Supply planning data'!$P:$P,"&lt;&gt;", 'Supply planning data'!$C:$C,DataViz!$O119, 'Supply planning data'!$D:$D, DataViz!T$114)</f>
        <v>0</v>
      </c>
      <c r="U119">
        <f>COUNTIFS('Supply planning data'!$N:$N,"&lt;&gt;", 'Supply planning data'!$C:$C,DataViz!$O119, 'Supply planning data'!$D:$D, DataViz!U$114)+COUNTIFS('Supply planning data'!$P:$P,"&lt;&gt;", 'Supply planning data'!$C:$C,DataViz!$O119, 'Supply planning data'!$D:$D, DataViz!U$114)</f>
        <v>0</v>
      </c>
      <c r="V119">
        <f>COUNTIFS('Supply planning data'!$N:$N,"&lt;&gt;", 'Supply planning data'!$C:$C,DataViz!$O119, 'Supply planning data'!$D:$D, DataViz!V$114)+COUNTIFS('Supply planning data'!$P:$P,"&lt;&gt;", 'Supply planning data'!$C:$C,DataViz!$O119, 'Supply planning data'!$D:$D, DataViz!V$114)</f>
        <v>0</v>
      </c>
      <c r="W119">
        <f>COUNTIFS('Supply planning data'!$N:$N,"&lt;&gt;", 'Supply planning data'!$C:$C,DataViz!$O119, 'Supply planning data'!$D:$D, DataViz!W$114)+COUNTIFS('Supply planning data'!$P:$P,"&lt;&gt;", 'Supply planning data'!$C:$C,DataViz!$O119, 'Supply planning data'!$D:$D, DataViz!W$114)</f>
        <v>0</v>
      </c>
      <c r="X119">
        <f>COUNTIFS('Supply planning data'!$N:$N,"&lt;&gt;", 'Supply planning data'!$C:$C,DataViz!$O119, 'Supply planning data'!$D:$D, DataViz!X$114)+COUNTIFS('Supply planning data'!$P:$P,"&lt;&gt;", 'Supply planning data'!$C:$C,DataViz!$O119, 'Supply planning data'!$D:$D, DataViz!X$114)</f>
        <v>0</v>
      </c>
      <c r="Y119">
        <f>COUNTIFS('Supply planning data'!$N:$N,"&lt;&gt;", 'Supply planning data'!$C:$C,DataViz!$O119, 'Supply planning data'!$D:$D, DataViz!Y$114)+COUNTIFS('Supply planning data'!$P:$P,"&lt;&gt;", 'Supply planning data'!$C:$C,DataViz!$O119, 'Supply planning data'!$D:$D, DataViz!Y$114)</f>
        <v>0</v>
      </c>
      <c r="Z119">
        <f>COUNTIFS('Supply planning data'!$N:$N,"&lt;&gt;", 'Supply planning data'!$C:$C,DataViz!$O119, 'Supply planning data'!$D:$D, DataViz!Z$114)+COUNTIFS('Supply planning data'!$P:$P,"&lt;&gt;", 'Supply planning data'!$C:$C,DataViz!$O119, 'Supply planning data'!$D:$D, DataViz!Z$114)</f>
        <v>0</v>
      </c>
      <c r="AA119">
        <f>COUNTIFS('Supply planning data'!$N:$N,"&lt;&gt;", 'Supply planning data'!$C:$C,DataViz!$O119, 'Supply planning data'!$D:$D, DataViz!AA$114)+COUNTIFS('Supply planning data'!$P:$P,"&lt;&gt;", 'Supply planning data'!$C:$C,DataViz!$O119, 'Supply planning data'!$D:$D, DataViz!AA$114)</f>
        <v>0</v>
      </c>
      <c r="AB119">
        <f>COUNTIFS('Supply planning data'!$N:$N,"&lt;&gt;", 'Supply planning data'!$C:$C,DataViz!$O119, 'Supply planning data'!$D:$D, DataViz!AB$114)+COUNTIFS('Supply planning data'!$P:$P,"&lt;&gt;", 'Supply planning data'!$C:$C,DataViz!$O119, 'Supply planning data'!$D:$D, DataViz!AB$114)</f>
        <v>0</v>
      </c>
      <c r="AC119">
        <f>COUNTIFS('Supply planning data'!$N:$N,"&lt;&gt;", 'Supply planning data'!$C:$C,DataViz!$O119, 'Supply planning data'!$D:$D, DataViz!AC$114)+COUNTIFS('Supply planning data'!$P:$P,"&lt;&gt;", 'Supply planning data'!$C:$C,DataViz!$O119, 'Supply planning data'!$D:$D, DataViz!AC$114)</f>
        <v>0</v>
      </c>
      <c r="AD119">
        <f>COUNTIFS('Supply planning data'!$N:$N,"&lt;&gt;", 'Supply planning data'!$C:$C,DataViz!$O119, 'Supply planning data'!$D:$D, DataViz!AD$114)+COUNTIFS('Supply planning data'!$P:$P,"&lt;&gt;", 'Supply planning data'!$C:$C,DataViz!$O119, 'Supply planning data'!$D:$D, DataViz!AD$114)</f>
        <v>0</v>
      </c>
      <c r="AE119">
        <f>COUNTIFS('Supply planning data'!$N:$N,"&lt;&gt;", 'Supply planning data'!$C:$C,DataViz!$O119, 'Supply planning data'!$D:$D, DataViz!AE$114)+COUNTIFS('Supply planning data'!$P:$P,"&lt;&gt;", 'Supply planning data'!$C:$C,DataViz!$O119, 'Supply planning data'!$D:$D, DataViz!AE$114)</f>
        <v>0</v>
      </c>
      <c r="AF119">
        <f>COUNTIFS('Supply planning data'!$N:$N,"&lt;&gt;", 'Supply planning data'!$C:$C,DataViz!$O119, 'Supply planning data'!$D:$D, DataViz!AF$114)+COUNTIFS('Supply planning data'!$P:$P,"&lt;&gt;", 'Supply planning data'!$C:$C,DataViz!$O119, 'Supply planning data'!$D:$D, DataViz!AF$114)</f>
        <v>0</v>
      </c>
      <c r="AG119">
        <f>COUNTIFS('Supply planning data'!$N:$N,"&lt;&gt;", 'Supply planning data'!$C:$C,DataViz!$O119, 'Supply planning data'!$D:$D, DataViz!AG$114)+COUNTIFS('Supply planning data'!$P:$P,"&lt;&gt;", 'Supply planning data'!$C:$C,DataViz!$O119, 'Supply planning data'!$D:$D, DataViz!AG$114)</f>
        <v>0</v>
      </c>
      <c r="AH119">
        <f>COUNTIFS('Supply planning data'!$N:$N,"&lt;&gt;", 'Supply planning data'!$C:$C,DataViz!$O119, 'Supply planning data'!$D:$D, DataViz!AH$114)+COUNTIFS('Supply planning data'!$P:$P,"&lt;&gt;", 'Supply planning data'!$C:$C,DataViz!$O119, 'Supply planning data'!$D:$D, DataViz!AH$114)</f>
        <v>0</v>
      </c>
      <c r="AI119">
        <f>COUNTIFS('Supply planning data'!$N:$N,"&lt;&gt;", 'Supply planning data'!$C:$C,DataViz!$O119, 'Supply planning data'!$D:$D, DataViz!AI$114)+COUNTIFS('Supply planning data'!$P:$P,"&lt;&gt;", 'Supply planning data'!$C:$C,DataViz!$O119, 'Supply planning data'!$D:$D, DataViz!AI$114)</f>
        <v>0</v>
      </c>
      <c r="AJ119">
        <f>COUNTIFS('Supply planning data'!$N:$N,"&lt;&gt;", 'Supply planning data'!$C:$C,DataViz!$O119, 'Supply planning data'!$D:$D, DataViz!AJ$114)+COUNTIFS('Supply planning data'!$P:$P,"&lt;&gt;", 'Supply planning data'!$C:$C,DataViz!$O119, 'Supply planning data'!$D:$D, DataViz!AJ$114)</f>
        <v>0</v>
      </c>
      <c r="AK119">
        <f>COUNTIFS('Supply planning data'!$N:$N,"&lt;&gt;", 'Supply planning data'!$C:$C,DataViz!$O119, 'Supply planning data'!$D:$D, DataViz!AK$114)+COUNTIFS('Supply planning data'!$P:$P,"&lt;&gt;", 'Supply planning data'!$C:$C,DataViz!$O119, 'Supply planning data'!$D:$D, DataViz!AK$114)</f>
        <v>0</v>
      </c>
      <c r="AL119">
        <f>COUNTIFS('Supply planning data'!$N:$N,"&lt;&gt;", 'Supply planning data'!$C:$C,DataViz!$O119, 'Supply planning data'!$D:$D, DataViz!AL$114)+COUNTIFS('Supply planning data'!$P:$P,"&lt;&gt;", 'Supply planning data'!$C:$C,DataViz!$O119, 'Supply planning data'!$D:$D, DataViz!AL$114)</f>
        <v>0</v>
      </c>
      <c r="AM119">
        <f>COUNTIFS('Supply planning data'!$N:$N,"&lt;&gt;", 'Supply planning data'!$C:$C,DataViz!$O119, 'Supply planning data'!$D:$D, DataViz!AM$114)+COUNTIFS('Supply planning data'!$P:$P,"&lt;&gt;", 'Supply planning data'!$C:$C,DataViz!$O119, 'Supply planning data'!$D:$D, DataViz!AM$114)</f>
        <v>0</v>
      </c>
    </row>
    <row r="120" spans="1:39" x14ac:dyDescent="0.25">
      <c r="A120" s="150">
        <v>16</v>
      </c>
      <c r="B120" s="151">
        <f t="shared" si="23"/>
        <v>44743</v>
      </c>
      <c r="C120" s="152">
        <f>SUMIFS('Supply planning data'!G:G,'Supply planning data'!D:D,"&lt;="&amp;DataViz!B120, 'Supply planning data'!C:C, Dashboard!$H$30)</f>
        <v>0</v>
      </c>
      <c r="D120" s="152">
        <f>SUMIFS('Supply planning data'!H:H,'Supply planning data'!D:D,"&lt;="&amp;DataViz!B120, 'Supply planning data'!C:C, Dashboard!$H$30)</f>
        <v>0</v>
      </c>
      <c r="E120" s="152">
        <f>SUMIFS('Supply planning data'!I:I,'Supply planning data'!D:D,"&lt;="&amp;DataViz!B120, 'Supply planning data'!C:C, Dashboard!$H$30)</f>
        <v>0</v>
      </c>
      <c r="F120" s="152">
        <f>SUMIFS('Supply planning data'!K:K,'Supply planning data'!D:D,"&lt;="&amp;DataViz!B120, 'Supply planning data'!C:C, Dashboard!$H$30)</f>
        <v>0</v>
      </c>
      <c r="G120" s="152">
        <f>SUMIFS('Supply planning data'!M:M,'Supply planning data'!D:D,"&lt;="&amp;DataViz!B120, 'Supply planning data'!C:C, Dashboard!$H$30)</f>
        <v>0</v>
      </c>
      <c r="J120" s="154"/>
      <c r="K120" s="155"/>
      <c r="O120">
        <f>Start!C22</f>
        <v>0</v>
      </c>
      <c r="P120">
        <f>COUNTIFS('Supply planning data'!$N:$N,"&lt;&gt;", 'Supply planning data'!$C:$C,DataViz!$O120, 'Supply planning data'!$D:$D, DataViz!P$114)+COUNTIFS('Supply planning data'!$P:$P,"&lt;&gt;", 'Supply planning data'!$C:$C,DataViz!$O120, 'Supply planning data'!$D:$D, DataViz!P$114)</f>
        <v>0</v>
      </c>
      <c r="Q120">
        <f>COUNTIFS('Supply planning data'!$N:$N,"&lt;&gt;", 'Supply planning data'!$C:$C,DataViz!$O120, 'Supply planning data'!$D:$D, DataViz!Q$114)+COUNTIFS('Supply planning data'!$P:$P,"&lt;&gt;", 'Supply planning data'!$C:$C,DataViz!$O120, 'Supply planning data'!$D:$D, DataViz!Q$114)</f>
        <v>0</v>
      </c>
      <c r="R120">
        <f>COUNTIFS('Supply planning data'!$N:$N,"&lt;&gt;", 'Supply planning data'!$C:$C,DataViz!$O120, 'Supply planning data'!$D:$D, DataViz!R$114)+COUNTIFS('Supply planning data'!$P:$P,"&lt;&gt;", 'Supply planning data'!$C:$C,DataViz!$O120, 'Supply planning data'!$D:$D, DataViz!R$114)</f>
        <v>0</v>
      </c>
      <c r="S120">
        <f>COUNTIFS('Supply planning data'!$N:$N,"&lt;&gt;", 'Supply planning data'!$C:$C,DataViz!$O120, 'Supply planning data'!$D:$D, DataViz!S$114)+COUNTIFS('Supply planning data'!$P:$P,"&lt;&gt;", 'Supply planning data'!$C:$C,DataViz!$O120, 'Supply planning data'!$D:$D, DataViz!S$114)</f>
        <v>0</v>
      </c>
      <c r="T120">
        <f>COUNTIFS('Supply planning data'!$N:$N,"&lt;&gt;", 'Supply planning data'!$C:$C,DataViz!$O120, 'Supply planning data'!$D:$D, DataViz!T$114)+COUNTIFS('Supply planning data'!$P:$P,"&lt;&gt;", 'Supply planning data'!$C:$C,DataViz!$O120, 'Supply planning data'!$D:$D, DataViz!T$114)</f>
        <v>0</v>
      </c>
      <c r="U120">
        <f>COUNTIFS('Supply planning data'!$N:$N,"&lt;&gt;", 'Supply planning data'!$C:$C,DataViz!$O120, 'Supply planning data'!$D:$D, DataViz!U$114)+COUNTIFS('Supply planning data'!$P:$P,"&lt;&gt;", 'Supply planning data'!$C:$C,DataViz!$O120, 'Supply planning data'!$D:$D, DataViz!U$114)</f>
        <v>0</v>
      </c>
      <c r="V120">
        <f>COUNTIFS('Supply planning data'!$N:$N,"&lt;&gt;", 'Supply planning data'!$C:$C,DataViz!$O120, 'Supply planning data'!$D:$D, DataViz!V$114)+COUNTIFS('Supply planning data'!$P:$P,"&lt;&gt;", 'Supply planning data'!$C:$C,DataViz!$O120, 'Supply planning data'!$D:$D, DataViz!V$114)</f>
        <v>0</v>
      </c>
      <c r="W120">
        <f>COUNTIFS('Supply planning data'!$N:$N,"&lt;&gt;", 'Supply planning data'!$C:$C,DataViz!$O120, 'Supply planning data'!$D:$D, DataViz!W$114)+COUNTIFS('Supply planning data'!$P:$P,"&lt;&gt;", 'Supply planning data'!$C:$C,DataViz!$O120, 'Supply planning data'!$D:$D, DataViz!W$114)</f>
        <v>0</v>
      </c>
      <c r="X120">
        <f>COUNTIFS('Supply planning data'!$N:$N,"&lt;&gt;", 'Supply planning data'!$C:$C,DataViz!$O120, 'Supply planning data'!$D:$D, DataViz!X$114)+COUNTIFS('Supply planning data'!$P:$P,"&lt;&gt;", 'Supply planning data'!$C:$C,DataViz!$O120, 'Supply planning data'!$D:$D, DataViz!X$114)</f>
        <v>0</v>
      </c>
      <c r="Y120">
        <f>COUNTIFS('Supply planning data'!$N:$N,"&lt;&gt;", 'Supply planning data'!$C:$C,DataViz!$O120, 'Supply planning data'!$D:$D, DataViz!Y$114)+COUNTIFS('Supply planning data'!$P:$P,"&lt;&gt;", 'Supply planning data'!$C:$C,DataViz!$O120, 'Supply planning data'!$D:$D, DataViz!Y$114)</f>
        <v>0</v>
      </c>
      <c r="Z120">
        <f>COUNTIFS('Supply planning data'!$N:$N,"&lt;&gt;", 'Supply planning data'!$C:$C,DataViz!$O120, 'Supply planning data'!$D:$D, DataViz!Z$114)+COUNTIFS('Supply planning data'!$P:$P,"&lt;&gt;", 'Supply planning data'!$C:$C,DataViz!$O120, 'Supply planning data'!$D:$D, DataViz!Z$114)</f>
        <v>0</v>
      </c>
      <c r="AA120">
        <f>COUNTIFS('Supply planning data'!$N:$N,"&lt;&gt;", 'Supply planning data'!$C:$C,DataViz!$O120, 'Supply planning data'!$D:$D, DataViz!AA$114)+COUNTIFS('Supply planning data'!$P:$P,"&lt;&gt;", 'Supply planning data'!$C:$C,DataViz!$O120, 'Supply planning data'!$D:$D, DataViz!AA$114)</f>
        <v>0</v>
      </c>
      <c r="AB120">
        <f>COUNTIFS('Supply planning data'!$N:$N,"&lt;&gt;", 'Supply planning data'!$C:$C,DataViz!$O120, 'Supply planning data'!$D:$D, DataViz!AB$114)+COUNTIFS('Supply planning data'!$P:$P,"&lt;&gt;", 'Supply planning data'!$C:$C,DataViz!$O120, 'Supply planning data'!$D:$D, DataViz!AB$114)</f>
        <v>0</v>
      </c>
      <c r="AC120">
        <f>COUNTIFS('Supply planning data'!$N:$N,"&lt;&gt;", 'Supply planning data'!$C:$C,DataViz!$O120, 'Supply planning data'!$D:$D, DataViz!AC$114)+COUNTIFS('Supply planning data'!$P:$P,"&lt;&gt;", 'Supply planning data'!$C:$C,DataViz!$O120, 'Supply planning data'!$D:$D, DataViz!AC$114)</f>
        <v>0</v>
      </c>
      <c r="AD120">
        <f>COUNTIFS('Supply planning data'!$N:$N,"&lt;&gt;", 'Supply planning data'!$C:$C,DataViz!$O120, 'Supply planning data'!$D:$D, DataViz!AD$114)+COUNTIFS('Supply planning data'!$P:$P,"&lt;&gt;", 'Supply planning data'!$C:$C,DataViz!$O120, 'Supply planning data'!$D:$D, DataViz!AD$114)</f>
        <v>0</v>
      </c>
      <c r="AE120">
        <f>COUNTIFS('Supply planning data'!$N:$N,"&lt;&gt;", 'Supply planning data'!$C:$C,DataViz!$O120, 'Supply planning data'!$D:$D, DataViz!AE$114)+COUNTIFS('Supply planning data'!$P:$P,"&lt;&gt;", 'Supply planning data'!$C:$C,DataViz!$O120, 'Supply planning data'!$D:$D, DataViz!AE$114)</f>
        <v>0</v>
      </c>
      <c r="AF120">
        <f>COUNTIFS('Supply planning data'!$N:$N,"&lt;&gt;", 'Supply planning data'!$C:$C,DataViz!$O120, 'Supply planning data'!$D:$D, DataViz!AF$114)+COUNTIFS('Supply planning data'!$P:$P,"&lt;&gt;", 'Supply planning data'!$C:$C,DataViz!$O120, 'Supply planning data'!$D:$D, DataViz!AF$114)</f>
        <v>0</v>
      </c>
      <c r="AG120">
        <f>COUNTIFS('Supply planning data'!$N:$N,"&lt;&gt;", 'Supply planning data'!$C:$C,DataViz!$O120, 'Supply planning data'!$D:$D, DataViz!AG$114)+COUNTIFS('Supply planning data'!$P:$P,"&lt;&gt;", 'Supply planning data'!$C:$C,DataViz!$O120, 'Supply planning data'!$D:$D, DataViz!AG$114)</f>
        <v>0</v>
      </c>
      <c r="AH120">
        <f>COUNTIFS('Supply planning data'!$N:$N,"&lt;&gt;", 'Supply planning data'!$C:$C,DataViz!$O120, 'Supply planning data'!$D:$D, DataViz!AH$114)+COUNTIFS('Supply planning data'!$P:$P,"&lt;&gt;", 'Supply planning data'!$C:$C,DataViz!$O120, 'Supply planning data'!$D:$D, DataViz!AH$114)</f>
        <v>0</v>
      </c>
      <c r="AI120">
        <f>COUNTIFS('Supply planning data'!$N:$N,"&lt;&gt;", 'Supply planning data'!$C:$C,DataViz!$O120, 'Supply planning data'!$D:$D, DataViz!AI$114)+COUNTIFS('Supply planning data'!$P:$P,"&lt;&gt;", 'Supply planning data'!$C:$C,DataViz!$O120, 'Supply planning data'!$D:$D, DataViz!AI$114)</f>
        <v>0</v>
      </c>
      <c r="AJ120">
        <f>COUNTIFS('Supply planning data'!$N:$N,"&lt;&gt;", 'Supply planning data'!$C:$C,DataViz!$O120, 'Supply planning data'!$D:$D, DataViz!AJ$114)+COUNTIFS('Supply planning data'!$P:$P,"&lt;&gt;", 'Supply planning data'!$C:$C,DataViz!$O120, 'Supply planning data'!$D:$D, DataViz!AJ$114)</f>
        <v>0</v>
      </c>
      <c r="AK120">
        <f>COUNTIFS('Supply planning data'!$N:$N,"&lt;&gt;", 'Supply planning data'!$C:$C,DataViz!$O120, 'Supply planning data'!$D:$D, DataViz!AK$114)+COUNTIFS('Supply planning data'!$P:$P,"&lt;&gt;", 'Supply planning data'!$C:$C,DataViz!$O120, 'Supply planning data'!$D:$D, DataViz!AK$114)</f>
        <v>0</v>
      </c>
      <c r="AL120">
        <f>COUNTIFS('Supply planning data'!$N:$N,"&lt;&gt;", 'Supply planning data'!$C:$C,DataViz!$O120, 'Supply planning data'!$D:$D, DataViz!AL$114)+COUNTIFS('Supply planning data'!$P:$P,"&lt;&gt;", 'Supply planning data'!$C:$C,DataViz!$O120, 'Supply planning data'!$D:$D, DataViz!AL$114)</f>
        <v>0</v>
      </c>
      <c r="AM120">
        <f>COUNTIFS('Supply planning data'!$N:$N,"&lt;&gt;", 'Supply planning data'!$C:$C,DataViz!$O120, 'Supply planning data'!$D:$D, DataViz!AM$114)+COUNTIFS('Supply planning data'!$P:$P,"&lt;&gt;", 'Supply planning data'!$C:$C,DataViz!$O120, 'Supply planning data'!$D:$D, DataViz!AM$114)</f>
        <v>0</v>
      </c>
    </row>
    <row r="121" spans="1:39" x14ac:dyDescent="0.25">
      <c r="A121" s="150">
        <v>17</v>
      </c>
      <c r="B121" s="151">
        <f t="shared" si="23"/>
        <v>44774</v>
      </c>
      <c r="C121" s="152">
        <f>SUMIFS('Supply planning data'!G:G,'Supply planning data'!D:D,"&lt;="&amp;DataViz!B121, 'Supply planning data'!C:C, Dashboard!$H$30)</f>
        <v>0</v>
      </c>
      <c r="D121" s="152">
        <f>SUMIFS('Supply planning data'!H:H,'Supply planning data'!D:D,"&lt;="&amp;DataViz!B121, 'Supply planning data'!C:C, Dashboard!$H$30)</f>
        <v>0</v>
      </c>
      <c r="E121" s="152">
        <f>SUMIFS('Supply planning data'!I:I,'Supply planning data'!D:D,"&lt;="&amp;DataViz!B121, 'Supply planning data'!C:C, Dashboard!$H$30)</f>
        <v>0</v>
      </c>
      <c r="F121" s="152">
        <f>SUMIFS('Supply planning data'!K:K,'Supply planning data'!D:D,"&lt;="&amp;DataViz!B121, 'Supply planning data'!C:C, Dashboard!$H$30)</f>
        <v>0</v>
      </c>
      <c r="G121" s="152">
        <f>SUMIFS('Supply planning data'!M:M,'Supply planning data'!D:D,"&lt;="&amp;DataViz!B121, 'Supply planning data'!C:C, Dashboard!$H$30)</f>
        <v>0</v>
      </c>
      <c r="J121" s="154"/>
      <c r="K121" s="155"/>
      <c r="O121">
        <f>Start!C23</f>
        <v>0</v>
      </c>
      <c r="P121">
        <f>COUNTIFS('Supply planning data'!$N:$N,"&lt;&gt;", 'Supply planning data'!$C:$C,DataViz!$O121, 'Supply planning data'!$D:$D, DataViz!P$114)+COUNTIFS('Supply planning data'!$P:$P,"&lt;&gt;", 'Supply planning data'!$C:$C,DataViz!$O121, 'Supply planning data'!$D:$D, DataViz!P$114)</f>
        <v>0</v>
      </c>
      <c r="Q121">
        <f>COUNTIFS('Supply planning data'!$N:$N,"&lt;&gt;", 'Supply planning data'!$C:$C,DataViz!$O121, 'Supply planning data'!$D:$D, DataViz!Q$114)+COUNTIFS('Supply planning data'!$P:$P,"&lt;&gt;", 'Supply planning data'!$C:$C,DataViz!$O121, 'Supply planning data'!$D:$D, DataViz!Q$114)</f>
        <v>0</v>
      </c>
      <c r="R121">
        <f>COUNTIFS('Supply planning data'!$N:$N,"&lt;&gt;", 'Supply planning data'!$C:$C,DataViz!$O121, 'Supply planning data'!$D:$D, DataViz!R$114)+COUNTIFS('Supply planning data'!$P:$P,"&lt;&gt;", 'Supply planning data'!$C:$C,DataViz!$O121, 'Supply planning data'!$D:$D, DataViz!R$114)</f>
        <v>0</v>
      </c>
      <c r="S121">
        <f>COUNTIFS('Supply planning data'!$N:$N,"&lt;&gt;", 'Supply planning data'!$C:$C,DataViz!$O121, 'Supply planning data'!$D:$D, DataViz!S$114)+COUNTIFS('Supply planning data'!$P:$P,"&lt;&gt;", 'Supply planning data'!$C:$C,DataViz!$O121, 'Supply planning data'!$D:$D, DataViz!S$114)</f>
        <v>0</v>
      </c>
      <c r="T121">
        <f>COUNTIFS('Supply planning data'!$N:$N,"&lt;&gt;", 'Supply planning data'!$C:$C,DataViz!$O121, 'Supply planning data'!$D:$D, DataViz!T$114)+COUNTIFS('Supply planning data'!$P:$P,"&lt;&gt;", 'Supply planning data'!$C:$C,DataViz!$O121, 'Supply planning data'!$D:$D, DataViz!T$114)</f>
        <v>0</v>
      </c>
      <c r="U121">
        <f>COUNTIFS('Supply planning data'!$N:$N,"&lt;&gt;", 'Supply planning data'!$C:$C,DataViz!$O121, 'Supply planning data'!$D:$D, DataViz!U$114)+COUNTIFS('Supply planning data'!$P:$P,"&lt;&gt;", 'Supply planning data'!$C:$C,DataViz!$O121, 'Supply planning data'!$D:$D, DataViz!U$114)</f>
        <v>0</v>
      </c>
      <c r="V121">
        <f>COUNTIFS('Supply planning data'!$N:$N,"&lt;&gt;", 'Supply planning data'!$C:$C,DataViz!$O121, 'Supply planning data'!$D:$D, DataViz!V$114)+COUNTIFS('Supply planning data'!$P:$P,"&lt;&gt;", 'Supply planning data'!$C:$C,DataViz!$O121, 'Supply planning data'!$D:$D, DataViz!V$114)</f>
        <v>0</v>
      </c>
      <c r="W121">
        <f>COUNTIFS('Supply planning data'!$N:$N,"&lt;&gt;", 'Supply planning data'!$C:$C,DataViz!$O121, 'Supply planning data'!$D:$D, DataViz!W$114)+COUNTIFS('Supply planning data'!$P:$P,"&lt;&gt;", 'Supply planning data'!$C:$C,DataViz!$O121, 'Supply planning data'!$D:$D, DataViz!W$114)</f>
        <v>0</v>
      </c>
      <c r="X121">
        <f>COUNTIFS('Supply planning data'!$N:$N,"&lt;&gt;", 'Supply planning data'!$C:$C,DataViz!$O121, 'Supply planning data'!$D:$D, DataViz!X$114)+COUNTIFS('Supply planning data'!$P:$P,"&lt;&gt;", 'Supply planning data'!$C:$C,DataViz!$O121, 'Supply planning data'!$D:$D, DataViz!X$114)</f>
        <v>0</v>
      </c>
      <c r="Y121">
        <f>COUNTIFS('Supply planning data'!$N:$N,"&lt;&gt;", 'Supply planning data'!$C:$C,DataViz!$O121, 'Supply planning data'!$D:$D, DataViz!Y$114)+COUNTIFS('Supply planning data'!$P:$P,"&lt;&gt;", 'Supply planning data'!$C:$C,DataViz!$O121, 'Supply planning data'!$D:$D, DataViz!Y$114)</f>
        <v>0</v>
      </c>
      <c r="Z121">
        <f>COUNTIFS('Supply planning data'!$N:$N,"&lt;&gt;", 'Supply planning data'!$C:$C,DataViz!$O121, 'Supply planning data'!$D:$D, DataViz!Z$114)+COUNTIFS('Supply planning data'!$P:$P,"&lt;&gt;", 'Supply planning data'!$C:$C,DataViz!$O121, 'Supply planning data'!$D:$D, DataViz!Z$114)</f>
        <v>0</v>
      </c>
      <c r="AA121">
        <f>COUNTIFS('Supply planning data'!$N:$N,"&lt;&gt;", 'Supply planning data'!$C:$C,DataViz!$O121, 'Supply planning data'!$D:$D, DataViz!AA$114)+COUNTIFS('Supply planning data'!$P:$P,"&lt;&gt;", 'Supply planning data'!$C:$C,DataViz!$O121, 'Supply planning data'!$D:$D, DataViz!AA$114)</f>
        <v>0</v>
      </c>
      <c r="AB121">
        <f>COUNTIFS('Supply planning data'!$N:$N,"&lt;&gt;", 'Supply planning data'!$C:$C,DataViz!$O121, 'Supply planning data'!$D:$D, DataViz!AB$114)+COUNTIFS('Supply planning data'!$P:$P,"&lt;&gt;", 'Supply planning data'!$C:$C,DataViz!$O121, 'Supply planning data'!$D:$D, DataViz!AB$114)</f>
        <v>0</v>
      </c>
      <c r="AC121">
        <f>COUNTIFS('Supply planning data'!$N:$N,"&lt;&gt;", 'Supply planning data'!$C:$C,DataViz!$O121, 'Supply planning data'!$D:$D, DataViz!AC$114)+COUNTIFS('Supply planning data'!$P:$P,"&lt;&gt;", 'Supply planning data'!$C:$C,DataViz!$O121, 'Supply planning data'!$D:$D, DataViz!AC$114)</f>
        <v>0</v>
      </c>
      <c r="AD121">
        <f>COUNTIFS('Supply planning data'!$N:$N,"&lt;&gt;", 'Supply planning data'!$C:$C,DataViz!$O121, 'Supply planning data'!$D:$D, DataViz!AD$114)+COUNTIFS('Supply planning data'!$P:$P,"&lt;&gt;", 'Supply planning data'!$C:$C,DataViz!$O121, 'Supply planning data'!$D:$D, DataViz!AD$114)</f>
        <v>0</v>
      </c>
      <c r="AE121">
        <f>COUNTIFS('Supply planning data'!$N:$N,"&lt;&gt;", 'Supply planning data'!$C:$C,DataViz!$O121, 'Supply planning data'!$D:$D, DataViz!AE$114)+COUNTIFS('Supply planning data'!$P:$P,"&lt;&gt;", 'Supply planning data'!$C:$C,DataViz!$O121, 'Supply planning data'!$D:$D, DataViz!AE$114)</f>
        <v>0</v>
      </c>
      <c r="AF121">
        <f>COUNTIFS('Supply planning data'!$N:$N,"&lt;&gt;", 'Supply planning data'!$C:$C,DataViz!$O121, 'Supply planning data'!$D:$D, DataViz!AF$114)+COUNTIFS('Supply planning data'!$P:$P,"&lt;&gt;", 'Supply planning data'!$C:$C,DataViz!$O121, 'Supply planning data'!$D:$D, DataViz!AF$114)</f>
        <v>0</v>
      </c>
      <c r="AG121">
        <f>COUNTIFS('Supply planning data'!$N:$N,"&lt;&gt;", 'Supply planning data'!$C:$C,DataViz!$O121, 'Supply planning data'!$D:$D, DataViz!AG$114)+COUNTIFS('Supply planning data'!$P:$P,"&lt;&gt;", 'Supply planning data'!$C:$C,DataViz!$O121, 'Supply planning data'!$D:$D, DataViz!AG$114)</f>
        <v>0</v>
      </c>
      <c r="AH121">
        <f>COUNTIFS('Supply planning data'!$N:$N,"&lt;&gt;", 'Supply planning data'!$C:$C,DataViz!$O121, 'Supply planning data'!$D:$D, DataViz!AH$114)+COUNTIFS('Supply planning data'!$P:$P,"&lt;&gt;", 'Supply planning data'!$C:$C,DataViz!$O121, 'Supply planning data'!$D:$D, DataViz!AH$114)</f>
        <v>0</v>
      </c>
      <c r="AI121">
        <f>COUNTIFS('Supply planning data'!$N:$N,"&lt;&gt;", 'Supply planning data'!$C:$C,DataViz!$O121, 'Supply planning data'!$D:$D, DataViz!AI$114)+COUNTIFS('Supply planning data'!$P:$P,"&lt;&gt;", 'Supply planning data'!$C:$C,DataViz!$O121, 'Supply planning data'!$D:$D, DataViz!AI$114)</f>
        <v>0</v>
      </c>
      <c r="AJ121">
        <f>COUNTIFS('Supply planning data'!$N:$N,"&lt;&gt;", 'Supply planning data'!$C:$C,DataViz!$O121, 'Supply planning data'!$D:$D, DataViz!AJ$114)+COUNTIFS('Supply planning data'!$P:$P,"&lt;&gt;", 'Supply planning data'!$C:$C,DataViz!$O121, 'Supply planning data'!$D:$D, DataViz!AJ$114)</f>
        <v>0</v>
      </c>
      <c r="AK121">
        <f>COUNTIFS('Supply planning data'!$N:$N,"&lt;&gt;", 'Supply planning data'!$C:$C,DataViz!$O121, 'Supply planning data'!$D:$D, DataViz!AK$114)+COUNTIFS('Supply planning data'!$P:$P,"&lt;&gt;", 'Supply planning data'!$C:$C,DataViz!$O121, 'Supply planning data'!$D:$D, DataViz!AK$114)</f>
        <v>0</v>
      </c>
      <c r="AL121">
        <f>COUNTIFS('Supply planning data'!$N:$N,"&lt;&gt;", 'Supply planning data'!$C:$C,DataViz!$O121, 'Supply planning data'!$D:$D, DataViz!AL$114)+COUNTIFS('Supply planning data'!$P:$P,"&lt;&gt;", 'Supply planning data'!$C:$C,DataViz!$O121, 'Supply planning data'!$D:$D, DataViz!AL$114)</f>
        <v>0</v>
      </c>
      <c r="AM121">
        <f>COUNTIFS('Supply planning data'!$N:$N,"&lt;&gt;", 'Supply planning data'!$C:$C,DataViz!$O121, 'Supply planning data'!$D:$D, DataViz!AM$114)+COUNTIFS('Supply planning data'!$P:$P,"&lt;&gt;", 'Supply planning data'!$C:$C,DataViz!$O121, 'Supply planning data'!$D:$D, DataViz!AM$114)</f>
        <v>0</v>
      </c>
    </row>
    <row r="122" spans="1:39" x14ac:dyDescent="0.25">
      <c r="A122" s="150">
        <v>18</v>
      </c>
      <c r="B122" s="151">
        <f t="shared" si="23"/>
        <v>44805</v>
      </c>
      <c r="C122" s="152">
        <f>SUMIFS('Supply planning data'!G:G,'Supply planning data'!D:D,"&lt;="&amp;DataViz!B122, 'Supply planning data'!C:C, Dashboard!$H$30)</f>
        <v>0</v>
      </c>
      <c r="D122" s="152">
        <f>SUMIFS('Supply planning data'!H:H,'Supply planning data'!D:D,"&lt;="&amp;DataViz!B122, 'Supply planning data'!C:C, Dashboard!$H$30)</f>
        <v>0</v>
      </c>
      <c r="E122" s="152">
        <f>SUMIFS('Supply planning data'!I:I,'Supply planning data'!D:D,"&lt;="&amp;DataViz!B122, 'Supply planning data'!C:C, Dashboard!$H$30)</f>
        <v>0</v>
      </c>
      <c r="F122" s="152">
        <f>SUMIFS('Supply planning data'!K:K,'Supply planning data'!D:D,"&lt;="&amp;DataViz!B122, 'Supply planning data'!C:C, Dashboard!$H$30)</f>
        <v>0</v>
      </c>
      <c r="G122" s="152">
        <f>SUMIFS('Supply planning data'!M:M,'Supply planning data'!D:D,"&lt;="&amp;DataViz!B122, 'Supply planning data'!C:C, Dashboard!$H$30)</f>
        <v>0</v>
      </c>
      <c r="J122" s="154"/>
      <c r="K122" s="155"/>
      <c r="O122">
        <f>Start!C24</f>
        <v>0</v>
      </c>
      <c r="P122">
        <f>COUNTIFS('Supply planning data'!$N:$N,"&lt;&gt;", 'Supply planning data'!$C:$C,DataViz!$O122, 'Supply planning data'!$D:$D, DataViz!P$114)+COUNTIFS('Supply planning data'!$P:$P,"&lt;&gt;", 'Supply planning data'!$C:$C,DataViz!$O122, 'Supply planning data'!$D:$D, DataViz!P$114)</f>
        <v>0</v>
      </c>
      <c r="Q122">
        <f>COUNTIFS('Supply planning data'!$N:$N,"&lt;&gt;", 'Supply planning data'!$C:$C,DataViz!$O122, 'Supply planning data'!$D:$D, DataViz!Q$114)+COUNTIFS('Supply planning data'!$P:$P,"&lt;&gt;", 'Supply planning data'!$C:$C,DataViz!$O122, 'Supply planning data'!$D:$D, DataViz!Q$114)</f>
        <v>0</v>
      </c>
      <c r="R122">
        <f>COUNTIFS('Supply planning data'!$N:$N,"&lt;&gt;", 'Supply planning data'!$C:$C,DataViz!$O122, 'Supply planning data'!$D:$D, DataViz!R$114)+COUNTIFS('Supply planning data'!$P:$P,"&lt;&gt;", 'Supply planning data'!$C:$C,DataViz!$O122, 'Supply planning data'!$D:$D, DataViz!R$114)</f>
        <v>0</v>
      </c>
      <c r="S122">
        <f>COUNTIFS('Supply planning data'!$N:$N,"&lt;&gt;", 'Supply planning data'!$C:$C,DataViz!$O122, 'Supply planning data'!$D:$D, DataViz!S$114)+COUNTIFS('Supply planning data'!$P:$P,"&lt;&gt;", 'Supply planning data'!$C:$C,DataViz!$O122, 'Supply planning data'!$D:$D, DataViz!S$114)</f>
        <v>0</v>
      </c>
      <c r="T122">
        <f>COUNTIFS('Supply planning data'!$N:$N,"&lt;&gt;", 'Supply planning data'!$C:$C,DataViz!$O122, 'Supply planning data'!$D:$D, DataViz!T$114)+COUNTIFS('Supply planning data'!$P:$P,"&lt;&gt;", 'Supply planning data'!$C:$C,DataViz!$O122, 'Supply planning data'!$D:$D, DataViz!T$114)</f>
        <v>0</v>
      </c>
      <c r="U122">
        <f>COUNTIFS('Supply planning data'!$N:$N,"&lt;&gt;", 'Supply planning data'!$C:$C,DataViz!$O122, 'Supply planning data'!$D:$D, DataViz!U$114)+COUNTIFS('Supply planning data'!$P:$P,"&lt;&gt;", 'Supply planning data'!$C:$C,DataViz!$O122, 'Supply planning data'!$D:$D, DataViz!U$114)</f>
        <v>0</v>
      </c>
      <c r="V122">
        <f>COUNTIFS('Supply planning data'!$N:$N,"&lt;&gt;", 'Supply planning data'!$C:$C,DataViz!$O122, 'Supply planning data'!$D:$D, DataViz!V$114)+COUNTIFS('Supply planning data'!$P:$P,"&lt;&gt;", 'Supply planning data'!$C:$C,DataViz!$O122, 'Supply planning data'!$D:$D, DataViz!V$114)</f>
        <v>0</v>
      </c>
      <c r="W122">
        <f>COUNTIFS('Supply planning data'!$N:$N,"&lt;&gt;", 'Supply planning data'!$C:$C,DataViz!$O122, 'Supply planning data'!$D:$D, DataViz!W$114)+COUNTIFS('Supply planning data'!$P:$P,"&lt;&gt;", 'Supply planning data'!$C:$C,DataViz!$O122, 'Supply planning data'!$D:$D, DataViz!W$114)</f>
        <v>0</v>
      </c>
      <c r="X122">
        <f>COUNTIFS('Supply planning data'!$N:$N,"&lt;&gt;", 'Supply planning data'!$C:$C,DataViz!$O122, 'Supply planning data'!$D:$D, DataViz!X$114)+COUNTIFS('Supply planning data'!$P:$P,"&lt;&gt;", 'Supply planning data'!$C:$C,DataViz!$O122, 'Supply planning data'!$D:$D, DataViz!X$114)</f>
        <v>0</v>
      </c>
      <c r="Y122">
        <f>COUNTIFS('Supply planning data'!$N:$N,"&lt;&gt;", 'Supply planning data'!$C:$C,DataViz!$O122, 'Supply planning data'!$D:$D, DataViz!Y$114)+COUNTIFS('Supply planning data'!$P:$P,"&lt;&gt;", 'Supply planning data'!$C:$C,DataViz!$O122, 'Supply planning data'!$D:$D, DataViz!Y$114)</f>
        <v>0</v>
      </c>
      <c r="Z122">
        <f>COUNTIFS('Supply planning data'!$N:$N,"&lt;&gt;", 'Supply planning data'!$C:$C,DataViz!$O122, 'Supply planning data'!$D:$D, DataViz!Z$114)+COUNTIFS('Supply planning data'!$P:$P,"&lt;&gt;", 'Supply planning data'!$C:$C,DataViz!$O122, 'Supply planning data'!$D:$D, DataViz!Z$114)</f>
        <v>0</v>
      </c>
      <c r="AA122">
        <f>COUNTIFS('Supply planning data'!$N:$N,"&lt;&gt;", 'Supply planning data'!$C:$C,DataViz!$O122, 'Supply planning data'!$D:$D, DataViz!AA$114)+COUNTIFS('Supply planning data'!$P:$P,"&lt;&gt;", 'Supply planning data'!$C:$C,DataViz!$O122, 'Supply planning data'!$D:$D, DataViz!AA$114)</f>
        <v>0</v>
      </c>
      <c r="AB122">
        <f>COUNTIFS('Supply planning data'!$N:$N,"&lt;&gt;", 'Supply planning data'!$C:$C,DataViz!$O122, 'Supply planning data'!$D:$D, DataViz!AB$114)+COUNTIFS('Supply planning data'!$P:$P,"&lt;&gt;", 'Supply planning data'!$C:$C,DataViz!$O122, 'Supply planning data'!$D:$D, DataViz!AB$114)</f>
        <v>0</v>
      </c>
      <c r="AC122">
        <f>COUNTIFS('Supply planning data'!$N:$N,"&lt;&gt;", 'Supply planning data'!$C:$C,DataViz!$O122, 'Supply planning data'!$D:$D, DataViz!AC$114)+COUNTIFS('Supply planning data'!$P:$P,"&lt;&gt;", 'Supply planning data'!$C:$C,DataViz!$O122, 'Supply planning data'!$D:$D, DataViz!AC$114)</f>
        <v>0</v>
      </c>
      <c r="AD122">
        <f>COUNTIFS('Supply planning data'!$N:$N,"&lt;&gt;", 'Supply planning data'!$C:$C,DataViz!$O122, 'Supply planning data'!$D:$D, DataViz!AD$114)+COUNTIFS('Supply planning data'!$P:$P,"&lt;&gt;", 'Supply planning data'!$C:$C,DataViz!$O122, 'Supply planning data'!$D:$D, DataViz!AD$114)</f>
        <v>0</v>
      </c>
      <c r="AE122">
        <f>COUNTIFS('Supply planning data'!$N:$N,"&lt;&gt;", 'Supply planning data'!$C:$C,DataViz!$O122, 'Supply planning data'!$D:$D, DataViz!AE$114)+COUNTIFS('Supply planning data'!$P:$P,"&lt;&gt;", 'Supply planning data'!$C:$C,DataViz!$O122, 'Supply planning data'!$D:$D, DataViz!AE$114)</f>
        <v>0</v>
      </c>
      <c r="AF122">
        <f>COUNTIFS('Supply planning data'!$N:$N,"&lt;&gt;", 'Supply planning data'!$C:$C,DataViz!$O122, 'Supply planning data'!$D:$D, DataViz!AF$114)+COUNTIFS('Supply planning data'!$P:$P,"&lt;&gt;", 'Supply planning data'!$C:$C,DataViz!$O122, 'Supply planning data'!$D:$D, DataViz!AF$114)</f>
        <v>0</v>
      </c>
      <c r="AG122">
        <f>COUNTIFS('Supply planning data'!$N:$N,"&lt;&gt;", 'Supply planning data'!$C:$C,DataViz!$O122, 'Supply planning data'!$D:$D, DataViz!AG$114)+COUNTIFS('Supply planning data'!$P:$P,"&lt;&gt;", 'Supply planning data'!$C:$C,DataViz!$O122, 'Supply planning data'!$D:$D, DataViz!AG$114)</f>
        <v>0</v>
      </c>
      <c r="AH122">
        <f>COUNTIFS('Supply planning data'!$N:$N,"&lt;&gt;", 'Supply planning data'!$C:$C,DataViz!$O122, 'Supply planning data'!$D:$D, DataViz!AH$114)+COUNTIFS('Supply planning data'!$P:$P,"&lt;&gt;", 'Supply planning data'!$C:$C,DataViz!$O122, 'Supply planning data'!$D:$D, DataViz!AH$114)</f>
        <v>0</v>
      </c>
      <c r="AI122">
        <f>COUNTIFS('Supply planning data'!$N:$N,"&lt;&gt;", 'Supply planning data'!$C:$C,DataViz!$O122, 'Supply planning data'!$D:$D, DataViz!AI$114)+COUNTIFS('Supply planning data'!$P:$P,"&lt;&gt;", 'Supply planning data'!$C:$C,DataViz!$O122, 'Supply planning data'!$D:$D, DataViz!AI$114)</f>
        <v>0</v>
      </c>
      <c r="AJ122">
        <f>COUNTIFS('Supply planning data'!$N:$N,"&lt;&gt;", 'Supply planning data'!$C:$C,DataViz!$O122, 'Supply planning data'!$D:$D, DataViz!AJ$114)+COUNTIFS('Supply planning data'!$P:$P,"&lt;&gt;", 'Supply planning data'!$C:$C,DataViz!$O122, 'Supply planning data'!$D:$D, DataViz!AJ$114)</f>
        <v>0</v>
      </c>
      <c r="AK122">
        <f>COUNTIFS('Supply planning data'!$N:$N,"&lt;&gt;", 'Supply planning data'!$C:$C,DataViz!$O122, 'Supply planning data'!$D:$D, DataViz!AK$114)+COUNTIFS('Supply planning data'!$P:$P,"&lt;&gt;", 'Supply planning data'!$C:$C,DataViz!$O122, 'Supply planning data'!$D:$D, DataViz!AK$114)</f>
        <v>0</v>
      </c>
      <c r="AL122">
        <f>COUNTIFS('Supply planning data'!$N:$N,"&lt;&gt;", 'Supply planning data'!$C:$C,DataViz!$O122, 'Supply planning data'!$D:$D, DataViz!AL$114)+COUNTIFS('Supply planning data'!$P:$P,"&lt;&gt;", 'Supply planning data'!$C:$C,DataViz!$O122, 'Supply planning data'!$D:$D, DataViz!AL$114)</f>
        <v>0</v>
      </c>
      <c r="AM122">
        <f>COUNTIFS('Supply planning data'!$N:$N,"&lt;&gt;", 'Supply planning data'!$C:$C,DataViz!$O122, 'Supply planning data'!$D:$D, DataViz!AM$114)+COUNTIFS('Supply planning data'!$P:$P,"&lt;&gt;", 'Supply planning data'!$C:$C,DataViz!$O122, 'Supply planning data'!$D:$D, DataViz!AM$114)</f>
        <v>0</v>
      </c>
    </row>
    <row r="123" spans="1:39" x14ac:dyDescent="0.25">
      <c r="A123" s="150">
        <v>19</v>
      </c>
      <c r="B123" s="151">
        <f t="shared" si="23"/>
        <v>44835</v>
      </c>
      <c r="C123" s="152">
        <f>SUMIFS('Supply planning data'!G:G,'Supply planning data'!D:D,"&lt;="&amp;DataViz!B123, 'Supply planning data'!C:C, Dashboard!$H$30)</f>
        <v>0</v>
      </c>
      <c r="D123" s="152">
        <f>SUMIFS('Supply planning data'!H:H,'Supply planning data'!D:D,"&lt;="&amp;DataViz!B123, 'Supply planning data'!C:C, Dashboard!$H$30)</f>
        <v>0</v>
      </c>
      <c r="E123" s="152">
        <f>SUMIFS('Supply planning data'!I:I,'Supply planning data'!D:D,"&lt;="&amp;DataViz!B123, 'Supply planning data'!C:C, Dashboard!$H$30)</f>
        <v>0</v>
      </c>
      <c r="F123" s="152">
        <f>SUMIFS('Supply planning data'!K:K,'Supply planning data'!D:D,"&lt;="&amp;DataViz!B123, 'Supply planning data'!C:C, Dashboard!$H$30)</f>
        <v>0</v>
      </c>
      <c r="G123" s="152">
        <f>SUMIFS('Supply planning data'!M:M,'Supply planning data'!D:D,"&lt;="&amp;DataViz!B123, 'Supply planning data'!C:C, Dashboard!$H$30)</f>
        <v>0</v>
      </c>
      <c r="J123" s="154"/>
      <c r="K123" s="155"/>
      <c r="O123">
        <f>Start!C25</f>
        <v>0</v>
      </c>
      <c r="P123">
        <f>COUNTIFS('Supply planning data'!$N:$N,"&lt;&gt;", 'Supply planning data'!$C:$C,DataViz!$O123, 'Supply planning data'!$D:$D, DataViz!P$114)+COUNTIFS('Supply planning data'!$P:$P,"&lt;&gt;", 'Supply planning data'!$C:$C,DataViz!$O123, 'Supply planning data'!$D:$D, DataViz!P$114)</f>
        <v>0</v>
      </c>
      <c r="Q123">
        <f>COUNTIFS('Supply planning data'!$N:$N,"&lt;&gt;", 'Supply planning data'!$C:$C,DataViz!$O123, 'Supply planning data'!$D:$D, DataViz!Q$114)+COUNTIFS('Supply planning data'!$P:$P,"&lt;&gt;", 'Supply planning data'!$C:$C,DataViz!$O123, 'Supply planning data'!$D:$D, DataViz!Q$114)</f>
        <v>0</v>
      </c>
      <c r="R123">
        <f>COUNTIFS('Supply planning data'!$N:$N,"&lt;&gt;", 'Supply planning data'!$C:$C,DataViz!$O123, 'Supply planning data'!$D:$D, DataViz!R$114)+COUNTIFS('Supply planning data'!$P:$P,"&lt;&gt;", 'Supply planning data'!$C:$C,DataViz!$O123, 'Supply planning data'!$D:$D, DataViz!R$114)</f>
        <v>0</v>
      </c>
      <c r="S123">
        <f>COUNTIFS('Supply planning data'!$N:$N,"&lt;&gt;", 'Supply planning data'!$C:$C,DataViz!$O123, 'Supply planning data'!$D:$D, DataViz!S$114)+COUNTIFS('Supply planning data'!$P:$P,"&lt;&gt;", 'Supply planning data'!$C:$C,DataViz!$O123, 'Supply planning data'!$D:$D, DataViz!S$114)</f>
        <v>0</v>
      </c>
      <c r="T123">
        <f>COUNTIFS('Supply planning data'!$N:$N,"&lt;&gt;", 'Supply planning data'!$C:$C,DataViz!$O123, 'Supply planning data'!$D:$D, DataViz!T$114)+COUNTIFS('Supply planning data'!$P:$P,"&lt;&gt;", 'Supply planning data'!$C:$C,DataViz!$O123, 'Supply planning data'!$D:$D, DataViz!T$114)</f>
        <v>0</v>
      </c>
      <c r="U123">
        <f>COUNTIFS('Supply planning data'!$N:$N,"&lt;&gt;", 'Supply planning data'!$C:$C,DataViz!$O123, 'Supply planning data'!$D:$D, DataViz!U$114)+COUNTIFS('Supply planning data'!$P:$P,"&lt;&gt;", 'Supply planning data'!$C:$C,DataViz!$O123, 'Supply planning data'!$D:$D, DataViz!U$114)</f>
        <v>0</v>
      </c>
      <c r="V123">
        <f>COUNTIFS('Supply planning data'!$N:$N,"&lt;&gt;", 'Supply planning data'!$C:$C,DataViz!$O123, 'Supply planning data'!$D:$D, DataViz!V$114)+COUNTIFS('Supply planning data'!$P:$P,"&lt;&gt;", 'Supply planning data'!$C:$C,DataViz!$O123, 'Supply planning data'!$D:$D, DataViz!V$114)</f>
        <v>0</v>
      </c>
      <c r="W123">
        <f>COUNTIFS('Supply planning data'!$N:$N,"&lt;&gt;", 'Supply planning data'!$C:$C,DataViz!$O123, 'Supply planning data'!$D:$D, DataViz!W$114)+COUNTIFS('Supply planning data'!$P:$P,"&lt;&gt;", 'Supply planning data'!$C:$C,DataViz!$O123, 'Supply planning data'!$D:$D, DataViz!W$114)</f>
        <v>0</v>
      </c>
      <c r="X123">
        <f>COUNTIFS('Supply planning data'!$N:$N,"&lt;&gt;", 'Supply planning data'!$C:$C,DataViz!$O123, 'Supply planning data'!$D:$D, DataViz!X$114)+COUNTIFS('Supply planning data'!$P:$P,"&lt;&gt;", 'Supply planning data'!$C:$C,DataViz!$O123, 'Supply planning data'!$D:$D, DataViz!X$114)</f>
        <v>0</v>
      </c>
      <c r="Y123">
        <f>COUNTIFS('Supply planning data'!$N:$N,"&lt;&gt;", 'Supply planning data'!$C:$C,DataViz!$O123, 'Supply planning data'!$D:$D, DataViz!Y$114)+COUNTIFS('Supply planning data'!$P:$P,"&lt;&gt;", 'Supply planning data'!$C:$C,DataViz!$O123, 'Supply planning data'!$D:$D, DataViz!Y$114)</f>
        <v>0</v>
      </c>
      <c r="Z123">
        <f>COUNTIFS('Supply planning data'!$N:$N,"&lt;&gt;", 'Supply planning data'!$C:$C,DataViz!$O123, 'Supply planning data'!$D:$D, DataViz!Z$114)+COUNTIFS('Supply planning data'!$P:$P,"&lt;&gt;", 'Supply planning data'!$C:$C,DataViz!$O123, 'Supply planning data'!$D:$D, DataViz!Z$114)</f>
        <v>0</v>
      </c>
      <c r="AA123">
        <f>COUNTIFS('Supply planning data'!$N:$N,"&lt;&gt;", 'Supply planning data'!$C:$C,DataViz!$O123, 'Supply planning data'!$D:$D, DataViz!AA$114)+COUNTIFS('Supply planning data'!$P:$P,"&lt;&gt;", 'Supply planning data'!$C:$C,DataViz!$O123, 'Supply planning data'!$D:$D, DataViz!AA$114)</f>
        <v>0</v>
      </c>
      <c r="AB123">
        <f>COUNTIFS('Supply planning data'!$N:$N,"&lt;&gt;", 'Supply planning data'!$C:$C,DataViz!$O123, 'Supply planning data'!$D:$D, DataViz!AB$114)+COUNTIFS('Supply planning data'!$P:$P,"&lt;&gt;", 'Supply planning data'!$C:$C,DataViz!$O123, 'Supply planning data'!$D:$D, DataViz!AB$114)</f>
        <v>0</v>
      </c>
      <c r="AC123">
        <f>COUNTIFS('Supply planning data'!$N:$N,"&lt;&gt;", 'Supply planning data'!$C:$C,DataViz!$O123, 'Supply planning data'!$D:$D, DataViz!AC$114)+COUNTIFS('Supply planning data'!$P:$P,"&lt;&gt;", 'Supply planning data'!$C:$C,DataViz!$O123, 'Supply planning data'!$D:$D, DataViz!AC$114)</f>
        <v>0</v>
      </c>
      <c r="AD123">
        <f>COUNTIFS('Supply planning data'!$N:$N,"&lt;&gt;", 'Supply planning data'!$C:$C,DataViz!$O123, 'Supply planning data'!$D:$D, DataViz!AD$114)+COUNTIFS('Supply planning data'!$P:$P,"&lt;&gt;", 'Supply planning data'!$C:$C,DataViz!$O123, 'Supply planning data'!$D:$D, DataViz!AD$114)</f>
        <v>0</v>
      </c>
      <c r="AE123">
        <f>COUNTIFS('Supply planning data'!$N:$N,"&lt;&gt;", 'Supply planning data'!$C:$C,DataViz!$O123, 'Supply planning data'!$D:$D, DataViz!AE$114)+COUNTIFS('Supply planning data'!$P:$P,"&lt;&gt;", 'Supply planning data'!$C:$C,DataViz!$O123, 'Supply planning data'!$D:$D, DataViz!AE$114)</f>
        <v>0</v>
      </c>
      <c r="AF123">
        <f>COUNTIFS('Supply planning data'!$N:$N,"&lt;&gt;", 'Supply planning data'!$C:$C,DataViz!$O123, 'Supply planning data'!$D:$D, DataViz!AF$114)+COUNTIFS('Supply planning data'!$P:$P,"&lt;&gt;", 'Supply planning data'!$C:$C,DataViz!$O123, 'Supply planning data'!$D:$D, DataViz!AF$114)</f>
        <v>0</v>
      </c>
      <c r="AG123">
        <f>COUNTIFS('Supply planning data'!$N:$N,"&lt;&gt;", 'Supply planning data'!$C:$C,DataViz!$O123, 'Supply planning data'!$D:$D, DataViz!AG$114)+COUNTIFS('Supply planning data'!$P:$P,"&lt;&gt;", 'Supply planning data'!$C:$C,DataViz!$O123, 'Supply planning data'!$D:$D, DataViz!AG$114)</f>
        <v>0</v>
      </c>
      <c r="AH123">
        <f>COUNTIFS('Supply planning data'!$N:$N,"&lt;&gt;", 'Supply planning data'!$C:$C,DataViz!$O123, 'Supply planning data'!$D:$D, DataViz!AH$114)+COUNTIFS('Supply planning data'!$P:$P,"&lt;&gt;", 'Supply planning data'!$C:$C,DataViz!$O123, 'Supply planning data'!$D:$D, DataViz!AH$114)</f>
        <v>0</v>
      </c>
      <c r="AI123">
        <f>COUNTIFS('Supply planning data'!$N:$N,"&lt;&gt;", 'Supply planning data'!$C:$C,DataViz!$O123, 'Supply planning data'!$D:$D, DataViz!AI$114)+COUNTIFS('Supply planning data'!$P:$P,"&lt;&gt;", 'Supply planning data'!$C:$C,DataViz!$O123, 'Supply planning data'!$D:$D, DataViz!AI$114)</f>
        <v>0</v>
      </c>
      <c r="AJ123">
        <f>COUNTIFS('Supply planning data'!$N:$N,"&lt;&gt;", 'Supply planning data'!$C:$C,DataViz!$O123, 'Supply planning data'!$D:$D, DataViz!AJ$114)+COUNTIFS('Supply planning data'!$P:$P,"&lt;&gt;", 'Supply planning data'!$C:$C,DataViz!$O123, 'Supply planning data'!$D:$D, DataViz!AJ$114)</f>
        <v>0</v>
      </c>
      <c r="AK123">
        <f>COUNTIFS('Supply planning data'!$N:$N,"&lt;&gt;", 'Supply planning data'!$C:$C,DataViz!$O123, 'Supply planning data'!$D:$D, DataViz!AK$114)+COUNTIFS('Supply planning data'!$P:$P,"&lt;&gt;", 'Supply planning data'!$C:$C,DataViz!$O123, 'Supply planning data'!$D:$D, DataViz!AK$114)</f>
        <v>0</v>
      </c>
      <c r="AL123">
        <f>COUNTIFS('Supply planning data'!$N:$N,"&lt;&gt;", 'Supply planning data'!$C:$C,DataViz!$O123, 'Supply planning data'!$D:$D, DataViz!AL$114)+COUNTIFS('Supply planning data'!$P:$P,"&lt;&gt;", 'Supply planning data'!$C:$C,DataViz!$O123, 'Supply planning data'!$D:$D, DataViz!AL$114)</f>
        <v>0</v>
      </c>
      <c r="AM123">
        <f>COUNTIFS('Supply planning data'!$N:$N,"&lt;&gt;", 'Supply planning data'!$C:$C,DataViz!$O123, 'Supply planning data'!$D:$D, DataViz!AM$114)+COUNTIFS('Supply planning data'!$P:$P,"&lt;&gt;", 'Supply planning data'!$C:$C,DataViz!$O123, 'Supply planning data'!$D:$D, DataViz!AM$114)</f>
        <v>0</v>
      </c>
    </row>
    <row r="124" spans="1:39" x14ac:dyDescent="0.25">
      <c r="A124" s="150">
        <v>20</v>
      </c>
      <c r="B124" s="151">
        <f t="shared" si="23"/>
        <v>44866</v>
      </c>
      <c r="C124" s="152">
        <f>SUMIFS('Supply planning data'!G:G,'Supply planning data'!D:D,"&lt;="&amp;DataViz!B124, 'Supply planning data'!C:C, Dashboard!$H$30)</f>
        <v>0</v>
      </c>
      <c r="D124" s="152">
        <f>SUMIFS('Supply planning data'!H:H,'Supply planning data'!D:D,"&lt;="&amp;DataViz!B124, 'Supply planning data'!C:C, Dashboard!$H$30)</f>
        <v>0</v>
      </c>
      <c r="E124" s="152">
        <f>SUMIFS('Supply planning data'!I:I,'Supply planning data'!D:D,"&lt;="&amp;DataViz!B124, 'Supply planning data'!C:C, Dashboard!$H$30)</f>
        <v>0</v>
      </c>
      <c r="F124" s="152">
        <f>SUMIFS('Supply planning data'!K:K,'Supply planning data'!D:D,"&lt;="&amp;DataViz!B124, 'Supply planning data'!C:C, Dashboard!$H$30)</f>
        <v>0</v>
      </c>
      <c r="G124" s="152">
        <f>SUMIFS('Supply planning data'!M:M,'Supply planning data'!D:D,"&lt;="&amp;DataViz!B124, 'Supply planning data'!C:C, Dashboard!$H$30)</f>
        <v>0</v>
      </c>
      <c r="J124" s="154"/>
      <c r="K124" s="155"/>
      <c r="O124">
        <f>Start!C26</f>
        <v>0</v>
      </c>
      <c r="P124">
        <f>COUNTIFS('Supply planning data'!$N:$N,"&lt;&gt;", 'Supply planning data'!$C:$C,DataViz!$O124, 'Supply planning data'!$D:$D, DataViz!P$114)+COUNTIFS('Supply planning data'!$P:$P,"&lt;&gt;", 'Supply planning data'!$C:$C,DataViz!$O124, 'Supply planning data'!$D:$D, DataViz!P$114)</f>
        <v>0</v>
      </c>
      <c r="Q124">
        <f>COUNTIFS('Supply planning data'!$N:$N,"&lt;&gt;", 'Supply planning data'!$C:$C,DataViz!$O124, 'Supply planning data'!$D:$D, DataViz!Q$114)+COUNTIFS('Supply planning data'!$P:$P,"&lt;&gt;", 'Supply planning data'!$C:$C,DataViz!$O124, 'Supply planning data'!$D:$D, DataViz!Q$114)</f>
        <v>0</v>
      </c>
      <c r="R124">
        <f>COUNTIFS('Supply planning data'!$N:$N,"&lt;&gt;", 'Supply planning data'!$C:$C,DataViz!$O124, 'Supply planning data'!$D:$D, DataViz!R$114)+COUNTIFS('Supply planning data'!$P:$P,"&lt;&gt;", 'Supply planning data'!$C:$C,DataViz!$O124, 'Supply planning data'!$D:$D, DataViz!R$114)</f>
        <v>0</v>
      </c>
      <c r="S124">
        <f>COUNTIFS('Supply planning data'!$N:$N,"&lt;&gt;", 'Supply planning data'!$C:$C,DataViz!$O124, 'Supply planning data'!$D:$D, DataViz!S$114)+COUNTIFS('Supply planning data'!$P:$P,"&lt;&gt;", 'Supply planning data'!$C:$C,DataViz!$O124, 'Supply planning data'!$D:$D, DataViz!S$114)</f>
        <v>0</v>
      </c>
      <c r="T124">
        <f>COUNTIFS('Supply planning data'!$N:$N,"&lt;&gt;", 'Supply planning data'!$C:$C,DataViz!$O124, 'Supply planning data'!$D:$D, DataViz!T$114)+COUNTIFS('Supply planning data'!$P:$P,"&lt;&gt;", 'Supply planning data'!$C:$C,DataViz!$O124, 'Supply planning data'!$D:$D, DataViz!T$114)</f>
        <v>0</v>
      </c>
      <c r="U124">
        <f>COUNTIFS('Supply planning data'!$N:$N,"&lt;&gt;", 'Supply planning data'!$C:$C,DataViz!$O124, 'Supply planning data'!$D:$D, DataViz!U$114)+COUNTIFS('Supply planning data'!$P:$P,"&lt;&gt;", 'Supply planning data'!$C:$C,DataViz!$O124, 'Supply planning data'!$D:$D, DataViz!U$114)</f>
        <v>0</v>
      </c>
      <c r="V124">
        <f>COUNTIFS('Supply planning data'!$N:$N,"&lt;&gt;", 'Supply planning data'!$C:$C,DataViz!$O124, 'Supply planning data'!$D:$D, DataViz!V$114)+COUNTIFS('Supply planning data'!$P:$P,"&lt;&gt;", 'Supply planning data'!$C:$C,DataViz!$O124, 'Supply planning data'!$D:$D, DataViz!V$114)</f>
        <v>0</v>
      </c>
      <c r="W124">
        <f>COUNTIFS('Supply planning data'!$N:$N,"&lt;&gt;", 'Supply planning data'!$C:$C,DataViz!$O124, 'Supply planning data'!$D:$D, DataViz!W$114)+COUNTIFS('Supply planning data'!$P:$P,"&lt;&gt;", 'Supply planning data'!$C:$C,DataViz!$O124, 'Supply planning data'!$D:$D, DataViz!W$114)</f>
        <v>0</v>
      </c>
      <c r="X124">
        <f>COUNTIFS('Supply planning data'!$N:$N,"&lt;&gt;", 'Supply planning data'!$C:$C,DataViz!$O124, 'Supply planning data'!$D:$D, DataViz!X$114)+COUNTIFS('Supply planning data'!$P:$P,"&lt;&gt;", 'Supply planning data'!$C:$C,DataViz!$O124, 'Supply planning data'!$D:$D, DataViz!X$114)</f>
        <v>0</v>
      </c>
      <c r="Y124">
        <f>COUNTIFS('Supply planning data'!$N:$N,"&lt;&gt;", 'Supply planning data'!$C:$C,DataViz!$O124, 'Supply planning data'!$D:$D, DataViz!Y$114)+COUNTIFS('Supply planning data'!$P:$P,"&lt;&gt;", 'Supply planning data'!$C:$C,DataViz!$O124, 'Supply planning data'!$D:$D, DataViz!Y$114)</f>
        <v>0</v>
      </c>
      <c r="Z124">
        <f>COUNTIFS('Supply planning data'!$N:$N,"&lt;&gt;", 'Supply planning data'!$C:$C,DataViz!$O124, 'Supply planning data'!$D:$D, DataViz!Z$114)+COUNTIFS('Supply planning data'!$P:$P,"&lt;&gt;", 'Supply planning data'!$C:$C,DataViz!$O124, 'Supply planning data'!$D:$D, DataViz!Z$114)</f>
        <v>0</v>
      </c>
      <c r="AA124">
        <f>COUNTIFS('Supply planning data'!$N:$N,"&lt;&gt;", 'Supply planning data'!$C:$C,DataViz!$O124, 'Supply planning data'!$D:$D, DataViz!AA$114)+COUNTIFS('Supply planning data'!$P:$P,"&lt;&gt;", 'Supply planning data'!$C:$C,DataViz!$O124, 'Supply planning data'!$D:$D, DataViz!AA$114)</f>
        <v>0</v>
      </c>
      <c r="AB124">
        <f>COUNTIFS('Supply planning data'!$N:$N,"&lt;&gt;", 'Supply planning data'!$C:$C,DataViz!$O124, 'Supply planning data'!$D:$D, DataViz!AB$114)+COUNTIFS('Supply planning data'!$P:$P,"&lt;&gt;", 'Supply planning data'!$C:$C,DataViz!$O124, 'Supply planning data'!$D:$D, DataViz!AB$114)</f>
        <v>0</v>
      </c>
      <c r="AC124">
        <f>COUNTIFS('Supply planning data'!$N:$N,"&lt;&gt;", 'Supply planning data'!$C:$C,DataViz!$O124, 'Supply planning data'!$D:$D, DataViz!AC$114)+COUNTIFS('Supply planning data'!$P:$P,"&lt;&gt;", 'Supply planning data'!$C:$C,DataViz!$O124, 'Supply planning data'!$D:$D, DataViz!AC$114)</f>
        <v>0</v>
      </c>
      <c r="AD124">
        <f>COUNTIFS('Supply planning data'!$N:$N,"&lt;&gt;", 'Supply planning data'!$C:$C,DataViz!$O124, 'Supply planning data'!$D:$D, DataViz!AD$114)+COUNTIFS('Supply planning data'!$P:$P,"&lt;&gt;", 'Supply planning data'!$C:$C,DataViz!$O124, 'Supply planning data'!$D:$D, DataViz!AD$114)</f>
        <v>0</v>
      </c>
      <c r="AE124">
        <f>COUNTIFS('Supply planning data'!$N:$N,"&lt;&gt;", 'Supply planning data'!$C:$C,DataViz!$O124, 'Supply planning data'!$D:$D, DataViz!AE$114)+COUNTIFS('Supply planning data'!$P:$P,"&lt;&gt;", 'Supply planning data'!$C:$C,DataViz!$O124, 'Supply planning data'!$D:$D, DataViz!AE$114)</f>
        <v>0</v>
      </c>
      <c r="AF124">
        <f>COUNTIFS('Supply planning data'!$N:$N,"&lt;&gt;", 'Supply planning data'!$C:$C,DataViz!$O124, 'Supply planning data'!$D:$D, DataViz!AF$114)+COUNTIFS('Supply planning data'!$P:$P,"&lt;&gt;", 'Supply planning data'!$C:$C,DataViz!$O124, 'Supply planning data'!$D:$D, DataViz!AF$114)</f>
        <v>0</v>
      </c>
      <c r="AG124">
        <f>COUNTIFS('Supply planning data'!$N:$N,"&lt;&gt;", 'Supply planning data'!$C:$C,DataViz!$O124, 'Supply planning data'!$D:$D, DataViz!AG$114)+COUNTIFS('Supply planning data'!$P:$P,"&lt;&gt;", 'Supply planning data'!$C:$C,DataViz!$O124, 'Supply planning data'!$D:$D, DataViz!AG$114)</f>
        <v>0</v>
      </c>
      <c r="AH124">
        <f>COUNTIFS('Supply planning data'!$N:$N,"&lt;&gt;", 'Supply planning data'!$C:$C,DataViz!$O124, 'Supply planning data'!$D:$D, DataViz!AH$114)+COUNTIFS('Supply planning data'!$P:$P,"&lt;&gt;", 'Supply planning data'!$C:$C,DataViz!$O124, 'Supply planning data'!$D:$D, DataViz!AH$114)</f>
        <v>0</v>
      </c>
      <c r="AI124">
        <f>COUNTIFS('Supply planning data'!$N:$N,"&lt;&gt;", 'Supply planning data'!$C:$C,DataViz!$O124, 'Supply planning data'!$D:$D, DataViz!AI$114)+COUNTIFS('Supply planning data'!$P:$P,"&lt;&gt;", 'Supply planning data'!$C:$C,DataViz!$O124, 'Supply planning data'!$D:$D, DataViz!AI$114)</f>
        <v>0</v>
      </c>
      <c r="AJ124">
        <f>COUNTIFS('Supply planning data'!$N:$N,"&lt;&gt;", 'Supply planning data'!$C:$C,DataViz!$O124, 'Supply planning data'!$D:$D, DataViz!AJ$114)+COUNTIFS('Supply planning data'!$P:$P,"&lt;&gt;", 'Supply planning data'!$C:$C,DataViz!$O124, 'Supply planning data'!$D:$D, DataViz!AJ$114)</f>
        <v>0</v>
      </c>
      <c r="AK124">
        <f>COUNTIFS('Supply planning data'!$N:$N,"&lt;&gt;", 'Supply planning data'!$C:$C,DataViz!$O124, 'Supply planning data'!$D:$D, DataViz!AK$114)+COUNTIFS('Supply planning data'!$P:$P,"&lt;&gt;", 'Supply planning data'!$C:$C,DataViz!$O124, 'Supply planning data'!$D:$D, DataViz!AK$114)</f>
        <v>0</v>
      </c>
      <c r="AL124">
        <f>COUNTIFS('Supply planning data'!$N:$N,"&lt;&gt;", 'Supply planning data'!$C:$C,DataViz!$O124, 'Supply planning data'!$D:$D, DataViz!AL$114)+COUNTIFS('Supply planning data'!$P:$P,"&lt;&gt;", 'Supply planning data'!$C:$C,DataViz!$O124, 'Supply planning data'!$D:$D, DataViz!AL$114)</f>
        <v>0</v>
      </c>
      <c r="AM124">
        <f>COUNTIFS('Supply planning data'!$N:$N,"&lt;&gt;", 'Supply planning data'!$C:$C,DataViz!$O124, 'Supply planning data'!$D:$D, DataViz!AM$114)+COUNTIFS('Supply planning data'!$P:$P,"&lt;&gt;", 'Supply planning data'!$C:$C,DataViz!$O124, 'Supply planning data'!$D:$D, DataViz!AM$114)</f>
        <v>0</v>
      </c>
    </row>
    <row r="125" spans="1:39" x14ac:dyDescent="0.25">
      <c r="A125" s="150">
        <v>21</v>
      </c>
      <c r="B125" s="151">
        <f t="shared" si="23"/>
        <v>44896</v>
      </c>
      <c r="C125" s="152">
        <f>SUMIFS('Supply planning data'!G:G,'Supply planning data'!D:D,"&lt;="&amp;DataViz!B125, 'Supply planning data'!C:C, Dashboard!$H$30)</f>
        <v>0</v>
      </c>
      <c r="D125" s="152">
        <f>SUMIFS('Supply planning data'!H:H,'Supply planning data'!D:D,"&lt;="&amp;DataViz!B125, 'Supply planning data'!C:C, Dashboard!$H$30)</f>
        <v>0</v>
      </c>
      <c r="E125" s="152">
        <f>SUMIFS('Supply planning data'!I:I,'Supply planning data'!D:D,"&lt;="&amp;DataViz!B125, 'Supply planning data'!C:C, Dashboard!$H$30)</f>
        <v>0</v>
      </c>
      <c r="F125" s="152">
        <f>SUMIFS('Supply planning data'!K:K,'Supply planning data'!D:D,"&lt;="&amp;DataViz!B125, 'Supply planning data'!C:C, Dashboard!$H$30)</f>
        <v>0</v>
      </c>
      <c r="G125" s="152">
        <f>SUMIFS('Supply planning data'!M:M,'Supply planning data'!D:D,"&lt;="&amp;DataViz!B125, 'Supply planning data'!C:C, Dashboard!$H$30)</f>
        <v>0</v>
      </c>
      <c r="J125" s="154"/>
      <c r="K125" s="155"/>
      <c r="O125">
        <f>Start!C27</f>
        <v>0</v>
      </c>
      <c r="P125">
        <f>COUNTIFS('Supply planning data'!$N:$N,"&lt;&gt;", 'Supply planning data'!$C:$C,DataViz!$O125, 'Supply planning data'!$D:$D, DataViz!P$114)+COUNTIFS('Supply planning data'!$P:$P,"&lt;&gt;", 'Supply planning data'!$C:$C,DataViz!$O125, 'Supply planning data'!$D:$D, DataViz!P$114)</f>
        <v>0</v>
      </c>
      <c r="Q125">
        <f>COUNTIFS('Supply planning data'!$N:$N,"&lt;&gt;", 'Supply planning data'!$C:$C,DataViz!$O125, 'Supply planning data'!$D:$D, DataViz!Q$114)+COUNTIFS('Supply planning data'!$P:$P,"&lt;&gt;", 'Supply planning data'!$C:$C,DataViz!$O125, 'Supply planning data'!$D:$D, DataViz!Q$114)</f>
        <v>0</v>
      </c>
      <c r="R125">
        <f>COUNTIFS('Supply planning data'!$N:$N,"&lt;&gt;", 'Supply planning data'!$C:$C,DataViz!$O125, 'Supply planning data'!$D:$D, DataViz!R$114)+COUNTIFS('Supply planning data'!$P:$P,"&lt;&gt;", 'Supply planning data'!$C:$C,DataViz!$O125, 'Supply planning data'!$D:$D, DataViz!R$114)</f>
        <v>0</v>
      </c>
      <c r="S125">
        <f>COUNTIFS('Supply planning data'!$N:$N,"&lt;&gt;", 'Supply planning data'!$C:$C,DataViz!$O125, 'Supply planning data'!$D:$D, DataViz!S$114)+COUNTIFS('Supply planning data'!$P:$P,"&lt;&gt;", 'Supply planning data'!$C:$C,DataViz!$O125, 'Supply planning data'!$D:$D, DataViz!S$114)</f>
        <v>0</v>
      </c>
      <c r="T125">
        <f>COUNTIFS('Supply planning data'!$N:$N,"&lt;&gt;", 'Supply planning data'!$C:$C,DataViz!$O125, 'Supply planning data'!$D:$D, DataViz!T$114)+COUNTIFS('Supply planning data'!$P:$P,"&lt;&gt;", 'Supply planning data'!$C:$C,DataViz!$O125, 'Supply planning data'!$D:$D, DataViz!T$114)</f>
        <v>0</v>
      </c>
      <c r="U125">
        <f>COUNTIFS('Supply planning data'!$N:$N,"&lt;&gt;", 'Supply planning data'!$C:$C,DataViz!$O125, 'Supply planning data'!$D:$D, DataViz!U$114)+COUNTIFS('Supply planning data'!$P:$P,"&lt;&gt;", 'Supply planning data'!$C:$C,DataViz!$O125, 'Supply planning data'!$D:$D, DataViz!U$114)</f>
        <v>0</v>
      </c>
      <c r="V125">
        <f>COUNTIFS('Supply planning data'!$N:$N,"&lt;&gt;", 'Supply planning data'!$C:$C,DataViz!$O125, 'Supply planning data'!$D:$D, DataViz!V$114)+COUNTIFS('Supply planning data'!$P:$P,"&lt;&gt;", 'Supply planning data'!$C:$C,DataViz!$O125, 'Supply planning data'!$D:$D, DataViz!V$114)</f>
        <v>0</v>
      </c>
      <c r="W125">
        <f>COUNTIFS('Supply planning data'!$N:$N,"&lt;&gt;", 'Supply planning data'!$C:$C,DataViz!$O125, 'Supply planning data'!$D:$D, DataViz!W$114)+COUNTIFS('Supply planning data'!$P:$P,"&lt;&gt;", 'Supply planning data'!$C:$C,DataViz!$O125, 'Supply planning data'!$D:$D, DataViz!W$114)</f>
        <v>0</v>
      </c>
      <c r="X125">
        <f>COUNTIFS('Supply planning data'!$N:$N,"&lt;&gt;", 'Supply planning data'!$C:$C,DataViz!$O125, 'Supply planning data'!$D:$D, DataViz!X$114)+COUNTIFS('Supply planning data'!$P:$P,"&lt;&gt;", 'Supply planning data'!$C:$C,DataViz!$O125, 'Supply planning data'!$D:$D, DataViz!X$114)</f>
        <v>0</v>
      </c>
      <c r="Y125">
        <f>COUNTIFS('Supply planning data'!$N:$N,"&lt;&gt;", 'Supply planning data'!$C:$C,DataViz!$O125, 'Supply planning data'!$D:$D, DataViz!Y$114)+COUNTIFS('Supply planning data'!$P:$P,"&lt;&gt;", 'Supply planning data'!$C:$C,DataViz!$O125, 'Supply planning data'!$D:$D, DataViz!Y$114)</f>
        <v>0</v>
      </c>
      <c r="Z125">
        <f>COUNTIFS('Supply planning data'!$N:$N,"&lt;&gt;", 'Supply planning data'!$C:$C,DataViz!$O125, 'Supply planning data'!$D:$D, DataViz!Z$114)+COUNTIFS('Supply planning data'!$P:$P,"&lt;&gt;", 'Supply planning data'!$C:$C,DataViz!$O125, 'Supply planning data'!$D:$D, DataViz!Z$114)</f>
        <v>0</v>
      </c>
      <c r="AA125">
        <f>COUNTIFS('Supply planning data'!$N:$N,"&lt;&gt;", 'Supply planning data'!$C:$C,DataViz!$O125, 'Supply planning data'!$D:$D, DataViz!AA$114)+COUNTIFS('Supply planning data'!$P:$P,"&lt;&gt;", 'Supply planning data'!$C:$C,DataViz!$O125, 'Supply planning data'!$D:$D, DataViz!AA$114)</f>
        <v>0</v>
      </c>
      <c r="AB125">
        <f>COUNTIFS('Supply planning data'!$N:$N,"&lt;&gt;", 'Supply planning data'!$C:$C,DataViz!$O125, 'Supply planning data'!$D:$D, DataViz!AB$114)+COUNTIFS('Supply planning data'!$P:$P,"&lt;&gt;", 'Supply planning data'!$C:$C,DataViz!$O125, 'Supply planning data'!$D:$D, DataViz!AB$114)</f>
        <v>0</v>
      </c>
      <c r="AC125">
        <f>COUNTIFS('Supply planning data'!$N:$N,"&lt;&gt;", 'Supply planning data'!$C:$C,DataViz!$O125, 'Supply planning data'!$D:$D, DataViz!AC$114)+COUNTIFS('Supply planning data'!$P:$P,"&lt;&gt;", 'Supply planning data'!$C:$C,DataViz!$O125, 'Supply planning data'!$D:$D, DataViz!AC$114)</f>
        <v>0</v>
      </c>
      <c r="AD125">
        <f>COUNTIFS('Supply planning data'!$N:$N,"&lt;&gt;", 'Supply planning data'!$C:$C,DataViz!$O125, 'Supply planning data'!$D:$D, DataViz!AD$114)+COUNTIFS('Supply planning data'!$P:$P,"&lt;&gt;", 'Supply planning data'!$C:$C,DataViz!$O125, 'Supply planning data'!$D:$D, DataViz!AD$114)</f>
        <v>0</v>
      </c>
      <c r="AE125">
        <f>COUNTIFS('Supply planning data'!$N:$N,"&lt;&gt;", 'Supply planning data'!$C:$C,DataViz!$O125, 'Supply planning data'!$D:$D, DataViz!AE$114)+COUNTIFS('Supply planning data'!$P:$P,"&lt;&gt;", 'Supply planning data'!$C:$C,DataViz!$O125, 'Supply planning data'!$D:$D, DataViz!AE$114)</f>
        <v>0</v>
      </c>
      <c r="AF125">
        <f>COUNTIFS('Supply planning data'!$N:$N,"&lt;&gt;", 'Supply planning data'!$C:$C,DataViz!$O125, 'Supply planning data'!$D:$D, DataViz!AF$114)+COUNTIFS('Supply planning data'!$P:$P,"&lt;&gt;", 'Supply planning data'!$C:$C,DataViz!$O125, 'Supply planning data'!$D:$D, DataViz!AF$114)</f>
        <v>0</v>
      </c>
      <c r="AG125">
        <f>COUNTIFS('Supply planning data'!$N:$N,"&lt;&gt;", 'Supply planning data'!$C:$C,DataViz!$O125, 'Supply planning data'!$D:$D, DataViz!AG$114)+COUNTIFS('Supply planning data'!$P:$P,"&lt;&gt;", 'Supply planning data'!$C:$C,DataViz!$O125, 'Supply planning data'!$D:$D, DataViz!AG$114)</f>
        <v>0</v>
      </c>
      <c r="AH125">
        <f>COUNTIFS('Supply planning data'!$N:$N,"&lt;&gt;", 'Supply planning data'!$C:$C,DataViz!$O125, 'Supply planning data'!$D:$D, DataViz!AH$114)+COUNTIFS('Supply planning data'!$P:$P,"&lt;&gt;", 'Supply planning data'!$C:$C,DataViz!$O125, 'Supply planning data'!$D:$D, DataViz!AH$114)</f>
        <v>0</v>
      </c>
      <c r="AI125">
        <f>COUNTIFS('Supply planning data'!$N:$N,"&lt;&gt;", 'Supply planning data'!$C:$C,DataViz!$O125, 'Supply planning data'!$D:$D, DataViz!AI$114)+COUNTIFS('Supply planning data'!$P:$P,"&lt;&gt;", 'Supply planning data'!$C:$C,DataViz!$O125, 'Supply planning data'!$D:$D, DataViz!AI$114)</f>
        <v>0</v>
      </c>
      <c r="AJ125">
        <f>COUNTIFS('Supply planning data'!$N:$N,"&lt;&gt;", 'Supply planning data'!$C:$C,DataViz!$O125, 'Supply planning data'!$D:$D, DataViz!AJ$114)+COUNTIFS('Supply planning data'!$P:$P,"&lt;&gt;", 'Supply planning data'!$C:$C,DataViz!$O125, 'Supply planning data'!$D:$D, DataViz!AJ$114)</f>
        <v>0</v>
      </c>
      <c r="AK125">
        <f>COUNTIFS('Supply planning data'!$N:$N,"&lt;&gt;", 'Supply planning data'!$C:$C,DataViz!$O125, 'Supply planning data'!$D:$D, DataViz!AK$114)+COUNTIFS('Supply planning data'!$P:$P,"&lt;&gt;", 'Supply planning data'!$C:$C,DataViz!$O125, 'Supply planning data'!$D:$D, DataViz!AK$114)</f>
        <v>0</v>
      </c>
      <c r="AL125">
        <f>COUNTIFS('Supply planning data'!$N:$N,"&lt;&gt;", 'Supply planning data'!$C:$C,DataViz!$O125, 'Supply planning data'!$D:$D, DataViz!AL$114)+COUNTIFS('Supply planning data'!$P:$P,"&lt;&gt;", 'Supply planning data'!$C:$C,DataViz!$O125, 'Supply planning data'!$D:$D, DataViz!AL$114)</f>
        <v>0</v>
      </c>
      <c r="AM125">
        <f>COUNTIFS('Supply planning data'!$N:$N,"&lt;&gt;", 'Supply planning data'!$C:$C,DataViz!$O125, 'Supply planning data'!$D:$D, DataViz!AM$114)+COUNTIFS('Supply planning data'!$P:$P,"&lt;&gt;", 'Supply planning data'!$C:$C,DataViz!$O125, 'Supply planning data'!$D:$D, DataViz!AM$114)</f>
        <v>0</v>
      </c>
    </row>
    <row r="126" spans="1:39" x14ac:dyDescent="0.25">
      <c r="A126" s="150">
        <v>22</v>
      </c>
      <c r="B126" s="151">
        <f t="shared" si="23"/>
        <v>44927</v>
      </c>
      <c r="C126" s="152">
        <f>SUMIFS('Supply planning data'!G:G,'Supply planning data'!D:D,"&lt;="&amp;DataViz!B126, 'Supply planning data'!C:C, Dashboard!$H$30)</f>
        <v>0</v>
      </c>
      <c r="D126" s="152">
        <f>SUMIFS('Supply planning data'!H:H,'Supply planning data'!D:D,"&lt;="&amp;DataViz!B126, 'Supply planning data'!C:C, Dashboard!$H$30)</f>
        <v>0</v>
      </c>
      <c r="E126" s="152">
        <f>SUMIFS('Supply planning data'!I:I,'Supply planning data'!D:D,"&lt;="&amp;DataViz!B126, 'Supply planning data'!C:C, Dashboard!$H$30)</f>
        <v>0</v>
      </c>
      <c r="F126" s="152">
        <f>SUMIFS('Supply planning data'!K:K,'Supply planning data'!D:D,"&lt;="&amp;DataViz!B126, 'Supply planning data'!C:C, Dashboard!$H$30)</f>
        <v>0</v>
      </c>
      <c r="G126" s="152">
        <f>SUMIFS('Supply planning data'!M:M,'Supply planning data'!D:D,"&lt;="&amp;DataViz!B126, 'Supply planning data'!C:C, Dashboard!$H$30)</f>
        <v>0</v>
      </c>
      <c r="J126" s="154"/>
      <c r="K126" s="155"/>
      <c r="O126">
        <f>Start!C28</f>
        <v>0</v>
      </c>
      <c r="P126">
        <f>COUNTIFS('Supply planning data'!$N:$N,"&lt;&gt;", 'Supply planning data'!$C:$C,DataViz!$O126, 'Supply planning data'!$D:$D, DataViz!P$114)+COUNTIFS('Supply planning data'!$P:$P,"&lt;&gt;", 'Supply planning data'!$C:$C,DataViz!$O126, 'Supply planning data'!$D:$D, DataViz!P$114)</f>
        <v>0</v>
      </c>
      <c r="Q126">
        <f>COUNTIFS('Supply planning data'!$N:$N,"&lt;&gt;", 'Supply planning data'!$C:$C,DataViz!$O126, 'Supply planning data'!$D:$D, DataViz!Q$114)+COUNTIFS('Supply planning data'!$P:$P,"&lt;&gt;", 'Supply planning data'!$C:$C,DataViz!$O126, 'Supply planning data'!$D:$D, DataViz!Q$114)</f>
        <v>0</v>
      </c>
      <c r="R126">
        <f>COUNTIFS('Supply planning data'!$N:$N,"&lt;&gt;", 'Supply planning data'!$C:$C,DataViz!$O126, 'Supply planning data'!$D:$D, DataViz!R$114)+COUNTIFS('Supply planning data'!$P:$P,"&lt;&gt;", 'Supply planning data'!$C:$C,DataViz!$O126, 'Supply planning data'!$D:$D, DataViz!R$114)</f>
        <v>0</v>
      </c>
      <c r="S126">
        <f>COUNTIFS('Supply planning data'!$N:$N,"&lt;&gt;", 'Supply planning data'!$C:$C,DataViz!$O126, 'Supply planning data'!$D:$D, DataViz!S$114)+COUNTIFS('Supply planning data'!$P:$P,"&lt;&gt;", 'Supply planning data'!$C:$C,DataViz!$O126, 'Supply planning data'!$D:$D, DataViz!S$114)</f>
        <v>0</v>
      </c>
      <c r="T126">
        <f>COUNTIFS('Supply planning data'!$N:$N,"&lt;&gt;", 'Supply planning data'!$C:$C,DataViz!$O126, 'Supply planning data'!$D:$D, DataViz!T$114)+COUNTIFS('Supply planning data'!$P:$P,"&lt;&gt;", 'Supply planning data'!$C:$C,DataViz!$O126, 'Supply planning data'!$D:$D, DataViz!T$114)</f>
        <v>0</v>
      </c>
      <c r="U126">
        <f>COUNTIFS('Supply planning data'!$N:$N,"&lt;&gt;", 'Supply planning data'!$C:$C,DataViz!$O126, 'Supply planning data'!$D:$D, DataViz!U$114)+COUNTIFS('Supply planning data'!$P:$P,"&lt;&gt;", 'Supply planning data'!$C:$C,DataViz!$O126, 'Supply planning data'!$D:$D, DataViz!U$114)</f>
        <v>0</v>
      </c>
      <c r="V126">
        <f>COUNTIFS('Supply planning data'!$N:$N,"&lt;&gt;", 'Supply planning data'!$C:$C,DataViz!$O126, 'Supply planning data'!$D:$D, DataViz!V$114)+COUNTIFS('Supply planning data'!$P:$P,"&lt;&gt;", 'Supply planning data'!$C:$C,DataViz!$O126, 'Supply planning data'!$D:$D, DataViz!V$114)</f>
        <v>0</v>
      </c>
      <c r="W126">
        <f>COUNTIFS('Supply planning data'!$N:$N,"&lt;&gt;", 'Supply planning data'!$C:$C,DataViz!$O126, 'Supply planning data'!$D:$D, DataViz!W$114)+COUNTIFS('Supply planning data'!$P:$P,"&lt;&gt;", 'Supply planning data'!$C:$C,DataViz!$O126, 'Supply planning data'!$D:$D, DataViz!W$114)</f>
        <v>0</v>
      </c>
      <c r="X126">
        <f>COUNTIFS('Supply planning data'!$N:$N,"&lt;&gt;", 'Supply planning data'!$C:$C,DataViz!$O126, 'Supply planning data'!$D:$D, DataViz!X$114)+COUNTIFS('Supply planning data'!$P:$P,"&lt;&gt;", 'Supply planning data'!$C:$C,DataViz!$O126, 'Supply planning data'!$D:$D, DataViz!X$114)</f>
        <v>0</v>
      </c>
      <c r="Y126">
        <f>COUNTIFS('Supply planning data'!$N:$N,"&lt;&gt;", 'Supply planning data'!$C:$C,DataViz!$O126, 'Supply planning data'!$D:$D, DataViz!Y$114)+COUNTIFS('Supply planning data'!$P:$P,"&lt;&gt;", 'Supply planning data'!$C:$C,DataViz!$O126, 'Supply planning data'!$D:$D, DataViz!Y$114)</f>
        <v>0</v>
      </c>
      <c r="Z126">
        <f>COUNTIFS('Supply planning data'!$N:$N,"&lt;&gt;", 'Supply planning data'!$C:$C,DataViz!$O126, 'Supply planning data'!$D:$D, DataViz!Z$114)+COUNTIFS('Supply planning data'!$P:$P,"&lt;&gt;", 'Supply planning data'!$C:$C,DataViz!$O126, 'Supply planning data'!$D:$D, DataViz!Z$114)</f>
        <v>0</v>
      </c>
      <c r="AA126">
        <f>COUNTIFS('Supply planning data'!$N:$N,"&lt;&gt;", 'Supply planning data'!$C:$C,DataViz!$O126, 'Supply planning data'!$D:$D, DataViz!AA$114)+COUNTIFS('Supply planning data'!$P:$P,"&lt;&gt;", 'Supply planning data'!$C:$C,DataViz!$O126, 'Supply planning data'!$D:$D, DataViz!AA$114)</f>
        <v>0</v>
      </c>
      <c r="AB126">
        <f>COUNTIFS('Supply planning data'!$N:$N,"&lt;&gt;", 'Supply planning data'!$C:$C,DataViz!$O126, 'Supply planning data'!$D:$D, DataViz!AB$114)+COUNTIFS('Supply planning data'!$P:$P,"&lt;&gt;", 'Supply planning data'!$C:$C,DataViz!$O126, 'Supply planning data'!$D:$D, DataViz!AB$114)</f>
        <v>0</v>
      </c>
      <c r="AC126">
        <f>COUNTIFS('Supply planning data'!$N:$N,"&lt;&gt;", 'Supply planning data'!$C:$C,DataViz!$O126, 'Supply planning data'!$D:$D, DataViz!AC$114)+COUNTIFS('Supply planning data'!$P:$P,"&lt;&gt;", 'Supply planning data'!$C:$C,DataViz!$O126, 'Supply planning data'!$D:$D, DataViz!AC$114)</f>
        <v>0</v>
      </c>
      <c r="AD126">
        <f>COUNTIFS('Supply planning data'!$N:$N,"&lt;&gt;", 'Supply planning data'!$C:$C,DataViz!$O126, 'Supply planning data'!$D:$D, DataViz!AD$114)+COUNTIFS('Supply planning data'!$P:$P,"&lt;&gt;", 'Supply planning data'!$C:$C,DataViz!$O126, 'Supply planning data'!$D:$D, DataViz!AD$114)</f>
        <v>0</v>
      </c>
      <c r="AE126">
        <f>COUNTIFS('Supply planning data'!$N:$N,"&lt;&gt;", 'Supply planning data'!$C:$C,DataViz!$O126, 'Supply planning data'!$D:$D, DataViz!AE$114)+COUNTIFS('Supply planning data'!$P:$P,"&lt;&gt;", 'Supply planning data'!$C:$C,DataViz!$O126, 'Supply planning data'!$D:$D, DataViz!AE$114)</f>
        <v>0</v>
      </c>
      <c r="AF126">
        <f>COUNTIFS('Supply planning data'!$N:$N,"&lt;&gt;", 'Supply planning data'!$C:$C,DataViz!$O126, 'Supply planning data'!$D:$D, DataViz!AF$114)+COUNTIFS('Supply planning data'!$P:$P,"&lt;&gt;", 'Supply planning data'!$C:$C,DataViz!$O126, 'Supply planning data'!$D:$D, DataViz!AF$114)</f>
        <v>0</v>
      </c>
      <c r="AG126">
        <f>COUNTIFS('Supply planning data'!$N:$N,"&lt;&gt;", 'Supply planning data'!$C:$C,DataViz!$O126, 'Supply planning data'!$D:$D, DataViz!AG$114)+COUNTIFS('Supply planning data'!$P:$P,"&lt;&gt;", 'Supply planning data'!$C:$C,DataViz!$O126, 'Supply planning data'!$D:$D, DataViz!AG$114)</f>
        <v>0</v>
      </c>
      <c r="AH126">
        <f>COUNTIFS('Supply planning data'!$N:$N,"&lt;&gt;", 'Supply planning data'!$C:$C,DataViz!$O126, 'Supply planning data'!$D:$D, DataViz!AH$114)+COUNTIFS('Supply planning data'!$P:$P,"&lt;&gt;", 'Supply planning data'!$C:$C,DataViz!$O126, 'Supply planning data'!$D:$D, DataViz!AH$114)</f>
        <v>0</v>
      </c>
      <c r="AI126">
        <f>COUNTIFS('Supply planning data'!$N:$N,"&lt;&gt;", 'Supply planning data'!$C:$C,DataViz!$O126, 'Supply planning data'!$D:$D, DataViz!AI$114)+COUNTIFS('Supply planning data'!$P:$P,"&lt;&gt;", 'Supply planning data'!$C:$C,DataViz!$O126, 'Supply planning data'!$D:$D, DataViz!AI$114)</f>
        <v>0</v>
      </c>
      <c r="AJ126">
        <f>COUNTIFS('Supply planning data'!$N:$N,"&lt;&gt;", 'Supply planning data'!$C:$C,DataViz!$O126, 'Supply planning data'!$D:$D, DataViz!AJ$114)+COUNTIFS('Supply planning data'!$P:$P,"&lt;&gt;", 'Supply planning data'!$C:$C,DataViz!$O126, 'Supply planning data'!$D:$D, DataViz!AJ$114)</f>
        <v>0</v>
      </c>
      <c r="AK126">
        <f>COUNTIFS('Supply planning data'!$N:$N,"&lt;&gt;", 'Supply planning data'!$C:$C,DataViz!$O126, 'Supply planning data'!$D:$D, DataViz!AK$114)+COUNTIFS('Supply planning data'!$P:$P,"&lt;&gt;", 'Supply planning data'!$C:$C,DataViz!$O126, 'Supply planning data'!$D:$D, DataViz!AK$114)</f>
        <v>0</v>
      </c>
      <c r="AL126">
        <f>COUNTIFS('Supply planning data'!$N:$N,"&lt;&gt;", 'Supply planning data'!$C:$C,DataViz!$O126, 'Supply planning data'!$D:$D, DataViz!AL$114)+COUNTIFS('Supply planning data'!$P:$P,"&lt;&gt;", 'Supply planning data'!$C:$C,DataViz!$O126, 'Supply planning data'!$D:$D, DataViz!AL$114)</f>
        <v>0</v>
      </c>
      <c r="AM126">
        <f>COUNTIFS('Supply planning data'!$N:$N,"&lt;&gt;", 'Supply planning data'!$C:$C,DataViz!$O126, 'Supply planning data'!$D:$D, DataViz!AM$114)+COUNTIFS('Supply planning data'!$P:$P,"&lt;&gt;", 'Supply planning data'!$C:$C,DataViz!$O126, 'Supply planning data'!$D:$D, DataViz!AM$114)</f>
        <v>0</v>
      </c>
    </row>
    <row r="127" spans="1:39" x14ac:dyDescent="0.25">
      <c r="A127" s="150">
        <v>23</v>
      </c>
      <c r="B127" s="151">
        <f t="shared" si="23"/>
        <v>44958</v>
      </c>
      <c r="C127" s="152">
        <f>SUMIFS('Supply planning data'!G:G,'Supply planning data'!D:D,"&lt;="&amp;DataViz!B127, 'Supply planning data'!C:C, Dashboard!$H$30)</f>
        <v>0</v>
      </c>
      <c r="D127" s="152">
        <f>SUMIFS('Supply planning data'!H:H,'Supply planning data'!D:D,"&lt;="&amp;DataViz!B127, 'Supply planning data'!C:C, Dashboard!$H$30)</f>
        <v>0</v>
      </c>
      <c r="E127" s="152">
        <f>SUMIFS('Supply planning data'!I:I,'Supply planning data'!D:D,"&lt;="&amp;DataViz!B127, 'Supply planning data'!C:C, Dashboard!$H$30)</f>
        <v>0</v>
      </c>
      <c r="F127" s="152">
        <f>SUMIFS('Supply planning data'!K:K,'Supply planning data'!D:D,"&lt;="&amp;DataViz!B127, 'Supply planning data'!C:C, Dashboard!$H$30)</f>
        <v>0</v>
      </c>
      <c r="G127" s="152">
        <f>SUMIFS('Supply planning data'!M:M,'Supply planning data'!D:D,"&lt;="&amp;DataViz!B127, 'Supply planning data'!C:C, Dashboard!$H$30)</f>
        <v>0</v>
      </c>
      <c r="J127" s="154"/>
      <c r="K127" s="155"/>
      <c r="O127">
        <f>Start!C29</f>
        <v>0</v>
      </c>
      <c r="P127">
        <f>COUNTIFS('Supply planning data'!$N:$N,"&lt;&gt;", 'Supply planning data'!$C:$C,DataViz!$O127, 'Supply planning data'!$D:$D, DataViz!P$114)+COUNTIFS('Supply planning data'!$P:$P,"&lt;&gt;", 'Supply planning data'!$C:$C,DataViz!$O127, 'Supply planning data'!$D:$D, DataViz!P$114)</f>
        <v>0</v>
      </c>
      <c r="Q127">
        <f>COUNTIFS('Supply planning data'!$N:$N,"&lt;&gt;", 'Supply planning data'!$C:$C,DataViz!$O127, 'Supply planning data'!$D:$D, DataViz!Q$114)+COUNTIFS('Supply planning data'!$P:$P,"&lt;&gt;", 'Supply planning data'!$C:$C,DataViz!$O127, 'Supply planning data'!$D:$D, DataViz!Q$114)</f>
        <v>0</v>
      </c>
      <c r="R127">
        <f>COUNTIFS('Supply planning data'!$N:$N,"&lt;&gt;", 'Supply planning data'!$C:$C,DataViz!$O127, 'Supply planning data'!$D:$D, DataViz!R$114)+COUNTIFS('Supply planning data'!$P:$P,"&lt;&gt;", 'Supply planning data'!$C:$C,DataViz!$O127, 'Supply planning data'!$D:$D, DataViz!R$114)</f>
        <v>0</v>
      </c>
      <c r="S127">
        <f>COUNTIFS('Supply planning data'!$N:$N,"&lt;&gt;", 'Supply planning data'!$C:$C,DataViz!$O127, 'Supply planning data'!$D:$D, DataViz!S$114)+COUNTIFS('Supply planning data'!$P:$P,"&lt;&gt;", 'Supply planning data'!$C:$C,DataViz!$O127, 'Supply planning data'!$D:$D, DataViz!S$114)</f>
        <v>0</v>
      </c>
      <c r="T127">
        <f>COUNTIFS('Supply planning data'!$N:$N,"&lt;&gt;", 'Supply planning data'!$C:$C,DataViz!$O127, 'Supply planning data'!$D:$D, DataViz!T$114)+COUNTIFS('Supply planning data'!$P:$P,"&lt;&gt;", 'Supply planning data'!$C:$C,DataViz!$O127, 'Supply planning data'!$D:$D, DataViz!T$114)</f>
        <v>0</v>
      </c>
      <c r="U127">
        <f>COUNTIFS('Supply planning data'!$N:$N,"&lt;&gt;", 'Supply planning data'!$C:$C,DataViz!$O127, 'Supply planning data'!$D:$D, DataViz!U$114)+COUNTIFS('Supply planning data'!$P:$P,"&lt;&gt;", 'Supply planning data'!$C:$C,DataViz!$O127, 'Supply planning data'!$D:$D, DataViz!U$114)</f>
        <v>0</v>
      </c>
      <c r="V127">
        <f>COUNTIFS('Supply planning data'!$N:$N,"&lt;&gt;", 'Supply planning data'!$C:$C,DataViz!$O127, 'Supply planning data'!$D:$D, DataViz!V$114)+COUNTIFS('Supply planning data'!$P:$P,"&lt;&gt;", 'Supply planning data'!$C:$C,DataViz!$O127, 'Supply planning data'!$D:$D, DataViz!V$114)</f>
        <v>0</v>
      </c>
      <c r="W127">
        <f>COUNTIFS('Supply planning data'!$N:$N,"&lt;&gt;", 'Supply planning data'!$C:$C,DataViz!$O127, 'Supply planning data'!$D:$D, DataViz!W$114)+COUNTIFS('Supply planning data'!$P:$P,"&lt;&gt;", 'Supply planning data'!$C:$C,DataViz!$O127, 'Supply planning data'!$D:$D, DataViz!W$114)</f>
        <v>0</v>
      </c>
      <c r="X127">
        <f>COUNTIFS('Supply planning data'!$N:$N,"&lt;&gt;", 'Supply planning data'!$C:$C,DataViz!$O127, 'Supply planning data'!$D:$D, DataViz!X$114)+COUNTIFS('Supply planning data'!$P:$P,"&lt;&gt;", 'Supply planning data'!$C:$C,DataViz!$O127, 'Supply planning data'!$D:$D, DataViz!X$114)</f>
        <v>0</v>
      </c>
      <c r="Y127">
        <f>COUNTIFS('Supply planning data'!$N:$N,"&lt;&gt;", 'Supply planning data'!$C:$C,DataViz!$O127, 'Supply planning data'!$D:$D, DataViz!Y$114)+COUNTIFS('Supply planning data'!$P:$P,"&lt;&gt;", 'Supply planning data'!$C:$C,DataViz!$O127, 'Supply planning data'!$D:$D, DataViz!Y$114)</f>
        <v>0</v>
      </c>
      <c r="Z127">
        <f>COUNTIFS('Supply planning data'!$N:$N,"&lt;&gt;", 'Supply planning data'!$C:$C,DataViz!$O127, 'Supply planning data'!$D:$D, DataViz!Z$114)+COUNTIFS('Supply planning data'!$P:$P,"&lt;&gt;", 'Supply planning data'!$C:$C,DataViz!$O127, 'Supply planning data'!$D:$D, DataViz!Z$114)</f>
        <v>0</v>
      </c>
      <c r="AA127">
        <f>COUNTIFS('Supply planning data'!$N:$N,"&lt;&gt;", 'Supply planning data'!$C:$C,DataViz!$O127, 'Supply planning data'!$D:$D, DataViz!AA$114)+COUNTIFS('Supply planning data'!$P:$P,"&lt;&gt;", 'Supply planning data'!$C:$C,DataViz!$O127, 'Supply planning data'!$D:$D, DataViz!AA$114)</f>
        <v>0</v>
      </c>
      <c r="AB127">
        <f>COUNTIFS('Supply planning data'!$N:$N,"&lt;&gt;", 'Supply planning data'!$C:$C,DataViz!$O127, 'Supply planning data'!$D:$D, DataViz!AB$114)+COUNTIFS('Supply planning data'!$P:$P,"&lt;&gt;", 'Supply planning data'!$C:$C,DataViz!$O127, 'Supply planning data'!$D:$D, DataViz!AB$114)</f>
        <v>0</v>
      </c>
      <c r="AC127">
        <f>COUNTIFS('Supply planning data'!$N:$N,"&lt;&gt;", 'Supply planning data'!$C:$C,DataViz!$O127, 'Supply planning data'!$D:$D, DataViz!AC$114)+COUNTIFS('Supply planning data'!$P:$P,"&lt;&gt;", 'Supply planning data'!$C:$C,DataViz!$O127, 'Supply planning data'!$D:$D, DataViz!AC$114)</f>
        <v>0</v>
      </c>
      <c r="AD127">
        <f>COUNTIFS('Supply planning data'!$N:$N,"&lt;&gt;", 'Supply planning data'!$C:$C,DataViz!$O127, 'Supply planning data'!$D:$D, DataViz!AD$114)+COUNTIFS('Supply planning data'!$P:$P,"&lt;&gt;", 'Supply planning data'!$C:$C,DataViz!$O127, 'Supply planning data'!$D:$D, DataViz!AD$114)</f>
        <v>0</v>
      </c>
      <c r="AE127">
        <f>COUNTIFS('Supply planning data'!$N:$N,"&lt;&gt;", 'Supply planning data'!$C:$C,DataViz!$O127, 'Supply planning data'!$D:$D, DataViz!AE$114)+COUNTIFS('Supply planning data'!$P:$P,"&lt;&gt;", 'Supply planning data'!$C:$C,DataViz!$O127, 'Supply planning data'!$D:$D, DataViz!AE$114)</f>
        <v>0</v>
      </c>
      <c r="AF127">
        <f>COUNTIFS('Supply planning data'!$N:$N,"&lt;&gt;", 'Supply planning data'!$C:$C,DataViz!$O127, 'Supply planning data'!$D:$D, DataViz!AF$114)+COUNTIFS('Supply planning data'!$P:$P,"&lt;&gt;", 'Supply planning data'!$C:$C,DataViz!$O127, 'Supply planning data'!$D:$D, DataViz!AF$114)</f>
        <v>0</v>
      </c>
      <c r="AG127">
        <f>COUNTIFS('Supply planning data'!$N:$N,"&lt;&gt;", 'Supply planning data'!$C:$C,DataViz!$O127, 'Supply planning data'!$D:$D, DataViz!AG$114)+COUNTIFS('Supply planning data'!$P:$P,"&lt;&gt;", 'Supply planning data'!$C:$C,DataViz!$O127, 'Supply planning data'!$D:$D, DataViz!AG$114)</f>
        <v>0</v>
      </c>
      <c r="AH127">
        <f>COUNTIFS('Supply planning data'!$N:$N,"&lt;&gt;", 'Supply planning data'!$C:$C,DataViz!$O127, 'Supply planning data'!$D:$D, DataViz!AH$114)+COUNTIFS('Supply planning data'!$P:$P,"&lt;&gt;", 'Supply planning data'!$C:$C,DataViz!$O127, 'Supply planning data'!$D:$D, DataViz!AH$114)</f>
        <v>0</v>
      </c>
      <c r="AI127">
        <f>COUNTIFS('Supply planning data'!$N:$N,"&lt;&gt;", 'Supply planning data'!$C:$C,DataViz!$O127, 'Supply planning data'!$D:$D, DataViz!AI$114)+COUNTIFS('Supply planning data'!$P:$P,"&lt;&gt;", 'Supply planning data'!$C:$C,DataViz!$O127, 'Supply planning data'!$D:$D, DataViz!AI$114)</f>
        <v>0</v>
      </c>
      <c r="AJ127">
        <f>COUNTIFS('Supply planning data'!$N:$N,"&lt;&gt;", 'Supply planning data'!$C:$C,DataViz!$O127, 'Supply planning data'!$D:$D, DataViz!AJ$114)+COUNTIFS('Supply planning data'!$P:$P,"&lt;&gt;", 'Supply planning data'!$C:$C,DataViz!$O127, 'Supply planning data'!$D:$D, DataViz!AJ$114)</f>
        <v>0</v>
      </c>
      <c r="AK127">
        <f>COUNTIFS('Supply planning data'!$N:$N,"&lt;&gt;", 'Supply planning data'!$C:$C,DataViz!$O127, 'Supply planning data'!$D:$D, DataViz!AK$114)+COUNTIFS('Supply planning data'!$P:$P,"&lt;&gt;", 'Supply planning data'!$C:$C,DataViz!$O127, 'Supply planning data'!$D:$D, DataViz!AK$114)</f>
        <v>0</v>
      </c>
      <c r="AL127">
        <f>COUNTIFS('Supply planning data'!$N:$N,"&lt;&gt;", 'Supply planning data'!$C:$C,DataViz!$O127, 'Supply planning data'!$D:$D, DataViz!AL$114)+COUNTIFS('Supply planning data'!$P:$P,"&lt;&gt;", 'Supply planning data'!$C:$C,DataViz!$O127, 'Supply planning data'!$D:$D, DataViz!AL$114)</f>
        <v>0</v>
      </c>
      <c r="AM127">
        <f>COUNTIFS('Supply planning data'!$N:$N,"&lt;&gt;", 'Supply planning data'!$C:$C,DataViz!$O127, 'Supply planning data'!$D:$D, DataViz!AM$114)+COUNTIFS('Supply planning data'!$P:$P,"&lt;&gt;", 'Supply planning data'!$C:$C,DataViz!$O127, 'Supply planning data'!$D:$D, DataViz!AM$114)</f>
        <v>0</v>
      </c>
    </row>
    <row r="128" spans="1:39" x14ac:dyDescent="0.25">
      <c r="A128" s="150">
        <v>24</v>
      </c>
      <c r="B128" s="151">
        <f t="shared" si="23"/>
        <v>44986</v>
      </c>
      <c r="C128" s="152">
        <f>SUMIFS('Supply planning data'!G:G,'Supply planning data'!D:D,"&lt;="&amp;DataViz!B128, 'Supply planning data'!C:C, Dashboard!$H$30)</f>
        <v>0</v>
      </c>
      <c r="D128" s="152">
        <f>SUMIFS('Supply planning data'!H:H,'Supply planning data'!D:D,"&lt;="&amp;DataViz!B128, 'Supply planning data'!C:C, Dashboard!$H$30)</f>
        <v>0</v>
      </c>
      <c r="E128" s="152">
        <f>SUMIFS('Supply planning data'!I:I,'Supply planning data'!D:D,"&lt;="&amp;DataViz!B128, 'Supply planning data'!C:C, Dashboard!$H$30)</f>
        <v>0</v>
      </c>
      <c r="F128" s="152">
        <f>SUMIFS('Supply planning data'!K:K,'Supply planning data'!D:D,"&lt;="&amp;DataViz!B128, 'Supply planning data'!C:C, Dashboard!$H$30)</f>
        <v>0</v>
      </c>
      <c r="G128" s="152">
        <f>SUMIFS('Supply planning data'!M:M,'Supply planning data'!D:D,"&lt;="&amp;DataViz!B128, 'Supply planning data'!C:C, Dashboard!$H$30)</f>
        <v>0</v>
      </c>
      <c r="J128" s="154"/>
      <c r="K128" s="155"/>
      <c r="O128">
        <f>Start!C30</f>
        <v>0</v>
      </c>
      <c r="P128">
        <f>COUNTIFS('Supply planning data'!$N:$N,"&lt;&gt;", 'Supply planning data'!$C:$C,DataViz!$O128, 'Supply planning data'!$D:$D, DataViz!P$114)+COUNTIFS('Supply planning data'!$P:$P,"&lt;&gt;", 'Supply planning data'!$C:$C,DataViz!$O128, 'Supply planning data'!$D:$D, DataViz!P$114)</f>
        <v>0</v>
      </c>
      <c r="Q128">
        <f>COUNTIFS('Supply planning data'!$N:$N,"&lt;&gt;", 'Supply planning data'!$C:$C,DataViz!$O128, 'Supply planning data'!$D:$D, DataViz!Q$114)+COUNTIFS('Supply planning data'!$P:$P,"&lt;&gt;", 'Supply planning data'!$C:$C,DataViz!$O128, 'Supply planning data'!$D:$D, DataViz!Q$114)</f>
        <v>0</v>
      </c>
      <c r="R128">
        <f>COUNTIFS('Supply planning data'!$N:$N,"&lt;&gt;", 'Supply planning data'!$C:$C,DataViz!$O128, 'Supply planning data'!$D:$D, DataViz!R$114)+COUNTIFS('Supply planning data'!$P:$P,"&lt;&gt;", 'Supply planning data'!$C:$C,DataViz!$O128, 'Supply planning data'!$D:$D, DataViz!R$114)</f>
        <v>0</v>
      </c>
      <c r="S128">
        <f>COUNTIFS('Supply planning data'!$N:$N,"&lt;&gt;", 'Supply planning data'!$C:$C,DataViz!$O128, 'Supply planning data'!$D:$D, DataViz!S$114)+COUNTIFS('Supply planning data'!$P:$P,"&lt;&gt;", 'Supply planning data'!$C:$C,DataViz!$O128, 'Supply planning data'!$D:$D, DataViz!S$114)</f>
        <v>0</v>
      </c>
      <c r="T128">
        <f>COUNTIFS('Supply planning data'!$N:$N,"&lt;&gt;", 'Supply planning data'!$C:$C,DataViz!$O128, 'Supply planning data'!$D:$D, DataViz!T$114)+COUNTIFS('Supply planning data'!$P:$P,"&lt;&gt;", 'Supply planning data'!$C:$C,DataViz!$O128, 'Supply planning data'!$D:$D, DataViz!T$114)</f>
        <v>0</v>
      </c>
      <c r="U128">
        <f>COUNTIFS('Supply planning data'!$N:$N,"&lt;&gt;", 'Supply planning data'!$C:$C,DataViz!$O128, 'Supply planning data'!$D:$D, DataViz!U$114)+COUNTIFS('Supply planning data'!$P:$P,"&lt;&gt;", 'Supply planning data'!$C:$C,DataViz!$O128, 'Supply planning data'!$D:$D, DataViz!U$114)</f>
        <v>0</v>
      </c>
      <c r="V128">
        <f>COUNTIFS('Supply planning data'!$N:$N,"&lt;&gt;", 'Supply planning data'!$C:$C,DataViz!$O128, 'Supply planning data'!$D:$D, DataViz!V$114)+COUNTIFS('Supply planning data'!$P:$P,"&lt;&gt;", 'Supply planning data'!$C:$C,DataViz!$O128, 'Supply planning data'!$D:$D, DataViz!V$114)</f>
        <v>0</v>
      </c>
      <c r="W128">
        <f>COUNTIFS('Supply planning data'!$N:$N,"&lt;&gt;", 'Supply planning data'!$C:$C,DataViz!$O128, 'Supply planning data'!$D:$D, DataViz!W$114)+COUNTIFS('Supply planning data'!$P:$P,"&lt;&gt;", 'Supply planning data'!$C:$C,DataViz!$O128, 'Supply planning data'!$D:$D, DataViz!W$114)</f>
        <v>0</v>
      </c>
      <c r="X128">
        <f>COUNTIFS('Supply planning data'!$N:$N,"&lt;&gt;", 'Supply planning data'!$C:$C,DataViz!$O128, 'Supply planning data'!$D:$D, DataViz!X$114)+COUNTIFS('Supply planning data'!$P:$P,"&lt;&gt;", 'Supply planning data'!$C:$C,DataViz!$O128, 'Supply planning data'!$D:$D, DataViz!X$114)</f>
        <v>0</v>
      </c>
      <c r="Y128">
        <f>COUNTIFS('Supply planning data'!$N:$N,"&lt;&gt;", 'Supply planning data'!$C:$C,DataViz!$O128, 'Supply planning data'!$D:$D, DataViz!Y$114)+COUNTIFS('Supply planning data'!$P:$P,"&lt;&gt;", 'Supply planning data'!$C:$C,DataViz!$O128, 'Supply planning data'!$D:$D, DataViz!Y$114)</f>
        <v>0</v>
      </c>
      <c r="Z128">
        <f>COUNTIFS('Supply planning data'!$N:$N,"&lt;&gt;", 'Supply planning data'!$C:$C,DataViz!$O128, 'Supply planning data'!$D:$D, DataViz!Z$114)+COUNTIFS('Supply planning data'!$P:$P,"&lt;&gt;", 'Supply planning data'!$C:$C,DataViz!$O128, 'Supply planning data'!$D:$D, DataViz!Z$114)</f>
        <v>0</v>
      </c>
      <c r="AA128">
        <f>COUNTIFS('Supply planning data'!$N:$N,"&lt;&gt;", 'Supply planning data'!$C:$C,DataViz!$O128, 'Supply planning data'!$D:$D, DataViz!AA$114)+COUNTIFS('Supply planning data'!$P:$P,"&lt;&gt;", 'Supply planning data'!$C:$C,DataViz!$O128, 'Supply planning data'!$D:$D, DataViz!AA$114)</f>
        <v>0</v>
      </c>
      <c r="AB128">
        <f>COUNTIFS('Supply planning data'!$N:$N,"&lt;&gt;", 'Supply planning data'!$C:$C,DataViz!$O128, 'Supply planning data'!$D:$D, DataViz!AB$114)+COUNTIFS('Supply planning data'!$P:$P,"&lt;&gt;", 'Supply planning data'!$C:$C,DataViz!$O128, 'Supply planning data'!$D:$D, DataViz!AB$114)</f>
        <v>0</v>
      </c>
      <c r="AC128">
        <f>COUNTIFS('Supply planning data'!$N:$N,"&lt;&gt;", 'Supply planning data'!$C:$C,DataViz!$O128, 'Supply planning data'!$D:$D, DataViz!AC$114)+COUNTIFS('Supply planning data'!$P:$P,"&lt;&gt;", 'Supply planning data'!$C:$C,DataViz!$O128, 'Supply planning data'!$D:$D, DataViz!AC$114)</f>
        <v>0</v>
      </c>
      <c r="AD128">
        <f>COUNTIFS('Supply planning data'!$N:$N,"&lt;&gt;", 'Supply planning data'!$C:$C,DataViz!$O128, 'Supply planning data'!$D:$D, DataViz!AD$114)+COUNTIFS('Supply planning data'!$P:$P,"&lt;&gt;", 'Supply planning data'!$C:$C,DataViz!$O128, 'Supply planning data'!$D:$D, DataViz!AD$114)</f>
        <v>0</v>
      </c>
      <c r="AE128">
        <f>COUNTIFS('Supply planning data'!$N:$N,"&lt;&gt;", 'Supply planning data'!$C:$C,DataViz!$O128, 'Supply planning data'!$D:$D, DataViz!AE$114)+COUNTIFS('Supply planning data'!$P:$P,"&lt;&gt;", 'Supply planning data'!$C:$C,DataViz!$O128, 'Supply planning data'!$D:$D, DataViz!AE$114)</f>
        <v>0</v>
      </c>
      <c r="AF128">
        <f>COUNTIFS('Supply planning data'!$N:$N,"&lt;&gt;", 'Supply planning data'!$C:$C,DataViz!$O128, 'Supply planning data'!$D:$D, DataViz!AF$114)+COUNTIFS('Supply planning data'!$P:$P,"&lt;&gt;", 'Supply planning data'!$C:$C,DataViz!$O128, 'Supply planning data'!$D:$D, DataViz!AF$114)</f>
        <v>0</v>
      </c>
      <c r="AG128">
        <f>COUNTIFS('Supply planning data'!$N:$N,"&lt;&gt;", 'Supply planning data'!$C:$C,DataViz!$O128, 'Supply planning data'!$D:$D, DataViz!AG$114)+COUNTIFS('Supply planning data'!$P:$P,"&lt;&gt;", 'Supply planning data'!$C:$C,DataViz!$O128, 'Supply planning data'!$D:$D, DataViz!AG$114)</f>
        <v>0</v>
      </c>
      <c r="AH128">
        <f>COUNTIFS('Supply planning data'!$N:$N,"&lt;&gt;", 'Supply planning data'!$C:$C,DataViz!$O128, 'Supply planning data'!$D:$D, DataViz!AH$114)+COUNTIFS('Supply planning data'!$P:$P,"&lt;&gt;", 'Supply planning data'!$C:$C,DataViz!$O128, 'Supply planning data'!$D:$D, DataViz!AH$114)</f>
        <v>0</v>
      </c>
      <c r="AI128">
        <f>COUNTIFS('Supply planning data'!$N:$N,"&lt;&gt;", 'Supply planning data'!$C:$C,DataViz!$O128, 'Supply planning data'!$D:$D, DataViz!AI$114)+COUNTIFS('Supply planning data'!$P:$P,"&lt;&gt;", 'Supply planning data'!$C:$C,DataViz!$O128, 'Supply planning data'!$D:$D, DataViz!AI$114)</f>
        <v>0</v>
      </c>
      <c r="AJ128">
        <f>COUNTIFS('Supply planning data'!$N:$N,"&lt;&gt;", 'Supply planning data'!$C:$C,DataViz!$O128, 'Supply planning data'!$D:$D, DataViz!AJ$114)+COUNTIFS('Supply planning data'!$P:$P,"&lt;&gt;", 'Supply planning data'!$C:$C,DataViz!$O128, 'Supply planning data'!$D:$D, DataViz!AJ$114)</f>
        <v>0</v>
      </c>
      <c r="AK128">
        <f>COUNTIFS('Supply planning data'!$N:$N,"&lt;&gt;", 'Supply planning data'!$C:$C,DataViz!$O128, 'Supply planning data'!$D:$D, DataViz!AK$114)+COUNTIFS('Supply planning data'!$P:$P,"&lt;&gt;", 'Supply planning data'!$C:$C,DataViz!$O128, 'Supply planning data'!$D:$D, DataViz!AK$114)</f>
        <v>0</v>
      </c>
      <c r="AL128">
        <f>COUNTIFS('Supply planning data'!$N:$N,"&lt;&gt;", 'Supply planning data'!$C:$C,DataViz!$O128, 'Supply planning data'!$D:$D, DataViz!AL$114)+COUNTIFS('Supply planning data'!$P:$P,"&lt;&gt;", 'Supply planning data'!$C:$C,DataViz!$O128, 'Supply planning data'!$D:$D, DataViz!AL$114)</f>
        <v>0</v>
      </c>
      <c r="AM128">
        <f>COUNTIFS('Supply planning data'!$N:$N,"&lt;&gt;", 'Supply planning data'!$C:$C,DataViz!$O128, 'Supply planning data'!$D:$D, DataViz!AM$114)+COUNTIFS('Supply planning data'!$P:$P,"&lt;&gt;", 'Supply planning data'!$C:$C,DataViz!$O128, 'Supply planning data'!$D:$D, DataViz!AM$114)</f>
        <v>0</v>
      </c>
    </row>
    <row r="129" spans="14:39" x14ac:dyDescent="0.25">
      <c r="O129">
        <f>Start!C31</f>
        <v>0</v>
      </c>
      <c r="P129">
        <f>COUNTIFS('Supply planning data'!$N:$N,"&lt;&gt;", 'Supply planning data'!$C:$C,DataViz!$O129, 'Supply planning data'!$D:$D, DataViz!P$114)+COUNTIFS('Supply planning data'!$P:$P,"&lt;&gt;", 'Supply planning data'!$C:$C,DataViz!$O129, 'Supply planning data'!$D:$D, DataViz!P$114)</f>
        <v>0</v>
      </c>
      <c r="Q129">
        <f>COUNTIFS('Supply planning data'!$N:$N,"&lt;&gt;", 'Supply planning data'!$C:$C,DataViz!$O129, 'Supply planning data'!$D:$D, DataViz!Q$114)+COUNTIFS('Supply planning data'!$P:$P,"&lt;&gt;", 'Supply planning data'!$C:$C,DataViz!$O129, 'Supply planning data'!$D:$D, DataViz!Q$114)</f>
        <v>0</v>
      </c>
      <c r="R129">
        <f>COUNTIFS('Supply planning data'!$N:$N,"&lt;&gt;", 'Supply planning data'!$C:$C,DataViz!$O129, 'Supply planning data'!$D:$D, DataViz!R$114)+COUNTIFS('Supply planning data'!$P:$P,"&lt;&gt;", 'Supply planning data'!$C:$C,DataViz!$O129, 'Supply planning data'!$D:$D, DataViz!R$114)</f>
        <v>0</v>
      </c>
      <c r="S129">
        <f>COUNTIFS('Supply planning data'!$N:$N,"&lt;&gt;", 'Supply planning data'!$C:$C,DataViz!$O129, 'Supply planning data'!$D:$D, DataViz!S$114)+COUNTIFS('Supply planning data'!$P:$P,"&lt;&gt;", 'Supply planning data'!$C:$C,DataViz!$O129, 'Supply planning data'!$D:$D, DataViz!S$114)</f>
        <v>0</v>
      </c>
      <c r="T129">
        <f>COUNTIFS('Supply planning data'!$N:$N,"&lt;&gt;", 'Supply planning data'!$C:$C,DataViz!$O129, 'Supply planning data'!$D:$D, DataViz!T$114)+COUNTIFS('Supply planning data'!$P:$P,"&lt;&gt;", 'Supply planning data'!$C:$C,DataViz!$O129, 'Supply planning data'!$D:$D, DataViz!T$114)</f>
        <v>0</v>
      </c>
      <c r="U129">
        <f>COUNTIFS('Supply planning data'!$N:$N,"&lt;&gt;", 'Supply planning data'!$C:$C,DataViz!$O129, 'Supply planning data'!$D:$D, DataViz!U$114)+COUNTIFS('Supply planning data'!$P:$P,"&lt;&gt;", 'Supply planning data'!$C:$C,DataViz!$O129, 'Supply planning data'!$D:$D, DataViz!U$114)</f>
        <v>0</v>
      </c>
      <c r="V129">
        <f>COUNTIFS('Supply planning data'!$N:$N,"&lt;&gt;", 'Supply planning data'!$C:$C,DataViz!$O129, 'Supply planning data'!$D:$D, DataViz!V$114)+COUNTIFS('Supply planning data'!$P:$P,"&lt;&gt;", 'Supply planning data'!$C:$C,DataViz!$O129, 'Supply planning data'!$D:$D, DataViz!V$114)</f>
        <v>0</v>
      </c>
      <c r="W129">
        <f>COUNTIFS('Supply planning data'!$N:$N,"&lt;&gt;", 'Supply planning data'!$C:$C,DataViz!$O129, 'Supply planning data'!$D:$D, DataViz!W$114)+COUNTIFS('Supply planning data'!$P:$P,"&lt;&gt;", 'Supply planning data'!$C:$C,DataViz!$O129, 'Supply planning data'!$D:$D, DataViz!W$114)</f>
        <v>0</v>
      </c>
      <c r="X129">
        <f>COUNTIFS('Supply planning data'!$N:$N,"&lt;&gt;", 'Supply planning data'!$C:$C,DataViz!$O129, 'Supply planning data'!$D:$D, DataViz!X$114)+COUNTIFS('Supply planning data'!$P:$P,"&lt;&gt;", 'Supply planning data'!$C:$C,DataViz!$O129, 'Supply planning data'!$D:$D, DataViz!X$114)</f>
        <v>0</v>
      </c>
      <c r="Y129">
        <f>COUNTIFS('Supply planning data'!$N:$N,"&lt;&gt;", 'Supply planning data'!$C:$C,DataViz!$O129, 'Supply planning data'!$D:$D, DataViz!Y$114)+COUNTIFS('Supply planning data'!$P:$P,"&lt;&gt;", 'Supply planning data'!$C:$C,DataViz!$O129, 'Supply planning data'!$D:$D, DataViz!Y$114)</f>
        <v>0</v>
      </c>
      <c r="Z129">
        <f>COUNTIFS('Supply planning data'!$N:$N,"&lt;&gt;", 'Supply planning data'!$C:$C,DataViz!$O129, 'Supply planning data'!$D:$D, DataViz!Z$114)+COUNTIFS('Supply planning data'!$P:$P,"&lt;&gt;", 'Supply planning data'!$C:$C,DataViz!$O129, 'Supply planning data'!$D:$D, DataViz!Z$114)</f>
        <v>0</v>
      </c>
      <c r="AA129">
        <f>COUNTIFS('Supply planning data'!$N:$N,"&lt;&gt;", 'Supply planning data'!$C:$C,DataViz!$O129, 'Supply planning data'!$D:$D, DataViz!AA$114)+COUNTIFS('Supply planning data'!$P:$P,"&lt;&gt;", 'Supply planning data'!$C:$C,DataViz!$O129, 'Supply planning data'!$D:$D, DataViz!AA$114)</f>
        <v>0</v>
      </c>
      <c r="AB129">
        <f>COUNTIFS('Supply planning data'!$N:$N,"&lt;&gt;", 'Supply planning data'!$C:$C,DataViz!$O129, 'Supply planning data'!$D:$D, DataViz!AB$114)+COUNTIFS('Supply planning data'!$P:$P,"&lt;&gt;", 'Supply planning data'!$C:$C,DataViz!$O129, 'Supply planning data'!$D:$D, DataViz!AB$114)</f>
        <v>0</v>
      </c>
      <c r="AC129">
        <f>COUNTIFS('Supply planning data'!$N:$N,"&lt;&gt;", 'Supply planning data'!$C:$C,DataViz!$O129, 'Supply planning data'!$D:$D, DataViz!AC$114)+COUNTIFS('Supply planning data'!$P:$P,"&lt;&gt;", 'Supply planning data'!$C:$C,DataViz!$O129, 'Supply planning data'!$D:$D, DataViz!AC$114)</f>
        <v>0</v>
      </c>
      <c r="AD129">
        <f>COUNTIFS('Supply planning data'!$N:$N,"&lt;&gt;", 'Supply planning data'!$C:$C,DataViz!$O129, 'Supply planning data'!$D:$D, DataViz!AD$114)+COUNTIFS('Supply planning data'!$P:$P,"&lt;&gt;", 'Supply planning data'!$C:$C,DataViz!$O129, 'Supply planning data'!$D:$D, DataViz!AD$114)</f>
        <v>0</v>
      </c>
      <c r="AE129">
        <f>COUNTIFS('Supply planning data'!$N:$N,"&lt;&gt;", 'Supply planning data'!$C:$C,DataViz!$O129, 'Supply planning data'!$D:$D, DataViz!AE$114)+COUNTIFS('Supply planning data'!$P:$P,"&lt;&gt;", 'Supply planning data'!$C:$C,DataViz!$O129, 'Supply planning data'!$D:$D, DataViz!AE$114)</f>
        <v>0</v>
      </c>
      <c r="AF129">
        <f>COUNTIFS('Supply planning data'!$N:$N,"&lt;&gt;", 'Supply planning data'!$C:$C,DataViz!$O129, 'Supply planning data'!$D:$D, DataViz!AF$114)+COUNTIFS('Supply planning data'!$P:$P,"&lt;&gt;", 'Supply planning data'!$C:$C,DataViz!$O129, 'Supply planning data'!$D:$D, DataViz!AF$114)</f>
        <v>0</v>
      </c>
      <c r="AG129">
        <f>COUNTIFS('Supply planning data'!$N:$N,"&lt;&gt;", 'Supply planning data'!$C:$C,DataViz!$O129, 'Supply planning data'!$D:$D, DataViz!AG$114)+COUNTIFS('Supply planning data'!$P:$P,"&lt;&gt;", 'Supply planning data'!$C:$C,DataViz!$O129, 'Supply planning data'!$D:$D, DataViz!AG$114)</f>
        <v>0</v>
      </c>
      <c r="AH129">
        <f>COUNTIFS('Supply planning data'!$N:$N,"&lt;&gt;", 'Supply planning data'!$C:$C,DataViz!$O129, 'Supply planning data'!$D:$D, DataViz!AH$114)+COUNTIFS('Supply planning data'!$P:$P,"&lt;&gt;", 'Supply planning data'!$C:$C,DataViz!$O129, 'Supply planning data'!$D:$D, DataViz!AH$114)</f>
        <v>0</v>
      </c>
      <c r="AI129">
        <f>COUNTIFS('Supply planning data'!$N:$N,"&lt;&gt;", 'Supply planning data'!$C:$C,DataViz!$O129, 'Supply planning data'!$D:$D, DataViz!AI$114)+COUNTIFS('Supply planning data'!$P:$P,"&lt;&gt;", 'Supply planning data'!$C:$C,DataViz!$O129, 'Supply planning data'!$D:$D, DataViz!AI$114)</f>
        <v>0</v>
      </c>
      <c r="AJ129">
        <f>COUNTIFS('Supply planning data'!$N:$N,"&lt;&gt;", 'Supply planning data'!$C:$C,DataViz!$O129, 'Supply planning data'!$D:$D, DataViz!AJ$114)+COUNTIFS('Supply planning data'!$P:$P,"&lt;&gt;", 'Supply planning data'!$C:$C,DataViz!$O129, 'Supply planning data'!$D:$D, DataViz!AJ$114)</f>
        <v>0</v>
      </c>
      <c r="AK129">
        <f>COUNTIFS('Supply planning data'!$N:$N,"&lt;&gt;", 'Supply planning data'!$C:$C,DataViz!$O129, 'Supply planning data'!$D:$D, DataViz!AK$114)+COUNTIFS('Supply planning data'!$P:$P,"&lt;&gt;", 'Supply planning data'!$C:$C,DataViz!$O129, 'Supply planning data'!$D:$D, DataViz!AK$114)</f>
        <v>0</v>
      </c>
      <c r="AL129">
        <f>COUNTIFS('Supply planning data'!$N:$N,"&lt;&gt;", 'Supply planning data'!$C:$C,DataViz!$O129, 'Supply planning data'!$D:$D, DataViz!AL$114)+COUNTIFS('Supply planning data'!$P:$P,"&lt;&gt;", 'Supply planning data'!$C:$C,DataViz!$O129, 'Supply planning data'!$D:$D, DataViz!AL$114)</f>
        <v>0</v>
      </c>
      <c r="AM129">
        <f>COUNTIFS('Supply planning data'!$N:$N,"&lt;&gt;", 'Supply planning data'!$C:$C,DataViz!$O129, 'Supply planning data'!$D:$D, DataViz!AM$114)+COUNTIFS('Supply planning data'!$P:$P,"&lt;&gt;", 'Supply planning data'!$C:$C,DataViz!$O129, 'Supply planning data'!$D:$D, DataViz!AM$114)</f>
        <v>0</v>
      </c>
    </row>
    <row r="132" spans="14:39" ht="15.75" x14ac:dyDescent="0.25">
      <c r="N132" t="s">
        <v>221</v>
      </c>
      <c r="O132" s="162" t="s">
        <v>222</v>
      </c>
      <c r="X132" s="162" t="s">
        <v>222</v>
      </c>
    </row>
    <row r="133" spans="14:39" x14ac:dyDescent="0.25">
      <c r="P133" t="s">
        <v>213</v>
      </c>
      <c r="Q133" t="s">
        <v>214</v>
      </c>
      <c r="R133" t="s">
        <v>130</v>
      </c>
      <c r="S133" t="s">
        <v>215</v>
      </c>
      <c r="T133" t="s">
        <v>216</v>
      </c>
      <c r="U133" t="s">
        <v>217</v>
      </c>
      <c r="V133" t="s">
        <v>218</v>
      </c>
      <c r="Y133" t="s">
        <v>213</v>
      </c>
      <c r="Z133" t="s">
        <v>214</v>
      </c>
      <c r="AA133" t="s">
        <v>130</v>
      </c>
      <c r="AB133" t="s">
        <v>215</v>
      </c>
      <c r="AC133" t="s">
        <v>216</v>
      </c>
      <c r="AD133" t="s">
        <v>217</v>
      </c>
      <c r="AE133" t="s">
        <v>218</v>
      </c>
    </row>
    <row r="134" spans="14:39" x14ac:dyDescent="0.25">
      <c r="O134" t="str">
        <f>Start!C17</f>
        <v>AstraZeneca</v>
      </c>
      <c r="P134" s="41" t="e">
        <f>IF(COUNTIFS('Supply planning data'!$O:$O,P$133, 'Supply planning data'!$C:$C,DataViz!$O134)+COUNTIFS('Supply planning data'!$Q:$Q,P$133, 'Supply planning data'!$C:$C,DataViz!$O134)&gt;0,COUNTIFS('Supply planning data'!$O:$O,P$133, 'Supply planning data'!$C:$C,DataViz!$O134)+COUNTIFS('Supply planning data'!$Q:$Q,P$133, 'Supply planning data'!$C:$C,DataViz!$O134),NA())</f>
        <v>#N/A</v>
      </c>
      <c r="Q134" s="41" t="e">
        <f>IF(COUNTIFS('Supply planning data'!$O:$O,Q$133, 'Supply planning data'!$C:$C,DataViz!$O134)+COUNTIFS('Supply planning data'!$Q:$Q,Q$133, 'Supply planning data'!$C:$C,DataViz!$O134)&gt;0,COUNTIFS('Supply planning data'!$O:$O,Q$133, 'Supply planning data'!$C:$C,DataViz!$O134)+COUNTIFS('Supply planning data'!$Q:$Q,Q$133, 'Supply planning data'!$C:$C,DataViz!$O134),NA())</f>
        <v>#N/A</v>
      </c>
      <c r="R134" s="41">
        <f>IF(COUNTIFS('Supply planning data'!$O:$O,R$133, 'Supply planning data'!$C:$C,DataViz!$O134)+COUNTIFS('Supply planning data'!$Q:$Q,R$133, 'Supply planning data'!$C:$C,DataViz!$O134)&gt;0,COUNTIFS('Supply planning data'!$O:$O,R$133, 'Supply planning data'!$C:$C,DataViz!$O134)+COUNTIFS('Supply planning data'!$Q:$Q,R$133, 'Supply planning data'!$C:$C,DataViz!$O134),NA())</f>
        <v>2</v>
      </c>
      <c r="S134" s="41" t="e">
        <f>IF(COUNTIFS('Supply planning data'!$O:$O,S$133, 'Supply planning data'!$C:$C,DataViz!$O134)+COUNTIFS('Supply planning data'!$Q:$Q,S$133, 'Supply planning data'!$C:$C,DataViz!$O134)&gt;0,COUNTIFS('Supply planning data'!$O:$O,S$133, 'Supply planning data'!$C:$C,DataViz!$O134)+COUNTIFS('Supply planning data'!$Q:$Q,S$133, 'Supply planning data'!$C:$C,DataViz!$O134),NA())</f>
        <v>#N/A</v>
      </c>
      <c r="T134" s="41" t="e">
        <f>IF(COUNTIFS('Supply planning data'!$O:$O,T$133, 'Supply planning data'!$C:$C,DataViz!$O134)+COUNTIFS('Supply planning data'!$Q:$Q,T$133, 'Supply planning data'!$C:$C,DataViz!$O134)&gt;0,COUNTIFS('Supply planning data'!$O:$O,T$133, 'Supply planning data'!$C:$C,DataViz!$O134)+COUNTIFS('Supply planning data'!$Q:$Q,T$133, 'Supply planning data'!$C:$C,DataViz!$O134),NA())</f>
        <v>#N/A</v>
      </c>
      <c r="U134" s="41" t="e">
        <f>IF(COUNTIFS('Supply planning data'!$O:$O,U$133, 'Supply planning data'!$C:$C,DataViz!$O134)+COUNTIFS('Supply planning data'!$Q:$Q,U$133, 'Supply planning data'!$C:$C,DataViz!$O134)&gt;0,COUNTIFS('Supply planning data'!$O:$O,U$133, 'Supply planning data'!$C:$C,DataViz!$O134)+COUNTIFS('Supply planning data'!$Q:$Q,U$133, 'Supply planning data'!$C:$C,DataViz!$O134),NA())</f>
        <v>#N/A</v>
      </c>
      <c r="V134" s="41" t="e">
        <f>IF(COUNTIFS('Supply planning data'!$O:$O,V$133, 'Supply planning data'!$C:$C,DataViz!$O134)+COUNTIFS('Supply planning data'!$Q:$Q,V$133, 'Supply planning data'!$C:$C,DataViz!$O134)&gt;0,COUNTIFS('Supply planning data'!$O:$O,V$133, 'Supply planning data'!$C:$C,DataViz!$O134)+COUNTIFS('Supply planning data'!$Q:$Q,V$133, 'Supply planning data'!$C:$C,DataViz!$O134),NA())</f>
        <v>#N/A</v>
      </c>
      <c r="X134" t="str">
        <f>Start!C17</f>
        <v>AstraZeneca</v>
      </c>
      <c r="Y134" s="41" t="e">
        <f>IF(ABS(SUMIFS('Supply planning data'!$N:$N, 'Supply planning data'!$C:$C, DataViz!$X134, 'Supply planning data'!$O:$O, DataViz!Y$133)+SUMIFS('Supply planning data'!$P:$P, 'Supply planning data'!$C:$C, DataViz!$X134, 'Supply planning data'!$Q:$Q, DataViz!Y$133))&gt;0,ABS(SUMIFS('Supply planning data'!$N:$N, 'Supply planning data'!$C:$C, DataViz!$X134, 'Supply planning data'!$O:$O, DataViz!Y$133)+SUMIFS('Supply planning data'!$P:$P, 'Supply planning data'!$C:$C, DataViz!$X134, 'Supply planning data'!$Q:$Q, DataViz!Y$133)),NA())</f>
        <v>#N/A</v>
      </c>
      <c r="Z134" s="41" t="e">
        <f>IF(ABS(SUMIFS('Supply planning data'!$N:$N, 'Supply planning data'!$C:$C, DataViz!$X134, 'Supply planning data'!$O:$O, DataViz!Z$133)+SUMIFS('Supply planning data'!$P:$P, 'Supply planning data'!$C:$C, DataViz!$X134, 'Supply planning data'!$Q:$Q, DataViz!Z$133))&gt;0,ABS(SUMIFS('Supply planning data'!$N:$N, 'Supply planning data'!$C:$C, DataViz!$X134, 'Supply planning data'!$O:$O, DataViz!Z$133)+SUMIFS('Supply planning data'!$P:$P, 'Supply planning data'!$C:$C, DataViz!$X134, 'Supply planning data'!$Q:$Q, DataViz!Z$133)),NA())</f>
        <v>#N/A</v>
      </c>
      <c r="AA134" s="41">
        <f>IF(ABS(SUMIFS('Supply planning data'!$N:$N, 'Supply planning data'!$C:$C, DataViz!$X134, 'Supply planning data'!$O:$O, DataViz!AA$133)+SUMIFS('Supply planning data'!$P:$P, 'Supply planning data'!$C:$C, DataViz!$X134, 'Supply planning data'!$Q:$Q, DataViz!AA$133))&gt;0,ABS(SUMIFS('Supply planning data'!$N:$N, 'Supply planning data'!$C:$C, DataViz!$X134, 'Supply planning data'!$O:$O, DataViz!AA$133)+SUMIFS('Supply planning data'!$P:$P, 'Supply planning data'!$C:$C, DataViz!$X134, 'Supply planning data'!$Q:$Q, DataViz!AA$133)),NA())</f>
        <v>321197</v>
      </c>
      <c r="AB134" s="41" t="e">
        <f>IF(ABS(SUMIFS('Supply planning data'!$N:$N, 'Supply planning data'!$C:$C, DataViz!$X134, 'Supply planning data'!$O:$O, DataViz!AB$133)+SUMIFS('Supply planning data'!$P:$P, 'Supply planning data'!$C:$C, DataViz!$X134, 'Supply planning data'!$Q:$Q, DataViz!AB$133))&gt;0,ABS(SUMIFS('Supply planning data'!$N:$N, 'Supply planning data'!$C:$C, DataViz!$X134, 'Supply planning data'!$O:$O, DataViz!AB$133)+SUMIFS('Supply planning data'!$P:$P, 'Supply planning data'!$C:$C, DataViz!$X134, 'Supply planning data'!$Q:$Q, DataViz!AB$133)),NA())</f>
        <v>#N/A</v>
      </c>
      <c r="AC134" s="41" t="e">
        <f>IF(ABS(SUMIFS('Supply planning data'!$N:$N, 'Supply planning data'!$C:$C, DataViz!$X134, 'Supply planning data'!$O:$O, DataViz!AC$133)+SUMIFS('Supply planning data'!$P:$P, 'Supply planning data'!$C:$C, DataViz!$X134, 'Supply planning data'!$Q:$Q, DataViz!AC$133))&gt;0,ABS(SUMIFS('Supply planning data'!$N:$N, 'Supply planning data'!$C:$C, DataViz!$X134, 'Supply planning data'!$O:$O, DataViz!AC$133)+SUMIFS('Supply planning data'!$P:$P, 'Supply planning data'!$C:$C, DataViz!$X134, 'Supply planning data'!$Q:$Q, DataViz!AC$133)),NA())</f>
        <v>#N/A</v>
      </c>
      <c r="AD134" s="41" t="e">
        <f>IF(ABS(SUMIFS('Supply planning data'!$N:$N, 'Supply planning data'!$C:$C, DataViz!$X134, 'Supply planning data'!$O:$O, DataViz!AD$133)+SUMIFS('Supply planning data'!$P:$P, 'Supply planning data'!$C:$C, DataViz!$X134, 'Supply planning data'!$Q:$Q, DataViz!AD$133))&gt;0,ABS(SUMIFS('Supply planning data'!$N:$N, 'Supply planning data'!$C:$C, DataViz!$X134, 'Supply planning data'!$O:$O, DataViz!AD$133)+SUMIFS('Supply planning data'!$P:$P, 'Supply planning data'!$C:$C, DataViz!$X134, 'Supply planning data'!$Q:$Q, DataViz!AD$133)),NA())</f>
        <v>#N/A</v>
      </c>
      <c r="AE134" s="41" t="e">
        <f>IF(ABS(SUMIFS('Supply planning data'!$N:$N, 'Supply planning data'!$C:$C, DataViz!$X134, 'Supply planning data'!$O:$O, DataViz!AE$133)+SUMIFS('Supply planning data'!$P:$P, 'Supply planning data'!$C:$C, DataViz!$X134, 'Supply planning data'!$Q:$Q, DataViz!AE$133))&gt;0,ABS(SUMIFS('Supply planning data'!$N:$N, 'Supply planning data'!$C:$C, DataViz!$X134, 'Supply planning data'!$O:$O, DataViz!AE$133)+SUMIFS('Supply planning data'!$P:$P, 'Supply planning data'!$C:$C, DataViz!$X134, 'Supply planning data'!$Q:$Q, DataViz!AE$133)),NA())</f>
        <v>#N/A</v>
      </c>
    </row>
    <row r="135" spans="14:39" x14ac:dyDescent="0.25">
      <c r="O135" t="str">
        <f>Start!C18</f>
        <v>Jansen</v>
      </c>
      <c r="P135" s="41" t="e">
        <f>IF(COUNTIFS('Supply planning data'!$O:$O,P$133, 'Supply planning data'!$C:$C,DataViz!$O135)+COUNTIFS('Supply planning data'!$Q:$Q,P$133, 'Supply planning data'!$C:$C,DataViz!$O135)&gt;0,COUNTIFS('Supply planning data'!$O:$O,P$133, 'Supply planning data'!$C:$C,DataViz!$O135)+COUNTIFS('Supply planning data'!$Q:$Q,P$133, 'Supply planning data'!$C:$C,DataViz!$O135),NA())</f>
        <v>#N/A</v>
      </c>
      <c r="Q135" s="41" t="e">
        <f>IF(COUNTIFS('Supply planning data'!$O:$O,Q$133, 'Supply planning data'!$C:$C,DataViz!$O135)+COUNTIFS('Supply planning data'!$Q:$Q,Q$133, 'Supply planning data'!$C:$C,DataViz!$O135)&gt;0,COUNTIFS('Supply planning data'!$O:$O,Q$133, 'Supply planning data'!$C:$C,DataViz!$O135)+COUNTIFS('Supply planning data'!$Q:$Q,Q$133, 'Supply planning data'!$C:$C,DataViz!$O135),NA())</f>
        <v>#N/A</v>
      </c>
      <c r="R135" s="41" t="e">
        <f>IF(COUNTIFS('Supply planning data'!$O:$O,R$133, 'Supply planning data'!$C:$C,DataViz!$O135)+COUNTIFS('Supply planning data'!$Q:$Q,R$133, 'Supply planning data'!$C:$C,DataViz!$O135)&gt;0,COUNTIFS('Supply planning data'!$O:$O,R$133, 'Supply planning data'!$C:$C,DataViz!$O135)+COUNTIFS('Supply planning data'!$Q:$Q,R$133, 'Supply planning data'!$C:$C,DataViz!$O135),NA())</f>
        <v>#N/A</v>
      </c>
      <c r="S135" s="41" t="e">
        <f>IF(COUNTIFS('Supply planning data'!$O:$O,S$133, 'Supply planning data'!$C:$C,DataViz!$O135)+COUNTIFS('Supply planning data'!$Q:$Q,S$133, 'Supply planning data'!$C:$C,DataViz!$O135)&gt;0,COUNTIFS('Supply planning data'!$O:$O,S$133, 'Supply planning data'!$C:$C,DataViz!$O135)+COUNTIFS('Supply planning data'!$Q:$Q,S$133, 'Supply planning data'!$C:$C,DataViz!$O135),NA())</f>
        <v>#N/A</v>
      </c>
      <c r="T135" s="41" t="e">
        <f>IF(COUNTIFS('Supply planning data'!$O:$O,T$133, 'Supply planning data'!$C:$C,DataViz!$O135)+COUNTIFS('Supply planning data'!$Q:$Q,T$133, 'Supply planning data'!$C:$C,DataViz!$O135)&gt;0,COUNTIFS('Supply planning data'!$O:$O,T$133, 'Supply planning data'!$C:$C,DataViz!$O135)+COUNTIFS('Supply planning data'!$Q:$Q,T$133, 'Supply planning data'!$C:$C,DataViz!$O135),NA())</f>
        <v>#N/A</v>
      </c>
      <c r="U135" s="41" t="e">
        <f>IF(COUNTIFS('Supply planning data'!$O:$O,U$133, 'Supply planning data'!$C:$C,DataViz!$O135)+COUNTIFS('Supply planning data'!$Q:$Q,U$133, 'Supply planning data'!$C:$C,DataViz!$O135)&gt;0,COUNTIFS('Supply planning data'!$O:$O,U$133, 'Supply planning data'!$C:$C,DataViz!$O135)+COUNTIFS('Supply planning data'!$Q:$Q,U$133, 'Supply planning data'!$C:$C,DataViz!$O135),NA())</f>
        <v>#N/A</v>
      </c>
      <c r="V135" s="41" t="e">
        <f>IF(COUNTIFS('Supply planning data'!$O:$O,V$133, 'Supply planning data'!$C:$C,DataViz!$O135)+COUNTIFS('Supply planning data'!$Q:$Q,V$133, 'Supply planning data'!$C:$C,DataViz!$O135)&gt;0,COUNTIFS('Supply planning data'!$O:$O,V$133, 'Supply planning data'!$C:$C,DataViz!$O135)+COUNTIFS('Supply planning data'!$Q:$Q,V$133, 'Supply planning data'!$C:$C,DataViz!$O135),NA())</f>
        <v>#N/A</v>
      </c>
      <c r="X135" t="str">
        <f>Start!C18</f>
        <v>Jansen</v>
      </c>
      <c r="Y135" s="41" t="e">
        <f>IF(ABS(SUMIFS('Supply planning data'!$N:$N, 'Supply planning data'!$C:$C, DataViz!$X135, 'Supply planning data'!$O:$O, DataViz!Y$133)+SUMIFS('Supply planning data'!$P:$P, 'Supply planning data'!$C:$C, DataViz!$X135, 'Supply planning data'!$Q:$Q, DataViz!Y$133))&gt;0,ABS(SUMIFS('Supply planning data'!$N:$N, 'Supply planning data'!$C:$C, DataViz!$X135, 'Supply planning data'!$O:$O, DataViz!Y$133)+SUMIFS('Supply planning data'!$P:$P, 'Supply planning data'!$C:$C, DataViz!$X135, 'Supply planning data'!$Q:$Q, DataViz!Y$133)),NA())</f>
        <v>#N/A</v>
      </c>
      <c r="Z135" s="41" t="e">
        <f>IF(ABS(SUMIFS('Supply planning data'!$N:$N, 'Supply planning data'!$C:$C, DataViz!$X135, 'Supply planning data'!$O:$O, DataViz!Z$133)+SUMIFS('Supply planning data'!$P:$P, 'Supply planning data'!$C:$C, DataViz!$X135, 'Supply planning data'!$Q:$Q, DataViz!Z$133))&gt;0,ABS(SUMIFS('Supply planning data'!$N:$N, 'Supply planning data'!$C:$C, DataViz!$X135, 'Supply planning data'!$O:$O, DataViz!Z$133)+SUMIFS('Supply planning data'!$P:$P, 'Supply planning data'!$C:$C, DataViz!$X135, 'Supply planning data'!$Q:$Q, DataViz!Z$133)),NA())</f>
        <v>#N/A</v>
      </c>
      <c r="AA135" s="41" t="e">
        <f>IF(ABS(SUMIFS('Supply planning data'!$N:$N, 'Supply planning data'!$C:$C, DataViz!$X135, 'Supply planning data'!$O:$O, DataViz!AA$133)+SUMIFS('Supply planning data'!$P:$P, 'Supply planning data'!$C:$C, DataViz!$X135, 'Supply planning data'!$Q:$Q, DataViz!AA$133))&gt;0,ABS(SUMIFS('Supply planning data'!$N:$N, 'Supply planning data'!$C:$C, DataViz!$X135, 'Supply planning data'!$O:$O, DataViz!AA$133)+SUMIFS('Supply planning data'!$P:$P, 'Supply planning data'!$C:$C, DataViz!$X135, 'Supply planning data'!$Q:$Q, DataViz!AA$133)),NA())</f>
        <v>#N/A</v>
      </c>
      <c r="AB135" s="41" t="e">
        <f>IF(ABS(SUMIFS('Supply planning data'!$N:$N, 'Supply planning data'!$C:$C, DataViz!$X135, 'Supply planning data'!$O:$O, DataViz!AB$133)+SUMIFS('Supply planning data'!$P:$P, 'Supply planning data'!$C:$C, DataViz!$X135, 'Supply planning data'!$Q:$Q, DataViz!AB$133))&gt;0,ABS(SUMIFS('Supply planning data'!$N:$N, 'Supply planning data'!$C:$C, DataViz!$X135, 'Supply planning data'!$O:$O, DataViz!AB$133)+SUMIFS('Supply planning data'!$P:$P, 'Supply planning data'!$C:$C, DataViz!$X135, 'Supply planning data'!$Q:$Q, DataViz!AB$133)),NA())</f>
        <v>#N/A</v>
      </c>
      <c r="AC135" s="41" t="e">
        <f>IF(ABS(SUMIFS('Supply planning data'!$N:$N, 'Supply planning data'!$C:$C, DataViz!$X135, 'Supply planning data'!$O:$O, DataViz!AC$133)+SUMIFS('Supply planning data'!$P:$P, 'Supply planning data'!$C:$C, DataViz!$X135, 'Supply planning data'!$Q:$Q, DataViz!AC$133))&gt;0,ABS(SUMIFS('Supply planning data'!$N:$N, 'Supply planning data'!$C:$C, DataViz!$X135, 'Supply planning data'!$O:$O, DataViz!AC$133)+SUMIFS('Supply planning data'!$P:$P, 'Supply planning data'!$C:$C, DataViz!$X135, 'Supply planning data'!$Q:$Q, DataViz!AC$133)),NA())</f>
        <v>#N/A</v>
      </c>
      <c r="AD135" s="41" t="e">
        <f>IF(ABS(SUMIFS('Supply planning data'!$N:$N, 'Supply planning data'!$C:$C, DataViz!$X135, 'Supply planning data'!$O:$O, DataViz!AD$133)+SUMIFS('Supply planning data'!$P:$P, 'Supply planning data'!$C:$C, DataViz!$X135, 'Supply planning data'!$Q:$Q, DataViz!AD$133))&gt;0,ABS(SUMIFS('Supply planning data'!$N:$N, 'Supply planning data'!$C:$C, DataViz!$X135, 'Supply planning data'!$O:$O, DataViz!AD$133)+SUMIFS('Supply planning data'!$P:$P, 'Supply planning data'!$C:$C, DataViz!$X135, 'Supply planning data'!$Q:$Q, DataViz!AD$133)),NA())</f>
        <v>#N/A</v>
      </c>
      <c r="AE135" s="41" t="e">
        <f>IF(ABS(SUMIFS('Supply planning data'!$N:$N, 'Supply planning data'!$C:$C, DataViz!$X135, 'Supply planning data'!$O:$O, DataViz!AE$133)+SUMIFS('Supply planning data'!$P:$P, 'Supply planning data'!$C:$C, DataViz!$X135, 'Supply planning data'!$Q:$Q, DataViz!AE$133))&gt;0,ABS(SUMIFS('Supply planning data'!$N:$N, 'Supply planning data'!$C:$C, DataViz!$X135, 'Supply planning data'!$O:$O, DataViz!AE$133)+SUMIFS('Supply planning data'!$P:$P, 'Supply planning data'!$C:$C, DataViz!$X135, 'Supply planning data'!$Q:$Q, DataViz!AE$133)),NA())</f>
        <v>#N/A</v>
      </c>
    </row>
    <row r="136" spans="14:39" x14ac:dyDescent="0.25">
      <c r="O136" t="str">
        <f>Start!C19</f>
        <v>Moderna</v>
      </c>
      <c r="P136" s="41" t="e">
        <f>IF(COUNTIFS('Supply planning data'!$O:$O,P$133, 'Supply planning data'!$C:$C,DataViz!$O136)+COUNTIFS('Supply planning data'!$Q:$Q,P$133, 'Supply planning data'!$C:$C,DataViz!$O136)&gt;0,COUNTIFS('Supply planning data'!$O:$O,P$133, 'Supply planning data'!$C:$C,DataViz!$O136)+COUNTIFS('Supply planning data'!$Q:$Q,P$133, 'Supply planning data'!$C:$C,DataViz!$O136),NA())</f>
        <v>#N/A</v>
      </c>
      <c r="Q136" s="41" t="e">
        <f>IF(COUNTIFS('Supply planning data'!$O:$O,Q$133, 'Supply planning data'!$C:$C,DataViz!$O136)+COUNTIFS('Supply planning data'!$Q:$Q,Q$133, 'Supply planning data'!$C:$C,DataViz!$O136)&gt;0,COUNTIFS('Supply planning data'!$O:$O,Q$133, 'Supply planning data'!$C:$C,DataViz!$O136)+COUNTIFS('Supply planning data'!$Q:$Q,Q$133, 'Supply planning data'!$C:$C,DataViz!$O136),NA())</f>
        <v>#N/A</v>
      </c>
      <c r="R136" s="41" t="e">
        <f>IF(COUNTIFS('Supply planning data'!$O:$O,R$133, 'Supply planning data'!$C:$C,DataViz!$O136)+COUNTIFS('Supply planning data'!$Q:$Q,R$133, 'Supply planning data'!$C:$C,DataViz!$O136)&gt;0,COUNTIFS('Supply planning data'!$O:$O,R$133, 'Supply planning data'!$C:$C,DataViz!$O136)+COUNTIFS('Supply planning data'!$Q:$Q,R$133, 'Supply planning data'!$C:$C,DataViz!$O136),NA())</f>
        <v>#N/A</v>
      </c>
      <c r="S136" s="41" t="e">
        <f>IF(COUNTIFS('Supply planning data'!$O:$O,S$133, 'Supply planning data'!$C:$C,DataViz!$O136)+COUNTIFS('Supply planning data'!$Q:$Q,S$133, 'Supply planning data'!$C:$C,DataViz!$O136)&gt;0,COUNTIFS('Supply planning data'!$O:$O,S$133, 'Supply planning data'!$C:$C,DataViz!$O136)+COUNTIFS('Supply planning data'!$Q:$Q,S$133, 'Supply planning data'!$C:$C,DataViz!$O136),NA())</f>
        <v>#N/A</v>
      </c>
      <c r="T136" s="41" t="e">
        <f>IF(COUNTIFS('Supply planning data'!$O:$O,T$133, 'Supply planning data'!$C:$C,DataViz!$O136)+COUNTIFS('Supply planning data'!$Q:$Q,T$133, 'Supply planning data'!$C:$C,DataViz!$O136)&gt;0,COUNTIFS('Supply planning data'!$O:$O,T$133, 'Supply planning data'!$C:$C,DataViz!$O136)+COUNTIFS('Supply planning data'!$Q:$Q,T$133, 'Supply planning data'!$C:$C,DataViz!$O136),NA())</f>
        <v>#N/A</v>
      </c>
      <c r="U136" s="41" t="e">
        <f>IF(COUNTIFS('Supply planning data'!$O:$O,U$133, 'Supply planning data'!$C:$C,DataViz!$O136)+COUNTIFS('Supply planning data'!$Q:$Q,U$133, 'Supply planning data'!$C:$C,DataViz!$O136)&gt;0,COUNTIFS('Supply planning data'!$O:$O,U$133, 'Supply planning data'!$C:$C,DataViz!$O136)+COUNTIFS('Supply planning data'!$Q:$Q,U$133, 'Supply planning data'!$C:$C,DataViz!$O136),NA())</f>
        <v>#N/A</v>
      </c>
      <c r="V136" s="41" t="e">
        <f>IF(COUNTIFS('Supply planning data'!$O:$O,V$133, 'Supply planning data'!$C:$C,DataViz!$O136)+COUNTIFS('Supply planning data'!$Q:$Q,V$133, 'Supply planning data'!$C:$C,DataViz!$O136)&gt;0,COUNTIFS('Supply planning data'!$O:$O,V$133, 'Supply planning data'!$C:$C,DataViz!$O136)+COUNTIFS('Supply planning data'!$Q:$Q,V$133, 'Supply planning data'!$C:$C,DataViz!$O136),NA())</f>
        <v>#N/A</v>
      </c>
      <c r="X136" t="str">
        <f>Start!C19</f>
        <v>Moderna</v>
      </c>
      <c r="Y136" s="41" t="e">
        <f>IF(ABS(SUMIFS('Supply planning data'!$N:$N, 'Supply planning data'!$C:$C, DataViz!$X136, 'Supply planning data'!$O:$O, DataViz!Y$133)+SUMIFS('Supply planning data'!$P:$P, 'Supply planning data'!$C:$C, DataViz!$X136, 'Supply planning data'!$Q:$Q, DataViz!Y$133))&gt;0,ABS(SUMIFS('Supply planning data'!$N:$N, 'Supply planning data'!$C:$C, DataViz!$X136, 'Supply planning data'!$O:$O, DataViz!Y$133)+SUMIFS('Supply planning data'!$P:$P, 'Supply planning data'!$C:$C, DataViz!$X136, 'Supply planning data'!$Q:$Q, DataViz!Y$133)),NA())</f>
        <v>#N/A</v>
      </c>
      <c r="Z136" s="41" t="e">
        <f>IF(ABS(SUMIFS('Supply planning data'!$N:$N, 'Supply planning data'!$C:$C, DataViz!$X136, 'Supply planning data'!$O:$O, DataViz!Z$133)+SUMIFS('Supply planning data'!$P:$P, 'Supply planning data'!$C:$C, DataViz!$X136, 'Supply planning data'!$Q:$Q, DataViz!Z$133))&gt;0,ABS(SUMIFS('Supply planning data'!$N:$N, 'Supply planning data'!$C:$C, DataViz!$X136, 'Supply planning data'!$O:$O, DataViz!Z$133)+SUMIFS('Supply planning data'!$P:$P, 'Supply planning data'!$C:$C, DataViz!$X136, 'Supply planning data'!$Q:$Q, DataViz!Z$133)),NA())</f>
        <v>#N/A</v>
      </c>
      <c r="AA136" s="41" t="e">
        <f>IF(ABS(SUMIFS('Supply planning data'!$N:$N, 'Supply planning data'!$C:$C, DataViz!$X136, 'Supply planning data'!$O:$O, DataViz!AA$133)+SUMIFS('Supply planning data'!$P:$P, 'Supply planning data'!$C:$C, DataViz!$X136, 'Supply planning data'!$Q:$Q, DataViz!AA$133))&gt;0,ABS(SUMIFS('Supply planning data'!$N:$N, 'Supply planning data'!$C:$C, DataViz!$X136, 'Supply planning data'!$O:$O, DataViz!AA$133)+SUMIFS('Supply planning data'!$P:$P, 'Supply planning data'!$C:$C, DataViz!$X136, 'Supply planning data'!$Q:$Q, DataViz!AA$133)),NA())</f>
        <v>#N/A</v>
      </c>
      <c r="AB136" s="41" t="e">
        <f>IF(ABS(SUMIFS('Supply planning data'!$N:$N, 'Supply planning data'!$C:$C, DataViz!$X136, 'Supply planning data'!$O:$O, DataViz!AB$133)+SUMIFS('Supply planning data'!$P:$P, 'Supply planning data'!$C:$C, DataViz!$X136, 'Supply planning data'!$Q:$Q, DataViz!AB$133))&gt;0,ABS(SUMIFS('Supply planning data'!$N:$N, 'Supply planning data'!$C:$C, DataViz!$X136, 'Supply planning data'!$O:$O, DataViz!AB$133)+SUMIFS('Supply planning data'!$P:$P, 'Supply planning data'!$C:$C, DataViz!$X136, 'Supply planning data'!$Q:$Q, DataViz!AB$133)),NA())</f>
        <v>#N/A</v>
      </c>
      <c r="AC136" s="41" t="e">
        <f>IF(ABS(SUMIFS('Supply planning data'!$N:$N, 'Supply planning data'!$C:$C, DataViz!$X136, 'Supply planning data'!$O:$O, DataViz!AC$133)+SUMIFS('Supply planning data'!$P:$P, 'Supply planning data'!$C:$C, DataViz!$X136, 'Supply planning data'!$Q:$Q, DataViz!AC$133))&gt;0,ABS(SUMIFS('Supply planning data'!$N:$N, 'Supply planning data'!$C:$C, DataViz!$X136, 'Supply planning data'!$O:$O, DataViz!AC$133)+SUMIFS('Supply planning data'!$P:$P, 'Supply planning data'!$C:$C, DataViz!$X136, 'Supply planning data'!$Q:$Q, DataViz!AC$133)),NA())</f>
        <v>#N/A</v>
      </c>
      <c r="AD136" s="41" t="e">
        <f>IF(ABS(SUMIFS('Supply planning data'!$N:$N, 'Supply planning data'!$C:$C, DataViz!$X136, 'Supply planning data'!$O:$O, DataViz!AD$133)+SUMIFS('Supply planning data'!$P:$P, 'Supply planning data'!$C:$C, DataViz!$X136, 'Supply planning data'!$Q:$Q, DataViz!AD$133))&gt;0,ABS(SUMIFS('Supply planning data'!$N:$N, 'Supply planning data'!$C:$C, DataViz!$X136, 'Supply planning data'!$O:$O, DataViz!AD$133)+SUMIFS('Supply planning data'!$P:$P, 'Supply planning data'!$C:$C, DataViz!$X136, 'Supply planning data'!$Q:$Q, DataViz!AD$133)),NA())</f>
        <v>#N/A</v>
      </c>
      <c r="AE136" s="41" t="e">
        <f>IF(ABS(SUMIFS('Supply planning data'!$N:$N, 'Supply planning data'!$C:$C, DataViz!$X136, 'Supply planning data'!$O:$O, DataViz!AE$133)+SUMIFS('Supply planning data'!$P:$P, 'Supply planning data'!$C:$C, DataViz!$X136, 'Supply planning data'!$Q:$Q, DataViz!AE$133))&gt;0,ABS(SUMIFS('Supply planning data'!$N:$N, 'Supply planning data'!$C:$C, DataViz!$X136, 'Supply planning data'!$O:$O, DataViz!AE$133)+SUMIFS('Supply planning data'!$P:$P, 'Supply planning data'!$C:$C, DataViz!$X136, 'Supply planning data'!$Q:$Q, DataViz!AE$133)),NA())</f>
        <v>#N/A</v>
      </c>
    </row>
    <row r="137" spans="14:39" x14ac:dyDescent="0.25">
      <c r="O137" t="str">
        <f>Start!C20</f>
        <v>Pfizer</v>
      </c>
      <c r="P137" s="41" t="e">
        <f>IF(COUNTIFS('Supply planning data'!$O:$O,P$133, 'Supply planning data'!$C:$C,DataViz!$O137)+COUNTIFS('Supply planning data'!$Q:$Q,P$133, 'Supply planning data'!$C:$C,DataViz!$O137)&gt;0,COUNTIFS('Supply planning data'!$O:$O,P$133, 'Supply planning data'!$C:$C,DataViz!$O137)+COUNTIFS('Supply planning data'!$Q:$Q,P$133, 'Supply planning data'!$C:$C,DataViz!$O137),NA())</f>
        <v>#N/A</v>
      </c>
      <c r="Q137" s="41" t="e">
        <f>IF(COUNTIFS('Supply planning data'!$O:$O,Q$133, 'Supply planning data'!$C:$C,DataViz!$O137)+COUNTIFS('Supply planning data'!$Q:$Q,Q$133, 'Supply planning data'!$C:$C,DataViz!$O137)&gt;0,COUNTIFS('Supply planning data'!$O:$O,Q$133, 'Supply planning data'!$C:$C,DataViz!$O137)+COUNTIFS('Supply planning data'!$Q:$Q,Q$133, 'Supply planning data'!$C:$C,DataViz!$O137),NA())</f>
        <v>#N/A</v>
      </c>
      <c r="R137" s="41" t="e">
        <f>IF(COUNTIFS('Supply planning data'!$O:$O,R$133, 'Supply planning data'!$C:$C,DataViz!$O137)+COUNTIFS('Supply planning data'!$Q:$Q,R$133, 'Supply planning data'!$C:$C,DataViz!$O137)&gt;0,COUNTIFS('Supply planning data'!$O:$O,R$133, 'Supply planning data'!$C:$C,DataViz!$O137)+COUNTIFS('Supply planning data'!$Q:$Q,R$133, 'Supply planning data'!$C:$C,DataViz!$O137),NA())</f>
        <v>#N/A</v>
      </c>
      <c r="S137" s="41" t="e">
        <f>IF(COUNTIFS('Supply planning data'!$O:$O,S$133, 'Supply planning data'!$C:$C,DataViz!$O137)+COUNTIFS('Supply planning data'!$Q:$Q,S$133, 'Supply planning data'!$C:$C,DataViz!$O137)&gt;0,COUNTIFS('Supply planning data'!$O:$O,S$133, 'Supply planning data'!$C:$C,DataViz!$O137)+COUNTIFS('Supply planning data'!$Q:$Q,S$133, 'Supply planning data'!$C:$C,DataViz!$O137),NA())</f>
        <v>#N/A</v>
      </c>
      <c r="T137" s="41" t="e">
        <f>IF(COUNTIFS('Supply planning data'!$O:$O,T$133, 'Supply planning data'!$C:$C,DataViz!$O137)+COUNTIFS('Supply planning data'!$Q:$Q,T$133, 'Supply planning data'!$C:$C,DataViz!$O137)&gt;0,COUNTIFS('Supply planning data'!$O:$O,T$133, 'Supply planning data'!$C:$C,DataViz!$O137)+COUNTIFS('Supply planning data'!$Q:$Q,T$133, 'Supply planning data'!$C:$C,DataViz!$O137),NA())</f>
        <v>#N/A</v>
      </c>
      <c r="U137" s="41" t="e">
        <f>IF(COUNTIFS('Supply planning data'!$O:$O,U$133, 'Supply planning data'!$C:$C,DataViz!$O137)+COUNTIFS('Supply planning data'!$Q:$Q,U$133, 'Supply planning data'!$C:$C,DataViz!$O137)&gt;0,COUNTIFS('Supply planning data'!$O:$O,U$133, 'Supply planning data'!$C:$C,DataViz!$O137)+COUNTIFS('Supply planning data'!$Q:$Q,U$133, 'Supply planning data'!$C:$C,DataViz!$O137),NA())</f>
        <v>#N/A</v>
      </c>
      <c r="V137" s="41" t="e">
        <f>IF(COUNTIFS('Supply planning data'!$O:$O,V$133, 'Supply planning data'!$C:$C,DataViz!$O137)+COUNTIFS('Supply planning data'!$Q:$Q,V$133, 'Supply planning data'!$C:$C,DataViz!$O137)&gt;0,COUNTIFS('Supply planning data'!$O:$O,V$133, 'Supply planning data'!$C:$C,DataViz!$O137)+COUNTIFS('Supply planning data'!$Q:$Q,V$133, 'Supply planning data'!$C:$C,DataViz!$O137),NA())</f>
        <v>#N/A</v>
      </c>
      <c r="X137" t="str">
        <f>Start!C20</f>
        <v>Pfizer</v>
      </c>
      <c r="Y137" s="41" t="e">
        <f>IF(ABS(SUMIFS('Supply planning data'!$N:$N, 'Supply planning data'!$C:$C, DataViz!$X137, 'Supply planning data'!$O:$O, DataViz!Y$133)+SUMIFS('Supply planning data'!$P:$P, 'Supply planning data'!$C:$C, DataViz!$X137, 'Supply planning data'!$Q:$Q, DataViz!Y$133))&gt;0,ABS(SUMIFS('Supply planning data'!$N:$N, 'Supply planning data'!$C:$C, DataViz!$X137, 'Supply planning data'!$O:$O, DataViz!Y$133)+SUMIFS('Supply planning data'!$P:$P, 'Supply planning data'!$C:$C, DataViz!$X137, 'Supply planning data'!$Q:$Q, DataViz!Y$133)),NA())</f>
        <v>#N/A</v>
      </c>
      <c r="Z137" s="41" t="e">
        <f>IF(ABS(SUMIFS('Supply planning data'!$N:$N, 'Supply planning data'!$C:$C, DataViz!$X137, 'Supply planning data'!$O:$O, DataViz!Z$133)+SUMIFS('Supply planning data'!$P:$P, 'Supply planning data'!$C:$C, DataViz!$X137, 'Supply planning data'!$Q:$Q, DataViz!Z$133))&gt;0,ABS(SUMIFS('Supply planning data'!$N:$N, 'Supply planning data'!$C:$C, DataViz!$X137, 'Supply planning data'!$O:$O, DataViz!Z$133)+SUMIFS('Supply planning data'!$P:$P, 'Supply planning data'!$C:$C, DataViz!$X137, 'Supply planning data'!$Q:$Q, DataViz!Z$133)),NA())</f>
        <v>#N/A</v>
      </c>
      <c r="AA137" s="41" t="e">
        <f>IF(ABS(SUMIFS('Supply planning data'!$N:$N, 'Supply planning data'!$C:$C, DataViz!$X137, 'Supply planning data'!$O:$O, DataViz!AA$133)+SUMIFS('Supply planning data'!$P:$P, 'Supply planning data'!$C:$C, DataViz!$X137, 'Supply planning data'!$Q:$Q, DataViz!AA$133))&gt;0,ABS(SUMIFS('Supply planning data'!$N:$N, 'Supply planning data'!$C:$C, DataViz!$X137, 'Supply planning data'!$O:$O, DataViz!AA$133)+SUMIFS('Supply planning data'!$P:$P, 'Supply planning data'!$C:$C, DataViz!$X137, 'Supply planning data'!$Q:$Q, DataViz!AA$133)),NA())</f>
        <v>#N/A</v>
      </c>
      <c r="AB137" s="41" t="e">
        <f>IF(ABS(SUMIFS('Supply planning data'!$N:$N, 'Supply planning data'!$C:$C, DataViz!$X137, 'Supply planning data'!$O:$O, DataViz!AB$133)+SUMIFS('Supply planning data'!$P:$P, 'Supply planning data'!$C:$C, DataViz!$X137, 'Supply planning data'!$Q:$Q, DataViz!AB$133))&gt;0,ABS(SUMIFS('Supply planning data'!$N:$N, 'Supply planning data'!$C:$C, DataViz!$X137, 'Supply planning data'!$O:$O, DataViz!AB$133)+SUMIFS('Supply planning data'!$P:$P, 'Supply planning data'!$C:$C, DataViz!$X137, 'Supply planning data'!$Q:$Q, DataViz!AB$133)),NA())</f>
        <v>#N/A</v>
      </c>
      <c r="AC137" s="41" t="e">
        <f>IF(ABS(SUMIFS('Supply planning data'!$N:$N, 'Supply planning data'!$C:$C, DataViz!$X137, 'Supply planning data'!$O:$O, DataViz!AC$133)+SUMIFS('Supply planning data'!$P:$P, 'Supply planning data'!$C:$C, DataViz!$X137, 'Supply planning data'!$Q:$Q, DataViz!AC$133))&gt;0,ABS(SUMIFS('Supply planning data'!$N:$N, 'Supply planning data'!$C:$C, DataViz!$X137, 'Supply planning data'!$O:$O, DataViz!AC$133)+SUMIFS('Supply planning data'!$P:$P, 'Supply planning data'!$C:$C, DataViz!$X137, 'Supply planning data'!$Q:$Q, DataViz!AC$133)),NA())</f>
        <v>#N/A</v>
      </c>
      <c r="AD137" s="41" t="e">
        <f>IF(ABS(SUMIFS('Supply planning data'!$N:$N, 'Supply planning data'!$C:$C, DataViz!$X137, 'Supply planning data'!$O:$O, DataViz!AD$133)+SUMIFS('Supply planning data'!$P:$P, 'Supply planning data'!$C:$C, DataViz!$X137, 'Supply planning data'!$Q:$Q, DataViz!AD$133))&gt;0,ABS(SUMIFS('Supply planning data'!$N:$N, 'Supply planning data'!$C:$C, DataViz!$X137, 'Supply planning data'!$O:$O, DataViz!AD$133)+SUMIFS('Supply planning data'!$P:$P, 'Supply planning data'!$C:$C, DataViz!$X137, 'Supply planning data'!$Q:$Q, DataViz!AD$133)),NA())</f>
        <v>#N/A</v>
      </c>
      <c r="AE137" s="41" t="e">
        <f>IF(ABS(SUMIFS('Supply planning data'!$N:$N, 'Supply planning data'!$C:$C, DataViz!$X137, 'Supply planning data'!$O:$O, DataViz!AE$133)+SUMIFS('Supply planning data'!$P:$P, 'Supply planning data'!$C:$C, DataViz!$X137, 'Supply planning data'!$Q:$Q, DataViz!AE$133))&gt;0,ABS(SUMIFS('Supply planning data'!$N:$N, 'Supply planning data'!$C:$C, DataViz!$X137, 'Supply planning data'!$O:$O, DataViz!AE$133)+SUMIFS('Supply planning data'!$P:$P, 'Supply planning data'!$C:$C, DataViz!$X137, 'Supply planning data'!$Q:$Q, DataViz!AE$133)),NA())</f>
        <v>#N/A</v>
      </c>
    </row>
    <row r="138" spans="14:39" x14ac:dyDescent="0.25">
      <c r="O138" t="str">
        <f>Start!C21</f>
        <v>Sinovac</v>
      </c>
      <c r="P138" s="41" t="e">
        <f>IF(COUNTIFS('Supply planning data'!$O:$O,P$133, 'Supply planning data'!$C:$C,DataViz!$O138)+COUNTIFS('Supply planning data'!$Q:$Q,P$133, 'Supply planning data'!$C:$C,DataViz!$O138)&gt;0,COUNTIFS('Supply planning data'!$O:$O,P$133, 'Supply planning data'!$C:$C,DataViz!$O138)+COUNTIFS('Supply planning data'!$Q:$Q,P$133, 'Supply planning data'!$C:$C,DataViz!$O138),NA())</f>
        <v>#N/A</v>
      </c>
      <c r="Q138" s="41" t="e">
        <f>IF(COUNTIFS('Supply planning data'!$O:$O,Q$133, 'Supply planning data'!$C:$C,DataViz!$O138)+COUNTIFS('Supply planning data'!$Q:$Q,Q$133, 'Supply planning data'!$C:$C,DataViz!$O138)&gt;0,COUNTIFS('Supply planning data'!$O:$O,Q$133, 'Supply planning data'!$C:$C,DataViz!$O138)+COUNTIFS('Supply planning data'!$Q:$Q,Q$133, 'Supply planning data'!$C:$C,DataViz!$O138),NA())</f>
        <v>#N/A</v>
      </c>
      <c r="R138" s="41" t="e">
        <f>IF(COUNTIFS('Supply planning data'!$O:$O,R$133, 'Supply planning data'!$C:$C,DataViz!$O138)+COUNTIFS('Supply planning data'!$Q:$Q,R$133, 'Supply planning data'!$C:$C,DataViz!$O138)&gt;0,COUNTIFS('Supply planning data'!$O:$O,R$133, 'Supply planning data'!$C:$C,DataViz!$O138)+COUNTIFS('Supply planning data'!$Q:$Q,R$133, 'Supply planning data'!$C:$C,DataViz!$O138),NA())</f>
        <v>#N/A</v>
      </c>
      <c r="S138" s="41" t="e">
        <f>IF(COUNTIFS('Supply planning data'!$O:$O,S$133, 'Supply planning data'!$C:$C,DataViz!$O138)+COUNTIFS('Supply planning data'!$Q:$Q,S$133, 'Supply planning data'!$C:$C,DataViz!$O138)&gt;0,COUNTIFS('Supply planning data'!$O:$O,S$133, 'Supply planning data'!$C:$C,DataViz!$O138)+COUNTIFS('Supply planning data'!$Q:$Q,S$133, 'Supply planning data'!$C:$C,DataViz!$O138),NA())</f>
        <v>#N/A</v>
      </c>
      <c r="T138" s="41" t="e">
        <f>IF(COUNTIFS('Supply planning data'!$O:$O,T$133, 'Supply planning data'!$C:$C,DataViz!$O138)+COUNTIFS('Supply planning data'!$Q:$Q,T$133, 'Supply planning data'!$C:$C,DataViz!$O138)&gt;0,COUNTIFS('Supply planning data'!$O:$O,T$133, 'Supply planning data'!$C:$C,DataViz!$O138)+COUNTIFS('Supply planning data'!$Q:$Q,T$133, 'Supply planning data'!$C:$C,DataViz!$O138),NA())</f>
        <v>#N/A</v>
      </c>
      <c r="U138" s="41" t="e">
        <f>IF(COUNTIFS('Supply planning data'!$O:$O,U$133, 'Supply planning data'!$C:$C,DataViz!$O138)+COUNTIFS('Supply planning data'!$Q:$Q,U$133, 'Supply planning data'!$C:$C,DataViz!$O138)&gt;0,COUNTIFS('Supply planning data'!$O:$O,U$133, 'Supply planning data'!$C:$C,DataViz!$O138)+COUNTIFS('Supply planning data'!$Q:$Q,U$133, 'Supply planning data'!$C:$C,DataViz!$O138),NA())</f>
        <v>#N/A</v>
      </c>
      <c r="V138" s="41" t="e">
        <f>IF(COUNTIFS('Supply planning data'!$O:$O,V$133, 'Supply planning data'!$C:$C,DataViz!$O138)+COUNTIFS('Supply planning data'!$Q:$Q,V$133, 'Supply planning data'!$C:$C,DataViz!$O138)&gt;0,COUNTIFS('Supply planning data'!$O:$O,V$133, 'Supply planning data'!$C:$C,DataViz!$O138)+COUNTIFS('Supply planning data'!$Q:$Q,V$133, 'Supply planning data'!$C:$C,DataViz!$O138),NA())</f>
        <v>#N/A</v>
      </c>
      <c r="X138" t="str">
        <f>Start!C21</f>
        <v>Sinovac</v>
      </c>
      <c r="Y138" s="41" t="e">
        <f>IF(ABS(SUMIFS('Supply planning data'!$N:$N, 'Supply planning data'!$C:$C, DataViz!$X138, 'Supply planning data'!$O:$O, DataViz!Y$133)+SUMIFS('Supply planning data'!$P:$P, 'Supply planning data'!$C:$C, DataViz!$X138, 'Supply planning data'!$Q:$Q, DataViz!Y$133))&gt;0,ABS(SUMIFS('Supply planning data'!$N:$N, 'Supply planning data'!$C:$C, DataViz!$X138, 'Supply planning data'!$O:$O, DataViz!Y$133)+SUMIFS('Supply planning data'!$P:$P, 'Supply planning data'!$C:$C, DataViz!$X138, 'Supply planning data'!$Q:$Q, DataViz!Y$133)),NA())</f>
        <v>#N/A</v>
      </c>
      <c r="Z138" s="41" t="e">
        <f>IF(ABS(SUMIFS('Supply planning data'!$N:$N, 'Supply planning data'!$C:$C, DataViz!$X138, 'Supply planning data'!$O:$O, DataViz!Z$133)+SUMIFS('Supply planning data'!$P:$P, 'Supply planning data'!$C:$C, DataViz!$X138, 'Supply planning data'!$Q:$Q, DataViz!Z$133))&gt;0,ABS(SUMIFS('Supply planning data'!$N:$N, 'Supply planning data'!$C:$C, DataViz!$X138, 'Supply planning data'!$O:$O, DataViz!Z$133)+SUMIFS('Supply planning data'!$P:$P, 'Supply planning data'!$C:$C, DataViz!$X138, 'Supply planning data'!$Q:$Q, DataViz!Z$133)),NA())</f>
        <v>#N/A</v>
      </c>
      <c r="AA138" s="41" t="e">
        <f>IF(ABS(SUMIFS('Supply planning data'!$N:$N, 'Supply planning data'!$C:$C, DataViz!$X138, 'Supply planning data'!$O:$O, DataViz!AA$133)+SUMIFS('Supply planning data'!$P:$P, 'Supply planning data'!$C:$C, DataViz!$X138, 'Supply planning data'!$Q:$Q, DataViz!AA$133))&gt;0,ABS(SUMIFS('Supply planning data'!$N:$N, 'Supply planning data'!$C:$C, DataViz!$X138, 'Supply planning data'!$O:$O, DataViz!AA$133)+SUMIFS('Supply planning data'!$P:$P, 'Supply planning data'!$C:$C, DataViz!$X138, 'Supply planning data'!$Q:$Q, DataViz!AA$133)),NA())</f>
        <v>#N/A</v>
      </c>
      <c r="AB138" s="41" t="e">
        <f>IF(ABS(SUMIFS('Supply planning data'!$N:$N, 'Supply planning data'!$C:$C, DataViz!$X138, 'Supply planning data'!$O:$O, DataViz!AB$133)+SUMIFS('Supply planning data'!$P:$P, 'Supply planning data'!$C:$C, DataViz!$X138, 'Supply planning data'!$Q:$Q, DataViz!AB$133))&gt;0,ABS(SUMIFS('Supply planning data'!$N:$N, 'Supply planning data'!$C:$C, DataViz!$X138, 'Supply planning data'!$O:$O, DataViz!AB$133)+SUMIFS('Supply planning data'!$P:$P, 'Supply planning data'!$C:$C, DataViz!$X138, 'Supply planning data'!$Q:$Q, DataViz!AB$133)),NA())</f>
        <v>#N/A</v>
      </c>
      <c r="AC138" s="41" t="e">
        <f>IF(ABS(SUMIFS('Supply planning data'!$N:$N, 'Supply planning data'!$C:$C, DataViz!$X138, 'Supply planning data'!$O:$O, DataViz!AC$133)+SUMIFS('Supply planning data'!$P:$P, 'Supply planning data'!$C:$C, DataViz!$X138, 'Supply planning data'!$Q:$Q, DataViz!AC$133))&gt;0,ABS(SUMIFS('Supply planning data'!$N:$N, 'Supply planning data'!$C:$C, DataViz!$X138, 'Supply planning data'!$O:$O, DataViz!AC$133)+SUMIFS('Supply planning data'!$P:$P, 'Supply planning data'!$C:$C, DataViz!$X138, 'Supply planning data'!$Q:$Q, DataViz!AC$133)),NA())</f>
        <v>#N/A</v>
      </c>
      <c r="AD138" s="41" t="e">
        <f>IF(ABS(SUMIFS('Supply planning data'!$N:$N, 'Supply planning data'!$C:$C, DataViz!$X138, 'Supply planning data'!$O:$O, DataViz!AD$133)+SUMIFS('Supply planning data'!$P:$P, 'Supply planning data'!$C:$C, DataViz!$X138, 'Supply planning data'!$Q:$Q, DataViz!AD$133))&gt;0,ABS(SUMIFS('Supply planning data'!$N:$N, 'Supply planning data'!$C:$C, DataViz!$X138, 'Supply planning data'!$O:$O, DataViz!AD$133)+SUMIFS('Supply planning data'!$P:$P, 'Supply planning data'!$C:$C, DataViz!$X138, 'Supply planning data'!$Q:$Q, DataViz!AD$133)),NA())</f>
        <v>#N/A</v>
      </c>
      <c r="AE138" s="41" t="e">
        <f>IF(ABS(SUMIFS('Supply planning data'!$N:$N, 'Supply planning data'!$C:$C, DataViz!$X138, 'Supply planning data'!$O:$O, DataViz!AE$133)+SUMIFS('Supply planning data'!$P:$P, 'Supply planning data'!$C:$C, DataViz!$X138, 'Supply planning data'!$Q:$Q, DataViz!AE$133))&gt;0,ABS(SUMIFS('Supply planning data'!$N:$N, 'Supply planning data'!$C:$C, DataViz!$X138, 'Supply planning data'!$O:$O, DataViz!AE$133)+SUMIFS('Supply planning data'!$P:$P, 'Supply planning data'!$C:$C, DataViz!$X138, 'Supply planning data'!$Q:$Q, DataViz!AE$133)),NA())</f>
        <v>#N/A</v>
      </c>
    </row>
    <row r="139" spans="14:39" x14ac:dyDescent="0.25">
      <c r="O139">
        <f>Start!C22</f>
        <v>0</v>
      </c>
      <c r="P139" s="41" t="e">
        <f>IF(COUNTIFS('Supply planning data'!$O:$O,P$133, 'Supply planning data'!$C:$C,DataViz!$O139)+COUNTIFS('Supply planning data'!$Q:$Q,P$133, 'Supply planning data'!$C:$C,DataViz!$O139)&gt;0,COUNTIFS('Supply planning data'!$O:$O,P$133, 'Supply planning data'!$C:$C,DataViz!$O139)+COUNTIFS('Supply planning data'!$Q:$Q,P$133, 'Supply planning data'!$C:$C,DataViz!$O139),NA())</f>
        <v>#N/A</v>
      </c>
      <c r="Q139" s="41" t="e">
        <f>IF(COUNTIFS('Supply planning data'!$O:$O,Q$133, 'Supply planning data'!$C:$C,DataViz!$O139)+COUNTIFS('Supply planning data'!$Q:$Q,Q$133, 'Supply planning data'!$C:$C,DataViz!$O139)&gt;0,COUNTIFS('Supply planning data'!$O:$O,Q$133, 'Supply planning data'!$C:$C,DataViz!$O139)+COUNTIFS('Supply planning data'!$Q:$Q,Q$133, 'Supply planning data'!$C:$C,DataViz!$O139),NA())</f>
        <v>#N/A</v>
      </c>
      <c r="R139" s="41" t="e">
        <f>IF(COUNTIFS('Supply planning data'!$O:$O,R$133, 'Supply planning data'!$C:$C,DataViz!$O139)+COUNTIFS('Supply planning data'!$Q:$Q,R$133, 'Supply planning data'!$C:$C,DataViz!$O139)&gt;0,COUNTIFS('Supply planning data'!$O:$O,R$133, 'Supply planning data'!$C:$C,DataViz!$O139)+COUNTIFS('Supply planning data'!$Q:$Q,R$133, 'Supply planning data'!$C:$C,DataViz!$O139),NA())</f>
        <v>#N/A</v>
      </c>
      <c r="S139" s="41" t="e">
        <f>IF(COUNTIFS('Supply planning data'!$O:$O,S$133, 'Supply planning data'!$C:$C,DataViz!$O139)+COUNTIFS('Supply planning data'!$Q:$Q,S$133, 'Supply planning data'!$C:$C,DataViz!$O139)&gt;0,COUNTIFS('Supply planning data'!$O:$O,S$133, 'Supply planning data'!$C:$C,DataViz!$O139)+COUNTIFS('Supply planning data'!$Q:$Q,S$133, 'Supply planning data'!$C:$C,DataViz!$O139),NA())</f>
        <v>#N/A</v>
      </c>
      <c r="T139" s="41" t="e">
        <f>IF(COUNTIFS('Supply planning data'!$O:$O,T$133, 'Supply planning data'!$C:$C,DataViz!$O139)+COUNTIFS('Supply planning data'!$Q:$Q,T$133, 'Supply planning data'!$C:$C,DataViz!$O139)&gt;0,COUNTIFS('Supply planning data'!$O:$O,T$133, 'Supply planning data'!$C:$C,DataViz!$O139)+COUNTIFS('Supply planning data'!$Q:$Q,T$133, 'Supply planning data'!$C:$C,DataViz!$O139),NA())</f>
        <v>#N/A</v>
      </c>
      <c r="U139" s="41" t="e">
        <f>IF(COUNTIFS('Supply planning data'!$O:$O,U$133, 'Supply planning data'!$C:$C,DataViz!$O139)+COUNTIFS('Supply planning data'!$Q:$Q,U$133, 'Supply planning data'!$C:$C,DataViz!$O139)&gt;0,COUNTIFS('Supply planning data'!$O:$O,U$133, 'Supply planning data'!$C:$C,DataViz!$O139)+COUNTIFS('Supply planning data'!$Q:$Q,U$133, 'Supply planning data'!$C:$C,DataViz!$O139),NA())</f>
        <v>#N/A</v>
      </c>
      <c r="V139" s="41" t="e">
        <f>IF(COUNTIFS('Supply planning data'!$O:$O,V$133, 'Supply planning data'!$C:$C,DataViz!$O139)+COUNTIFS('Supply planning data'!$Q:$Q,V$133, 'Supply planning data'!$C:$C,DataViz!$O139)&gt;0,COUNTIFS('Supply planning data'!$O:$O,V$133, 'Supply planning data'!$C:$C,DataViz!$O139)+COUNTIFS('Supply planning data'!$Q:$Q,V$133, 'Supply planning data'!$C:$C,DataViz!$O139),NA())</f>
        <v>#N/A</v>
      </c>
      <c r="X139">
        <f>Start!C22</f>
        <v>0</v>
      </c>
      <c r="Y139" s="41" t="e">
        <f>IF(ABS(SUMIFS('Supply planning data'!$N:$N, 'Supply planning data'!$C:$C, DataViz!$X139, 'Supply planning data'!$O:$O, DataViz!Y$133)+SUMIFS('Supply planning data'!$P:$P, 'Supply planning data'!$C:$C, DataViz!$X139, 'Supply planning data'!$Q:$Q, DataViz!Y$133))&gt;0,ABS(SUMIFS('Supply planning data'!$N:$N, 'Supply planning data'!$C:$C, DataViz!$X139, 'Supply planning data'!$O:$O, DataViz!Y$133)+SUMIFS('Supply planning data'!$P:$P, 'Supply planning data'!$C:$C, DataViz!$X139, 'Supply planning data'!$Q:$Q, DataViz!Y$133)),NA())</f>
        <v>#N/A</v>
      </c>
      <c r="Z139" s="41" t="e">
        <f>IF(ABS(SUMIFS('Supply planning data'!$N:$N, 'Supply planning data'!$C:$C, DataViz!$X139, 'Supply planning data'!$O:$O, DataViz!Z$133)+SUMIFS('Supply planning data'!$P:$P, 'Supply planning data'!$C:$C, DataViz!$X139, 'Supply planning data'!$Q:$Q, DataViz!Z$133))&gt;0,ABS(SUMIFS('Supply planning data'!$N:$N, 'Supply planning data'!$C:$C, DataViz!$X139, 'Supply planning data'!$O:$O, DataViz!Z$133)+SUMIFS('Supply planning data'!$P:$P, 'Supply planning data'!$C:$C, DataViz!$X139, 'Supply planning data'!$Q:$Q, DataViz!Z$133)),NA())</f>
        <v>#N/A</v>
      </c>
      <c r="AA139" s="41" t="e">
        <f>IF(ABS(SUMIFS('Supply planning data'!$N:$N, 'Supply planning data'!$C:$C, DataViz!$X139, 'Supply planning data'!$O:$O, DataViz!AA$133)+SUMIFS('Supply planning data'!$P:$P, 'Supply planning data'!$C:$C, DataViz!$X139, 'Supply planning data'!$Q:$Q, DataViz!AA$133))&gt;0,ABS(SUMIFS('Supply planning data'!$N:$N, 'Supply planning data'!$C:$C, DataViz!$X139, 'Supply planning data'!$O:$O, DataViz!AA$133)+SUMIFS('Supply planning data'!$P:$P, 'Supply planning data'!$C:$C, DataViz!$X139, 'Supply planning data'!$Q:$Q, DataViz!AA$133)),NA())</f>
        <v>#N/A</v>
      </c>
      <c r="AB139" s="41" t="e">
        <f>IF(ABS(SUMIFS('Supply planning data'!$N:$N, 'Supply planning data'!$C:$C, DataViz!$X139, 'Supply planning data'!$O:$O, DataViz!AB$133)+SUMIFS('Supply planning data'!$P:$P, 'Supply planning data'!$C:$C, DataViz!$X139, 'Supply planning data'!$Q:$Q, DataViz!AB$133))&gt;0,ABS(SUMIFS('Supply planning data'!$N:$N, 'Supply planning data'!$C:$C, DataViz!$X139, 'Supply planning data'!$O:$O, DataViz!AB$133)+SUMIFS('Supply planning data'!$P:$P, 'Supply planning data'!$C:$C, DataViz!$X139, 'Supply planning data'!$Q:$Q, DataViz!AB$133)),NA())</f>
        <v>#N/A</v>
      </c>
      <c r="AC139" s="41" t="e">
        <f>IF(ABS(SUMIFS('Supply planning data'!$N:$N, 'Supply planning data'!$C:$C, DataViz!$X139, 'Supply planning data'!$O:$O, DataViz!AC$133)+SUMIFS('Supply planning data'!$P:$P, 'Supply planning data'!$C:$C, DataViz!$X139, 'Supply planning data'!$Q:$Q, DataViz!AC$133))&gt;0,ABS(SUMIFS('Supply planning data'!$N:$N, 'Supply planning data'!$C:$C, DataViz!$X139, 'Supply planning data'!$O:$O, DataViz!AC$133)+SUMIFS('Supply planning data'!$P:$P, 'Supply planning data'!$C:$C, DataViz!$X139, 'Supply planning data'!$Q:$Q, DataViz!AC$133)),NA())</f>
        <v>#N/A</v>
      </c>
      <c r="AD139" s="41" t="e">
        <f>IF(ABS(SUMIFS('Supply planning data'!$N:$N, 'Supply planning data'!$C:$C, DataViz!$X139, 'Supply planning data'!$O:$O, DataViz!AD$133)+SUMIFS('Supply planning data'!$P:$P, 'Supply planning data'!$C:$C, DataViz!$X139, 'Supply planning data'!$Q:$Q, DataViz!AD$133))&gt;0,ABS(SUMIFS('Supply planning data'!$N:$N, 'Supply planning data'!$C:$C, DataViz!$X139, 'Supply planning data'!$O:$O, DataViz!AD$133)+SUMIFS('Supply planning data'!$P:$P, 'Supply planning data'!$C:$C, DataViz!$X139, 'Supply planning data'!$Q:$Q, DataViz!AD$133)),NA())</f>
        <v>#N/A</v>
      </c>
      <c r="AE139" s="41" t="e">
        <f>IF(ABS(SUMIFS('Supply planning data'!$N:$N, 'Supply planning data'!$C:$C, DataViz!$X139, 'Supply planning data'!$O:$O, DataViz!AE$133)+SUMIFS('Supply planning data'!$P:$P, 'Supply planning data'!$C:$C, DataViz!$X139, 'Supply planning data'!$Q:$Q, DataViz!AE$133))&gt;0,ABS(SUMIFS('Supply planning data'!$N:$N, 'Supply planning data'!$C:$C, DataViz!$X139, 'Supply planning data'!$O:$O, DataViz!AE$133)+SUMIFS('Supply planning data'!$P:$P, 'Supply planning data'!$C:$C, DataViz!$X139, 'Supply planning data'!$Q:$Q, DataViz!AE$133)),NA())</f>
        <v>#N/A</v>
      </c>
    </row>
    <row r="140" spans="14:39" x14ac:dyDescent="0.25">
      <c r="O140">
        <f>Start!C23</f>
        <v>0</v>
      </c>
      <c r="P140" s="41" t="e">
        <f>IF(COUNTIFS('Supply planning data'!$O:$O,P$133, 'Supply planning data'!$C:$C,DataViz!$O140)+COUNTIFS('Supply planning data'!$Q:$Q,P$133, 'Supply planning data'!$C:$C,DataViz!$O140)&gt;0,COUNTIFS('Supply planning data'!$O:$O,P$133, 'Supply planning data'!$C:$C,DataViz!$O140)+COUNTIFS('Supply planning data'!$Q:$Q,P$133, 'Supply planning data'!$C:$C,DataViz!$O140),NA())</f>
        <v>#N/A</v>
      </c>
      <c r="Q140" s="41" t="e">
        <f>IF(COUNTIFS('Supply planning data'!$O:$O,Q$133, 'Supply planning data'!$C:$C,DataViz!$O140)+COUNTIFS('Supply planning data'!$Q:$Q,Q$133, 'Supply planning data'!$C:$C,DataViz!$O140)&gt;0,COUNTIFS('Supply planning data'!$O:$O,Q$133, 'Supply planning data'!$C:$C,DataViz!$O140)+COUNTIFS('Supply planning data'!$Q:$Q,Q$133, 'Supply planning data'!$C:$C,DataViz!$O140),NA())</f>
        <v>#N/A</v>
      </c>
      <c r="R140" s="41" t="e">
        <f>IF(COUNTIFS('Supply planning data'!$O:$O,R$133, 'Supply planning data'!$C:$C,DataViz!$O140)+COUNTIFS('Supply planning data'!$Q:$Q,R$133, 'Supply planning data'!$C:$C,DataViz!$O140)&gt;0,COUNTIFS('Supply planning data'!$O:$O,R$133, 'Supply planning data'!$C:$C,DataViz!$O140)+COUNTIFS('Supply planning data'!$Q:$Q,R$133, 'Supply planning data'!$C:$C,DataViz!$O140),NA())</f>
        <v>#N/A</v>
      </c>
      <c r="S140" s="41" t="e">
        <f>IF(COUNTIFS('Supply planning data'!$O:$O,S$133, 'Supply planning data'!$C:$C,DataViz!$O140)+COUNTIFS('Supply planning data'!$Q:$Q,S$133, 'Supply planning data'!$C:$C,DataViz!$O140)&gt;0,COUNTIFS('Supply planning data'!$O:$O,S$133, 'Supply planning data'!$C:$C,DataViz!$O140)+COUNTIFS('Supply planning data'!$Q:$Q,S$133, 'Supply planning data'!$C:$C,DataViz!$O140),NA())</f>
        <v>#N/A</v>
      </c>
      <c r="T140" s="41" t="e">
        <f>IF(COUNTIFS('Supply planning data'!$O:$O,T$133, 'Supply planning data'!$C:$C,DataViz!$O140)+COUNTIFS('Supply planning data'!$Q:$Q,T$133, 'Supply planning data'!$C:$C,DataViz!$O140)&gt;0,COUNTIFS('Supply planning data'!$O:$O,T$133, 'Supply planning data'!$C:$C,DataViz!$O140)+COUNTIFS('Supply planning data'!$Q:$Q,T$133, 'Supply planning data'!$C:$C,DataViz!$O140),NA())</f>
        <v>#N/A</v>
      </c>
      <c r="U140" s="41" t="e">
        <f>IF(COUNTIFS('Supply planning data'!$O:$O,U$133, 'Supply planning data'!$C:$C,DataViz!$O140)+COUNTIFS('Supply planning data'!$Q:$Q,U$133, 'Supply planning data'!$C:$C,DataViz!$O140)&gt;0,COUNTIFS('Supply planning data'!$O:$O,U$133, 'Supply planning data'!$C:$C,DataViz!$O140)+COUNTIFS('Supply planning data'!$Q:$Q,U$133, 'Supply planning data'!$C:$C,DataViz!$O140),NA())</f>
        <v>#N/A</v>
      </c>
      <c r="V140" s="41" t="e">
        <f>IF(COUNTIFS('Supply planning data'!$O:$O,V$133, 'Supply planning data'!$C:$C,DataViz!$O140)+COUNTIFS('Supply planning data'!$Q:$Q,V$133, 'Supply planning data'!$C:$C,DataViz!$O140)&gt;0,COUNTIFS('Supply planning data'!$O:$O,V$133, 'Supply planning data'!$C:$C,DataViz!$O140)+COUNTIFS('Supply planning data'!$Q:$Q,V$133, 'Supply planning data'!$C:$C,DataViz!$O140),NA())</f>
        <v>#N/A</v>
      </c>
      <c r="X140">
        <f>Start!C23</f>
        <v>0</v>
      </c>
      <c r="Y140" s="41" t="e">
        <f>IF(ABS(SUMIFS('Supply planning data'!$N:$N, 'Supply planning data'!$C:$C, DataViz!$X140, 'Supply planning data'!$O:$O, DataViz!Y$133)+SUMIFS('Supply planning data'!$P:$P, 'Supply planning data'!$C:$C, DataViz!$X140, 'Supply planning data'!$Q:$Q, DataViz!Y$133))&gt;0,ABS(SUMIFS('Supply planning data'!$N:$N, 'Supply planning data'!$C:$C, DataViz!$X140, 'Supply planning data'!$O:$O, DataViz!Y$133)+SUMIFS('Supply planning data'!$P:$P, 'Supply planning data'!$C:$C, DataViz!$X140, 'Supply planning data'!$Q:$Q, DataViz!Y$133)),NA())</f>
        <v>#N/A</v>
      </c>
      <c r="Z140" s="41" t="e">
        <f>IF(ABS(SUMIFS('Supply planning data'!$N:$N, 'Supply planning data'!$C:$C, DataViz!$X140, 'Supply planning data'!$O:$O, DataViz!Z$133)+SUMIFS('Supply planning data'!$P:$P, 'Supply planning data'!$C:$C, DataViz!$X140, 'Supply planning data'!$Q:$Q, DataViz!Z$133))&gt;0,ABS(SUMIFS('Supply planning data'!$N:$N, 'Supply planning data'!$C:$C, DataViz!$X140, 'Supply planning data'!$O:$O, DataViz!Z$133)+SUMIFS('Supply planning data'!$P:$P, 'Supply planning data'!$C:$C, DataViz!$X140, 'Supply planning data'!$Q:$Q, DataViz!Z$133)),NA())</f>
        <v>#N/A</v>
      </c>
      <c r="AA140" s="41" t="e">
        <f>IF(ABS(SUMIFS('Supply planning data'!$N:$N, 'Supply planning data'!$C:$C, DataViz!$X140, 'Supply planning data'!$O:$O, DataViz!AA$133)+SUMIFS('Supply planning data'!$P:$P, 'Supply planning data'!$C:$C, DataViz!$X140, 'Supply planning data'!$Q:$Q, DataViz!AA$133))&gt;0,ABS(SUMIFS('Supply planning data'!$N:$N, 'Supply planning data'!$C:$C, DataViz!$X140, 'Supply planning data'!$O:$O, DataViz!AA$133)+SUMIFS('Supply planning data'!$P:$P, 'Supply planning data'!$C:$C, DataViz!$X140, 'Supply planning data'!$Q:$Q, DataViz!AA$133)),NA())</f>
        <v>#N/A</v>
      </c>
      <c r="AB140" s="41" t="e">
        <f>IF(ABS(SUMIFS('Supply planning data'!$N:$N, 'Supply planning data'!$C:$C, DataViz!$X140, 'Supply planning data'!$O:$O, DataViz!AB$133)+SUMIFS('Supply planning data'!$P:$P, 'Supply planning data'!$C:$C, DataViz!$X140, 'Supply planning data'!$Q:$Q, DataViz!AB$133))&gt;0,ABS(SUMIFS('Supply planning data'!$N:$N, 'Supply planning data'!$C:$C, DataViz!$X140, 'Supply planning data'!$O:$O, DataViz!AB$133)+SUMIFS('Supply planning data'!$P:$P, 'Supply planning data'!$C:$C, DataViz!$X140, 'Supply planning data'!$Q:$Q, DataViz!AB$133)),NA())</f>
        <v>#N/A</v>
      </c>
      <c r="AC140" s="41" t="e">
        <f>IF(ABS(SUMIFS('Supply planning data'!$N:$N, 'Supply planning data'!$C:$C, DataViz!$X140, 'Supply planning data'!$O:$O, DataViz!AC$133)+SUMIFS('Supply planning data'!$P:$P, 'Supply planning data'!$C:$C, DataViz!$X140, 'Supply planning data'!$Q:$Q, DataViz!AC$133))&gt;0,ABS(SUMIFS('Supply planning data'!$N:$N, 'Supply planning data'!$C:$C, DataViz!$X140, 'Supply planning data'!$O:$O, DataViz!AC$133)+SUMIFS('Supply planning data'!$P:$P, 'Supply planning data'!$C:$C, DataViz!$X140, 'Supply planning data'!$Q:$Q, DataViz!AC$133)),NA())</f>
        <v>#N/A</v>
      </c>
      <c r="AD140" s="41" t="e">
        <f>IF(ABS(SUMIFS('Supply planning data'!$N:$N, 'Supply planning data'!$C:$C, DataViz!$X140, 'Supply planning data'!$O:$O, DataViz!AD$133)+SUMIFS('Supply planning data'!$P:$P, 'Supply planning data'!$C:$C, DataViz!$X140, 'Supply planning data'!$Q:$Q, DataViz!AD$133))&gt;0,ABS(SUMIFS('Supply planning data'!$N:$N, 'Supply planning data'!$C:$C, DataViz!$X140, 'Supply planning data'!$O:$O, DataViz!AD$133)+SUMIFS('Supply planning data'!$P:$P, 'Supply planning data'!$C:$C, DataViz!$X140, 'Supply planning data'!$Q:$Q, DataViz!AD$133)),NA())</f>
        <v>#N/A</v>
      </c>
      <c r="AE140" s="41" t="e">
        <f>IF(ABS(SUMIFS('Supply planning data'!$N:$N, 'Supply planning data'!$C:$C, DataViz!$X140, 'Supply planning data'!$O:$O, DataViz!AE$133)+SUMIFS('Supply planning data'!$P:$P, 'Supply planning data'!$C:$C, DataViz!$X140, 'Supply planning data'!$Q:$Q, DataViz!AE$133))&gt;0,ABS(SUMIFS('Supply planning data'!$N:$N, 'Supply planning data'!$C:$C, DataViz!$X140, 'Supply planning data'!$O:$O, DataViz!AE$133)+SUMIFS('Supply planning data'!$P:$P, 'Supply planning data'!$C:$C, DataViz!$X140, 'Supply planning data'!$Q:$Q, DataViz!AE$133)),NA())</f>
        <v>#N/A</v>
      </c>
    </row>
    <row r="141" spans="14:39" x14ac:dyDescent="0.25">
      <c r="O141">
        <f>Start!C24</f>
        <v>0</v>
      </c>
      <c r="P141" s="41" t="e">
        <f>IF(COUNTIFS('Supply planning data'!$O:$O,P$133, 'Supply planning data'!$C:$C,DataViz!$O141)+COUNTIFS('Supply planning data'!$Q:$Q,P$133, 'Supply planning data'!$C:$C,DataViz!$O141)&gt;0,COUNTIFS('Supply planning data'!$O:$O,P$133, 'Supply planning data'!$C:$C,DataViz!$O141)+COUNTIFS('Supply planning data'!$Q:$Q,P$133, 'Supply planning data'!$C:$C,DataViz!$O141),NA())</f>
        <v>#N/A</v>
      </c>
      <c r="Q141" s="41" t="e">
        <f>IF(COUNTIFS('Supply planning data'!$O:$O,Q$133, 'Supply planning data'!$C:$C,DataViz!$O141)+COUNTIFS('Supply planning data'!$Q:$Q,Q$133, 'Supply planning data'!$C:$C,DataViz!$O141)&gt;0,COUNTIFS('Supply planning data'!$O:$O,Q$133, 'Supply planning data'!$C:$C,DataViz!$O141)+COUNTIFS('Supply planning data'!$Q:$Q,Q$133, 'Supply planning data'!$C:$C,DataViz!$O141),NA())</f>
        <v>#N/A</v>
      </c>
      <c r="R141" s="41" t="e">
        <f>IF(COUNTIFS('Supply planning data'!$O:$O,R$133, 'Supply planning data'!$C:$C,DataViz!$O141)+COUNTIFS('Supply planning data'!$Q:$Q,R$133, 'Supply planning data'!$C:$C,DataViz!$O141)&gt;0,COUNTIFS('Supply planning data'!$O:$O,R$133, 'Supply planning data'!$C:$C,DataViz!$O141)+COUNTIFS('Supply planning data'!$Q:$Q,R$133, 'Supply planning data'!$C:$C,DataViz!$O141),NA())</f>
        <v>#N/A</v>
      </c>
      <c r="S141" s="41" t="e">
        <f>IF(COUNTIFS('Supply planning data'!$O:$O,S$133, 'Supply planning data'!$C:$C,DataViz!$O141)+COUNTIFS('Supply planning data'!$Q:$Q,S$133, 'Supply planning data'!$C:$C,DataViz!$O141)&gt;0,COUNTIFS('Supply planning data'!$O:$O,S$133, 'Supply planning data'!$C:$C,DataViz!$O141)+COUNTIFS('Supply planning data'!$Q:$Q,S$133, 'Supply planning data'!$C:$C,DataViz!$O141),NA())</f>
        <v>#N/A</v>
      </c>
      <c r="T141" s="41" t="e">
        <f>IF(COUNTIFS('Supply planning data'!$O:$O,T$133, 'Supply planning data'!$C:$C,DataViz!$O141)+COUNTIFS('Supply planning data'!$Q:$Q,T$133, 'Supply planning data'!$C:$C,DataViz!$O141)&gt;0,COUNTIFS('Supply planning data'!$O:$O,T$133, 'Supply planning data'!$C:$C,DataViz!$O141)+COUNTIFS('Supply planning data'!$Q:$Q,T$133, 'Supply planning data'!$C:$C,DataViz!$O141),NA())</f>
        <v>#N/A</v>
      </c>
      <c r="U141" s="41" t="e">
        <f>IF(COUNTIFS('Supply planning data'!$O:$O,U$133, 'Supply planning data'!$C:$C,DataViz!$O141)+COUNTIFS('Supply planning data'!$Q:$Q,U$133, 'Supply planning data'!$C:$C,DataViz!$O141)&gt;0,COUNTIFS('Supply planning data'!$O:$O,U$133, 'Supply planning data'!$C:$C,DataViz!$O141)+COUNTIFS('Supply planning data'!$Q:$Q,U$133, 'Supply planning data'!$C:$C,DataViz!$O141),NA())</f>
        <v>#N/A</v>
      </c>
      <c r="V141" s="41" t="e">
        <f>IF(COUNTIFS('Supply planning data'!$O:$O,V$133, 'Supply planning data'!$C:$C,DataViz!$O141)+COUNTIFS('Supply planning data'!$Q:$Q,V$133, 'Supply planning data'!$C:$C,DataViz!$O141)&gt;0,COUNTIFS('Supply planning data'!$O:$O,V$133, 'Supply planning data'!$C:$C,DataViz!$O141)+COUNTIFS('Supply planning data'!$Q:$Q,V$133, 'Supply planning data'!$C:$C,DataViz!$O141),NA())</f>
        <v>#N/A</v>
      </c>
      <c r="X141">
        <f>Start!C24</f>
        <v>0</v>
      </c>
      <c r="Y141" s="41" t="e">
        <f>IF(ABS(SUMIFS('Supply planning data'!$N:$N, 'Supply planning data'!$C:$C, DataViz!$X141, 'Supply planning data'!$O:$O, DataViz!Y$133)+SUMIFS('Supply planning data'!$P:$P, 'Supply planning data'!$C:$C, DataViz!$X141, 'Supply planning data'!$Q:$Q, DataViz!Y$133))&gt;0,ABS(SUMIFS('Supply planning data'!$N:$N, 'Supply planning data'!$C:$C, DataViz!$X141, 'Supply planning data'!$O:$O, DataViz!Y$133)+SUMIFS('Supply planning data'!$P:$P, 'Supply planning data'!$C:$C, DataViz!$X141, 'Supply planning data'!$Q:$Q, DataViz!Y$133)),NA())</f>
        <v>#N/A</v>
      </c>
      <c r="Z141" s="41" t="e">
        <f>IF(ABS(SUMIFS('Supply planning data'!$N:$N, 'Supply planning data'!$C:$C, DataViz!$X141, 'Supply planning data'!$O:$O, DataViz!Z$133)+SUMIFS('Supply planning data'!$P:$P, 'Supply planning data'!$C:$C, DataViz!$X141, 'Supply planning data'!$Q:$Q, DataViz!Z$133))&gt;0,ABS(SUMIFS('Supply planning data'!$N:$N, 'Supply planning data'!$C:$C, DataViz!$X141, 'Supply planning data'!$O:$O, DataViz!Z$133)+SUMIFS('Supply planning data'!$P:$P, 'Supply planning data'!$C:$C, DataViz!$X141, 'Supply planning data'!$Q:$Q, DataViz!Z$133)),NA())</f>
        <v>#N/A</v>
      </c>
      <c r="AA141" s="41" t="e">
        <f>IF(ABS(SUMIFS('Supply planning data'!$N:$N, 'Supply planning data'!$C:$C, DataViz!$X141, 'Supply planning data'!$O:$O, DataViz!AA$133)+SUMIFS('Supply planning data'!$P:$P, 'Supply planning data'!$C:$C, DataViz!$X141, 'Supply planning data'!$Q:$Q, DataViz!AA$133))&gt;0,ABS(SUMIFS('Supply planning data'!$N:$N, 'Supply planning data'!$C:$C, DataViz!$X141, 'Supply planning data'!$O:$O, DataViz!AA$133)+SUMIFS('Supply planning data'!$P:$P, 'Supply planning data'!$C:$C, DataViz!$X141, 'Supply planning data'!$Q:$Q, DataViz!AA$133)),NA())</f>
        <v>#N/A</v>
      </c>
      <c r="AB141" s="41" t="e">
        <f>IF(ABS(SUMIFS('Supply planning data'!$N:$N, 'Supply planning data'!$C:$C, DataViz!$X141, 'Supply planning data'!$O:$O, DataViz!AB$133)+SUMIFS('Supply planning data'!$P:$P, 'Supply planning data'!$C:$C, DataViz!$X141, 'Supply planning data'!$Q:$Q, DataViz!AB$133))&gt;0,ABS(SUMIFS('Supply planning data'!$N:$N, 'Supply planning data'!$C:$C, DataViz!$X141, 'Supply planning data'!$O:$O, DataViz!AB$133)+SUMIFS('Supply planning data'!$P:$P, 'Supply planning data'!$C:$C, DataViz!$X141, 'Supply planning data'!$Q:$Q, DataViz!AB$133)),NA())</f>
        <v>#N/A</v>
      </c>
      <c r="AC141" s="41" t="e">
        <f>IF(ABS(SUMIFS('Supply planning data'!$N:$N, 'Supply planning data'!$C:$C, DataViz!$X141, 'Supply planning data'!$O:$O, DataViz!AC$133)+SUMIFS('Supply planning data'!$P:$P, 'Supply planning data'!$C:$C, DataViz!$X141, 'Supply planning data'!$Q:$Q, DataViz!AC$133))&gt;0,ABS(SUMIFS('Supply planning data'!$N:$N, 'Supply planning data'!$C:$C, DataViz!$X141, 'Supply planning data'!$O:$O, DataViz!AC$133)+SUMIFS('Supply planning data'!$P:$P, 'Supply planning data'!$C:$C, DataViz!$X141, 'Supply planning data'!$Q:$Q, DataViz!AC$133)),NA())</f>
        <v>#N/A</v>
      </c>
      <c r="AD141" s="41" t="e">
        <f>IF(ABS(SUMIFS('Supply planning data'!$N:$N, 'Supply planning data'!$C:$C, DataViz!$X141, 'Supply planning data'!$O:$O, DataViz!AD$133)+SUMIFS('Supply planning data'!$P:$P, 'Supply planning data'!$C:$C, DataViz!$X141, 'Supply planning data'!$Q:$Q, DataViz!AD$133))&gt;0,ABS(SUMIFS('Supply planning data'!$N:$N, 'Supply planning data'!$C:$C, DataViz!$X141, 'Supply planning data'!$O:$O, DataViz!AD$133)+SUMIFS('Supply planning data'!$P:$P, 'Supply planning data'!$C:$C, DataViz!$X141, 'Supply planning data'!$Q:$Q, DataViz!AD$133)),NA())</f>
        <v>#N/A</v>
      </c>
      <c r="AE141" s="41" t="e">
        <f>IF(ABS(SUMIFS('Supply planning data'!$N:$N, 'Supply planning data'!$C:$C, DataViz!$X141, 'Supply planning data'!$O:$O, DataViz!AE$133)+SUMIFS('Supply planning data'!$P:$P, 'Supply planning data'!$C:$C, DataViz!$X141, 'Supply planning data'!$Q:$Q, DataViz!AE$133))&gt;0,ABS(SUMIFS('Supply planning data'!$N:$N, 'Supply planning data'!$C:$C, DataViz!$X141, 'Supply planning data'!$O:$O, DataViz!AE$133)+SUMIFS('Supply planning data'!$P:$P, 'Supply planning data'!$C:$C, DataViz!$X141, 'Supply planning data'!$Q:$Q, DataViz!AE$133)),NA())</f>
        <v>#N/A</v>
      </c>
    </row>
    <row r="142" spans="14:39" x14ac:dyDescent="0.25">
      <c r="O142">
        <f>Start!C25</f>
        <v>0</v>
      </c>
      <c r="P142" s="41" t="e">
        <f>IF(COUNTIFS('Supply planning data'!$O:$O,P$133, 'Supply planning data'!$C:$C,DataViz!$O142)+COUNTIFS('Supply planning data'!$Q:$Q,P$133, 'Supply planning data'!$C:$C,DataViz!$O142)&gt;0,COUNTIFS('Supply planning data'!$O:$O,P$133, 'Supply planning data'!$C:$C,DataViz!$O142)+COUNTIFS('Supply planning data'!$Q:$Q,P$133, 'Supply planning data'!$C:$C,DataViz!$O142),NA())</f>
        <v>#N/A</v>
      </c>
      <c r="Q142" s="41" t="e">
        <f>IF(COUNTIFS('Supply planning data'!$O:$O,Q$133, 'Supply planning data'!$C:$C,DataViz!$O142)+COUNTIFS('Supply planning data'!$Q:$Q,Q$133, 'Supply planning data'!$C:$C,DataViz!$O142)&gt;0,COUNTIFS('Supply planning data'!$O:$O,Q$133, 'Supply planning data'!$C:$C,DataViz!$O142)+COUNTIFS('Supply planning data'!$Q:$Q,Q$133, 'Supply planning data'!$C:$C,DataViz!$O142),NA())</f>
        <v>#N/A</v>
      </c>
      <c r="R142" s="41" t="e">
        <f>IF(COUNTIFS('Supply planning data'!$O:$O,R$133, 'Supply planning data'!$C:$C,DataViz!$O142)+COUNTIFS('Supply planning data'!$Q:$Q,R$133, 'Supply planning data'!$C:$C,DataViz!$O142)&gt;0,COUNTIFS('Supply planning data'!$O:$O,R$133, 'Supply planning data'!$C:$C,DataViz!$O142)+COUNTIFS('Supply planning data'!$Q:$Q,R$133, 'Supply planning data'!$C:$C,DataViz!$O142),NA())</f>
        <v>#N/A</v>
      </c>
      <c r="S142" s="41" t="e">
        <f>IF(COUNTIFS('Supply planning data'!$O:$O,S$133, 'Supply planning data'!$C:$C,DataViz!$O142)+COUNTIFS('Supply planning data'!$Q:$Q,S$133, 'Supply planning data'!$C:$C,DataViz!$O142)&gt;0,COUNTIFS('Supply planning data'!$O:$O,S$133, 'Supply planning data'!$C:$C,DataViz!$O142)+COUNTIFS('Supply planning data'!$Q:$Q,S$133, 'Supply planning data'!$C:$C,DataViz!$O142),NA())</f>
        <v>#N/A</v>
      </c>
      <c r="T142" s="41" t="e">
        <f>IF(COUNTIFS('Supply planning data'!$O:$O,T$133, 'Supply planning data'!$C:$C,DataViz!$O142)+COUNTIFS('Supply planning data'!$Q:$Q,T$133, 'Supply planning data'!$C:$C,DataViz!$O142)&gt;0,COUNTIFS('Supply planning data'!$O:$O,T$133, 'Supply planning data'!$C:$C,DataViz!$O142)+COUNTIFS('Supply planning data'!$Q:$Q,T$133, 'Supply planning data'!$C:$C,DataViz!$O142),NA())</f>
        <v>#N/A</v>
      </c>
      <c r="U142" s="41" t="e">
        <f>IF(COUNTIFS('Supply planning data'!$O:$O,U$133, 'Supply planning data'!$C:$C,DataViz!$O142)+COUNTIFS('Supply planning data'!$Q:$Q,U$133, 'Supply planning data'!$C:$C,DataViz!$O142)&gt;0,COUNTIFS('Supply planning data'!$O:$O,U$133, 'Supply planning data'!$C:$C,DataViz!$O142)+COUNTIFS('Supply planning data'!$Q:$Q,U$133, 'Supply planning data'!$C:$C,DataViz!$O142),NA())</f>
        <v>#N/A</v>
      </c>
      <c r="V142" s="41" t="e">
        <f>IF(COUNTIFS('Supply planning data'!$O:$O,V$133, 'Supply planning data'!$C:$C,DataViz!$O142)+COUNTIFS('Supply planning data'!$Q:$Q,V$133, 'Supply planning data'!$C:$C,DataViz!$O142)&gt;0,COUNTIFS('Supply planning data'!$O:$O,V$133, 'Supply planning data'!$C:$C,DataViz!$O142)+COUNTIFS('Supply planning data'!$Q:$Q,V$133, 'Supply planning data'!$C:$C,DataViz!$O142),NA())</f>
        <v>#N/A</v>
      </c>
      <c r="X142">
        <f>Start!C25</f>
        <v>0</v>
      </c>
      <c r="Y142" s="41" t="e">
        <f>IF(ABS(SUMIFS('Supply planning data'!$N:$N, 'Supply planning data'!$C:$C, DataViz!$X142, 'Supply planning data'!$O:$O, DataViz!Y$133)+SUMIFS('Supply planning data'!$P:$P, 'Supply planning data'!$C:$C, DataViz!$X142, 'Supply planning data'!$Q:$Q, DataViz!Y$133))&gt;0,ABS(SUMIFS('Supply planning data'!$N:$N, 'Supply planning data'!$C:$C, DataViz!$X142, 'Supply planning data'!$O:$O, DataViz!Y$133)+SUMIFS('Supply planning data'!$P:$P, 'Supply planning data'!$C:$C, DataViz!$X142, 'Supply planning data'!$Q:$Q, DataViz!Y$133)),NA())</f>
        <v>#N/A</v>
      </c>
      <c r="Z142" s="41" t="e">
        <f>IF(ABS(SUMIFS('Supply planning data'!$N:$N, 'Supply planning data'!$C:$C, DataViz!$X142, 'Supply planning data'!$O:$O, DataViz!Z$133)+SUMIFS('Supply planning data'!$P:$P, 'Supply planning data'!$C:$C, DataViz!$X142, 'Supply planning data'!$Q:$Q, DataViz!Z$133))&gt;0,ABS(SUMIFS('Supply planning data'!$N:$N, 'Supply planning data'!$C:$C, DataViz!$X142, 'Supply planning data'!$O:$O, DataViz!Z$133)+SUMIFS('Supply planning data'!$P:$P, 'Supply planning data'!$C:$C, DataViz!$X142, 'Supply planning data'!$Q:$Q, DataViz!Z$133)),NA())</f>
        <v>#N/A</v>
      </c>
      <c r="AA142" s="41" t="e">
        <f>IF(ABS(SUMIFS('Supply planning data'!$N:$N, 'Supply planning data'!$C:$C, DataViz!$X142, 'Supply planning data'!$O:$O, DataViz!AA$133)+SUMIFS('Supply planning data'!$P:$P, 'Supply planning data'!$C:$C, DataViz!$X142, 'Supply planning data'!$Q:$Q, DataViz!AA$133))&gt;0,ABS(SUMIFS('Supply planning data'!$N:$N, 'Supply planning data'!$C:$C, DataViz!$X142, 'Supply planning data'!$O:$O, DataViz!AA$133)+SUMIFS('Supply planning data'!$P:$P, 'Supply planning data'!$C:$C, DataViz!$X142, 'Supply planning data'!$Q:$Q, DataViz!AA$133)),NA())</f>
        <v>#N/A</v>
      </c>
      <c r="AB142" s="41" t="e">
        <f>IF(ABS(SUMIFS('Supply planning data'!$N:$N, 'Supply planning data'!$C:$C, DataViz!$X142, 'Supply planning data'!$O:$O, DataViz!AB$133)+SUMIFS('Supply planning data'!$P:$P, 'Supply planning data'!$C:$C, DataViz!$X142, 'Supply planning data'!$Q:$Q, DataViz!AB$133))&gt;0,ABS(SUMIFS('Supply planning data'!$N:$N, 'Supply planning data'!$C:$C, DataViz!$X142, 'Supply planning data'!$O:$O, DataViz!AB$133)+SUMIFS('Supply planning data'!$P:$P, 'Supply planning data'!$C:$C, DataViz!$X142, 'Supply planning data'!$Q:$Q, DataViz!AB$133)),NA())</f>
        <v>#N/A</v>
      </c>
      <c r="AC142" s="41" t="e">
        <f>IF(ABS(SUMIFS('Supply planning data'!$N:$N, 'Supply planning data'!$C:$C, DataViz!$X142, 'Supply planning data'!$O:$O, DataViz!AC$133)+SUMIFS('Supply planning data'!$P:$P, 'Supply planning data'!$C:$C, DataViz!$X142, 'Supply planning data'!$Q:$Q, DataViz!AC$133))&gt;0,ABS(SUMIFS('Supply planning data'!$N:$N, 'Supply planning data'!$C:$C, DataViz!$X142, 'Supply planning data'!$O:$O, DataViz!AC$133)+SUMIFS('Supply planning data'!$P:$P, 'Supply planning data'!$C:$C, DataViz!$X142, 'Supply planning data'!$Q:$Q, DataViz!AC$133)),NA())</f>
        <v>#N/A</v>
      </c>
      <c r="AD142" s="41" t="e">
        <f>IF(ABS(SUMIFS('Supply planning data'!$N:$N, 'Supply planning data'!$C:$C, DataViz!$X142, 'Supply planning data'!$O:$O, DataViz!AD$133)+SUMIFS('Supply planning data'!$P:$P, 'Supply planning data'!$C:$C, DataViz!$X142, 'Supply planning data'!$Q:$Q, DataViz!AD$133))&gt;0,ABS(SUMIFS('Supply planning data'!$N:$N, 'Supply planning data'!$C:$C, DataViz!$X142, 'Supply planning data'!$O:$O, DataViz!AD$133)+SUMIFS('Supply planning data'!$P:$P, 'Supply planning data'!$C:$C, DataViz!$X142, 'Supply planning data'!$Q:$Q, DataViz!AD$133)),NA())</f>
        <v>#N/A</v>
      </c>
      <c r="AE142" s="41" t="e">
        <f>IF(ABS(SUMIFS('Supply planning data'!$N:$N, 'Supply planning data'!$C:$C, DataViz!$X142, 'Supply planning data'!$O:$O, DataViz!AE$133)+SUMIFS('Supply planning data'!$P:$P, 'Supply planning data'!$C:$C, DataViz!$X142, 'Supply planning data'!$Q:$Q, DataViz!AE$133))&gt;0,ABS(SUMIFS('Supply planning data'!$N:$N, 'Supply planning data'!$C:$C, DataViz!$X142, 'Supply planning data'!$O:$O, DataViz!AE$133)+SUMIFS('Supply planning data'!$P:$P, 'Supply planning data'!$C:$C, DataViz!$X142, 'Supply planning data'!$Q:$Q, DataViz!AE$133)),NA())</f>
        <v>#N/A</v>
      </c>
    </row>
    <row r="143" spans="14:39" x14ac:dyDescent="0.25">
      <c r="O143">
        <f>Start!C26</f>
        <v>0</v>
      </c>
      <c r="P143" s="41" t="e">
        <f>IF(COUNTIFS('Supply planning data'!$O:$O,P$133, 'Supply planning data'!$C:$C,DataViz!$O143)+COUNTIFS('Supply planning data'!$Q:$Q,P$133, 'Supply planning data'!$C:$C,DataViz!$O143)&gt;0,COUNTIFS('Supply planning data'!$O:$O,P$133, 'Supply planning data'!$C:$C,DataViz!$O143)+COUNTIFS('Supply planning data'!$Q:$Q,P$133, 'Supply planning data'!$C:$C,DataViz!$O143),NA())</f>
        <v>#N/A</v>
      </c>
      <c r="Q143" s="41" t="e">
        <f>IF(COUNTIFS('Supply planning data'!$O:$O,Q$133, 'Supply planning data'!$C:$C,DataViz!$O143)+COUNTIFS('Supply planning data'!$Q:$Q,Q$133, 'Supply planning data'!$C:$C,DataViz!$O143)&gt;0,COUNTIFS('Supply planning data'!$O:$O,Q$133, 'Supply planning data'!$C:$C,DataViz!$O143)+COUNTIFS('Supply planning data'!$Q:$Q,Q$133, 'Supply planning data'!$C:$C,DataViz!$O143),NA())</f>
        <v>#N/A</v>
      </c>
      <c r="R143" s="41" t="e">
        <f>IF(COUNTIFS('Supply planning data'!$O:$O,R$133, 'Supply planning data'!$C:$C,DataViz!$O143)+COUNTIFS('Supply planning data'!$Q:$Q,R$133, 'Supply planning data'!$C:$C,DataViz!$O143)&gt;0,COUNTIFS('Supply planning data'!$O:$O,R$133, 'Supply planning data'!$C:$C,DataViz!$O143)+COUNTIFS('Supply planning data'!$Q:$Q,R$133, 'Supply planning data'!$C:$C,DataViz!$O143),NA())</f>
        <v>#N/A</v>
      </c>
      <c r="S143" s="41" t="e">
        <f>IF(COUNTIFS('Supply planning data'!$O:$O,S$133, 'Supply planning data'!$C:$C,DataViz!$O143)+COUNTIFS('Supply planning data'!$Q:$Q,S$133, 'Supply planning data'!$C:$C,DataViz!$O143)&gt;0,COUNTIFS('Supply planning data'!$O:$O,S$133, 'Supply planning data'!$C:$C,DataViz!$O143)+COUNTIFS('Supply planning data'!$Q:$Q,S$133, 'Supply planning data'!$C:$C,DataViz!$O143),NA())</f>
        <v>#N/A</v>
      </c>
      <c r="T143" s="41" t="e">
        <f>IF(COUNTIFS('Supply planning data'!$O:$O,T$133, 'Supply planning data'!$C:$C,DataViz!$O143)+COUNTIFS('Supply planning data'!$Q:$Q,T$133, 'Supply planning data'!$C:$C,DataViz!$O143)&gt;0,COUNTIFS('Supply planning data'!$O:$O,T$133, 'Supply planning data'!$C:$C,DataViz!$O143)+COUNTIFS('Supply planning data'!$Q:$Q,T$133, 'Supply planning data'!$C:$C,DataViz!$O143),NA())</f>
        <v>#N/A</v>
      </c>
      <c r="U143" s="41" t="e">
        <f>IF(COUNTIFS('Supply planning data'!$O:$O,U$133, 'Supply planning data'!$C:$C,DataViz!$O143)+COUNTIFS('Supply planning data'!$Q:$Q,U$133, 'Supply planning data'!$C:$C,DataViz!$O143)&gt;0,COUNTIFS('Supply planning data'!$O:$O,U$133, 'Supply planning data'!$C:$C,DataViz!$O143)+COUNTIFS('Supply planning data'!$Q:$Q,U$133, 'Supply planning data'!$C:$C,DataViz!$O143),NA())</f>
        <v>#N/A</v>
      </c>
      <c r="V143" s="41" t="e">
        <f>IF(COUNTIFS('Supply planning data'!$O:$O,V$133, 'Supply planning data'!$C:$C,DataViz!$O143)+COUNTIFS('Supply planning data'!$Q:$Q,V$133, 'Supply planning data'!$C:$C,DataViz!$O143)&gt;0,COUNTIFS('Supply planning data'!$O:$O,V$133, 'Supply planning data'!$C:$C,DataViz!$O143)+COUNTIFS('Supply planning data'!$Q:$Q,V$133, 'Supply planning data'!$C:$C,DataViz!$O143),NA())</f>
        <v>#N/A</v>
      </c>
      <c r="X143">
        <f>Start!C26</f>
        <v>0</v>
      </c>
      <c r="Y143" s="41" t="e">
        <f>IF(ABS(SUMIFS('Supply planning data'!$N:$N, 'Supply planning data'!$C:$C, DataViz!$X143, 'Supply planning data'!$O:$O, DataViz!Y$133)+SUMIFS('Supply planning data'!$P:$P, 'Supply planning data'!$C:$C, DataViz!$X143, 'Supply planning data'!$Q:$Q, DataViz!Y$133))&gt;0,ABS(SUMIFS('Supply planning data'!$N:$N, 'Supply planning data'!$C:$C, DataViz!$X143, 'Supply planning data'!$O:$O, DataViz!Y$133)+SUMIFS('Supply planning data'!$P:$P, 'Supply planning data'!$C:$C, DataViz!$X143, 'Supply planning data'!$Q:$Q, DataViz!Y$133)),NA())</f>
        <v>#N/A</v>
      </c>
      <c r="Z143" s="41" t="e">
        <f>IF(ABS(SUMIFS('Supply planning data'!$N:$N, 'Supply planning data'!$C:$C, DataViz!$X143, 'Supply planning data'!$O:$O, DataViz!Z$133)+SUMIFS('Supply planning data'!$P:$P, 'Supply planning data'!$C:$C, DataViz!$X143, 'Supply planning data'!$Q:$Q, DataViz!Z$133))&gt;0,ABS(SUMIFS('Supply planning data'!$N:$N, 'Supply planning data'!$C:$C, DataViz!$X143, 'Supply planning data'!$O:$O, DataViz!Z$133)+SUMIFS('Supply planning data'!$P:$P, 'Supply planning data'!$C:$C, DataViz!$X143, 'Supply planning data'!$Q:$Q, DataViz!Z$133)),NA())</f>
        <v>#N/A</v>
      </c>
      <c r="AA143" s="41" t="e">
        <f>IF(ABS(SUMIFS('Supply planning data'!$N:$N, 'Supply planning data'!$C:$C, DataViz!$X143, 'Supply planning data'!$O:$O, DataViz!AA$133)+SUMIFS('Supply planning data'!$P:$P, 'Supply planning data'!$C:$C, DataViz!$X143, 'Supply planning data'!$Q:$Q, DataViz!AA$133))&gt;0,ABS(SUMIFS('Supply planning data'!$N:$N, 'Supply planning data'!$C:$C, DataViz!$X143, 'Supply planning data'!$O:$O, DataViz!AA$133)+SUMIFS('Supply planning data'!$P:$P, 'Supply planning data'!$C:$C, DataViz!$X143, 'Supply planning data'!$Q:$Q, DataViz!AA$133)),NA())</f>
        <v>#N/A</v>
      </c>
      <c r="AB143" s="41" t="e">
        <f>IF(ABS(SUMIFS('Supply planning data'!$N:$N, 'Supply planning data'!$C:$C, DataViz!$X143, 'Supply planning data'!$O:$O, DataViz!AB$133)+SUMIFS('Supply planning data'!$P:$P, 'Supply planning data'!$C:$C, DataViz!$X143, 'Supply planning data'!$Q:$Q, DataViz!AB$133))&gt;0,ABS(SUMIFS('Supply planning data'!$N:$N, 'Supply planning data'!$C:$C, DataViz!$X143, 'Supply planning data'!$O:$O, DataViz!AB$133)+SUMIFS('Supply planning data'!$P:$P, 'Supply planning data'!$C:$C, DataViz!$X143, 'Supply planning data'!$Q:$Q, DataViz!AB$133)),NA())</f>
        <v>#N/A</v>
      </c>
      <c r="AC143" s="41" t="e">
        <f>IF(ABS(SUMIFS('Supply planning data'!$N:$N, 'Supply planning data'!$C:$C, DataViz!$X143, 'Supply planning data'!$O:$O, DataViz!AC$133)+SUMIFS('Supply planning data'!$P:$P, 'Supply planning data'!$C:$C, DataViz!$X143, 'Supply planning data'!$Q:$Q, DataViz!AC$133))&gt;0,ABS(SUMIFS('Supply planning data'!$N:$N, 'Supply planning data'!$C:$C, DataViz!$X143, 'Supply planning data'!$O:$O, DataViz!AC$133)+SUMIFS('Supply planning data'!$P:$P, 'Supply planning data'!$C:$C, DataViz!$X143, 'Supply planning data'!$Q:$Q, DataViz!AC$133)),NA())</f>
        <v>#N/A</v>
      </c>
      <c r="AD143" s="41" t="e">
        <f>IF(ABS(SUMIFS('Supply planning data'!$N:$N, 'Supply planning data'!$C:$C, DataViz!$X143, 'Supply planning data'!$O:$O, DataViz!AD$133)+SUMIFS('Supply planning data'!$P:$P, 'Supply planning data'!$C:$C, DataViz!$X143, 'Supply planning data'!$Q:$Q, DataViz!AD$133))&gt;0,ABS(SUMIFS('Supply planning data'!$N:$N, 'Supply planning data'!$C:$C, DataViz!$X143, 'Supply planning data'!$O:$O, DataViz!AD$133)+SUMIFS('Supply planning data'!$P:$P, 'Supply planning data'!$C:$C, DataViz!$X143, 'Supply planning data'!$Q:$Q, DataViz!AD$133)),NA())</f>
        <v>#N/A</v>
      </c>
      <c r="AE143" s="41" t="e">
        <f>IF(ABS(SUMIFS('Supply planning data'!$N:$N, 'Supply planning data'!$C:$C, DataViz!$X143, 'Supply planning data'!$O:$O, DataViz!AE$133)+SUMIFS('Supply planning data'!$P:$P, 'Supply planning data'!$C:$C, DataViz!$X143, 'Supply planning data'!$Q:$Q, DataViz!AE$133))&gt;0,ABS(SUMIFS('Supply planning data'!$N:$N, 'Supply planning data'!$C:$C, DataViz!$X143, 'Supply planning data'!$O:$O, DataViz!AE$133)+SUMIFS('Supply planning data'!$P:$P, 'Supply planning data'!$C:$C, DataViz!$X143, 'Supply planning data'!$Q:$Q, DataViz!AE$133)),NA())</f>
        <v>#N/A</v>
      </c>
    </row>
    <row r="144" spans="14:39" x14ac:dyDescent="0.25">
      <c r="O144">
        <f>Start!C27</f>
        <v>0</v>
      </c>
      <c r="P144" s="41" t="e">
        <f>IF(COUNTIFS('Supply planning data'!$O:$O,P$133, 'Supply planning data'!$C:$C,DataViz!$O144)+COUNTIFS('Supply planning data'!$Q:$Q,P$133, 'Supply planning data'!$C:$C,DataViz!$O144)&gt;0,COUNTIFS('Supply planning data'!$O:$O,P$133, 'Supply planning data'!$C:$C,DataViz!$O144)+COUNTIFS('Supply planning data'!$Q:$Q,P$133, 'Supply planning data'!$C:$C,DataViz!$O144),NA())</f>
        <v>#N/A</v>
      </c>
      <c r="Q144" s="41" t="e">
        <f>IF(COUNTIFS('Supply planning data'!$O:$O,Q$133, 'Supply planning data'!$C:$C,DataViz!$O144)+COUNTIFS('Supply planning data'!$Q:$Q,Q$133, 'Supply planning data'!$C:$C,DataViz!$O144)&gt;0,COUNTIFS('Supply planning data'!$O:$O,Q$133, 'Supply planning data'!$C:$C,DataViz!$O144)+COUNTIFS('Supply planning data'!$Q:$Q,Q$133, 'Supply planning data'!$C:$C,DataViz!$O144),NA())</f>
        <v>#N/A</v>
      </c>
      <c r="R144" s="41" t="e">
        <f>IF(COUNTIFS('Supply planning data'!$O:$O,R$133, 'Supply planning data'!$C:$C,DataViz!$O144)+COUNTIFS('Supply planning data'!$Q:$Q,R$133, 'Supply planning data'!$C:$C,DataViz!$O144)&gt;0,COUNTIFS('Supply planning data'!$O:$O,R$133, 'Supply planning data'!$C:$C,DataViz!$O144)+COUNTIFS('Supply planning data'!$Q:$Q,R$133, 'Supply planning data'!$C:$C,DataViz!$O144),NA())</f>
        <v>#N/A</v>
      </c>
      <c r="S144" s="41" t="e">
        <f>IF(COUNTIFS('Supply planning data'!$O:$O,S$133, 'Supply planning data'!$C:$C,DataViz!$O144)+COUNTIFS('Supply planning data'!$Q:$Q,S$133, 'Supply planning data'!$C:$C,DataViz!$O144)&gt;0,COUNTIFS('Supply planning data'!$O:$O,S$133, 'Supply planning data'!$C:$C,DataViz!$O144)+COUNTIFS('Supply planning data'!$Q:$Q,S$133, 'Supply planning data'!$C:$C,DataViz!$O144),NA())</f>
        <v>#N/A</v>
      </c>
      <c r="T144" s="41" t="e">
        <f>IF(COUNTIFS('Supply planning data'!$O:$O,T$133, 'Supply planning data'!$C:$C,DataViz!$O144)+COUNTIFS('Supply planning data'!$Q:$Q,T$133, 'Supply planning data'!$C:$C,DataViz!$O144)&gt;0,COUNTIFS('Supply planning data'!$O:$O,T$133, 'Supply planning data'!$C:$C,DataViz!$O144)+COUNTIFS('Supply planning data'!$Q:$Q,T$133, 'Supply planning data'!$C:$C,DataViz!$O144),NA())</f>
        <v>#N/A</v>
      </c>
      <c r="U144" s="41" t="e">
        <f>IF(COUNTIFS('Supply planning data'!$O:$O,U$133, 'Supply planning data'!$C:$C,DataViz!$O144)+COUNTIFS('Supply planning data'!$Q:$Q,U$133, 'Supply planning data'!$C:$C,DataViz!$O144)&gt;0,COUNTIFS('Supply planning data'!$O:$O,U$133, 'Supply planning data'!$C:$C,DataViz!$O144)+COUNTIFS('Supply planning data'!$Q:$Q,U$133, 'Supply planning data'!$C:$C,DataViz!$O144),NA())</f>
        <v>#N/A</v>
      </c>
      <c r="V144" s="41" t="e">
        <f>IF(COUNTIFS('Supply planning data'!$O:$O,V$133, 'Supply planning data'!$C:$C,DataViz!$O144)+COUNTIFS('Supply planning data'!$Q:$Q,V$133, 'Supply planning data'!$C:$C,DataViz!$O144)&gt;0,COUNTIFS('Supply planning data'!$O:$O,V$133, 'Supply planning data'!$C:$C,DataViz!$O144)+COUNTIFS('Supply planning data'!$Q:$Q,V$133, 'Supply planning data'!$C:$C,DataViz!$O144),NA())</f>
        <v>#N/A</v>
      </c>
      <c r="X144">
        <f>Start!C27</f>
        <v>0</v>
      </c>
      <c r="Y144" s="41" t="e">
        <f>IF(ABS(SUMIFS('Supply planning data'!$N:$N, 'Supply planning data'!$C:$C, DataViz!$X144, 'Supply planning data'!$O:$O, DataViz!Y$133)+SUMIFS('Supply planning data'!$P:$P, 'Supply planning data'!$C:$C, DataViz!$X144, 'Supply planning data'!$Q:$Q, DataViz!Y$133))&gt;0,ABS(SUMIFS('Supply planning data'!$N:$N, 'Supply planning data'!$C:$C, DataViz!$X144, 'Supply planning data'!$O:$O, DataViz!Y$133)+SUMIFS('Supply planning data'!$P:$P, 'Supply planning data'!$C:$C, DataViz!$X144, 'Supply planning data'!$Q:$Q, DataViz!Y$133)),NA())</f>
        <v>#N/A</v>
      </c>
      <c r="Z144" s="41" t="e">
        <f>IF(ABS(SUMIFS('Supply planning data'!$N:$N, 'Supply planning data'!$C:$C, DataViz!$X144, 'Supply planning data'!$O:$O, DataViz!Z$133)+SUMIFS('Supply planning data'!$P:$P, 'Supply planning data'!$C:$C, DataViz!$X144, 'Supply planning data'!$Q:$Q, DataViz!Z$133))&gt;0,ABS(SUMIFS('Supply planning data'!$N:$N, 'Supply planning data'!$C:$C, DataViz!$X144, 'Supply planning data'!$O:$O, DataViz!Z$133)+SUMIFS('Supply planning data'!$P:$P, 'Supply planning data'!$C:$C, DataViz!$X144, 'Supply planning data'!$Q:$Q, DataViz!Z$133)),NA())</f>
        <v>#N/A</v>
      </c>
      <c r="AA144" s="41" t="e">
        <f>IF(ABS(SUMIFS('Supply planning data'!$N:$N, 'Supply planning data'!$C:$C, DataViz!$X144, 'Supply planning data'!$O:$O, DataViz!AA$133)+SUMIFS('Supply planning data'!$P:$P, 'Supply planning data'!$C:$C, DataViz!$X144, 'Supply planning data'!$Q:$Q, DataViz!AA$133))&gt;0,ABS(SUMIFS('Supply planning data'!$N:$N, 'Supply planning data'!$C:$C, DataViz!$X144, 'Supply planning data'!$O:$O, DataViz!AA$133)+SUMIFS('Supply planning data'!$P:$P, 'Supply planning data'!$C:$C, DataViz!$X144, 'Supply planning data'!$Q:$Q, DataViz!AA$133)),NA())</f>
        <v>#N/A</v>
      </c>
      <c r="AB144" s="41" t="e">
        <f>IF(ABS(SUMIFS('Supply planning data'!$N:$N, 'Supply planning data'!$C:$C, DataViz!$X144, 'Supply planning data'!$O:$O, DataViz!AB$133)+SUMIFS('Supply planning data'!$P:$P, 'Supply planning data'!$C:$C, DataViz!$X144, 'Supply planning data'!$Q:$Q, DataViz!AB$133))&gt;0,ABS(SUMIFS('Supply planning data'!$N:$N, 'Supply planning data'!$C:$C, DataViz!$X144, 'Supply planning data'!$O:$O, DataViz!AB$133)+SUMIFS('Supply planning data'!$P:$P, 'Supply planning data'!$C:$C, DataViz!$X144, 'Supply planning data'!$Q:$Q, DataViz!AB$133)),NA())</f>
        <v>#N/A</v>
      </c>
      <c r="AC144" s="41" t="e">
        <f>IF(ABS(SUMIFS('Supply planning data'!$N:$N, 'Supply planning data'!$C:$C, DataViz!$X144, 'Supply planning data'!$O:$O, DataViz!AC$133)+SUMIFS('Supply planning data'!$P:$P, 'Supply planning data'!$C:$C, DataViz!$X144, 'Supply planning data'!$Q:$Q, DataViz!AC$133))&gt;0,ABS(SUMIFS('Supply planning data'!$N:$N, 'Supply planning data'!$C:$C, DataViz!$X144, 'Supply planning data'!$O:$O, DataViz!AC$133)+SUMIFS('Supply planning data'!$P:$P, 'Supply planning data'!$C:$C, DataViz!$X144, 'Supply planning data'!$Q:$Q, DataViz!AC$133)),NA())</f>
        <v>#N/A</v>
      </c>
      <c r="AD144" s="41" t="e">
        <f>IF(ABS(SUMIFS('Supply planning data'!$N:$N, 'Supply planning data'!$C:$C, DataViz!$X144, 'Supply planning data'!$O:$O, DataViz!AD$133)+SUMIFS('Supply planning data'!$P:$P, 'Supply planning data'!$C:$C, DataViz!$X144, 'Supply planning data'!$Q:$Q, DataViz!AD$133))&gt;0,ABS(SUMIFS('Supply planning data'!$N:$N, 'Supply planning data'!$C:$C, DataViz!$X144, 'Supply planning data'!$O:$O, DataViz!AD$133)+SUMIFS('Supply planning data'!$P:$P, 'Supply planning data'!$C:$C, DataViz!$X144, 'Supply planning data'!$Q:$Q, DataViz!AD$133)),NA())</f>
        <v>#N/A</v>
      </c>
      <c r="AE144" s="41" t="e">
        <f>IF(ABS(SUMIFS('Supply planning data'!$N:$N, 'Supply planning data'!$C:$C, DataViz!$X144, 'Supply planning data'!$O:$O, DataViz!AE$133)+SUMIFS('Supply planning data'!$P:$P, 'Supply planning data'!$C:$C, DataViz!$X144, 'Supply planning data'!$Q:$Q, DataViz!AE$133))&gt;0,ABS(SUMIFS('Supply planning data'!$N:$N, 'Supply planning data'!$C:$C, DataViz!$X144, 'Supply planning data'!$O:$O, DataViz!AE$133)+SUMIFS('Supply planning data'!$P:$P, 'Supply planning data'!$C:$C, DataViz!$X144, 'Supply planning data'!$Q:$Q, DataViz!AE$133)),NA())</f>
        <v>#N/A</v>
      </c>
    </row>
    <row r="145" spans="1:51" x14ac:dyDescent="0.25">
      <c r="O145">
        <f>Start!C28</f>
        <v>0</v>
      </c>
      <c r="P145" s="41" t="e">
        <f>IF(COUNTIFS('Supply planning data'!$O:$O,P$133, 'Supply planning data'!$C:$C,DataViz!$O145)+COUNTIFS('Supply planning data'!$Q:$Q,P$133, 'Supply planning data'!$C:$C,DataViz!$O145)&gt;0,COUNTIFS('Supply planning data'!$O:$O,P$133, 'Supply planning data'!$C:$C,DataViz!$O145)+COUNTIFS('Supply planning data'!$Q:$Q,P$133, 'Supply planning data'!$C:$C,DataViz!$O145),NA())</f>
        <v>#N/A</v>
      </c>
      <c r="Q145" s="41" t="e">
        <f>IF(COUNTIFS('Supply planning data'!$O:$O,Q$133, 'Supply planning data'!$C:$C,DataViz!$O145)+COUNTIFS('Supply planning data'!$Q:$Q,Q$133, 'Supply planning data'!$C:$C,DataViz!$O145)&gt;0,COUNTIFS('Supply planning data'!$O:$O,Q$133, 'Supply planning data'!$C:$C,DataViz!$O145)+COUNTIFS('Supply planning data'!$Q:$Q,Q$133, 'Supply planning data'!$C:$C,DataViz!$O145),NA())</f>
        <v>#N/A</v>
      </c>
      <c r="R145" s="41" t="e">
        <f>IF(COUNTIFS('Supply planning data'!$O:$O,R$133, 'Supply planning data'!$C:$C,DataViz!$O145)+COUNTIFS('Supply planning data'!$Q:$Q,R$133, 'Supply planning data'!$C:$C,DataViz!$O145)&gt;0,COUNTIFS('Supply planning data'!$O:$O,R$133, 'Supply planning data'!$C:$C,DataViz!$O145)+COUNTIFS('Supply planning data'!$Q:$Q,R$133, 'Supply planning data'!$C:$C,DataViz!$O145),NA())</f>
        <v>#N/A</v>
      </c>
      <c r="S145" s="41" t="e">
        <f>IF(COUNTIFS('Supply planning data'!$O:$O,S$133, 'Supply planning data'!$C:$C,DataViz!$O145)+COUNTIFS('Supply planning data'!$Q:$Q,S$133, 'Supply planning data'!$C:$C,DataViz!$O145)&gt;0,COUNTIFS('Supply planning data'!$O:$O,S$133, 'Supply planning data'!$C:$C,DataViz!$O145)+COUNTIFS('Supply planning data'!$Q:$Q,S$133, 'Supply planning data'!$C:$C,DataViz!$O145),NA())</f>
        <v>#N/A</v>
      </c>
      <c r="T145" s="41" t="e">
        <f>IF(COUNTIFS('Supply planning data'!$O:$O,T$133, 'Supply planning data'!$C:$C,DataViz!$O145)+COUNTIFS('Supply planning data'!$Q:$Q,T$133, 'Supply planning data'!$C:$C,DataViz!$O145)&gt;0,COUNTIFS('Supply planning data'!$O:$O,T$133, 'Supply planning data'!$C:$C,DataViz!$O145)+COUNTIFS('Supply planning data'!$Q:$Q,T$133, 'Supply planning data'!$C:$C,DataViz!$O145),NA())</f>
        <v>#N/A</v>
      </c>
      <c r="U145" s="41" t="e">
        <f>IF(COUNTIFS('Supply planning data'!$O:$O,U$133, 'Supply planning data'!$C:$C,DataViz!$O145)+COUNTIFS('Supply planning data'!$Q:$Q,U$133, 'Supply planning data'!$C:$C,DataViz!$O145)&gt;0,COUNTIFS('Supply planning data'!$O:$O,U$133, 'Supply planning data'!$C:$C,DataViz!$O145)+COUNTIFS('Supply planning data'!$Q:$Q,U$133, 'Supply planning data'!$C:$C,DataViz!$O145),NA())</f>
        <v>#N/A</v>
      </c>
      <c r="V145" s="41" t="e">
        <f>IF(COUNTIFS('Supply planning data'!$O:$O,V$133, 'Supply planning data'!$C:$C,DataViz!$O145)+COUNTIFS('Supply planning data'!$Q:$Q,V$133, 'Supply planning data'!$C:$C,DataViz!$O145)&gt;0,COUNTIFS('Supply planning data'!$O:$O,V$133, 'Supply planning data'!$C:$C,DataViz!$O145)+COUNTIFS('Supply planning data'!$Q:$Q,V$133, 'Supply planning data'!$C:$C,DataViz!$O145),NA())</f>
        <v>#N/A</v>
      </c>
      <c r="X145">
        <f>Start!C28</f>
        <v>0</v>
      </c>
      <c r="Y145" s="41" t="e">
        <f>IF(ABS(SUMIFS('Supply planning data'!$N:$N, 'Supply planning data'!$C:$C, DataViz!$X145, 'Supply planning data'!$O:$O, DataViz!Y$133)+SUMIFS('Supply planning data'!$P:$P, 'Supply planning data'!$C:$C, DataViz!$X145, 'Supply planning data'!$Q:$Q, DataViz!Y$133))&gt;0,ABS(SUMIFS('Supply planning data'!$N:$N, 'Supply planning data'!$C:$C, DataViz!$X145, 'Supply planning data'!$O:$O, DataViz!Y$133)+SUMIFS('Supply planning data'!$P:$P, 'Supply planning data'!$C:$C, DataViz!$X145, 'Supply planning data'!$Q:$Q, DataViz!Y$133)),NA())</f>
        <v>#N/A</v>
      </c>
      <c r="Z145" s="41" t="e">
        <f>IF(ABS(SUMIFS('Supply planning data'!$N:$N, 'Supply planning data'!$C:$C, DataViz!$X145, 'Supply planning data'!$O:$O, DataViz!Z$133)+SUMIFS('Supply planning data'!$P:$P, 'Supply planning data'!$C:$C, DataViz!$X145, 'Supply planning data'!$Q:$Q, DataViz!Z$133))&gt;0,ABS(SUMIFS('Supply planning data'!$N:$N, 'Supply planning data'!$C:$C, DataViz!$X145, 'Supply planning data'!$O:$O, DataViz!Z$133)+SUMIFS('Supply planning data'!$P:$P, 'Supply planning data'!$C:$C, DataViz!$X145, 'Supply planning data'!$Q:$Q, DataViz!Z$133)),NA())</f>
        <v>#N/A</v>
      </c>
      <c r="AA145" s="41" t="e">
        <f>IF(ABS(SUMIFS('Supply planning data'!$N:$N, 'Supply planning data'!$C:$C, DataViz!$X145, 'Supply planning data'!$O:$O, DataViz!AA$133)+SUMIFS('Supply planning data'!$P:$P, 'Supply planning data'!$C:$C, DataViz!$X145, 'Supply planning data'!$Q:$Q, DataViz!AA$133))&gt;0,ABS(SUMIFS('Supply planning data'!$N:$N, 'Supply planning data'!$C:$C, DataViz!$X145, 'Supply planning data'!$O:$O, DataViz!AA$133)+SUMIFS('Supply planning data'!$P:$P, 'Supply planning data'!$C:$C, DataViz!$X145, 'Supply planning data'!$Q:$Q, DataViz!AA$133)),NA())</f>
        <v>#N/A</v>
      </c>
      <c r="AB145" s="41" t="e">
        <f>IF(ABS(SUMIFS('Supply planning data'!$N:$N, 'Supply planning data'!$C:$C, DataViz!$X145, 'Supply planning data'!$O:$O, DataViz!AB$133)+SUMIFS('Supply planning data'!$P:$P, 'Supply planning data'!$C:$C, DataViz!$X145, 'Supply planning data'!$Q:$Q, DataViz!AB$133))&gt;0,ABS(SUMIFS('Supply planning data'!$N:$N, 'Supply planning data'!$C:$C, DataViz!$X145, 'Supply planning data'!$O:$O, DataViz!AB$133)+SUMIFS('Supply planning data'!$P:$P, 'Supply planning data'!$C:$C, DataViz!$X145, 'Supply planning data'!$Q:$Q, DataViz!AB$133)),NA())</f>
        <v>#N/A</v>
      </c>
      <c r="AC145" s="41" t="e">
        <f>IF(ABS(SUMIFS('Supply planning data'!$N:$N, 'Supply planning data'!$C:$C, DataViz!$X145, 'Supply planning data'!$O:$O, DataViz!AC$133)+SUMIFS('Supply planning data'!$P:$P, 'Supply planning data'!$C:$C, DataViz!$X145, 'Supply planning data'!$Q:$Q, DataViz!AC$133))&gt;0,ABS(SUMIFS('Supply planning data'!$N:$N, 'Supply planning data'!$C:$C, DataViz!$X145, 'Supply planning data'!$O:$O, DataViz!AC$133)+SUMIFS('Supply planning data'!$P:$P, 'Supply planning data'!$C:$C, DataViz!$X145, 'Supply planning data'!$Q:$Q, DataViz!AC$133)),NA())</f>
        <v>#N/A</v>
      </c>
      <c r="AD145" s="41" t="e">
        <f>IF(ABS(SUMIFS('Supply planning data'!$N:$N, 'Supply planning data'!$C:$C, DataViz!$X145, 'Supply planning data'!$O:$O, DataViz!AD$133)+SUMIFS('Supply planning data'!$P:$P, 'Supply planning data'!$C:$C, DataViz!$X145, 'Supply planning data'!$Q:$Q, DataViz!AD$133))&gt;0,ABS(SUMIFS('Supply planning data'!$N:$N, 'Supply planning data'!$C:$C, DataViz!$X145, 'Supply planning data'!$O:$O, DataViz!AD$133)+SUMIFS('Supply planning data'!$P:$P, 'Supply planning data'!$C:$C, DataViz!$X145, 'Supply planning data'!$Q:$Q, DataViz!AD$133)),NA())</f>
        <v>#N/A</v>
      </c>
      <c r="AE145" s="41" t="e">
        <f>IF(ABS(SUMIFS('Supply planning data'!$N:$N, 'Supply planning data'!$C:$C, DataViz!$X145, 'Supply planning data'!$O:$O, DataViz!AE$133)+SUMIFS('Supply planning data'!$P:$P, 'Supply planning data'!$C:$C, DataViz!$X145, 'Supply planning data'!$Q:$Q, DataViz!AE$133))&gt;0,ABS(SUMIFS('Supply planning data'!$N:$N, 'Supply planning data'!$C:$C, DataViz!$X145, 'Supply planning data'!$O:$O, DataViz!AE$133)+SUMIFS('Supply planning data'!$P:$P, 'Supply planning data'!$C:$C, DataViz!$X145, 'Supply planning data'!$Q:$Q, DataViz!AE$133)),NA())</f>
        <v>#N/A</v>
      </c>
    </row>
    <row r="146" spans="1:51" x14ac:dyDescent="0.25">
      <c r="O146">
        <f>Start!C29</f>
        <v>0</v>
      </c>
      <c r="P146" s="41" t="e">
        <f>IF(COUNTIFS('Supply planning data'!$O:$O,P$133, 'Supply planning data'!$C:$C,DataViz!$O146)+COUNTIFS('Supply planning data'!$Q:$Q,P$133, 'Supply planning data'!$C:$C,DataViz!$O146)&gt;0,COUNTIFS('Supply planning data'!$O:$O,P$133, 'Supply planning data'!$C:$C,DataViz!$O146)+COUNTIFS('Supply planning data'!$Q:$Q,P$133, 'Supply planning data'!$C:$C,DataViz!$O146),NA())</f>
        <v>#N/A</v>
      </c>
      <c r="Q146" s="41" t="e">
        <f>IF(COUNTIFS('Supply planning data'!$O:$O,Q$133, 'Supply planning data'!$C:$C,DataViz!$O146)+COUNTIFS('Supply planning data'!$Q:$Q,Q$133, 'Supply planning data'!$C:$C,DataViz!$O146)&gt;0,COUNTIFS('Supply planning data'!$O:$O,Q$133, 'Supply planning data'!$C:$C,DataViz!$O146)+COUNTIFS('Supply planning data'!$Q:$Q,Q$133, 'Supply planning data'!$C:$C,DataViz!$O146),NA())</f>
        <v>#N/A</v>
      </c>
      <c r="R146" s="41" t="e">
        <f>IF(COUNTIFS('Supply planning data'!$O:$O,R$133, 'Supply planning data'!$C:$C,DataViz!$O146)+COUNTIFS('Supply planning data'!$Q:$Q,R$133, 'Supply planning data'!$C:$C,DataViz!$O146)&gt;0,COUNTIFS('Supply planning data'!$O:$O,R$133, 'Supply planning data'!$C:$C,DataViz!$O146)+COUNTIFS('Supply planning data'!$Q:$Q,R$133, 'Supply planning data'!$C:$C,DataViz!$O146),NA())</f>
        <v>#N/A</v>
      </c>
      <c r="S146" s="41" t="e">
        <f>IF(COUNTIFS('Supply planning data'!$O:$O,S$133, 'Supply planning data'!$C:$C,DataViz!$O146)+COUNTIFS('Supply planning data'!$Q:$Q,S$133, 'Supply planning data'!$C:$C,DataViz!$O146)&gt;0,COUNTIFS('Supply planning data'!$O:$O,S$133, 'Supply planning data'!$C:$C,DataViz!$O146)+COUNTIFS('Supply planning data'!$Q:$Q,S$133, 'Supply planning data'!$C:$C,DataViz!$O146),NA())</f>
        <v>#N/A</v>
      </c>
      <c r="T146" s="41" t="e">
        <f>IF(COUNTIFS('Supply planning data'!$O:$O,T$133, 'Supply planning data'!$C:$C,DataViz!$O146)+COUNTIFS('Supply planning data'!$Q:$Q,T$133, 'Supply planning data'!$C:$C,DataViz!$O146)&gt;0,COUNTIFS('Supply planning data'!$O:$O,T$133, 'Supply planning data'!$C:$C,DataViz!$O146)+COUNTIFS('Supply planning data'!$Q:$Q,T$133, 'Supply planning data'!$C:$C,DataViz!$O146),NA())</f>
        <v>#N/A</v>
      </c>
      <c r="U146" s="41" t="e">
        <f>IF(COUNTIFS('Supply planning data'!$O:$O,U$133, 'Supply planning data'!$C:$C,DataViz!$O146)+COUNTIFS('Supply planning data'!$Q:$Q,U$133, 'Supply planning data'!$C:$C,DataViz!$O146)&gt;0,COUNTIFS('Supply planning data'!$O:$O,U$133, 'Supply planning data'!$C:$C,DataViz!$O146)+COUNTIFS('Supply planning data'!$Q:$Q,U$133, 'Supply planning data'!$C:$C,DataViz!$O146),NA())</f>
        <v>#N/A</v>
      </c>
      <c r="V146" s="41" t="e">
        <f>IF(COUNTIFS('Supply planning data'!$O:$O,V$133, 'Supply planning data'!$C:$C,DataViz!$O146)+COUNTIFS('Supply planning data'!$Q:$Q,V$133, 'Supply planning data'!$C:$C,DataViz!$O146)&gt;0,COUNTIFS('Supply planning data'!$O:$O,V$133, 'Supply planning data'!$C:$C,DataViz!$O146)+COUNTIFS('Supply planning data'!$Q:$Q,V$133, 'Supply planning data'!$C:$C,DataViz!$O146),NA())</f>
        <v>#N/A</v>
      </c>
      <c r="X146">
        <f>Start!C29</f>
        <v>0</v>
      </c>
      <c r="Y146" s="41" t="e">
        <f>IF(ABS(SUMIFS('Supply planning data'!$N:$N, 'Supply planning data'!$C:$C, DataViz!$X146, 'Supply planning data'!$O:$O, DataViz!Y$133)+SUMIFS('Supply planning data'!$P:$P, 'Supply planning data'!$C:$C, DataViz!$X146, 'Supply planning data'!$Q:$Q, DataViz!Y$133))&gt;0,ABS(SUMIFS('Supply planning data'!$N:$N, 'Supply planning data'!$C:$C, DataViz!$X146, 'Supply planning data'!$O:$O, DataViz!Y$133)+SUMIFS('Supply planning data'!$P:$P, 'Supply planning data'!$C:$C, DataViz!$X146, 'Supply planning data'!$Q:$Q, DataViz!Y$133)),NA())</f>
        <v>#N/A</v>
      </c>
      <c r="Z146" s="41" t="e">
        <f>IF(ABS(SUMIFS('Supply planning data'!$N:$N, 'Supply planning data'!$C:$C, DataViz!$X146, 'Supply planning data'!$O:$O, DataViz!Z$133)+SUMIFS('Supply planning data'!$P:$P, 'Supply planning data'!$C:$C, DataViz!$X146, 'Supply planning data'!$Q:$Q, DataViz!Z$133))&gt;0,ABS(SUMIFS('Supply planning data'!$N:$N, 'Supply planning data'!$C:$C, DataViz!$X146, 'Supply planning data'!$O:$O, DataViz!Z$133)+SUMIFS('Supply planning data'!$P:$P, 'Supply planning data'!$C:$C, DataViz!$X146, 'Supply planning data'!$Q:$Q, DataViz!Z$133)),NA())</f>
        <v>#N/A</v>
      </c>
      <c r="AA146" s="41" t="e">
        <f>IF(ABS(SUMIFS('Supply planning data'!$N:$N, 'Supply planning data'!$C:$C, DataViz!$X146, 'Supply planning data'!$O:$O, DataViz!AA$133)+SUMIFS('Supply planning data'!$P:$P, 'Supply planning data'!$C:$C, DataViz!$X146, 'Supply planning data'!$Q:$Q, DataViz!AA$133))&gt;0,ABS(SUMIFS('Supply planning data'!$N:$N, 'Supply planning data'!$C:$C, DataViz!$X146, 'Supply planning data'!$O:$O, DataViz!AA$133)+SUMIFS('Supply planning data'!$P:$P, 'Supply planning data'!$C:$C, DataViz!$X146, 'Supply planning data'!$Q:$Q, DataViz!AA$133)),NA())</f>
        <v>#N/A</v>
      </c>
      <c r="AB146" s="41" t="e">
        <f>IF(ABS(SUMIFS('Supply planning data'!$N:$N, 'Supply planning data'!$C:$C, DataViz!$X146, 'Supply planning data'!$O:$O, DataViz!AB$133)+SUMIFS('Supply planning data'!$P:$P, 'Supply planning data'!$C:$C, DataViz!$X146, 'Supply planning data'!$Q:$Q, DataViz!AB$133))&gt;0,ABS(SUMIFS('Supply planning data'!$N:$N, 'Supply planning data'!$C:$C, DataViz!$X146, 'Supply planning data'!$O:$O, DataViz!AB$133)+SUMIFS('Supply planning data'!$P:$P, 'Supply planning data'!$C:$C, DataViz!$X146, 'Supply planning data'!$Q:$Q, DataViz!AB$133)),NA())</f>
        <v>#N/A</v>
      </c>
      <c r="AC146" s="41" t="e">
        <f>IF(ABS(SUMIFS('Supply planning data'!$N:$N, 'Supply planning data'!$C:$C, DataViz!$X146, 'Supply planning data'!$O:$O, DataViz!AC$133)+SUMIFS('Supply planning data'!$P:$P, 'Supply planning data'!$C:$C, DataViz!$X146, 'Supply planning data'!$Q:$Q, DataViz!AC$133))&gt;0,ABS(SUMIFS('Supply planning data'!$N:$N, 'Supply planning data'!$C:$C, DataViz!$X146, 'Supply planning data'!$O:$O, DataViz!AC$133)+SUMIFS('Supply planning data'!$P:$P, 'Supply planning data'!$C:$C, DataViz!$X146, 'Supply planning data'!$Q:$Q, DataViz!AC$133)),NA())</f>
        <v>#N/A</v>
      </c>
      <c r="AD146" s="41" t="e">
        <f>IF(ABS(SUMIFS('Supply planning data'!$N:$N, 'Supply planning data'!$C:$C, DataViz!$X146, 'Supply planning data'!$O:$O, DataViz!AD$133)+SUMIFS('Supply planning data'!$P:$P, 'Supply planning data'!$C:$C, DataViz!$X146, 'Supply planning data'!$Q:$Q, DataViz!AD$133))&gt;0,ABS(SUMIFS('Supply planning data'!$N:$N, 'Supply planning data'!$C:$C, DataViz!$X146, 'Supply planning data'!$O:$O, DataViz!AD$133)+SUMIFS('Supply planning data'!$P:$P, 'Supply planning data'!$C:$C, DataViz!$X146, 'Supply planning data'!$Q:$Q, DataViz!AD$133)),NA())</f>
        <v>#N/A</v>
      </c>
      <c r="AE146" s="41" t="e">
        <f>IF(ABS(SUMIFS('Supply planning data'!$N:$N, 'Supply planning data'!$C:$C, DataViz!$X146, 'Supply planning data'!$O:$O, DataViz!AE$133)+SUMIFS('Supply planning data'!$P:$P, 'Supply planning data'!$C:$C, DataViz!$X146, 'Supply planning data'!$Q:$Q, DataViz!AE$133))&gt;0,ABS(SUMIFS('Supply planning data'!$N:$N, 'Supply planning data'!$C:$C, DataViz!$X146, 'Supply planning data'!$O:$O, DataViz!AE$133)+SUMIFS('Supply planning data'!$P:$P, 'Supply planning data'!$C:$C, DataViz!$X146, 'Supply planning data'!$Q:$Q, DataViz!AE$133)),NA())</f>
        <v>#N/A</v>
      </c>
    </row>
    <row r="147" spans="1:51" x14ac:dyDescent="0.25">
      <c r="O147">
        <f>Start!C30</f>
        <v>0</v>
      </c>
      <c r="P147" s="41" t="e">
        <f>IF(COUNTIFS('Supply planning data'!$O:$O,P$133, 'Supply planning data'!$C:$C,DataViz!$O147)+COUNTIFS('Supply planning data'!$Q:$Q,P$133, 'Supply planning data'!$C:$C,DataViz!$O147)&gt;0,COUNTIFS('Supply planning data'!$O:$O,P$133, 'Supply planning data'!$C:$C,DataViz!$O147)+COUNTIFS('Supply planning data'!$Q:$Q,P$133, 'Supply planning data'!$C:$C,DataViz!$O147),NA())</f>
        <v>#N/A</v>
      </c>
      <c r="Q147" s="41" t="e">
        <f>IF(COUNTIFS('Supply planning data'!$O:$O,Q$133, 'Supply planning data'!$C:$C,DataViz!$O147)+COUNTIFS('Supply planning data'!$Q:$Q,Q$133, 'Supply planning data'!$C:$C,DataViz!$O147)&gt;0,COUNTIFS('Supply planning data'!$O:$O,Q$133, 'Supply planning data'!$C:$C,DataViz!$O147)+COUNTIFS('Supply planning data'!$Q:$Q,Q$133, 'Supply planning data'!$C:$C,DataViz!$O147),NA())</f>
        <v>#N/A</v>
      </c>
      <c r="R147" s="41" t="e">
        <f>IF(COUNTIFS('Supply planning data'!$O:$O,R$133, 'Supply planning data'!$C:$C,DataViz!$O147)+COUNTIFS('Supply planning data'!$Q:$Q,R$133, 'Supply planning data'!$C:$C,DataViz!$O147)&gt;0,COUNTIFS('Supply planning data'!$O:$O,R$133, 'Supply planning data'!$C:$C,DataViz!$O147)+COUNTIFS('Supply planning data'!$Q:$Q,R$133, 'Supply planning data'!$C:$C,DataViz!$O147),NA())</f>
        <v>#N/A</v>
      </c>
      <c r="S147" s="41" t="e">
        <f>IF(COUNTIFS('Supply planning data'!$O:$O,S$133, 'Supply planning data'!$C:$C,DataViz!$O147)+COUNTIFS('Supply planning data'!$Q:$Q,S$133, 'Supply planning data'!$C:$C,DataViz!$O147)&gt;0,COUNTIFS('Supply planning data'!$O:$O,S$133, 'Supply planning data'!$C:$C,DataViz!$O147)+COUNTIFS('Supply planning data'!$Q:$Q,S$133, 'Supply planning data'!$C:$C,DataViz!$O147),NA())</f>
        <v>#N/A</v>
      </c>
      <c r="T147" s="41" t="e">
        <f>IF(COUNTIFS('Supply planning data'!$O:$O,T$133, 'Supply planning data'!$C:$C,DataViz!$O147)+COUNTIFS('Supply planning data'!$Q:$Q,T$133, 'Supply planning data'!$C:$C,DataViz!$O147)&gt;0,COUNTIFS('Supply planning data'!$O:$O,T$133, 'Supply planning data'!$C:$C,DataViz!$O147)+COUNTIFS('Supply planning data'!$Q:$Q,T$133, 'Supply planning data'!$C:$C,DataViz!$O147),NA())</f>
        <v>#N/A</v>
      </c>
      <c r="U147" s="41" t="e">
        <f>IF(COUNTIFS('Supply planning data'!$O:$O,U$133, 'Supply planning data'!$C:$C,DataViz!$O147)+COUNTIFS('Supply planning data'!$Q:$Q,U$133, 'Supply planning data'!$C:$C,DataViz!$O147)&gt;0,COUNTIFS('Supply planning data'!$O:$O,U$133, 'Supply planning data'!$C:$C,DataViz!$O147)+COUNTIFS('Supply planning data'!$Q:$Q,U$133, 'Supply planning data'!$C:$C,DataViz!$O147),NA())</f>
        <v>#N/A</v>
      </c>
      <c r="V147" s="41" t="e">
        <f>IF(COUNTIFS('Supply planning data'!$O:$O,V$133, 'Supply planning data'!$C:$C,DataViz!$O147)+COUNTIFS('Supply planning data'!$Q:$Q,V$133, 'Supply planning data'!$C:$C,DataViz!$O147)&gt;0,COUNTIFS('Supply planning data'!$O:$O,V$133, 'Supply planning data'!$C:$C,DataViz!$O147)+COUNTIFS('Supply planning data'!$Q:$Q,V$133, 'Supply planning data'!$C:$C,DataViz!$O147),NA())</f>
        <v>#N/A</v>
      </c>
      <c r="X147">
        <f>Start!C30</f>
        <v>0</v>
      </c>
      <c r="Y147" s="41" t="e">
        <f>IF(ABS(SUMIFS('Supply planning data'!$N:$N, 'Supply planning data'!$C:$C, DataViz!$X147, 'Supply planning data'!$O:$O, DataViz!Y$133)+SUMIFS('Supply planning data'!$P:$P, 'Supply planning data'!$C:$C, DataViz!$X147, 'Supply planning data'!$Q:$Q, DataViz!Y$133))&gt;0,ABS(SUMIFS('Supply planning data'!$N:$N, 'Supply planning data'!$C:$C, DataViz!$X147, 'Supply planning data'!$O:$O, DataViz!Y$133)+SUMIFS('Supply planning data'!$P:$P, 'Supply planning data'!$C:$C, DataViz!$X147, 'Supply planning data'!$Q:$Q, DataViz!Y$133)),NA())</f>
        <v>#N/A</v>
      </c>
      <c r="Z147" s="41" t="e">
        <f>IF(ABS(SUMIFS('Supply planning data'!$N:$N, 'Supply planning data'!$C:$C, DataViz!$X147, 'Supply planning data'!$O:$O, DataViz!Z$133)+SUMIFS('Supply planning data'!$P:$P, 'Supply planning data'!$C:$C, DataViz!$X147, 'Supply planning data'!$Q:$Q, DataViz!Z$133))&gt;0,ABS(SUMIFS('Supply planning data'!$N:$N, 'Supply planning data'!$C:$C, DataViz!$X147, 'Supply planning data'!$O:$O, DataViz!Z$133)+SUMIFS('Supply planning data'!$P:$P, 'Supply planning data'!$C:$C, DataViz!$X147, 'Supply planning data'!$Q:$Q, DataViz!Z$133)),NA())</f>
        <v>#N/A</v>
      </c>
      <c r="AA147" s="41" t="e">
        <f>IF(ABS(SUMIFS('Supply planning data'!$N:$N, 'Supply planning data'!$C:$C, DataViz!$X147, 'Supply planning data'!$O:$O, DataViz!AA$133)+SUMIFS('Supply planning data'!$P:$P, 'Supply planning data'!$C:$C, DataViz!$X147, 'Supply planning data'!$Q:$Q, DataViz!AA$133))&gt;0,ABS(SUMIFS('Supply planning data'!$N:$N, 'Supply planning data'!$C:$C, DataViz!$X147, 'Supply planning data'!$O:$O, DataViz!AA$133)+SUMIFS('Supply planning data'!$P:$P, 'Supply planning data'!$C:$C, DataViz!$X147, 'Supply planning data'!$Q:$Q, DataViz!AA$133)),NA())</f>
        <v>#N/A</v>
      </c>
      <c r="AB147" s="41" t="e">
        <f>IF(ABS(SUMIFS('Supply planning data'!$N:$N, 'Supply planning data'!$C:$C, DataViz!$X147, 'Supply planning data'!$O:$O, DataViz!AB$133)+SUMIFS('Supply planning data'!$P:$P, 'Supply planning data'!$C:$C, DataViz!$X147, 'Supply planning data'!$Q:$Q, DataViz!AB$133))&gt;0,ABS(SUMIFS('Supply planning data'!$N:$N, 'Supply planning data'!$C:$C, DataViz!$X147, 'Supply planning data'!$O:$O, DataViz!AB$133)+SUMIFS('Supply planning data'!$P:$P, 'Supply planning data'!$C:$C, DataViz!$X147, 'Supply planning data'!$Q:$Q, DataViz!AB$133)),NA())</f>
        <v>#N/A</v>
      </c>
      <c r="AC147" s="41" t="e">
        <f>IF(ABS(SUMIFS('Supply planning data'!$N:$N, 'Supply planning data'!$C:$C, DataViz!$X147, 'Supply planning data'!$O:$O, DataViz!AC$133)+SUMIFS('Supply planning data'!$P:$P, 'Supply planning data'!$C:$C, DataViz!$X147, 'Supply planning data'!$Q:$Q, DataViz!AC$133))&gt;0,ABS(SUMIFS('Supply planning data'!$N:$N, 'Supply planning data'!$C:$C, DataViz!$X147, 'Supply planning data'!$O:$O, DataViz!AC$133)+SUMIFS('Supply planning data'!$P:$P, 'Supply planning data'!$C:$C, DataViz!$X147, 'Supply planning data'!$Q:$Q, DataViz!AC$133)),NA())</f>
        <v>#N/A</v>
      </c>
      <c r="AD147" s="41" t="e">
        <f>IF(ABS(SUMIFS('Supply planning data'!$N:$N, 'Supply planning data'!$C:$C, DataViz!$X147, 'Supply planning data'!$O:$O, DataViz!AD$133)+SUMIFS('Supply planning data'!$P:$P, 'Supply planning data'!$C:$C, DataViz!$X147, 'Supply planning data'!$Q:$Q, DataViz!AD$133))&gt;0,ABS(SUMIFS('Supply planning data'!$N:$N, 'Supply planning data'!$C:$C, DataViz!$X147, 'Supply planning data'!$O:$O, DataViz!AD$133)+SUMIFS('Supply planning data'!$P:$P, 'Supply planning data'!$C:$C, DataViz!$X147, 'Supply planning data'!$Q:$Q, DataViz!AD$133)),NA())</f>
        <v>#N/A</v>
      </c>
      <c r="AE147" s="41" t="e">
        <f>IF(ABS(SUMIFS('Supply planning data'!$N:$N, 'Supply planning data'!$C:$C, DataViz!$X147, 'Supply planning data'!$O:$O, DataViz!AE$133)+SUMIFS('Supply planning data'!$P:$P, 'Supply planning data'!$C:$C, DataViz!$X147, 'Supply planning data'!$Q:$Q, DataViz!AE$133))&gt;0,ABS(SUMIFS('Supply planning data'!$N:$N, 'Supply planning data'!$C:$C, DataViz!$X147, 'Supply planning data'!$O:$O, DataViz!AE$133)+SUMIFS('Supply planning data'!$P:$P, 'Supply planning data'!$C:$C, DataViz!$X147, 'Supply planning data'!$Q:$Q, DataViz!AE$133)),NA())</f>
        <v>#N/A</v>
      </c>
    </row>
    <row r="148" spans="1:51" x14ac:dyDescent="0.25">
      <c r="O148">
        <f>Start!C31</f>
        <v>0</v>
      </c>
      <c r="P148" s="41" t="e">
        <f>IF(COUNTIFS('Supply planning data'!$O:$O,P$133, 'Supply planning data'!$C:$C,DataViz!$O148)+COUNTIFS('Supply planning data'!$Q:$Q,P$133, 'Supply planning data'!$C:$C,DataViz!$O148)&gt;0,COUNTIFS('Supply planning data'!$O:$O,P$133, 'Supply planning data'!$C:$C,DataViz!$O148)+COUNTIFS('Supply planning data'!$Q:$Q,P$133, 'Supply planning data'!$C:$C,DataViz!$O148),NA())</f>
        <v>#N/A</v>
      </c>
      <c r="Q148" s="41" t="e">
        <f>IF(COUNTIFS('Supply planning data'!$O:$O,Q$133, 'Supply planning data'!$C:$C,DataViz!$O148)+COUNTIFS('Supply planning data'!$Q:$Q,Q$133, 'Supply planning data'!$C:$C,DataViz!$O148)&gt;0,COUNTIFS('Supply planning data'!$O:$O,Q$133, 'Supply planning data'!$C:$C,DataViz!$O148)+COUNTIFS('Supply planning data'!$Q:$Q,Q$133, 'Supply planning data'!$C:$C,DataViz!$O148),NA())</f>
        <v>#N/A</v>
      </c>
      <c r="R148" s="41" t="e">
        <f>IF(COUNTIFS('Supply planning data'!$O:$O,R$133, 'Supply planning data'!$C:$C,DataViz!$O148)+COUNTIFS('Supply planning data'!$Q:$Q,R$133, 'Supply planning data'!$C:$C,DataViz!$O148)&gt;0,COUNTIFS('Supply planning data'!$O:$O,R$133, 'Supply planning data'!$C:$C,DataViz!$O148)+COUNTIFS('Supply planning data'!$Q:$Q,R$133, 'Supply planning data'!$C:$C,DataViz!$O148),NA())</f>
        <v>#N/A</v>
      </c>
      <c r="S148" s="41" t="e">
        <f>IF(COUNTIFS('Supply planning data'!$O:$O,S$133, 'Supply planning data'!$C:$C,DataViz!$O148)+COUNTIFS('Supply planning data'!$Q:$Q,S$133, 'Supply planning data'!$C:$C,DataViz!$O148)&gt;0,COUNTIFS('Supply planning data'!$O:$O,S$133, 'Supply planning data'!$C:$C,DataViz!$O148)+COUNTIFS('Supply planning data'!$Q:$Q,S$133, 'Supply planning data'!$C:$C,DataViz!$O148),NA())</f>
        <v>#N/A</v>
      </c>
      <c r="T148" s="41" t="e">
        <f>IF(COUNTIFS('Supply planning data'!$O:$O,T$133, 'Supply planning data'!$C:$C,DataViz!$O148)+COUNTIFS('Supply planning data'!$Q:$Q,T$133, 'Supply planning data'!$C:$C,DataViz!$O148)&gt;0,COUNTIFS('Supply planning data'!$O:$O,T$133, 'Supply planning data'!$C:$C,DataViz!$O148)+COUNTIFS('Supply planning data'!$Q:$Q,T$133, 'Supply planning data'!$C:$C,DataViz!$O148),NA())</f>
        <v>#N/A</v>
      </c>
      <c r="U148" s="41" t="e">
        <f>IF(COUNTIFS('Supply planning data'!$O:$O,U$133, 'Supply planning data'!$C:$C,DataViz!$O148)+COUNTIFS('Supply planning data'!$Q:$Q,U$133, 'Supply planning data'!$C:$C,DataViz!$O148)&gt;0,COUNTIFS('Supply planning data'!$O:$O,U$133, 'Supply planning data'!$C:$C,DataViz!$O148)+COUNTIFS('Supply planning data'!$Q:$Q,U$133, 'Supply planning data'!$C:$C,DataViz!$O148),NA())</f>
        <v>#N/A</v>
      </c>
      <c r="V148" s="41" t="e">
        <f>IF(COUNTIFS('Supply planning data'!$O:$O,V$133, 'Supply planning data'!$C:$C,DataViz!$O148)+COUNTIFS('Supply planning data'!$Q:$Q,V$133, 'Supply planning data'!$C:$C,DataViz!$O148)&gt;0,COUNTIFS('Supply planning data'!$O:$O,V$133, 'Supply planning data'!$C:$C,DataViz!$O148)+COUNTIFS('Supply planning data'!$Q:$Q,V$133, 'Supply planning data'!$C:$C,DataViz!$O148),NA())</f>
        <v>#N/A</v>
      </c>
      <c r="X148">
        <f>Start!C31</f>
        <v>0</v>
      </c>
      <c r="Y148" s="41" t="e">
        <f>IF(ABS(SUMIFS('Supply planning data'!$N:$N, 'Supply planning data'!$C:$C, DataViz!$X148, 'Supply planning data'!$O:$O, DataViz!Y$133)+SUMIFS('Supply planning data'!$P:$P, 'Supply planning data'!$C:$C, DataViz!$X148, 'Supply planning data'!$Q:$Q, DataViz!Y$133))&gt;0,ABS(SUMIFS('Supply planning data'!$N:$N, 'Supply planning data'!$C:$C, DataViz!$X148, 'Supply planning data'!$O:$O, DataViz!Y$133)+SUMIFS('Supply planning data'!$P:$P, 'Supply planning data'!$C:$C, DataViz!$X148, 'Supply planning data'!$Q:$Q, DataViz!Y$133)),NA())</f>
        <v>#N/A</v>
      </c>
      <c r="Z148" s="41" t="e">
        <f>IF(ABS(SUMIFS('Supply planning data'!$N:$N, 'Supply planning data'!$C:$C, DataViz!$X148, 'Supply planning data'!$O:$O, DataViz!Z$133)+SUMIFS('Supply planning data'!$P:$P, 'Supply planning data'!$C:$C, DataViz!$X148, 'Supply planning data'!$Q:$Q, DataViz!Z$133))&gt;0,ABS(SUMIFS('Supply planning data'!$N:$N, 'Supply planning data'!$C:$C, DataViz!$X148, 'Supply planning data'!$O:$O, DataViz!Z$133)+SUMIFS('Supply planning data'!$P:$P, 'Supply planning data'!$C:$C, DataViz!$X148, 'Supply planning data'!$Q:$Q, DataViz!Z$133)),NA())</f>
        <v>#N/A</v>
      </c>
      <c r="AA148" s="41" t="e">
        <f>IF(ABS(SUMIFS('Supply planning data'!$N:$N, 'Supply planning data'!$C:$C, DataViz!$X148, 'Supply planning data'!$O:$O, DataViz!AA$133)+SUMIFS('Supply planning data'!$P:$P, 'Supply planning data'!$C:$C, DataViz!$X148, 'Supply planning data'!$Q:$Q, DataViz!AA$133))&gt;0,ABS(SUMIFS('Supply planning data'!$N:$N, 'Supply planning data'!$C:$C, DataViz!$X148, 'Supply planning data'!$O:$O, DataViz!AA$133)+SUMIFS('Supply planning data'!$P:$P, 'Supply planning data'!$C:$C, DataViz!$X148, 'Supply planning data'!$Q:$Q, DataViz!AA$133)),NA())</f>
        <v>#N/A</v>
      </c>
      <c r="AB148" s="41" t="e">
        <f>IF(ABS(SUMIFS('Supply planning data'!$N:$N, 'Supply planning data'!$C:$C, DataViz!$X148, 'Supply planning data'!$O:$O, DataViz!AB$133)+SUMIFS('Supply planning data'!$P:$P, 'Supply planning data'!$C:$C, DataViz!$X148, 'Supply planning data'!$Q:$Q, DataViz!AB$133))&gt;0,ABS(SUMIFS('Supply planning data'!$N:$N, 'Supply planning data'!$C:$C, DataViz!$X148, 'Supply planning data'!$O:$O, DataViz!AB$133)+SUMIFS('Supply planning data'!$P:$P, 'Supply planning data'!$C:$C, DataViz!$X148, 'Supply planning data'!$Q:$Q, DataViz!AB$133)),NA())</f>
        <v>#N/A</v>
      </c>
      <c r="AC148" s="41" t="e">
        <f>IF(ABS(SUMIFS('Supply planning data'!$N:$N, 'Supply planning data'!$C:$C, DataViz!$X148, 'Supply planning data'!$O:$O, DataViz!AC$133)+SUMIFS('Supply planning data'!$P:$P, 'Supply planning data'!$C:$C, DataViz!$X148, 'Supply planning data'!$Q:$Q, DataViz!AC$133))&gt;0,ABS(SUMIFS('Supply planning data'!$N:$N, 'Supply planning data'!$C:$C, DataViz!$X148, 'Supply planning data'!$O:$O, DataViz!AC$133)+SUMIFS('Supply planning data'!$P:$P, 'Supply planning data'!$C:$C, DataViz!$X148, 'Supply planning data'!$Q:$Q, DataViz!AC$133)),NA())</f>
        <v>#N/A</v>
      </c>
      <c r="AD148" s="41" t="e">
        <f>IF(ABS(SUMIFS('Supply planning data'!$N:$N, 'Supply planning data'!$C:$C, DataViz!$X148, 'Supply planning data'!$O:$O, DataViz!AD$133)+SUMIFS('Supply planning data'!$P:$P, 'Supply planning data'!$C:$C, DataViz!$X148, 'Supply planning data'!$Q:$Q, DataViz!AD$133))&gt;0,ABS(SUMIFS('Supply planning data'!$N:$N, 'Supply planning data'!$C:$C, DataViz!$X148, 'Supply planning data'!$O:$O, DataViz!AD$133)+SUMIFS('Supply planning data'!$P:$P, 'Supply planning data'!$C:$C, DataViz!$X148, 'Supply planning data'!$Q:$Q, DataViz!AD$133)),NA())</f>
        <v>#N/A</v>
      </c>
      <c r="AE148" s="41" t="e">
        <f>IF(ABS(SUMIFS('Supply planning data'!$N:$N, 'Supply planning data'!$C:$C, DataViz!$X148, 'Supply planning data'!$O:$O, DataViz!AE$133)+SUMIFS('Supply planning data'!$P:$P, 'Supply planning data'!$C:$C, DataViz!$X148, 'Supply planning data'!$Q:$Q, DataViz!AE$133))&gt;0,ABS(SUMIFS('Supply planning data'!$N:$N, 'Supply planning data'!$C:$C, DataViz!$X148, 'Supply planning data'!$O:$O, DataViz!AE$133)+SUMIFS('Supply planning data'!$P:$P, 'Supply planning data'!$C:$C, DataViz!$X148, 'Supply planning data'!$Q:$Q, DataViz!AE$133)),NA())</f>
        <v>#N/A</v>
      </c>
    </row>
    <row r="149" spans="1:51" x14ac:dyDescent="0.25">
      <c r="P149" s="41"/>
      <c r="Q149" s="41"/>
      <c r="R149" s="41"/>
      <c r="S149" s="41"/>
      <c r="T149" s="41"/>
      <c r="U149" s="41"/>
      <c r="Y149" s="41"/>
      <c r="Z149" s="41"/>
      <c r="AA149" s="41"/>
      <c r="AB149" s="41"/>
      <c r="AC149" s="41"/>
      <c r="AD149" s="41"/>
    </row>
    <row r="153" spans="1:51" ht="18.75" x14ac:dyDescent="0.3">
      <c r="A153" s="153" t="s">
        <v>223</v>
      </c>
      <c r="T153" s="153" t="s">
        <v>224</v>
      </c>
      <c r="AJ153" s="153" t="s">
        <v>225</v>
      </c>
    </row>
    <row r="154" spans="1:51" x14ac:dyDescent="0.25">
      <c r="A154" t="s">
        <v>21</v>
      </c>
    </row>
    <row r="155" spans="1:51" x14ac:dyDescent="0.25">
      <c r="A155" s="148"/>
      <c r="B155" s="148"/>
      <c r="C155" s="149" t="s">
        <v>191</v>
      </c>
      <c r="D155" s="149" t="s">
        <v>142</v>
      </c>
      <c r="E155" s="149" t="str">
        <f>IF(Start!C17="",NA(),Start!C17)</f>
        <v>AstraZeneca</v>
      </c>
      <c r="F155" t="str">
        <f>IF(Start!C18="",NA(),Start!C18)</f>
        <v>Jansen</v>
      </c>
      <c r="G155" t="str">
        <f>IF(Start!C19="",NA(),Start!C19)</f>
        <v>Moderna</v>
      </c>
      <c r="H155" t="str">
        <f>IF(Start!C20="",NA(),Start!C20)</f>
        <v>Pfizer</v>
      </c>
      <c r="I155" t="str">
        <f>IF(Start!C21="",NA(),Start!C21)</f>
        <v>Sinovac</v>
      </c>
      <c r="J155" t="e">
        <f>IF(Start!C22="",NA(),Start!C22)</f>
        <v>#N/A</v>
      </c>
      <c r="K155" t="e">
        <f>IF(Start!C23="",NA(),Start!C23)</f>
        <v>#N/A</v>
      </c>
      <c r="L155" t="e">
        <f>IF(Start!C24="",NA(),Start!C24)</f>
        <v>#N/A</v>
      </c>
      <c r="M155" t="e">
        <f>IF(Start!C25="",NA(),Start!C25)</f>
        <v>#N/A</v>
      </c>
      <c r="N155" t="e">
        <f>IF(Start!C26="",NA(),Start!C26)</f>
        <v>#N/A</v>
      </c>
      <c r="O155" t="e">
        <f>IF(Start!C27="",NA(),Start!C27)</f>
        <v>#N/A</v>
      </c>
      <c r="P155" t="e">
        <f>IF(Start!C28="",NA(),Start!C28)</f>
        <v>#N/A</v>
      </c>
      <c r="Q155" t="e">
        <f>IF(Start!C29="",NA(),Start!C29)</f>
        <v>#N/A</v>
      </c>
      <c r="R155" t="e">
        <f>IF(Start!C30="",NA(),Start!C30)</f>
        <v>#N/A</v>
      </c>
      <c r="S155" t="e">
        <f>IF(Start!C31="",NA(),Start!C31)</f>
        <v>#N/A</v>
      </c>
      <c r="U155" t="str">
        <f>E155</f>
        <v>AstraZeneca</v>
      </c>
      <c r="V155" t="str">
        <f t="shared" ref="V155:AI155" si="25">F155</f>
        <v>Jansen</v>
      </c>
      <c r="W155" t="str">
        <f t="shared" si="25"/>
        <v>Moderna</v>
      </c>
      <c r="X155" t="str">
        <f t="shared" si="25"/>
        <v>Pfizer</v>
      </c>
      <c r="Y155" t="str">
        <f t="shared" si="25"/>
        <v>Sinovac</v>
      </c>
      <c r="Z155" t="e">
        <f t="shared" si="25"/>
        <v>#N/A</v>
      </c>
      <c r="AA155" t="e">
        <f t="shared" si="25"/>
        <v>#N/A</v>
      </c>
      <c r="AB155" t="e">
        <f t="shared" si="25"/>
        <v>#N/A</v>
      </c>
      <c r="AC155" t="e">
        <f t="shared" si="25"/>
        <v>#N/A</v>
      </c>
      <c r="AD155" t="e">
        <f t="shared" si="25"/>
        <v>#N/A</v>
      </c>
      <c r="AE155" t="e">
        <f t="shared" si="25"/>
        <v>#N/A</v>
      </c>
      <c r="AF155" t="e">
        <f t="shared" si="25"/>
        <v>#N/A</v>
      </c>
      <c r="AG155" t="e">
        <f t="shared" si="25"/>
        <v>#N/A</v>
      </c>
      <c r="AH155" t="e">
        <f t="shared" si="25"/>
        <v>#N/A</v>
      </c>
      <c r="AI155" t="e">
        <f t="shared" si="25"/>
        <v>#N/A</v>
      </c>
      <c r="AJ155" t="s">
        <v>226</v>
      </c>
      <c r="AK155" t="str">
        <f>U155</f>
        <v>AstraZeneca</v>
      </c>
      <c r="AL155" t="str">
        <f t="shared" ref="AL155" si="26">V155</f>
        <v>Jansen</v>
      </c>
      <c r="AM155" t="str">
        <f t="shared" ref="AM155" si="27">W155</f>
        <v>Moderna</v>
      </c>
      <c r="AN155" t="str">
        <f t="shared" ref="AN155" si="28">X155</f>
        <v>Pfizer</v>
      </c>
      <c r="AO155" t="str">
        <f t="shared" ref="AO155" si="29">Y155</f>
        <v>Sinovac</v>
      </c>
      <c r="AP155" t="e">
        <f t="shared" ref="AP155" si="30">Z155</f>
        <v>#N/A</v>
      </c>
      <c r="AQ155" t="e">
        <f t="shared" ref="AQ155" si="31">AA155</f>
        <v>#N/A</v>
      </c>
      <c r="AR155" t="e">
        <f t="shared" ref="AR155" si="32">AB155</f>
        <v>#N/A</v>
      </c>
      <c r="AS155" t="e">
        <f t="shared" ref="AS155" si="33">AC155</f>
        <v>#N/A</v>
      </c>
      <c r="AT155" t="e">
        <f t="shared" ref="AT155" si="34">AD155</f>
        <v>#N/A</v>
      </c>
      <c r="AU155" t="e">
        <f t="shared" ref="AU155" si="35">AE155</f>
        <v>#N/A</v>
      </c>
      <c r="AV155" t="e">
        <f t="shared" ref="AV155" si="36">AF155</f>
        <v>#N/A</v>
      </c>
      <c r="AW155" t="e">
        <f t="shared" ref="AW155" si="37">AG155</f>
        <v>#N/A</v>
      </c>
      <c r="AX155" t="e">
        <f t="shared" ref="AX155" si="38">AH155</f>
        <v>#N/A</v>
      </c>
      <c r="AY155" t="e">
        <f t="shared" ref="AY155" si="39">AI155</f>
        <v>#N/A</v>
      </c>
    </row>
    <row r="156" spans="1:51" x14ac:dyDescent="0.25">
      <c r="A156" s="150">
        <v>1</v>
      </c>
      <c r="B156" s="151">
        <f>Dashboard!C$6</f>
        <v>44287</v>
      </c>
      <c r="C156" s="156">
        <f>IF($A$154="Jansen",SUMIFS('Supply planning data'!G:G,'Supply planning data'!$D:$D,"&lt;="&amp;DataViz!$B156,'Supply planning data'!$C:$C,"Jansen"),IF($A$154="All",SUMIFS('Supply planning data'!H:H,'Supply planning data'!$D:$D,"&lt;="&amp;DataViz!$B156)+SUMIFS('Supply planning data'!G:G,'Supply planning data'!$D:$D,"&lt;="&amp;DataViz!$B156,'Supply planning data'!$C:$C,"Jansen"),SUMIFS('Supply planning data'!H:H,'Supply planning data'!$D:$D,"&lt;="&amp;DataViz!$B156,'Supply planning data'!$C:$C,DataViz!$A$154)))</f>
        <v>0</v>
      </c>
      <c r="D156" s="173">
        <f>E6</f>
        <v>0</v>
      </c>
      <c r="E156" s="152">
        <f>IF(ISNA(E$155),NA(),SUMIFS('Supply planning data'!$M:$M,'Supply planning data'!$D:$D,"&lt;="&amp;DataViz!$B156,'Supply planning data'!$C:$C,DataViz!E$155))</f>
        <v>0</v>
      </c>
      <c r="F156" s="152">
        <f>IF(ISNA(F$155),NA(),SUMIFS('Supply planning data'!$M:$M,'Supply planning data'!$D:$D,"&lt;="&amp;DataViz!$B156,'Supply planning data'!$C:$C,DataViz!F$155))</f>
        <v>0</v>
      </c>
      <c r="G156" s="152">
        <f>IF(ISNA(G$155),NA(),SUMIFS('Supply planning data'!$M:$M,'Supply planning data'!$D:$D,"&lt;="&amp;DataViz!$B156,'Supply planning data'!$C:$C,DataViz!G$155))</f>
        <v>0</v>
      </c>
      <c r="H156" s="152">
        <f>IF(ISNA(H$155),NA(),SUMIFS('Supply planning data'!$M:$M,'Supply planning data'!$D:$D,"&lt;="&amp;DataViz!$B156,'Supply planning data'!$C:$C,DataViz!H$155))</f>
        <v>0</v>
      </c>
      <c r="I156" s="152">
        <f>IF(ISNA(I$155),NA(),SUMIFS('Supply planning data'!$M:$M,'Supply planning data'!$D:$D,"&lt;="&amp;DataViz!$B156,'Supply planning data'!$C:$C,DataViz!I$155))</f>
        <v>0</v>
      </c>
      <c r="J156" s="152" t="e">
        <f>IF(ISNA(J$155),NA(),SUMIFS('Supply planning data'!$M:$M,'Supply planning data'!$D:$D,"&lt;="&amp;DataViz!$B156,'Supply planning data'!$C:$C,DataViz!J$155))</f>
        <v>#N/A</v>
      </c>
      <c r="K156" s="152" t="e">
        <f>IF(ISNA(K$155),NA(),SUMIFS('Supply planning data'!$M:$M,'Supply planning data'!$D:$D,"&lt;="&amp;DataViz!$B156,'Supply planning data'!$C:$C,DataViz!K$155))</f>
        <v>#N/A</v>
      </c>
      <c r="L156" s="152" t="e">
        <f>IF(ISNA(L$155),NA(),SUMIFS('Supply planning data'!$M:$M,'Supply planning data'!$D:$D,"&lt;="&amp;DataViz!$B156,'Supply planning data'!$C:$C,DataViz!L$155))</f>
        <v>#N/A</v>
      </c>
      <c r="M156" s="152" t="e">
        <f>IF(ISNA(M$155),NA(),SUMIFS('Supply planning data'!$M:$M,'Supply planning data'!$D:$D,"&lt;="&amp;DataViz!$B156,'Supply planning data'!$C:$C,DataViz!M$155))</f>
        <v>#N/A</v>
      </c>
      <c r="N156" s="152" t="e">
        <f>IF(ISNA(N$155),NA(),SUMIFS('Supply planning data'!$M:$M,'Supply planning data'!$D:$D,"&lt;="&amp;DataViz!$B156,'Supply planning data'!$C:$C,DataViz!N$155))</f>
        <v>#N/A</v>
      </c>
      <c r="O156" s="152" t="e">
        <f>IF(ISNA(O$155),NA(),SUMIFS('Supply planning data'!$M:$M,'Supply planning data'!$D:$D,"&lt;="&amp;DataViz!$B156,'Supply planning data'!$C:$C,DataViz!O$155))</f>
        <v>#N/A</v>
      </c>
      <c r="P156" s="152" t="e">
        <f>IF(ISNA(P$155),NA(),SUMIFS('Supply planning data'!$M:$M,'Supply planning data'!$D:$D,"&lt;="&amp;DataViz!$B156,'Supply planning data'!$C:$C,DataViz!P$155))</f>
        <v>#N/A</v>
      </c>
      <c r="Q156" s="152" t="e">
        <f>IF(ISNA(Q$155),NA(),SUMIFS('Supply planning data'!$M:$M,'Supply planning data'!$D:$D,"&lt;="&amp;DataViz!$B156,'Supply planning data'!$C:$C,DataViz!Q$155))</f>
        <v>#N/A</v>
      </c>
      <c r="R156" s="152" t="e">
        <f>IF(ISNA(R$155),NA(),SUMIFS('Supply planning data'!$M:$M,'Supply planning data'!$D:$D,"&lt;="&amp;DataViz!$B156,'Supply planning data'!$C:$C,DataViz!R$155))</f>
        <v>#N/A</v>
      </c>
      <c r="S156" s="152" t="e">
        <f>IF(ISNA(S$155),NA(),SUMIFS('Supply planning data'!$M:$M,'Supply planning data'!$D:$D,"&lt;="&amp;DataViz!$B156,'Supply planning data'!$C:$C,DataViz!S$155))</f>
        <v>#N/A</v>
      </c>
      <c r="U156" s="14">
        <f>SUM(E39:H39)</f>
        <v>0</v>
      </c>
      <c r="V156" s="24">
        <f>SUM(I39:L39)</f>
        <v>0</v>
      </c>
      <c r="W156" s="24">
        <f>SUM(M39:P39)</f>
        <v>0</v>
      </c>
      <c r="X156" s="24">
        <f>SUM(Q39:T39)</f>
        <v>0</v>
      </c>
      <c r="Y156" s="24">
        <f>SUM(U39:X39)</f>
        <v>0</v>
      </c>
      <c r="Z156" s="24">
        <f>SUM(Y39:AB39)</f>
        <v>0</v>
      </c>
      <c r="AA156" s="24">
        <f>SUM(AC39:AF39)</f>
        <v>0</v>
      </c>
      <c r="AB156" s="24">
        <f>SUM(AG39:AJ39)</f>
        <v>0</v>
      </c>
      <c r="AC156" s="24">
        <f>SUM(AK39:AN39)</f>
        <v>0</v>
      </c>
      <c r="AD156" s="24">
        <f>SUM(AO39:AR39)</f>
        <v>0</v>
      </c>
      <c r="AE156" s="24">
        <f>SUM(AS39:AV39)</f>
        <v>0</v>
      </c>
      <c r="AF156" s="24">
        <f>SUM(AW39:AZ39)</f>
        <v>0</v>
      </c>
      <c r="AG156" s="24">
        <f>SUM(BA39:BD39)</f>
        <v>0</v>
      </c>
      <c r="AH156" s="24">
        <f>SUM(BE39:BH39)</f>
        <v>0</v>
      </c>
      <c r="AI156" s="24">
        <f>SUM(BI39:BL39)</f>
        <v>0</v>
      </c>
      <c r="AJ156" s="24" t="e">
        <f>IF(SUM(U156:AI156)=0,NA(),SUM(U156:AI156))</f>
        <v>#N/A</v>
      </c>
      <c r="AK156" s="375" t="str">
        <f>IFERROR(IF(U156/SUM($U156:$AI156)&gt;0,U156/SUM($U156:$AI156),""),"")</f>
        <v/>
      </c>
      <c r="AL156" s="375" t="str">
        <f>IFERROR(IF(V156/SUM($U156:$AI156)&gt;0,V156/SUM($U156:$AI156),""),"")</f>
        <v/>
      </c>
      <c r="AM156" s="375" t="str">
        <f t="shared" ref="AL156:AY171" si="40">IFERROR(IF(W156/SUM($U156:$AI156)&gt;0,W156/SUM($U156:$AI156),""),"")</f>
        <v/>
      </c>
      <c r="AN156" s="375" t="str">
        <f t="shared" si="40"/>
        <v/>
      </c>
      <c r="AO156" s="375" t="str">
        <f t="shared" si="40"/>
        <v/>
      </c>
      <c r="AP156" s="375" t="str">
        <f t="shared" si="40"/>
        <v/>
      </c>
      <c r="AQ156" s="375" t="str">
        <f t="shared" si="40"/>
        <v/>
      </c>
      <c r="AR156" s="375" t="str">
        <f t="shared" si="40"/>
        <v/>
      </c>
      <c r="AS156" s="375" t="str">
        <f t="shared" si="40"/>
        <v/>
      </c>
      <c r="AT156" s="375" t="str">
        <f t="shared" si="40"/>
        <v/>
      </c>
      <c r="AU156" s="375" t="str">
        <f t="shared" si="40"/>
        <v/>
      </c>
      <c r="AV156" s="375" t="str">
        <f t="shared" si="40"/>
        <v/>
      </c>
      <c r="AW156" s="375" t="str">
        <f t="shared" si="40"/>
        <v/>
      </c>
      <c r="AX156" s="375" t="str">
        <f t="shared" si="40"/>
        <v/>
      </c>
      <c r="AY156" s="375" t="str">
        <f t="shared" si="40"/>
        <v/>
      </c>
    </row>
    <row r="157" spans="1:51" x14ac:dyDescent="0.25">
      <c r="A157" s="150">
        <v>2</v>
      </c>
      <c r="B157" s="151">
        <f>DATE(YEAR(B156),MONTH(B156)+1,1)</f>
        <v>44317</v>
      </c>
      <c r="C157" s="156">
        <f>IF($A$154="Jansen",SUMIFS('Supply planning data'!G:G,'Supply planning data'!$D:$D,"&lt;="&amp;DataViz!$B157,'Supply planning data'!$C:$C,"Jansen"),IF($A$154="All",SUMIFS('Supply planning data'!H:H,'Supply planning data'!$D:$D,"&lt;="&amp;DataViz!$B157)+SUMIFS('Supply planning data'!G:G,'Supply planning data'!$D:$D,"&lt;="&amp;DataViz!$B157,'Supply planning data'!$C:$C,"Jansen"),SUMIFS('Supply planning data'!H:H,'Supply planning data'!$D:$D,"&lt;="&amp;DataViz!$B157,'Supply planning data'!$C:$C,DataViz!$A$154)))</f>
        <v>5</v>
      </c>
      <c r="D157" s="173">
        <f t="shared" ref="D157:D179" si="41">E7</f>
        <v>8.3333333333333338E-8</v>
      </c>
      <c r="E157" s="152">
        <f>IF(ISNA(E$155),NA(),SUMIFS('Supply planning data'!$M:$M,'Supply planning data'!$D:$D,"&lt;="&amp;DataViz!$B157,'Supply planning data'!$C:$C,DataViz!E$155))</f>
        <v>42445</v>
      </c>
      <c r="F157" s="152">
        <f>IF(ISNA(F$155),NA(),SUMIFS('Supply planning data'!$M:$M,'Supply planning data'!$D:$D,"&lt;="&amp;DataViz!$B157,'Supply planning data'!$C:$C,DataViz!F$155))</f>
        <v>0</v>
      </c>
      <c r="G157" s="152">
        <f>IF(ISNA(G$155),NA(),SUMIFS('Supply planning data'!$M:$M,'Supply planning data'!$D:$D,"&lt;="&amp;DataViz!$B157,'Supply planning data'!$C:$C,DataViz!G$155))</f>
        <v>0</v>
      </c>
      <c r="H157" s="152">
        <f>IF(ISNA(H$155),NA(),SUMIFS('Supply planning data'!$M:$M,'Supply planning data'!$D:$D,"&lt;="&amp;DataViz!$B157,'Supply planning data'!$C:$C,DataViz!H$155))</f>
        <v>0</v>
      </c>
      <c r="I157" s="152">
        <f>IF(ISNA(I$155),NA(),SUMIFS('Supply planning data'!$M:$M,'Supply planning data'!$D:$D,"&lt;="&amp;DataViz!$B157,'Supply planning data'!$C:$C,DataViz!I$155))</f>
        <v>0</v>
      </c>
      <c r="J157" s="152" t="e">
        <f>IF(ISNA(J$155),NA(),SUMIFS('Supply planning data'!$M:$M,'Supply planning data'!$D:$D,"&lt;="&amp;DataViz!$B157,'Supply planning data'!$C:$C,DataViz!J$155))</f>
        <v>#N/A</v>
      </c>
      <c r="K157" s="152" t="e">
        <f>IF(ISNA(K$155),NA(),SUMIFS('Supply planning data'!$M:$M,'Supply planning data'!$D:$D,"&lt;="&amp;DataViz!$B157,'Supply planning data'!$C:$C,DataViz!K$155))</f>
        <v>#N/A</v>
      </c>
      <c r="L157" s="152" t="e">
        <f>IF(ISNA(L$155),NA(),SUMIFS('Supply planning data'!$M:$M,'Supply planning data'!$D:$D,"&lt;="&amp;DataViz!$B157,'Supply planning data'!$C:$C,DataViz!L$155))</f>
        <v>#N/A</v>
      </c>
      <c r="M157" s="152" t="e">
        <f>IF(ISNA(M$155),NA(),SUMIFS('Supply planning data'!$M:$M,'Supply planning data'!$D:$D,"&lt;="&amp;DataViz!$B157,'Supply planning data'!$C:$C,DataViz!M$155))</f>
        <v>#N/A</v>
      </c>
      <c r="N157" s="152" t="e">
        <f>IF(ISNA(N$155),NA(),SUMIFS('Supply planning data'!$M:$M,'Supply planning data'!$D:$D,"&lt;="&amp;DataViz!$B157,'Supply planning data'!$C:$C,DataViz!N$155))</f>
        <v>#N/A</v>
      </c>
      <c r="O157" s="152" t="e">
        <f>IF(ISNA(O$155),NA(),SUMIFS('Supply planning data'!$M:$M,'Supply planning data'!$D:$D,"&lt;="&amp;DataViz!$B157,'Supply planning data'!$C:$C,DataViz!O$155))</f>
        <v>#N/A</v>
      </c>
      <c r="P157" s="152" t="e">
        <f>IF(ISNA(P$155),NA(),SUMIFS('Supply planning data'!$M:$M,'Supply planning data'!$D:$D,"&lt;="&amp;DataViz!$B157,'Supply planning data'!$C:$C,DataViz!P$155))</f>
        <v>#N/A</v>
      </c>
      <c r="Q157" s="152" t="e">
        <f>IF(ISNA(Q$155),NA(),SUMIFS('Supply planning data'!$M:$M,'Supply planning data'!$D:$D,"&lt;="&amp;DataViz!$B157,'Supply planning data'!$C:$C,DataViz!Q$155))</f>
        <v>#N/A</v>
      </c>
      <c r="R157" s="152" t="e">
        <f>IF(ISNA(R$155),NA(),SUMIFS('Supply planning data'!$M:$M,'Supply planning data'!$D:$D,"&lt;="&amp;DataViz!$B157,'Supply planning data'!$C:$C,DataViz!R$155))</f>
        <v>#N/A</v>
      </c>
      <c r="S157" s="152" t="e">
        <f>IF(ISNA(S$155),NA(),SUMIFS('Supply planning data'!$M:$M,'Supply planning data'!$D:$D,"&lt;="&amp;DataViz!$B157,'Supply planning data'!$C:$C,DataViz!S$155))</f>
        <v>#N/A</v>
      </c>
      <c r="U157" s="14">
        <f t="shared" ref="U157:U179" si="42">SUM(E40:H40)</f>
        <v>42445</v>
      </c>
      <c r="V157" s="24">
        <f t="shared" ref="V157:V179" si="43">SUM(I40:L40)</f>
        <v>0</v>
      </c>
      <c r="W157" s="24">
        <f t="shared" ref="W157:W179" si="44">SUM(M40:P40)</f>
        <v>0</v>
      </c>
      <c r="X157" s="24">
        <f t="shared" ref="X157:X179" si="45">SUM(Q40:T40)</f>
        <v>0</v>
      </c>
      <c r="Y157" s="24">
        <f t="shared" ref="Y157:Y179" si="46">SUM(U40:X40)</f>
        <v>0</v>
      </c>
      <c r="Z157" s="24">
        <f t="shared" ref="Z157:Z179" si="47">SUM(Y40:AB40)</f>
        <v>0</v>
      </c>
      <c r="AA157" s="24">
        <f t="shared" ref="AA157:AA179" si="48">SUM(AC40:AF40)</f>
        <v>0</v>
      </c>
      <c r="AB157" s="24">
        <f t="shared" ref="AB157:AB179" si="49">SUM(AG40:AJ40)</f>
        <v>0</v>
      </c>
      <c r="AC157" s="24">
        <f t="shared" ref="AC157:AC179" si="50">SUM(AK40:AN40)</f>
        <v>0</v>
      </c>
      <c r="AD157" s="24">
        <f t="shared" ref="AD157:AD179" si="51">SUM(AO40:AR40)</f>
        <v>0</v>
      </c>
      <c r="AE157" s="24">
        <f t="shared" ref="AE157:AE179" si="52">SUM(AS40:AV40)</f>
        <v>0</v>
      </c>
      <c r="AF157" s="24">
        <f t="shared" ref="AF157:AF179" si="53">SUM(AW40:AZ40)</f>
        <v>0</v>
      </c>
      <c r="AG157" s="24">
        <f t="shared" ref="AG157:AG179" si="54">SUM(BA40:BD40)</f>
        <v>0</v>
      </c>
      <c r="AH157" s="24">
        <f t="shared" ref="AH157:AH179" si="55">SUM(BE40:BH40)</f>
        <v>0</v>
      </c>
      <c r="AI157" s="24">
        <f t="shared" ref="AI157:AI179" si="56">SUM(BI40:BL40)</f>
        <v>0</v>
      </c>
      <c r="AJ157" s="24">
        <f t="shared" ref="AJ157:AJ179" si="57">IF(SUM(U157:AI157)=0,NA(),SUM(U157:AI157))</f>
        <v>42445</v>
      </c>
      <c r="AK157" s="375">
        <f t="shared" ref="AK157:AK178" si="58">IFERROR(IF(U157/SUM($U157:$AI157)&gt;0,U157/SUM($U157:$AI157),""),"")</f>
        <v>1</v>
      </c>
      <c r="AL157" s="375" t="str">
        <f t="shared" si="40"/>
        <v/>
      </c>
      <c r="AM157" s="375" t="str">
        <f t="shared" si="40"/>
        <v/>
      </c>
      <c r="AN157" s="375" t="str">
        <f t="shared" si="40"/>
        <v/>
      </c>
      <c r="AO157" s="375" t="str">
        <f t="shared" si="40"/>
        <v/>
      </c>
      <c r="AP157" s="375" t="str">
        <f t="shared" si="40"/>
        <v/>
      </c>
      <c r="AQ157" s="375" t="str">
        <f t="shared" si="40"/>
        <v/>
      </c>
      <c r="AR157" s="375" t="str">
        <f t="shared" si="40"/>
        <v/>
      </c>
      <c r="AS157" s="375" t="str">
        <f t="shared" si="40"/>
        <v/>
      </c>
      <c r="AT157" s="375" t="str">
        <f t="shared" si="40"/>
        <v/>
      </c>
      <c r="AU157" s="375" t="str">
        <f t="shared" si="40"/>
        <v/>
      </c>
      <c r="AV157" s="375" t="str">
        <f t="shared" si="40"/>
        <v/>
      </c>
      <c r="AW157" s="375" t="str">
        <f t="shared" si="40"/>
        <v/>
      </c>
      <c r="AX157" s="375" t="str">
        <f t="shared" si="40"/>
        <v/>
      </c>
      <c r="AY157" s="375" t="str">
        <f t="shared" si="40"/>
        <v/>
      </c>
    </row>
    <row r="158" spans="1:51" x14ac:dyDescent="0.25">
      <c r="A158" s="150">
        <v>3</v>
      </c>
      <c r="B158" s="151">
        <f t="shared" ref="B158:B179" si="59">DATE(YEAR(B157),MONTH(B157)+1,1)</f>
        <v>44348</v>
      </c>
      <c r="C158" s="156">
        <f>IF($A$154="Jansen",SUMIFS('Supply planning data'!G:G,'Supply planning data'!$D:$D,"&lt;="&amp;DataViz!$B158,'Supply planning data'!$C:$C,"Jansen"),IF($A$154="All",SUMIFS('Supply planning data'!H:H,'Supply planning data'!$D:$D,"&lt;="&amp;DataViz!$B158)+SUMIFS('Supply planning data'!G:G,'Supply planning data'!$D:$D,"&lt;="&amp;DataViz!$B158,'Supply planning data'!$C:$C,"Jansen"),SUMIFS('Supply planning data'!H:H,'Supply planning data'!$D:$D,"&lt;="&amp;DataViz!$B158,'Supply planning data'!$C:$C,DataViz!$A$154)))</f>
        <v>793</v>
      </c>
      <c r="D158" s="173">
        <f t="shared" si="41"/>
        <v>1.3216666666666667E-5</v>
      </c>
      <c r="E158" s="152">
        <f>IF(ISNA(E$155),NA(),SUMIFS('Supply planning data'!$M:$M,'Supply planning data'!$D:$D,"&lt;="&amp;DataViz!$B158,'Supply planning data'!$C:$C,DataViz!E$155))</f>
        <v>127320</v>
      </c>
      <c r="F158" s="152">
        <f>IF(ISNA(F$155),NA(),SUMIFS('Supply planning data'!$M:$M,'Supply planning data'!$D:$D,"&lt;="&amp;DataViz!$B158,'Supply planning data'!$C:$C,DataViz!F$155))</f>
        <v>0</v>
      </c>
      <c r="G158" s="152">
        <f>IF(ISNA(G$155),NA(),SUMIFS('Supply planning data'!$M:$M,'Supply planning data'!$D:$D,"&lt;="&amp;DataViz!$B158,'Supply planning data'!$C:$C,DataViz!G$155))</f>
        <v>0</v>
      </c>
      <c r="H158" s="152">
        <f>IF(ISNA(H$155),NA(),SUMIFS('Supply planning data'!$M:$M,'Supply planning data'!$D:$D,"&lt;="&amp;DataViz!$B158,'Supply planning data'!$C:$C,DataViz!H$155))</f>
        <v>0</v>
      </c>
      <c r="I158" s="152">
        <f>IF(ISNA(I$155),NA(),SUMIFS('Supply planning data'!$M:$M,'Supply planning data'!$D:$D,"&lt;="&amp;DataViz!$B158,'Supply planning data'!$C:$C,DataViz!I$155))</f>
        <v>0</v>
      </c>
      <c r="J158" s="152" t="e">
        <f>IF(ISNA(J$155),NA(),SUMIFS('Supply planning data'!$M:$M,'Supply planning data'!$D:$D,"&lt;="&amp;DataViz!$B158,'Supply planning data'!$C:$C,DataViz!J$155))</f>
        <v>#N/A</v>
      </c>
      <c r="K158" s="152" t="e">
        <f>IF(ISNA(K$155),NA(),SUMIFS('Supply planning data'!$M:$M,'Supply planning data'!$D:$D,"&lt;="&amp;DataViz!$B158,'Supply planning data'!$C:$C,DataViz!K$155))</f>
        <v>#N/A</v>
      </c>
      <c r="L158" s="152" t="e">
        <f>IF(ISNA(L$155),NA(),SUMIFS('Supply planning data'!$M:$M,'Supply planning data'!$D:$D,"&lt;="&amp;DataViz!$B158,'Supply planning data'!$C:$C,DataViz!L$155))</f>
        <v>#N/A</v>
      </c>
      <c r="M158" s="152" t="e">
        <f>IF(ISNA(M$155),NA(),SUMIFS('Supply planning data'!$M:$M,'Supply planning data'!$D:$D,"&lt;="&amp;DataViz!$B158,'Supply planning data'!$C:$C,DataViz!M$155))</f>
        <v>#N/A</v>
      </c>
      <c r="N158" s="152" t="e">
        <f>IF(ISNA(N$155),NA(),SUMIFS('Supply planning data'!$M:$M,'Supply planning data'!$D:$D,"&lt;="&amp;DataViz!$B158,'Supply planning data'!$C:$C,DataViz!N$155))</f>
        <v>#N/A</v>
      </c>
      <c r="O158" s="152" t="e">
        <f>IF(ISNA(O$155),NA(),SUMIFS('Supply planning data'!$M:$M,'Supply planning data'!$D:$D,"&lt;="&amp;DataViz!$B158,'Supply planning data'!$C:$C,DataViz!O$155))</f>
        <v>#N/A</v>
      </c>
      <c r="P158" s="152" t="e">
        <f>IF(ISNA(P$155),NA(),SUMIFS('Supply planning data'!$M:$M,'Supply planning data'!$D:$D,"&lt;="&amp;DataViz!$B158,'Supply planning data'!$C:$C,DataViz!P$155))</f>
        <v>#N/A</v>
      </c>
      <c r="Q158" s="152" t="e">
        <f>IF(ISNA(Q$155),NA(),SUMIFS('Supply planning data'!$M:$M,'Supply planning data'!$D:$D,"&lt;="&amp;DataViz!$B158,'Supply planning data'!$C:$C,DataViz!Q$155))</f>
        <v>#N/A</v>
      </c>
      <c r="R158" s="152" t="e">
        <f>IF(ISNA(R$155),NA(),SUMIFS('Supply planning data'!$M:$M,'Supply planning data'!$D:$D,"&lt;="&amp;DataViz!$B158,'Supply planning data'!$C:$C,DataViz!R$155))</f>
        <v>#N/A</v>
      </c>
      <c r="S158" s="152" t="e">
        <f>IF(ISNA(S$155),NA(),SUMIFS('Supply planning data'!$M:$M,'Supply planning data'!$D:$D,"&lt;="&amp;DataViz!$B158,'Supply planning data'!$C:$C,DataViz!S$155))</f>
        <v>#N/A</v>
      </c>
      <c r="U158" s="14">
        <f t="shared" si="42"/>
        <v>84875</v>
      </c>
      <c r="V158" s="24">
        <f t="shared" si="43"/>
        <v>0</v>
      </c>
      <c r="W158" s="24">
        <f t="shared" si="44"/>
        <v>0</v>
      </c>
      <c r="X158" s="24">
        <f t="shared" si="45"/>
        <v>0</v>
      </c>
      <c r="Y158" s="24">
        <f t="shared" si="46"/>
        <v>0</v>
      </c>
      <c r="Z158" s="24">
        <f t="shared" si="47"/>
        <v>0</v>
      </c>
      <c r="AA158" s="24">
        <f t="shared" si="48"/>
        <v>0</v>
      </c>
      <c r="AB158" s="24">
        <f t="shared" si="49"/>
        <v>0</v>
      </c>
      <c r="AC158" s="24">
        <f t="shared" si="50"/>
        <v>0</v>
      </c>
      <c r="AD158" s="24">
        <f t="shared" si="51"/>
        <v>0</v>
      </c>
      <c r="AE158" s="24">
        <f t="shared" si="52"/>
        <v>0</v>
      </c>
      <c r="AF158" s="24">
        <f t="shared" si="53"/>
        <v>0</v>
      </c>
      <c r="AG158" s="24">
        <f t="shared" si="54"/>
        <v>0</v>
      </c>
      <c r="AH158" s="24">
        <f t="shared" si="55"/>
        <v>0</v>
      </c>
      <c r="AI158" s="24">
        <f t="shared" si="56"/>
        <v>0</v>
      </c>
      <c r="AJ158" s="24">
        <f t="shared" si="57"/>
        <v>84875</v>
      </c>
      <c r="AK158" s="375">
        <f t="shared" si="58"/>
        <v>1</v>
      </c>
      <c r="AL158" s="375" t="str">
        <f t="shared" si="40"/>
        <v/>
      </c>
      <c r="AM158" s="375" t="str">
        <f t="shared" si="40"/>
        <v/>
      </c>
      <c r="AN158" s="375" t="str">
        <f t="shared" si="40"/>
        <v/>
      </c>
      <c r="AO158" s="375" t="str">
        <f t="shared" si="40"/>
        <v/>
      </c>
      <c r="AP158" s="375" t="str">
        <f t="shared" si="40"/>
        <v/>
      </c>
      <c r="AQ158" s="375" t="str">
        <f t="shared" si="40"/>
        <v/>
      </c>
      <c r="AR158" s="375" t="str">
        <f t="shared" si="40"/>
        <v/>
      </c>
      <c r="AS158" s="375" t="str">
        <f t="shared" si="40"/>
        <v/>
      </c>
      <c r="AT158" s="375" t="str">
        <f t="shared" si="40"/>
        <v/>
      </c>
      <c r="AU158" s="375" t="str">
        <f t="shared" si="40"/>
        <v/>
      </c>
      <c r="AV158" s="375" t="str">
        <f t="shared" si="40"/>
        <v/>
      </c>
      <c r="AW158" s="375" t="str">
        <f t="shared" si="40"/>
        <v/>
      </c>
      <c r="AX158" s="375" t="str">
        <f t="shared" si="40"/>
        <v/>
      </c>
      <c r="AY158" s="375" t="str">
        <f t="shared" si="40"/>
        <v/>
      </c>
    </row>
    <row r="159" spans="1:51" x14ac:dyDescent="0.25">
      <c r="A159" s="150">
        <v>4</v>
      </c>
      <c r="B159" s="151">
        <f t="shared" si="59"/>
        <v>44378</v>
      </c>
      <c r="C159" s="156">
        <f>IF($A$154="Jansen",SUMIFS('Supply planning data'!G:G,'Supply planning data'!$D:$D,"&lt;="&amp;DataViz!$B159,'Supply planning data'!$C:$C,"Jansen"),IF($A$154="All",SUMIFS('Supply planning data'!H:H,'Supply planning data'!$D:$D,"&lt;="&amp;DataViz!$B159)+SUMIFS('Supply planning data'!G:G,'Supply planning data'!$D:$D,"&lt;="&amp;DataViz!$B159,'Supply planning data'!$C:$C,"Jansen"),SUMIFS('Supply planning data'!H:H,'Supply planning data'!$D:$D,"&lt;="&amp;DataViz!$B159,'Supply planning data'!$C:$C,DataViz!$A$154)))</f>
        <v>12393</v>
      </c>
      <c r="D159" s="173">
        <f t="shared" si="41"/>
        <v>2.0655000000000001E-4</v>
      </c>
      <c r="E159" s="152">
        <f>IF(ISNA(E$155),NA(),SUMIFS('Supply planning data'!$M:$M,'Supply planning data'!$D:$D,"&lt;="&amp;DataViz!$B159,'Supply planning data'!$C:$C,DataViz!E$155))</f>
        <v>197160</v>
      </c>
      <c r="F159" s="152">
        <f>IF(ISNA(F$155),NA(),SUMIFS('Supply planning data'!$M:$M,'Supply planning data'!$D:$D,"&lt;="&amp;DataViz!$B159,'Supply planning data'!$C:$C,DataViz!F$155))</f>
        <v>0</v>
      </c>
      <c r="G159" s="152">
        <f>IF(ISNA(G$155),NA(),SUMIFS('Supply planning data'!$M:$M,'Supply planning data'!$D:$D,"&lt;="&amp;DataViz!$B159,'Supply planning data'!$C:$C,DataViz!G$155))</f>
        <v>0</v>
      </c>
      <c r="H159" s="152">
        <f>IF(ISNA(H$155),NA(),SUMIFS('Supply planning data'!$M:$M,'Supply planning data'!$D:$D,"&lt;="&amp;DataViz!$B159,'Supply planning data'!$C:$C,DataViz!H$155))</f>
        <v>0</v>
      </c>
      <c r="I159" s="152">
        <f>IF(ISNA(I$155),NA(),SUMIFS('Supply planning data'!$M:$M,'Supply planning data'!$D:$D,"&lt;="&amp;DataViz!$B159,'Supply planning data'!$C:$C,DataViz!I$155))</f>
        <v>0</v>
      </c>
      <c r="J159" s="152" t="e">
        <f>IF(ISNA(J$155),NA(),SUMIFS('Supply planning data'!$M:$M,'Supply planning data'!$D:$D,"&lt;="&amp;DataViz!$B159,'Supply planning data'!$C:$C,DataViz!J$155))</f>
        <v>#N/A</v>
      </c>
      <c r="K159" s="152" t="e">
        <f>IF(ISNA(K$155),NA(),SUMIFS('Supply planning data'!$M:$M,'Supply planning data'!$D:$D,"&lt;="&amp;DataViz!$B159,'Supply planning data'!$C:$C,DataViz!K$155))</f>
        <v>#N/A</v>
      </c>
      <c r="L159" s="152" t="e">
        <f>IF(ISNA(L$155),NA(),SUMIFS('Supply planning data'!$M:$M,'Supply planning data'!$D:$D,"&lt;="&amp;DataViz!$B159,'Supply planning data'!$C:$C,DataViz!L$155))</f>
        <v>#N/A</v>
      </c>
      <c r="M159" s="152" t="e">
        <f>IF(ISNA(M$155),NA(),SUMIFS('Supply planning data'!$M:$M,'Supply planning data'!$D:$D,"&lt;="&amp;DataViz!$B159,'Supply planning data'!$C:$C,DataViz!M$155))</f>
        <v>#N/A</v>
      </c>
      <c r="N159" s="152" t="e">
        <f>IF(ISNA(N$155),NA(),SUMIFS('Supply planning data'!$M:$M,'Supply planning data'!$D:$D,"&lt;="&amp;DataViz!$B159,'Supply planning data'!$C:$C,DataViz!N$155))</f>
        <v>#N/A</v>
      </c>
      <c r="O159" s="152" t="e">
        <f>IF(ISNA(O$155),NA(),SUMIFS('Supply planning data'!$M:$M,'Supply planning data'!$D:$D,"&lt;="&amp;DataViz!$B159,'Supply planning data'!$C:$C,DataViz!O$155))</f>
        <v>#N/A</v>
      </c>
      <c r="P159" s="152" t="e">
        <f>IF(ISNA(P$155),NA(),SUMIFS('Supply planning data'!$M:$M,'Supply planning data'!$D:$D,"&lt;="&amp;DataViz!$B159,'Supply planning data'!$C:$C,DataViz!P$155))</f>
        <v>#N/A</v>
      </c>
      <c r="Q159" s="152" t="e">
        <f>IF(ISNA(Q$155),NA(),SUMIFS('Supply planning data'!$M:$M,'Supply planning data'!$D:$D,"&lt;="&amp;DataViz!$B159,'Supply planning data'!$C:$C,DataViz!Q$155))</f>
        <v>#N/A</v>
      </c>
      <c r="R159" s="152" t="e">
        <f>IF(ISNA(R$155),NA(),SUMIFS('Supply planning data'!$M:$M,'Supply planning data'!$D:$D,"&lt;="&amp;DataViz!$B159,'Supply planning data'!$C:$C,DataViz!R$155))</f>
        <v>#N/A</v>
      </c>
      <c r="S159" s="152" t="e">
        <f>IF(ISNA(S$155),NA(),SUMIFS('Supply planning data'!$M:$M,'Supply planning data'!$D:$D,"&lt;="&amp;DataViz!$B159,'Supply planning data'!$C:$C,DataViz!S$155))</f>
        <v>#N/A</v>
      </c>
      <c r="U159" s="14">
        <f t="shared" si="42"/>
        <v>69840</v>
      </c>
      <c r="V159" s="24">
        <f t="shared" si="43"/>
        <v>0</v>
      </c>
      <c r="W159" s="24">
        <f t="shared" si="44"/>
        <v>0</v>
      </c>
      <c r="X159" s="24">
        <f t="shared" si="45"/>
        <v>0</v>
      </c>
      <c r="Y159" s="24">
        <f t="shared" si="46"/>
        <v>0</v>
      </c>
      <c r="Z159" s="24">
        <f t="shared" si="47"/>
        <v>0</v>
      </c>
      <c r="AA159" s="24">
        <f t="shared" si="48"/>
        <v>0</v>
      </c>
      <c r="AB159" s="24">
        <f t="shared" si="49"/>
        <v>0</v>
      </c>
      <c r="AC159" s="24">
        <f t="shared" si="50"/>
        <v>0</v>
      </c>
      <c r="AD159" s="24">
        <f t="shared" si="51"/>
        <v>0</v>
      </c>
      <c r="AE159" s="24">
        <f t="shared" si="52"/>
        <v>0</v>
      </c>
      <c r="AF159" s="24">
        <f t="shared" si="53"/>
        <v>0</v>
      </c>
      <c r="AG159" s="24">
        <f t="shared" si="54"/>
        <v>0</v>
      </c>
      <c r="AH159" s="24">
        <f t="shared" si="55"/>
        <v>0</v>
      </c>
      <c r="AI159" s="24">
        <f t="shared" si="56"/>
        <v>0</v>
      </c>
      <c r="AJ159" s="24">
        <f t="shared" si="57"/>
        <v>69840</v>
      </c>
      <c r="AK159" s="375">
        <f t="shared" si="58"/>
        <v>1</v>
      </c>
      <c r="AL159" s="375" t="str">
        <f t="shared" si="40"/>
        <v/>
      </c>
      <c r="AM159" s="375" t="str">
        <f t="shared" si="40"/>
        <v/>
      </c>
      <c r="AN159" s="375" t="str">
        <f t="shared" si="40"/>
        <v/>
      </c>
      <c r="AO159" s="375" t="str">
        <f t="shared" si="40"/>
        <v/>
      </c>
      <c r="AP159" s="375" t="str">
        <f t="shared" si="40"/>
        <v/>
      </c>
      <c r="AQ159" s="375" t="str">
        <f t="shared" si="40"/>
        <v/>
      </c>
      <c r="AR159" s="375" t="str">
        <f t="shared" si="40"/>
        <v/>
      </c>
      <c r="AS159" s="375" t="str">
        <f t="shared" si="40"/>
        <v/>
      </c>
      <c r="AT159" s="375" t="str">
        <f t="shared" si="40"/>
        <v/>
      </c>
      <c r="AU159" s="375" t="str">
        <f t="shared" si="40"/>
        <v/>
      </c>
      <c r="AV159" s="375" t="str">
        <f t="shared" si="40"/>
        <v/>
      </c>
      <c r="AW159" s="375" t="str">
        <f t="shared" si="40"/>
        <v/>
      </c>
      <c r="AX159" s="375" t="str">
        <f t="shared" si="40"/>
        <v/>
      </c>
      <c r="AY159" s="375" t="str">
        <f t="shared" si="40"/>
        <v/>
      </c>
    </row>
    <row r="160" spans="1:51" x14ac:dyDescent="0.25">
      <c r="A160" s="150">
        <v>5</v>
      </c>
      <c r="B160" s="151">
        <f t="shared" si="59"/>
        <v>44409</v>
      </c>
      <c r="C160" s="156">
        <f>IF($A$154="Jansen",SUMIFS('Supply planning data'!G:G,'Supply planning data'!$D:$D,"&lt;="&amp;DataViz!$B160,'Supply planning data'!$C:$C,"Jansen"),IF($A$154="All",SUMIFS('Supply planning data'!H:H,'Supply planning data'!$D:$D,"&lt;="&amp;DataViz!$B160)+SUMIFS('Supply planning data'!G:G,'Supply planning data'!$D:$D,"&lt;="&amp;DataViz!$B160,'Supply planning data'!$C:$C,"Jansen"),SUMIFS('Supply planning data'!H:H,'Supply planning data'!$D:$D,"&lt;="&amp;DataViz!$B160,'Supply planning data'!$C:$C,DataViz!$A$154)))</f>
        <v>14046</v>
      </c>
      <c r="D160" s="173">
        <f t="shared" si="41"/>
        <v>2.341E-4</v>
      </c>
      <c r="E160" s="152">
        <f>IF(ISNA(E$155),NA(),SUMIFS('Supply planning data'!$M:$M,'Supply planning data'!$D:$D,"&lt;="&amp;DataViz!$B160,'Supply planning data'!$C:$C,DataViz!E$155))</f>
        <v>197160</v>
      </c>
      <c r="F160" s="152">
        <f>IF(ISNA(F$155),NA(),SUMIFS('Supply planning data'!$M:$M,'Supply planning data'!$D:$D,"&lt;="&amp;DataViz!$B160,'Supply planning data'!$C:$C,DataViz!F$155))</f>
        <v>1653</v>
      </c>
      <c r="G160" s="152">
        <f>IF(ISNA(G$155),NA(),SUMIFS('Supply planning data'!$M:$M,'Supply planning data'!$D:$D,"&lt;="&amp;DataViz!$B160,'Supply planning data'!$C:$C,DataViz!G$155))</f>
        <v>0</v>
      </c>
      <c r="H160" s="152">
        <f>IF(ISNA(H$155),NA(),SUMIFS('Supply planning data'!$M:$M,'Supply planning data'!$D:$D,"&lt;="&amp;DataViz!$B160,'Supply planning data'!$C:$C,DataViz!H$155))</f>
        <v>0</v>
      </c>
      <c r="I160" s="152">
        <f>IF(ISNA(I$155),NA(),SUMIFS('Supply planning data'!$M:$M,'Supply planning data'!$D:$D,"&lt;="&amp;DataViz!$B160,'Supply planning data'!$C:$C,DataViz!I$155))</f>
        <v>0</v>
      </c>
      <c r="J160" s="152" t="e">
        <f>IF(ISNA(J$155),NA(),SUMIFS('Supply planning data'!$M:$M,'Supply planning data'!$D:$D,"&lt;="&amp;DataViz!$B160,'Supply planning data'!$C:$C,DataViz!J$155))</f>
        <v>#N/A</v>
      </c>
      <c r="K160" s="152" t="e">
        <f>IF(ISNA(K$155),NA(),SUMIFS('Supply planning data'!$M:$M,'Supply planning data'!$D:$D,"&lt;="&amp;DataViz!$B160,'Supply planning data'!$C:$C,DataViz!K$155))</f>
        <v>#N/A</v>
      </c>
      <c r="L160" s="152" t="e">
        <f>IF(ISNA(L$155),NA(),SUMIFS('Supply planning data'!$M:$M,'Supply planning data'!$D:$D,"&lt;="&amp;DataViz!$B160,'Supply planning data'!$C:$C,DataViz!L$155))</f>
        <v>#N/A</v>
      </c>
      <c r="M160" s="152" t="e">
        <f>IF(ISNA(M$155),NA(),SUMIFS('Supply planning data'!$M:$M,'Supply planning data'!$D:$D,"&lt;="&amp;DataViz!$B160,'Supply planning data'!$C:$C,DataViz!M$155))</f>
        <v>#N/A</v>
      </c>
      <c r="N160" s="152" t="e">
        <f>IF(ISNA(N$155),NA(),SUMIFS('Supply planning data'!$M:$M,'Supply planning data'!$D:$D,"&lt;="&amp;DataViz!$B160,'Supply planning data'!$C:$C,DataViz!N$155))</f>
        <v>#N/A</v>
      </c>
      <c r="O160" s="152" t="e">
        <f>IF(ISNA(O$155),NA(),SUMIFS('Supply planning data'!$M:$M,'Supply planning data'!$D:$D,"&lt;="&amp;DataViz!$B160,'Supply planning data'!$C:$C,DataViz!O$155))</f>
        <v>#N/A</v>
      </c>
      <c r="P160" s="152" t="e">
        <f>IF(ISNA(P$155),NA(),SUMIFS('Supply planning data'!$M:$M,'Supply planning data'!$D:$D,"&lt;="&amp;DataViz!$B160,'Supply planning data'!$C:$C,DataViz!P$155))</f>
        <v>#N/A</v>
      </c>
      <c r="Q160" s="152" t="e">
        <f>IF(ISNA(Q$155),NA(),SUMIFS('Supply planning data'!$M:$M,'Supply planning data'!$D:$D,"&lt;="&amp;DataViz!$B160,'Supply planning data'!$C:$C,DataViz!Q$155))</f>
        <v>#N/A</v>
      </c>
      <c r="R160" s="152" t="e">
        <f>IF(ISNA(R$155),NA(),SUMIFS('Supply planning data'!$M:$M,'Supply planning data'!$D:$D,"&lt;="&amp;DataViz!$B160,'Supply planning data'!$C:$C,DataViz!R$155))</f>
        <v>#N/A</v>
      </c>
      <c r="S160" s="152" t="e">
        <f>IF(ISNA(S$155),NA(),SUMIFS('Supply planning data'!$M:$M,'Supply planning data'!$D:$D,"&lt;="&amp;DataViz!$B160,'Supply planning data'!$C:$C,DataViz!S$155))</f>
        <v>#N/A</v>
      </c>
      <c r="U160" s="14">
        <f t="shared" si="42"/>
        <v>0</v>
      </c>
      <c r="V160" s="24">
        <f t="shared" si="43"/>
        <v>1653</v>
      </c>
      <c r="W160" s="24">
        <f t="shared" si="44"/>
        <v>0</v>
      </c>
      <c r="X160" s="24">
        <f t="shared" si="45"/>
        <v>0</v>
      </c>
      <c r="Y160" s="24">
        <f t="shared" si="46"/>
        <v>0</v>
      </c>
      <c r="Z160" s="24">
        <f t="shared" si="47"/>
        <v>0</v>
      </c>
      <c r="AA160" s="24">
        <f t="shared" si="48"/>
        <v>0</v>
      </c>
      <c r="AB160" s="24">
        <f t="shared" si="49"/>
        <v>0</v>
      </c>
      <c r="AC160" s="24">
        <f t="shared" si="50"/>
        <v>0</v>
      </c>
      <c r="AD160" s="24">
        <f t="shared" si="51"/>
        <v>0</v>
      </c>
      <c r="AE160" s="24">
        <f t="shared" si="52"/>
        <v>0</v>
      </c>
      <c r="AF160" s="24">
        <f t="shared" si="53"/>
        <v>0</v>
      </c>
      <c r="AG160" s="24">
        <f t="shared" si="54"/>
        <v>0</v>
      </c>
      <c r="AH160" s="24">
        <f t="shared" si="55"/>
        <v>0</v>
      </c>
      <c r="AI160" s="24">
        <f t="shared" si="56"/>
        <v>0</v>
      </c>
      <c r="AJ160" s="24">
        <f t="shared" si="57"/>
        <v>1653</v>
      </c>
      <c r="AK160" s="375" t="str">
        <f t="shared" si="58"/>
        <v/>
      </c>
      <c r="AL160" s="375">
        <f t="shared" si="40"/>
        <v>1</v>
      </c>
      <c r="AM160" s="375" t="str">
        <f t="shared" si="40"/>
        <v/>
      </c>
      <c r="AN160" s="375" t="str">
        <f t="shared" si="40"/>
        <v/>
      </c>
      <c r="AO160" s="375" t="str">
        <f t="shared" si="40"/>
        <v/>
      </c>
      <c r="AP160" s="375" t="str">
        <f t="shared" si="40"/>
        <v/>
      </c>
      <c r="AQ160" s="375" t="str">
        <f t="shared" si="40"/>
        <v/>
      </c>
      <c r="AR160" s="375" t="str">
        <f t="shared" si="40"/>
        <v/>
      </c>
      <c r="AS160" s="375" t="str">
        <f t="shared" si="40"/>
        <v/>
      </c>
      <c r="AT160" s="375" t="str">
        <f t="shared" si="40"/>
        <v/>
      </c>
      <c r="AU160" s="375" t="str">
        <f t="shared" si="40"/>
        <v/>
      </c>
      <c r="AV160" s="375" t="str">
        <f t="shared" si="40"/>
        <v/>
      </c>
      <c r="AW160" s="375" t="str">
        <f t="shared" si="40"/>
        <v/>
      </c>
      <c r="AX160" s="375" t="str">
        <f t="shared" si="40"/>
        <v/>
      </c>
      <c r="AY160" s="375" t="str">
        <f t="shared" si="40"/>
        <v/>
      </c>
    </row>
    <row r="161" spans="1:51" x14ac:dyDescent="0.25">
      <c r="A161" s="150">
        <v>6</v>
      </c>
      <c r="B161" s="151">
        <f t="shared" si="59"/>
        <v>44440</v>
      </c>
      <c r="C161" s="156">
        <f>IF($A$154="Jansen",SUMIFS('Supply planning data'!G:G,'Supply planning data'!$D:$D,"&lt;="&amp;DataViz!$B161,'Supply planning data'!$C:$C,"Jansen"),IF($A$154="All",SUMIFS('Supply planning data'!H:H,'Supply planning data'!$D:$D,"&lt;="&amp;DataViz!$B161)+SUMIFS('Supply planning data'!G:G,'Supply planning data'!$D:$D,"&lt;="&amp;DataViz!$B161,'Supply planning data'!$C:$C,"Jansen"),SUMIFS('Supply planning data'!H:H,'Supply planning data'!$D:$D,"&lt;="&amp;DataViz!$B161,'Supply planning data'!$C:$C,DataViz!$A$154)))</f>
        <v>68876</v>
      </c>
      <c r="D161" s="173">
        <f t="shared" si="41"/>
        <v>1.1479333333333332E-3</v>
      </c>
      <c r="E161" s="152">
        <f>IF(ISNA(E$155),NA(),SUMIFS('Supply planning data'!$M:$M,'Supply planning data'!$D:$D,"&lt;="&amp;DataViz!$B161,'Supply planning data'!$C:$C,DataViz!E$155))</f>
        <v>497160</v>
      </c>
      <c r="F161" s="152">
        <f>IF(ISNA(F$155),NA(),SUMIFS('Supply planning data'!$M:$M,'Supply planning data'!$D:$D,"&lt;="&amp;DataViz!$B161,'Supply planning data'!$C:$C,DataViz!F$155))</f>
        <v>56483</v>
      </c>
      <c r="G161" s="152">
        <f>IF(ISNA(G$155),NA(),SUMIFS('Supply planning data'!$M:$M,'Supply planning data'!$D:$D,"&lt;="&amp;DataViz!$B161,'Supply planning data'!$C:$C,DataViz!G$155))</f>
        <v>0</v>
      </c>
      <c r="H161" s="152">
        <f>IF(ISNA(H$155),NA(),SUMIFS('Supply planning data'!$M:$M,'Supply planning data'!$D:$D,"&lt;="&amp;DataViz!$B161,'Supply planning data'!$C:$C,DataViz!H$155))</f>
        <v>0</v>
      </c>
      <c r="I161" s="152">
        <f>IF(ISNA(I$155),NA(),SUMIFS('Supply planning data'!$M:$M,'Supply planning data'!$D:$D,"&lt;="&amp;DataViz!$B161,'Supply planning data'!$C:$C,DataViz!I$155))</f>
        <v>0</v>
      </c>
      <c r="J161" s="152" t="e">
        <f>IF(ISNA(J$155),NA(),SUMIFS('Supply planning data'!$M:$M,'Supply planning data'!$D:$D,"&lt;="&amp;DataViz!$B161,'Supply planning data'!$C:$C,DataViz!J$155))</f>
        <v>#N/A</v>
      </c>
      <c r="K161" s="152" t="e">
        <f>IF(ISNA(K$155),NA(),SUMIFS('Supply planning data'!$M:$M,'Supply planning data'!$D:$D,"&lt;="&amp;DataViz!$B161,'Supply planning data'!$C:$C,DataViz!K$155))</f>
        <v>#N/A</v>
      </c>
      <c r="L161" s="152" t="e">
        <f>IF(ISNA(L$155),NA(),SUMIFS('Supply planning data'!$M:$M,'Supply planning data'!$D:$D,"&lt;="&amp;DataViz!$B161,'Supply planning data'!$C:$C,DataViz!L$155))</f>
        <v>#N/A</v>
      </c>
      <c r="M161" s="152" t="e">
        <f>IF(ISNA(M$155),NA(),SUMIFS('Supply planning data'!$M:$M,'Supply planning data'!$D:$D,"&lt;="&amp;DataViz!$B161,'Supply planning data'!$C:$C,DataViz!M$155))</f>
        <v>#N/A</v>
      </c>
      <c r="N161" s="152" t="e">
        <f>IF(ISNA(N$155),NA(),SUMIFS('Supply planning data'!$M:$M,'Supply planning data'!$D:$D,"&lt;="&amp;DataViz!$B161,'Supply planning data'!$C:$C,DataViz!N$155))</f>
        <v>#N/A</v>
      </c>
      <c r="O161" s="152" t="e">
        <f>IF(ISNA(O$155),NA(),SUMIFS('Supply planning data'!$M:$M,'Supply planning data'!$D:$D,"&lt;="&amp;DataViz!$B161,'Supply planning data'!$C:$C,DataViz!O$155))</f>
        <v>#N/A</v>
      </c>
      <c r="P161" s="152" t="e">
        <f>IF(ISNA(P$155),NA(),SUMIFS('Supply planning data'!$M:$M,'Supply planning data'!$D:$D,"&lt;="&amp;DataViz!$B161,'Supply planning data'!$C:$C,DataViz!P$155))</f>
        <v>#N/A</v>
      </c>
      <c r="Q161" s="152" t="e">
        <f>IF(ISNA(Q$155),NA(),SUMIFS('Supply planning data'!$M:$M,'Supply planning data'!$D:$D,"&lt;="&amp;DataViz!$B161,'Supply planning data'!$C:$C,DataViz!Q$155))</f>
        <v>#N/A</v>
      </c>
      <c r="R161" s="152" t="e">
        <f>IF(ISNA(R$155),NA(),SUMIFS('Supply planning data'!$M:$M,'Supply planning data'!$D:$D,"&lt;="&amp;DataViz!$B161,'Supply planning data'!$C:$C,DataViz!R$155))</f>
        <v>#N/A</v>
      </c>
      <c r="S161" s="152" t="e">
        <f>IF(ISNA(S$155),NA(),SUMIFS('Supply planning data'!$M:$M,'Supply planning data'!$D:$D,"&lt;="&amp;DataViz!$B161,'Supply planning data'!$C:$C,DataViz!S$155))</f>
        <v>#N/A</v>
      </c>
      <c r="U161" s="14">
        <f t="shared" si="42"/>
        <v>300000</v>
      </c>
      <c r="V161" s="24">
        <f t="shared" si="43"/>
        <v>54830</v>
      </c>
      <c r="W161" s="24">
        <f t="shared" si="44"/>
        <v>0</v>
      </c>
      <c r="X161" s="24">
        <f t="shared" si="45"/>
        <v>0</v>
      </c>
      <c r="Y161" s="24">
        <f t="shared" si="46"/>
        <v>0</v>
      </c>
      <c r="Z161" s="24">
        <f t="shared" si="47"/>
        <v>0</v>
      </c>
      <c r="AA161" s="24">
        <f t="shared" si="48"/>
        <v>0</v>
      </c>
      <c r="AB161" s="24">
        <f t="shared" si="49"/>
        <v>0</v>
      </c>
      <c r="AC161" s="24">
        <f t="shared" si="50"/>
        <v>0</v>
      </c>
      <c r="AD161" s="24">
        <f t="shared" si="51"/>
        <v>0</v>
      </c>
      <c r="AE161" s="24">
        <f t="shared" si="52"/>
        <v>0</v>
      </c>
      <c r="AF161" s="24">
        <f t="shared" si="53"/>
        <v>0</v>
      </c>
      <c r="AG161" s="24">
        <f t="shared" si="54"/>
        <v>0</v>
      </c>
      <c r="AH161" s="24">
        <f t="shared" si="55"/>
        <v>0</v>
      </c>
      <c r="AI161" s="24">
        <f t="shared" si="56"/>
        <v>0</v>
      </c>
      <c r="AJ161" s="24">
        <f t="shared" si="57"/>
        <v>354830</v>
      </c>
      <c r="AK161" s="375">
        <f t="shared" si="58"/>
        <v>0.84547529803004251</v>
      </c>
      <c r="AL161" s="375">
        <f t="shared" si="40"/>
        <v>0.15452470196995743</v>
      </c>
      <c r="AM161" s="375" t="str">
        <f t="shared" si="40"/>
        <v/>
      </c>
      <c r="AN161" s="375" t="str">
        <f t="shared" si="40"/>
        <v/>
      </c>
      <c r="AO161" s="375" t="str">
        <f t="shared" si="40"/>
        <v/>
      </c>
      <c r="AP161" s="375" t="str">
        <f t="shared" si="40"/>
        <v/>
      </c>
      <c r="AQ161" s="375" t="str">
        <f t="shared" si="40"/>
        <v/>
      </c>
      <c r="AR161" s="375" t="str">
        <f t="shared" si="40"/>
        <v/>
      </c>
      <c r="AS161" s="375" t="str">
        <f t="shared" si="40"/>
        <v/>
      </c>
      <c r="AT161" s="375" t="str">
        <f t="shared" si="40"/>
        <v/>
      </c>
      <c r="AU161" s="375" t="str">
        <f t="shared" si="40"/>
        <v/>
      </c>
      <c r="AV161" s="375" t="str">
        <f t="shared" si="40"/>
        <v/>
      </c>
      <c r="AW161" s="375" t="str">
        <f t="shared" si="40"/>
        <v/>
      </c>
      <c r="AX161" s="375" t="str">
        <f t="shared" si="40"/>
        <v/>
      </c>
      <c r="AY161" s="375" t="str">
        <f t="shared" si="40"/>
        <v/>
      </c>
    </row>
    <row r="162" spans="1:51" x14ac:dyDescent="0.25">
      <c r="A162" s="150">
        <v>7</v>
      </c>
      <c r="B162" s="151">
        <f t="shared" si="59"/>
        <v>44470</v>
      </c>
      <c r="C162" s="156">
        <f>IF($A$154="Jansen",SUMIFS('Supply planning data'!G:G,'Supply planning data'!$D:$D,"&lt;="&amp;DataViz!$B162,'Supply planning data'!$C:$C,"Jansen"),IF($A$154="All",SUMIFS('Supply planning data'!H:H,'Supply planning data'!$D:$D,"&lt;="&amp;DataViz!$B162)+SUMIFS('Supply planning data'!G:G,'Supply planning data'!$D:$D,"&lt;="&amp;DataViz!$B162,'Supply planning data'!$C:$C,"Jansen"),SUMIFS('Supply planning data'!H:H,'Supply planning data'!$D:$D,"&lt;="&amp;DataViz!$B162,'Supply planning data'!$C:$C,DataViz!$A$154)))</f>
        <v>292088</v>
      </c>
      <c r="D162" s="173">
        <f t="shared" si="41"/>
        <v>4.8681333333333333E-3</v>
      </c>
      <c r="E162" s="152">
        <f>IF(ISNA(E$155),NA(),SUMIFS('Supply planning data'!$M:$M,'Supply planning data'!$D:$D,"&lt;="&amp;DataViz!$B162,'Supply planning data'!$C:$C,DataViz!E$155))</f>
        <v>613240</v>
      </c>
      <c r="F162" s="152">
        <f>IF(ISNA(F$155),NA(),SUMIFS('Supply planning data'!$M:$M,'Supply planning data'!$D:$D,"&lt;="&amp;DataViz!$B162,'Supply planning data'!$C:$C,DataViz!F$155))</f>
        <v>222711</v>
      </c>
      <c r="G162" s="152">
        <f>IF(ISNA(G$155),NA(),SUMIFS('Supply planning data'!$M:$M,'Supply planning data'!$D:$D,"&lt;="&amp;DataViz!$B162,'Supply planning data'!$C:$C,DataViz!G$155))</f>
        <v>0</v>
      </c>
      <c r="H162" s="152">
        <f>IF(ISNA(H$155),NA(),SUMIFS('Supply planning data'!$M:$M,'Supply planning data'!$D:$D,"&lt;="&amp;DataViz!$B162,'Supply planning data'!$C:$C,DataViz!H$155))</f>
        <v>0</v>
      </c>
      <c r="I162" s="152">
        <f>IF(ISNA(I$155),NA(),SUMIFS('Supply planning data'!$M:$M,'Supply planning data'!$D:$D,"&lt;="&amp;DataViz!$B162,'Supply planning data'!$C:$C,DataViz!I$155))</f>
        <v>0</v>
      </c>
      <c r="J162" s="152" t="e">
        <f>IF(ISNA(J$155),NA(),SUMIFS('Supply planning data'!$M:$M,'Supply planning data'!$D:$D,"&lt;="&amp;DataViz!$B162,'Supply planning data'!$C:$C,DataViz!J$155))</f>
        <v>#N/A</v>
      </c>
      <c r="K162" s="152" t="e">
        <f>IF(ISNA(K$155),NA(),SUMIFS('Supply planning data'!$M:$M,'Supply planning data'!$D:$D,"&lt;="&amp;DataViz!$B162,'Supply planning data'!$C:$C,DataViz!K$155))</f>
        <v>#N/A</v>
      </c>
      <c r="L162" s="152" t="e">
        <f>IF(ISNA(L$155),NA(),SUMIFS('Supply planning data'!$M:$M,'Supply planning data'!$D:$D,"&lt;="&amp;DataViz!$B162,'Supply planning data'!$C:$C,DataViz!L$155))</f>
        <v>#N/A</v>
      </c>
      <c r="M162" s="152" t="e">
        <f>IF(ISNA(M$155),NA(),SUMIFS('Supply planning data'!$M:$M,'Supply planning data'!$D:$D,"&lt;="&amp;DataViz!$B162,'Supply planning data'!$C:$C,DataViz!M$155))</f>
        <v>#N/A</v>
      </c>
      <c r="N162" s="152" t="e">
        <f>IF(ISNA(N$155),NA(),SUMIFS('Supply planning data'!$M:$M,'Supply planning data'!$D:$D,"&lt;="&amp;DataViz!$B162,'Supply planning data'!$C:$C,DataViz!N$155))</f>
        <v>#N/A</v>
      </c>
      <c r="O162" s="152" t="e">
        <f>IF(ISNA(O$155),NA(),SUMIFS('Supply planning data'!$M:$M,'Supply planning data'!$D:$D,"&lt;="&amp;DataViz!$B162,'Supply planning data'!$C:$C,DataViz!O$155))</f>
        <v>#N/A</v>
      </c>
      <c r="P162" s="152" t="e">
        <f>IF(ISNA(P$155),NA(),SUMIFS('Supply planning data'!$M:$M,'Supply planning data'!$D:$D,"&lt;="&amp;DataViz!$B162,'Supply planning data'!$C:$C,DataViz!P$155))</f>
        <v>#N/A</v>
      </c>
      <c r="Q162" s="152" t="e">
        <f>IF(ISNA(Q$155),NA(),SUMIFS('Supply planning data'!$M:$M,'Supply planning data'!$D:$D,"&lt;="&amp;DataViz!$B162,'Supply planning data'!$C:$C,DataViz!Q$155))</f>
        <v>#N/A</v>
      </c>
      <c r="R162" s="152" t="e">
        <f>IF(ISNA(R$155),NA(),SUMIFS('Supply planning data'!$M:$M,'Supply planning data'!$D:$D,"&lt;="&amp;DataViz!$B162,'Supply planning data'!$C:$C,DataViz!R$155))</f>
        <v>#N/A</v>
      </c>
      <c r="S162" s="152" t="e">
        <f>IF(ISNA(S$155),NA(),SUMIFS('Supply planning data'!$M:$M,'Supply planning data'!$D:$D,"&lt;="&amp;DataViz!$B162,'Supply planning data'!$C:$C,DataViz!S$155))</f>
        <v>#N/A</v>
      </c>
      <c r="U162" s="14">
        <f t="shared" si="42"/>
        <v>116080</v>
      </c>
      <c r="V162" s="24">
        <f t="shared" si="43"/>
        <v>166228</v>
      </c>
      <c r="W162" s="24">
        <f t="shared" si="44"/>
        <v>0</v>
      </c>
      <c r="X162" s="24">
        <f t="shared" si="45"/>
        <v>0</v>
      </c>
      <c r="Y162" s="24">
        <f t="shared" si="46"/>
        <v>0</v>
      </c>
      <c r="Z162" s="24">
        <f t="shared" si="47"/>
        <v>0</v>
      </c>
      <c r="AA162" s="24">
        <f t="shared" si="48"/>
        <v>0</v>
      </c>
      <c r="AB162" s="24">
        <f t="shared" si="49"/>
        <v>0</v>
      </c>
      <c r="AC162" s="24">
        <f t="shared" si="50"/>
        <v>0</v>
      </c>
      <c r="AD162" s="24">
        <f t="shared" si="51"/>
        <v>0</v>
      </c>
      <c r="AE162" s="24">
        <f t="shared" si="52"/>
        <v>0</v>
      </c>
      <c r="AF162" s="24">
        <f t="shared" si="53"/>
        <v>0</v>
      </c>
      <c r="AG162" s="24">
        <f t="shared" si="54"/>
        <v>0</v>
      </c>
      <c r="AH162" s="24">
        <f t="shared" si="55"/>
        <v>0</v>
      </c>
      <c r="AI162" s="24">
        <f t="shared" si="56"/>
        <v>0</v>
      </c>
      <c r="AJ162" s="24">
        <f t="shared" si="57"/>
        <v>282308</v>
      </c>
      <c r="AK162" s="375">
        <f t="shared" si="58"/>
        <v>0.41118211315301018</v>
      </c>
      <c r="AL162" s="375">
        <f t="shared" si="40"/>
        <v>0.58881788684698977</v>
      </c>
      <c r="AM162" s="375" t="str">
        <f t="shared" si="40"/>
        <v/>
      </c>
      <c r="AN162" s="375" t="str">
        <f t="shared" si="40"/>
        <v/>
      </c>
      <c r="AO162" s="375" t="str">
        <f t="shared" si="40"/>
        <v/>
      </c>
      <c r="AP162" s="375" t="str">
        <f t="shared" si="40"/>
        <v/>
      </c>
      <c r="AQ162" s="375" t="str">
        <f t="shared" si="40"/>
        <v/>
      </c>
      <c r="AR162" s="375" t="str">
        <f t="shared" si="40"/>
        <v/>
      </c>
      <c r="AS162" s="375" t="str">
        <f t="shared" si="40"/>
        <v/>
      </c>
      <c r="AT162" s="375" t="str">
        <f t="shared" si="40"/>
        <v/>
      </c>
      <c r="AU162" s="375" t="str">
        <f t="shared" si="40"/>
        <v/>
      </c>
      <c r="AV162" s="375" t="str">
        <f t="shared" si="40"/>
        <v/>
      </c>
      <c r="AW162" s="375" t="str">
        <f t="shared" si="40"/>
        <v/>
      </c>
      <c r="AX162" s="375" t="str">
        <f t="shared" si="40"/>
        <v/>
      </c>
      <c r="AY162" s="375" t="str">
        <f t="shared" si="40"/>
        <v/>
      </c>
    </row>
    <row r="163" spans="1:51" x14ac:dyDescent="0.25">
      <c r="A163" s="150">
        <v>8</v>
      </c>
      <c r="B163" s="151">
        <f t="shared" si="59"/>
        <v>44501</v>
      </c>
      <c r="C163" s="156">
        <f>IF($A$154="Jansen",SUMIFS('Supply planning data'!G:G,'Supply planning data'!$D:$D,"&lt;="&amp;DataViz!$B163,'Supply planning data'!$C:$C,"Jansen"),IF($A$154="All",SUMIFS('Supply planning data'!H:H,'Supply planning data'!$D:$D,"&lt;="&amp;DataViz!$B163)+SUMIFS('Supply planning data'!G:G,'Supply planning data'!$D:$D,"&lt;="&amp;DataViz!$B163,'Supply planning data'!$C:$C,"Jansen"),SUMIFS('Supply planning data'!H:H,'Supply planning data'!$D:$D,"&lt;="&amp;DataViz!$B163,'Supply planning data'!$C:$C,DataViz!$A$154)))</f>
        <v>675083</v>
      </c>
      <c r="D163" s="173">
        <f t="shared" si="41"/>
        <v>1.1251383333333333E-2</v>
      </c>
      <c r="E163" s="152">
        <f>IF(ISNA(E$155),NA(),SUMIFS('Supply planning data'!$M:$M,'Supply planning data'!$D:$D,"&lt;="&amp;DataViz!$B163,'Supply planning data'!$C:$C,DataViz!E$155))</f>
        <v>649594</v>
      </c>
      <c r="F163" s="152">
        <f>IF(ISNA(F$155),NA(),SUMIFS('Supply planning data'!$M:$M,'Supply planning data'!$D:$D,"&lt;="&amp;DataViz!$B163,'Supply planning data'!$C:$C,DataViz!F$155))</f>
        <v>587932</v>
      </c>
      <c r="G163" s="152">
        <f>IF(ISNA(G$155),NA(),SUMIFS('Supply planning data'!$M:$M,'Supply planning data'!$D:$D,"&lt;="&amp;DataViz!$B163,'Supply planning data'!$C:$C,DataViz!G$155))</f>
        <v>0</v>
      </c>
      <c r="H163" s="152">
        <f>IF(ISNA(H$155),NA(),SUMIFS('Supply planning data'!$M:$M,'Supply planning data'!$D:$D,"&lt;="&amp;DataViz!$B163,'Supply planning data'!$C:$C,DataViz!H$155))</f>
        <v>0</v>
      </c>
      <c r="I163" s="152">
        <f>IF(ISNA(I$155),NA(),SUMIFS('Supply planning data'!$M:$M,'Supply planning data'!$D:$D,"&lt;="&amp;DataViz!$B163,'Supply planning data'!$C:$C,DataViz!I$155))</f>
        <v>0</v>
      </c>
      <c r="J163" s="152" t="e">
        <f>IF(ISNA(J$155),NA(),SUMIFS('Supply planning data'!$M:$M,'Supply planning data'!$D:$D,"&lt;="&amp;DataViz!$B163,'Supply planning data'!$C:$C,DataViz!J$155))</f>
        <v>#N/A</v>
      </c>
      <c r="K163" s="152" t="e">
        <f>IF(ISNA(K$155),NA(),SUMIFS('Supply planning data'!$M:$M,'Supply planning data'!$D:$D,"&lt;="&amp;DataViz!$B163,'Supply planning data'!$C:$C,DataViz!K$155))</f>
        <v>#N/A</v>
      </c>
      <c r="L163" s="152" t="e">
        <f>IF(ISNA(L$155),NA(),SUMIFS('Supply planning data'!$M:$M,'Supply planning data'!$D:$D,"&lt;="&amp;DataViz!$B163,'Supply planning data'!$C:$C,DataViz!L$155))</f>
        <v>#N/A</v>
      </c>
      <c r="M163" s="152" t="e">
        <f>IF(ISNA(M$155),NA(),SUMIFS('Supply planning data'!$M:$M,'Supply planning data'!$D:$D,"&lt;="&amp;DataViz!$B163,'Supply planning data'!$C:$C,DataViz!M$155))</f>
        <v>#N/A</v>
      </c>
      <c r="N163" s="152" t="e">
        <f>IF(ISNA(N$155),NA(),SUMIFS('Supply planning data'!$M:$M,'Supply planning data'!$D:$D,"&lt;="&amp;DataViz!$B163,'Supply planning data'!$C:$C,DataViz!N$155))</f>
        <v>#N/A</v>
      </c>
      <c r="O163" s="152" t="e">
        <f>IF(ISNA(O$155),NA(),SUMIFS('Supply planning data'!$M:$M,'Supply planning data'!$D:$D,"&lt;="&amp;DataViz!$B163,'Supply planning data'!$C:$C,DataViz!O$155))</f>
        <v>#N/A</v>
      </c>
      <c r="P163" s="152" t="e">
        <f>IF(ISNA(P$155),NA(),SUMIFS('Supply planning data'!$M:$M,'Supply planning data'!$D:$D,"&lt;="&amp;DataViz!$B163,'Supply planning data'!$C:$C,DataViz!P$155))</f>
        <v>#N/A</v>
      </c>
      <c r="Q163" s="152" t="e">
        <f>IF(ISNA(Q$155),NA(),SUMIFS('Supply planning data'!$M:$M,'Supply planning data'!$D:$D,"&lt;="&amp;DataViz!$B163,'Supply planning data'!$C:$C,DataViz!Q$155))</f>
        <v>#N/A</v>
      </c>
      <c r="R163" s="152" t="e">
        <f>IF(ISNA(R$155),NA(),SUMIFS('Supply planning data'!$M:$M,'Supply planning data'!$D:$D,"&lt;="&amp;DataViz!$B163,'Supply planning data'!$C:$C,DataViz!R$155))</f>
        <v>#N/A</v>
      </c>
      <c r="S163" s="152" t="e">
        <f>IF(ISNA(S$155),NA(),SUMIFS('Supply planning data'!$M:$M,'Supply planning data'!$D:$D,"&lt;="&amp;DataViz!$B163,'Supply planning data'!$C:$C,DataViz!S$155))</f>
        <v>#N/A</v>
      </c>
      <c r="U163" s="14">
        <f t="shared" si="42"/>
        <v>36354</v>
      </c>
      <c r="V163" s="24">
        <f t="shared" si="43"/>
        <v>365221</v>
      </c>
      <c r="W163" s="24">
        <f t="shared" si="44"/>
        <v>0</v>
      </c>
      <c r="X163" s="24">
        <f t="shared" si="45"/>
        <v>0</v>
      </c>
      <c r="Y163" s="24">
        <f t="shared" si="46"/>
        <v>0</v>
      </c>
      <c r="Z163" s="24">
        <f t="shared" si="47"/>
        <v>0</v>
      </c>
      <c r="AA163" s="24">
        <f t="shared" si="48"/>
        <v>0</v>
      </c>
      <c r="AB163" s="24">
        <f t="shared" si="49"/>
        <v>0</v>
      </c>
      <c r="AC163" s="24">
        <f t="shared" si="50"/>
        <v>0</v>
      </c>
      <c r="AD163" s="24">
        <f t="shared" si="51"/>
        <v>0</v>
      </c>
      <c r="AE163" s="24">
        <f t="shared" si="52"/>
        <v>0</v>
      </c>
      <c r="AF163" s="24">
        <f t="shared" si="53"/>
        <v>0</v>
      </c>
      <c r="AG163" s="24">
        <f t="shared" si="54"/>
        <v>0</v>
      </c>
      <c r="AH163" s="24">
        <f t="shared" si="55"/>
        <v>0</v>
      </c>
      <c r="AI163" s="24">
        <f t="shared" si="56"/>
        <v>0</v>
      </c>
      <c r="AJ163" s="24">
        <f t="shared" si="57"/>
        <v>401575</v>
      </c>
      <c r="AK163" s="375">
        <f t="shared" si="58"/>
        <v>9.0528543858556937E-2</v>
      </c>
      <c r="AL163" s="375">
        <f t="shared" si="40"/>
        <v>0.90947145614144309</v>
      </c>
      <c r="AM163" s="375" t="str">
        <f t="shared" si="40"/>
        <v/>
      </c>
      <c r="AN163" s="375" t="str">
        <f t="shared" si="40"/>
        <v/>
      </c>
      <c r="AO163" s="375" t="str">
        <f t="shared" si="40"/>
        <v/>
      </c>
      <c r="AP163" s="375" t="str">
        <f t="shared" si="40"/>
        <v/>
      </c>
      <c r="AQ163" s="375" t="str">
        <f t="shared" si="40"/>
        <v/>
      </c>
      <c r="AR163" s="375" t="str">
        <f t="shared" si="40"/>
        <v/>
      </c>
      <c r="AS163" s="375" t="str">
        <f t="shared" si="40"/>
        <v/>
      </c>
      <c r="AT163" s="375" t="str">
        <f t="shared" si="40"/>
        <v/>
      </c>
      <c r="AU163" s="375" t="str">
        <f t="shared" si="40"/>
        <v/>
      </c>
      <c r="AV163" s="375" t="str">
        <f t="shared" si="40"/>
        <v/>
      </c>
      <c r="AW163" s="375" t="str">
        <f t="shared" si="40"/>
        <v/>
      </c>
      <c r="AX163" s="375" t="str">
        <f t="shared" si="40"/>
        <v/>
      </c>
      <c r="AY163" s="375" t="str">
        <f t="shared" si="40"/>
        <v/>
      </c>
    </row>
    <row r="164" spans="1:51" x14ac:dyDescent="0.25">
      <c r="A164" s="150">
        <v>9</v>
      </c>
      <c r="B164" s="151">
        <f t="shared" si="59"/>
        <v>44531</v>
      </c>
      <c r="C164" s="156">
        <f>IF($A$154="Jansen",SUMIFS('Supply planning data'!G:G,'Supply planning data'!$D:$D,"&lt;="&amp;DataViz!$B164,'Supply planning data'!$C:$C,"Jansen"),IF($A$154="All",SUMIFS('Supply planning data'!H:H,'Supply planning data'!$D:$D,"&lt;="&amp;DataViz!$B164)+SUMIFS('Supply planning data'!G:G,'Supply planning data'!$D:$D,"&lt;="&amp;DataViz!$B164,'Supply planning data'!$C:$C,"Jansen"),SUMIFS('Supply planning data'!H:H,'Supply planning data'!$D:$D,"&lt;="&amp;DataViz!$B164,'Supply planning data'!$C:$C,DataViz!$A$154)))</f>
        <v>1139671</v>
      </c>
      <c r="D164" s="173">
        <f t="shared" si="41"/>
        <v>1.8994516666666666E-2</v>
      </c>
      <c r="E164" s="152">
        <f>IF(ISNA(E$155),NA(),SUMIFS('Supply planning data'!$M:$M,'Supply planning data'!$D:$D,"&lt;="&amp;DataViz!$B164,'Supply planning data'!$C:$C,DataViz!E$155))</f>
        <v>835966</v>
      </c>
      <c r="F164" s="152">
        <f>IF(ISNA(F$155),NA(),SUMIFS('Supply planning data'!$M:$M,'Supply planning data'!$D:$D,"&lt;="&amp;DataViz!$B164,'Supply planning data'!$C:$C,DataViz!F$155))</f>
        <v>985069</v>
      </c>
      <c r="G164" s="152">
        <f>IF(ISNA(G$155),NA(),SUMIFS('Supply planning data'!$M:$M,'Supply planning data'!$D:$D,"&lt;="&amp;DataViz!$B164,'Supply planning data'!$C:$C,DataViz!G$155))</f>
        <v>0</v>
      </c>
      <c r="H164" s="152">
        <f>IF(ISNA(H$155),NA(),SUMIFS('Supply planning data'!$M:$M,'Supply planning data'!$D:$D,"&lt;="&amp;DataViz!$B164,'Supply planning data'!$C:$C,DataViz!H$155))</f>
        <v>0</v>
      </c>
      <c r="I164" s="152">
        <f>IF(ISNA(I$155),NA(),SUMIFS('Supply planning data'!$M:$M,'Supply planning data'!$D:$D,"&lt;="&amp;DataViz!$B164,'Supply planning data'!$C:$C,DataViz!I$155))</f>
        <v>0</v>
      </c>
      <c r="J164" s="152" t="e">
        <f>IF(ISNA(J$155),NA(),SUMIFS('Supply planning data'!$M:$M,'Supply planning data'!$D:$D,"&lt;="&amp;DataViz!$B164,'Supply planning data'!$C:$C,DataViz!J$155))</f>
        <v>#N/A</v>
      </c>
      <c r="K164" s="152" t="e">
        <f>IF(ISNA(K$155),NA(),SUMIFS('Supply planning data'!$M:$M,'Supply planning data'!$D:$D,"&lt;="&amp;DataViz!$B164,'Supply planning data'!$C:$C,DataViz!K$155))</f>
        <v>#N/A</v>
      </c>
      <c r="L164" s="152" t="e">
        <f>IF(ISNA(L$155),NA(),SUMIFS('Supply planning data'!$M:$M,'Supply planning data'!$D:$D,"&lt;="&amp;DataViz!$B164,'Supply planning data'!$C:$C,DataViz!L$155))</f>
        <v>#N/A</v>
      </c>
      <c r="M164" s="152" t="e">
        <f>IF(ISNA(M$155),NA(),SUMIFS('Supply planning data'!$M:$M,'Supply planning data'!$D:$D,"&lt;="&amp;DataViz!$B164,'Supply planning data'!$C:$C,DataViz!M$155))</f>
        <v>#N/A</v>
      </c>
      <c r="N164" s="152" t="e">
        <f>IF(ISNA(N$155),NA(),SUMIFS('Supply planning data'!$M:$M,'Supply planning data'!$D:$D,"&lt;="&amp;DataViz!$B164,'Supply planning data'!$C:$C,DataViz!N$155))</f>
        <v>#N/A</v>
      </c>
      <c r="O164" s="152" t="e">
        <f>IF(ISNA(O$155),NA(),SUMIFS('Supply planning data'!$M:$M,'Supply planning data'!$D:$D,"&lt;="&amp;DataViz!$B164,'Supply planning data'!$C:$C,DataViz!O$155))</f>
        <v>#N/A</v>
      </c>
      <c r="P164" s="152" t="e">
        <f>IF(ISNA(P$155),NA(),SUMIFS('Supply planning data'!$M:$M,'Supply planning data'!$D:$D,"&lt;="&amp;DataViz!$B164,'Supply planning data'!$C:$C,DataViz!P$155))</f>
        <v>#N/A</v>
      </c>
      <c r="Q164" s="152" t="e">
        <f>IF(ISNA(Q$155),NA(),SUMIFS('Supply planning data'!$M:$M,'Supply planning data'!$D:$D,"&lt;="&amp;DataViz!$B164,'Supply planning data'!$C:$C,DataViz!Q$155))</f>
        <v>#N/A</v>
      </c>
      <c r="R164" s="152" t="e">
        <f>IF(ISNA(R$155),NA(),SUMIFS('Supply planning data'!$M:$M,'Supply planning data'!$D:$D,"&lt;="&amp;DataViz!$B164,'Supply planning data'!$C:$C,DataViz!R$155))</f>
        <v>#N/A</v>
      </c>
      <c r="S164" s="152" t="e">
        <f>IF(ISNA(S$155),NA(),SUMIFS('Supply planning data'!$M:$M,'Supply planning data'!$D:$D,"&lt;="&amp;DataViz!$B164,'Supply planning data'!$C:$C,DataViz!S$155))</f>
        <v>#N/A</v>
      </c>
      <c r="U164" s="14">
        <f t="shared" si="42"/>
        <v>186372</v>
      </c>
      <c r="V164" s="24">
        <f t="shared" si="43"/>
        <v>397137</v>
      </c>
      <c r="W164" s="24">
        <f t="shared" si="44"/>
        <v>0</v>
      </c>
      <c r="X164" s="24">
        <f t="shared" si="45"/>
        <v>0</v>
      </c>
      <c r="Y164" s="24">
        <f t="shared" si="46"/>
        <v>0</v>
      </c>
      <c r="Z164" s="24">
        <f t="shared" si="47"/>
        <v>0</v>
      </c>
      <c r="AA164" s="24">
        <f t="shared" si="48"/>
        <v>0</v>
      </c>
      <c r="AB164" s="24">
        <f t="shared" si="49"/>
        <v>0</v>
      </c>
      <c r="AC164" s="24">
        <f t="shared" si="50"/>
        <v>0</v>
      </c>
      <c r="AD164" s="24">
        <f t="shared" si="51"/>
        <v>0</v>
      </c>
      <c r="AE164" s="24">
        <f t="shared" si="52"/>
        <v>0</v>
      </c>
      <c r="AF164" s="24">
        <f t="shared" si="53"/>
        <v>0</v>
      </c>
      <c r="AG164" s="24">
        <f t="shared" si="54"/>
        <v>0</v>
      </c>
      <c r="AH164" s="24">
        <f t="shared" si="55"/>
        <v>0</v>
      </c>
      <c r="AI164" s="24">
        <f t="shared" si="56"/>
        <v>0</v>
      </c>
      <c r="AJ164" s="24">
        <f t="shared" si="57"/>
        <v>583509</v>
      </c>
      <c r="AK164" s="375">
        <f t="shared" si="58"/>
        <v>0.31939867251404863</v>
      </c>
      <c r="AL164" s="375">
        <f t="shared" si="40"/>
        <v>0.68060132748595137</v>
      </c>
      <c r="AM164" s="375" t="str">
        <f t="shared" si="40"/>
        <v/>
      </c>
      <c r="AN164" s="375" t="str">
        <f t="shared" si="40"/>
        <v/>
      </c>
      <c r="AO164" s="375" t="str">
        <f t="shared" si="40"/>
        <v/>
      </c>
      <c r="AP164" s="375" t="str">
        <f t="shared" si="40"/>
        <v/>
      </c>
      <c r="AQ164" s="375" t="str">
        <f t="shared" si="40"/>
        <v/>
      </c>
      <c r="AR164" s="375" t="str">
        <f t="shared" si="40"/>
        <v/>
      </c>
      <c r="AS164" s="375" t="str">
        <f t="shared" si="40"/>
        <v/>
      </c>
      <c r="AT164" s="375" t="str">
        <f t="shared" si="40"/>
        <v/>
      </c>
      <c r="AU164" s="375" t="str">
        <f t="shared" si="40"/>
        <v/>
      </c>
      <c r="AV164" s="375" t="str">
        <f t="shared" si="40"/>
        <v/>
      </c>
      <c r="AW164" s="375" t="str">
        <f t="shared" si="40"/>
        <v/>
      </c>
      <c r="AX164" s="375" t="str">
        <f t="shared" si="40"/>
        <v/>
      </c>
      <c r="AY164" s="375" t="str">
        <f t="shared" si="40"/>
        <v/>
      </c>
    </row>
    <row r="165" spans="1:51" x14ac:dyDescent="0.25">
      <c r="A165" s="150">
        <v>10</v>
      </c>
      <c r="B165" s="151">
        <f t="shared" si="59"/>
        <v>44562</v>
      </c>
      <c r="C165" s="156">
        <f>IF($A$154="Jansen",SUMIFS('Supply planning data'!G:G,'Supply planning data'!$D:$D,"&lt;="&amp;DataViz!$B165,'Supply planning data'!$C:$C,"Jansen"),IF($A$154="All",SUMIFS('Supply planning data'!H:H,'Supply planning data'!$D:$D,"&lt;="&amp;DataViz!$B165)+SUMIFS('Supply planning data'!G:G,'Supply planning data'!$D:$D,"&lt;="&amp;DataViz!$B165,'Supply planning data'!$C:$C,"Jansen"),SUMIFS('Supply planning data'!H:H,'Supply planning data'!$D:$D,"&lt;="&amp;DataViz!$B165,'Supply planning data'!$C:$C,DataViz!$A$154)))</f>
        <v>1278679</v>
      </c>
      <c r="D165" s="173">
        <f t="shared" si="41"/>
        <v>2.1311316666666667E-2</v>
      </c>
      <c r="E165" s="152">
        <f>IF(ISNA(E$155),NA(),SUMIFS('Supply planning data'!$M:$M,'Supply planning data'!$D:$D,"&lt;="&amp;DataViz!$B165,'Supply planning data'!$C:$C,DataViz!E$155))</f>
        <v>853752</v>
      </c>
      <c r="F165" s="152">
        <f>IF(ISNA(F$155),NA(),SUMIFS('Supply planning data'!$M:$M,'Supply planning data'!$D:$D,"&lt;="&amp;DataViz!$B165,'Supply planning data'!$C:$C,DataViz!F$155))</f>
        <v>1121392</v>
      </c>
      <c r="G165" s="152">
        <f>IF(ISNA(G$155),NA(),SUMIFS('Supply planning data'!$M:$M,'Supply planning data'!$D:$D,"&lt;="&amp;DataViz!$B165,'Supply planning data'!$C:$C,DataViz!G$155))</f>
        <v>5400</v>
      </c>
      <c r="H165" s="152">
        <f>IF(ISNA(H$155),NA(),SUMIFS('Supply planning data'!$M:$M,'Supply planning data'!$D:$D,"&lt;="&amp;DataViz!$B165,'Supply planning data'!$C:$C,DataViz!H$155))</f>
        <v>36946</v>
      </c>
      <c r="I165" s="152">
        <f>IF(ISNA(I$155),NA(),SUMIFS('Supply planning data'!$M:$M,'Supply planning data'!$D:$D,"&lt;="&amp;DataViz!$B165,'Supply planning data'!$C:$C,DataViz!I$155))</f>
        <v>0</v>
      </c>
      <c r="J165" s="152" t="e">
        <f>IF(ISNA(J$155),NA(),SUMIFS('Supply planning data'!$M:$M,'Supply planning data'!$D:$D,"&lt;="&amp;DataViz!$B165,'Supply planning data'!$C:$C,DataViz!J$155))</f>
        <v>#N/A</v>
      </c>
      <c r="K165" s="152" t="e">
        <f>IF(ISNA(K$155),NA(),SUMIFS('Supply planning data'!$M:$M,'Supply planning data'!$D:$D,"&lt;="&amp;DataViz!$B165,'Supply planning data'!$C:$C,DataViz!K$155))</f>
        <v>#N/A</v>
      </c>
      <c r="L165" s="152" t="e">
        <f>IF(ISNA(L$155),NA(),SUMIFS('Supply planning data'!$M:$M,'Supply planning data'!$D:$D,"&lt;="&amp;DataViz!$B165,'Supply planning data'!$C:$C,DataViz!L$155))</f>
        <v>#N/A</v>
      </c>
      <c r="M165" s="152" t="e">
        <f>IF(ISNA(M$155),NA(),SUMIFS('Supply planning data'!$M:$M,'Supply planning data'!$D:$D,"&lt;="&amp;DataViz!$B165,'Supply planning data'!$C:$C,DataViz!M$155))</f>
        <v>#N/A</v>
      </c>
      <c r="N165" s="152" t="e">
        <f>IF(ISNA(N$155),NA(),SUMIFS('Supply planning data'!$M:$M,'Supply planning data'!$D:$D,"&lt;="&amp;DataViz!$B165,'Supply planning data'!$C:$C,DataViz!N$155))</f>
        <v>#N/A</v>
      </c>
      <c r="O165" s="152" t="e">
        <f>IF(ISNA(O$155),NA(),SUMIFS('Supply planning data'!$M:$M,'Supply planning data'!$D:$D,"&lt;="&amp;DataViz!$B165,'Supply planning data'!$C:$C,DataViz!O$155))</f>
        <v>#N/A</v>
      </c>
      <c r="P165" s="152" t="e">
        <f>IF(ISNA(P$155),NA(),SUMIFS('Supply planning data'!$M:$M,'Supply planning data'!$D:$D,"&lt;="&amp;DataViz!$B165,'Supply planning data'!$C:$C,DataViz!P$155))</f>
        <v>#N/A</v>
      </c>
      <c r="Q165" s="152" t="e">
        <f>IF(ISNA(Q$155),NA(),SUMIFS('Supply planning data'!$M:$M,'Supply planning data'!$D:$D,"&lt;="&amp;DataViz!$B165,'Supply planning data'!$C:$C,DataViz!Q$155))</f>
        <v>#N/A</v>
      </c>
      <c r="R165" s="152" t="e">
        <f>IF(ISNA(R$155),NA(),SUMIFS('Supply planning data'!$M:$M,'Supply planning data'!$D:$D,"&lt;="&amp;DataViz!$B165,'Supply planning data'!$C:$C,DataViz!R$155))</f>
        <v>#N/A</v>
      </c>
      <c r="S165" s="152" t="e">
        <f>IF(ISNA(S$155),NA(),SUMIFS('Supply planning data'!$M:$M,'Supply planning data'!$D:$D,"&lt;="&amp;DataViz!$B165,'Supply planning data'!$C:$C,DataViz!S$155))</f>
        <v>#N/A</v>
      </c>
      <c r="U165" s="14">
        <f t="shared" si="42"/>
        <v>17786</v>
      </c>
      <c r="V165" s="24">
        <f t="shared" si="43"/>
        <v>136323</v>
      </c>
      <c r="W165" s="24">
        <f t="shared" si="44"/>
        <v>5400</v>
      </c>
      <c r="X165" s="24">
        <f t="shared" si="45"/>
        <v>36946</v>
      </c>
      <c r="Y165" s="24">
        <f t="shared" si="46"/>
        <v>0</v>
      </c>
      <c r="Z165" s="24">
        <f t="shared" si="47"/>
        <v>0</v>
      </c>
      <c r="AA165" s="24">
        <f t="shared" si="48"/>
        <v>0</v>
      </c>
      <c r="AB165" s="24">
        <f t="shared" si="49"/>
        <v>0</v>
      </c>
      <c r="AC165" s="24">
        <f t="shared" si="50"/>
        <v>0</v>
      </c>
      <c r="AD165" s="24">
        <f t="shared" si="51"/>
        <v>0</v>
      </c>
      <c r="AE165" s="24">
        <f t="shared" si="52"/>
        <v>0</v>
      </c>
      <c r="AF165" s="24">
        <f t="shared" si="53"/>
        <v>0</v>
      </c>
      <c r="AG165" s="24">
        <f t="shared" si="54"/>
        <v>0</v>
      </c>
      <c r="AH165" s="24">
        <f t="shared" si="55"/>
        <v>0</v>
      </c>
      <c r="AI165" s="24">
        <f t="shared" si="56"/>
        <v>0</v>
      </c>
      <c r="AJ165" s="24">
        <f t="shared" si="57"/>
        <v>196455</v>
      </c>
      <c r="AK165" s="375">
        <f t="shared" si="58"/>
        <v>9.0534728054770808E-2</v>
      </c>
      <c r="AL165" s="375">
        <f>IFERROR(IF(V165/SUM($U165:$AI165)&gt;0,V165/SUM($U165:$AI165),""),"")</f>
        <v>0.69391463693975719</v>
      </c>
      <c r="AM165" s="375">
        <f>IFERROR(IF(W165/SUM($U165:$AI165)&gt;0,W165/SUM($U165:$AI165),""),"")</f>
        <v>2.7487210811636253E-2</v>
      </c>
      <c r="AN165" s="375">
        <f t="shared" si="40"/>
        <v>0.18806342419383573</v>
      </c>
      <c r="AO165" s="375" t="str">
        <f>IFERROR(IF(Y165/SUM($U165:$AI165)&gt;0,Y165/SUM($U165:$AI165),""),"")</f>
        <v/>
      </c>
      <c r="AP165" s="375" t="str">
        <f t="shared" si="40"/>
        <v/>
      </c>
      <c r="AQ165" s="375" t="str">
        <f t="shared" si="40"/>
        <v/>
      </c>
      <c r="AR165" s="375" t="str">
        <f t="shared" si="40"/>
        <v/>
      </c>
      <c r="AS165" s="375" t="str">
        <f t="shared" si="40"/>
        <v/>
      </c>
      <c r="AT165" s="375" t="str">
        <f t="shared" si="40"/>
        <v/>
      </c>
      <c r="AU165" s="375" t="str">
        <f t="shared" si="40"/>
        <v/>
      </c>
      <c r="AV165" s="375" t="str">
        <f t="shared" si="40"/>
        <v/>
      </c>
      <c r="AW165" s="375" t="str">
        <f t="shared" si="40"/>
        <v/>
      </c>
      <c r="AX165" s="375" t="str">
        <f t="shared" si="40"/>
        <v/>
      </c>
      <c r="AY165" s="375" t="str">
        <f t="shared" si="40"/>
        <v/>
      </c>
    </row>
    <row r="166" spans="1:51" x14ac:dyDescent="0.25">
      <c r="A166" s="150">
        <v>11</v>
      </c>
      <c r="B166" s="151">
        <f t="shared" si="59"/>
        <v>44593</v>
      </c>
      <c r="C166" s="156">
        <f>IF($A$154="Jansen",SUMIFS('Supply planning data'!G:G,'Supply planning data'!$D:$D,"&lt;="&amp;DataViz!$B166,'Supply planning data'!$C:$C,"Jansen"),IF($A$154="All",SUMIFS('Supply planning data'!H:H,'Supply planning data'!$D:$D,"&lt;="&amp;DataViz!$B166)+SUMIFS('Supply planning data'!G:G,'Supply planning data'!$D:$D,"&lt;="&amp;DataViz!$B166,'Supply planning data'!$C:$C,"Jansen"),SUMIFS('Supply planning data'!H:H,'Supply planning data'!$D:$D,"&lt;="&amp;DataViz!$B166,'Supply planning data'!$C:$C,DataViz!$A$154)))</f>
        <v>1618261</v>
      </c>
      <c r="D166" s="173">
        <f t="shared" si="41"/>
        <v>2.6971016666666667E-2</v>
      </c>
      <c r="E166" s="152">
        <f>IF(ISNA(E$155),NA(),SUMIFS('Supply planning data'!$M:$M,'Supply planning data'!$D:$D,"&lt;="&amp;DataViz!$B166,'Supply planning data'!$C:$C,DataViz!E$155))</f>
        <v>882352</v>
      </c>
      <c r="F166" s="152">
        <f>IF(ISNA(F$155),NA(),SUMIFS('Supply planning data'!$M:$M,'Supply planning data'!$D:$D,"&lt;="&amp;DataViz!$B166,'Supply planning data'!$C:$C,DataViz!F$155))</f>
        <v>1368415</v>
      </c>
      <c r="G166" s="152">
        <f>IF(ISNA(G$155),NA(),SUMIFS('Supply planning data'!$M:$M,'Supply planning data'!$D:$D,"&lt;="&amp;DataViz!$B166,'Supply planning data'!$C:$C,DataViz!G$155))</f>
        <v>5400</v>
      </c>
      <c r="H166" s="152">
        <f>IF(ISNA(H$155),NA(),SUMIFS('Supply planning data'!$M:$M,'Supply planning data'!$D:$D,"&lt;="&amp;DataViz!$B166,'Supply planning data'!$C:$C,DataViz!H$155))</f>
        <v>260991</v>
      </c>
      <c r="I166" s="152">
        <f>IF(ISNA(I$155),NA(),SUMIFS('Supply planning data'!$M:$M,'Supply planning data'!$D:$D,"&lt;="&amp;DataViz!$B166,'Supply planning data'!$C:$C,DataViz!I$155))</f>
        <v>0</v>
      </c>
      <c r="J166" s="152" t="e">
        <f>IF(ISNA(J$155),NA(),SUMIFS('Supply planning data'!$M:$M,'Supply planning data'!$D:$D,"&lt;="&amp;DataViz!$B166,'Supply planning data'!$C:$C,DataViz!J$155))</f>
        <v>#N/A</v>
      </c>
      <c r="K166" s="152" t="e">
        <f>IF(ISNA(K$155),NA(),SUMIFS('Supply planning data'!$M:$M,'Supply planning data'!$D:$D,"&lt;="&amp;DataViz!$B166,'Supply planning data'!$C:$C,DataViz!K$155))</f>
        <v>#N/A</v>
      </c>
      <c r="L166" s="152" t="e">
        <f>IF(ISNA(L$155),NA(),SUMIFS('Supply planning data'!$M:$M,'Supply planning data'!$D:$D,"&lt;="&amp;DataViz!$B166,'Supply planning data'!$C:$C,DataViz!L$155))</f>
        <v>#N/A</v>
      </c>
      <c r="M166" s="152" t="e">
        <f>IF(ISNA(M$155),NA(),SUMIFS('Supply planning data'!$M:$M,'Supply planning data'!$D:$D,"&lt;="&amp;DataViz!$B166,'Supply planning data'!$C:$C,DataViz!M$155))</f>
        <v>#N/A</v>
      </c>
      <c r="N166" s="152" t="e">
        <f>IF(ISNA(N$155),NA(),SUMIFS('Supply planning data'!$M:$M,'Supply planning data'!$D:$D,"&lt;="&amp;DataViz!$B166,'Supply planning data'!$C:$C,DataViz!N$155))</f>
        <v>#N/A</v>
      </c>
      <c r="O166" s="152" t="e">
        <f>IF(ISNA(O$155),NA(),SUMIFS('Supply planning data'!$M:$M,'Supply planning data'!$D:$D,"&lt;="&amp;DataViz!$B166,'Supply planning data'!$C:$C,DataViz!O$155))</f>
        <v>#N/A</v>
      </c>
      <c r="P166" s="152" t="e">
        <f>IF(ISNA(P$155),NA(),SUMIFS('Supply planning data'!$M:$M,'Supply planning data'!$D:$D,"&lt;="&amp;DataViz!$B166,'Supply planning data'!$C:$C,DataViz!P$155))</f>
        <v>#N/A</v>
      </c>
      <c r="Q166" s="152" t="e">
        <f>IF(ISNA(Q$155),NA(),SUMIFS('Supply planning data'!$M:$M,'Supply planning data'!$D:$D,"&lt;="&amp;DataViz!$B166,'Supply planning data'!$C:$C,DataViz!Q$155))</f>
        <v>#N/A</v>
      </c>
      <c r="R166" s="152" t="e">
        <f>IF(ISNA(R$155),NA(),SUMIFS('Supply planning data'!$M:$M,'Supply planning data'!$D:$D,"&lt;="&amp;DataViz!$B166,'Supply planning data'!$C:$C,DataViz!R$155))</f>
        <v>#N/A</v>
      </c>
      <c r="S166" s="152" t="e">
        <f>IF(ISNA(S$155),NA(),SUMIFS('Supply planning data'!$M:$M,'Supply planning data'!$D:$D,"&lt;="&amp;DataViz!$B166,'Supply planning data'!$C:$C,DataViz!S$155))</f>
        <v>#N/A</v>
      </c>
      <c r="U166" s="14">
        <f t="shared" si="42"/>
        <v>28600</v>
      </c>
      <c r="V166" s="24">
        <f t="shared" si="43"/>
        <v>247023</v>
      </c>
      <c r="W166" s="24">
        <f t="shared" si="44"/>
        <v>0</v>
      </c>
      <c r="X166" s="24">
        <f t="shared" si="45"/>
        <v>224045</v>
      </c>
      <c r="Y166" s="24">
        <f t="shared" si="46"/>
        <v>0</v>
      </c>
      <c r="Z166" s="24">
        <f t="shared" si="47"/>
        <v>0</v>
      </c>
      <c r="AA166" s="24">
        <f t="shared" si="48"/>
        <v>0</v>
      </c>
      <c r="AB166" s="24">
        <f t="shared" si="49"/>
        <v>0</v>
      </c>
      <c r="AC166" s="24">
        <f t="shared" si="50"/>
        <v>0</v>
      </c>
      <c r="AD166" s="24">
        <f t="shared" si="51"/>
        <v>0</v>
      </c>
      <c r="AE166" s="24">
        <f t="shared" si="52"/>
        <v>0</v>
      </c>
      <c r="AF166" s="24">
        <f t="shared" si="53"/>
        <v>0</v>
      </c>
      <c r="AG166" s="24">
        <f t="shared" si="54"/>
        <v>0</v>
      </c>
      <c r="AH166" s="24">
        <f t="shared" si="55"/>
        <v>0</v>
      </c>
      <c r="AI166" s="24">
        <f t="shared" si="56"/>
        <v>0</v>
      </c>
      <c r="AJ166" s="24">
        <f t="shared" si="57"/>
        <v>499668</v>
      </c>
      <c r="AK166" s="375">
        <f t="shared" si="58"/>
        <v>5.7238006036007906E-2</v>
      </c>
      <c r="AL166" s="375">
        <f t="shared" si="40"/>
        <v>0.49437426451163574</v>
      </c>
      <c r="AM166" s="375" t="str">
        <f t="shared" si="40"/>
        <v/>
      </c>
      <c r="AN166" s="375">
        <f t="shared" si="40"/>
        <v>0.44838772945235639</v>
      </c>
      <c r="AO166" s="375" t="str">
        <f t="shared" si="40"/>
        <v/>
      </c>
      <c r="AP166" s="375" t="str">
        <f t="shared" si="40"/>
        <v/>
      </c>
      <c r="AQ166" s="375" t="str">
        <f t="shared" si="40"/>
        <v/>
      </c>
      <c r="AR166" s="375" t="str">
        <f t="shared" si="40"/>
        <v/>
      </c>
      <c r="AS166" s="375" t="str">
        <f t="shared" si="40"/>
        <v/>
      </c>
      <c r="AT166" s="375" t="str">
        <f t="shared" si="40"/>
        <v/>
      </c>
      <c r="AU166" s="375" t="str">
        <f t="shared" si="40"/>
        <v/>
      </c>
      <c r="AV166" s="375" t="str">
        <f t="shared" si="40"/>
        <v/>
      </c>
      <c r="AW166" s="375" t="str">
        <f t="shared" si="40"/>
        <v/>
      </c>
      <c r="AX166" s="375" t="str">
        <f t="shared" si="40"/>
        <v/>
      </c>
      <c r="AY166" s="375" t="str">
        <f t="shared" si="40"/>
        <v/>
      </c>
    </row>
    <row r="167" spans="1:51" x14ac:dyDescent="0.25">
      <c r="A167" s="150">
        <v>12</v>
      </c>
      <c r="B167" s="151">
        <f t="shared" si="59"/>
        <v>44621</v>
      </c>
      <c r="C167" s="156">
        <f>IF($A$154="Jansen",SUMIFS('Supply planning data'!G:G,'Supply planning data'!$D:$D,"&lt;="&amp;DataViz!$B167,'Supply planning data'!$C:$C,"Jansen"),IF($A$154="All",SUMIFS('Supply planning data'!H:H,'Supply planning data'!$D:$D,"&lt;="&amp;DataViz!$B167)+SUMIFS('Supply planning data'!G:G,'Supply planning data'!$D:$D,"&lt;="&amp;DataViz!$B167,'Supply planning data'!$C:$C,"Jansen"),SUMIFS('Supply planning data'!H:H,'Supply planning data'!$D:$D,"&lt;="&amp;DataViz!$B167,'Supply planning data'!$C:$C,DataViz!$A$154)))</f>
        <v>1769554</v>
      </c>
      <c r="D167" s="173">
        <f t="shared" si="41"/>
        <v>2.9492566666666668E-2</v>
      </c>
      <c r="E167" s="152">
        <f>IF(ISNA(E$155),NA(),SUMIFS('Supply planning data'!$M:$M,'Supply planning data'!$D:$D,"&lt;="&amp;DataViz!$B167,'Supply planning data'!$C:$C,DataViz!E$155))</f>
        <v>915202</v>
      </c>
      <c r="F167" s="152">
        <f>IF(ISNA(F$155),NA(),SUMIFS('Supply planning data'!$M:$M,'Supply planning data'!$D:$D,"&lt;="&amp;DataViz!$B167,'Supply planning data'!$C:$C,DataViz!F$155))</f>
        <v>1511853</v>
      </c>
      <c r="G167" s="152">
        <f>IF(ISNA(G$155),NA(),SUMIFS('Supply planning data'!$M:$M,'Supply planning data'!$D:$D,"&lt;="&amp;DataViz!$B167,'Supply planning data'!$C:$C,DataViz!G$155))</f>
        <v>5400</v>
      </c>
      <c r="H167" s="152">
        <f>IF(ISNA(H$155),NA(),SUMIFS('Supply planning data'!$M:$M,'Supply planning data'!$D:$D,"&lt;="&amp;DataViz!$B167,'Supply planning data'!$C:$C,DataViz!H$155))</f>
        <v>288432</v>
      </c>
      <c r="I167" s="152">
        <f>IF(ISNA(I$155),NA(),SUMIFS('Supply planning data'!$M:$M,'Supply planning data'!$D:$D,"&lt;="&amp;DataViz!$B167,'Supply planning data'!$C:$C,DataViz!I$155))</f>
        <v>0</v>
      </c>
      <c r="J167" s="152" t="e">
        <f>IF(ISNA(J$155),NA(),SUMIFS('Supply planning data'!$M:$M,'Supply planning data'!$D:$D,"&lt;="&amp;DataViz!$B167,'Supply planning data'!$C:$C,DataViz!J$155))</f>
        <v>#N/A</v>
      </c>
      <c r="K167" s="152" t="e">
        <f>IF(ISNA(K$155),NA(),SUMIFS('Supply planning data'!$M:$M,'Supply planning data'!$D:$D,"&lt;="&amp;DataViz!$B167,'Supply planning data'!$C:$C,DataViz!K$155))</f>
        <v>#N/A</v>
      </c>
      <c r="L167" s="152" t="e">
        <f>IF(ISNA(L$155),NA(),SUMIFS('Supply planning data'!$M:$M,'Supply planning data'!$D:$D,"&lt;="&amp;DataViz!$B167,'Supply planning data'!$C:$C,DataViz!L$155))</f>
        <v>#N/A</v>
      </c>
      <c r="M167" s="152" t="e">
        <f>IF(ISNA(M$155),NA(),SUMIFS('Supply planning data'!$M:$M,'Supply planning data'!$D:$D,"&lt;="&amp;DataViz!$B167,'Supply planning data'!$C:$C,DataViz!M$155))</f>
        <v>#N/A</v>
      </c>
      <c r="N167" s="152" t="e">
        <f>IF(ISNA(N$155),NA(),SUMIFS('Supply planning data'!$M:$M,'Supply planning data'!$D:$D,"&lt;="&amp;DataViz!$B167,'Supply planning data'!$C:$C,DataViz!N$155))</f>
        <v>#N/A</v>
      </c>
      <c r="O167" s="152" t="e">
        <f>IF(ISNA(O$155),NA(),SUMIFS('Supply planning data'!$M:$M,'Supply planning data'!$D:$D,"&lt;="&amp;DataViz!$B167,'Supply planning data'!$C:$C,DataViz!O$155))</f>
        <v>#N/A</v>
      </c>
      <c r="P167" s="152" t="e">
        <f>IF(ISNA(P$155),NA(),SUMIFS('Supply planning data'!$M:$M,'Supply planning data'!$D:$D,"&lt;="&amp;DataViz!$B167,'Supply planning data'!$C:$C,DataViz!P$155))</f>
        <v>#N/A</v>
      </c>
      <c r="Q167" s="152" t="e">
        <f>IF(ISNA(Q$155),NA(),SUMIFS('Supply planning data'!$M:$M,'Supply planning data'!$D:$D,"&lt;="&amp;DataViz!$B167,'Supply planning data'!$C:$C,DataViz!Q$155))</f>
        <v>#N/A</v>
      </c>
      <c r="R167" s="152" t="e">
        <f>IF(ISNA(R$155),NA(),SUMIFS('Supply planning data'!$M:$M,'Supply planning data'!$D:$D,"&lt;="&amp;DataViz!$B167,'Supply planning data'!$C:$C,DataViz!R$155))</f>
        <v>#N/A</v>
      </c>
      <c r="S167" s="152" t="e">
        <f>IF(ISNA(S$155),NA(),SUMIFS('Supply planning data'!$M:$M,'Supply planning data'!$D:$D,"&lt;="&amp;DataViz!$B167,'Supply planning data'!$C:$C,DataViz!S$155))</f>
        <v>#N/A</v>
      </c>
      <c r="U167" s="14">
        <f t="shared" si="42"/>
        <v>32850</v>
      </c>
      <c r="V167" s="24">
        <f t="shared" si="43"/>
        <v>143438</v>
      </c>
      <c r="W167" s="24">
        <f t="shared" si="44"/>
        <v>0</v>
      </c>
      <c r="X167" s="24">
        <f t="shared" si="45"/>
        <v>27441</v>
      </c>
      <c r="Y167" s="24">
        <f t="shared" si="46"/>
        <v>0</v>
      </c>
      <c r="Z167" s="24">
        <f t="shared" si="47"/>
        <v>0</v>
      </c>
      <c r="AA167" s="24">
        <f t="shared" si="48"/>
        <v>0</v>
      </c>
      <c r="AB167" s="24">
        <f t="shared" si="49"/>
        <v>0</v>
      </c>
      <c r="AC167" s="24">
        <f t="shared" si="50"/>
        <v>0</v>
      </c>
      <c r="AD167" s="24">
        <f t="shared" si="51"/>
        <v>0</v>
      </c>
      <c r="AE167" s="24">
        <f t="shared" si="52"/>
        <v>0</v>
      </c>
      <c r="AF167" s="24">
        <f t="shared" si="53"/>
        <v>0</v>
      </c>
      <c r="AG167" s="24">
        <f t="shared" si="54"/>
        <v>0</v>
      </c>
      <c r="AH167" s="24">
        <f t="shared" si="55"/>
        <v>0</v>
      </c>
      <c r="AI167" s="24">
        <f t="shared" si="56"/>
        <v>0</v>
      </c>
      <c r="AJ167" s="24">
        <f t="shared" si="57"/>
        <v>203729</v>
      </c>
      <c r="AK167" s="375">
        <f t="shared" si="58"/>
        <v>0.16124361283862385</v>
      </c>
      <c r="AL167" s="375">
        <f t="shared" si="40"/>
        <v>0.70406275002576957</v>
      </c>
      <c r="AM167" s="375" t="str">
        <f t="shared" si="40"/>
        <v/>
      </c>
      <c r="AN167" s="375">
        <f t="shared" si="40"/>
        <v>0.13469363713560661</v>
      </c>
      <c r="AO167" s="375" t="str">
        <f t="shared" si="40"/>
        <v/>
      </c>
      <c r="AP167" s="375" t="str">
        <f t="shared" si="40"/>
        <v/>
      </c>
      <c r="AQ167" s="375" t="str">
        <f t="shared" si="40"/>
        <v/>
      </c>
      <c r="AR167" s="375" t="str">
        <f t="shared" si="40"/>
        <v/>
      </c>
      <c r="AS167" s="375" t="str">
        <f t="shared" si="40"/>
        <v/>
      </c>
      <c r="AT167" s="375" t="str">
        <f t="shared" si="40"/>
        <v/>
      </c>
      <c r="AU167" s="375" t="str">
        <f t="shared" si="40"/>
        <v/>
      </c>
      <c r="AV167" s="375" t="str">
        <f t="shared" si="40"/>
        <v/>
      </c>
      <c r="AW167" s="375" t="str">
        <f t="shared" si="40"/>
        <v/>
      </c>
      <c r="AX167" s="375" t="str">
        <f t="shared" si="40"/>
        <v/>
      </c>
      <c r="AY167" s="375" t="str">
        <f t="shared" si="40"/>
        <v/>
      </c>
    </row>
    <row r="168" spans="1:51" x14ac:dyDescent="0.25">
      <c r="A168" s="150">
        <v>13</v>
      </c>
      <c r="B168" s="151">
        <f t="shared" si="59"/>
        <v>44652</v>
      </c>
      <c r="C168" s="156">
        <f>IF($A$154="Jansen",SUMIFS('Supply planning data'!G:G,'Supply planning data'!$D:$D,"&lt;="&amp;DataViz!$B168,'Supply planning data'!$C:$C,"Jansen"),IF($A$154="All",SUMIFS('Supply planning data'!H:H,'Supply planning data'!$D:$D,"&lt;="&amp;DataViz!$B168)+SUMIFS('Supply planning data'!G:G,'Supply planning data'!$D:$D,"&lt;="&amp;DataViz!$B168,'Supply planning data'!$C:$C,"Jansen"),SUMIFS('Supply planning data'!H:H,'Supply planning data'!$D:$D,"&lt;="&amp;DataViz!$B168,'Supply planning data'!$C:$C,DataViz!$A$154)))</f>
        <v>1769554</v>
      </c>
      <c r="D168" s="173">
        <f t="shared" si="41"/>
        <v>2.9492566666666668E-2</v>
      </c>
      <c r="E168" s="152">
        <f>IF(ISNA(E$155),NA(),SUMIFS('Supply planning data'!$M:$M,'Supply planning data'!$D:$D,"&lt;="&amp;DataViz!$B168,'Supply planning data'!$C:$C,DataViz!E$155))</f>
        <v>915202</v>
      </c>
      <c r="F168" s="152">
        <f>IF(ISNA(F$155),NA(),SUMIFS('Supply planning data'!$M:$M,'Supply planning data'!$D:$D,"&lt;="&amp;DataViz!$B168,'Supply planning data'!$C:$C,DataViz!F$155))</f>
        <v>1511853</v>
      </c>
      <c r="G168" s="152">
        <f>IF(ISNA(G$155),NA(),SUMIFS('Supply planning data'!$M:$M,'Supply planning data'!$D:$D,"&lt;="&amp;DataViz!$B168,'Supply planning data'!$C:$C,DataViz!G$155))</f>
        <v>5400</v>
      </c>
      <c r="H168" s="152">
        <f>IF(ISNA(H$155),NA(),SUMIFS('Supply planning data'!$M:$M,'Supply planning data'!$D:$D,"&lt;="&amp;DataViz!$B168,'Supply planning data'!$C:$C,DataViz!H$155))</f>
        <v>288432</v>
      </c>
      <c r="I168" s="152">
        <f>IF(ISNA(I$155),NA(),SUMIFS('Supply planning data'!$M:$M,'Supply planning data'!$D:$D,"&lt;="&amp;DataViz!$B168,'Supply planning data'!$C:$C,DataViz!I$155))</f>
        <v>0</v>
      </c>
      <c r="J168" s="152" t="e">
        <f>IF(ISNA(J$155),NA(),SUMIFS('Supply planning data'!$M:$M,'Supply planning data'!$D:$D,"&lt;="&amp;DataViz!$B168,'Supply planning data'!$C:$C,DataViz!J$155))</f>
        <v>#N/A</v>
      </c>
      <c r="K168" s="152" t="e">
        <f>IF(ISNA(K$155),NA(),SUMIFS('Supply planning data'!$M:$M,'Supply planning data'!$D:$D,"&lt;="&amp;DataViz!$B168,'Supply planning data'!$C:$C,DataViz!K$155))</f>
        <v>#N/A</v>
      </c>
      <c r="L168" s="152" t="e">
        <f>IF(ISNA(L$155),NA(),SUMIFS('Supply planning data'!$M:$M,'Supply planning data'!$D:$D,"&lt;="&amp;DataViz!$B168,'Supply planning data'!$C:$C,DataViz!L$155))</f>
        <v>#N/A</v>
      </c>
      <c r="M168" s="152" t="e">
        <f>IF(ISNA(M$155),NA(),SUMIFS('Supply planning data'!$M:$M,'Supply planning data'!$D:$D,"&lt;="&amp;DataViz!$B168,'Supply planning data'!$C:$C,DataViz!M$155))</f>
        <v>#N/A</v>
      </c>
      <c r="N168" s="152" t="e">
        <f>IF(ISNA(N$155),NA(),SUMIFS('Supply planning data'!$M:$M,'Supply planning data'!$D:$D,"&lt;="&amp;DataViz!$B168,'Supply planning data'!$C:$C,DataViz!N$155))</f>
        <v>#N/A</v>
      </c>
      <c r="O168" s="152" t="e">
        <f>IF(ISNA(O$155),NA(),SUMIFS('Supply planning data'!$M:$M,'Supply planning data'!$D:$D,"&lt;="&amp;DataViz!$B168,'Supply planning data'!$C:$C,DataViz!O$155))</f>
        <v>#N/A</v>
      </c>
      <c r="P168" s="152" t="e">
        <f>IF(ISNA(P$155),NA(),SUMIFS('Supply planning data'!$M:$M,'Supply planning data'!$D:$D,"&lt;="&amp;DataViz!$B168,'Supply planning data'!$C:$C,DataViz!P$155))</f>
        <v>#N/A</v>
      </c>
      <c r="Q168" s="152" t="e">
        <f>IF(ISNA(Q$155),NA(),SUMIFS('Supply planning data'!$M:$M,'Supply planning data'!$D:$D,"&lt;="&amp;DataViz!$B168,'Supply planning data'!$C:$C,DataViz!Q$155))</f>
        <v>#N/A</v>
      </c>
      <c r="R168" s="152" t="e">
        <f>IF(ISNA(R$155),NA(),SUMIFS('Supply planning data'!$M:$M,'Supply planning data'!$D:$D,"&lt;="&amp;DataViz!$B168,'Supply planning data'!$C:$C,DataViz!R$155))</f>
        <v>#N/A</v>
      </c>
      <c r="S168" s="152" t="e">
        <f>IF(ISNA(S$155),NA(),SUMIFS('Supply planning data'!$M:$M,'Supply planning data'!$D:$D,"&lt;="&amp;DataViz!$B168,'Supply planning data'!$C:$C,DataViz!S$155))</f>
        <v>#N/A</v>
      </c>
      <c r="U168" s="14">
        <f t="shared" si="42"/>
        <v>0</v>
      </c>
      <c r="V168" s="24">
        <f t="shared" si="43"/>
        <v>0</v>
      </c>
      <c r="W168" s="24">
        <f t="shared" si="44"/>
        <v>0</v>
      </c>
      <c r="X168" s="24">
        <f t="shared" si="45"/>
        <v>0</v>
      </c>
      <c r="Y168" s="24">
        <f t="shared" si="46"/>
        <v>0</v>
      </c>
      <c r="Z168" s="24">
        <f t="shared" si="47"/>
        <v>0</v>
      </c>
      <c r="AA168" s="24">
        <f t="shared" si="48"/>
        <v>0</v>
      </c>
      <c r="AB168" s="24">
        <f t="shared" si="49"/>
        <v>0</v>
      </c>
      <c r="AC168" s="24">
        <f t="shared" si="50"/>
        <v>0</v>
      </c>
      <c r="AD168" s="24">
        <f t="shared" si="51"/>
        <v>0</v>
      </c>
      <c r="AE168" s="24">
        <f t="shared" si="52"/>
        <v>0</v>
      </c>
      <c r="AF168" s="24">
        <f t="shared" si="53"/>
        <v>0</v>
      </c>
      <c r="AG168" s="24">
        <f t="shared" si="54"/>
        <v>0</v>
      </c>
      <c r="AH168" s="24">
        <f t="shared" si="55"/>
        <v>0</v>
      </c>
      <c r="AI168" s="24">
        <f t="shared" si="56"/>
        <v>0</v>
      </c>
      <c r="AJ168" s="24" t="e">
        <f t="shared" si="57"/>
        <v>#N/A</v>
      </c>
      <c r="AK168" s="375" t="str">
        <f t="shared" si="58"/>
        <v/>
      </c>
      <c r="AL168" s="375" t="str">
        <f t="shared" si="40"/>
        <v/>
      </c>
      <c r="AM168" s="375" t="str">
        <f t="shared" si="40"/>
        <v/>
      </c>
      <c r="AN168" s="375" t="str">
        <f t="shared" si="40"/>
        <v/>
      </c>
      <c r="AO168" s="375" t="str">
        <f t="shared" si="40"/>
        <v/>
      </c>
      <c r="AP168" s="375" t="str">
        <f t="shared" si="40"/>
        <v/>
      </c>
      <c r="AQ168" s="375" t="str">
        <f t="shared" si="40"/>
        <v/>
      </c>
      <c r="AR168" s="375" t="str">
        <f t="shared" si="40"/>
        <v/>
      </c>
      <c r="AS168" s="375" t="str">
        <f t="shared" si="40"/>
        <v/>
      </c>
      <c r="AT168" s="375" t="str">
        <f t="shared" si="40"/>
        <v/>
      </c>
      <c r="AU168" s="375" t="str">
        <f t="shared" si="40"/>
        <v/>
      </c>
      <c r="AV168" s="375" t="str">
        <f t="shared" si="40"/>
        <v/>
      </c>
      <c r="AW168" s="375" t="str">
        <f t="shared" si="40"/>
        <v/>
      </c>
      <c r="AX168" s="375" t="str">
        <f t="shared" si="40"/>
        <v/>
      </c>
      <c r="AY168" s="375" t="str">
        <f t="shared" si="40"/>
        <v/>
      </c>
    </row>
    <row r="169" spans="1:51" x14ac:dyDescent="0.25">
      <c r="A169" s="150">
        <v>14</v>
      </c>
      <c r="B169" s="151">
        <f t="shared" si="59"/>
        <v>44682</v>
      </c>
      <c r="C169" s="156">
        <f>IF($A$154="Jansen",SUMIFS('Supply planning data'!G:G,'Supply planning data'!$D:$D,"&lt;="&amp;DataViz!$B169,'Supply planning data'!$C:$C,"Jansen"),IF($A$154="All",SUMIFS('Supply planning data'!H:H,'Supply planning data'!$D:$D,"&lt;="&amp;DataViz!$B169)+SUMIFS('Supply planning data'!G:G,'Supply planning data'!$D:$D,"&lt;="&amp;DataViz!$B169,'Supply planning data'!$C:$C,"Jansen"),SUMIFS('Supply planning data'!H:H,'Supply planning data'!$D:$D,"&lt;="&amp;DataViz!$B169,'Supply planning data'!$C:$C,DataViz!$A$154)))</f>
        <v>1769554</v>
      </c>
      <c r="D169" s="173">
        <f t="shared" si="41"/>
        <v>2.9492566666666668E-2</v>
      </c>
      <c r="E169" s="152">
        <f>IF(ISNA(E$155),NA(),SUMIFS('Supply planning data'!$M:$M,'Supply planning data'!$D:$D,"&lt;="&amp;DataViz!$B169,'Supply planning data'!$C:$C,DataViz!E$155))</f>
        <v>915202</v>
      </c>
      <c r="F169" s="152">
        <f>IF(ISNA(F$155),NA(),SUMIFS('Supply planning data'!$M:$M,'Supply planning data'!$D:$D,"&lt;="&amp;DataViz!$B169,'Supply planning data'!$C:$C,DataViz!F$155))</f>
        <v>1511853</v>
      </c>
      <c r="G169" s="152">
        <f>IF(ISNA(G$155),NA(),SUMIFS('Supply planning data'!$M:$M,'Supply planning data'!$D:$D,"&lt;="&amp;DataViz!$B169,'Supply planning data'!$C:$C,DataViz!G$155))</f>
        <v>5400</v>
      </c>
      <c r="H169" s="152">
        <f>IF(ISNA(H$155),NA(),SUMIFS('Supply planning data'!$M:$M,'Supply planning data'!$D:$D,"&lt;="&amp;DataViz!$B169,'Supply planning data'!$C:$C,DataViz!H$155))</f>
        <v>288432</v>
      </c>
      <c r="I169" s="152">
        <f>IF(ISNA(I$155),NA(),SUMIFS('Supply planning data'!$M:$M,'Supply planning data'!$D:$D,"&lt;="&amp;DataViz!$B169,'Supply planning data'!$C:$C,DataViz!I$155))</f>
        <v>0</v>
      </c>
      <c r="J169" s="152" t="e">
        <f>IF(ISNA(J$155),NA(),SUMIFS('Supply planning data'!$M:$M,'Supply planning data'!$D:$D,"&lt;="&amp;DataViz!$B169,'Supply planning data'!$C:$C,DataViz!J$155))</f>
        <v>#N/A</v>
      </c>
      <c r="K169" s="152" t="e">
        <f>IF(ISNA(K$155),NA(),SUMIFS('Supply planning data'!$M:$M,'Supply planning data'!$D:$D,"&lt;="&amp;DataViz!$B169,'Supply planning data'!$C:$C,DataViz!K$155))</f>
        <v>#N/A</v>
      </c>
      <c r="L169" s="152" t="e">
        <f>IF(ISNA(L$155),NA(),SUMIFS('Supply planning data'!$M:$M,'Supply planning data'!$D:$D,"&lt;="&amp;DataViz!$B169,'Supply planning data'!$C:$C,DataViz!L$155))</f>
        <v>#N/A</v>
      </c>
      <c r="M169" s="152" t="e">
        <f>IF(ISNA(M$155),NA(),SUMIFS('Supply planning data'!$M:$M,'Supply planning data'!$D:$D,"&lt;="&amp;DataViz!$B169,'Supply planning data'!$C:$C,DataViz!M$155))</f>
        <v>#N/A</v>
      </c>
      <c r="N169" s="152" t="e">
        <f>IF(ISNA(N$155),NA(),SUMIFS('Supply planning data'!$M:$M,'Supply planning data'!$D:$D,"&lt;="&amp;DataViz!$B169,'Supply planning data'!$C:$C,DataViz!N$155))</f>
        <v>#N/A</v>
      </c>
      <c r="O169" s="152" t="e">
        <f>IF(ISNA(O$155),NA(),SUMIFS('Supply planning data'!$M:$M,'Supply planning data'!$D:$D,"&lt;="&amp;DataViz!$B169,'Supply planning data'!$C:$C,DataViz!O$155))</f>
        <v>#N/A</v>
      </c>
      <c r="P169" s="152" t="e">
        <f>IF(ISNA(P$155),NA(),SUMIFS('Supply planning data'!$M:$M,'Supply planning data'!$D:$D,"&lt;="&amp;DataViz!$B169,'Supply planning data'!$C:$C,DataViz!P$155))</f>
        <v>#N/A</v>
      </c>
      <c r="Q169" s="152" t="e">
        <f>IF(ISNA(Q$155),NA(),SUMIFS('Supply planning data'!$M:$M,'Supply planning data'!$D:$D,"&lt;="&amp;DataViz!$B169,'Supply planning data'!$C:$C,DataViz!Q$155))</f>
        <v>#N/A</v>
      </c>
      <c r="R169" s="152" t="e">
        <f>IF(ISNA(R$155),NA(),SUMIFS('Supply planning data'!$M:$M,'Supply planning data'!$D:$D,"&lt;="&amp;DataViz!$B169,'Supply planning data'!$C:$C,DataViz!R$155))</f>
        <v>#N/A</v>
      </c>
      <c r="S169" s="152" t="e">
        <f>IF(ISNA(S$155),NA(),SUMIFS('Supply planning data'!$M:$M,'Supply planning data'!$D:$D,"&lt;="&amp;DataViz!$B169,'Supply planning data'!$C:$C,DataViz!S$155))</f>
        <v>#N/A</v>
      </c>
      <c r="U169" s="14">
        <f t="shared" si="42"/>
        <v>0</v>
      </c>
      <c r="V169" s="24">
        <f t="shared" si="43"/>
        <v>0</v>
      </c>
      <c r="W169" s="24">
        <f t="shared" si="44"/>
        <v>0</v>
      </c>
      <c r="X169" s="24">
        <f t="shared" si="45"/>
        <v>0</v>
      </c>
      <c r="Y169" s="24">
        <f t="shared" si="46"/>
        <v>0</v>
      </c>
      <c r="Z169" s="24">
        <f t="shared" si="47"/>
        <v>0</v>
      </c>
      <c r="AA169" s="24">
        <f t="shared" si="48"/>
        <v>0</v>
      </c>
      <c r="AB169" s="24">
        <f t="shared" si="49"/>
        <v>0</v>
      </c>
      <c r="AC169" s="24">
        <f t="shared" si="50"/>
        <v>0</v>
      </c>
      <c r="AD169" s="24">
        <f t="shared" si="51"/>
        <v>0</v>
      </c>
      <c r="AE169" s="24">
        <f t="shared" si="52"/>
        <v>0</v>
      </c>
      <c r="AF169" s="24">
        <f t="shared" si="53"/>
        <v>0</v>
      </c>
      <c r="AG169" s="24">
        <f t="shared" si="54"/>
        <v>0</v>
      </c>
      <c r="AH169" s="24">
        <f t="shared" si="55"/>
        <v>0</v>
      </c>
      <c r="AI169" s="24">
        <f t="shared" si="56"/>
        <v>0</v>
      </c>
      <c r="AJ169" s="24" t="e">
        <f t="shared" si="57"/>
        <v>#N/A</v>
      </c>
      <c r="AK169" s="375" t="str">
        <f t="shared" si="58"/>
        <v/>
      </c>
      <c r="AL169" s="375" t="str">
        <f t="shared" si="40"/>
        <v/>
      </c>
      <c r="AM169" s="375" t="str">
        <f t="shared" si="40"/>
        <v/>
      </c>
      <c r="AN169" s="375" t="str">
        <f t="shared" si="40"/>
        <v/>
      </c>
      <c r="AO169" s="375" t="str">
        <f t="shared" si="40"/>
        <v/>
      </c>
      <c r="AP169" s="375" t="str">
        <f t="shared" si="40"/>
        <v/>
      </c>
      <c r="AQ169" s="375" t="str">
        <f t="shared" si="40"/>
        <v/>
      </c>
      <c r="AR169" s="375" t="str">
        <f t="shared" si="40"/>
        <v/>
      </c>
      <c r="AS169" s="375" t="str">
        <f t="shared" si="40"/>
        <v/>
      </c>
      <c r="AT169" s="375" t="str">
        <f t="shared" si="40"/>
        <v/>
      </c>
      <c r="AU169" s="375" t="str">
        <f t="shared" si="40"/>
        <v/>
      </c>
      <c r="AV169" s="375" t="str">
        <f t="shared" si="40"/>
        <v/>
      </c>
      <c r="AW169" s="375" t="str">
        <f t="shared" si="40"/>
        <v/>
      </c>
      <c r="AX169" s="375" t="str">
        <f t="shared" si="40"/>
        <v/>
      </c>
      <c r="AY169" s="375" t="str">
        <f t="shared" si="40"/>
        <v/>
      </c>
    </row>
    <row r="170" spans="1:51" x14ac:dyDescent="0.25">
      <c r="A170" s="150">
        <v>15</v>
      </c>
      <c r="B170" s="151">
        <f t="shared" si="59"/>
        <v>44713</v>
      </c>
      <c r="C170" s="156">
        <f>IF($A$154="Jansen",SUMIFS('Supply planning data'!G:G,'Supply planning data'!$D:$D,"&lt;="&amp;DataViz!$B170,'Supply planning data'!$C:$C,"Jansen"),IF($A$154="All",SUMIFS('Supply planning data'!H:H,'Supply planning data'!$D:$D,"&lt;="&amp;DataViz!$B170)+SUMIFS('Supply planning data'!G:G,'Supply planning data'!$D:$D,"&lt;="&amp;DataViz!$B170,'Supply planning data'!$C:$C,"Jansen"),SUMIFS('Supply planning data'!H:H,'Supply planning data'!$D:$D,"&lt;="&amp;DataViz!$B170,'Supply planning data'!$C:$C,DataViz!$A$154)))</f>
        <v>1769554</v>
      </c>
      <c r="D170" s="173">
        <f t="shared" si="41"/>
        <v>2.9492566666666668E-2</v>
      </c>
      <c r="E170" s="152">
        <f>IF(ISNA(E$155),NA(),SUMIFS('Supply planning data'!$M:$M,'Supply planning data'!$D:$D,"&lt;="&amp;DataViz!$B170,'Supply planning data'!$C:$C,DataViz!E$155))</f>
        <v>915202</v>
      </c>
      <c r="F170" s="152">
        <f>IF(ISNA(F$155),NA(),SUMIFS('Supply planning data'!$M:$M,'Supply planning data'!$D:$D,"&lt;="&amp;DataViz!$B170,'Supply planning data'!$C:$C,DataViz!F$155))</f>
        <v>1511853</v>
      </c>
      <c r="G170" s="152">
        <f>IF(ISNA(G$155),NA(),SUMIFS('Supply planning data'!$M:$M,'Supply planning data'!$D:$D,"&lt;="&amp;DataViz!$B170,'Supply planning data'!$C:$C,DataViz!G$155))</f>
        <v>5400</v>
      </c>
      <c r="H170" s="152">
        <f>IF(ISNA(H$155),NA(),SUMIFS('Supply planning data'!$M:$M,'Supply planning data'!$D:$D,"&lt;="&amp;DataViz!$B170,'Supply planning data'!$C:$C,DataViz!H$155))</f>
        <v>288432</v>
      </c>
      <c r="I170" s="152">
        <f>IF(ISNA(I$155),NA(),SUMIFS('Supply planning data'!$M:$M,'Supply planning data'!$D:$D,"&lt;="&amp;DataViz!$B170,'Supply planning data'!$C:$C,DataViz!I$155))</f>
        <v>0</v>
      </c>
      <c r="J170" s="152" t="e">
        <f>IF(ISNA(J$155),NA(),SUMIFS('Supply planning data'!$M:$M,'Supply planning data'!$D:$D,"&lt;="&amp;DataViz!$B170,'Supply planning data'!$C:$C,DataViz!J$155))</f>
        <v>#N/A</v>
      </c>
      <c r="K170" s="152" t="e">
        <f>IF(ISNA(K$155),NA(),SUMIFS('Supply planning data'!$M:$M,'Supply planning data'!$D:$D,"&lt;="&amp;DataViz!$B170,'Supply planning data'!$C:$C,DataViz!K$155))</f>
        <v>#N/A</v>
      </c>
      <c r="L170" s="152" t="e">
        <f>IF(ISNA(L$155),NA(),SUMIFS('Supply planning data'!$M:$M,'Supply planning data'!$D:$D,"&lt;="&amp;DataViz!$B170,'Supply planning data'!$C:$C,DataViz!L$155))</f>
        <v>#N/A</v>
      </c>
      <c r="M170" s="152" t="e">
        <f>IF(ISNA(M$155),NA(),SUMIFS('Supply planning data'!$M:$M,'Supply planning data'!$D:$D,"&lt;="&amp;DataViz!$B170,'Supply planning data'!$C:$C,DataViz!M$155))</f>
        <v>#N/A</v>
      </c>
      <c r="N170" s="152" t="e">
        <f>IF(ISNA(N$155),NA(),SUMIFS('Supply planning data'!$M:$M,'Supply planning data'!$D:$D,"&lt;="&amp;DataViz!$B170,'Supply planning data'!$C:$C,DataViz!N$155))</f>
        <v>#N/A</v>
      </c>
      <c r="O170" s="152" t="e">
        <f>IF(ISNA(O$155),NA(),SUMIFS('Supply planning data'!$M:$M,'Supply planning data'!$D:$D,"&lt;="&amp;DataViz!$B170,'Supply planning data'!$C:$C,DataViz!O$155))</f>
        <v>#N/A</v>
      </c>
      <c r="P170" s="152" t="e">
        <f>IF(ISNA(P$155),NA(),SUMIFS('Supply planning data'!$M:$M,'Supply planning data'!$D:$D,"&lt;="&amp;DataViz!$B170,'Supply planning data'!$C:$C,DataViz!P$155))</f>
        <v>#N/A</v>
      </c>
      <c r="Q170" s="152" t="e">
        <f>IF(ISNA(Q$155),NA(),SUMIFS('Supply planning data'!$M:$M,'Supply planning data'!$D:$D,"&lt;="&amp;DataViz!$B170,'Supply planning data'!$C:$C,DataViz!Q$155))</f>
        <v>#N/A</v>
      </c>
      <c r="R170" s="152" t="e">
        <f>IF(ISNA(R$155),NA(),SUMIFS('Supply planning data'!$M:$M,'Supply planning data'!$D:$D,"&lt;="&amp;DataViz!$B170,'Supply planning data'!$C:$C,DataViz!R$155))</f>
        <v>#N/A</v>
      </c>
      <c r="S170" s="152" t="e">
        <f>IF(ISNA(S$155),NA(),SUMIFS('Supply planning data'!$M:$M,'Supply planning data'!$D:$D,"&lt;="&amp;DataViz!$B170,'Supply planning data'!$C:$C,DataViz!S$155))</f>
        <v>#N/A</v>
      </c>
      <c r="U170" s="14">
        <f t="shared" si="42"/>
        <v>0</v>
      </c>
      <c r="V170" s="24">
        <f t="shared" si="43"/>
        <v>0</v>
      </c>
      <c r="W170" s="24">
        <f t="shared" si="44"/>
        <v>0</v>
      </c>
      <c r="X170" s="24">
        <f t="shared" si="45"/>
        <v>0</v>
      </c>
      <c r="Y170" s="24">
        <f t="shared" si="46"/>
        <v>0</v>
      </c>
      <c r="Z170" s="24">
        <f t="shared" si="47"/>
        <v>0</v>
      </c>
      <c r="AA170" s="24">
        <f t="shared" si="48"/>
        <v>0</v>
      </c>
      <c r="AB170" s="24">
        <f t="shared" si="49"/>
        <v>0</v>
      </c>
      <c r="AC170" s="24">
        <f t="shared" si="50"/>
        <v>0</v>
      </c>
      <c r="AD170" s="24">
        <f t="shared" si="51"/>
        <v>0</v>
      </c>
      <c r="AE170" s="24">
        <f t="shared" si="52"/>
        <v>0</v>
      </c>
      <c r="AF170" s="24">
        <f t="shared" si="53"/>
        <v>0</v>
      </c>
      <c r="AG170" s="24">
        <f t="shared" si="54"/>
        <v>0</v>
      </c>
      <c r="AH170" s="24">
        <f t="shared" si="55"/>
        <v>0</v>
      </c>
      <c r="AI170" s="24">
        <f t="shared" si="56"/>
        <v>0</v>
      </c>
      <c r="AJ170" s="24" t="e">
        <f t="shared" si="57"/>
        <v>#N/A</v>
      </c>
      <c r="AK170" s="375" t="str">
        <f t="shared" si="58"/>
        <v/>
      </c>
      <c r="AL170" s="375" t="str">
        <f t="shared" si="40"/>
        <v/>
      </c>
      <c r="AM170" s="375" t="str">
        <f t="shared" si="40"/>
        <v/>
      </c>
      <c r="AN170" s="375" t="str">
        <f t="shared" si="40"/>
        <v/>
      </c>
      <c r="AO170" s="375" t="str">
        <f t="shared" si="40"/>
        <v/>
      </c>
      <c r="AP170" s="375" t="str">
        <f t="shared" si="40"/>
        <v/>
      </c>
      <c r="AQ170" s="375" t="str">
        <f t="shared" si="40"/>
        <v/>
      </c>
      <c r="AR170" s="375" t="str">
        <f t="shared" si="40"/>
        <v/>
      </c>
      <c r="AS170" s="375" t="str">
        <f t="shared" si="40"/>
        <v/>
      </c>
      <c r="AT170" s="375" t="str">
        <f t="shared" si="40"/>
        <v/>
      </c>
      <c r="AU170" s="375" t="str">
        <f t="shared" si="40"/>
        <v/>
      </c>
      <c r="AV170" s="375" t="str">
        <f t="shared" si="40"/>
        <v/>
      </c>
      <c r="AW170" s="375" t="str">
        <f t="shared" si="40"/>
        <v/>
      </c>
      <c r="AX170" s="375" t="str">
        <f t="shared" si="40"/>
        <v/>
      </c>
      <c r="AY170" s="375" t="str">
        <f t="shared" si="40"/>
        <v/>
      </c>
    </row>
    <row r="171" spans="1:51" x14ac:dyDescent="0.25">
      <c r="A171" s="150">
        <v>16</v>
      </c>
      <c r="B171" s="151">
        <f t="shared" si="59"/>
        <v>44743</v>
      </c>
      <c r="C171" s="156">
        <f>IF($A$154="Jansen",SUMIFS('Supply planning data'!G:G,'Supply planning data'!$D:$D,"&lt;="&amp;DataViz!$B171,'Supply planning data'!$C:$C,"Jansen"),IF($A$154="All",SUMIFS('Supply planning data'!H:H,'Supply planning data'!$D:$D,"&lt;="&amp;DataViz!$B171)+SUMIFS('Supply planning data'!G:G,'Supply planning data'!$D:$D,"&lt;="&amp;DataViz!$B171,'Supply planning data'!$C:$C,"Jansen"),SUMIFS('Supply planning data'!H:H,'Supply planning data'!$D:$D,"&lt;="&amp;DataViz!$B171,'Supply planning data'!$C:$C,DataViz!$A$154)))</f>
        <v>1769554</v>
      </c>
      <c r="D171" s="173">
        <f t="shared" si="41"/>
        <v>2.9492566666666668E-2</v>
      </c>
      <c r="E171" s="152">
        <f>IF(ISNA(E$155),NA(),SUMIFS('Supply planning data'!$M:$M,'Supply planning data'!$D:$D,"&lt;="&amp;DataViz!$B171,'Supply planning data'!$C:$C,DataViz!E$155))</f>
        <v>915202</v>
      </c>
      <c r="F171" s="152">
        <f>IF(ISNA(F$155),NA(),SUMIFS('Supply planning data'!$M:$M,'Supply planning data'!$D:$D,"&lt;="&amp;DataViz!$B171,'Supply planning data'!$C:$C,DataViz!F$155))</f>
        <v>1511853</v>
      </c>
      <c r="G171" s="152">
        <f>IF(ISNA(G$155),NA(),SUMIFS('Supply planning data'!$M:$M,'Supply planning data'!$D:$D,"&lt;="&amp;DataViz!$B171,'Supply planning data'!$C:$C,DataViz!G$155))</f>
        <v>5400</v>
      </c>
      <c r="H171" s="152">
        <f>IF(ISNA(H$155),NA(),SUMIFS('Supply planning data'!$M:$M,'Supply planning data'!$D:$D,"&lt;="&amp;DataViz!$B171,'Supply planning data'!$C:$C,DataViz!H$155))</f>
        <v>288432</v>
      </c>
      <c r="I171" s="152">
        <f>IF(ISNA(I$155),NA(),SUMIFS('Supply planning data'!$M:$M,'Supply planning data'!$D:$D,"&lt;="&amp;DataViz!$B171,'Supply planning data'!$C:$C,DataViz!I$155))</f>
        <v>0</v>
      </c>
      <c r="J171" s="152" t="e">
        <f>IF(ISNA(J$155),NA(),SUMIFS('Supply planning data'!$M:$M,'Supply planning data'!$D:$D,"&lt;="&amp;DataViz!$B171,'Supply planning data'!$C:$C,DataViz!J$155))</f>
        <v>#N/A</v>
      </c>
      <c r="K171" s="152" t="e">
        <f>IF(ISNA(K$155),NA(),SUMIFS('Supply planning data'!$M:$M,'Supply planning data'!$D:$D,"&lt;="&amp;DataViz!$B171,'Supply planning data'!$C:$C,DataViz!K$155))</f>
        <v>#N/A</v>
      </c>
      <c r="L171" s="152" t="e">
        <f>IF(ISNA(L$155),NA(),SUMIFS('Supply planning data'!$M:$M,'Supply planning data'!$D:$D,"&lt;="&amp;DataViz!$B171,'Supply planning data'!$C:$C,DataViz!L$155))</f>
        <v>#N/A</v>
      </c>
      <c r="M171" s="152" t="e">
        <f>IF(ISNA(M$155),NA(),SUMIFS('Supply planning data'!$M:$M,'Supply planning data'!$D:$D,"&lt;="&amp;DataViz!$B171,'Supply planning data'!$C:$C,DataViz!M$155))</f>
        <v>#N/A</v>
      </c>
      <c r="N171" s="152" t="e">
        <f>IF(ISNA(N$155),NA(),SUMIFS('Supply planning data'!$M:$M,'Supply planning data'!$D:$D,"&lt;="&amp;DataViz!$B171,'Supply planning data'!$C:$C,DataViz!N$155))</f>
        <v>#N/A</v>
      </c>
      <c r="O171" s="152" t="e">
        <f>IF(ISNA(O$155),NA(),SUMIFS('Supply planning data'!$M:$M,'Supply planning data'!$D:$D,"&lt;="&amp;DataViz!$B171,'Supply planning data'!$C:$C,DataViz!O$155))</f>
        <v>#N/A</v>
      </c>
      <c r="P171" s="152" t="e">
        <f>IF(ISNA(P$155),NA(),SUMIFS('Supply planning data'!$M:$M,'Supply planning data'!$D:$D,"&lt;="&amp;DataViz!$B171,'Supply planning data'!$C:$C,DataViz!P$155))</f>
        <v>#N/A</v>
      </c>
      <c r="Q171" s="152" t="e">
        <f>IF(ISNA(Q$155),NA(),SUMIFS('Supply planning data'!$M:$M,'Supply planning data'!$D:$D,"&lt;="&amp;DataViz!$B171,'Supply planning data'!$C:$C,DataViz!Q$155))</f>
        <v>#N/A</v>
      </c>
      <c r="R171" s="152" t="e">
        <f>IF(ISNA(R$155),NA(),SUMIFS('Supply planning data'!$M:$M,'Supply planning data'!$D:$D,"&lt;="&amp;DataViz!$B171,'Supply planning data'!$C:$C,DataViz!R$155))</f>
        <v>#N/A</v>
      </c>
      <c r="S171" s="152" t="e">
        <f>IF(ISNA(S$155),NA(),SUMIFS('Supply planning data'!$M:$M,'Supply planning data'!$D:$D,"&lt;="&amp;DataViz!$B171,'Supply planning data'!$C:$C,DataViz!S$155))</f>
        <v>#N/A</v>
      </c>
      <c r="U171" s="14">
        <f t="shared" si="42"/>
        <v>0</v>
      </c>
      <c r="V171" s="24">
        <f t="shared" si="43"/>
        <v>0</v>
      </c>
      <c r="W171" s="24">
        <f t="shared" si="44"/>
        <v>0</v>
      </c>
      <c r="X171" s="24">
        <f t="shared" si="45"/>
        <v>0</v>
      </c>
      <c r="Y171" s="24">
        <f t="shared" si="46"/>
        <v>0</v>
      </c>
      <c r="Z171" s="24">
        <f t="shared" si="47"/>
        <v>0</v>
      </c>
      <c r="AA171" s="24">
        <f t="shared" si="48"/>
        <v>0</v>
      </c>
      <c r="AB171" s="24">
        <f t="shared" si="49"/>
        <v>0</v>
      </c>
      <c r="AC171" s="24">
        <f t="shared" si="50"/>
        <v>0</v>
      </c>
      <c r="AD171" s="24">
        <f t="shared" si="51"/>
        <v>0</v>
      </c>
      <c r="AE171" s="24">
        <f t="shared" si="52"/>
        <v>0</v>
      </c>
      <c r="AF171" s="24">
        <f t="shared" si="53"/>
        <v>0</v>
      </c>
      <c r="AG171" s="24">
        <f t="shared" si="54"/>
        <v>0</v>
      </c>
      <c r="AH171" s="24">
        <f t="shared" si="55"/>
        <v>0</v>
      </c>
      <c r="AI171" s="24">
        <f t="shared" si="56"/>
        <v>0</v>
      </c>
      <c r="AJ171" s="24" t="e">
        <f t="shared" si="57"/>
        <v>#N/A</v>
      </c>
      <c r="AK171" s="375" t="str">
        <f t="shared" si="58"/>
        <v/>
      </c>
      <c r="AL171" s="375" t="str">
        <f t="shared" si="40"/>
        <v/>
      </c>
      <c r="AM171" s="375" t="str">
        <f t="shared" si="40"/>
        <v/>
      </c>
      <c r="AN171" s="375" t="str">
        <f t="shared" si="40"/>
        <v/>
      </c>
      <c r="AO171" s="375" t="str">
        <f t="shared" si="40"/>
        <v/>
      </c>
      <c r="AP171" s="375" t="str">
        <f t="shared" si="40"/>
        <v/>
      </c>
      <c r="AQ171" s="375" t="str">
        <f t="shared" si="40"/>
        <v/>
      </c>
      <c r="AR171" s="375" t="str">
        <f t="shared" si="40"/>
        <v/>
      </c>
      <c r="AS171" s="375" t="str">
        <f t="shared" si="40"/>
        <v/>
      </c>
      <c r="AT171" s="375" t="str">
        <f t="shared" si="40"/>
        <v/>
      </c>
      <c r="AU171" s="375" t="str">
        <f t="shared" si="40"/>
        <v/>
      </c>
      <c r="AV171" s="375" t="str">
        <f t="shared" si="40"/>
        <v/>
      </c>
      <c r="AW171" s="375" t="str">
        <f t="shared" si="40"/>
        <v/>
      </c>
      <c r="AX171" s="375" t="str">
        <f t="shared" si="40"/>
        <v/>
      </c>
      <c r="AY171" s="375" t="str">
        <f t="shared" si="40"/>
        <v/>
      </c>
    </row>
    <row r="172" spans="1:51" x14ac:dyDescent="0.25">
      <c r="A172" s="150">
        <v>17</v>
      </c>
      <c r="B172" s="151">
        <f t="shared" si="59"/>
        <v>44774</v>
      </c>
      <c r="C172" s="156">
        <f>IF($A$154="Jansen",SUMIFS('Supply planning data'!G:G,'Supply planning data'!$D:$D,"&lt;="&amp;DataViz!$B172,'Supply planning data'!$C:$C,"Jansen"),IF($A$154="All",SUMIFS('Supply planning data'!H:H,'Supply planning data'!$D:$D,"&lt;="&amp;DataViz!$B172)+SUMIFS('Supply planning data'!G:G,'Supply planning data'!$D:$D,"&lt;="&amp;DataViz!$B172,'Supply planning data'!$C:$C,"Jansen"),SUMIFS('Supply planning data'!H:H,'Supply planning data'!$D:$D,"&lt;="&amp;DataViz!$B172,'Supply planning data'!$C:$C,DataViz!$A$154)))</f>
        <v>1769554</v>
      </c>
      <c r="D172" s="173">
        <f t="shared" si="41"/>
        <v>2.9492566666666668E-2</v>
      </c>
      <c r="E172" s="152">
        <f>IF(ISNA(E$155),NA(),SUMIFS('Supply planning data'!$M:$M,'Supply planning data'!$D:$D,"&lt;="&amp;DataViz!$B172,'Supply planning data'!$C:$C,DataViz!E$155))</f>
        <v>915202</v>
      </c>
      <c r="F172" s="152">
        <f>IF(ISNA(F$155),NA(),SUMIFS('Supply planning data'!$M:$M,'Supply planning data'!$D:$D,"&lt;="&amp;DataViz!$B172,'Supply planning data'!$C:$C,DataViz!F$155))</f>
        <v>1511853</v>
      </c>
      <c r="G172" s="152">
        <f>IF(ISNA(G$155),NA(),SUMIFS('Supply planning data'!$M:$M,'Supply planning data'!$D:$D,"&lt;="&amp;DataViz!$B172,'Supply planning data'!$C:$C,DataViz!G$155))</f>
        <v>5400</v>
      </c>
      <c r="H172" s="152">
        <f>IF(ISNA(H$155),NA(),SUMIFS('Supply planning data'!$M:$M,'Supply planning data'!$D:$D,"&lt;="&amp;DataViz!$B172,'Supply planning data'!$C:$C,DataViz!H$155))</f>
        <v>288432</v>
      </c>
      <c r="I172" s="152">
        <f>IF(ISNA(I$155),NA(),SUMIFS('Supply planning data'!$M:$M,'Supply planning data'!$D:$D,"&lt;="&amp;DataViz!$B172,'Supply planning data'!$C:$C,DataViz!I$155))</f>
        <v>0</v>
      </c>
      <c r="J172" s="152" t="e">
        <f>IF(ISNA(J$155),NA(),SUMIFS('Supply planning data'!$M:$M,'Supply planning data'!$D:$D,"&lt;="&amp;DataViz!$B172,'Supply planning data'!$C:$C,DataViz!J$155))</f>
        <v>#N/A</v>
      </c>
      <c r="K172" s="152" t="e">
        <f>IF(ISNA(K$155),NA(),SUMIFS('Supply planning data'!$M:$M,'Supply planning data'!$D:$D,"&lt;="&amp;DataViz!$B172,'Supply planning data'!$C:$C,DataViz!K$155))</f>
        <v>#N/A</v>
      </c>
      <c r="L172" s="152" t="e">
        <f>IF(ISNA(L$155),NA(),SUMIFS('Supply planning data'!$M:$M,'Supply planning data'!$D:$D,"&lt;="&amp;DataViz!$B172,'Supply planning data'!$C:$C,DataViz!L$155))</f>
        <v>#N/A</v>
      </c>
      <c r="M172" s="152" t="e">
        <f>IF(ISNA(M$155),NA(),SUMIFS('Supply planning data'!$M:$M,'Supply planning data'!$D:$D,"&lt;="&amp;DataViz!$B172,'Supply planning data'!$C:$C,DataViz!M$155))</f>
        <v>#N/A</v>
      </c>
      <c r="N172" s="152" t="e">
        <f>IF(ISNA(N$155),NA(),SUMIFS('Supply planning data'!$M:$M,'Supply planning data'!$D:$D,"&lt;="&amp;DataViz!$B172,'Supply planning data'!$C:$C,DataViz!N$155))</f>
        <v>#N/A</v>
      </c>
      <c r="O172" s="152" t="e">
        <f>IF(ISNA(O$155),NA(),SUMIFS('Supply planning data'!$M:$M,'Supply planning data'!$D:$D,"&lt;="&amp;DataViz!$B172,'Supply planning data'!$C:$C,DataViz!O$155))</f>
        <v>#N/A</v>
      </c>
      <c r="P172" s="152" t="e">
        <f>IF(ISNA(P$155),NA(),SUMIFS('Supply planning data'!$M:$M,'Supply planning data'!$D:$D,"&lt;="&amp;DataViz!$B172,'Supply planning data'!$C:$C,DataViz!P$155))</f>
        <v>#N/A</v>
      </c>
      <c r="Q172" s="152" t="e">
        <f>IF(ISNA(Q$155),NA(),SUMIFS('Supply planning data'!$M:$M,'Supply planning data'!$D:$D,"&lt;="&amp;DataViz!$B172,'Supply planning data'!$C:$C,DataViz!Q$155))</f>
        <v>#N/A</v>
      </c>
      <c r="R172" s="152" t="e">
        <f>IF(ISNA(R$155),NA(),SUMIFS('Supply planning data'!$M:$M,'Supply planning data'!$D:$D,"&lt;="&amp;DataViz!$B172,'Supply planning data'!$C:$C,DataViz!R$155))</f>
        <v>#N/A</v>
      </c>
      <c r="S172" s="152" t="e">
        <f>IF(ISNA(S$155),NA(),SUMIFS('Supply planning data'!$M:$M,'Supply planning data'!$D:$D,"&lt;="&amp;DataViz!$B172,'Supply planning data'!$C:$C,DataViz!S$155))</f>
        <v>#N/A</v>
      </c>
      <c r="U172" s="14">
        <f t="shared" si="42"/>
        <v>0</v>
      </c>
      <c r="V172" s="24">
        <f t="shared" si="43"/>
        <v>0</v>
      </c>
      <c r="W172" s="24">
        <f t="shared" si="44"/>
        <v>0</v>
      </c>
      <c r="X172" s="24">
        <f t="shared" si="45"/>
        <v>0</v>
      </c>
      <c r="Y172" s="24">
        <f t="shared" si="46"/>
        <v>0</v>
      </c>
      <c r="Z172" s="24">
        <f t="shared" si="47"/>
        <v>0</v>
      </c>
      <c r="AA172" s="24">
        <f t="shared" si="48"/>
        <v>0</v>
      </c>
      <c r="AB172" s="24">
        <f t="shared" si="49"/>
        <v>0</v>
      </c>
      <c r="AC172" s="24">
        <f t="shared" si="50"/>
        <v>0</v>
      </c>
      <c r="AD172" s="24">
        <f t="shared" si="51"/>
        <v>0</v>
      </c>
      <c r="AE172" s="24">
        <f t="shared" si="52"/>
        <v>0</v>
      </c>
      <c r="AF172" s="24">
        <f t="shared" si="53"/>
        <v>0</v>
      </c>
      <c r="AG172" s="24">
        <f t="shared" si="54"/>
        <v>0</v>
      </c>
      <c r="AH172" s="24">
        <f t="shared" si="55"/>
        <v>0</v>
      </c>
      <c r="AI172" s="24">
        <f t="shared" si="56"/>
        <v>0</v>
      </c>
      <c r="AJ172" s="24" t="e">
        <f t="shared" si="57"/>
        <v>#N/A</v>
      </c>
      <c r="AK172" s="375" t="str">
        <f t="shared" si="58"/>
        <v/>
      </c>
      <c r="AL172" s="375" t="str">
        <f t="shared" ref="AL172:AL179" si="60">IFERROR(IF(V172/SUM($U172:$AI172)&gt;0,V172/SUM($U172:$AI172),""),"")</f>
        <v/>
      </c>
      <c r="AM172" s="375" t="str">
        <f t="shared" ref="AM172:AM179" si="61">IFERROR(IF(W172/SUM($U172:$AI172)&gt;0,W172/SUM($U172:$AI172),""),"")</f>
        <v/>
      </c>
      <c r="AN172" s="375" t="str">
        <f t="shared" ref="AN172:AN179" si="62">IFERROR(IF(X172/SUM($U172:$AI172)&gt;0,X172/SUM($U172:$AI172),""),"")</f>
        <v/>
      </c>
      <c r="AO172" s="375" t="str">
        <f t="shared" ref="AO172:AO179" si="63">IFERROR(IF(Y172/SUM($U172:$AI172)&gt;0,Y172/SUM($U172:$AI172),""),"")</f>
        <v/>
      </c>
      <c r="AP172" s="375" t="str">
        <f t="shared" ref="AP172:AP179" si="64">IFERROR(IF(Z172/SUM($U172:$AI172)&gt;0,Z172/SUM($U172:$AI172),""),"")</f>
        <v/>
      </c>
      <c r="AQ172" s="375" t="str">
        <f t="shared" ref="AQ172:AQ179" si="65">IFERROR(IF(AA172/SUM($U172:$AI172)&gt;0,AA172/SUM($U172:$AI172),""),"")</f>
        <v/>
      </c>
      <c r="AR172" s="375" t="str">
        <f t="shared" ref="AR172:AR179" si="66">IFERROR(IF(AB172/SUM($U172:$AI172)&gt;0,AB172/SUM($U172:$AI172),""),"")</f>
        <v/>
      </c>
      <c r="AS172" s="375" t="str">
        <f t="shared" ref="AS172:AS179" si="67">IFERROR(IF(AC172/SUM($U172:$AI172)&gt;0,AC172/SUM($U172:$AI172),""),"")</f>
        <v/>
      </c>
      <c r="AT172" s="375" t="str">
        <f t="shared" ref="AT172:AT179" si="68">IFERROR(IF(AD172/SUM($U172:$AI172)&gt;0,AD172/SUM($U172:$AI172),""),"")</f>
        <v/>
      </c>
      <c r="AU172" s="375" t="str">
        <f t="shared" ref="AU172:AU179" si="69">IFERROR(IF(AE172/SUM($U172:$AI172)&gt;0,AE172/SUM($U172:$AI172),""),"")</f>
        <v/>
      </c>
      <c r="AV172" s="375" t="str">
        <f t="shared" ref="AV172:AV179" si="70">IFERROR(IF(AF172/SUM($U172:$AI172)&gt;0,AF172/SUM($U172:$AI172),""),"")</f>
        <v/>
      </c>
      <c r="AW172" s="375" t="str">
        <f t="shared" ref="AW172:AW179" si="71">IFERROR(IF(AG172/SUM($U172:$AI172)&gt;0,AG172/SUM($U172:$AI172),""),"")</f>
        <v/>
      </c>
      <c r="AX172" s="375" t="str">
        <f t="shared" ref="AX172:AX179" si="72">IFERROR(IF(AH172/SUM($U172:$AI172)&gt;0,AH172/SUM($U172:$AI172),""),"")</f>
        <v/>
      </c>
      <c r="AY172" s="375" t="str">
        <f t="shared" ref="AY172:AY179" si="73">IFERROR(IF(AI172/SUM($U172:$AI172)&gt;0,AI172/SUM($U172:$AI172),""),"")</f>
        <v/>
      </c>
    </row>
    <row r="173" spans="1:51" x14ac:dyDescent="0.25">
      <c r="A173" s="150">
        <v>18</v>
      </c>
      <c r="B173" s="151">
        <f t="shared" si="59"/>
        <v>44805</v>
      </c>
      <c r="C173" s="156">
        <f>IF($A$154="Jansen",SUMIFS('Supply planning data'!G:G,'Supply planning data'!$D:$D,"&lt;="&amp;DataViz!$B173,'Supply planning data'!$C:$C,"Jansen"),IF($A$154="All",SUMIFS('Supply planning data'!H:H,'Supply planning data'!$D:$D,"&lt;="&amp;DataViz!$B173)+SUMIFS('Supply planning data'!G:G,'Supply planning data'!$D:$D,"&lt;="&amp;DataViz!$B173,'Supply planning data'!$C:$C,"Jansen"),SUMIFS('Supply planning data'!H:H,'Supply planning data'!$D:$D,"&lt;="&amp;DataViz!$B173,'Supply planning data'!$C:$C,DataViz!$A$154)))</f>
        <v>1769554</v>
      </c>
      <c r="D173" s="173">
        <f t="shared" si="41"/>
        <v>2.9492566666666668E-2</v>
      </c>
      <c r="E173" s="152">
        <f>IF(ISNA(E$155),NA(),SUMIFS('Supply planning data'!$M:$M,'Supply planning data'!$D:$D,"&lt;="&amp;DataViz!$B173,'Supply planning data'!$C:$C,DataViz!E$155))</f>
        <v>915202</v>
      </c>
      <c r="F173" s="152">
        <f>IF(ISNA(F$155),NA(),SUMIFS('Supply planning data'!$M:$M,'Supply planning data'!$D:$D,"&lt;="&amp;DataViz!$B173,'Supply planning data'!$C:$C,DataViz!F$155))</f>
        <v>1511853</v>
      </c>
      <c r="G173" s="152">
        <f>IF(ISNA(G$155),NA(),SUMIFS('Supply planning data'!$M:$M,'Supply planning data'!$D:$D,"&lt;="&amp;DataViz!$B173,'Supply planning data'!$C:$C,DataViz!G$155))</f>
        <v>5400</v>
      </c>
      <c r="H173" s="152">
        <f>IF(ISNA(H$155),NA(),SUMIFS('Supply planning data'!$M:$M,'Supply planning data'!$D:$D,"&lt;="&amp;DataViz!$B173,'Supply planning data'!$C:$C,DataViz!H$155))</f>
        <v>288432</v>
      </c>
      <c r="I173" s="152">
        <f>IF(ISNA(I$155),NA(),SUMIFS('Supply planning data'!$M:$M,'Supply planning data'!$D:$D,"&lt;="&amp;DataViz!$B173,'Supply planning data'!$C:$C,DataViz!I$155))</f>
        <v>0</v>
      </c>
      <c r="J173" s="152" t="e">
        <f>IF(ISNA(J$155),NA(),SUMIFS('Supply planning data'!$M:$M,'Supply planning data'!$D:$D,"&lt;="&amp;DataViz!$B173,'Supply planning data'!$C:$C,DataViz!J$155))</f>
        <v>#N/A</v>
      </c>
      <c r="K173" s="152" t="e">
        <f>IF(ISNA(K$155),NA(),SUMIFS('Supply planning data'!$M:$M,'Supply planning data'!$D:$D,"&lt;="&amp;DataViz!$B173,'Supply planning data'!$C:$C,DataViz!K$155))</f>
        <v>#N/A</v>
      </c>
      <c r="L173" s="152" t="e">
        <f>IF(ISNA(L$155),NA(),SUMIFS('Supply planning data'!$M:$M,'Supply planning data'!$D:$D,"&lt;="&amp;DataViz!$B173,'Supply planning data'!$C:$C,DataViz!L$155))</f>
        <v>#N/A</v>
      </c>
      <c r="M173" s="152" t="e">
        <f>IF(ISNA(M$155),NA(),SUMIFS('Supply planning data'!$M:$M,'Supply planning data'!$D:$D,"&lt;="&amp;DataViz!$B173,'Supply planning data'!$C:$C,DataViz!M$155))</f>
        <v>#N/A</v>
      </c>
      <c r="N173" s="152" t="e">
        <f>IF(ISNA(N$155),NA(),SUMIFS('Supply planning data'!$M:$M,'Supply planning data'!$D:$D,"&lt;="&amp;DataViz!$B173,'Supply planning data'!$C:$C,DataViz!N$155))</f>
        <v>#N/A</v>
      </c>
      <c r="O173" s="152" t="e">
        <f>IF(ISNA(O$155),NA(),SUMIFS('Supply planning data'!$M:$M,'Supply planning data'!$D:$D,"&lt;="&amp;DataViz!$B173,'Supply planning data'!$C:$C,DataViz!O$155))</f>
        <v>#N/A</v>
      </c>
      <c r="P173" s="152" t="e">
        <f>IF(ISNA(P$155),NA(),SUMIFS('Supply planning data'!$M:$M,'Supply planning data'!$D:$D,"&lt;="&amp;DataViz!$B173,'Supply planning data'!$C:$C,DataViz!P$155))</f>
        <v>#N/A</v>
      </c>
      <c r="Q173" s="152" t="e">
        <f>IF(ISNA(Q$155),NA(),SUMIFS('Supply planning data'!$M:$M,'Supply planning data'!$D:$D,"&lt;="&amp;DataViz!$B173,'Supply planning data'!$C:$C,DataViz!Q$155))</f>
        <v>#N/A</v>
      </c>
      <c r="R173" s="152" t="e">
        <f>IF(ISNA(R$155),NA(),SUMIFS('Supply planning data'!$M:$M,'Supply planning data'!$D:$D,"&lt;="&amp;DataViz!$B173,'Supply planning data'!$C:$C,DataViz!R$155))</f>
        <v>#N/A</v>
      </c>
      <c r="S173" s="152" t="e">
        <f>IF(ISNA(S$155),NA(),SUMIFS('Supply planning data'!$M:$M,'Supply planning data'!$D:$D,"&lt;="&amp;DataViz!$B173,'Supply planning data'!$C:$C,DataViz!S$155))</f>
        <v>#N/A</v>
      </c>
      <c r="U173" s="14">
        <f t="shared" si="42"/>
        <v>0</v>
      </c>
      <c r="V173" s="24">
        <f t="shared" si="43"/>
        <v>0</v>
      </c>
      <c r="W173" s="24">
        <f t="shared" si="44"/>
        <v>0</v>
      </c>
      <c r="X173" s="24">
        <f t="shared" si="45"/>
        <v>0</v>
      </c>
      <c r="Y173" s="24">
        <f t="shared" si="46"/>
        <v>0</v>
      </c>
      <c r="Z173" s="24">
        <f t="shared" si="47"/>
        <v>0</v>
      </c>
      <c r="AA173" s="24">
        <f t="shared" si="48"/>
        <v>0</v>
      </c>
      <c r="AB173" s="24">
        <f t="shared" si="49"/>
        <v>0</v>
      </c>
      <c r="AC173" s="24">
        <f t="shared" si="50"/>
        <v>0</v>
      </c>
      <c r="AD173" s="24">
        <f t="shared" si="51"/>
        <v>0</v>
      </c>
      <c r="AE173" s="24">
        <f t="shared" si="52"/>
        <v>0</v>
      </c>
      <c r="AF173" s="24">
        <f t="shared" si="53"/>
        <v>0</v>
      </c>
      <c r="AG173" s="24">
        <f t="shared" si="54"/>
        <v>0</v>
      </c>
      <c r="AH173" s="24">
        <f t="shared" si="55"/>
        <v>0</v>
      </c>
      <c r="AI173" s="24">
        <f t="shared" si="56"/>
        <v>0</v>
      </c>
      <c r="AJ173" s="24" t="e">
        <f t="shared" si="57"/>
        <v>#N/A</v>
      </c>
      <c r="AK173" s="375" t="str">
        <f t="shared" si="58"/>
        <v/>
      </c>
      <c r="AL173" s="375" t="str">
        <f t="shared" si="60"/>
        <v/>
      </c>
      <c r="AM173" s="375" t="str">
        <f t="shared" si="61"/>
        <v/>
      </c>
      <c r="AN173" s="375" t="str">
        <f t="shared" si="62"/>
        <v/>
      </c>
      <c r="AO173" s="375" t="str">
        <f t="shared" si="63"/>
        <v/>
      </c>
      <c r="AP173" s="375" t="str">
        <f t="shared" si="64"/>
        <v/>
      </c>
      <c r="AQ173" s="375" t="str">
        <f t="shared" si="65"/>
        <v/>
      </c>
      <c r="AR173" s="375" t="str">
        <f t="shared" si="66"/>
        <v/>
      </c>
      <c r="AS173" s="375" t="str">
        <f t="shared" si="67"/>
        <v/>
      </c>
      <c r="AT173" s="375" t="str">
        <f t="shared" si="68"/>
        <v/>
      </c>
      <c r="AU173" s="375" t="str">
        <f t="shared" si="69"/>
        <v/>
      </c>
      <c r="AV173" s="375" t="str">
        <f t="shared" si="70"/>
        <v/>
      </c>
      <c r="AW173" s="375" t="str">
        <f t="shared" si="71"/>
        <v/>
      </c>
      <c r="AX173" s="375" t="str">
        <f t="shared" si="72"/>
        <v/>
      </c>
      <c r="AY173" s="375" t="str">
        <f t="shared" si="73"/>
        <v/>
      </c>
    </row>
    <row r="174" spans="1:51" x14ac:dyDescent="0.25">
      <c r="A174" s="150">
        <v>19</v>
      </c>
      <c r="B174" s="151">
        <f t="shared" si="59"/>
        <v>44835</v>
      </c>
      <c r="C174" s="156">
        <f>IF($A$154="Jansen",SUMIFS('Supply planning data'!G:G,'Supply planning data'!$D:$D,"&lt;="&amp;DataViz!$B174,'Supply planning data'!$C:$C,"Jansen"),IF($A$154="All",SUMIFS('Supply planning data'!H:H,'Supply planning data'!$D:$D,"&lt;="&amp;DataViz!$B174)+SUMIFS('Supply planning data'!G:G,'Supply planning data'!$D:$D,"&lt;="&amp;DataViz!$B174,'Supply planning data'!$C:$C,"Jansen"),SUMIFS('Supply planning data'!H:H,'Supply planning data'!$D:$D,"&lt;="&amp;DataViz!$B174,'Supply planning data'!$C:$C,DataViz!$A$154)))</f>
        <v>1769554</v>
      </c>
      <c r="D174" s="173">
        <f t="shared" si="41"/>
        <v>2.9492566666666668E-2</v>
      </c>
      <c r="E174" s="152">
        <f>IF(ISNA(E$155),NA(),SUMIFS('Supply planning data'!$M:$M,'Supply planning data'!$D:$D,"&lt;="&amp;DataViz!$B174,'Supply planning data'!$C:$C,DataViz!E$155))</f>
        <v>915202</v>
      </c>
      <c r="F174" s="152">
        <f>IF(ISNA(F$155),NA(),SUMIFS('Supply planning data'!$M:$M,'Supply planning data'!$D:$D,"&lt;="&amp;DataViz!$B174,'Supply planning data'!$C:$C,DataViz!F$155))</f>
        <v>1511853</v>
      </c>
      <c r="G174" s="152">
        <f>IF(ISNA(G$155),NA(),SUMIFS('Supply planning data'!$M:$M,'Supply planning data'!$D:$D,"&lt;="&amp;DataViz!$B174,'Supply planning data'!$C:$C,DataViz!G$155))</f>
        <v>5400</v>
      </c>
      <c r="H174" s="152">
        <f>IF(ISNA(H$155),NA(),SUMIFS('Supply planning data'!$M:$M,'Supply planning data'!$D:$D,"&lt;="&amp;DataViz!$B174,'Supply planning data'!$C:$C,DataViz!H$155))</f>
        <v>288432</v>
      </c>
      <c r="I174" s="152">
        <f>IF(ISNA(I$155),NA(),SUMIFS('Supply planning data'!$M:$M,'Supply planning data'!$D:$D,"&lt;="&amp;DataViz!$B174,'Supply planning data'!$C:$C,DataViz!I$155))</f>
        <v>0</v>
      </c>
      <c r="J174" s="152" t="e">
        <f>IF(ISNA(J$155),NA(),SUMIFS('Supply planning data'!$M:$M,'Supply planning data'!$D:$D,"&lt;="&amp;DataViz!$B174,'Supply planning data'!$C:$C,DataViz!J$155))</f>
        <v>#N/A</v>
      </c>
      <c r="K174" s="152" t="e">
        <f>IF(ISNA(K$155),NA(),SUMIFS('Supply planning data'!$M:$M,'Supply planning data'!$D:$D,"&lt;="&amp;DataViz!$B174,'Supply planning data'!$C:$C,DataViz!K$155))</f>
        <v>#N/A</v>
      </c>
      <c r="L174" s="152" t="e">
        <f>IF(ISNA(L$155),NA(),SUMIFS('Supply planning data'!$M:$M,'Supply planning data'!$D:$D,"&lt;="&amp;DataViz!$B174,'Supply planning data'!$C:$C,DataViz!L$155))</f>
        <v>#N/A</v>
      </c>
      <c r="M174" s="152" t="e">
        <f>IF(ISNA(M$155),NA(),SUMIFS('Supply planning data'!$M:$M,'Supply planning data'!$D:$D,"&lt;="&amp;DataViz!$B174,'Supply planning data'!$C:$C,DataViz!M$155))</f>
        <v>#N/A</v>
      </c>
      <c r="N174" s="152" t="e">
        <f>IF(ISNA(N$155),NA(),SUMIFS('Supply planning data'!$M:$M,'Supply planning data'!$D:$D,"&lt;="&amp;DataViz!$B174,'Supply planning data'!$C:$C,DataViz!N$155))</f>
        <v>#N/A</v>
      </c>
      <c r="O174" s="152" t="e">
        <f>IF(ISNA(O$155),NA(),SUMIFS('Supply planning data'!$M:$M,'Supply planning data'!$D:$D,"&lt;="&amp;DataViz!$B174,'Supply planning data'!$C:$C,DataViz!O$155))</f>
        <v>#N/A</v>
      </c>
      <c r="P174" s="152" t="e">
        <f>IF(ISNA(P$155),NA(),SUMIFS('Supply planning data'!$M:$M,'Supply planning data'!$D:$D,"&lt;="&amp;DataViz!$B174,'Supply planning data'!$C:$C,DataViz!P$155))</f>
        <v>#N/A</v>
      </c>
      <c r="Q174" s="152" t="e">
        <f>IF(ISNA(Q$155),NA(),SUMIFS('Supply planning data'!$M:$M,'Supply planning data'!$D:$D,"&lt;="&amp;DataViz!$B174,'Supply planning data'!$C:$C,DataViz!Q$155))</f>
        <v>#N/A</v>
      </c>
      <c r="R174" s="152" t="e">
        <f>IF(ISNA(R$155),NA(),SUMIFS('Supply planning data'!$M:$M,'Supply planning data'!$D:$D,"&lt;="&amp;DataViz!$B174,'Supply planning data'!$C:$C,DataViz!R$155))</f>
        <v>#N/A</v>
      </c>
      <c r="S174" s="152" t="e">
        <f>IF(ISNA(S$155),NA(),SUMIFS('Supply planning data'!$M:$M,'Supply planning data'!$D:$D,"&lt;="&amp;DataViz!$B174,'Supply planning data'!$C:$C,DataViz!S$155))</f>
        <v>#N/A</v>
      </c>
      <c r="U174" s="14">
        <f t="shared" si="42"/>
        <v>0</v>
      </c>
      <c r="V174" s="24">
        <f t="shared" si="43"/>
        <v>0</v>
      </c>
      <c r="W174" s="24">
        <f t="shared" si="44"/>
        <v>0</v>
      </c>
      <c r="X174" s="24">
        <f t="shared" si="45"/>
        <v>0</v>
      </c>
      <c r="Y174" s="24">
        <f t="shared" si="46"/>
        <v>0</v>
      </c>
      <c r="Z174" s="24">
        <f t="shared" si="47"/>
        <v>0</v>
      </c>
      <c r="AA174" s="24">
        <f t="shared" si="48"/>
        <v>0</v>
      </c>
      <c r="AB174" s="24">
        <f t="shared" si="49"/>
        <v>0</v>
      </c>
      <c r="AC174" s="24">
        <f t="shared" si="50"/>
        <v>0</v>
      </c>
      <c r="AD174" s="24">
        <f t="shared" si="51"/>
        <v>0</v>
      </c>
      <c r="AE174" s="24">
        <f t="shared" si="52"/>
        <v>0</v>
      </c>
      <c r="AF174" s="24">
        <f t="shared" si="53"/>
        <v>0</v>
      </c>
      <c r="AG174" s="24">
        <f t="shared" si="54"/>
        <v>0</v>
      </c>
      <c r="AH174" s="24">
        <f t="shared" si="55"/>
        <v>0</v>
      </c>
      <c r="AI174" s="24">
        <f t="shared" si="56"/>
        <v>0</v>
      </c>
      <c r="AJ174" s="24" t="e">
        <f t="shared" si="57"/>
        <v>#N/A</v>
      </c>
      <c r="AK174" s="375" t="str">
        <f t="shared" si="58"/>
        <v/>
      </c>
      <c r="AL174" s="375" t="str">
        <f t="shared" si="60"/>
        <v/>
      </c>
      <c r="AM174" s="375" t="str">
        <f t="shared" si="61"/>
        <v/>
      </c>
      <c r="AN174" s="375" t="str">
        <f t="shared" si="62"/>
        <v/>
      </c>
      <c r="AO174" s="375" t="str">
        <f t="shared" si="63"/>
        <v/>
      </c>
      <c r="AP174" s="375" t="str">
        <f t="shared" si="64"/>
        <v/>
      </c>
      <c r="AQ174" s="375" t="str">
        <f t="shared" si="65"/>
        <v/>
      </c>
      <c r="AR174" s="375" t="str">
        <f t="shared" si="66"/>
        <v/>
      </c>
      <c r="AS174" s="375" t="str">
        <f t="shared" si="67"/>
        <v/>
      </c>
      <c r="AT174" s="375" t="str">
        <f t="shared" si="68"/>
        <v/>
      </c>
      <c r="AU174" s="375" t="str">
        <f t="shared" si="69"/>
        <v/>
      </c>
      <c r="AV174" s="375" t="str">
        <f t="shared" si="70"/>
        <v/>
      </c>
      <c r="AW174" s="375" t="str">
        <f t="shared" si="71"/>
        <v/>
      </c>
      <c r="AX174" s="375" t="str">
        <f t="shared" si="72"/>
        <v/>
      </c>
      <c r="AY174" s="375" t="str">
        <f t="shared" si="73"/>
        <v/>
      </c>
    </row>
    <row r="175" spans="1:51" x14ac:dyDescent="0.25">
      <c r="A175" s="150">
        <v>20</v>
      </c>
      <c r="B175" s="151">
        <f t="shared" si="59"/>
        <v>44866</v>
      </c>
      <c r="C175" s="156">
        <f>IF($A$154="Jansen",SUMIFS('Supply planning data'!G:G,'Supply planning data'!$D:$D,"&lt;="&amp;DataViz!$B175,'Supply planning data'!$C:$C,"Jansen"),IF($A$154="All",SUMIFS('Supply planning data'!H:H,'Supply planning data'!$D:$D,"&lt;="&amp;DataViz!$B175)+SUMIFS('Supply planning data'!G:G,'Supply planning data'!$D:$D,"&lt;="&amp;DataViz!$B175,'Supply planning data'!$C:$C,"Jansen"),SUMIFS('Supply planning data'!H:H,'Supply planning data'!$D:$D,"&lt;="&amp;DataViz!$B175,'Supply planning data'!$C:$C,DataViz!$A$154)))</f>
        <v>1769554</v>
      </c>
      <c r="D175" s="173">
        <f t="shared" si="41"/>
        <v>2.9492566666666668E-2</v>
      </c>
      <c r="E175" s="152">
        <f>IF(ISNA(E$155),NA(),SUMIFS('Supply planning data'!$M:$M,'Supply planning data'!$D:$D,"&lt;="&amp;DataViz!$B175,'Supply planning data'!$C:$C,DataViz!E$155))</f>
        <v>915202</v>
      </c>
      <c r="F175" s="152">
        <f>IF(ISNA(F$155),NA(),SUMIFS('Supply planning data'!$M:$M,'Supply planning data'!$D:$D,"&lt;="&amp;DataViz!$B175,'Supply planning data'!$C:$C,DataViz!F$155))</f>
        <v>1511853</v>
      </c>
      <c r="G175" s="152">
        <f>IF(ISNA(G$155),NA(),SUMIFS('Supply planning data'!$M:$M,'Supply planning data'!$D:$D,"&lt;="&amp;DataViz!$B175,'Supply planning data'!$C:$C,DataViz!G$155))</f>
        <v>5400</v>
      </c>
      <c r="H175" s="152">
        <f>IF(ISNA(H$155),NA(),SUMIFS('Supply planning data'!$M:$M,'Supply planning data'!$D:$D,"&lt;="&amp;DataViz!$B175,'Supply planning data'!$C:$C,DataViz!H$155))</f>
        <v>288432</v>
      </c>
      <c r="I175" s="152">
        <f>IF(ISNA(I$155),NA(),SUMIFS('Supply planning data'!$M:$M,'Supply planning data'!$D:$D,"&lt;="&amp;DataViz!$B175,'Supply planning data'!$C:$C,DataViz!I$155))</f>
        <v>0</v>
      </c>
      <c r="J175" s="152" t="e">
        <f>IF(ISNA(J$155),NA(),SUMIFS('Supply planning data'!$M:$M,'Supply planning data'!$D:$D,"&lt;="&amp;DataViz!$B175,'Supply planning data'!$C:$C,DataViz!J$155))</f>
        <v>#N/A</v>
      </c>
      <c r="K175" s="152" t="e">
        <f>IF(ISNA(K$155),NA(),SUMIFS('Supply planning data'!$M:$M,'Supply planning data'!$D:$D,"&lt;="&amp;DataViz!$B175,'Supply planning data'!$C:$C,DataViz!K$155))</f>
        <v>#N/A</v>
      </c>
      <c r="L175" s="152" t="e">
        <f>IF(ISNA(L$155),NA(),SUMIFS('Supply planning data'!$M:$M,'Supply planning data'!$D:$D,"&lt;="&amp;DataViz!$B175,'Supply planning data'!$C:$C,DataViz!L$155))</f>
        <v>#N/A</v>
      </c>
      <c r="M175" s="152" t="e">
        <f>IF(ISNA(M$155),NA(),SUMIFS('Supply planning data'!$M:$M,'Supply planning data'!$D:$D,"&lt;="&amp;DataViz!$B175,'Supply planning data'!$C:$C,DataViz!M$155))</f>
        <v>#N/A</v>
      </c>
      <c r="N175" s="152" t="e">
        <f>IF(ISNA(N$155),NA(),SUMIFS('Supply planning data'!$M:$M,'Supply planning data'!$D:$D,"&lt;="&amp;DataViz!$B175,'Supply planning data'!$C:$C,DataViz!N$155))</f>
        <v>#N/A</v>
      </c>
      <c r="O175" s="152" t="e">
        <f>IF(ISNA(O$155),NA(),SUMIFS('Supply planning data'!$M:$M,'Supply planning data'!$D:$D,"&lt;="&amp;DataViz!$B175,'Supply planning data'!$C:$C,DataViz!O$155))</f>
        <v>#N/A</v>
      </c>
      <c r="P175" s="152" t="e">
        <f>IF(ISNA(P$155),NA(),SUMIFS('Supply planning data'!$M:$M,'Supply planning data'!$D:$D,"&lt;="&amp;DataViz!$B175,'Supply planning data'!$C:$C,DataViz!P$155))</f>
        <v>#N/A</v>
      </c>
      <c r="Q175" s="152" t="e">
        <f>IF(ISNA(Q$155),NA(),SUMIFS('Supply planning data'!$M:$M,'Supply planning data'!$D:$D,"&lt;="&amp;DataViz!$B175,'Supply planning data'!$C:$C,DataViz!Q$155))</f>
        <v>#N/A</v>
      </c>
      <c r="R175" s="152" t="e">
        <f>IF(ISNA(R$155),NA(),SUMIFS('Supply planning data'!$M:$M,'Supply planning data'!$D:$D,"&lt;="&amp;DataViz!$B175,'Supply planning data'!$C:$C,DataViz!R$155))</f>
        <v>#N/A</v>
      </c>
      <c r="S175" s="152" t="e">
        <f>IF(ISNA(S$155),NA(),SUMIFS('Supply planning data'!$M:$M,'Supply planning data'!$D:$D,"&lt;="&amp;DataViz!$B175,'Supply planning data'!$C:$C,DataViz!S$155))</f>
        <v>#N/A</v>
      </c>
      <c r="U175" s="14">
        <f t="shared" si="42"/>
        <v>0</v>
      </c>
      <c r="V175" s="24">
        <f t="shared" si="43"/>
        <v>0</v>
      </c>
      <c r="W175" s="24">
        <f t="shared" si="44"/>
        <v>0</v>
      </c>
      <c r="X175" s="24">
        <f t="shared" si="45"/>
        <v>0</v>
      </c>
      <c r="Y175" s="24">
        <f t="shared" si="46"/>
        <v>0</v>
      </c>
      <c r="Z175" s="24">
        <f t="shared" si="47"/>
        <v>0</v>
      </c>
      <c r="AA175" s="24">
        <f t="shared" si="48"/>
        <v>0</v>
      </c>
      <c r="AB175" s="24">
        <f t="shared" si="49"/>
        <v>0</v>
      </c>
      <c r="AC175" s="24">
        <f t="shared" si="50"/>
        <v>0</v>
      </c>
      <c r="AD175" s="24">
        <f t="shared" si="51"/>
        <v>0</v>
      </c>
      <c r="AE175" s="24">
        <f t="shared" si="52"/>
        <v>0</v>
      </c>
      <c r="AF175" s="24">
        <f t="shared" si="53"/>
        <v>0</v>
      </c>
      <c r="AG175" s="24">
        <f t="shared" si="54"/>
        <v>0</v>
      </c>
      <c r="AH175" s="24">
        <f t="shared" si="55"/>
        <v>0</v>
      </c>
      <c r="AI175" s="24">
        <f t="shared" si="56"/>
        <v>0</v>
      </c>
      <c r="AJ175" s="24" t="e">
        <f t="shared" si="57"/>
        <v>#N/A</v>
      </c>
      <c r="AK175" s="375" t="str">
        <f t="shared" si="58"/>
        <v/>
      </c>
      <c r="AL175" s="375" t="str">
        <f t="shared" si="60"/>
        <v/>
      </c>
      <c r="AM175" s="375" t="str">
        <f t="shared" si="61"/>
        <v/>
      </c>
      <c r="AN175" s="375" t="str">
        <f t="shared" si="62"/>
        <v/>
      </c>
      <c r="AO175" s="375" t="str">
        <f t="shared" si="63"/>
        <v/>
      </c>
      <c r="AP175" s="375" t="str">
        <f t="shared" si="64"/>
        <v/>
      </c>
      <c r="AQ175" s="375" t="str">
        <f t="shared" si="65"/>
        <v/>
      </c>
      <c r="AR175" s="375" t="str">
        <f t="shared" si="66"/>
        <v/>
      </c>
      <c r="AS175" s="375" t="str">
        <f t="shared" si="67"/>
        <v/>
      </c>
      <c r="AT175" s="375" t="str">
        <f t="shared" si="68"/>
        <v/>
      </c>
      <c r="AU175" s="375" t="str">
        <f t="shared" si="69"/>
        <v/>
      </c>
      <c r="AV175" s="375" t="str">
        <f t="shared" si="70"/>
        <v/>
      </c>
      <c r="AW175" s="375" t="str">
        <f t="shared" si="71"/>
        <v/>
      </c>
      <c r="AX175" s="375" t="str">
        <f t="shared" si="72"/>
        <v/>
      </c>
      <c r="AY175" s="375" t="str">
        <f t="shared" si="73"/>
        <v/>
      </c>
    </row>
    <row r="176" spans="1:51" x14ac:dyDescent="0.25">
      <c r="A176" s="150">
        <v>21</v>
      </c>
      <c r="B176" s="151">
        <f t="shared" si="59"/>
        <v>44896</v>
      </c>
      <c r="C176" s="156">
        <f>IF($A$154="Jansen",SUMIFS('Supply planning data'!G:G,'Supply planning data'!$D:$D,"&lt;="&amp;DataViz!$B176,'Supply planning data'!$C:$C,"Jansen"),IF($A$154="All",SUMIFS('Supply planning data'!H:H,'Supply planning data'!$D:$D,"&lt;="&amp;DataViz!$B176)+SUMIFS('Supply planning data'!G:G,'Supply planning data'!$D:$D,"&lt;="&amp;DataViz!$B176,'Supply planning data'!$C:$C,"Jansen"),SUMIFS('Supply planning data'!H:H,'Supply planning data'!$D:$D,"&lt;="&amp;DataViz!$B176,'Supply planning data'!$C:$C,DataViz!$A$154)))</f>
        <v>1769554</v>
      </c>
      <c r="D176" s="173">
        <f t="shared" si="41"/>
        <v>2.9492566666666668E-2</v>
      </c>
      <c r="E176" s="152">
        <f>IF(ISNA(E$155),NA(),SUMIFS('Supply planning data'!$M:$M,'Supply planning data'!$D:$D,"&lt;="&amp;DataViz!$B176,'Supply planning data'!$C:$C,DataViz!E$155))</f>
        <v>915202</v>
      </c>
      <c r="F176" s="152">
        <f>IF(ISNA(F$155),NA(),SUMIFS('Supply planning data'!$M:$M,'Supply planning data'!$D:$D,"&lt;="&amp;DataViz!$B176,'Supply planning data'!$C:$C,DataViz!F$155))</f>
        <v>1511853</v>
      </c>
      <c r="G176" s="152">
        <f>IF(ISNA(G$155),NA(),SUMIFS('Supply planning data'!$M:$M,'Supply planning data'!$D:$D,"&lt;="&amp;DataViz!$B176,'Supply planning data'!$C:$C,DataViz!G$155))</f>
        <v>5400</v>
      </c>
      <c r="H176" s="152">
        <f>IF(ISNA(H$155),NA(),SUMIFS('Supply planning data'!$M:$M,'Supply planning data'!$D:$D,"&lt;="&amp;DataViz!$B176,'Supply planning data'!$C:$C,DataViz!H$155))</f>
        <v>288432</v>
      </c>
      <c r="I176" s="152">
        <f>IF(ISNA(I$155),NA(),SUMIFS('Supply planning data'!$M:$M,'Supply planning data'!$D:$D,"&lt;="&amp;DataViz!$B176,'Supply planning data'!$C:$C,DataViz!I$155))</f>
        <v>0</v>
      </c>
      <c r="J176" s="152" t="e">
        <f>IF(ISNA(J$155),NA(),SUMIFS('Supply planning data'!$M:$M,'Supply planning data'!$D:$D,"&lt;="&amp;DataViz!$B176,'Supply planning data'!$C:$C,DataViz!J$155))</f>
        <v>#N/A</v>
      </c>
      <c r="K176" s="152" t="e">
        <f>IF(ISNA(K$155),NA(),SUMIFS('Supply planning data'!$M:$M,'Supply planning data'!$D:$D,"&lt;="&amp;DataViz!$B176,'Supply planning data'!$C:$C,DataViz!K$155))</f>
        <v>#N/A</v>
      </c>
      <c r="L176" s="152" t="e">
        <f>IF(ISNA(L$155),NA(),SUMIFS('Supply planning data'!$M:$M,'Supply planning data'!$D:$D,"&lt;="&amp;DataViz!$B176,'Supply planning data'!$C:$C,DataViz!L$155))</f>
        <v>#N/A</v>
      </c>
      <c r="M176" s="152" t="e">
        <f>IF(ISNA(M$155),NA(),SUMIFS('Supply planning data'!$M:$M,'Supply planning data'!$D:$D,"&lt;="&amp;DataViz!$B176,'Supply planning data'!$C:$C,DataViz!M$155))</f>
        <v>#N/A</v>
      </c>
      <c r="N176" s="152" t="e">
        <f>IF(ISNA(N$155),NA(),SUMIFS('Supply planning data'!$M:$M,'Supply planning data'!$D:$D,"&lt;="&amp;DataViz!$B176,'Supply planning data'!$C:$C,DataViz!N$155))</f>
        <v>#N/A</v>
      </c>
      <c r="O176" s="152" t="e">
        <f>IF(ISNA(O$155),NA(),SUMIFS('Supply planning data'!$M:$M,'Supply planning data'!$D:$D,"&lt;="&amp;DataViz!$B176,'Supply planning data'!$C:$C,DataViz!O$155))</f>
        <v>#N/A</v>
      </c>
      <c r="P176" s="152" t="e">
        <f>IF(ISNA(P$155),NA(),SUMIFS('Supply planning data'!$M:$M,'Supply planning data'!$D:$D,"&lt;="&amp;DataViz!$B176,'Supply planning data'!$C:$C,DataViz!P$155))</f>
        <v>#N/A</v>
      </c>
      <c r="Q176" s="152" t="e">
        <f>IF(ISNA(Q$155),NA(),SUMIFS('Supply planning data'!$M:$M,'Supply planning data'!$D:$D,"&lt;="&amp;DataViz!$B176,'Supply planning data'!$C:$C,DataViz!Q$155))</f>
        <v>#N/A</v>
      </c>
      <c r="R176" s="152" t="e">
        <f>IF(ISNA(R$155),NA(),SUMIFS('Supply planning data'!$M:$M,'Supply planning data'!$D:$D,"&lt;="&amp;DataViz!$B176,'Supply planning data'!$C:$C,DataViz!R$155))</f>
        <v>#N/A</v>
      </c>
      <c r="S176" s="152" t="e">
        <f>IF(ISNA(S$155),NA(),SUMIFS('Supply planning data'!$M:$M,'Supply planning data'!$D:$D,"&lt;="&amp;DataViz!$B176,'Supply planning data'!$C:$C,DataViz!S$155))</f>
        <v>#N/A</v>
      </c>
      <c r="U176" s="14">
        <f t="shared" si="42"/>
        <v>0</v>
      </c>
      <c r="V176" s="24">
        <f t="shared" si="43"/>
        <v>0</v>
      </c>
      <c r="W176" s="24">
        <f t="shared" si="44"/>
        <v>0</v>
      </c>
      <c r="X176" s="24">
        <f t="shared" si="45"/>
        <v>0</v>
      </c>
      <c r="Y176" s="24">
        <f t="shared" si="46"/>
        <v>0</v>
      </c>
      <c r="Z176" s="24">
        <f t="shared" si="47"/>
        <v>0</v>
      </c>
      <c r="AA176" s="24">
        <f t="shared" si="48"/>
        <v>0</v>
      </c>
      <c r="AB176" s="24">
        <f t="shared" si="49"/>
        <v>0</v>
      </c>
      <c r="AC176" s="24">
        <f t="shared" si="50"/>
        <v>0</v>
      </c>
      <c r="AD176" s="24">
        <f t="shared" si="51"/>
        <v>0</v>
      </c>
      <c r="AE176" s="24">
        <f t="shared" si="52"/>
        <v>0</v>
      </c>
      <c r="AF176" s="24">
        <f t="shared" si="53"/>
        <v>0</v>
      </c>
      <c r="AG176" s="24">
        <f t="shared" si="54"/>
        <v>0</v>
      </c>
      <c r="AH176" s="24">
        <f t="shared" si="55"/>
        <v>0</v>
      </c>
      <c r="AI176" s="24">
        <f t="shared" si="56"/>
        <v>0</v>
      </c>
      <c r="AJ176" s="24" t="e">
        <f t="shared" si="57"/>
        <v>#N/A</v>
      </c>
      <c r="AK176" s="375" t="str">
        <f t="shared" si="58"/>
        <v/>
      </c>
      <c r="AL176" s="375" t="str">
        <f t="shared" si="60"/>
        <v/>
      </c>
      <c r="AM176" s="375" t="str">
        <f t="shared" si="61"/>
        <v/>
      </c>
      <c r="AN176" s="375" t="str">
        <f t="shared" si="62"/>
        <v/>
      </c>
      <c r="AO176" s="375" t="str">
        <f t="shared" si="63"/>
        <v/>
      </c>
      <c r="AP176" s="375" t="str">
        <f t="shared" si="64"/>
        <v/>
      </c>
      <c r="AQ176" s="375" t="str">
        <f t="shared" si="65"/>
        <v/>
      </c>
      <c r="AR176" s="375" t="str">
        <f t="shared" si="66"/>
        <v/>
      </c>
      <c r="AS176" s="375" t="str">
        <f t="shared" si="67"/>
        <v/>
      </c>
      <c r="AT176" s="375" t="str">
        <f t="shared" si="68"/>
        <v/>
      </c>
      <c r="AU176" s="375" t="str">
        <f t="shared" si="69"/>
        <v/>
      </c>
      <c r="AV176" s="375" t="str">
        <f t="shared" si="70"/>
        <v/>
      </c>
      <c r="AW176" s="375" t="str">
        <f t="shared" si="71"/>
        <v/>
      </c>
      <c r="AX176" s="375" t="str">
        <f t="shared" si="72"/>
        <v/>
      </c>
      <c r="AY176" s="375" t="str">
        <f t="shared" si="73"/>
        <v/>
      </c>
    </row>
    <row r="177" spans="1:51" x14ac:dyDescent="0.25">
      <c r="A177" s="150">
        <v>22</v>
      </c>
      <c r="B177" s="151">
        <f t="shared" si="59"/>
        <v>44927</v>
      </c>
      <c r="C177" s="156">
        <f>IF($A$154="Jansen",SUMIFS('Supply planning data'!G:G,'Supply planning data'!$D:$D,"&lt;="&amp;DataViz!$B177,'Supply planning data'!$C:$C,"Jansen"),IF($A$154="All",SUMIFS('Supply planning data'!H:H,'Supply planning data'!$D:$D,"&lt;="&amp;DataViz!$B177)+SUMIFS('Supply planning data'!G:G,'Supply planning data'!$D:$D,"&lt;="&amp;DataViz!$B177,'Supply planning data'!$C:$C,"Jansen"),SUMIFS('Supply planning data'!H:H,'Supply planning data'!$D:$D,"&lt;="&amp;DataViz!$B177,'Supply planning data'!$C:$C,DataViz!$A$154)))</f>
        <v>1769554</v>
      </c>
      <c r="D177" s="173">
        <f t="shared" si="41"/>
        <v>2.9492566666666668E-2</v>
      </c>
      <c r="E177" s="152">
        <f>IF(ISNA(E$155),NA(),SUMIFS('Supply planning data'!$M:$M,'Supply planning data'!$D:$D,"&lt;="&amp;DataViz!$B177,'Supply planning data'!$C:$C,DataViz!E$155))</f>
        <v>915202</v>
      </c>
      <c r="F177" s="152">
        <f>IF(ISNA(F$155),NA(),SUMIFS('Supply planning data'!$M:$M,'Supply planning data'!$D:$D,"&lt;="&amp;DataViz!$B177,'Supply planning data'!$C:$C,DataViz!F$155))</f>
        <v>1511853</v>
      </c>
      <c r="G177" s="152">
        <f>IF(ISNA(G$155),NA(),SUMIFS('Supply planning data'!$M:$M,'Supply planning data'!$D:$D,"&lt;="&amp;DataViz!$B177,'Supply planning data'!$C:$C,DataViz!G$155))</f>
        <v>5400</v>
      </c>
      <c r="H177" s="152">
        <f>IF(ISNA(H$155),NA(),SUMIFS('Supply planning data'!$M:$M,'Supply planning data'!$D:$D,"&lt;="&amp;DataViz!$B177,'Supply planning data'!$C:$C,DataViz!H$155))</f>
        <v>288432</v>
      </c>
      <c r="I177" s="152">
        <f>IF(ISNA(I$155),NA(),SUMIFS('Supply planning data'!$M:$M,'Supply planning data'!$D:$D,"&lt;="&amp;DataViz!$B177,'Supply planning data'!$C:$C,DataViz!I$155))</f>
        <v>0</v>
      </c>
      <c r="J177" s="152" t="e">
        <f>IF(ISNA(J$155),NA(),SUMIFS('Supply planning data'!$M:$M,'Supply planning data'!$D:$D,"&lt;="&amp;DataViz!$B177,'Supply planning data'!$C:$C,DataViz!J$155))</f>
        <v>#N/A</v>
      </c>
      <c r="K177" s="152" t="e">
        <f>IF(ISNA(K$155),NA(),SUMIFS('Supply planning data'!$M:$M,'Supply planning data'!$D:$D,"&lt;="&amp;DataViz!$B177,'Supply planning data'!$C:$C,DataViz!K$155))</f>
        <v>#N/A</v>
      </c>
      <c r="L177" s="152" t="e">
        <f>IF(ISNA(L$155),NA(),SUMIFS('Supply planning data'!$M:$M,'Supply planning data'!$D:$D,"&lt;="&amp;DataViz!$B177,'Supply planning data'!$C:$C,DataViz!L$155))</f>
        <v>#N/A</v>
      </c>
      <c r="M177" s="152" t="e">
        <f>IF(ISNA(M$155),NA(),SUMIFS('Supply planning data'!$M:$M,'Supply planning data'!$D:$D,"&lt;="&amp;DataViz!$B177,'Supply planning data'!$C:$C,DataViz!M$155))</f>
        <v>#N/A</v>
      </c>
      <c r="N177" s="152" t="e">
        <f>IF(ISNA(N$155),NA(),SUMIFS('Supply planning data'!$M:$M,'Supply planning data'!$D:$D,"&lt;="&amp;DataViz!$B177,'Supply planning data'!$C:$C,DataViz!N$155))</f>
        <v>#N/A</v>
      </c>
      <c r="O177" s="152" t="e">
        <f>IF(ISNA(O$155),NA(),SUMIFS('Supply planning data'!$M:$M,'Supply planning data'!$D:$D,"&lt;="&amp;DataViz!$B177,'Supply planning data'!$C:$C,DataViz!O$155))</f>
        <v>#N/A</v>
      </c>
      <c r="P177" s="152" t="e">
        <f>IF(ISNA(P$155),NA(),SUMIFS('Supply planning data'!$M:$M,'Supply planning data'!$D:$D,"&lt;="&amp;DataViz!$B177,'Supply planning data'!$C:$C,DataViz!P$155))</f>
        <v>#N/A</v>
      </c>
      <c r="Q177" s="152" t="e">
        <f>IF(ISNA(Q$155),NA(),SUMIFS('Supply planning data'!$M:$M,'Supply planning data'!$D:$D,"&lt;="&amp;DataViz!$B177,'Supply planning data'!$C:$C,DataViz!Q$155))</f>
        <v>#N/A</v>
      </c>
      <c r="R177" s="152" t="e">
        <f>IF(ISNA(R$155),NA(),SUMIFS('Supply planning data'!$M:$M,'Supply planning data'!$D:$D,"&lt;="&amp;DataViz!$B177,'Supply planning data'!$C:$C,DataViz!R$155))</f>
        <v>#N/A</v>
      </c>
      <c r="S177" s="152" t="e">
        <f>IF(ISNA(S$155),NA(),SUMIFS('Supply planning data'!$M:$M,'Supply planning data'!$D:$D,"&lt;="&amp;DataViz!$B177,'Supply planning data'!$C:$C,DataViz!S$155))</f>
        <v>#N/A</v>
      </c>
      <c r="U177" s="14">
        <f t="shared" si="42"/>
        <v>0</v>
      </c>
      <c r="V177" s="24">
        <f t="shared" si="43"/>
        <v>0</v>
      </c>
      <c r="W177" s="24">
        <f t="shared" si="44"/>
        <v>0</v>
      </c>
      <c r="X177" s="24">
        <f t="shared" si="45"/>
        <v>0</v>
      </c>
      <c r="Y177" s="24">
        <f t="shared" si="46"/>
        <v>0</v>
      </c>
      <c r="Z177" s="24">
        <f t="shared" si="47"/>
        <v>0</v>
      </c>
      <c r="AA177" s="24">
        <f t="shared" si="48"/>
        <v>0</v>
      </c>
      <c r="AB177" s="24">
        <f t="shared" si="49"/>
        <v>0</v>
      </c>
      <c r="AC177" s="24">
        <f t="shared" si="50"/>
        <v>0</v>
      </c>
      <c r="AD177" s="24">
        <f t="shared" si="51"/>
        <v>0</v>
      </c>
      <c r="AE177" s="24">
        <f t="shared" si="52"/>
        <v>0</v>
      </c>
      <c r="AF177" s="24">
        <f t="shared" si="53"/>
        <v>0</v>
      </c>
      <c r="AG177" s="24">
        <f t="shared" si="54"/>
        <v>0</v>
      </c>
      <c r="AH177" s="24">
        <f t="shared" si="55"/>
        <v>0</v>
      </c>
      <c r="AI177" s="24">
        <f t="shared" si="56"/>
        <v>0</v>
      </c>
      <c r="AJ177" s="24" t="e">
        <f t="shared" si="57"/>
        <v>#N/A</v>
      </c>
      <c r="AK177" s="375" t="str">
        <f t="shared" si="58"/>
        <v/>
      </c>
      <c r="AL177" s="375" t="str">
        <f t="shared" si="60"/>
        <v/>
      </c>
      <c r="AM177" s="375" t="str">
        <f t="shared" si="61"/>
        <v/>
      </c>
      <c r="AN177" s="375" t="str">
        <f t="shared" si="62"/>
        <v/>
      </c>
      <c r="AO177" s="375" t="str">
        <f t="shared" si="63"/>
        <v/>
      </c>
      <c r="AP177" s="375" t="str">
        <f t="shared" si="64"/>
        <v/>
      </c>
      <c r="AQ177" s="375" t="str">
        <f t="shared" si="65"/>
        <v/>
      </c>
      <c r="AR177" s="375" t="str">
        <f t="shared" si="66"/>
        <v/>
      </c>
      <c r="AS177" s="375" t="str">
        <f t="shared" si="67"/>
        <v/>
      </c>
      <c r="AT177" s="375" t="str">
        <f t="shared" si="68"/>
        <v/>
      </c>
      <c r="AU177" s="375" t="str">
        <f t="shared" si="69"/>
        <v/>
      </c>
      <c r="AV177" s="375" t="str">
        <f t="shared" si="70"/>
        <v/>
      </c>
      <c r="AW177" s="375" t="str">
        <f t="shared" si="71"/>
        <v/>
      </c>
      <c r="AX177" s="375" t="str">
        <f t="shared" si="72"/>
        <v/>
      </c>
      <c r="AY177" s="375" t="str">
        <f t="shared" si="73"/>
        <v/>
      </c>
    </row>
    <row r="178" spans="1:51" x14ac:dyDescent="0.25">
      <c r="A178" s="150">
        <v>23</v>
      </c>
      <c r="B178" s="151">
        <f t="shared" si="59"/>
        <v>44958</v>
      </c>
      <c r="C178" s="156">
        <f>IF($A$154="Jansen",SUMIFS('Supply planning data'!G:G,'Supply planning data'!$D:$D,"&lt;="&amp;DataViz!$B178,'Supply planning data'!$C:$C,"Jansen"),IF($A$154="All",SUMIFS('Supply planning data'!H:H,'Supply planning data'!$D:$D,"&lt;="&amp;DataViz!$B178)+SUMIFS('Supply planning data'!G:G,'Supply planning data'!$D:$D,"&lt;="&amp;DataViz!$B178,'Supply planning data'!$C:$C,"Jansen"),SUMIFS('Supply planning data'!H:H,'Supply planning data'!$D:$D,"&lt;="&amp;DataViz!$B178,'Supply planning data'!$C:$C,DataViz!$A$154)))</f>
        <v>1769554</v>
      </c>
      <c r="D178" s="173">
        <f t="shared" si="41"/>
        <v>2.9492566666666668E-2</v>
      </c>
      <c r="E178" s="152">
        <f>IF(ISNA(E$155),NA(),SUMIFS('Supply planning data'!$M:$M,'Supply planning data'!$D:$D,"&lt;="&amp;DataViz!$B178,'Supply planning data'!$C:$C,DataViz!E$155))</f>
        <v>915202</v>
      </c>
      <c r="F178" s="152">
        <f>IF(ISNA(F$155),NA(),SUMIFS('Supply planning data'!$M:$M,'Supply planning data'!$D:$D,"&lt;="&amp;DataViz!$B178,'Supply planning data'!$C:$C,DataViz!F$155))</f>
        <v>1511853</v>
      </c>
      <c r="G178" s="152">
        <f>IF(ISNA(G$155),NA(),SUMIFS('Supply planning data'!$M:$M,'Supply planning data'!$D:$D,"&lt;="&amp;DataViz!$B178,'Supply planning data'!$C:$C,DataViz!G$155))</f>
        <v>5400</v>
      </c>
      <c r="H178" s="152">
        <f>IF(ISNA(H$155),NA(),SUMIFS('Supply planning data'!$M:$M,'Supply planning data'!$D:$D,"&lt;="&amp;DataViz!$B178,'Supply planning data'!$C:$C,DataViz!H$155))</f>
        <v>288432</v>
      </c>
      <c r="I178" s="152">
        <f>IF(ISNA(I$155),NA(),SUMIFS('Supply planning data'!$M:$M,'Supply planning data'!$D:$D,"&lt;="&amp;DataViz!$B178,'Supply planning data'!$C:$C,DataViz!I$155))</f>
        <v>0</v>
      </c>
      <c r="J178" s="152" t="e">
        <f>IF(ISNA(J$155),NA(),SUMIFS('Supply planning data'!$M:$M,'Supply planning data'!$D:$D,"&lt;="&amp;DataViz!$B178,'Supply planning data'!$C:$C,DataViz!J$155))</f>
        <v>#N/A</v>
      </c>
      <c r="K178" s="152" t="e">
        <f>IF(ISNA(K$155),NA(),SUMIFS('Supply planning data'!$M:$M,'Supply planning data'!$D:$D,"&lt;="&amp;DataViz!$B178,'Supply planning data'!$C:$C,DataViz!K$155))</f>
        <v>#N/A</v>
      </c>
      <c r="L178" s="152" t="e">
        <f>IF(ISNA(L$155),NA(),SUMIFS('Supply planning data'!$M:$M,'Supply planning data'!$D:$D,"&lt;="&amp;DataViz!$B178,'Supply planning data'!$C:$C,DataViz!L$155))</f>
        <v>#N/A</v>
      </c>
      <c r="M178" s="152" t="e">
        <f>IF(ISNA(M$155),NA(),SUMIFS('Supply planning data'!$M:$M,'Supply planning data'!$D:$D,"&lt;="&amp;DataViz!$B178,'Supply planning data'!$C:$C,DataViz!M$155))</f>
        <v>#N/A</v>
      </c>
      <c r="N178" s="152" t="e">
        <f>IF(ISNA(N$155),NA(),SUMIFS('Supply planning data'!$M:$M,'Supply planning data'!$D:$D,"&lt;="&amp;DataViz!$B178,'Supply planning data'!$C:$C,DataViz!N$155))</f>
        <v>#N/A</v>
      </c>
      <c r="O178" s="152" t="e">
        <f>IF(ISNA(O$155),NA(),SUMIFS('Supply planning data'!$M:$M,'Supply planning data'!$D:$D,"&lt;="&amp;DataViz!$B178,'Supply planning data'!$C:$C,DataViz!O$155))</f>
        <v>#N/A</v>
      </c>
      <c r="P178" s="152" t="e">
        <f>IF(ISNA(P$155),NA(),SUMIFS('Supply planning data'!$M:$M,'Supply planning data'!$D:$D,"&lt;="&amp;DataViz!$B178,'Supply planning data'!$C:$C,DataViz!P$155))</f>
        <v>#N/A</v>
      </c>
      <c r="Q178" s="152" t="e">
        <f>IF(ISNA(Q$155),NA(),SUMIFS('Supply planning data'!$M:$M,'Supply planning data'!$D:$D,"&lt;="&amp;DataViz!$B178,'Supply planning data'!$C:$C,DataViz!Q$155))</f>
        <v>#N/A</v>
      </c>
      <c r="R178" s="152" t="e">
        <f>IF(ISNA(R$155),NA(),SUMIFS('Supply planning data'!$M:$M,'Supply planning data'!$D:$D,"&lt;="&amp;DataViz!$B178,'Supply planning data'!$C:$C,DataViz!R$155))</f>
        <v>#N/A</v>
      </c>
      <c r="S178" s="152" t="e">
        <f>IF(ISNA(S$155),NA(),SUMIFS('Supply planning data'!$M:$M,'Supply planning data'!$D:$D,"&lt;="&amp;DataViz!$B178,'Supply planning data'!$C:$C,DataViz!S$155))</f>
        <v>#N/A</v>
      </c>
      <c r="U178" s="14">
        <f t="shared" si="42"/>
        <v>0</v>
      </c>
      <c r="V178" s="24">
        <f t="shared" si="43"/>
        <v>0</v>
      </c>
      <c r="W178" s="24">
        <f t="shared" si="44"/>
        <v>0</v>
      </c>
      <c r="X178" s="24">
        <f t="shared" si="45"/>
        <v>0</v>
      </c>
      <c r="Y178" s="24">
        <f t="shared" si="46"/>
        <v>0</v>
      </c>
      <c r="Z178" s="24">
        <f t="shared" si="47"/>
        <v>0</v>
      </c>
      <c r="AA178" s="24">
        <f t="shared" si="48"/>
        <v>0</v>
      </c>
      <c r="AB178" s="24">
        <f t="shared" si="49"/>
        <v>0</v>
      </c>
      <c r="AC178" s="24">
        <f t="shared" si="50"/>
        <v>0</v>
      </c>
      <c r="AD178" s="24">
        <f t="shared" si="51"/>
        <v>0</v>
      </c>
      <c r="AE178" s="24">
        <f t="shared" si="52"/>
        <v>0</v>
      </c>
      <c r="AF178" s="24">
        <f t="shared" si="53"/>
        <v>0</v>
      </c>
      <c r="AG178" s="24">
        <f t="shared" si="54"/>
        <v>0</v>
      </c>
      <c r="AH178" s="24">
        <f t="shared" si="55"/>
        <v>0</v>
      </c>
      <c r="AI178" s="24">
        <f t="shared" si="56"/>
        <v>0</v>
      </c>
      <c r="AJ178" s="24" t="e">
        <f t="shared" si="57"/>
        <v>#N/A</v>
      </c>
      <c r="AK178" s="375" t="str">
        <f t="shared" si="58"/>
        <v/>
      </c>
      <c r="AL178" s="375" t="str">
        <f t="shared" si="60"/>
        <v/>
      </c>
      <c r="AM178" s="375" t="str">
        <f t="shared" si="61"/>
        <v/>
      </c>
      <c r="AN178" s="375" t="str">
        <f t="shared" si="62"/>
        <v/>
      </c>
      <c r="AO178" s="375" t="str">
        <f t="shared" si="63"/>
        <v/>
      </c>
      <c r="AP178" s="375" t="str">
        <f t="shared" si="64"/>
        <v/>
      </c>
      <c r="AQ178" s="375" t="str">
        <f t="shared" si="65"/>
        <v/>
      </c>
      <c r="AR178" s="375" t="str">
        <f t="shared" si="66"/>
        <v/>
      </c>
      <c r="AS178" s="375" t="str">
        <f t="shared" si="67"/>
        <v/>
      </c>
      <c r="AT178" s="375" t="str">
        <f t="shared" si="68"/>
        <v/>
      </c>
      <c r="AU178" s="375" t="str">
        <f t="shared" si="69"/>
        <v/>
      </c>
      <c r="AV178" s="375" t="str">
        <f t="shared" si="70"/>
        <v/>
      </c>
      <c r="AW178" s="375" t="str">
        <f t="shared" si="71"/>
        <v/>
      </c>
      <c r="AX178" s="375" t="str">
        <f t="shared" si="72"/>
        <v/>
      </c>
      <c r="AY178" s="375" t="str">
        <f t="shared" si="73"/>
        <v/>
      </c>
    </row>
    <row r="179" spans="1:51" x14ac:dyDescent="0.25">
      <c r="A179" s="150">
        <v>24</v>
      </c>
      <c r="B179" s="151">
        <f t="shared" si="59"/>
        <v>44986</v>
      </c>
      <c r="C179" s="156">
        <f>IF($A$154="Jansen",SUMIFS('Supply planning data'!G:G,'Supply planning data'!$D:$D,"&lt;="&amp;DataViz!$B179,'Supply planning data'!$C:$C,"Jansen"),IF($A$154="All",SUMIFS('Supply planning data'!H:H,'Supply planning data'!$D:$D,"&lt;="&amp;DataViz!$B179)+SUMIFS('Supply planning data'!G:G,'Supply planning data'!$D:$D,"&lt;="&amp;DataViz!$B179,'Supply planning data'!$C:$C,"Jansen"),SUMIFS('Supply planning data'!H:H,'Supply planning data'!$D:$D,"&lt;="&amp;DataViz!$B179,'Supply planning data'!$C:$C,DataViz!$A$154)))</f>
        <v>1769554</v>
      </c>
      <c r="D179" s="173">
        <f t="shared" si="41"/>
        <v>2.9492566666666668E-2</v>
      </c>
      <c r="E179" s="152">
        <f>IF(ISNA(E$155),NA(),SUMIFS('Supply planning data'!$M:$M,'Supply planning data'!$D:$D,"&lt;="&amp;DataViz!$B179,'Supply planning data'!$C:$C,DataViz!E$155))</f>
        <v>915202</v>
      </c>
      <c r="F179" s="152">
        <f>IF(ISNA(F$155),NA(),SUMIFS('Supply planning data'!$M:$M,'Supply planning data'!$D:$D,"&lt;="&amp;DataViz!$B179,'Supply planning data'!$C:$C,DataViz!F$155))</f>
        <v>1511853</v>
      </c>
      <c r="G179" s="152">
        <f>IF(ISNA(G$155),NA(),SUMIFS('Supply planning data'!$M:$M,'Supply planning data'!$D:$D,"&lt;="&amp;DataViz!$B179,'Supply planning data'!$C:$C,DataViz!G$155))</f>
        <v>5400</v>
      </c>
      <c r="H179" s="152">
        <f>IF(ISNA(H$155),NA(),SUMIFS('Supply planning data'!$M:$M,'Supply planning data'!$D:$D,"&lt;="&amp;DataViz!$B179,'Supply planning data'!$C:$C,DataViz!H$155))</f>
        <v>288432</v>
      </c>
      <c r="I179" s="152">
        <f>IF(ISNA(I$155),NA(),SUMIFS('Supply planning data'!$M:$M,'Supply planning data'!$D:$D,"&lt;="&amp;DataViz!$B179,'Supply planning data'!$C:$C,DataViz!I$155))</f>
        <v>0</v>
      </c>
      <c r="J179" s="152" t="e">
        <f>IF(ISNA(J$155),NA(),SUMIFS('Supply planning data'!$M:$M,'Supply planning data'!$D:$D,"&lt;="&amp;DataViz!$B179,'Supply planning data'!$C:$C,DataViz!J$155))</f>
        <v>#N/A</v>
      </c>
      <c r="K179" s="152" t="e">
        <f>IF(ISNA(K$155),NA(),SUMIFS('Supply planning data'!$M:$M,'Supply planning data'!$D:$D,"&lt;="&amp;DataViz!$B179,'Supply planning data'!$C:$C,DataViz!K$155))</f>
        <v>#N/A</v>
      </c>
      <c r="L179" s="152" t="e">
        <f>IF(ISNA(L$155),NA(),SUMIFS('Supply planning data'!$M:$M,'Supply planning data'!$D:$D,"&lt;="&amp;DataViz!$B179,'Supply planning data'!$C:$C,DataViz!L$155))</f>
        <v>#N/A</v>
      </c>
      <c r="M179" s="152" t="e">
        <f>IF(ISNA(M$155),NA(),SUMIFS('Supply planning data'!$M:$M,'Supply planning data'!$D:$D,"&lt;="&amp;DataViz!$B179,'Supply planning data'!$C:$C,DataViz!M$155))</f>
        <v>#N/A</v>
      </c>
      <c r="N179" s="152" t="e">
        <f>IF(ISNA(N$155),NA(),SUMIFS('Supply planning data'!$M:$M,'Supply planning data'!$D:$D,"&lt;="&amp;DataViz!$B179,'Supply planning data'!$C:$C,DataViz!N$155))</f>
        <v>#N/A</v>
      </c>
      <c r="O179" s="152" t="e">
        <f>IF(ISNA(O$155),NA(),SUMIFS('Supply planning data'!$M:$M,'Supply planning data'!$D:$D,"&lt;="&amp;DataViz!$B179,'Supply planning data'!$C:$C,DataViz!O$155))</f>
        <v>#N/A</v>
      </c>
      <c r="P179" s="152" t="e">
        <f>IF(ISNA(P$155),NA(),SUMIFS('Supply planning data'!$M:$M,'Supply planning data'!$D:$D,"&lt;="&amp;DataViz!$B179,'Supply planning data'!$C:$C,DataViz!P$155))</f>
        <v>#N/A</v>
      </c>
      <c r="Q179" s="152" t="e">
        <f>IF(ISNA(Q$155),NA(),SUMIFS('Supply planning data'!$M:$M,'Supply planning data'!$D:$D,"&lt;="&amp;DataViz!$B179,'Supply planning data'!$C:$C,DataViz!Q$155))</f>
        <v>#N/A</v>
      </c>
      <c r="R179" s="152" t="e">
        <f>IF(ISNA(R$155),NA(),SUMIFS('Supply planning data'!$M:$M,'Supply planning data'!$D:$D,"&lt;="&amp;DataViz!$B179,'Supply planning data'!$C:$C,DataViz!R$155))</f>
        <v>#N/A</v>
      </c>
      <c r="S179" s="152" t="e">
        <f>IF(ISNA(S$155),NA(),SUMIFS('Supply planning data'!$M:$M,'Supply planning data'!$D:$D,"&lt;="&amp;DataViz!$B179,'Supply planning data'!$C:$C,DataViz!S$155))</f>
        <v>#N/A</v>
      </c>
      <c r="U179" s="14">
        <f t="shared" si="42"/>
        <v>0</v>
      </c>
      <c r="V179" s="24">
        <f t="shared" si="43"/>
        <v>0</v>
      </c>
      <c r="W179" s="24">
        <f t="shared" si="44"/>
        <v>0</v>
      </c>
      <c r="X179" s="24">
        <f t="shared" si="45"/>
        <v>0</v>
      </c>
      <c r="Y179" s="24">
        <f t="shared" si="46"/>
        <v>0</v>
      </c>
      <c r="Z179" s="24">
        <f t="shared" si="47"/>
        <v>0</v>
      </c>
      <c r="AA179" s="24">
        <f t="shared" si="48"/>
        <v>0</v>
      </c>
      <c r="AB179" s="24">
        <f t="shared" si="49"/>
        <v>0</v>
      </c>
      <c r="AC179" s="24">
        <f t="shared" si="50"/>
        <v>0</v>
      </c>
      <c r="AD179" s="24">
        <f t="shared" si="51"/>
        <v>0</v>
      </c>
      <c r="AE179" s="24">
        <f t="shared" si="52"/>
        <v>0</v>
      </c>
      <c r="AF179" s="24">
        <f t="shared" si="53"/>
        <v>0</v>
      </c>
      <c r="AG179" s="24">
        <f t="shared" si="54"/>
        <v>0</v>
      </c>
      <c r="AH179" s="24">
        <f t="shared" si="55"/>
        <v>0</v>
      </c>
      <c r="AI179" s="24">
        <f t="shared" si="56"/>
        <v>0</v>
      </c>
      <c r="AJ179" s="24" t="e">
        <f t="shared" si="57"/>
        <v>#N/A</v>
      </c>
      <c r="AK179" s="375" t="str">
        <f>IFERROR(IF(U179/SUM($U179:$AI179)&gt;0,U179/SUM($U179:$AI179),""),"")</f>
        <v/>
      </c>
      <c r="AL179" s="375" t="str">
        <f t="shared" si="60"/>
        <v/>
      </c>
      <c r="AM179" s="375" t="str">
        <f t="shared" si="61"/>
        <v/>
      </c>
      <c r="AN179" s="375" t="str">
        <f t="shared" si="62"/>
        <v/>
      </c>
      <c r="AO179" s="375" t="str">
        <f t="shared" si="63"/>
        <v/>
      </c>
      <c r="AP179" s="375" t="str">
        <f t="shared" si="64"/>
        <v/>
      </c>
      <c r="AQ179" s="375" t="str">
        <f t="shared" si="65"/>
        <v/>
      </c>
      <c r="AR179" s="375" t="str">
        <f t="shared" si="66"/>
        <v/>
      </c>
      <c r="AS179" s="375" t="str">
        <f t="shared" si="67"/>
        <v/>
      </c>
      <c r="AT179" s="375" t="str">
        <f t="shared" si="68"/>
        <v/>
      </c>
      <c r="AU179" s="375" t="str">
        <f t="shared" si="69"/>
        <v/>
      </c>
      <c r="AV179" s="375" t="str">
        <f t="shared" si="70"/>
        <v/>
      </c>
      <c r="AW179" s="375" t="str">
        <f t="shared" si="71"/>
        <v/>
      </c>
      <c r="AX179" s="375" t="str">
        <f t="shared" si="72"/>
        <v/>
      </c>
      <c r="AY179" s="375" t="str">
        <f t="shared" si="73"/>
        <v/>
      </c>
    </row>
  </sheetData>
  <sheetProtection algorithmName="SHA-512" hashValue="uhSbD24P0ePK3EIQldwe19h3mIVS5+NFdxhuZEmiQ4FjGj3Qy+vcHdBBIlqEeM+N3eYqB/NxY3rurOjn4JEneg==" saltValue="XmgCHFNAzg/cpOcV7r54hg==" spinCount="100000" sheet="1" objects="1" scenarios="1"/>
  <mergeCells count="2">
    <mergeCell ref="Y2:AH2"/>
    <mergeCell ref="AI2:AR2"/>
  </mergeCells>
  <phoneticPr fontId="13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AO61"/>
  <sheetViews>
    <sheetView topLeftCell="R1" zoomScaleNormal="100" workbookViewId="0">
      <selection activeCell="AO3" sqref="AO3"/>
    </sheetView>
  </sheetViews>
  <sheetFormatPr defaultRowHeight="15" x14ac:dyDescent="0.25"/>
  <cols>
    <col min="1" max="4" width="9" customWidth="1"/>
    <col min="5" max="5" width="11.28515625" bestFit="1" customWidth="1"/>
    <col min="6" max="16" width="9" customWidth="1"/>
    <col min="17" max="17" width="10.28515625" bestFit="1" customWidth="1"/>
    <col min="18" max="18" width="8.7109375" bestFit="1" customWidth="1"/>
    <col min="19" max="19" width="7.7109375" bestFit="1" customWidth="1"/>
    <col min="20" max="20" width="10.28515625" bestFit="1" customWidth="1"/>
    <col min="21" max="21" width="11.28515625" bestFit="1" customWidth="1"/>
    <col min="22" max="22" width="6.7109375" bestFit="1" customWidth="1"/>
    <col min="23" max="23" width="11.28515625" bestFit="1" customWidth="1"/>
    <col min="24" max="24" width="9" bestFit="1" customWidth="1"/>
    <col min="27" max="27" width="10.28515625" bestFit="1" customWidth="1"/>
    <col min="29" max="29" width="10.28515625" bestFit="1" customWidth="1"/>
    <col min="30" max="30" width="11.28515625" bestFit="1" customWidth="1"/>
    <col min="32" max="32" width="11.28515625" bestFit="1" customWidth="1"/>
    <col min="38" max="38" width="10.28515625" bestFit="1" customWidth="1"/>
    <col min="39" max="39" width="11.28515625" bestFit="1" customWidth="1"/>
    <col min="41" max="41" width="10.5703125" bestFit="1" customWidth="1"/>
  </cols>
  <sheetData>
    <row r="1" spans="1:41" s="10" customFormat="1" ht="51.75" x14ac:dyDescent="0.25">
      <c r="A1" s="12" t="str">
        <f>'Supply planning data'!A4</f>
        <v>Country</v>
      </c>
      <c r="B1" s="12" t="str">
        <f>'Supply planning data'!B4</f>
        <v>Country ISO code</v>
      </c>
      <c r="C1" s="12" t="str">
        <f>'Supply planning data'!D4</f>
        <v>Month-Year
(Filter)</v>
      </c>
      <c r="D1" s="12" t="str">
        <f>'Supply planning data'!E4</f>
        <v>Filter</v>
      </c>
      <c r="E1" s="12" t="str">
        <f>'Supply planning data'!F4</f>
        <v>Beginning balance</v>
      </c>
      <c r="F1" s="12" t="str">
        <f>'Supply planning data'!G4</f>
        <v>Administered
(1st dose)</v>
      </c>
      <c r="G1" s="12" t="str">
        <f>'Supply planning data'!H4</f>
        <v>Administered (2nd dose)</v>
      </c>
      <c r="H1" s="12" t="str">
        <f>'Supply planning data'!I4</f>
        <v>Administered
(additional dose)</v>
      </c>
      <c r="I1" s="12" t="str">
        <f>'Supply planning data'!J4</f>
        <v>Administered (total)</v>
      </c>
      <c r="J1" s="12" t="str">
        <f>'Supply planning data'!K4</f>
        <v>Open vial wastage (doses)</v>
      </c>
      <c r="K1" s="12" t="str">
        <f>'Supply planning data'!L4</f>
        <v>Open vial wastage (%)</v>
      </c>
      <c r="L1" s="12" t="str">
        <f>'Supply planning data'!M4</f>
        <v>Total consumption</v>
      </c>
      <c r="M1" s="12" t="str">
        <f>'Supply planning data'!N4</f>
        <v>Adjustments (1)</v>
      </c>
      <c r="N1" s="357" t="str">
        <f>'Supply planning data'!O4</f>
        <v>Adjustment reason (1)</v>
      </c>
      <c r="O1" s="12" t="str">
        <f>'Supply planning data'!P4</f>
        <v>Adjustments (2)</v>
      </c>
      <c r="P1" s="357" t="str">
        <f>'Supply planning data'!Q4</f>
        <v>Adjustment reason (2)</v>
      </c>
      <c r="Q1" s="12" t="str">
        <f>'Supply planning data'!R4</f>
        <v>Received shipments</v>
      </c>
      <c r="R1" s="12" t="str">
        <f>'Supply planning data'!S4</f>
        <v>Ordered shipments</v>
      </c>
      <c r="S1" s="357" t="str">
        <f>'Supply planning data'!T4</f>
        <v>Running
expiry</v>
      </c>
      <c r="T1" s="12" t="str">
        <f>'Supply planning data'!U4</f>
        <v>Quantity at risk of expiry</v>
      </c>
      <c r="U1" s="12" t="str">
        <f>'Supply planning data'!V4</f>
        <v>Ending
balance</v>
      </c>
      <c r="V1" s="12" t="str">
        <f>'Supply planning data'!W4</f>
        <v>MOS</v>
      </c>
      <c r="W1" s="12" t="str">
        <f>'Supply planning data'!X4</f>
        <v>S1_Forecasted beginning balance</v>
      </c>
      <c r="X1" s="12" t="str">
        <f>'Supply planning data'!Y4</f>
        <v>S1_Forecasted doses</v>
      </c>
      <c r="Y1" s="357" t="str">
        <f>'Supply planning data'!Z4</f>
        <v>S1_Forecasted wastage (%)</v>
      </c>
      <c r="Z1" s="12" t="str">
        <f>'Supply planning data'!AA4</f>
        <v>S1_Forecasted consumption</v>
      </c>
      <c r="AA1" s="12" t="str">
        <f>'Supply planning data'!AB4</f>
        <v>S1_Forecasted shipments</v>
      </c>
      <c r="AB1" s="357" t="str">
        <f>'Supply planning data'!AC4</f>
        <v>S1_Running Expiry</v>
      </c>
      <c r="AC1" s="12" t="str">
        <f>'Supply planning data'!AD4</f>
        <v>S1_Potential expiry</v>
      </c>
      <c r="AD1" s="12" t="str">
        <f>'Supply planning data'!AE4</f>
        <v>S1_Forecasted ending balance</v>
      </c>
      <c r="AE1" s="12" t="str">
        <f>'Supply planning data'!AF4</f>
        <v>S1_MOS</v>
      </c>
      <c r="AF1" s="12" t="str">
        <f>'Supply planning data'!AG4</f>
        <v>S2_Forecasted beginning balance</v>
      </c>
      <c r="AG1" s="12" t="str">
        <f>'Supply planning data'!AH4</f>
        <v>S2_Forecasted doses</v>
      </c>
      <c r="AH1" s="357" t="str">
        <f>'Supply planning data'!AI4</f>
        <v>S2_Forecasted wastage (%)</v>
      </c>
      <c r="AI1" s="12" t="str">
        <f>'Supply planning data'!AJ4</f>
        <v>S2_Forecasted consumption</v>
      </c>
      <c r="AJ1" s="12" t="str">
        <f>'Supply planning data'!AK4</f>
        <v>S2_Forecasted shipments</v>
      </c>
      <c r="AK1" s="357" t="str">
        <f>'Supply planning data'!AL4</f>
        <v>S2_Running Expiry</v>
      </c>
      <c r="AL1" s="12" t="str">
        <f>'Supply planning data'!AM4</f>
        <v>S2_Potential expiry</v>
      </c>
      <c r="AM1" s="12" t="str">
        <f>'Supply planning data'!AN4</f>
        <v>S2_Forecasted ending balance</v>
      </c>
      <c r="AN1" s="12" t="str">
        <f>'Supply planning data'!AO4</f>
        <v>S2_MOS</v>
      </c>
      <c r="AO1" s="12" t="s">
        <v>227</v>
      </c>
    </row>
    <row r="2" spans="1:41" x14ac:dyDescent="0.25">
      <c r="A2" s="8" t="str">
        <f>'Supply planning data'!A5</f>
        <v>Anyland</v>
      </c>
      <c r="B2" s="8" t="e">
        <f>'Supply planning data'!B5</f>
        <v>#N/A</v>
      </c>
      <c r="C2" s="355">
        <f>'Supply planning data'!D5</f>
        <v>44197</v>
      </c>
      <c r="D2" s="355" t="str">
        <f>'Supply planning data'!E5</f>
        <v>Yes</v>
      </c>
      <c r="E2" s="11">
        <f>SUM('Supply planning data'!F5:F19)</f>
        <v>0</v>
      </c>
      <c r="F2" s="11">
        <f>SUM('Supply planning data'!G5:G19)</f>
        <v>0</v>
      </c>
      <c r="G2" s="11">
        <f>SUM('Supply planning data'!H5:H19)</f>
        <v>0</v>
      </c>
      <c r="H2" s="11">
        <f>SUM('Supply planning data'!I5:I19)</f>
        <v>0</v>
      </c>
      <c r="I2" s="11">
        <f>SUM('Supply planning data'!J5:J19)</f>
        <v>0</v>
      </c>
      <c r="J2" s="11">
        <f>SUM('Supply planning data'!K5:K19)</f>
        <v>0</v>
      </c>
      <c r="K2" s="356" t="str">
        <f>IFERROR(J2/I2,"")</f>
        <v/>
      </c>
      <c r="L2" s="11">
        <f>SUM('Supply planning data'!M5:M19)</f>
        <v>0</v>
      </c>
      <c r="M2" s="11">
        <f>SUM('Supply planning data'!N5:N19)</f>
        <v>0</v>
      </c>
      <c r="N2" s="11"/>
      <c r="O2" s="11">
        <f>SUM('Supply planning data'!P5:P19)</f>
        <v>0</v>
      </c>
      <c r="P2" s="11"/>
      <c r="Q2" s="11">
        <f>SUM('Supply planning data'!R5:R19)</f>
        <v>0</v>
      </c>
      <c r="R2" s="11">
        <f>SUM('Supply planning data'!S5:S19)</f>
        <v>0</v>
      </c>
      <c r="S2" s="11"/>
      <c r="T2" s="11">
        <f>SUM('Supply planning data'!U5:U19)</f>
        <v>0</v>
      </c>
      <c r="U2" s="11">
        <f>SUM('Supply planning data'!V5:V19)</f>
        <v>0</v>
      </c>
      <c r="V2" s="394" t="str">
        <f>IFERROR(U2/L2,"")</f>
        <v/>
      </c>
      <c r="W2" s="11">
        <f>SUM('Supply planning data'!X5:X19)</f>
        <v>0</v>
      </c>
      <c r="X2" s="11">
        <f>SUM('Supply planning data'!Y5:Y19)</f>
        <v>0</v>
      </c>
      <c r="Y2" s="11"/>
      <c r="Z2" s="11">
        <f>SUM('Supply planning data'!AA5:AA19)</f>
        <v>0</v>
      </c>
      <c r="AA2" s="11">
        <f>SUM('Supply planning data'!AB5:AB19)</f>
        <v>0</v>
      </c>
      <c r="AB2" s="11"/>
      <c r="AC2" s="11">
        <f>SUM('Supply planning data'!AD5:AD19)</f>
        <v>0</v>
      </c>
      <c r="AD2" s="11">
        <f>SUM('Supply planning data'!AE5:AE19)</f>
        <v>0</v>
      </c>
      <c r="AE2" s="11" t="e">
        <f>AD2/AVERAGE(Z2:Z4)</f>
        <v>#DIV/0!</v>
      </c>
      <c r="AF2" s="11">
        <f>SUM('Supply planning data'!AG5:AG19)</f>
        <v>0</v>
      </c>
      <c r="AG2" s="11">
        <f>SUM('Supply planning data'!AH5:AH19)</f>
        <v>0</v>
      </c>
      <c r="AH2" s="11"/>
      <c r="AI2" s="11">
        <f>SUM('Supply planning data'!AJ5:AJ19)</f>
        <v>0</v>
      </c>
      <c r="AJ2" s="11">
        <f>SUM('Supply planning data'!AK5:AK19)</f>
        <v>0</v>
      </c>
      <c r="AK2" s="11"/>
      <c r="AL2" s="11">
        <f>SUM('Supply planning data'!AM5:AM19)</f>
        <v>0</v>
      </c>
      <c r="AM2" s="11">
        <f>SUM('Supply planning data'!AN5:AN19)</f>
        <v>0</v>
      </c>
      <c r="AN2" s="11" t="e">
        <f>AM2/AVERAGE(AI2:AI4)</f>
        <v>#DIV/0!</v>
      </c>
      <c r="AO2" s="414">
        <f>(SUMIFS('Supply planning data'!H:H,'Supply planning data'!$D:$D,"&lt;="&amp;C2)+SUMIFS('Supply planning data'!G:G,'Supply planning data'!$D:$D,"&lt;="&amp;C2,'Supply planning data'!$C:$C,"Jansen"))/DataViz!$C$4</f>
        <v>0</v>
      </c>
    </row>
    <row r="3" spans="1:41" x14ac:dyDescent="0.25">
      <c r="A3" s="8" t="str">
        <f>'Supply planning data'!A20</f>
        <v>Anyland</v>
      </c>
      <c r="B3" s="8" t="str">
        <f>'Supply planning data'!B20</f>
        <v>ANY</v>
      </c>
      <c r="C3" s="355">
        <f>'Supply planning data'!D20</f>
        <v>44228</v>
      </c>
      <c r="D3" s="355" t="str">
        <f>'Supply planning data'!E20</f>
        <v>Yes</v>
      </c>
      <c r="E3" s="11">
        <f>SUM('Supply planning data'!F20:F34)</f>
        <v>0</v>
      </c>
      <c r="F3" s="11">
        <f>SUM('Supply planning data'!G20:G34)</f>
        <v>0</v>
      </c>
      <c r="G3" s="11">
        <f>SUM('Supply planning data'!H20:H34)</f>
        <v>0</v>
      </c>
      <c r="H3" s="11">
        <f>SUM('Supply planning data'!I20:I34)</f>
        <v>0</v>
      </c>
      <c r="I3" s="11">
        <f>SUM('Supply planning data'!J20:J34)</f>
        <v>0</v>
      </c>
      <c r="J3" s="11">
        <f>SUM('Supply planning data'!K20:K34)</f>
        <v>0</v>
      </c>
      <c r="K3" s="356" t="str">
        <f t="shared" ref="K3:K61" si="0">IFERROR(J3/I3,"")</f>
        <v/>
      </c>
      <c r="L3" s="11">
        <f>SUM('Supply planning data'!M20:M34)</f>
        <v>0</v>
      </c>
      <c r="M3" s="11">
        <f>SUM('Supply planning data'!N20:N34)</f>
        <v>0</v>
      </c>
      <c r="N3" s="11"/>
      <c r="O3" s="11">
        <f>SUM('Supply planning data'!P20:P34)</f>
        <v>0</v>
      </c>
      <c r="P3" s="11"/>
      <c r="Q3" s="11">
        <f>SUM('Supply planning data'!R20:R34)</f>
        <v>0</v>
      </c>
      <c r="R3" s="11">
        <f>SUM('Supply planning data'!S20:S34)</f>
        <v>0</v>
      </c>
      <c r="S3" s="11"/>
      <c r="T3" s="11">
        <f>SUM('Supply planning data'!U20:U34)</f>
        <v>0</v>
      </c>
      <c r="U3" s="11">
        <f>SUM('Supply planning data'!V20:V34)</f>
        <v>0</v>
      </c>
      <c r="V3" s="394" t="str">
        <f>IFERROR(U3/AVERAGE(L2:L3),"")</f>
        <v/>
      </c>
      <c r="W3" s="11">
        <f>SUM('Supply planning data'!X20:X34)</f>
        <v>0</v>
      </c>
      <c r="X3" s="11">
        <f>SUM('Supply planning data'!Y20:Y34)</f>
        <v>0</v>
      </c>
      <c r="Y3" s="11"/>
      <c r="Z3" s="11">
        <f>SUM('Supply planning data'!AA20:AA34)</f>
        <v>0</v>
      </c>
      <c r="AA3" s="11">
        <f>SUM('Supply planning data'!AB20:AB34)</f>
        <v>0</v>
      </c>
      <c r="AB3" s="11"/>
      <c r="AC3" s="11">
        <f>SUM('Supply planning data'!AD20:AD34)</f>
        <v>0</v>
      </c>
      <c r="AD3" s="11">
        <f>SUM('Supply planning data'!AE20:AE34)</f>
        <v>0</v>
      </c>
      <c r="AE3" s="11" t="e">
        <f t="shared" ref="AE3:AE61" si="1">AD3/AVERAGE(Z3:Z5)</f>
        <v>#DIV/0!</v>
      </c>
      <c r="AF3" s="11">
        <f>SUM('Supply planning data'!AG20:AG34)</f>
        <v>0</v>
      </c>
      <c r="AG3" s="11">
        <f>SUM('Supply planning data'!AH20:AH34)</f>
        <v>0</v>
      </c>
      <c r="AH3" s="11"/>
      <c r="AI3" s="11">
        <f>SUM('Supply planning data'!AJ20:AJ34)</f>
        <v>0</v>
      </c>
      <c r="AJ3" s="11">
        <f>SUM('Supply planning data'!AK20:AK34)</f>
        <v>0</v>
      </c>
      <c r="AK3" s="11"/>
      <c r="AL3" s="11">
        <f>SUM('Supply planning data'!AM20:AM34)</f>
        <v>0</v>
      </c>
      <c r="AM3" s="11">
        <f>SUM('Supply planning data'!AN20:AN34)</f>
        <v>0</v>
      </c>
      <c r="AN3" s="11" t="e">
        <f t="shared" ref="AN3:AN61" si="2">AM3/AVERAGE(AI3:AI5)</f>
        <v>#DIV/0!</v>
      </c>
      <c r="AO3" s="414">
        <f>(SUMIFS('Supply planning data'!H:H,'Supply planning data'!$D:$D,"&lt;="&amp;C3)+SUMIFS('Supply planning data'!G:G,'Supply planning data'!$D:$D,"&lt;="&amp;C3,'Supply planning data'!$C:$C,"Jansen"))/DataViz!$C$4</f>
        <v>0</v>
      </c>
    </row>
    <row r="4" spans="1:41" x14ac:dyDescent="0.25">
      <c r="A4" s="8" t="str">
        <f>'Supply planning data'!A35</f>
        <v>Anyland</v>
      </c>
      <c r="B4" s="8" t="str">
        <f>'Supply planning data'!B35</f>
        <v>ANY</v>
      </c>
      <c r="C4" s="355">
        <f>'Supply planning data'!D35</f>
        <v>44256</v>
      </c>
      <c r="D4" s="355" t="str">
        <f>'Supply planning data'!E35</f>
        <v>Yes</v>
      </c>
      <c r="E4" s="11">
        <f>SUM('Supply planning data'!F35:F49)</f>
        <v>0</v>
      </c>
      <c r="F4" s="11">
        <f>SUM('Supply planning data'!G35:G49)</f>
        <v>0</v>
      </c>
      <c r="G4" s="11">
        <f>SUM('Supply planning data'!H35:H49)</f>
        <v>0</v>
      </c>
      <c r="H4" s="11">
        <f>SUM('Supply planning data'!I35:I49)</f>
        <v>0</v>
      </c>
      <c r="I4" s="11">
        <f>SUM('Supply planning data'!J35:J49)</f>
        <v>0</v>
      </c>
      <c r="J4" s="11">
        <f>SUM('Supply planning data'!K35:K49)</f>
        <v>0</v>
      </c>
      <c r="K4" s="356" t="str">
        <f t="shared" si="0"/>
        <v/>
      </c>
      <c r="L4" s="11">
        <f>SUM('Supply planning data'!M35:M49)</f>
        <v>0</v>
      </c>
      <c r="M4" s="11">
        <f>SUM('Supply planning data'!N35:N49)</f>
        <v>0</v>
      </c>
      <c r="N4" s="11"/>
      <c r="O4" s="11">
        <f>SUM('Supply planning data'!P35:P49)</f>
        <v>0</v>
      </c>
      <c r="P4" s="11"/>
      <c r="Q4" s="11">
        <f>SUM('Supply planning data'!R35:R49)</f>
        <v>35000</v>
      </c>
      <c r="R4" s="11">
        <f>SUM('Supply planning data'!S35:S49)</f>
        <v>0</v>
      </c>
      <c r="S4" s="11"/>
      <c r="T4" s="11">
        <f>SUM('Supply planning data'!U35:U49)</f>
        <v>0</v>
      </c>
      <c r="U4" s="11">
        <f>SUM('Supply planning data'!V35:V49)</f>
        <v>35000</v>
      </c>
      <c r="V4" s="394" t="str">
        <f>IFERROR(U4/AVERAGE(L2:L4),"")</f>
        <v/>
      </c>
      <c r="W4" s="11">
        <f>SUM('Supply planning data'!X35:X49)</f>
        <v>0</v>
      </c>
      <c r="X4" s="11">
        <f>SUM('Supply planning data'!Y35:Y49)</f>
        <v>0</v>
      </c>
      <c r="Y4" s="11"/>
      <c r="Z4" s="11">
        <f>SUM('Supply planning data'!AA35:AA49)</f>
        <v>0</v>
      </c>
      <c r="AA4" s="11">
        <f>SUM('Supply planning data'!AB35:AB49)</f>
        <v>0</v>
      </c>
      <c r="AB4" s="11"/>
      <c r="AC4" s="11">
        <f>SUM('Supply planning data'!AD35:AD49)</f>
        <v>0</v>
      </c>
      <c r="AD4" s="11">
        <f>SUM('Supply planning data'!AE35:AE49)</f>
        <v>35000</v>
      </c>
      <c r="AE4" s="11" t="e">
        <f t="shared" si="1"/>
        <v>#DIV/0!</v>
      </c>
      <c r="AF4" s="11">
        <f>SUM('Supply planning data'!AG35:AG49)</f>
        <v>0</v>
      </c>
      <c r="AG4" s="11">
        <f>SUM('Supply planning data'!AH35:AH49)</f>
        <v>0</v>
      </c>
      <c r="AH4" s="11"/>
      <c r="AI4" s="11">
        <f>SUM('Supply planning data'!AJ35:AJ49)</f>
        <v>0</v>
      </c>
      <c r="AJ4" s="11">
        <f>SUM('Supply planning data'!AK35:AK49)</f>
        <v>0</v>
      </c>
      <c r="AK4" s="11"/>
      <c r="AL4" s="11">
        <f>SUM('Supply planning data'!AM35:AM49)</f>
        <v>0</v>
      </c>
      <c r="AM4" s="11">
        <f>SUM('Supply planning data'!AN35:AN49)</f>
        <v>35000</v>
      </c>
      <c r="AN4" s="11" t="e">
        <f t="shared" si="2"/>
        <v>#DIV/0!</v>
      </c>
      <c r="AO4" s="414">
        <f>(SUMIFS('Supply planning data'!H:H,'Supply planning data'!$D:$D,"&lt;="&amp;C4)+SUMIFS('Supply planning data'!G:G,'Supply planning data'!$D:$D,"&lt;="&amp;C4,'Supply planning data'!$C:$C,"Jansen"))/DataViz!$C$4</f>
        <v>0</v>
      </c>
    </row>
    <row r="5" spans="1:41" x14ac:dyDescent="0.25">
      <c r="A5" s="8" t="str">
        <f>'Supply planning data'!A50</f>
        <v>Anyland</v>
      </c>
      <c r="B5" s="8" t="str">
        <f>'Supply planning data'!B50</f>
        <v>ANY</v>
      </c>
      <c r="C5" s="355">
        <f>'Supply planning data'!D50</f>
        <v>44287</v>
      </c>
      <c r="D5" s="355" t="str">
        <f>'Supply planning data'!E50</f>
        <v>Yes</v>
      </c>
      <c r="E5" s="11">
        <f>SUM('Supply planning data'!F50:F64)</f>
        <v>35000</v>
      </c>
      <c r="F5" s="11">
        <f>SUM('Supply planning data'!G50:G64)</f>
        <v>0</v>
      </c>
      <c r="G5" s="11">
        <f>SUM('Supply planning data'!H50:H64)</f>
        <v>0</v>
      </c>
      <c r="H5" s="11">
        <f>SUM('Supply planning data'!I50:I64)</f>
        <v>0</v>
      </c>
      <c r="I5" s="11">
        <f>SUM('Supply planning data'!J50:J64)</f>
        <v>0</v>
      </c>
      <c r="J5" s="11">
        <f>SUM('Supply planning data'!K50:K64)</f>
        <v>0</v>
      </c>
      <c r="K5" s="356" t="str">
        <f t="shared" si="0"/>
        <v/>
      </c>
      <c r="L5" s="11">
        <f>SUM('Supply planning data'!M50:M64)</f>
        <v>0</v>
      </c>
      <c r="M5" s="11">
        <f>SUM('Supply planning data'!N50:N64)</f>
        <v>0</v>
      </c>
      <c r="N5" s="11"/>
      <c r="O5" s="11">
        <f>SUM('Supply planning data'!P50:P64)</f>
        <v>0</v>
      </c>
      <c r="P5" s="11"/>
      <c r="Q5" s="11">
        <f>SUM('Supply planning data'!R50:R64)</f>
        <v>355300</v>
      </c>
      <c r="R5" s="11">
        <f>SUM('Supply planning data'!S50:S64)</f>
        <v>0</v>
      </c>
      <c r="S5" s="11"/>
      <c r="T5" s="11">
        <f>SUM('Supply planning data'!U50:U64)</f>
        <v>0</v>
      </c>
      <c r="U5" s="11">
        <f>SUM('Supply planning data'!V50:V64)</f>
        <v>390300</v>
      </c>
      <c r="V5" s="394" t="str">
        <f t="shared" ref="V5:V61" si="3">IFERROR(U5/AVERAGE(L3:L5),"")</f>
        <v/>
      </c>
      <c r="W5" s="11">
        <f>SUM('Supply planning data'!X50:X64)</f>
        <v>35000</v>
      </c>
      <c r="X5" s="11">
        <f>SUM('Supply planning data'!Y50:Y64)</f>
        <v>0</v>
      </c>
      <c r="Y5" s="11"/>
      <c r="Z5" s="11">
        <f>SUM('Supply planning data'!AA50:AA64)</f>
        <v>0</v>
      </c>
      <c r="AA5" s="11">
        <f>SUM('Supply planning data'!AB50:AB64)</f>
        <v>0</v>
      </c>
      <c r="AB5" s="11"/>
      <c r="AC5" s="11">
        <f>SUM('Supply planning data'!AD50:AD64)</f>
        <v>0</v>
      </c>
      <c r="AD5" s="11">
        <f>SUM('Supply planning data'!AE50:AE64)</f>
        <v>390300</v>
      </c>
      <c r="AE5" s="11" t="e">
        <f t="shared" si="1"/>
        <v>#DIV/0!</v>
      </c>
      <c r="AF5" s="11">
        <f>SUM('Supply planning data'!AG50:AG64)</f>
        <v>35000</v>
      </c>
      <c r="AG5" s="11">
        <f>SUM('Supply planning data'!AH50:AH64)</f>
        <v>0</v>
      </c>
      <c r="AH5" s="11"/>
      <c r="AI5" s="11">
        <f>SUM('Supply planning data'!AJ50:AJ64)</f>
        <v>0</v>
      </c>
      <c r="AJ5" s="11">
        <f>SUM('Supply planning data'!AK50:AK64)</f>
        <v>0</v>
      </c>
      <c r="AK5" s="11"/>
      <c r="AL5" s="11">
        <f>SUM('Supply planning data'!AM50:AM64)</f>
        <v>0</v>
      </c>
      <c r="AM5" s="11">
        <f>SUM('Supply planning data'!AN50:AN64)</f>
        <v>390300</v>
      </c>
      <c r="AN5" s="11" t="e">
        <f t="shared" si="2"/>
        <v>#DIV/0!</v>
      </c>
      <c r="AO5" s="414">
        <f>(SUMIFS('Supply planning data'!H:H,'Supply planning data'!$D:$D,"&lt;="&amp;C5)+SUMIFS('Supply planning data'!G:G,'Supply planning data'!$D:$D,"&lt;="&amp;C5,'Supply planning data'!$C:$C,"Jansen"))/DataViz!$C$4</f>
        <v>0</v>
      </c>
    </row>
    <row r="6" spans="1:41" x14ac:dyDescent="0.25">
      <c r="A6" s="8" t="str">
        <f>'Supply planning data'!A65</f>
        <v>Anyland</v>
      </c>
      <c r="B6" s="8" t="str">
        <f>'Supply planning data'!B65</f>
        <v>ANY</v>
      </c>
      <c r="C6" s="355">
        <f>'Supply planning data'!D65</f>
        <v>44317</v>
      </c>
      <c r="D6" s="355" t="str">
        <f>'Supply planning data'!E65</f>
        <v>Yes</v>
      </c>
      <c r="E6" s="11">
        <f>SUM('Supply planning data'!F65:F79)</f>
        <v>390300</v>
      </c>
      <c r="F6" s="11">
        <f>SUM('Supply planning data'!G65:G79)</f>
        <v>42440</v>
      </c>
      <c r="G6" s="11">
        <f>SUM('Supply planning data'!H65:H79)</f>
        <v>5</v>
      </c>
      <c r="H6" s="11">
        <f>SUM('Supply planning data'!I65:I79)</f>
        <v>0</v>
      </c>
      <c r="I6" s="11">
        <f>SUM('Supply planning data'!J65:J79)</f>
        <v>42445</v>
      </c>
      <c r="J6" s="11">
        <f>SUM('Supply planning data'!K65:K79)</f>
        <v>0</v>
      </c>
      <c r="K6" s="356">
        <f t="shared" si="0"/>
        <v>0</v>
      </c>
      <c r="L6" s="11">
        <f>SUM('Supply planning data'!M65:M79)</f>
        <v>42445</v>
      </c>
      <c r="M6" s="11">
        <f>SUM('Supply planning data'!N65:N79)</f>
        <v>0</v>
      </c>
      <c r="N6" s="11"/>
      <c r="O6" s="11">
        <f>SUM('Supply planning data'!P65:P79)</f>
        <v>0</v>
      </c>
      <c r="P6" s="11"/>
      <c r="Q6" s="11">
        <f>SUM('Supply planning data'!R65:R79)</f>
        <v>0</v>
      </c>
      <c r="R6" s="11">
        <f>SUM('Supply planning data'!S65:S79)</f>
        <v>0</v>
      </c>
      <c r="S6" s="11"/>
      <c r="T6" s="11">
        <f>SUM('Supply planning data'!U65:U79)</f>
        <v>0</v>
      </c>
      <c r="U6" s="11">
        <f>SUM('Supply planning data'!V65:V79)</f>
        <v>347855</v>
      </c>
      <c r="V6" s="394">
        <f t="shared" si="3"/>
        <v>24.586288137589822</v>
      </c>
      <c r="W6" s="11">
        <f>SUM('Supply planning data'!X65:X79)</f>
        <v>390300</v>
      </c>
      <c r="X6" s="11">
        <f>SUM('Supply planning data'!Y65:Y79)</f>
        <v>0</v>
      </c>
      <c r="Y6" s="11"/>
      <c r="Z6" s="11">
        <f>SUM('Supply planning data'!AA65:AA79)</f>
        <v>0</v>
      </c>
      <c r="AA6" s="11">
        <f>SUM('Supply planning data'!AB65:AB79)</f>
        <v>0</v>
      </c>
      <c r="AB6" s="11"/>
      <c r="AC6" s="11">
        <f>SUM('Supply planning data'!AD65:AD79)</f>
        <v>0</v>
      </c>
      <c r="AD6" s="11">
        <f>SUM('Supply planning data'!AE65:AE79)</f>
        <v>347855</v>
      </c>
      <c r="AE6" s="11" t="e">
        <f t="shared" si="1"/>
        <v>#DIV/0!</v>
      </c>
      <c r="AF6" s="11">
        <f>SUM('Supply planning data'!AG65:AG79)</f>
        <v>390300</v>
      </c>
      <c r="AG6" s="11">
        <f>SUM('Supply planning data'!AH65:AH79)</f>
        <v>0</v>
      </c>
      <c r="AH6" s="11"/>
      <c r="AI6" s="11">
        <f>SUM('Supply planning data'!AJ65:AJ79)</f>
        <v>0</v>
      </c>
      <c r="AJ6" s="11">
        <f>SUM('Supply planning data'!AK65:AK79)</f>
        <v>0</v>
      </c>
      <c r="AK6" s="11"/>
      <c r="AL6" s="11">
        <f>SUM('Supply planning data'!AM65:AM79)</f>
        <v>0</v>
      </c>
      <c r="AM6" s="11">
        <f>SUM('Supply planning data'!AN65:AN79)</f>
        <v>347855</v>
      </c>
      <c r="AN6" s="11" t="e">
        <f t="shared" si="2"/>
        <v>#DIV/0!</v>
      </c>
      <c r="AO6" s="414">
        <f>(SUMIFS('Supply planning data'!H:H,'Supply planning data'!$D:$D,"&lt;="&amp;C6)+SUMIFS('Supply planning data'!G:G,'Supply planning data'!$D:$D,"&lt;="&amp;C6,'Supply planning data'!$C:$C,"Jansen"))/DataViz!$C$4</f>
        <v>8.3333333333333338E-8</v>
      </c>
    </row>
    <row r="7" spans="1:41" x14ac:dyDescent="0.25">
      <c r="A7" s="8" t="str">
        <f>'Supply planning data'!A80</f>
        <v>Anyland</v>
      </c>
      <c r="B7" s="8" t="str">
        <f>'Supply planning data'!B80</f>
        <v>ANY</v>
      </c>
      <c r="C7" s="355">
        <f>'Supply planning data'!D80</f>
        <v>44348</v>
      </c>
      <c r="D7" s="355" t="str">
        <f>'Supply planning data'!E80</f>
        <v>Yes</v>
      </c>
      <c r="E7" s="11">
        <f>SUM('Supply planning data'!F80:F94)</f>
        <v>347855</v>
      </c>
      <c r="F7" s="11">
        <f>SUM('Supply planning data'!G80:G94)</f>
        <v>84087</v>
      </c>
      <c r="G7" s="11">
        <f>SUM('Supply planning data'!H80:H94)</f>
        <v>788</v>
      </c>
      <c r="H7" s="11">
        <f>SUM('Supply planning data'!I80:I94)</f>
        <v>0</v>
      </c>
      <c r="I7" s="11">
        <f>SUM('Supply planning data'!J80:J94)</f>
        <v>84875</v>
      </c>
      <c r="J7" s="11">
        <f>SUM('Supply planning data'!K80:K94)</f>
        <v>0</v>
      </c>
      <c r="K7" s="356">
        <f t="shared" si="0"/>
        <v>0</v>
      </c>
      <c r="L7" s="11">
        <f>SUM('Supply planning data'!M80:M94)</f>
        <v>84875</v>
      </c>
      <c r="M7" s="11">
        <f>SUM('Supply planning data'!N80:N94)</f>
        <v>0</v>
      </c>
      <c r="N7" s="11"/>
      <c r="O7" s="11">
        <f>SUM('Supply planning data'!P80:P94)</f>
        <v>0</v>
      </c>
      <c r="P7" s="11"/>
      <c r="Q7" s="11">
        <f>SUM('Supply planning data'!R80:R94)</f>
        <v>0</v>
      </c>
      <c r="R7" s="11">
        <f>SUM('Supply planning data'!S80:S94)</f>
        <v>0</v>
      </c>
      <c r="S7" s="11"/>
      <c r="T7" s="11">
        <f>SUM('Supply planning data'!U80:U94)</f>
        <v>0</v>
      </c>
      <c r="U7" s="11">
        <f>SUM('Supply planning data'!V80:V94)</f>
        <v>262980</v>
      </c>
      <c r="V7" s="394">
        <f t="shared" si="3"/>
        <v>6.1965127238454292</v>
      </c>
      <c r="W7" s="11">
        <f>SUM('Supply planning data'!X80:X94)</f>
        <v>347855</v>
      </c>
      <c r="X7" s="11">
        <f>SUM('Supply planning data'!Y80:Y94)</f>
        <v>0</v>
      </c>
      <c r="Y7" s="11"/>
      <c r="Z7" s="11">
        <f>SUM('Supply planning data'!AA80:AA94)</f>
        <v>0</v>
      </c>
      <c r="AA7" s="11">
        <f>SUM('Supply planning data'!AB80:AB94)</f>
        <v>0</v>
      </c>
      <c r="AB7" s="11"/>
      <c r="AC7" s="11">
        <f>SUM('Supply planning data'!AD80:AD94)</f>
        <v>0</v>
      </c>
      <c r="AD7" s="11">
        <f>SUM('Supply planning data'!AE80:AE94)</f>
        <v>262980</v>
      </c>
      <c r="AE7" s="11" t="e">
        <f t="shared" si="1"/>
        <v>#DIV/0!</v>
      </c>
      <c r="AF7" s="11">
        <f>SUM('Supply planning data'!AG80:AG94)</f>
        <v>347855</v>
      </c>
      <c r="AG7" s="11">
        <f>SUM('Supply planning data'!AH80:AH94)</f>
        <v>0</v>
      </c>
      <c r="AH7" s="11"/>
      <c r="AI7" s="11">
        <f>SUM('Supply planning data'!AJ80:AJ94)</f>
        <v>0</v>
      </c>
      <c r="AJ7" s="11">
        <f>SUM('Supply planning data'!AK80:AK94)</f>
        <v>0</v>
      </c>
      <c r="AK7" s="11"/>
      <c r="AL7" s="11">
        <f>SUM('Supply planning data'!AM80:AM94)</f>
        <v>0</v>
      </c>
      <c r="AM7" s="11">
        <f>SUM('Supply planning data'!AN80:AN94)</f>
        <v>262980</v>
      </c>
      <c r="AN7" s="11" t="e">
        <f t="shared" si="2"/>
        <v>#DIV/0!</v>
      </c>
      <c r="AO7" s="414">
        <f>(SUMIFS('Supply planning data'!H:H,'Supply planning data'!$D:$D,"&lt;="&amp;C7)+SUMIFS('Supply planning data'!G:G,'Supply planning data'!$D:$D,"&lt;="&amp;C7,'Supply planning data'!$C:$C,"Jansen"))/DataViz!$C$4</f>
        <v>1.3216666666666667E-5</v>
      </c>
    </row>
    <row r="8" spans="1:41" x14ac:dyDescent="0.25">
      <c r="A8" s="8" t="str">
        <f>'Supply planning data'!A95</f>
        <v>Anyland</v>
      </c>
      <c r="B8" s="8" t="str">
        <f>'Supply planning data'!B95</f>
        <v>ANY</v>
      </c>
      <c r="C8" s="355">
        <f>'Supply planning data'!D95</f>
        <v>44378</v>
      </c>
      <c r="D8" s="355" t="str">
        <f>'Supply planning data'!E95</f>
        <v>Yes</v>
      </c>
      <c r="E8" s="11">
        <f>SUM('Supply planning data'!F95:F109)</f>
        <v>262980</v>
      </c>
      <c r="F8" s="11">
        <f>SUM('Supply planning data'!G95:G109)</f>
        <v>58240</v>
      </c>
      <c r="G8" s="11">
        <f>SUM('Supply planning data'!H95:H109)</f>
        <v>11600</v>
      </c>
      <c r="H8" s="11">
        <f>SUM('Supply planning data'!I95:I109)</f>
        <v>0</v>
      </c>
      <c r="I8" s="11">
        <f>SUM('Supply planning data'!J95:J109)</f>
        <v>69840</v>
      </c>
      <c r="J8" s="11">
        <f>SUM('Supply planning data'!K95:K109)</f>
        <v>0</v>
      </c>
      <c r="K8" s="356">
        <f t="shared" si="0"/>
        <v>0</v>
      </c>
      <c r="L8" s="11">
        <f>SUM('Supply planning data'!M95:M109)</f>
        <v>69840</v>
      </c>
      <c r="M8" s="11">
        <f>SUM('Supply planning data'!N95:N109)</f>
        <v>0</v>
      </c>
      <c r="N8" s="11"/>
      <c r="O8" s="11">
        <f>SUM('Supply planning data'!P95:P109)</f>
        <v>0</v>
      </c>
      <c r="P8" s="11"/>
      <c r="Q8" s="11">
        <f>SUM('Supply planning data'!R95:R109)</f>
        <v>302600</v>
      </c>
      <c r="R8" s="11">
        <f>SUM('Supply planning data'!S95:S109)</f>
        <v>0</v>
      </c>
      <c r="S8" s="11"/>
      <c r="T8" s="11">
        <f>SUM('Supply planning data'!U95:U109)</f>
        <v>0</v>
      </c>
      <c r="U8" s="11">
        <f>SUM('Supply planning data'!V95:V109)</f>
        <v>495740</v>
      </c>
      <c r="V8" s="394">
        <f t="shared" si="3"/>
        <v>7.5432136335970785</v>
      </c>
      <c r="W8" s="11">
        <f>SUM('Supply planning data'!X95:X109)</f>
        <v>262980</v>
      </c>
      <c r="X8" s="11">
        <f>SUM('Supply planning data'!Y95:Y109)</f>
        <v>0</v>
      </c>
      <c r="Y8" s="11"/>
      <c r="Z8" s="11">
        <f>SUM('Supply planning data'!AA95:AA109)</f>
        <v>0</v>
      </c>
      <c r="AA8" s="11">
        <f>SUM('Supply planning data'!AB95:AB109)</f>
        <v>0</v>
      </c>
      <c r="AB8" s="11"/>
      <c r="AC8" s="11">
        <f>SUM('Supply planning data'!AD95:AD109)</f>
        <v>0</v>
      </c>
      <c r="AD8" s="11">
        <f>SUM('Supply planning data'!AE95:AE109)</f>
        <v>495740</v>
      </c>
      <c r="AE8" s="11" t="e">
        <f t="shared" si="1"/>
        <v>#DIV/0!</v>
      </c>
      <c r="AF8" s="11">
        <f>SUM('Supply planning data'!AG95:AG109)</f>
        <v>262980</v>
      </c>
      <c r="AG8" s="11">
        <f>SUM('Supply planning data'!AH95:AH109)</f>
        <v>0</v>
      </c>
      <c r="AH8" s="11"/>
      <c r="AI8" s="11">
        <f>SUM('Supply planning data'!AJ95:AJ109)</f>
        <v>0</v>
      </c>
      <c r="AJ8" s="11">
        <f>SUM('Supply planning data'!AK95:AK109)</f>
        <v>0</v>
      </c>
      <c r="AK8" s="11"/>
      <c r="AL8" s="11">
        <f>SUM('Supply planning data'!AM95:AM109)</f>
        <v>0</v>
      </c>
      <c r="AM8" s="11">
        <f>SUM('Supply planning data'!AN95:AN109)</f>
        <v>495740</v>
      </c>
      <c r="AN8" s="11" t="e">
        <f t="shared" si="2"/>
        <v>#DIV/0!</v>
      </c>
      <c r="AO8" s="414">
        <f>(SUMIFS('Supply planning data'!H:H,'Supply planning data'!$D:$D,"&lt;="&amp;C8)+SUMIFS('Supply planning data'!G:G,'Supply planning data'!$D:$D,"&lt;="&amp;C8,'Supply planning data'!$C:$C,"Jansen"))/DataViz!$C$4</f>
        <v>2.0655000000000001E-4</v>
      </c>
    </row>
    <row r="9" spans="1:41" x14ac:dyDescent="0.25">
      <c r="A9" s="8" t="str">
        <f>'Supply planning data'!A110</f>
        <v>Anyland</v>
      </c>
      <c r="B9" s="8" t="str">
        <f>'Supply planning data'!B110</f>
        <v>ANY</v>
      </c>
      <c r="C9" s="355">
        <f>'Supply planning data'!D110</f>
        <v>44409</v>
      </c>
      <c r="D9" s="355" t="str">
        <f>'Supply planning data'!E110</f>
        <v>Yes</v>
      </c>
      <c r="E9" s="11">
        <f>SUM('Supply planning data'!F110:F124)</f>
        <v>495740</v>
      </c>
      <c r="F9" s="11">
        <f>SUM('Supply planning data'!G110:G124)</f>
        <v>1653</v>
      </c>
      <c r="G9" s="11">
        <f>SUM('Supply planning data'!H110:H124)</f>
        <v>0</v>
      </c>
      <c r="H9" s="11">
        <f>SUM('Supply planning data'!I110:I124)</f>
        <v>0</v>
      </c>
      <c r="I9" s="11">
        <f>SUM('Supply planning data'!J110:J124)</f>
        <v>1653</v>
      </c>
      <c r="J9" s="11">
        <f>SUM('Supply planning data'!K110:K124)</f>
        <v>0</v>
      </c>
      <c r="K9" s="356">
        <f t="shared" si="0"/>
        <v>0</v>
      </c>
      <c r="L9" s="11">
        <f>SUM('Supply planning data'!M110:M124)</f>
        <v>1653</v>
      </c>
      <c r="M9" s="11">
        <f>SUM('Supply planning data'!N110:N124)</f>
        <v>-193140</v>
      </c>
      <c r="N9" s="11"/>
      <c r="O9" s="11">
        <f>SUM('Supply planning data'!P110:P124)</f>
        <v>0</v>
      </c>
      <c r="P9" s="11"/>
      <c r="Q9" s="11">
        <f>SUM('Supply planning data'!R110:R124)</f>
        <v>0</v>
      </c>
      <c r="R9" s="11">
        <f>SUM('Supply planning data'!S110:S124)</f>
        <v>0</v>
      </c>
      <c r="S9" s="11"/>
      <c r="T9" s="11">
        <f>SUM('Supply planning data'!U110:U124)</f>
        <v>0</v>
      </c>
      <c r="U9" s="11">
        <f>SUM('Supply planning data'!V110:V124)</f>
        <v>300947</v>
      </c>
      <c r="V9" s="394">
        <f t="shared" si="3"/>
        <v>5.7738220096183364</v>
      </c>
      <c r="W9" s="11">
        <f>SUM('Supply planning data'!X110:X124)</f>
        <v>495740</v>
      </c>
      <c r="X9" s="11">
        <f>SUM('Supply planning data'!Y110:Y124)</f>
        <v>0</v>
      </c>
      <c r="Y9" s="11"/>
      <c r="Z9" s="11">
        <f>SUM('Supply planning data'!AA110:AA124)</f>
        <v>0</v>
      </c>
      <c r="AA9" s="11">
        <f>SUM('Supply planning data'!AB110:AB124)</f>
        <v>1000000</v>
      </c>
      <c r="AB9" s="11"/>
      <c r="AC9" s="11">
        <f>SUM('Supply planning data'!AD110:AD124)</f>
        <v>0</v>
      </c>
      <c r="AD9" s="11">
        <f>SUM('Supply planning data'!AE110:AE124)</f>
        <v>1300947</v>
      </c>
      <c r="AE9" s="11" t="e">
        <f t="shared" si="1"/>
        <v>#DIV/0!</v>
      </c>
      <c r="AF9" s="11">
        <f>SUM('Supply planning data'!AG110:AG124)</f>
        <v>495740</v>
      </c>
      <c r="AG9" s="11">
        <f>SUM('Supply planning data'!AH110:AH124)</f>
        <v>0</v>
      </c>
      <c r="AH9" s="11"/>
      <c r="AI9" s="11">
        <f>SUM('Supply planning data'!AJ110:AJ124)</f>
        <v>0</v>
      </c>
      <c r="AJ9" s="11">
        <f>SUM('Supply planning data'!AK110:AK124)</f>
        <v>0</v>
      </c>
      <c r="AK9" s="11"/>
      <c r="AL9" s="11">
        <f>SUM('Supply planning data'!AM110:AM124)</f>
        <v>0</v>
      </c>
      <c r="AM9" s="11">
        <f>SUM('Supply planning data'!AN110:AN124)</f>
        <v>300947</v>
      </c>
      <c r="AN9" s="11" t="e">
        <f t="shared" si="2"/>
        <v>#DIV/0!</v>
      </c>
      <c r="AO9" s="414">
        <f>(SUMIFS('Supply planning data'!H:H,'Supply planning data'!$D:$D,"&lt;="&amp;C9)+SUMIFS('Supply planning data'!G:G,'Supply planning data'!$D:$D,"&lt;="&amp;C9,'Supply planning data'!$C:$C,"Jansen"))/DataViz!$C$4</f>
        <v>2.341E-4</v>
      </c>
    </row>
    <row r="10" spans="1:41" x14ac:dyDescent="0.25">
      <c r="A10" s="8" t="str">
        <f>'Supply planning data'!A125</f>
        <v>Anyland</v>
      </c>
      <c r="B10" s="8" t="str">
        <f>'Supply planning data'!B125</f>
        <v>ANY</v>
      </c>
      <c r="C10" s="355">
        <f>'Supply planning data'!D125</f>
        <v>44440</v>
      </c>
      <c r="D10" s="355" t="str">
        <f>'Supply planning data'!E125</f>
        <v>Yes</v>
      </c>
      <c r="E10" s="11">
        <f>SUM('Supply planning data'!F125:F139)</f>
        <v>300947</v>
      </c>
      <c r="F10" s="11">
        <f>SUM('Supply planning data'!G125:G139)</f>
        <v>354830</v>
      </c>
      <c r="G10" s="11">
        <f>SUM('Supply planning data'!H125:H139)</f>
        <v>0</v>
      </c>
      <c r="H10" s="11">
        <f>SUM('Supply planning data'!I125:I139)</f>
        <v>0</v>
      </c>
      <c r="I10" s="11">
        <f>SUM('Supply planning data'!J125:J139)</f>
        <v>354830</v>
      </c>
      <c r="J10" s="11">
        <f>SUM('Supply planning data'!K125:K139)</f>
        <v>0</v>
      </c>
      <c r="K10" s="356">
        <f t="shared" si="0"/>
        <v>0</v>
      </c>
      <c r="L10" s="11">
        <f>SUM('Supply planning data'!M125:M139)</f>
        <v>354830</v>
      </c>
      <c r="M10" s="11">
        <f>SUM('Supply planning data'!N125:N139)</f>
        <v>0</v>
      </c>
      <c r="N10" s="11"/>
      <c r="O10" s="11">
        <f>SUM('Supply planning data'!P125:P139)</f>
        <v>0</v>
      </c>
      <c r="P10" s="11"/>
      <c r="Q10" s="11">
        <f>SUM('Supply planning data'!R125:R139)</f>
        <v>206400</v>
      </c>
      <c r="R10" s="11">
        <f>SUM('Supply planning data'!S125:S139)</f>
        <v>0</v>
      </c>
      <c r="S10" s="11"/>
      <c r="T10" s="11">
        <f>SUM('Supply planning data'!U125:U139)</f>
        <v>0</v>
      </c>
      <c r="U10" s="11">
        <f>SUM('Supply planning data'!V125:V139)</f>
        <v>246117</v>
      </c>
      <c r="V10" s="394">
        <f t="shared" si="3"/>
        <v>1.7319051517276807</v>
      </c>
      <c r="W10" s="11">
        <f>SUM('Supply planning data'!X125:X139)</f>
        <v>1300947</v>
      </c>
      <c r="X10" s="11">
        <f>SUM('Supply planning data'!Y125:Y139)</f>
        <v>0</v>
      </c>
      <c r="Y10" s="11"/>
      <c r="Z10" s="11">
        <f>SUM('Supply planning data'!AA125:AA139)</f>
        <v>0</v>
      </c>
      <c r="AA10" s="11">
        <f>SUM('Supply planning data'!AB125:AB139)</f>
        <v>0</v>
      </c>
      <c r="AB10" s="11"/>
      <c r="AC10" s="11">
        <f>SUM('Supply planning data'!AD125:AD139)</f>
        <v>0</v>
      </c>
      <c r="AD10" s="11">
        <f>SUM('Supply planning data'!AE125:AE139)</f>
        <v>1152517</v>
      </c>
      <c r="AE10" s="11" t="e">
        <f t="shared" si="1"/>
        <v>#DIV/0!</v>
      </c>
      <c r="AF10" s="11">
        <f>SUM('Supply planning data'!AG125:AG139)</f>
        <v>300947</v>
      </c>
      <c r="AG10" s="11">
        <f>SUM('Supply planning data'!AH125:AH139)</f>
        <v>0</v>
      </c>
      <c r="AH10" s="11"/>
      <c r="AI10" s="11">
        <f>SUM('Supply planning data'!AJ125:AJ139)</f>
        <v>0</v>
      </c>
      <c r="AJ10" s="11">
        <f>SUM('Supply planning data'!AK125:AK139)</f>
        <v>0</v>
      </c>
      <c r="AK10" s="11"/>
      <c r="AL10" s="11">
        <f>SUM('Supply planning data'!AM125:AM139)</f>
        <v>0</v>
      </c>
      <c r="AM10" s="11">
        <f>SUM('Supply planning data'!AN125:AN139)</f>
        <v>246117</v>
      </c>
      <c r="AN10" s="11" t="e">
        <f t="shared" si="2"/>
        <v>#DIV/0!</v>
      </c>
      <c r="AO10" s="414">
        <f>(SUMIFS('Supply planning data'!H:H,'Supply planning data'!$D:$D,"&lt;="&amp;C10)+SUMIFS('Supply planning data'!G:G,'Supply planning data'!$D:$D,"&lt;="&amp;C10,'Supply planning data'!$C:$C,"Jansen"))/DataViz!$C$4</f>
        <v>1.1479333333333332E-3</v>
      </c>
    </row>
    <row r="11" spans="1:41" x14ac:dyDescent="0.25">
      <c r="A11" s="8" t="str">
        <f>'Supply planning data'!A140</f>
        <v>Anyland</v>
      </c>
      <c r="B11" s="8" t="str">
        <f>'Supply planning data'!B140</f>
        <v>ANY</v>
      </c>
      <c r="C11" s="355">
        <f>'Supply planning data'!D140</f>
        <v>44470</v>
      </c>
      <c r="D11" s="355" t="str">
        <f>'Supply planning data'!E140</f>
        <v>Yes</v>
      </c>
      <c r="E11" s="11">
        <f>SUM('Supply planning data'!F140:F154)</f>
        <v>246117</v>
      </c>
      <c r="F11" s="11">
        <f>SUM('Supply planning data'!G140:G154)</f>
        <v>225324</v>
      </c>
      <c r="G11" s="11">
        <f>SUM('Supply planning data'!H140:H154)</f>
        <v>56984</v>
      </c>
      <c r="H11" s="11">
        <f>SUM('Supply planning data'!I140:I154)</f>
        <v>0</v>
      </c>
      <c r="I11" s="11">
        <f>SUM('Supply planning data'!J140:J154)</f>
        <v>282308</v>
      </c>
      <c r="J11" s="11">
        <f>SUM('Supply planning data'!K140:K154)</f>
        <v>0</v>
      </c>
      <c r="K11" s="356">
        <f t="shared" si="0"/>
        <v>0</v>
      </c>
      <c r="L11" s="11">
        <f>SUM('Supply planning data'!M140:M154)</f>
        <v>282308</v>
      </c>
      <c r="M11" s="11">
        <f>SUM('Supply planning data'!N140:N154)</f>
        <v>0</v>
      </c>
      <c r="N11" s="11"/>
      <c r="O11" s="11">
        <f>SUM('Supply planning data'!P140:P154)</f>
        <v>0</v>
      </c>
      <c r="P11" s="11"/>
      <c r="Q11" s="11">
        <f>SUM('Supply planning data'!R140:R154)</f>
        <v>0</v>
      </c>
      <c r="R11" s="11">
        <f>SUM('Supply planning data'!S140:S154)</f>
        <v>0</v>
      </c>
      <c r="S11" s="11"/>
      <c r="T11" s="11">
        <f>SUM('Supply planning data'!U140:U154)</f>
        <v>0</v>
      </c>
      <c r="U11" s="11">
        <f>SUM('Supply planning data'!V140:V154)</f>
        <v>79889</v>
      </c>
      <c r="V11" s="394">
        <f t="shared" si="3"/>
        <v>0.37518844191605705</v>
      </c>
      <c r="W11" s="11">
        <f>SUM('Supply planning data'!X140:X154)</f>
        <v>1152517</v>
      </c>
      <c r="X11" s="11">
        <f>SUM('Supply planning data'!Y140:Y154)</f>
        <v>0</v>
      </c>
      <c r="Y11" s="11"/>
      <c r="Z11" s="11">
        <f>SUM('Supply planning data'!AA140:AA154)</f>
        <v>0</v>
      </c>
      <c r="AA11" s="11">
        <f>SUM('Supply planning data'!AB140:AB154)</f>
        <v>0</v>
      </c>
      <c r="AB11" s="11"/>
      <c r="AC11" s="11">
        <f>SUM('Supply planning data'!AD140:AD154)</f>
        <v>0</v>
      </c>
      <c r="AD11" s="11">
        <f>SUM('Supply planning data'!AE140:AE154)</f>
        <v>870209</v>
      </c>
      <c r="AE11" s="11" t="e">
        <f t="shared" si="1"/>
        <v>#DIV/0!</v>
      </c>
      <c r="AF11" s="11">
        <f>SUM('Supply planning data'!AG140:AG154)</f>
        <v>246117</v>
      </c>
      <c r="AG11" s="11">
        <f>SUM('Supply planning data'!AH140:AH154)</f>
        <v>0</v>
      </c>
      <c r="AH11" s="11"/>
      <c r="AI11" s="11">
        <f>SUM('Supply planning data'!AJ140:AJ154)</f>
        <v>0</v>
      </c>
      <c r="AJ11" s="11">
        <f>SUM('Supply planning data'!AK140:AK154)</f>
        <v>0</v>
      </c>
      <c r="AK11" s="11"/>
      <c r="AL11" s="11">
        <f>SUM('Supply planning data'!AM140:AM154)</f>
        <v>0</v>
      </c>
      <c r="AM11" s="11">
        <f>SUM('Supply planning data'!AN140:AN154)</f>
        <v>79889</v>
      </c>
      <c r="AN11" s="11" t="e">
        <f t="shared" si="2"/>
        <v>#DIV/0!</v>
      </c>
      <c r="AO11" s="414">
        <f>(SUMIFS('Supply planning data'!H:H,'Supply planning data'!$D:$D,"&lt;="&amp;C11)+SUMIFS('Supply planning data'!G:G,'Supply planning data'!$D:$D,"&lt;="&amp;C11,'Supply planning data'!$C:$C,"Jansen"))/DataViz!$C$4</f>
        <v>4.8681333333333333E-3</v>
      </c>
    </row>
    <row r="12" spans="1:41" x14ac:dyDescent="0.25">
      <c r="A12" s="8" t="str">
        <f>'Supply planning data'!A155</f>
        <v>Anyland</v>
      </c>
      <c r="B12" s="8" t="str">
        <f>'Supply planning data'!B155</f>
        <v>ANY</v>
      </c>
      <c r="C12" s="355">
        <f>'Supply planning data'!D155</f>
        <v>44501</v>
      </c>
      <c r="D12" s="355" t="str">
        <f>'Supply planning data'!E155</f>
        <v>Yes</v>
      </c>
      <c r="E12" s="11">
        <f>SUM('Supply planning data'!F155:F169)</f>
        <v>79889</v>
      </c>
      <c r="F12" s="11">
        <f>SUM('Supply planning data'!G155:G169)</f>
        <v>382601</v>
      </c>
      <c r="G12" s="11">
        <f>SUM('Supply planning data'!H155:H169)</f>
        <v>18374</v>
      </c>
      <c r="H12" s="11">
        <f>SUM('Supply planning data'!I155:I169)</f>
        <v>0</v>
      </c>
      <c r="I12" s="11">
        <f>SUM('Supply planning data'!J155:J169)</f>
        <v>400975</v>
      </c>
      <c r="J12" s="11">
        <f>SUM('Supply planning data'!K155:K169)</f>
        <v>600</v>
      </c>
      <c r="K12" s="356">
        <f t="shared" si="0"/>
        <v>1.49635264043893E-3</v>
      </c>
      <c r="L12" s="11">
        <f>SUM('Supply planning data'!M155:M169)</f>
        <v>401575</v>
      </c>
      <c r="M12" s="11">
        <f>SUM('Supply planning data'!N155:N169)</f>
        <v>0</v>
      </c>
      <c r="N12" s="11"/>
      <c r="O12" s="11">
        <f>SUM('Supply planning data'!P155:P169)</f>
        <v>0</v>
      </c>
      <c r="P12" s="11"/>
      <c r="Q12" s="11">
        <f>SUM('Supply planning data'!R155:R169)</f>
        <v>1355200</v>
      </c>
      <c r="R12" s="11">
        <f>SUM('Supply planning data'!S155:S169)</f>
        <v>0</v>
      </c>
      <c r="S12" s="11"/>
      <c r="T12" s="11">
        <f>SUM('Supply planning data'!U155:U169)</f>
        <v>0</v>
      </c>
      <c r="U12" s="11">
        <f>SUM('Supply planning data'!V155:V169)</f>
        <v>1033514</v>
      </c>
      <c r="V12" s="394">
        <f t="shared" si="3"/>
        <v>2.9849843026899632</v>
      </c>
      <c r="W12" s="11">
        <f>SUM('Supply planning data'!X155:X169)</f>
        <v>870209</v>
      </c>
      <c r="X12" s="11">
        <f>SUM('Supply planning data'!Y155:Y169)</f>
        <v>0</v>
      </c>
      <c r="Y12" s="11"/>
      <c r="Z12" s="11">
        <f>SUM('Supply planning data'!AA155:AA169)</f>
        <v>0</v>
      </c>
      <c r="AA12" s="11">
        <f>SUM('Supply planning data'!AB155:AB169)</f>
        <v>0</v>
      </c>
      <c r="AB12" s="11"/>
      <c r="AC12" s="11">
        <f>SUM('Supply planning data'!AD155:AD169)</f>
        <v>0</v>
      </c>
      <c r="AD12" s="11">
        <f>SUM('Supply planning data'!AE155:AE169)</f>
        <v>1823834</v>
      </c>
      <c r="AE12" s="11" t="e">
        <f t="shared" si="1"/>
        <v>#DIV/0!</v>
      </c>
      <c r="AF12" s="11">
        <f>SUM('Supply planning data'!AG155:AG169)</f>
        <v>79889</v>
      </c>
      <c r="AG12" s="11">
        <f>SUM('Supply planning data'!AH155:AH169)</f>
        <v>0</v>
      </c>
      <c r="AH12" s="11"/>
      <c r="AI12" s="11">
        <f>SUM('Supply planning data'!AJ155:AJ169)</f>
        <v>0</v>
      </c>
      <c r="AJ12" s="11">
        <f>SUM('Supply planning data'!AK155:AK169)</f>
        <v>0</v>
      </c>
      <c r="AK12" s="11"/>
      <c r="AL12" s="11">
        <f>SUM('Supply planning data'!AM155:AM169)</f>
        <v>0</v>
      </c>
      <c r="AM12" s="11">
        <f>SUM('Supply planning data'!AN155:AN169)</f>
        <v>1033514</v>
      </c>
      <c r="AN12" s="11" t="e">
        <f t="shared" si="2"/>
        <v>#DIV/0!</v>
      </c>
      <c r="AO12" s="414">
        <f>(SUMIFS('Supply planning data'!H:H,'Supply planning data'!$D:$D,"&lt;="&amp;C12)+SUMIFS('Supply planning data'!G:G,'Supply planning data'!$D:$D,"&lt;="&amp;C12,'Supply planning data'!$C:$C,"Jansen"))/DataViz!$C$4</f>
        <v>1.1251383333333333E-2</v>
      </c>
    </row>
    <row r="13" spans="1:41" x14ac:dyDescent="0.25">
      <c r="A13" s="8" t="str">
        <f>'Supply planning data'!A170</f>
        <v>Anyland</v>
      </c>
      <c r="B13" s="8" t="str">
        <f>'Supply planning data'!B170</f>
        <v>ANY</v>
      </c>
      <c r="C13" s="355">
        <f>'Supply planning data'!D170</f>
        <v>44531</v>
      </c>
      <c r="D13" s="355" t="str">
        <f>'Supply planning data'!E170</f>
        <v>Yes</v>
      </c>
      <c r="E13" s="11">
        <f>SUM('Supply planning data'!F170:F184)</f>
        <v>1033514</v>
      </c>
      <c r="F13" s="11">
        <f>SUM('Supply planning data'!G170:G184)</f>
        <v>515578</v>
      </c>
      <c r="G13" s="11">
        <f>SUM('Supply planning data'!H170:H184)</f>
        <v>67691</v>
      </c>
      <c r="H13" s="11">
        <f>SUM('Supply planning data'!I170:I184)</f>
        <v>0</v>
      </c>
      <c r="I13" s="11">
        <f>SUM('Supply planning data'!J170:J184)</f>
        <v>583269</v>
      </c>
      <c r="J13" s="11">
        <f>SUM('Supply planning data'!K170:K184)</f>
        <v>240</v>
      </c>
      <c r="K13" s="356">
        <f t="shared" si="0"/>
        <v>4.1147395112718145E-4</v>
      </c>
      <c r="L13" s="11">
        <f>SUM('Supply planning data'!M170:M184)</f>
        <v>583509</v>
      </c>
      <c r="M13" s="11">
        <f>SUM('Supply planning data'!N170:N184)</f>
        <v>0</v>
      </c>
      <c r="N13" s="11"/>
      <c r="O13" s="11">
        <f>SUM('Supply planning data'!P170:P184)</f>
        <v>0</v>
      </c>
      <c r="P13" s="11"/>
      <c r="Q13" s="11">
        <f>SUM('Supply planning data'!R170:R184)</f>
        <v>0</v>
      </c>
      <c r="R13" s="11">
        <f>SUM('Supply planning data'!S170:S184)</f>
        <v>0</v>
      </c>
      <c r="S13" s="11"/>
      <c r="T13" s="11">
        <f>SUM('Supply planning data'!U170:U184)</f>
        <v>0</v>
      </c>
      <c r="U13" s="11">
        <f>SUM('Supply planning data'!V170:V184)</f>
        <v>450005</v>
      </c>
      <c r="V13" s="394">
        <f t="shared" si="3"/>
        <v>1.0651913535827904</v>
      </c>
      <c r="W13" s="11">
        <f>SUM('Supply planning data'!X170:X184)</f>
        <v>1823834</v>
      </c>
      <c r="X13" s="11">
        <f>SUM('Supply planning data'!Y170:Y184)</f>
        <v>0</v>
      </c>
      <c r="Y13" s="11"/>
      <c r="Z13" s="11">
        <f>SUM('Supply planning data'!AA170:AA184)</f>
        <v>0</v>
      </c>
      <c r="AA13" s="11">
        <f>SUM('Supply planning data'!AB170:AB184)</f>
        <v>0</v>
      </c>
      <c r="AB13" s="11"/>
      <c r="AC13" s="11">
        <f>SUM('Supply planning data'!AD170:AD184)</f>
        <v>0</v>
      </c>
      <c r="AD13" s="11">
        <f>SUM('Supply planning data'!AE170:AE184)</f>
        <v>1240325</v>
      </c>
      <c r="AE13" s="11" t="e">
        <f t="shared" si="1"/>
        <v>#DIV/0!</v>
      </c>
      <c r="AF13" s="11">
        <f>SUM('Supply planning data'!AG170:AG184)</f>
        <v>1033514</v>
      </c>
      <c r="AG13" s="11">
        <f>SUM('Supply planning data'!AH170:AH184)</f>
        <v>0</v>
      </c>
      <c r="AH13" s="11"/>
      <c r="AI13" s="11">
        <f>SUM('Supply planning data'!AJ170:AJ184)</f>
        <v>0</v>
      </c>
      <c r="AJ13" s="11">
        <f>SUM('Supply planning data'!AK170:AK184)</f>
        <v>0</v>
      </c>
      <c r="AK13" s="11"/>
      <c r="AL13" s="11">
        <f>SUM('Supply planning data'!AM170:AM184)</f>
        <v>0</v>
      </c>
      <c r="AM13" s="11">
        <f>SUM('Supply planning data'!AN170:AN184)</f>
        <v>450005</v>
      </c>
      <c r="AN13" s="11" t="e">
        <f t="shared" si="2"/>
        <v>#DIV/0!</v>
      </c>
      <c r="AO13" s="414">
        <f>(SUMIFS('Supply planning data'!H:H,'Supply planning data'!$D:$D,"&lt;="&amp;C13)+SUMIFS('Supply planning data'!G:G,'Supply planning data'!$D:$D,"&lt;="&amp;C13,'Supply planning data'!$C:$C,"Jansen"))/DataViz!$C$4</f>
        <v>1.8994516666666666E-2</v>
      </c>
    </row>
    <row r="14" spans="1:41" x14ac:dyDescent="0.25">
      <c r="A14" s="8" t="str">
        <f>'Supply planning data'!A185</f>
        <v>Anyland</v>
      </c>
      <c r="B14" s="8" t="str">
        <f>'Supply planning data'!B185</f>
        <v>ANY</v>
      </c>
      <c r="C14" s="355">
        <f>'Supply planning data'!D185</f>
        <v>44562</v>
      </c>
      <c r="D14" s="355" t="str">
        <f>'Supply planning data'!E185</f>
        <v>Yes</v>
      </c>
      <c r="E14" s="11">
        <f>SUM('Supply planning data'!F185:F199)</f>
        <v>450005</v>
      </c>
      <c r="F14" s="11">
        <f>SUM('Supply planning data'!G185:G199)</f>
        <v>186650</v>
      </c>
      <c r="G14" s="11">
        <f>SUM('Supply planning data'!H185:H199)</f>
        <v>3445</v>
      </c>
      <c r="H14" s="11">
        <f>SUM('Supply planning data'!I185:I199)</f>
        <v>0</v>
      </c>
      <c r="I14" s="11">
        <f>SUM('Supply planning data'!J185:J199)</f>
        <v>190095</v>
      </c>
      <c r="J14" s="11">
        <f>SUM('Supply planning data'!K185:K199)</f>
        <v>6360</v>
      </c>
      <c r="K14" s="356">
        <f t="shared" si="0"/>
        <v>3.3456955732659985E-2</v>
      </c>
      <c r="L14" s="11">
        <f>SUM('Supply planning data'!M185:M199)</f>
        <v>196455</v>
      </c>
      <c r="M14" s="11">
        <f>SUM('Supply planning data'!N185:N199)</f>
        <v>0</v>
      </c>
      <c r="N14" s="11"/>
      <c r="O14" s="11">
        <f>SUM('Supply planning data'!P185:P199)</f>
        <v>0</v>
      </c>
      <c r="P14" s="11"/>
      <c r="Q14" s="11">
        <f>SUM('Supply planning data'!R185:R199)</f>
        <v>794970</v>
      </c>
      <c r="R14" s="11">
        <f>SUM('Supply planning data'!S185:S199)</f>
        <v>0</v>
      </c>
      <c r="S14" s="11"/>
      <c r="T14" s="11">
        <f>SUM('Supply planning data'!U185:U199)</f>
        <v>0</v>
      </c>
      <c r="U14" s="11">
        <f>SUM('Supply planning data'!V185:V199)</f>
        <v>1053920</v>
      </c>
      <c r="V14" s="394">
        <f t="shared" si="3"/>
        <v>2.6759675304835473</v>
      </c>
      <c r="W14" s="11">
        <f>SUM('Supply planning data'!X185:X199)</f>
        <v>1240325</v>
      </c>
      <c r="X14" s="11">
        <f>SUM('Supply planning data'!Y185:Y199)</f>
        <v>0</v>
      </c>
      <c r="Y14" s="11"/>
      <c r="Z14" s="11">
        <f>SUM('Supply planning data'!AA185:AA199)</f>
        <v>0</v>
      </c>
      <c r="AA14" s="11">
        <f>SUM('Supply planning data'!AB185:AB199)</f>
        <v>0</v>
      </c>
      <c r="AB14" s="11"/>
      <c r="AC14" s="11">
        <f>SUM('Supply planning data'!AD185:AD199)</f>
        <v>0</v>
      </c>
      <c r="AD14" s="11">
        <f>SUM('Supply planning data'!AE185:AE199)</f>
        <v>1844240</v>
      </c>
      <c r="AE14" s="11" t="e">
        <f t="shared" si="1"/>
        <v>#DIV/0!</v>
      </c>
      <c r="AF14" s="11">
        <f>SUM('Supply planning data'!AG185:AG199)</f>
        <v>450005</v>
      </c>
      <c r="AG14" s="11">
        <f>SUM('Supply planning data'!AH185:AH199)</f>
        <v>0</v>
      </c>
      <c r="AH14" s="11"/>
      <c r="AI14" s="11">
        <f>SUM('Supply planning data'!AJ185:AJ199)</f>
        <v>0</v>
      </c>
      <c r="AJ14" s="11">
        <f>SUM('Supply planning data'!AK185:AK199)</f>
        <v>0</v>
      </c>
      <c r="AK14" s="11"/>
      <c r="AL14" s="11">
        <f>SUM('Supply planning data'!AM185:AM199)</f>
        <v>0</v>
      </c>
      <c r="AM14" s="11">
        <f>SUM('Supply planning data'!AN185:AN199)</f>
        <v>1053920</v>
      </c>
      <c r="AN14" s="11" t="e">
        <f t="shared" si="2"/>
        <v>#DIV/0!</v>
      </c>
      <c r="AO14" s="414">
        <f>(SUMIFS('Supply planning data'!H:H,'Supply planning data'!$D:$D,"&lt;="&amp;C14)+SUMIFS('Supply planning data'!G:G,'Supply planning data'!$D:$D,"&lt;="&amp;C14,'Supply planning data'!$C:$C,"Jansen"))/DataViz!$C$4</f>
        <v>2.1311316666666667E-2</v>
      </c>
    </row>
    <row r="15" spans="1:41" x14ac:dyDescent="0.25">
      <c r="A15" s="8" t="str">
        <f>'Supply planning data'!A200</f>
        <v>Anyland</v>
      </c>
      <c r="B15" s="8" t="str">
        <f>'Supply planning data'!B200</f>
        <v>ANY</v>
      </c>
      <c r="C15" s="355">
        <f>'Supply planning data'!D200</f>
        <v>44593</v>
      </c>
      <c r="D15" s="355" t="str">
        <f>'Supply planning data'!E200</f>
        <v>Yes</v>
      </c>
      <c r="E15" s="11">
        <f>SUM('Supply planning data'!F200:F214)</f>
        <v>1053920</v>
      </c>
      <c r="F15" s="11">
        <f>SUM('Supply planning data'!G200:G214)</f>
        <v>403633</v>
      </c>
      <c r="G15" s="11">
        <f>SUM('Supply planning data'!H200:H214)</f>
        <v>92793</v>
      </c>
      <c r="H15" s="11">
        <f>SUM('Supply planning data'!I200:I214)</f>
        <v>0</v>
      </c>
      <c r="I15" s="11">
        <f>SUM('Supply planning data'!J200:J214)</f>
        <v>496426</v>
      </c>
      <c r="J15" s="11">
        <f>SUM('Supply planning data'!K200:K214)</f>
        <v>3242</v>
      </c>
      <c r="K15" s="356">
        <f t="shared" si="0"/>
        <v>6.5306813100039079E-3</v>
      </c>
      <c r="L15" s="11">
        <f>SUM('Supply planning data'!M200:M214)</f>
        <v>499668</v>
      </c>
      <c r="M15" s="11">
        <f>SUM('Supply planning data'!N200:N214)</f>
        <v>-128057</v>
      </c>
      <c r="N15" s="11"/>
      <c r="O15" s="11">
        <f>SUM('Supply planning data'!P200:P214)</f>
        <v>0</v>
      </c>
      <c r="P15" s="11"/>
      <c r="Q15" s="11">
        <f>SUM('Supply planning data'!R200:R214)</f>
        <v>1309600</v>
      </c>
      <c r="R15" s="11">
        <f>SUM('Supply planning data'!S200:S214)</f>
        <v>0</v>
      </c>
      <c r="S15" s="11"/>
      <c r="T15" s="11">
        <f>SUM('Supply planning data'!U200:U214)</f>
        <v>0</v>
      </c>
      <c r="U15" s="11">
        <f>SUM('Supply planning data'!V200:V214)</f>
        <v>1778564</v>
      </c>
      <c r="V15" s="394">
        <f t="shared" si="3"/>
        <v>4.1697081660977533</v>
      </c>
      <c r="W15" s="11">
        <f>SUM('Supply planning data'!X200:X214)</f>
        <v>1844240</v>
      </c>
      <c r="X15" s="11">
        <f>SUM('Supply planning data'!Y200:Y214)</f>
        <v>0</v>
      </c>
      <c r="Y15" s="11"/>
      <c r="Z15" s="11">
        <f>SUM('Supply planning data'!AA200:AA214)</f>
        <v>0</v>
      </c>
      <c r="AA15" s="11">
        <f>SUM('Supply planning data'!AB200:AB214)</f>
        <v>0</v>
      </c>
      <c r="AB15" s="11"/>
      <c r="AC15" s="11">
        <f>SUM('Supply planning data'!AD200:AD214)</f>
        <v>0</v>
      </c>
      <c r="AD15" s="11">
        <f>SUM('Supply planning data'!AE200:AE214)</f>
        <v>2526115</v>
      </c>
      <c r="AE15" s="11" t="e">
        <f t="shared" si="1"/>
        <v>#DIV/0!</v>
      </c>
      <c r="AF15" s="11">
        <f>SUM('Supply planning data'!AG200:AG214)</f>
        <v>1053920</v>
      </c>
      <c r="AG15" s="11">
        <f>SUM('Supply planning data'!AH200:AH214)</f>
        <v>0</v>
      </c>
      <c r="AH15" s="11"/>
      <c r="AI15" s="11">
        <f>SUM('Supply planning data'!AJ200:AJ214)</f>
        <v>0</v>
      </c>
      <c r="AJ15" s="11">
        <f>SUM('Supply planning data'!AK200:AK214)</f>
        <v>0</v>
      </c>
      <c r="AK15" s="11"/>
      <c r="AL15" s="11">
        <f>SUM('Supply planning data'!AM200:AM214)</f>
        <v>0</v>
      </c>
      <c r="AM15" s="11">
        <f>SUM('Supply planning data'!AN200:AN214)</f>
        <v>1778564</v>
      </c>
      <c r="AN15" s="11" t="e">
        <f t="shared" si="2"/>
        <v>#DIV/0!</v>
      </c>
      <c r="AO15" s="414">
        <f>(SUMIFS('Supply planning data'!H:H,'Supply planning data'!$D:$D,"&lt;="&amp;C15)+SUMIFS('Supply planning data'!G:G,'Supply planning data'!$D:$D,"&lt;="&amp;C15,'Supply planning data'!$C:$C,"Jansen"))/DataViz!$C$4</f>
        <v>2.6971016666666667E-2</v>
      </c>
    </row>
    <row r="16" spans="1:41" x14ac:dyDescent="0.25">
      <c r="A16" s="8" t="str">
        <f>'Supply planning data'!A215</f>
        <v>Anyland</v>
      </c>
      <c r="B16" s="8" t="str">
        <f>'Supply planning data'!B215</f>
        <v>ANY</v>
      </c>
      <c r="C16" s="355">
        <f>'Supply planning data'!D215</f>
        <v>44621</v>
      </c>
      <c r="D16" s="355" t="str">
        <f>'Supply planning data'!E215</f>
        <v>Yes</v>
      </c>
      <c r="E16" s="11">
        <f>SUM('Supply planning data'!F215:F229)</f>
        <v>1778564</v>
      </c>
      <c r="F16" s="11">
        <f>SUM('Supply planning data'!G215:G229)</f>
        <v>173961</v>
      </c>
      <c r="G16" s="11">
        <f>SUM('Supply planning data'!H215:H229)</f>
        <v>17315</v>
      </c>
      <c r="H16" s="11">
        <f>SUM('Supply planning data'!I215:I229)</f>
        <v>0</v>
      </c>
      <c r="I16" s="11">
        <f>SUM('Supply planning data'!J215:J229)</f>
        <v>191276</v>
      </c>
      <c r="J16" s="11">
        <f>SUM('Supply planning data'!K215:K229)</f>
        <v>12453</v>
      </c>
      <c r="K16" s="356">
        <f t="shared" si="0"/>
        <v>6.5104874631422657E-2</v>
      </c>
      <c r="L16" s="11">
        <f>SUM('Supply planning data'!M215:M229)</f>
        <v>203729</v>
      </c>
      <c r="M16" s="11">
        <f>SUM('Supply planning data'!N215:N229)</f>
        <v>0</v>
      </c>
      <c r="N16" s="11"/>
      <c r="O16" s="11">
        <f>SUM('Supply planning data'!P215:P229)</f>
        <v>0</v>
      </c>
      <c r="P16" s="11"/>
      <c r="Q16" s="11">
        <f>SUM('Supply planning data'!R215:R229)</f>
        <v>561600</v>
      </c>
      <c r="R16" s="11">
        <f>SUM('Supply planning data'!S215:S229)</f>
        <v>0</v>
      </c>
      <c r="S16" s="11"/>
      <c r="T16" s="11">
        <f>SUM('Supply planning data'!U215:U229)</f>
        <v>0</v>
      </c>
      <c r="U16" s="11">
        <f>SUM('Supply planning data'!V215:V229)</f>
        <v>2169285</v>
      </c>
      <c r="V16" s="394">
        <f t="shared" si="3"/>
        <v>7.2321392851268866</v>
      </c>
      <c r="W16" s="11">
        <f>SUM('Supply planning data'!X215:X229)</f>
        <v>2526115</v>
      </c>
      <c r="X16" s="11">
        <f>SUM('Supply planning data'!Y215:Y229)</f>
        <v>0</v>
      </c>
      <c r="Y16" s="11"/>
      <c r="Z16" s="11">
        <f>SUM('Supply planning data'!AA215:AA229)</f>
        <v>0</v>
      </c>
      <c r="AA16" s="11">
        <f>SUM('Supply planning data'!AB215:AB229)</f>
        <v>0</v>
      </c>
      <c r="AB16" s="11"/>
      <c r="AC16" s="11">
        <f>SUM('Supply planning data'!AD215:AD229)</f>
        <v>0</v>
      </c>
      <c r="AD16" s="11">
        <f>SUM('Supply planning data'!AE215:AE229)</f>
        <v>2883986</v>
      </c>
      <c r="AE16" s="11">
        <f t="shared" si="1"/>
        <v>21.629894999999998</v>
      </c>
      <c r="AF16" s="11">
        <f>SUM('Supply planning data'!AG215:AG229)</f>
        <v>1778564</v>
      </c>
      <c r="AG16" s="11">
        <f>SUM('Supply planning data'!AH215:AH229)</f>
        <v>0</v>
      </c>
      <c r="AH16" s="11"/>
      <c r="AI16" s="11">
        <f>SUM('Supply planning data'!AJ215:AJ229)</f>
        <v>0</v>
      </c>
      <c r="AJ16" s="11">
        <f>SUM('Supply planning data'!AK215:AK229)</f>
        <v>0</v>
      </c>
      <c r="AK16" s="11"/>
      <c r="AL16" s="11">
        <f>SUM('Supply planning data'!AM215:AM229)</f>
        <v>0</v>
      </c>
      <c r="AM16" s="11">
        <f>SUM('Supply planning data'!AN215:AN229)</f>
        <v>2169285</v>
      </c>
      <c r="AN16" s="11" t="e">
        <f t="shared" si="2"/>
        <v>#DIV/0!</v>
      </c>
      <c r="AO16" s="414">
        <f>(SUMIFS('Supply planning data'!H:H,'Supply planning data'!$D:$D,"&lt;="&amp;C16)+SUMIFS('Supply planning data'!G:G,'Supply planning data'!$D:$D,"&lt;="&amp;C16,'Supply planning data'!$C:$C,"Jansen"))/DataViz!$C$4</f>
        <v>2.9492566666666668E-2</v>
      </c>
    </row>
    <row r="17" spans="1:41" x14ac:dyDescent="0.25">
      <c r="A17" s="8" t="str">
        <f>'Supply planning data'!A230</f>
        <v>Anyland</v>
      </c>
      <c r="B17" s="8" t="str">
        <f>'Supply planning data'!B230</f>
        <v>ANY</v>
      </c>
      <c r="C17" s="355">
        <f>'Supply planning data'!D230</f>
        <v>44652</v>
      </c>
      <c r="D17" s="355" t="str">
        <f>'Supply planning data'!E230</f>
        <v>Yes</v>
      </c>
      <c r="E17" s="11">
        <f>SUM('Supply planning data'!F230:F244)</f>
        <v>2169285</v>
      </c>
      <c r="F17" s="11">
        <f>SUM('Supply planning data'!G230:G244)</f>
        <v>0</v>
      </c>
      <c r="G17" s="11">
        <f>SUM('Supply planning data'!H230:H244)</f>
        <v>0</v>
      </c>
      <c r="H17" s="11">
        <f>SUM('Supply planning data'!I230:I244)</f>
        <v>0</v>
      </c>
      <c r="I17" s="11">
        <f>SUM('Supply planning data'!J230:J244)</f>
        <v>0</v>
      </c>
      <c r="J17" s="11">
        <f>SUM('Supply planning data'!K230:K244)</f>
        <v>0</v>
      </c>
      <c r="K17" s="356" t="str">
        <f t="shared" si="0"/>
        <v/>
      </c>
      <c r="L17" s="11">
        <f>SUM('Supply planning data'!M230:M244)</f>
        <v>0</v>
      </c>
      <c r="M17" s="11">
        <f>SUM('Supply planning data'!N230:N244)</f>
        <v>0</v>
      </c>
      <c r="N17" s="11"/>
      <c r="O17" s="11">
        <f>SUM('Supply planning data'!P230:P244)</f>
        <v>0</v>
      </c>
      <c r="P17" s="11"/>
      <c r="Q17" s="11">
        <f>SUM('Supply planning data'!R230:R244)</f>
        <v>0</v>
      </c>
      <c r="R17" s="11">
        <f>SUM('Supply planning data'!S230:S244)</f>
        <v>0</v>
      </c>
      <c r="S17" s="11"/>
      <c r="T17" s="11">
        <f>SUM('Supply planning data'!U230:U244)</f>
        <v>0</v>
      </c>
      <c r="U17" s="11">
        <f>SUM('Supply planning data'!V230:V244)</f>
        <v>2169285</v>
      </c>
      <c r="V17" s="394">
        <f t="shared" si="3"/>
        <v>9.2520369009250825</v>
      </c>
      <c r="W17" s="11">
        <f>SUM('Supply planning data'!X230:X244)</f>
        <v>2883986</v>
      </c>
      <c r="X17" s="11">
        <f>SUM('Supply planning data'!Y230:Y244)</f>
        <v>0</v>
      </c>
      <c r="Y17" s="11"/>
      <c r="Z17" s="11">
        <f>SUM('Supply planning data'!AA230:AA244)</f>
        <v>0</v>
      </c>
      <c r="AA17" s="11">
        <f>SUM('Supply planning data'!AB230:AB244)</f>
        <v>0</v>
      </c>
      <c r="AB17" s="11"/>
      <c r="AC17" s="11">
        <f>SUM('Supply planning data'!AD230:AD244)</f>
        <v>0</v>
      </c>
      <c r="AD17" s="11">
        <f>SUM('Supply planning data'!AE230:AE244)</f>
        <v>2883986</v>
      </c>
      <c r="AE17" s="11">
        <f t="shared" si="1"/>
        <v>10.814947499999999</v>
      </c>
      <c r="AF17" s="11">
        <f>SUM('Supply planning data'!AG230:AG244)</f>
        <v>2169285</v>
      </c>
      <c r="AG17" s="11">
        <f>SUM('Supply planning data'!AH230:AH244)</f>
        <v>0</v>
      </c>
      <c r="AH17" s="11"/>
      <c r="AI17" s="11">
        <f>SUM('Supply planning data'!AJ230:AJ244)</f>
        <v>0</v>
      </c>
      <c r="AJ17" s="11">
        <f>SUM('Supply planning data'!AK230:AK244)</f>
        <v>0</v>
      </c>
      <c r="AK17" s="11"/>
      <c r="AL17" s="11">
        <f>SUM('Supply planning data'!AM230:AM244)</f>
        <v>0</v>
      </c>
      <c r="AM17" s="11">
        <f>SUM('Supply planning data'!AN230:AN244)</f>
        <v>2169285</v>
      </c>
      <c r="AN17" s="11" t="e">
        <f t="shared" si="2"/>
        <v>#DIV/0!</v>
      </c>
      <c r="AO17" s="414">
        <f>(SUMIFS('Supply planning data'!H:H,'Supply planning data'!$D:$D,"&lt;="&amp;C17)+SUMIFS('Supply planning data'!G:G,'Supply planning data'!$D:$D,"&lt;="&amp;C17,'Supply planning data'!$C:$C,"Jansen"))/DataViz!$C$4</f>
        <v>2.9492566666666668E-2</v>
      </c>
    </row>
    <row r="18" spans="1:41" x14ac:dyDescent="0.25">
      <c r="A18" s="8" t="str">
        <f>'Supply planning data'!A245</f>
        <v>Anyland</v>
      </c>
      <c r="B18" s="8" t="str">
        <f>'Supply planning data'!B245</f>
        <v>ANY</v>
      </c>
      <c r="C18" s="355">
        <f>'Supply planning data'!D245</f>
        <v>44682</v>
      </c>
      <c r="D18" s="355" t="str">
        <f>'Supply planning data'!E245</f>
        <v>Yes</v>
      </c>
      <c r="E18" s="11">
        <f>SUM('Supply planning data'!F245:F259)</f>
        <v>2169285</v>
      </c>
      <c r="F18" s="11">
        <f>SUM('Supply planning data'!G245:G259)</f>
        <v>0</v>
      </c>
      <c r="G18" s="11">
        <f>SUM('Supply planning data'!H245:H259)</f>
        <v>0</v>
      </c>
      <c r="H18" s="11">
        <f>SUM('Supply planning data'!I245:I259)</f>
        <v>0</v>
      </c>
      <c r="I18" s="11">
        <f>SUM('Supply planning data'!J245:J259)</f>
        <v>0</v>
      </c>
      <c r="J18" s="11">
        <f>SUM('Supply planning data'!K245:K259)</f>
        <v>0</v>
      </c>
      <c r="K18" s="356" t="str">
        <f t="shared" si="0"/>
        <v/>
      </c>
      <c r="L18" s="11">
        <f>SUM('Supply planning data'!M245:M259)</f>
        <v>0</v>
      </c>
      <c r="M18" s="11">
        <f>SUM('Supply planning data'!N245:N259)</f>
        <v>0</v>
      </c>
      <c r="N18" s="11"/>
      <c r="O18" s="11">
        <f>SUM('Supply planning data'!P245:P259)</f>
        <v>0</v>
      </c>
      <c r="P18" s="11"/>
      <c r="Q18" s="11">
        <f>SUM('Supply planning data'!R245:R259)</f>
        <v>0</v>
      </c>
      <c r="R18" s="11">
        <f>SUM('Supply planning data'!S245:S259)</f>
        <v>0</v>
      </c>
      <c r="S18" s="11"/>
      <c r="T18" s="11">
        <f>SUM('Supply planning data'!U245:U259)</f>
        <v>0</v>
      </c>
      <c r="U18" s="11">
        <f>SUM('Supply planning data'!V245:V259)</f>
        <v>2169285</v>
      </c>
      <c r="V18" s="394">
        <f t="shared" si="3"/>
        <v>31.943684993299922</v>
      </c>
      <c r="W18" s="11">
        <f>SUM('Supply planning data'!X245:X259)</f>
        <v>2883986</v>
      </c>
      <c r="X18" s="11">
        <f>SUM('Supply planning data'!Y245:Y259)</f>
        <v>400000</v>
      </c>
      <c r="Y18" s="11"/>
      <c r="Z18" s="11">
        <f>SUM('Supply planning data'!AA245:AA259)</f>
        <v>400000</v>
      </c>
      <c r="AA18" s="11">
        <f>SUM('Supply planning data'!AB245:AB259)</f>
        <v>0</v>
      </c>
      <c r="AB18" s="11"/>
      <c r="AC18" s="11">
        <f>SUM('Supply planning data'!AD245:AD259)</f>
        <v>0</v>
      </c>
      <c r="AD18" s="11">
        <f>SUM('Supply planning data'!AE245:AE259)</f>
        <v>2643986</v>
      </c>
      <c r="AE18" s="11">
        <f t="shared" si="1"/>
        <v>6.6099649999999999</v>
      </c>
      <c r="AF18" s="11">
        <f>SUM('Supply planning data'!AG245:AG259)</f>
        <v>2169285</v>
      </c>
      <c r="AG18" s="11">
        <f>SUM('Supply planning data'!AH245:AH259)</f>
        <v>0</v>
      </c>
      <c r="AH18" s="11"/>
      <c r="AI18" s="11">
        <f>SUM('Supply planning data'!AJ245:AJ259)</f>
        <v>0</v>
      </c>
      <c r="AJ18" s="11">
        <f>SUM('Supply planning data'!AK245:AK259)</f>
        <v>0</v>
      </c>
      <c r="AK18" s="11"/>
      <c r="AL18" s="11">
        <f>SUM('Supply planning data'!AM245:AM259)</f>
        <v>0</v>
      </c>
      <c r="AM18" s="11">
        <f>SUM('Supply planning data'!AN245:AN259)</f>
        <v>2169285</v>
      </c>
      <c r="AN18" s="11" t="e">
        <f t="shared" si="2"/>
        <v>#DIV/0!</v>
      </c>
      <c r="AO18" s="414">
        <f>(SUMIFS('Supply planning data'!H:H,'Supply planning data'!$D:$D,"&lt;="&amp;C18)+SUMIFS('Supply planning data'!G:G,'Supply planning data'!$D:$D,"&lt;="&amp;C18,'Supply planning data'!$C:$C,"Jansen"))/DataViz!$C$4</f>
        <v>2.9492566666666668E-2</v>
      </c>
    </row>
    <row r="19" spans="1:41" x14ac:dyDescent="0.25">
      <c r="A19" s="8" t="str">
        <f>'Supply planning data'!A260</f>
        <v>Anyland</v>
      </c>
      <c r="B19" s="8" t="str">
        <f>'Supply planning data'!B260</f>
        <v>ANY</v>
      </c>
      <c r="C19" s="355">
        <f>'Supply planning data'!D260</f>
        <v>44713</v>
      </c>
      <c r="D19" s="355" t="str">
        <f>'Supply planning data'!E260</f>
        <v>Yes</v>
      </c>
      <c r="E19" s="11">
        <f>SUM('Supply planning data'!F260:F274)</f>
        <v>2169285</v>
      </c>
      <c r="F19" s="11">
        <f>SUM('Supply planning data'!G260:G274)</f>
        <v>0</v>
      </c>
      <c r="G19" s="11">
        <f>SUM('Supply planning data'!H260:H274)</f>
        <v>0</v>
      </c>
      <c r="H19" s="11">
        <f>SUM('Supply planning data'!I260:I274)</f>
        <v>0</v>
      </c>
      <c r="I19" s="11">
        <f>SUM('Supply planning data'!J260:J274)</f>
        <v>0</v>
      </c>
      <c r="J19" s="11">
        <f>SUM('Supply planning data'!K260:K274)</f>
        <v>0</v>
      </c>
      <c r="K19" s="356" t="str">
        <f t="shared" si="0"/>
        <v/>
      </c>
      <c r="L19" s="11">
        <f>SUM('Supply planning data'!M260:M274)</f>
        <v>0</v>
      </c>
      <c r="M19" s="11">
        <f>SUM('Supply planning data'!N260:N274)</f>
        <v>0</v>
      </c>
      <c r="N19" s="11"/>
      <c r="O19" s="11">
        <f>SUM('Supply planning data'!P260:P274)</f>
        <v>0</v>
      </c>
      <c r="P19" s="11"/>
      <c r="Q19" s="11">
        <f>SUM('Supply planning data'!R260:R274)</f>
        <v>0</v>
      </c>
      <c r="R19" s="11">
        <f>SUM('Supply planning data'!S260:S274)</f>
        <v>1000000</v>
      </c>
      <c r="S19" s="11"/>
      <c r="T19" s="11">
        <f>SUM('Supply planning data'!U260:U274)</f>
        <v>0</v>
      </c>
      <c r="U19" s="11">
        <f>SUM('Supply planning data'!V260:V274)</f>
        <v>3169285</v>
      </c>
      <c r="V19" s="394" t="str">
        <f t="shared" si="3"/>
        <v/>
      </c>
      <c r="W19" s="11">
        <f>SUM('Supply planning data'!X260:X274)</f>
        <v>2643986</v>
      </c>
      <c r="X19" s="11">
        <f>SUM('Supply planning data'!Y260:Y274)</f>
        <v>400000</v>
      </c>
      <c r="Y19" s="11"/>
      <c r="Z19" s="11">
        <f>SUM('Supply planning data'!AA260:AA274)</f>
        <v>400000</v>
      </c>
      <c r="AA19" s="11">
        <f>SUM('Supply planning data'!AB260:AB274)</f>
        <v>0</v>
      </c>
      <c r="AB19" s="11"/>
      <c r="AC19" s="11">
        <f>SUM('Supply planning data'!AD260:AD274)</f>
        <v>0</v>
      </c>
      <c r="AD19" s="11">
        <f>SUM('Supply planning data'!AE260:AE274)</f>
        <v>3403986</v>
      </c>
      <c r="AE19" s="11">
        <f t="shared" si="1"/>
        <v>8.5099649999999993</v>
      </c>
      <c r="AF19" s="11">
        <f>SUM('Supply planning data'!AG260:AG274)</f>
        <v>2169285</v>
      </c>
      <c r="AG19" s="11">
        <f>SUM('Supply planning data'!AH260:AH274)</f>
        <v>0</v>
      </c>
      <c r="AH19" s="11"/>
      <c r="AI19" s="11">
        <f>SUM('Supply planning data'!AJ260:AJ274)</f>
        <v>0</v>
      </c>
      <c r="AJ19" s="11">
        <f>SUM('Supply planning data'!AK260:AK274)</f>
        <v>0</v>
      </c>
      <c r="AK19" s="11"/>
      <c r="AL19" s="11">
        <f>SUM('Supply planning data'!AM260:AM274)</f>
        <v>0</v>
      </c>
      <c r="AM19" s="11">
        <f>SUM('Supply planning data'!AN260:AN274)</f>
        <v>3169285</v>
      </c>
      <c r="AN19" s="11" t="e">
        <f t="shared" si="2"/>
        <v>#DIV/0!</v>
      </c>
      <c r="AO19" s="414">
        <f>(SUMIFS('Supply planning data'!H:H,'Supply planning data'!$D:$D,"&lt;="&amp;C19)+SUMIFS('Supply planning data'!G:G,'Supply planning data'!$D:$D,"&lt;="&amp;C19,'Supply planning data'!$C:$C,"Jansen"))/DataViz!$C$4</f>
        <v>2.9492566666666668E-2</v>
      </c>
    </row>
    <row r="20" spans="1:41" x14ac:dyDescent="0.25">
      <c r="A20" s="8" t="str">
        <f>'Supply planning data'!A275</f>
        <v>Anyland</v>
      </c>
      <c r="B20" s="8" t="str">
        <f>'Supply planning data'!B275</f>
        <v>ANY</v>
      </c>
      <c r="C20" s="355">
        <f>'Supply planning data'!D275</f>
        <v>44743</v>
      </c>
      <c r="D20" s="355" t="str">
        <f>'Supply planning data'!E275</f>
        <v>Yes</v>
      </c>
      <c r="E20" s="11">
        <f>SUM('Supply planning data'!F275:F289)</f>
        <v>3169285</v>
      </c>
      <c r="F20" s="11">
        <f>SUM('Supply planning data'!G275:G289)</f>
        <v>0</v>
      </c>
      <c r="G20" s="11">
        <f>SUM('Supply planning data'!H275:H289)</f>
        <v>0</v>
      </c>
      <c r="H20" s="11">
        <f>SUM('Supply planning data'!I275:I289)</f>
        <v>0</v>
      </c>
      <c r="I20" s="11">
        <f>SUM('Supply planning data'!J275:J289)</f>
        <v>0</v>
      </c>
      <c r="J20" s="11">
        <f>SUM('Supply planning data'!K275:K289)</f>
        <v>0</v>
      </c>
      <c r="K20" s="356" t="str">
        <f t="shared" si="0"/>
        <v/>
      </c>
      <c r="L20" s="11">
        <f>SUM('Supply planning data'!M275:M289)</f>
        <v>0</v>
      </c>
      <c r="M20" s="11">
        <f>SUM('Supply planning data'!N275:N289)</f>
        <v>0</v>
      </c>
      <c r="N20" s="11"/>
      <c r="O20" s="11">
        <f>SUM('Supply planning data'!P275:P289)</f>
        <v>0</v>
      </c>
      <c r="P20" s="11"/>
      <c r="Q20" s="11">
        <f>SUM('Supply planning data'!R275:R289)</f>
        <v>0</v>
      </c>
      <c r="R20" s="11">
        <f>SUM('Supply planning data'!S275:S289)</f>
        <v>1000000</v>
      </c>
      <c r="S20" s="11"/>
      <c r="T20" s="11">
        <f>SUM('Supply planning data'!U275:U289)</f>
        <v>110538</v>
      </c>
      <c r="U20" s="11">
        <f>SUM('Supply planning data'!V275:V289)</f>
        <v>4058747</v>
      </c>
      <c r="V20" s="394" t="str">
        <f t="shared" si="3"/>
        <v/>
      </c>
      <c r="W20" s="11">
        <f>SUM('Supply planning data'!X275:X289)</f>
        <v>3403986</v>
      </c>
      <c r="X20" s="11">
        <f>SUM('Supply planning data'!Y275:Y289)</f>
        <v>400000</v>
      </c>
      <c r="Y20" s="11"/>
      <c r="Z20" s="11">
        <f>SUM('Supply planning data'!AA275:AA289)</f>
        <v>400000</v>
      </c>
      <c r="AA20" s="11">
        <f>SUM('Supply planning data'!AB275:AB289)</f>
        <v>0</v>
      </c>
      <c r="AB20" s="11"/>
      <c r="AC20" s="11">
        <f>SUM('Supply planning data'!AD275:AD289)</f>
        <v>0</v>
      </c>
      <c r="AD20" s="11">
        <f>SUM('Supply planning data'!AE275:AE289)</f>
        <v>4053448</v>
      </c>
      <c r="AE20" s="11">
        <f t="shared" si="1"/>
        <v>10.133620000000001</v>
      </c>
      <c r="AF20" s="11">
        <f>SUM('Supply planning data'!AG275:AG289)</f>
        <v>3169285</v>
      </c>
      <c r="AG20" s="11">
        <f>SUM('Supply planning data'!AH275:AH289)</f>
        <v>0</v>
      </c>
      <c r="AH20" s="11"/>
      <c r="AI20" s="11">
        <f>SUM('Supply planning data'!AJ275:AJ289)</f>
        <v>0</v>
      </c>
      <c r="AJ20" s="11">
        <f>SUM('Supply planning data'!AK275:AK289)</f>
        <v>0</v>
      </c>
      <c r="AK20" s="11"/>
      <c r="AL20" s="11">
        <f>SUM('Supply planning data'!AM275:AM289)</f>
        <v>110538</v>
      </c>
      <c r="AM20" s="11">
        <f>SUM('Supply planning data'!AN275:AN289)</f>
        <v>4058747</v>
      </c>
      <c r="AN20" s="11" t="e">
        <f t="shared" si="2"/>
        <v>#DIV/0!</v>
      </c>
      <c r="AO20" s="414">
        <f>(SUMIFS('Supply planning data'!H:H,'Supply planning data'!$D:$D,"&lt;="&amp;C20)+SUMIFS('Supply planning data'!G:G,'Supply planning data'!$D:$D,"&lt;="&amp;C20,'Supply planning data'!$C:$C,"Jansen"))/DataViz!$C$4</f>
        <v>2.9492566666666668E-2</v>
      </c>
    </row>
    <row r="21" spans="1:41" x14ac:dyDescent="0.25">
      <c r="A21" s="8" t="str">
        <f>'Supply planning data'!A290</f>
        <v>Anyland</v>
      </c>
      <c r="B21" s="8" t="str">
        <f>'Supply planning data'!B290</f>
        <v>ANY</v>
      </c>
      <c r="C21" s="355">
        <f>'Supply planning data'!D290</f>
        <v>44774</v>
      </c>
      <c r="D21" s="355" t="str">
        <f>'Supply planning data'!E290</f>
        <v>Yes</v>
      </c>
      <c r="E21" s="11">
        <f>SUM('Supply planning data'!F290:F304)</f>
        <v>4058747</v>
      </c>
      <c r="F21" s="11">
        <f>SUM('Supply planning data'!G290:G304)</f>
        <v>0</v>
      </c>
      <c r="G21" s="11">
        <f>SUM('Supply planning data'!H290:H304)</f>
        <v>0</v>
      </c>
      <c r="H21" s="11">
        <f>SUM('Supply planning data'!I290:I304)</f>
        <v>0</v>
      </c>
      <c r="I21" s="11">
        <f>SUM('Supply planning data'!J290:J304)</f>
        <v>0</v>
      </c>
      <c r="J21" s="11">
        <f>SUM('Supply planning data'!K290:K304)</f>
        <v>0</v>
      </c>
      <c r="K21" s="356" t="str">
        <f t="shared" si="0"/>
        <v/>
      </c>
      <c r="L21" s="11">
        <f>SUM('Supply planning data'!M290:M304)</f>
        <v>0</v>
      </c>
      <c r="M21" s="11">
        <f>SUM('Supply planning data'!N290:N304)</f>
        <v>0</v>
      </c>
      <c r="N21" s="11"/>
      <c r="O21" s="11">
        <f>SUM('Supply planning data'!P290:P304)</f>
        <v>0</v>
      </c>
      <c r="P21" s="11"/>
      <c r="Q21" s="11">
        <f>SUM('Supply planning data'!R290:R304)</f>
        <v>0</v>
      </c>
      <c r="R21" s="11">
        <f>SUM('Supply planning data'!S290:S304)</f>
        <v>1000000</v>
      </c>
      <c r="S21" s="11"/>
      <c r="T21" s="11">
        <f>SUM('Supply planning data'!U290:U304)</f>
        <v>0</v>
      </c>
      <c r="U21" s="11">
        <f>SUM('Supply planning data'!V290:V304)</f>
        <v>5058747</v>
      </c>
      <c r="V21" s="394" t="str">
        <f t="shared" si="3"/>
        <v/>
      </c>
      <c r="W21" s="11">
        <f>SUM('Supply planning data'!X290:X304)</f>
        <v>4053448</v>
      </c>
      <c r="X21" s="11">
        <f>SUM('Supply planning data'!Y290:Y304)</f>
        <v>400000</v>
      </c>
      <c r="Y21" s="11"/>
      <c r="Z21" s="11">
        <f>SUM('Supply planning data'!AA290:AA304)</f>
        <v>400000</v>
      </c>
      <c r="AA21" s="11">
        <f>SUM('Supply planning data'!AB290:AB304)</f>
        <v>0</v>
      </c>
      <c r="AB21" s="11"/>
      <c r="AC21" s="11">
        <f>SUM('Supply planning data'!AD290:AD304)</f>
        <v>0</v>
      </c>
      <c r="AD21" s="11">
        <f>SUM('Supply planning data'!AE290:AE304)</f>
        <v>4813448</v>
      </c>
      <c r="AE21" s="11">
        <f t="shared" si="1"/>
        <v>12.033620000000001</v>
      </c>
      <c r="AF21" s="11">
        <f>SUM('Supply planning data'!AG290:AG304)</f>
        <v>4058747</v>
      </c>
      <c r="AG21" s="11">
        <f>SUM('Supply planning data'!AH290:AH304)</f>
        <v>0</v>
      </c>
      <c r="AH21" s="11"/>
      <c r="AI21" s="11">
        <f>SUM('Supply planning data'!AJ290:AJ304)</f>
        <v>0</v>
      </c>
      <c r="AJ21" s="11">
        <f>SUM('Supply planning data'!AK290:AK304)</f>
        <v>0</v>
      </c>
      <c r="AK21" s="11"/>
      <c r="AL21" s="11">
        <f>SUM('Supply planning data'!AM290:AM304)</f>
        <v>0</v>
      </c>
      <c r="AM21" s="11">
        <f>SUM('Supply planning data'!AN290:AN304)</f>
        <v>5058747</v>
      </c>
      <c r="AN21" s="11" t="e">
        <f t="shared" si="2"/>
        <v>#DIV/0!</v>
      </c>
      <c r="AO21" s="414">
        <f>(SUMIFS('Supply planning data'!H:H,'Supply planning data'!$D:$D,"&lt;="&amp;C21)+SUMIFS('Supply planning data'!G:G,'Supply planning data'!$D:$D,"&lt;="&amp;C21,'Supply planning data'!$C:$C,"Jansen"))/DataViz!$C$4</f>
        <v>2.9492566666666668E-2</v>
      </c>
    </row>
    <row r="22" spans="1:41" x14ac:dyDescent="0.25">
      <c r="A22" s="8" t="str">
        <f>'Supply planning data'!A305</f>
        <v>Anyland</v>
      </c>
      <c r="B22" s="8" t="str">
        <f>'Supply planning data'!B305</f>
        <v>ANY</v>
      </c>
      <c r="C22" s="355">
        <f>'Supply planning data'!D305</f>
        <v>44805</v>
      </c>
      <c r="D22" s="355" t="str">
        <f>'Supply planning data'!E305</f>
        <v>Yes</v>
      </c>
      <c r="E22" s="11">
        <f>SUM('Supply planning data'!F305:F319)</f>
        <v>5058747</v>
      </c>
      <c r="F22" s="11">
        <f>SUM('Supply planning data'!G305:G319)</f>
        <v>0</v>
      </c>
      <c r="G22" s="11">
        <f>SUM('Supply planning data'!H305:H319)</f>
        <v>0</v>
      </c>
      <c r="H22" s="11">
        <f>SUM('Supply planning data'!I305:I319)</f>
        <v>0</v>
      </c>
      <c r="I22" s="11">
        <f>SUM('Supply planning data'!J305:J319)</f>
        <v>0</v>
      </c>
      <c r="J22" s="11">
        <f>SUM('Supply planning data'!K305:K319)</f>
        <v>0</v>
      </c>
      <c r="K22" s="356" t="str">
        <f t="shared" si="0"/>
        <v/>
      </c>
      <c r="L22" s="11">
        <f>SUM('Supply planning data'!M305:M319)</f>
        <v>0</v>
      </c>
      <c r="M22" s="11">
        <f>SUM('Supply planning data'!N305:N319)</f>
        <v>0</v>
      </c>
      <c r="N22" s="11"/>
      <c r="O22" s="11">
        <f>SUM('Supply planning data'!P305:P319)</f>
        <v>0</v>
      </c>
      <c r="P22" s="11"/>
      <c r="Q22" s="11">
        <f>SUM('Supply planning data'!R305:R319)</f>
        <v>0</v>
      </c>
      <c r="R22" s="11">
        <f>SUM('Supply planning data'!S305:S319)</f>
        <v>0</v>
      </c>
      <c r="S22" s="11"/>
      <c r="T22" s="11">
        <f>SUM('Supply planning data'!U305:U319)</f>
        <v>0</v>
      </c>
      <c r="U22" s="11">
        <f>SUM('Supply planning data'!V305:V319)</f>
        <v>5058747</v>
      </c>
      <c r="V22" s="394" t="str">
        <f t="shared" si="3"/>
        <v/>
      </c>
      <c r="W22" s="11">
        <f>SUM('Supply planning data'!X305:X319)</f>
        <v>4813448</v>
      </c>
      <c r="X22" s="11">
        <f>SUM('Supply planning data'!Y305:Y319)</f>
        <v>400000</v>
      </c>
      <c r="Y22" s="11"/>
      <c r="Z22" s="11">
        <f>SUM('Supply planning data'!AA305:AA319)</f>
        <v>400000</v>
      </c>
      <c r="AA22" s="11">
        <f>SUM('Supply planning data'!AB305:AB319)</f>
        <v>0</v>
      </c>
      <c r="AB22" s="11"/>
      <c r="AC22" s="11">
        <f>SUM('Supply planning data'!AD305:AD319)</f>
        <v>0</v>
      </c>
      <c r="AD22" s="11">
        <f>SUM('Supply planning data'!AE305:AE319)</f>
        <v>4573448</v>
      </c>
      <c r="AE22" s="11">
        <f t="shared" si="1"/>
        <v>11.433619999999999</v>
      </c>
      <c r="AF22" s="11">
        <f>SUM('Supply planning data'!AG305:AG319)</f>
        <v>5058747</v>
      </c>
      <c r="AG22" s="11">
        <f>SUM('Supply planning data'!AH305:AH319)</f>
        <v>0</v>
      </c>
      <c r="AH22" s="11"/>
      <c r="AI22" s="11">
        <f>SUM('Supply planning data'!AJ305:AJ319)</f>
        <v>0</v>
      </c>
      <c r="AJ22" s="11">
        <f>SUM('Supply planning data'!AK305:AK319)</f>
        <v>0</v>
      </c>
      <c r="AK22" s="11"/>
      <c r="AL22" s="11">
        <f>SUM('Supply planning data'!AM305:AM319)</f>
        <v>0</v>
      </c>
      <c r="AM22" s="11">
        <f>SUM('Supply planning data'!AN305:AN319)</f>
        <v>5058747</v>
      </c>
      <c r="AN22" s="11" t="e">
        <f t="shared" si="2"/>
        <v>#DIV/0!</v>
      </c>
      <c r="AO22" s="414">
        <f>(SUMIFS('Supply planning data'!H:H,'Supply planning data'!$D:$D,"&lt;="&amp;C22)+SUMIFS('Supply planning data'!G:G,'Supply planning data'!$D:$D,"&lt;="&amp;C22,'Supply planning data'!$C:$C,"Jansen"))/DataViz!$C$4</f>
        <v>2.9492566666666668E-2</v>
      </c>
    </row>
    <row r="23" spans="1:41" x14ac:dyDescent="0.25">
      <c r="A23" s="8" t="str">
        <f>'Supply planning data'!A320</f>
        <v>Anyland</v>
      </c>
      <c r="B23" s="8" t="str">
        <f>'Supply planning data'!B320</f>
        <v>ANY</v>
      </c>
      <c r="C23" s="355">
        <f>'Supply planning data'!D320</f>
        <v>44835</v>
      </c>
      <c r="D23" s="355" t="str">
        <f>'Supply planning data'!E320</f>
        <v>Yes</v>
      </c>
      <c r="E23" s="11">
        <f>SUM('Supply planning data'!F320:F334)</f>
        <v>5058747</v>
      </c>
      <c r="F23" s="11">
        <f>SUM('Supply planning data'!G320:G334)</f>
        <v>0</v>
      </c>
      <c r="G23" s="11">
        <f>SUM('Supply planning data'!H320:H334)</f>
        <v>0</v>
      </c>
      <c r="H23" s="11">
        <f>SUM('Supply planning data'!I320:I334)</f>
        <v>0</v>
      </c>
      <c r="I23" s="11">
        <f>SUM('Supply planning data'!J320:J334)</f>
        <v>0</v>
      </c>
      <c r="J23" s="11">
        <f>SUM('Supply planning data'!K320:K334)</f>
        <v>0</v>
      </c>
      <c r="K23" s="356" t="str">
        <f t="shared" si="0"/>
        <v/>
      </c>
      <c r="L23" s="11">
        <f>SUM('Supply planning data'!M320:M334)</f>
        <v>0</v>
      </c>
      <c r="M23" s="11">
        <f>SUM('Supply planning data'!N320:N334)</f>
        <v>0</v>
      </c>
      <c r="N23" s="11"/>
      <c r="O23" s="11">
        <f>SUM('Supply planning data'!P320:P334)</f>
        <v>0</v>
      </c>
      <c r="P23" s="11"/>
      <c r="Q23" s="11">
        <f>SUM('Supply planning data'!R320:R334)</f>
        <v>0</v>
      </c>
      <c r="R23" s="11">
        <f>SUM('Supply planning data'!S320:S334)</f>
        <v>0</v>
      </c>
      <c r="S23" s="11"/>
      <c r="T23" s="11">
        <f>SUM('Supply planning data'!U320:U334)</f>
        <v>0</v>
      </c>
      <c r="U23" s="11">
        <f>SUM('Supply planning data'!V320:V334)</f>
        <v>5058747</v>
      </c>
      <c r="V23" s="394" t="str">
        <f t="shared" si="3"/>
        <v/>
      </c>
      <c r="W23" s="11">
        <f>SUM('Supply planning data'!X320:X334)</f>
        <v>4573448</v>
      </c>
      <c r="X23" s="11">
        <f>SUM('Supply planning data'!Y320:Y334)</f>
        <v>400000</v>
      </c>
      <c r="Y23" s="11"/>
      <c r="Z23" s="11">
        <f>SUM('Supply planning data'!AA320:AA334)</f>
        <v>400000</v>
      </c>
      <c r="AA23" s="11">
        <f>SUM('Supply planning data'!AB320:AB334)</f>
        <v>0</v>
      </c>
      <c r="AB23" s="11"/>
      <c r="AC23" s="11">
        <f>SUM('Supply planning data'!AD320:AD334)</f>
        <v>0</v>
      </c>
      <c r="AD23" s="11">
        <f>SUM('Supply planning data'!AE320:AE334)</f>
        <v>4333448</v>
      </c>
      <c r="AE23" s="11">
        <f t="shared" si="1"/>
        <v>16.250429999999998</v>
      </c>
      <c r="AF23" s="11">
        <f>SUM('Supply planning data'!AG320:AG334)</f>
        <v>5058747</v>
      </c>
      <c r="AG23" s="11">
        <f>SUM('Supply planning data'!AH320:AH334)</f>
        <v>0</v>
      </c>
      <c r="AH23" s="11"/>
      <c r="AI23" s="11">
        <f>SUM('Supply planning data'!AJ320:AJ334)</f>
        <v>0</v>
      </c>
      <c r="AJ23" s="11">
        <f>SUM('Supply planning data'!AK320:AK334)</f>
        <v>0</v>
      </c>
      <c r="AK23" s="11"/>
      <c r="AL23" s="11">
        <f>SUM('Supply planning data'!AM320:AM334)</f>
        <v>0</v>
      </c>
      <c r="AM23" s="11">
        <f>SUM('Supply planning data'!AN320:AN334)</f>
        <v>5058747</v>
      </c>
      <c r="AN23" s="11" t="e">
        <f t="shared" si="2"/>
        <v>#DIV/0!</v>
      </c>
      <c r="AO23" s="414">
        <f>(SUMIFS('Supply planning data'!H:H,'Supply planning data'!$D:$D,"&lt;="&amp;C23)+SUMIFS('Supply planning data'!G:G,'Supply planning data'!$D:$D,"&lt;="&amp;C23,'Supply planning data'!$C:$C,"Jansen"))/DataViz!$C$4</f>
        <v>2.9492566666666668E-2</v>
      </c>
    </row>
    <row r="24" spans="1:41" x14ac:dyDescent="0.25">
      <c r="A24" s="8" t="str">
        <f>'Supply planning data'!A335</f>
        <v>Anyland</v>
      </c>
      <c r="B24" s="8" t="str">
        <f>'Supply planning data'!B335</f>
        <v>ANY</v>
      </c>
      <c r="C24" s="355">
        <f>'Supply planning data'!D335</f>
        <v>44866</v>
      </c>
      <c r="D24" s="355" t="str">
        <f>'Supply planning data'!E335</f>
        <v>Yes</v>
      </c>
      <c r="E24" s="11">
        <f>SUM('Supply planning data'!F335:F349)</f>
        <v>5058747</v>
      </c>
      <c r="F24" s="11">
        <f>SUM('Supply planning data'!G335:G349)</f>
        <v>0</v>
      </c>
      <c r="G24" s="11">
        <f>SUM('Supply planning data'!H335:H349)</f>
        <v>0</v>
      </c>
      <c r="H24" s="11">
        <f>SUM('Supply planning data'!I335:I349)</f>
        <v>0</v>
      </c>
      <c r="I24" s="11">
        <f>SUM('Supply planning data'!J335:J349)</f>
        <v>0</v>
      </c>
      <c r="J24" s="11">
        <f>SUM('Supply planning data'!K335:K349)</f>
        <v>0</v>
      </c>
      <c r="K24" s="356" t="str">
        <f t="shared" si="0"/>
        <v/>
      </c>
      <c r="L24" s="11">
        <f>SUM('Supply planning data'!M335:M349)</f>
        <v>0</v>
      </c>
      <c r="M24" s="11">
        <f>SUM('Supply planning data'!N335:N349)</f>
        <v>0</v>
      </c>
      <c r="N24" s="11"/>
      <c r="O24" s="11">
        <f>SUM('Supply planning data'!P335:P349)</f>
        <v>0</v>
      </c>
      <c r="P24" s="11"/>
      <c r="Q24" s="11">
        <f>SUM('Supply planning data'!R335:R349)</f>
        <v>200000</v>
      </c>
      <c r="R24" s="11">
        <f>SUM('Supply planning data'!S335:S349)</f>
        <v>0</v>
      </c>
      <c r="S24" s="11"/>
      <c r="T24" s="11">
        <f>SUM('Supply planning data'!U335:U349)</f>
        <v>0</v>
      </c>
      <c r="U24" s="11">
        <f>SUM('Supply planning data'!V335:V349)</f>
        <v>5258747</v>
      </c>
      <c r="V24" s="394" t="str">
        <f t="shared" si="3"/>
        <v/>
      </c>
      <c r="W24" s="11">
        <f>SUM('Supply planning data'!X335:X349)</f>
        <v>4333448</v>
      </c>
      <c r="X24" s="11">
        <f>SUM('Supply planning data'!Y335:Y349)</f>
        <v>400000</v>
      </c>
      <c r="Y24" s="11"/>
      <c r="Z24" s="11">
        <f>SUM('Supply planning data'!AA335:AA349)</f>
        <v>400000</v>
      </c>
      <c r="AA24" s="11">
        <f>SUM('Supply planning data'!AB335:AB349)</f>
        <v>0</v>
      </c>
      <c r="AB24" s="11"/>
      <c r="AC24" s="11">
        <f>SUM('Supply planning data'!AD335:AD349)</f>
        <v>0</v>
      </c>
      <c r="AD24" s="11">
        <f>SUM('Supply planning data'!AE335:AE349)</f>
        <v>4293448</v>
      </c>
      <c r="AE24" s="11">
        <f t="shared" si="1"/>
        <v>32.200859999999999</v>
      </c>
      <c r="AF24" s="11">
        <f>SUM('Supply planning data'!AG335:AG349)</f>
        <v>5058747</v>
      </c>
      <c r="AG24" s="11">
        <f>SUM('Supply planning data'!AH335:AH349)</f>
        <v>0</v>
      </c>
      <c r="AH24" s="11"/>
      <c r="AI24" s="11">
        <f>SUM('Supply planning data'!AJ335:AJ349)</f>
        <v>0</v>
      </c>
      <c r="AJ24" s="11">
        <f>SUM('Supply planning data'!AK335:AK349)</f>
        <v>0</v>
      </c>
      <c r="AK24" s="11"/>
      <c r="AL24" s="11">
        <f>SUM('Supply planning data'!AM335:AM349)</f>
        <v>0</v>
      </c>
      <c r="AM24" s="11">
        <f>SUM('Supply planning data'!AN335:AN349)</f>
        <v>5258747</v>
      </c>
      <c r="AN24" s="11" t="e">
        <f t="shared" si="2"/>
        <v>#DIV/0!</v>
      </c>
      <c r="AO24" s="414">
        <f>(SUMIFS('Supply planning data'!H:H,'Supply planning data'!$D:$D,"&lt;="&amp;C24)+SUMIFS('Supply planning data'!G:G,'Supply planning data'!$D:$D,"&lt;="&amp;C24,'Supply planning data'!$C:$C,"Jansen"))/DataViz!$C$4</f>
        <v>2.9492566666666668E-2</v>
      </c>
    </row>
    <row r="25" spans="1:41" x14ac:dyDescent="0.25">
      <c r="A25" s="8" t="str">
        <f>'Supply planning data'!A350</f>
        <v>Anyland</v>
      </c>
      <c r="B25" s="8" t="str">
        <f>'Supply planning data'!B350</f>
        <v>ANY</v>
      </c>
      <c r="C25" s="355">
        <f>'Supply planning data'!D350</f>
        <v>44896</v>
      </c>
      <c r="D25" s="355" t="str">
        <f>'Supply planning data'!E350</f>
        <v>Yes</v>
      </c>
      <c r="E25" s="11">
        <f>SUM('Supply planning data'!F350:F364)</f>
        <v>5258747</v>
      </c>
      <c r="F25" s="11">
        <f>SUM('Supply planning data'!G350:G364)</f>
        <v>0</v>
      </c>
      <c r="G25" s="11">
        <f>SUM('Supply planning data'!H350:H364)</f>
        <v>0</v>
      </c>
      <c r="H25" s="11">
        <f>SUM('Supply planning data'!I350:I364)</f>
        <v>0</v>
      </c>
      <c r="I25" s="11">
        <f>SUM('Supply planning data'!J350:J364)</f>
        <v>0</v>
      </c>
      <c r="J25" s="11">
        <f>SUM('Supply planning data'!K350:K364)</f>
        <v>0</v>
      </c>
      <c r="K25" s="356" t="str">
        <f t="shared" si="0"/>
        <v/>
      </c>
      <c r="L25" s="11">
        <f>SUM('Supply planning data'!M350:M364)</f>
        <v>0</v>
      </c>
      <c r="M25" s="11">
        <f>SUM('Supply planning data'!N350:N364)</f>
        <v>0</v>
      </c>
      <c r="N25" s="11"/>
      <c r="O25" s="11">
        <f>SUM('Supply planning data'!P350:P364)</f>
        <v>0</v>
      </c>
      <c r="P25" s="11"/>
      <c r="Q25" s="11">
        <f>SUM('Supply planning data'!R350:R364)</f>
        <v>0</v>
      </c>
      <c r="R25" s="11">
        <f>SUM('Supply planning data'!S350:S364)</f>
        <v>0</v>
      </c>
      <c r="S25" s="11"/>
      <c r="T25" s="11">
        <f>SUM('Supply planning data'!U350:U364)</f>
        <v>0</v>
      </c>
      <c r="U25" s="11">
        <f>SUM('Supply planning data'!V350:V364)</f>
        <v>5258747</v>
      </c>
      <c r="V25" s="394" t="str">
        <f t="shared" si="3"/>
        <v/>
      </c>
      <c r="W25" s="11">
        <f>SUM('Supply planning data'!X350:X364)</f>
        <v>4293448</v>
      </c>
      <c r="X25" s="11">
        <f>SUM('Supply planning data'!Y350:Y364)</f>
        <v>0</v>
      </c>
      <c r="Y25" s="11"/>
      <c r="Z25" s="11">
        <f>SUM('Supply planning data'!AA350:AA364)</f>
        <v>0</v>
      </c>
      <c r="AA25" s="11">
        <f>SUM('Supply planning data'!AB350:AB364)</f>
        <v>0</v>
      </c>
      <c r="AB25" s="11"/>
      <c r="AC25" s="11">
        <f>SUM('Supply planning data'!AD350:AD364)</f>
        <v>0</v>
      </c>
      <c r="AD25" s="11">
        <f>SUM('Supply planning data'!AE350:AE364)</f>
        <v>4293448</v>
      </c>
      <c r="AE25" s="11" t="e">
        <f t="shared" si="1"/>
        <v>#DIV/0!</v>
      </c>
      <c r="AF25" s="11">
        <f>SUM('Supply planning data'!AG350:AG364)</f>
        <v>5258747</v>
      </c>
      <c r="AG25" s="11">
        <f>SUM('Supply planning data'!AH350:AH364)</f>
        <v>0</v>
      </c>
      <c r="AH25" s="11"/>
      <c r="AI25" s="11">
        <f>SUM('Supply planning data'!AJ350:AJ364)</f>
        <v>0</v>
      </c>
      <c r="AJ25" s="11">
        <f>SUM('Supply planning data'!AK350:AK364)</f>
        <v>0</v>
      </c>
      <c r="AK25" s="11"/>
      <c r="AL25" s="11">
        <f>SUM('Supply planning data'!AM350:AM364)</f>
        <v>0</v>
      </c>
      <c r="AM25" s="11">
        <f>SUM('Supply planning data'!AN350:AN364)</f>
        <v>5258747</v>
      </c>
      <c r="AN25" s="11" t="e">
        <f t="shared" si="2"/>
        <v>#DIV/0!</v>
      </c>
      <c r="AO25" s="414">
        <f>(SUMIFS('Supply planning data'!H:H,'Supply planning data'!$D:$D,"&lt;="&amp;C25)+SUMIFS('Supply planning data'!G:G,'Supply planning data'!$D:$D,"&lt;="&amp;C25,'Supply planning data'!$C:$C,"Jansen"))/DataViz!$C$4</f>
        <v>2.9492566666666668E-2</v>
      </c>
    </row>
    <row r="26" spans="1:41" x14ac:dyDescent="0.25">
      <c r="A26" s="8" t="str">
        <f>'Supply planning data'!A365</f>
        <v>Anyland</v>
      </c>
      <c r="B26" s="8" t="str">
        <f>'Supply planning data'!B365</f>
        <v>ANY</v>
      </c>
      <c r="C26" s="355">
        <f>'Supply planning data'!D365</f>
        <v>44927</v>
      </c>
      <c r="D26" s="355" t="str">
        <f>'Supply planning data'!E365</f>
        <v>Yes</v>
      </c>
      <c r="E26" s="11">
        <f>SUM('Supply planning data'!F365:F379)</f>
        <v>5258747</v>
      </c>
      <c r="F26" s="11">
        <f>SUM('Supply planning data'!G365:G379)</f>
        <v>0</v>
      </c>
      <c r="G26" s="11">
        <f>SUM('Supply planning data'!H365:H379)</f>
        <v>0</v>
      </c>
      <c r="H26" s="11">
        <f>SUM('Supply planning data'!I365:I379)</f>
        <v>0</v>
      </c>
      <c r="I26" s="11">
        <f>SUM('Supply planning data'!J365:J379)</f>
        <v>0</v>
      </c>
      <c r="J26" s="11">
        <f>SUM('Supply planning data'!K365:K379)</f>
        <v>0</v>
      </c>
      <c r="K26" s="356" t="str">
        <f t="shared" si="0"/>
        <v/>
      </c>
      <c r="L26" s="11">
        <f>SUM('Supply planning data'!M365:M379)</f>
        <v>0</v>
      </c>
      <c r="M26" s="11">
        <f>SUM('Supply planning data'!N365:N379)</f>
        <v>0</v>
      </c>
      <c r="N26" s="11"/>
      <c r="O26" s="11">
        <f>SUM('Supply planning data'!P365:P379)</f>
        <v>0</v>
      </c>
      <c r="P26" s="11"/>
      <c r="Q26" s="11">
        <f>SUM('Supply planning data'!R365:R379)</f>
        <v>0</v>
      </c>
      <c r="R26" s="11">
        <f>SUM('Supply planning data'!S365:S379)</f>
        <v>0</v>
      </c>
      <c r="S26" s="11"/>
      <c r="T26" s="11">
        <f>SUM('Supply planning data'!U365:U379)</f>
        <v>0</v>
      </c>
      <c r="U26" s="11">
        <f>SUM('Supply planning data'!V365:V379)</f>
        <v>5258747</v>
      </c>
      <c r="V26" s="394" t="str">
        <f t="shared" si="3"/>
        <v/>
      </c>
      <c r="W26" s="11">
        <f>SUM('Supply planning data'!X365:X379)</f>
        <v>4293448</v>
      </c>
      <c r="X26" s="11">
        <f>SUM('Supply planning data'!Y365:Y379)</f>
        <v>0</v>
      </c>
      <c r="Y26" s="11"/>
      <c r="Z26" s="11">
        <f>SUM('Supply planning data'!AA365:AA379)</f>
        <v>0</v>
      </c>
      <c r="AA26" s="11">
        <f>SUM('Supply planning data'!AB365:AB379)</f>
        <v>0</v>
      </c>
      <c r="AB26" s="11"/>
      <c r="AC26" s="11">
        <f>SUM('Supply planning data'!AD365:AD379)</f>
        <v>0</v>
      </c>
      <c r="AD26" s="11">
        <f>SUM('Supply planning data'!AE365:AE379)</f>
        <v>4293448</v>
      </c>
      <c r="AE26" s="11" t="e">
        <f t="shared" si="1"/>
        <v>#DIV/0!</v>
      </c>
      <c r="AF26" s="11">
        <f>SUM('Supply planning data'!AG365:AG379)</f>
        <v>5258747</v>
      </c>
      <c r="AG26" s="11">
        <f>SUM('Supply planning data'!AH365:AH379)</f>
        <v>0</v>
      </c>
      <c r="AH26" s="11"/>
      <c r="AI26" s="11">
        <f>SUM('Supply planning data'!AJ365:AJ379)</f>
        <v>0</v>
      </c>
      <c r="AJ26" s="11">
        <f>SUM('Supply planning data'!AK365:AK379)</f>
        <v>0</v>
      </c>
      <c r="AK26" s="11"/>
      <c r="AL26" s="11">
        <f>SUM('Supply planning data'!AM365:AM379)</f>
        <v>0</v>
      </c>
      <c r="AM26" s="11">
        <f>SUM('Supply planning data'!AN365:AN379)</f>
        <v>5258747</v>
      </c>
      <c r="AN26" s="11" t="e">
        <f t="shared" si="2"/>
        <v>#DIV/0!</v>
      </c>
      <c r="AO26" s="414">
        <f>(SUMIFS('Supply planning data'!H:H,'Supply planning data'!$D:$D,"&lt;="&amp;C26)+SUMIFS('Supply planning data'!G:G,'Supply planning data'!$D:$D,"&lt;="&amp;C26,'Supply planning data'!$C:$C,"Jansen"))/DataViz!$C$4</f>
        <v>2.9492566666666668E-2</v>
      </c>
    </row>
    <row r="27" spans="1:41" x14ac:dyDescent="0.25">
      <c r="A27" s="8" t="str">
        <f>'Supply planning data'!A380</f>
        <v>Anyland</v>
      </c>
      <c r="B27" s="8" t="str">
        <f>'Supply planning data'!B380</f>
        <v>ANY</v>
      </c>
      <c r="C27" s="355">
        <f>'Supply planning data'!D380</f>
        <v>44958</v>
      </c>
      <c r="D27" s="355" t="str">
        <f>'Supply planning data'!E380</f>
        <v>Yes</v>
      </c>
      <c r="E27" s="11">
        <f>SUM('Supply planning data'!F380:F394)</f>
        <v>5258747</v>
      </c>
      <c r="F27" s="11">
        <f>SUM('Supply planning data'!G380:G394)</f>
        <v>0</v>
      </c>
      <c r="G27" s="11">
        <f>SUM('Supply planning data'!H380:H394)</f>
        <v>0</v>
      </c>
      <c r="H27" s="11">
        <f>SUM('Supply planning data'!I380:I394)</f>
        <v>0</v>
      </c>
      <c r="I27" s="11">
        <f>SUM('Supply planning data'!J380:J394)</f>
        <v>0</v>
      </c>
      <c r="J27" s="11">
        <f>SUM('Supply planning data'!K380:K394)</f>
        <v>0</v>
      </c>
      <c r="K27" s="356" t="str">
        <f t="shared" si="0"/>
        <v/>
      </c>
      <c r="L27" s="11">
        <f>SUM('Supply planning data'!M380:M394)</f>
        <v>0</v>
      </c>
      <c r="M27" s="11">
        <f>SUM('Supply planning data'!N380:N394)</f>
        <v>0</v>
      </c>
      <c r="N27" s="11"/>
      <c r="O27" s="11">
        <f>SUM('Supply planning data'!P380:P394)</f>
        <v>0</v>
      </c>
      <c r="P27" s="11"/>
      <c r="Q27" s="11">
        <f>SUM('Supply planning data'!R380:R394)</f>
        <v>0</v>
      </c>
      <c r="R27" s="11">
        <f>SUM('Supply planning data'!S380:S394)</f>
        <v>0</v>
      </c>
      <c r="S27" s="11"/>
      <c r="T27" s="11">
        <f>SUM('Supply planning data'!U380:U394)</f>
        <v>0</v>
      </c>
      <c r="U27" s="11">
        <f>SUM('Supply planning data'!V380:V394)</f>
        <v>5258747</v>
      </c>
      <c r="V27" s="394" t="str">
        <f t="shared" si="3"/>
        <v/>
      </c>
      <c r="W27" s="11">
        <f>SUM('Supply planning data'!X380:X394)</f>
        <v>4293448</v>
      </c>
      <c r="X27" s="11">
        <f>SUM('Supply planning data'!Y380:Y394)</f>
        <v>0</v>
      </c>
      <c r="Y27" s="11"/>
      <c r="Z27" s="11">
        <f>SUM('Supply planning data'!AA380:AA394)</f>
        <v>0</v>
      </c>
      <c r="AA27" s="11">
        <f>SUM('Supply planning data'!AB380:AB394)</f>
        <v>0</v>
      </c>
      <c r="AB27" s="11"/>
      <c r="AC27" s="11">
        <f>SUM('Supply planning data'!AD380:AD394)</f>
        <v>0</v>
      </c>
      <c r="AD27" s="11">
        <f>SUM('Supply planning data'!AE380:AE394)</f>
        <v>4293448</v>
      </c>
      <c r="AE27" s="11" t="e">
        <f t="shared" si="1"/>
        <v>#DIV/0!</v>
      </c>
      <c r="AF27" s="11">
        <f>SUM('Supply planning data'!AG380:AG394)</f>
        <v>5258747</v>
      </c>
      <c r="AG27" s="11">
        <f>SUM('Supply planning data'!AH380:AH394)</f>
        <v>0</v>
      </c>
      <c r="AH27" s="11"/>
      <c r="AI27" s="11">
        <f>SUM('Supply planning data'!AJ380:AJ394)</f>
        <v>0</v>
      </c>
      <c r="AJ27" s="11">
        <f>SUM('Supply planning data'!AK380:AK394)</f>
        <v>0</v>
      </c>
      <c r="AK27" s="11"/>
      <c r="AL27" s="11">
        <f>SUM('Supply planning data'!AM380:AM394)</f>
        <v>0</v>
      </c>
      <c r="AM27" s="11">
        <f>SUM('Supply planning data'!AN380:AN394)</f>
        <v>5258747</v>
      </c>
      <c r="AN27" s="11" t="e">
        <f t="shared" si="2"/>
        <v>#DIV/0!</v>
      </c>
      <c r="AO27" s="414">
        <f>(SUMIFS('Supply planning data'!H:H,'Supply planning data'!$D:$D,"&lt;="&amp;C27)+SUMIFS('Supply planning data'!G:G,'Supply planning data'!$D:$D,"&lt;="&amp;C27,'Supply planning data'!$C:$C,"Jansen"))/DataViz!$C$4</f>
        <v>2.9492566666666668E-2</v>
      </c>
    </row>
    <row r="28" spans="1:41" x14ac:dyDescent="0.25">
      <c r="A28" s="8" t="str">
        <f>'Supply planning data'!A395</f>
        <v>Anyland</v>
      </c>
      <c r="B28" s="8" t="str">
        <f>'Supply planning data'!B395</f>
        <v>ANY</v>
      </c>
      <c r="C28" s="355">
        <f>'Supply planning data'!D395</f>
        <v>44986</v>
      </c>
      <c r="D28" s="355" t="str">
        <f>'Supply planning data'!E395</f>
        <v>Yes</v>
      </c>
      <c r="E28" s="11">
        <f>SUM('Supply planning data'!F395:F409)</f>
        <v>5258747</v>
      </c>
      <c r="F28" s="11">
        <f>SUM('Supply planning data'!G395:G409)</f>
        <v>0</v>
      </c>
      <c r="G28" s="11">
        <f>SUM('Supply planning data'!H395:H409)</f>
        <v>0</v>
      </c>
      <c r="H28" s="11">
        <f>SUM('Supply planning data'!I395:I409)</f>
        <v>0</v>
      </c>
      <c r="I28" s="11">
        <f>SUM('Supply planning data'!J395:J409)</f>
        <v>0</v>
      </c>
      <c r="J28" s="11">
        <f>SUM('Supply planning data'!K395:K409)</f>
        <v>0</v>
      </c>
      <c r="K28" s="356" t="str">
        <f t="shared" si="0"/>
        <v/>
      </c>
      <c r="L28" s="11">
        <f>SUM('Supply planning data'!M395:M409)</f>
        <v>0</v>
      </c>
      <c r="M28" s="11">
        <f>SUM('Supply planning data'!N395:N409)</f>
        <v>0</v>
      </c>
      <c r="N28" s="11"/>
      <c r="O28" s="11">
        <f>SUM('Supply planning data'!P395:P409)</f>
        <v>0</v>
      </c>
      <c r="P28" s="11"/>
      <c r="Q28" s="11">
        <f>SUM('Supply planning data'!R395:R409)</f>
        <v>0</v>
      </c>
      <c r="R28" s="11">
        <f>SUM('Supply planning data'!S395:S409)</f>
        <v>0</v>
      </c>
      <c r="S28" s="11"/>
      <c r="T28" s="11">
        <f>SUM('Supply planning data'!U395:U409)</f>
        <v>0</v>
      </c>
      <c r="U28" s="11">
        <f>SUM('Supply planning data'!V395:V409)</f>
        <v>5258747</v>
      </c>
      <c r="V28" s="394" t="str">
        <f t="shared" si="3"/>
        <v/>
      </c>
      <c r="W28" s="11">
        <f>SUM('Supply planning data'!X395:X409)</f>
        <v>4293448</v>
      </c>
      <c r="X28" s="11">
        <f>SUM('Supply planning data'!Y395:Y409)</f>
        <v>0</v>
      </c>
      <c r="Y28" s="11"/>
      <c r="Z28" s="11">
        <f>SUM('Supply planning data'!AA395:AA409)</f>
        <v>0</v>
      </c>
      <c r="AA28" s="11">
        <f>SUM('Supply planning data'!AB395:AB409)</f>
        <v>0</v>
      </c>
      <c r="AB28" s="11"/>
      <c r="AC28" s="11">
        <f>SUM('Supply planning data'!AD395:AD409)</f>
        <v>0</v>
      </c>
      <c r="AD28" s="11">
        <f>SUM('Supply planning data'!AE395:AE409)</f>
        <v>4293448</v>
      </c>
      <c r="AE28" s="11" t="e">
        <f t="shared" si="1"/>
        <v>#DIV/0!</v>
      </c>
      <c r="AF28" s="11">
        <f>SUM('Supply planning data'!AG395:AG409)</f>
        <v>5258747</v>
      </c>
      <c r="AG28" s="11">
        <f>SUM('Supply planning data'!AH395:AH409)</f>
        <v>0</v>
      </c>
      <c r="AH28" s="11"/>
      <c r="AI28" s="11">
        <f>SUM('Supply planning data'!AJ395:AJ409)</f>
        <v>0</v>
      </c>
      <c r="AJ28" s="11">
        <f>SUM('Supply planning data'!AK395:AK409)</f>
        <v>0</v>
      </c>
      <c r="AK28" s="11"/>
      <c r="AL28" s="11">
        <f>SUM('Supply planning data'!AM395:AM409)</f>
        <v>0</v>
      </c>
      <c r="AM28" s="11">
        <f>SUM('Supply planning data'!AN395:AN409)</f>
        <v>5258747</v>
      </c>
      <c r="AN28" s="11" t="e">
        <f t="shared" si="2"/>
        <v>#DIV/0!</v>
      </c>
      <c r="AO28" s="414">
        <f>(SUMIFS('Supply planning data'!H:H,'Supply planning data'!$D:$D,"&lt;="&amp;C28)+SUMIFS('Supply planning data'!G:G,'Supply planning data'!$D:$D,"&lt;="&amp;C28,'Supply planning data'!$C:$C,"Jansen"))/DataViz!$C$4</f>
        <v>2.9492566666666668E-2</v>
      </c>
    </row>
    <row r="29" spans="1:41" x14ac:dyDescent="0.25">
      <c r="A29" s="8" t="str">
        <f>'Supply planning data'!A410</f>
        <v>Anyland</v>
      </c>
      <c r="B29" s="8" t="str">
        <f>'Supply planning data'!B410</f>
        <v>ANY</v>
      </c>
      <c r="C29" s="355">
        <f>'Supply planning data'!D410</f>
        <v>45017</v>
      </c>
      <c r="D29" s="355" t="str">
        <f>'Supply planning data'!E410</f>
        <v>Yes</v>
      </c>
      <c r="E29" s="11">
        <f>SUM('Supply planning data'!F410:F424)</f>
        <v>5258747</v>
      </c>
      <c r="F29" s="11">
        <f>SUM('Supply planning data'!G410:G424)</f>
        <v>0</v>
      </c>
      <c r="G29" s="11">
        <f>SUM('Supply planning data'!H410:H424)</f>
        <v>0</v>
      </c>
      <c r="H29" s="11">
        <f>SUM('Supply planning data'!I410:I424)</f>
        <v>0</v>
      </c>
      <c r="I29" s="11">
        <f>SUM('Supply planning data'!J410:J424)</f>
        <v>0</v>
      </c>
      <c r="J29" s="11">
        <f>SUM('Supply planning data'!K410:K424)</f>
        <v>0</v>
      </c>
      <c r="K29" s="356" t="str">
        <f t="shared" si="0"/>
        <v/>
      </c>
      <c r="L29" s="11">
        <f>SUM('Supply planning data'!M410:M424)</f>
        <v>0</v>
      </c>
      <c r="M29" s="11">
        <f>SUM('Supply planning data'!N410:N424)</f>
        <v>0</v>
      </c>
      <c r="N29" s="11"/>
      <c r="O29" s="11">
        <f>SUM('Supply planning data'!P410:P424)</f>
        <v>0</v>
      </c>
      <c r="P29" s="11"/>
      <c r="Q29" s="11">
        <f>SUM('Supply planning data'!R410:R424)</f>
        <v>0</v>
      </c>
      <c r="R29" s="11">
        <f>SUM('Supply planning data'!S410:S424)</f>
        <v>0</v>
      </c>
      <c r="S29" s="11"/>
      <c r="T29" s="11">
        <f>SUM('Supply planning data'!U410:U424)</f>
        <v>0</v>
      </c>
      <c r="U29" s="11">
        <f>SUM('Supply planning data'!V410:V424)</f>
        <v>5258747</v>
      </c>
      <c r="V29" s="394" t="str">
        <f t="shared" si="3"/>
        <v/>
      </c>
      <c r="W29" s="11">
        <f>SUM('Supply planning data'!X410:X424)</f>
        <v>4293448</v>
      </c>
      <c r="X29" s="11">
        <f>SUM('Supply planning data'!Y410:Y424)</f>
        <v>0</v>
      </c>
      <c r="Y29" s="11"/>
      <c r="Z29" s="11">
        <f>SUM('Supply planning data'!AA410:AA424)</f>
        <v>0</v>
      </c>
      <c r="AA29" s="11">
        <f>SUM('Supply planning data'!AB410:AB424)</f>
        <v>0</v>
      </c>
      <c r="AB29" s="11"/>
      <c r="AC29" s="11">
        <f>SUM('Supply planning data'!AD410:AD424)</f>
        <v>0</v>
      </c>
      <c r="AD29" s="11">
        <f>SUM('Supply planning data'!AE410:AE424)</f>
        <v>4293448</v>
      </c>
      <c r="AE29" s="11" t="e">
        <f t="shared" si="1"/>
        <v>#DIV/0!</v>
      </c>
      <c r="AF29" s="11">
        <f>SUM('Supply planning data'!AG410:AG424)</f>
        <v>5258747</v>
      </c>
      <c r="AG29" s="11">
        <f>SUM('Supply planning data'!AH410:AH424)</f>
        <v>0</v>
      </c>
      <c r="AH29" s="11"/>
      <c r="AI29" s="11">
        <f>SUM('Supply planning data'!AJ410:AJ424)</f>
        <v>0</v>
      </c>
      <c r="AJ29" s="11">
        <f>SUM('Supply planning data'!AK410:AK424)</f>
        <v>0</v>
      </c>
      <c r="AK29" s="11"/>
      <c r="AL29" s="11">
        <f>SUM('Supply planning data'!AM410:AM424)</f>
        <v>0</v>
      </c>
      <c r="AM29" s="11">
        <f>SUM('Supply planning data'!AN410:AN424)</f>
        <v>5258747</v>
      </c>
      <c r="AN29" s="11" t="e">
        <f t="shared" si="2"/>
        <v>#DIV/0!</v>
      </c>
      <c r="AO29" s="414">
        <f>(SUMIFS('Supply planning data'!H:H,'Supply planning data'!$D:$D,"&lt;="&amp;C29)+SUMIFS('Supply planning data'!G:G,'Supply planning data'!$D:$D,"&lt;="&amp;C29,'Supply planning data'!$C:$C,"Jansen"))/DataViz!$C$4</f>
        <v>2.9492566666666668E-2</v>
      </c>
    </row>
    <row r="30" spans="1:41" x14ac:dyDescent="0.25">
      <c r="A30" s="8" t="str">
        <f>'Supply planning data'!A425</f>
        <v>Anyland</v>
      </c>
      <c r="B30" s="8" t="str">
        <f>'Supply planning data'!B425</f>
        <v>ANY</v>
      </c>
      <c r="C30" s="355">
        <f>'Supply planning data'!D425</f>
        <v>45047</v>
      </c>
      <c r="D30" s="355" t="str">
        <f>'Supply planning data'!E425</f>
        <v>Yes</v>
      </c>
      <c r="E30" s="11">
        <f>SUM('Supply planning data'!F425:F439)</f>
        <v>5258747</v>
      </c>
      <c r="F30" s="11">
        <f>SUM('Supply planning data'!G425:G439)</f>
        <v>0</v>
      </c>
      <c r="G30" s="11">
        <f>SUM('Supply planning data'!H425:H439)</f>
        <v>0</v>
      </c>
      <c r="H30" s="11">
        <f>SUM('Supply planning data'!I425:I439)</f>
        <v>0</v>
      </c>
      <c r="I30" s="11">
        <f>SUM('Supply planning data'!J425:J439)</f>
        <v>0</v>
      </c>
      <c r="J30" s="11">
        <f>SUM('Supply planning data'!K425:K439)</f>
        <v>0</v>
      </c>
      <c r="K30" s="356" t="str">
        <f t="shared" si="0"/>
        <v/>
      </c>
      <c r="L30" s="11">
        <f>SUM('Supply planning data'!M425:M439)</f>
        <v>0</v>
      </c>
      <c r="M30" s="11">
        <f>SUM('Supply planning data'!N425:N439)</f>
        <v>0</v>
      </c>
      <c r="N30" s="11"/>
      <c r="O30" s="11">
        <f>SUM('Supply planning data'!P425:P439)</f>
        <v>0</v>
      </c>
      <c r="P30" s="11"/>
      <c r="Q30" s="11">
        <f>SUM('Supply planning data'!R425:R439)</f>
        <v>0</v>
      </c>
      <c r="R30" s="11">
        <f>SUM('Supply planning data'!S425:S439)</f>
        <v>0</v>
      </c>
      <c r="S30" s="11"/>
      <c r="T30" s="11">
        <f>SUM('Supply planning data'!U425:U439)</f>
        <v>0</v>
      </c>
      <c r="U30" s="11">
        <f>SUM('Supply planning data'!V425:V439)</f>
        <v>5258747</v>
      </c>
      <c r="V30" s="394" t="str">
        <f t="shared" si="3"/>
        <v/>
      </c>
      <c r="W30" s="11">
        <f>SUM('Supply planning data'!X425:X439)</f>
        <v>4293448</v>
      </c>
      <c r="X30" s="11">
        <f>SUM('Supply planning data'!Y425:Y439)</f>
        <v>0</v>
      </c>
      <c r="Y30" s="11"/>
      <c r="Z30" s="11">
        <f>SUM('Supply planning data'!AA425:AA439)</f>
        <v>0</v>
      </c>
      <c r="AA30" s="11">
        <f>SUM('Supply planning data'!AB425:AB439)</f>
        <v>0</v>
      </c>
      <c r="AB30" s="11"/>
      <c r="AC30" s="11">
        <f>SUM('Supply planning data'!AD425:AD439)</f>
        <v>0</v>
      </c>
      <c r="AD30" s="11">
        <f>SUM('Supply planning data'!AE425:AE439)</f>
        <v>4293448</v>
      </c>
      <c r="AE30" s="11" t="e">
        <f t="shared" si="1"/>
        <v>#DIV/0!</v>
      </c>
      <c r="AF30" s="11">
        <f>SUM('Supply planning data'!AG425:AG439)</f>
        <v>5258747</v>
      </c>
      <c r="AG30" s="11">
        <f>SUM('Supply planning data'!AH425:AH439)</f>
        <v>0</v>
      </c>
      <c r="AH30" s="11"/>
      <c r="AI30" s="11">
        <f>SUM('Supply planning data'!AJ425:AJ439)</f>
        <v>0</v>
      </c>
      <c r="AJ30" s="11">
        <f>SUM('Supply planning data'!AK425:AK439)</f>
        <v>0</v>
      </c>
      <c r="AK30" s="11"/>
      <c r="AL30" s="11">
        <f>SUM('Supply planning data'!AM425:AM439)</f>
        <v>0</v>
      </c>
      <c r="AM30" s="11">
        <f>SUM('Supply planning data'!AN425:AN439)</f>
        <v>5258747</v>
      </c>
      <c r="AN30" s="11" t="e">
        <f t="shared" si="2"/>
        <v>#DIV/0!</v>
      </c>
      <c r="AO30" s="414">
        <f>(SUMIFS('Supply planning data'!H:H,'Supply planning data'!$D:$D,"&lt;="&amp;C30)+SUMIFS('Supply planning data'!G:G,'Supply planning data'!$D:$D,"&lt;="&amp;C30,'Supply planning data'!$C:$C,"Jansen"))/DataViz!$C$4</f>
        <v>2.9492566666666668E-2</v>
      </c>
    </row>
    <row r="31" spans="1:41" x14ac:dyDescent="0.25">
      <c r="A31" s="8" t="str">
        <f>'Supply planning data'!A440</f>
        <v>Anyland</v>
      </c>
      <c r="B31" s="8" t="str">
        <f>'Supply planning data'!B440</f>
        <v>ANY</v>
      </c>
      <c r="C31" s="355">
        <f>'Supply planning data'!D440</f>
        <v>45078</v>
      </c>
      <c r="D31" s="355" t="str">
        <f>'Supply planning data'!E440</f>
        <v>Yes</v>
      </c>
      <c r="E31" s="11">
        <f>SUM('Supply planning data'!F440:F454)</f>
        <v>5258747</v>
      </c>
      <c r="F31" s="11">
        <f>SUM('Supply planning data'!G440:G454)</f>
        <v>0</v>
      </c>
      <c r="G31" s="11">
        <f>SUM('Supply planning data'!H440:H454)</f>
        <v>0</v>
      </c>
      <c r="H31" s="11">
        <f>SUM('Supply planning data'!I440:I454)</f>
        <v>0</v>
      </c>
      <c r="I31" s="11">
        <f>SUM('Supply planning data'!J440:J454)</f>
        <v>0</v>
      </c>
      <c r="J31" s="11">
        <f>SUM('Supply planning data'!K440:K454)</f>
        <v>0</v>
      </c>
      <c r="K31" s="356" t="str">
        <f t="shared" si="0"/>
        <v/>
      </c>
      <c r="L31" s="11">
        <f>SUM('Supply planning data'!M440:M454)</f>
        <v>0</v>
      </c>
      <c r="M31" s="11">
        <f>SUM('Supply planning data'!N440:N454)</f>
        <v>0</v>
      </c>
      <c r="N31" s="11"/>
      <c r="O31" s="11">
        <f>SUM('Supply planning data'!P440:P454)</f>
        <v>0</v>
      </c>
      <c r="P31" s="11"/>
      <c r="Q31" s="11">
        <f>SUM('Supply planning data'!R440:R454)</f>
        <v>0</v>
      </c>
      <c r="R31" s="11">
        <f>SUM('Supply planning data'!S440:S454)</f>
        <v>0</v>
      </c>
      <c r="S31" s="11"/>
      <c r="T31" s="11">
        <f>SUM('Supply planning data'!U440:U454)</f>
        <v>0</v>
      </c>
      <c r="U31" s="11">
        <f>SUM('Supply planning data'!V440:V454)</f>
        <v>5258747</v>
      </c>
      <c r="V31" s="394" t="str">
        <f t="shared" si="3"/>
        <v/>
      </c>
      <c r="W31" s="11">
        <f>SUM('Supply planning data'!X440:X454)</f>
        <v>4293448</v>
      </c>
      <c r="X31" s="11">
        <f>SUM('Supply planning data'!Y440:Y454)</f>
        <v>0</v>
      </c>
      <c r="Y31" s="11"/>
      <c r="Z31" s="11">
        <f>SUM('Supply planning data'!AA440:AA454)</f>
        <v>0</v>
      </c>
      <c r="AA31" s="11">
        <f>SUM('Supply planning data'!AB440:AB454)</f>
        <v>0</v>
      </c>
      <c r="AB31" s="11"/>
      <c r="AC31" s="11">
        <f>SUM('Supply planning data'!AD440:AD454)</f>
        <v>0</v>
      </c>
      <c r="AD31" s="11">
        <f>SUM('Supply planning data'!AE440:AE454)</f>
        <v>4293448</v>
      </c>
      <c r="AE31" s="11" t="e">
        <f t="shared" si="1"/>
        <v>#DIV/0!</v>
      </c>
      <c r="AF31" s="11">
        <f>SUM('Supply planning data'!AG440:AG454)</f>
        <v>5258747</v>
      </c>
      <c r="AG31" s="11">
        <f>SUM('Supply planning data'!AH440:AH454)</f>
        <v>0</v>
      </c>
      <c r="AH31" s="11"/>
      <c r="AI31" s="11">
        <f>SUM('Supply planning data'!AJ440:AJ454)</f>
        <v>0</v>
      </c>
      <c r="AJ31" s="11">
        <f>SUM('Supply planning data'!AK440:AK454)</f>
        <v>0</v>
      </c>
      <c r="AK31" s="11"/>
      <c r="AL31" s="11">
        <f>SUM('Supply planning data'!AM440:AM454)</f>
        <v>0</v>
      </c>
      <c r="AM31" s="11">
        <f>SUM('Supply planning data'!AN440:AN454)</f>
        <v>5258747</v>
      </c>
      <c r="AN31" s="11" t="e">
        <f t="shared" si="2"/>
        <v>#DIV/0!</v>
      </c>
      <c r="AO31" s="414">
        <f>(SUMIFS('Supply planning data'!H:H,'Supply planning data'!$D:$D,"&lt;="&amp;C31)+SUMIFS('Supply planning data'!G:G,'Supply planning data'!$D:$D,"&lt;="&amp;C31,'Supply planning data'!$C:$C,"Jansen"))/DataViz!$C$4</f>
        <v>2.9492566666666668E-2</v>
      </c>
    </row>
    <row r="32" spans="1:41" x14ac:dyDescent="0.25">
      <c r="A32" s="8" t="str">
        <f>'Supply planning data'!A455</f>
        <v>Anyland</v>
      </c>
      <c r="B32" s="8" t="str">
        <f>'Supply planning data'!B455</f>
        <v>ANY</v>
      </c>
      <c r="C32" s="355">
        <f>'Supply planning data'!D455</f>
        <v>45108</v>
      </c>
      <c r="D32" s="355" t="str">
        <f>'Supply planning data'!E455</f>
        <v>Yes</v>
      </c>
      <c r="E32" s="11">
        <f>SUM('Supply planning data'!F455:F469)</f>
        <v>5258747</v>
      </c>
      <c r="F32" s="11">
        <f>SUM('Supply planning data'!G455:G469)</f>
        <v>0</v>
      </c>
      <c r="G32" s="11">
        <f>SUM('Supply planning data'!H455:H469)</f>
        <v>0</v>
      </c>
      <c r="H32" s="11">
        <f>SUM('Supply planning data'!I455:I469)</f>
        <v>0</v>
      </c>
      <c r="I32" s="11">
        <f>SUM('Supply planning data'!J455:J469)</f>
        <v>0</v>
      </c>
      <c r="J32" s="11">
        <f>SUM('Supply planning data'!K455:K469)</f>
        <v>0</v>
      </c>
      <c r="K32" s="356" t="str">
        <f t="shared" si="0"/>
        <v/>
      </c>
      <c r="L32" s="11">
        <f>SUM('Supply planning data'!M455:M469)</f>
        <v>0</v>
      </c>
      <c r="M32" s="11">
        <f>SUM('Supply planning data'!N455:N469)</f>
        <v>0</v>
      </c>
      <c r="N32" s="11"/>
      <c r="O32" s="11">
        <f>SUM('Supply planning data'!P455:P469)</f>
        <v>0</v>
      </c>
      <c r="P32" s="11"/>
      <c r="Q32" s="11">
        <f>SUM('Supply planning data'!R455:R469)</f>
        <v>0</v>
      </c>
      <c r="R32" s="11">
        <f>SUM('Supply planning data'!S455:S469)</f>
        <v>0</v>
      </c>
      <c r="S32" s="11"/>
      <c r="T32" s="11">
        <f>SUM('Supply planning data'!U455:U469)</f>
        <v>0</v>
      </c>
      <c r="U32" s="11">
        <f>SUM('Supply planning data'!V455:V469)</f>
        <v>5258747</v>
      </c>
      <c r="V32" s="394" t="str">
        <f t="shared" si="3"/>
        <v/>
      </c>
      <c r="W32" s="11">
        <f>SUM('Supply planning data'!X455:X469)</f>
        <v>4293448</v>
      </c>
      <c r="X32" s="11">
        <f>SUM('Supply planning data'!Y455:Y469)</f>
        <v>0</v>
      </c>
      <c r="Y32" s="11"/>
      <c r="Z32" s="11">
        <f>SUM('Supply planning data'!AA455:AA469)</f>
        <v>0</v>
      </c>
      <c r="AA32" s="11">
        <f>SUM('Supply planning data'!AB455:AB469)</f>
        <v>0</v>
      </c>
      <c r="AB32" s="11"/>
      <c r="AC32" s="11">
        <f>SUM('Supply planning data'!AD455:AD469)</f>
        <v>0</v>
      </c>
      <c r="AD32" s="11">
        <f>SUM('Supply planning data'!AE455:AE469)</f>
        <v>4293448</v>
      </c>
      <c r="AE32" s="11" t="e">
        <f t="shared" si="1"/>
        <v>#DIV/0!</v>
      </c>
      <c r="AF32" s="11">
        <f>SUM('Supply planning data'!AG455:AG469)</f>
        <v>5258747</v>
      </c>
      <c r="AG32" s="11">
        <f>SUM('Supply planning data'!AH455:AH469)</f>
        <v>0</v>
      </c>
      <c r="AH32" s="11"/>
      <c r="AI32" s="11">
        <f>SUM('Supply planning data'!AJ455:AJ469)</f>
        <v>0</v>
      </c>
      <c r="AJ32" s="11">
        <f>SUM('Supply planning data'!AK455:AK469)</f>
        <v>0</v>
      </c>
      <c r="AK32" s="11"/>
      <c r="AL32" s="11">
        <f>SUM('Supply planning data'!AM455:AM469)</f>
        <v>0</v>
      </c>
      <c r="AM32" s="11">
        <f>SUM('Supply planning data'!AN455:AN469)</f>
        <v>5258747</v>
      </c>
      <c r="AN32" s="11" t="e">
        <f t="shared" si="2"/>
        <v>#DIV/0!</v>
      </c>
      <c r="AO32" s="414">
        <f>(SUMIFS('Supply planning data'!H:H,'Supply planning data'!$D:$D,"&lt;="&amp;C32)+SUMIFS('Supply planning data'!G:G,'Supply planning data'!$D:$D,"&lt;="&amp;C32,'Supply planning data'!$C:$C,"Jansen"))/DataViz!$C$4</f>
        <v>2.9492566666666668E-2</v>
      </c>
    </row>
    <row r="33" spans="1:41" x14ac:dyDescent="0.25">
      <c r="A33" s="8" t="str">
        <f>'Supply planning data'!A470</f>
        <v>Anyland</v>
      </c>
      <c r="B33" s="8" t="str">
        <f>'Supply planning data'!B470</f>
        <v>ANY</v>
      </c>
      <c r="C33" s="355">
        <f>'Supply planning data'!D470</f>
        <v>45139</v>
      </c>
      <c r="D33" s="355" t="str">
        <f>'Supply planning data'!E470</f>
        <v>Yes</v>
      </c>
      <c r="E33" s="11">
        <f>SUM('Supply planning data'!F470:F484)</f>
        <v>5258747</v>
      </c>
      <c r="F33" s="11">
        <f>SUM('Supply planning data'!G470:G484)</f>
        <v>0</v>
      </c>
      <c r="G33" s="11">
        <f>SUM('Supply planning data'!H470:H484)</f>
        <v>0</v>
      </c>
      <c r="H33" s="11">
        <f>SUM('Supply planning data'!I470:I484)</f>
        <v>0</v>
      </c>
      <c r="I33" s="11">
        <f>SUM('Supply planning data'!J470:J484)</f>
        <v>0</v>
      </c>
      <c r="J33" s="11">
        <f>SUM('Supply planning data'!K470:K484)</f>
        <v>0</v>
      </c>
      <c r="K33" s="356" t="str">
        <f t="shared" si="0"/>
        <v/>
      </c>
      <c r="L33" s="11">
        <f>SUM('Supply planning data'!M470:M484)</f>
        <v>0</v>
      </c>
      <c r="M33" s="11">
        <f>SUM('Supply planning data'!N470:N484)</f>
        <v>0</v>
      </c>
      <c r="N33" s="11"/>
      <c r="O33" s="11">
        <f>SUM('Supply planning data'!P470:P484)</f>
        <v>0</v>
      </c>
      <c r="P33" s="11"/>
      <c r="Q33" s="11">
        <f>SUM('Supply planning data'!R470:R484)</f>
        <v>0</v>
      </c>
      <c r="R33" s="11">
        <f>SUM('Supply planning data'!S470:S484)</f>
        <v>0</v>
      </c>
      <c r="S33" s="11"/>
      <c r="T33" s="11">
        <f>SUM('Supply planning data'!U470:U484)</f>
        <v>0</v>
      </c>
      <c r="U33" s="11">
        <f>SUM('Supply planning data'!V470:V484)</f>
        <v>5258747</v>
      </c>
      <c r="V33" s="394" t="str">
        <f t="shared" si="3"/>
        <v/>
      </c>
      <c r="W33" s="11">
        <f>SUM('Supply planning data'!X470:X484)</f>
        <v>4293448</v>
      </c>
      <c r="X33" s="11">
        <f>SUM('Supply planning data'!Y470:Y484)</f>
        <v>0</v>
      </c>
      <c r="Y33" s="11"/>
      <c r="Z33" s="11">
        <f>SUM('Supply planning data'!AA470:AA484)</f>
        <v>0</v>
      </c>
      <c r="AA33" s="11">
        <f>SUM('Supply planning data'!AB470:AB484)</f>
        <v>0</v>
      </c>
      <c r="AB33" s="11"/>
      <c r="AC33" s="11">
        <f>SUM('Supply planning data'!AD470:AD484)</f>
        <v>0</v>
      </c>
      <c r="AD33" s="11">
        <f>SUM('Supply planning data'!AE470:AE484)</f>
        <v>4293448</v>
      </c>
      <c r="AE33" s="11" t="e">
        <f t="shared" si="1"/>
        <v>#DIV/0!</v>
      </c>
      <c r="AF33" s="11">
        <f>SUM('Supply planning data'!AG470:AG484)</f>
        <v>5258747</v>
      </c>
      <c r="AG33" s="11">
        <f>SUM('Supply planning data'!AH470:AH484)</f>
        <v>0</v>
      </c>
      <c r="AH33" s="11"/>
      <c r="AI33" s="11">
        <f>SUM('Supply planning data'!AJ470:AJ484)</f>
        <v>0</v>
      </c>
      <c r="AJ33" s="11">
        <f>SUM('Supply planning data'!AK470:AK484)</f>
        <v>0</v>
      </c>
      <c r="AK33" s="11"/>
      <c r="AL33" s="11">
        <f>SUM('Supply planning data'!AM470:AM484)</f>
        <v>0</v>
      </c>
      <c r="AM33" s="11">
        <f>SUM('Supply planning data'!AN470:AN484)</f>
        <v>5258747</v>
      </c>
      <c r="AN33" s="11" t="e">
        <f t="shared" si="2"/>
        <v>#DIV/0!</v>
      </c>
      <c r="AO33" s="414">
        <f>(SUMIFS('Supply planning data'!H:H,'Supply planning data'!$D:$D,"&lt;="&amp;C33)+SUMIFS('Supply planning data'!G:G,'Supply planning data'!$D:$D,"&lt;="&amp;C33,'Supply planning data'!$C:$C,"Jansen"))/DataViz!$C$4</f>
        <v>2.9492566666666668E-2</v>
      </c>
    </row>
    <row r="34" spans="1:41" x14ac:dyDescent="0.25">
      <c r="A34" s="8" t="str">
        <f>'Supply planning data'!A485</f>
        <v>Anyland</v>
      </c>
      <c r="B34" s="8" t="str">
        <f>'Supply planning data'!B485</f>
        <v>ANY</v>
      </c>
      <c r="C34" s="355">
        <f>'Supply planning data'!D485</f>
        <v>45170</v>
      </c>
      <c r="D34" s="355" t="str">
        <f>'Supply planning data'!E485</f>
        <v>Yes</v>
      </c>
      <c r="E34" s="11">
        <f>SUM('Supply planning data'!F485:F499)</f>
        <v>5258747</v>
      </c>
      <c r="F34" s="11">
        <f>SUM('Supply planning data'!G485:G499)</f>
        <v>0</v>
      </c>
      <c r="G34" s="11">
        <f>SUM('Supply planning data'!H485:H499)</f>
        <v>0</v>
      </c>
      <c r="H34" s="11">
        <f>SUM('Supply planning data'!I485:I499)</f>
        <v>0</v>
      </c>
      <c r="I34" s="11">
        <f>SUM('Supply planning data'!J485:J499)</f>
        <v>0</v>
      </c>
      <c r="J34" s="11">
        <f>SUM('Supply planning data'!K485:K499)</f>
        <v>0</v>
      </c>
      <c r="K34" s="356" t="str">
        <f t="shared" si="0"/>
        <v/>
      </c>
      <c r="L34" s="11">
        <f>SUM('Supply planning data'!M485:M499)</f>
        <v>0</v>
      </c>
      <c r="M34" s="11">
        <f>SUM('Supply planning data'!N485:N499)</f>
        <v>0</v>
      </c>
      <c r="N34" s="11"/>
      <c r="O34" s="11">
        <f>SUM('Supply planning data'!P485:P499)</f>
        <v>0</v>
      </c>
      <c r="P34" s="11"/>
      <c r="Q34" s="11">
        <f>SUM('Supply planning data'!R485:R499)</f>
        <v>0</v>
      </c>
      <c r="R34" s="11">
        <f>SUM('Supply planning data'!S485:S499)</f>
        <v>0</v>
      </c>
      <c r="S34" s="11"/>
      <c r="T34" s="11">
        <f>SUM('Supply planning data'!U485:U499)</f>
        <v>0</v>
      </c>
      <c r="U34" s="11">
        <f>SUM('Supply planning data'!V485:V499)</f>
        <v>5258747</v>
      </c>
      <c r="V34" s="394" t="str">
        <f t="shared" si="3"/>
        <v/>
      </c>
      <c r="W34" s="11">
        <f>SUM('Supply planning data'!X485:X499)</f>
        <v>4293448</v>
      </c>
      <c r="X34" s="11">
        <f>SUM('Supply planning data'!Y485:Y499)</f>
        <v>0</v>
      </c>
      <c r="Y34" s="11"/>
      <c r="Z34" s="11">
        <f>SUM('Supply planning data'!AA485:AA499)</f>
        <v>0</v>
      </c>
      <c r="AA34" s="11">
        <f>SUM('Supply planning data'!AB485:AB499)</f>
        <v>0</v>
      </c>
      <c r="AB34" s="11"/>
      <c r="AC34" s="11">
        <f>SUM('Supply planning data'!AD485:AD499)</f>
        <v>0</v>
      </c>
      <c r="AD34" s="11">
        <f>SUM('Supply planning data'!AE485:AE499)</f>
        <v>4293448</v>
      </c>
      <c r="AE34" s="11" t="e">
        <f t="shared" si="1"/>
        <v>#DIV/0!</v>
      </c>
      <c r="AF34" s="11">
        <f>SUM('Supply planning data'!AG485:AG499)</f>
        <v>5258747</v>
      </c>
      <c r="AG34" s="11">
        <f>SUM('Supply planning data'!AH485:AH499)</f>
        <v>0</v>
      </c>
      <c r="AH34" s="11"/>
      <c r="AI34" s="11">
        <f>SUM('Supply planning data'!AJ485:AJ499)</f>
        <v>0</v>
      </c>
      <c r="AJ34" s="11">
        <f>SUM('Supply planning data'!AK485:AK499)</f>
        <v>0</v>
      </c>
      <c r="AK34" s="11"/>
      <c r="AL34" s="11">
        <f>SUM('Supply planning data'!AM485:AM499)</f>
        <v>0</v>
      </c>
      <c r="AM34" s="11">
        <f>SUM('Supply planning data'!AN485:AN499)</f>
        <v>5258747</v>
      </c>
      <c r="AN34" s="11" t="e">
        <f t="shared" si="2"/>
        <v>#DIV/0!</v>
      </c>
      <c r="AO34" s="414">
        <f>(SUMIFS('Supply planning data'!H:H,'Supply planning data'!$D:$D,"&lt;="&amp;C34)+SUMIFS('Supply planning data'!G:G,'Supply planning data'!$D:$D,"&lt;="&amp;C34,'Supply planning data'!$C:$C,"Jansen"))/DataViz!$C$4</f>
        <v>2.9492566666666668E-2</v>
      </c>
    </row>
    <row r="35" spans="1:41" x14ac:dyDescent="0.25">
      <c r="A35" s="8" t="str">
        <f>'Supply planning data'!A500</f>
        <v>Anyland</v>
      </c>
      <c r="B35" s="8" t="str">
        <f>'Supply planning data'!B500</f>
        <v>ANY</v>
      </c>
      <c r="C35" s="355">
        <f>'Supply planning data'!D500</f>
        <v>45200</v>
      </c>
      <c r="D35" s="355" t="str">
        <f>'Supply planning data'!E500</f>
        <v>Yes</v>
      </c>
      <c r="E35" s="11">
        <f>SUM('Supply planning data'!F500:F514)</f>
        <v>5258747</v>
      </c>
      <c r="F35" s="11">
        <f>SUM('Supply planning data'!G500:G514)</f>
        <v>0</v>
      </c>
      <c r="G35" s="11">
        <f>SUM('Supply planning data'!H500:H514)</f>
        <v>0</v>
      </c>
      <c r="H35" s="11">
        <f>SUM('Supply planning data'!I500:I514)</f>
        <v>0</v>
      </c>
      <c r="I35" s="11">
        <f>SUM('Supply planning data'!J500:J514)</f>
        <v>0</v>
      </c>
      <c r="J35" s="11">
        <f>SUM('Supply planning data'!K500:K514)</f>
        <v>0</v>
      </c>
      <c r="K35" s="356" t="str">
        <f t="shared" si="0"/>
        <v/>
      </c>
      <c r="L35" s="11">
        <f>SUM('Supply planning data'!M500:M514)</f>
        <v>0</v>
      </c>
      <c r="M35" s="11">
        <f>SUM('Supply planning data'!N500:N514)</f>
        <v>0</v>
      </c>
      <c r="N35" s="11"/>
      <c r="O35" s="11">
        <f>SUM('Supply planning data'!P500:P514)</f>
        <v>0</v>
      </c>
      <c r="P35" s="11"/>
      <c r="Q35" s="11">
        <f>SUM('Supply planning data'!R500:R514)</f>
        <v>0</v>
      </c>
      <c r="R35" s="11">
        <f>SUM('Supply planning data'!S500:S514)</f>
        <v>0</v>
      </c>
      <c r="S35" s="11"/>
      <c r="T35" s="11">
        <f>SUM('Supply planning data'!U500:U514)</f>
        <v>0</v>
      </c>
      <c r="U35" s="11">
        <f>SUM('Supply planning data'!V500:V514)</f>
        <v>5258747</v>
      </c>
      <c r="V35" s="394" t="str">
        <f t="shared" si="3"/>
        <v/>
      </c>
      <c r="W35" s="11">
        <f>SUM('Supply planning data'!X500:X514)</f>
        <v>4293448</v>
      </c>
      <c r="X35" s="11">
        <f>SUM('Supply planning data'!Y500:Y514)</f>
        <v>0</v>
      </c>
      <c r="Y35" s="11"/>
      <c r="Z35" s="11">
        <f>SUM('Supply planning data'!AA500:AA514)</f>
        <v>0</v>
      </c>
      <c r="AA35" s="11">
        <f>SUM('Supply planning data'!AB500:AB514)</f>
        <v>0</v>
      </c>
      <c r="AB35" s="11"/>
      <c r="AC35" s="11">
        <f>SUM('Supply planning data'!AD500:AD514)</f>
        <v>0</v>
      </c>
      <c r="AD35" s="11">
        <f>SUM('Supply planning data'!AE500:AE514)</f>
        <v>4293448</v>
      </c>
      <c r="AE35" s="11" t="e">
        <f t="shared" si="1"/>
        <v>#DIV/0!</v>
      </c>
      <c r="AF35" s="11">
        <f>SUM('Supply planning data'!AG500:AG514)</f>
        <v>5258747</v>
      </c>
      <c r="AG35" s="11">
        <f>SUM('Supply planning data'!AH500:AH514)</f>
        <v>0</v>
      </c>
      <c r="AH35" s="11"/>
      <c r="AI35" s="11">
        <f>SUM('Supply planning data'!AJ500:AJ514)</f>
        <v>0</v>
      </c>
      <c r="AJ35" s="11">
        <f>SUM('Supply planning data'!AK500:AK514)</f>
        <v>0</v>
      </c>
      <c r="AK35" s="11"/>
      <c r="AL35" s="11">
        <f>SUM('Supply planning data'!AM500:AM514)</f>
        <v>0</v>
      </c>
      <c r="AM35" s="11">
        <f>SUM('Supply planning data'!AN500:AN514)</f>
        <v>5258747</v>
      </c>
      <c r="AN35" s="11" t="e">
        <f t="shared" si="2"/>
        <v>#DIV/0!</v>
      </c>
      <c r="AO35" s="414">
        <f>(SUMIFS('Supply planning data'!H:H,'Supply planning data'!$D:$D,"&lt;="&amp;C35)+SUMIFS('Supply planning data'!G:G,'Supply planning data'!$D:$D,"&lt;="&amp;C35,'Supply planning data'!$C:$C,"Jansen"))/DataViz!$C$4</f>
        <v>2.9492566666666668E-2</v>
      </c>
    </row>
    <row r="36" spans="1:41" x14ac:dyDescent="0.25">
      <c r="A36" s="8" t="str">
        <f>'Supply planning data'!A515</f>
        <v>Anyland</v>
      </c>
      <c r="B36" s="8" t="str">
        <f>'Supply planning data'!B515</f>
        <v>ANY</v>
      </c>
      <c r="C36" s="355">
        <f>'Supply planning data'!D515</f>
        <v>45231</v>
      </c>
      <c r="D36" s="355" t="str">
        <f>'Supply planning data'!E515</f>
        <v>Yes</v>
      </c>
      <c r="E36" s="11">
        <f>SUM('Supply planning data'!F515:F529)</f>
        <v>5258747</v>
      </c>
      <c r="F36" s="11">
        <f>SUM('Supply planning data'!G515:G529)</f>
        <v>0</v>
      </c>
      <c r="G36" s="11">
        <f>SUM('Supply planning data'!H515:H529)</f>
        <v>0</v>
      </c>
      <c r="H36" s="11">
        <f>SUM('Supply planning data'!I515:I529)</f>
        <v>0</v>
      </c>
      <c r="I36" s="11">
        <f>SUM('Supply planning data'!J515:J529)</f>
        <v>0</v>
      </c>
      <c r="J36" s="11">
        <f>SUM('Supply planning data'!K515:K529)</f>
        <v>0</v>
      </c>
      <c r="K36" s="356" t="str">
        <f t="shared" si="0"/>
        <v/>
      </c>
      <c r="L36" s="11">
        <f>SUM('Supply planning data'!M515:M529)</f>
        <v>0</v>
      </c>
      <c r="M36" s="11">
        <f>SUM('Supply planning data'!N515:N529)</f>
        <v>0</v>
      </c>
      <c r="N36" s="11"/>
      <c r="O36" s="11">
        <f>SUM('Supply planning data'!P515:P529)</f>
        <v>0</v>
      </c>
      <c r="P36" s="11"/>
      <c r="Q36" s="11">
        <f>SUM('Supply planning data'!R515:R529)</f>
        <v>0</v>
      </c>
      <c r="R36" s="11">
        <f>SUM('Supply planning data'!S515:S529)</f>
        <v>0</v>
      </c>
      <c r="S36" s="11"/>
      <c r="T36" s="11">
        <f>SUM('Supply planning data'!U515:U529)</f>
        <v>187547</v>
      </c>
      <c r="U36" s="11">
        <f>SUM('Supply planning data'!V515:V529)</f>
        <v>5071200</v>
      </c>
      <c r="V36" s="394" t="str">
        <f t="shared" si="3"/>
        <v/>
      </c>
      <c r="W36" s="11">
        <f>SUM('Supply planning data'!X515:X529)</f>
        <v>4293448</v>
      </c>
      <c r="X36" s="11">
        <f>SUM('Supply planning data'!Y515:Y529)</f>
        <v>0</v>
      </c>
      <c r="Y36" s="11"/>
      <c r="Z36" s="11">
        <f>SUM('Supply planning data'!AA515:AA529)</f>
        <v>0</v>
      </c>
      <c r="AA36" s="11">
        <f>SUM('Supply planning data'!AB515:AB529)</f>
        <v>0</v>
      </c>
      <c r="AB36" s="11"/>
      <c r="AC36" s="11">
        <f>SUM('Supply planning data'!AD515:AD529)</f>
        <v>0</v>
      </c>
      <c r="AD36" s="11">
        <f>SUM('Supply planning data'!AE515:AE529)</f>
        <v>4105901</v>
      </c>
      <c r="AE36" s="11" t="e">
        <f t="shared" si="1"/>
        <v>#DIV/0!</v>
      </c>
      <c r="AF36" s="11">
        <f>SUM('Supply planning data'!AG515:AG529)</f>
        <v>5258747</v>
      </c>
      <c r="AG36" s="11">
        <f>SUM('Supply planning data'!AH515:AH529)</f>
        <v>0</v>
      </c>
      <c r="AH36" s="11"/>
      <c r="AI36" s="11">
        <f>SUM('Supply planning data'!AJ515:AJ529)</f>
        <v>0</v>
      </c>
      <c r="AJ36" s="11">
        <f>SUM('Supply planning data'!AK515:AK529)</f>
        <v>0</v>
      </c>
      <c r="AK36" s="11"/>
      <c r="AL36" s="11">
        <f>SUM('Supply planning data'!AM515:AM529)</f>
        <v>187547</v>
      </c>
      <c r="AM36" s="11">
        <f>SUM('Supply planning data'!AN515:AN529)</f>
        <v>5071200</v>
      </c>
      <c r="AN36" s="11" t="e">
        <f t="shared" si="2"/>
        <v>#DIV/0!</v>
      </c>
      <c r="AO36" s="414">
        <f>(SUMIFS('Supply planning data'!H:H,'Supply planning data'!$D:$D,"&lt;="&amp;C36)+SUMIFS('Supply planning data'!G:G,'Supply planning data'!$D:$D,"&lt;="&amp;C36,'Supply planning data'!$C:$C,"Jansen"))/DataViz!$C$4</f>
        <v>2.9492566666666668E-2</v>
      </c>
    </row>
    <row r="37" spans="1:41" x14ac:dyDescent="0.25">
      <c r="A37" s="8" t="str">
        <f>'Supply planning data'!A530</f>
        <v>Anyland</v>
      </c>
      <c r="B37" s="8" t="str">
        <f>'Supply planning data'!B530</f>
        <v>ANY</v>
      </c>
      <c r="C37" s="355">
        <f>'Supply planning data'!D530</f>
        <v>45261</v>
      </c>
      <c r="D37" s="355" t="str">
        <f>'Supply planning data'!E530</f>
        <v>Yes</v>
      </c>
      <c r="E37" s="11">
        <f>SUM('Supply planning data'!F530:F544)</f>
        <v>5071200</v>
      </c>
      <c r="F37" s="11">
        <f>SUM('Supply planning data'!G530:G544)</f>
        <v>0</v>
      </c>
      <c r="G37" s="11">
        <f>SUM('Supply planning data'!H530:H544)</f>
        <v>0</v>
      </c>
      <c r="H37" s="11">
        <f>SUM('Supply planning data'!I530:I544)</f>
        <v>0</v>
      </c>
      <c r="I37" s="11">
        <f>SUM('Supply planning data'!J530:J544)</f>
        <v>0</v>
      </c>
      <c r="J37" s="11">
        <f>SUM('Supply planning data'!K530:K544)</f>
        <v>0</v>
      </c>
      <c r="K37" s="356" t="str">
        <f t="shared" si="0"/>
        <v/>
      </c>
      <c r="L37" s="11">
        <f>SUM('Supply planning data'!M530:M544)</f>
        <v>0</v>
      </c>
      <c r="M37" s="11">
        <f>SUM('Supply planning data'!N530:N544)</f>
        <v>0</v>
      </c>
      <c r="N37" s="11"/>
      <c r="O37" s="11">
        <f>SUM('Supply planning data'!P530:P544)</f>
        <v>0</v>
      </c>
      <c r="P37" s="11"/>
      <c r="Q37" s="11">
        <f>SUM('Supply planning data'!R530:R544)</f>
        <v>0</v>
      </c>
      <c r="R37" s="11">
        <f>SUM('Supply planning data'!S530:S544)</f>
        <v>0</v>
      </c>
      <c r="S37" s="11"/>
      <c r="T37" s="11">
        <f>SUM('Supply planning data'!U530:U544)</f>
        <v>200000</v>
      </c>
      <c r="U37" s="11">
        <f>SUM('Supply planning data'!V530:V544)</f>
        <v>4871200</v>
      </c>
      <c r="V37" s="394" t="str">
        <f t="shared" si="3"/>
        <v/>
      </c>
      <c r="W37" s="11">
        <f>SUM('Supply planning data'!X530:X544)</f>
        <v>4105901</v>
      </c>
      <c r="X37" s="11">
        <f>SUM('Supply planning data'!Y530:Y544)</f>
        <v>0</v>
      </c>
      <c r="Y37" s="11"/>
      <c r="Z37" s="11">
        <f>SUM('Supply planning data'!AA530:AA544)</f>
        <v>0</v>
      </c>
      <c r="AA37" s="11">
        <f>SUM('Supply planning data'!AB530:AB544)</f>
        <v>0</v>
      </c>
      <c r="AB37" s="11"/>
      <c r="AC37" s="11">
        <f>SUM('Supply planning data'!AD530:AD544)</f>
        <v>0</v>
      </c>
      <c r="AD37" s="11">
        <f>SUM('Supply planning data'!AE530:AE544)</f>
        <v>3905901</v>
      </c>
      <c r="AE37" s="11" t="e">
        <f t="shared" si="1"/>
        <v>#DIV/0!</v>
      </c>
      <c r="AF37" s="11">
        <f>SUM('Supply planning data'!AG530:AG544)</f>
        <v>5071200</v>
      </c>
      <c r="AG37" s="11">
        <f>SUM('Supply planning data'!AH530:AH544)</f>
        <v>0</v>
      </c>
      <c r="AH37" s="11"/>
      <c r="AI37" s="11">
        <f>SUM('Supply planning data'!AJ530:AJ544)</f>
        <v>0</v>
      </c>
      <c r="AJ37" s="11">
        <f>SUM('Supply planning data'!AK530:AK544)</f>
        <v>0</v>
      </c>
      <c r="AK37" s="11"/>
      <c r="AL37" s="11">
        <f>SUM('Supply planning data'!AM530:AM544)</f>
        <v>200000</v>
      </c>
      <c r="AM37" s="11">
        <f>SUM('Supply planning data'!AN530:AN544)</f>
        <v>4871200</v>
      </c>
      <c r="AN37" s="11" t="e">
        <f t="shared" si="2"/>
        <v>#DIV/0!</v>
      </c>
      <c r="AO37" s="414">
        <f>(SUMIFS('Supply planning data'!H:H,'Supply planning data'!$D:$D,"&lt;="&amp;C37)+SUMIFS('Supply planning data'!G:G,'Supply planning data'!$D:$D,"&lt;="&amp;C37,'Supply planning data'!$C:$C,"Jansen"))/DataViz!$C$4</f>
        <v>2.9492566666666668E-2</v>
      </c>
    </row>
    <row r="38" spans="1:41" x14ac:dyDescent="0.25">
      <c r="A38" s="8" t="str">
        <f>'Supply planning data'!A545</f>
        <v>Anyland</v>
      </c>
      <c r="B38" s="8" t="str">
        <f>'Supply planning data'!B545</f>
        <v>ANY</v>
      </c>
      <c r="C38" s="355">
        <f>'Supply planning data'!D545</f>
        <v>45292</v>
      </c>
      <c r="D38" s="355" t="str">
        <f>'Supply planning data'!E545</f>
        <v>Yes</v>
      </c>
      <c r="E38" s="11">
        <f>SUM('Supply planning data'!F545:F559)</f>
        <v>4871200</v>
      </c>
      <c r="F38" s="11">
        <f>SUM('Supply planning data'!G545:G559)</f>
        <v>0</v>
      </c>
      <c r="G38" s="11">
        <f>SUM('Supply planning data'!H545:H559)</f>
        <v>0</v>
      </c>
      <c r="H38" s="11">
        <f>SUM('Supply planning data'!I545:I559)</f>
        <v>0</v>
      </c>
      <c r="I38" s="11">
        <f>SUM('Supply planning data'!J545:J559)</f>
        <v>0</v>
      </c>
      <c r="J38" s="11">
        <f>SUM('Supply planning data'!K545:K559)</f>
        <v>0</v>
      </c>
      <c r="K38" s="356" t="str">
        <f t="shared" si="0"/>
        <v/>
      </c>
      <c r="L38" s="11">
        <f>SUM('Supply planning data'!M545:M559)</f>
        <v>0</v>
      </c>
      <c r="M38" s="11">
        <f>SUM('Supply planning data'!N545:N559)</f>
        <v>0</v>
      </c>
      <c r="N38" s="11"/>
      <c r="O38" s="11">
        <f>SUM('Supply planning data'!P545:P559)</f>
        <v>0</v>
      </c>
      <c r="P38" s="11"/>
      <c r="Q38" s="11">
        <f>SUM('Supply planning data'!R545:R559)</f>
        <v>0</v>
      </c>
      <c r="R38" s="11">
        <f>SUM('Supply planning data'!S545:S559)</f>
        <v>0</v>
      </c>
      <c r="S38" s="11"/>
      <c r="T38" s="11">
        <f>SUM('Supply planning data'!U545:U559)</f>
        <v>0</v>
      </c>
      <c r="U38" s="11">
        <f>SUM('Supply planning data'!V545:V559)</f>
        <v>4871200</v>
      </c>
      <c r="V38" s="394" t="str">
        <f t="shared" si="3"/>
        <v/>
      </c>
      <c r="W38" s="11">
        <f>SUM('Supply planning data'!X545:X559)</f>
        <v>3905901</v>
      </c>
      <c r="X38" s="11">
        <f>SUM('Supply planning data'!Y545:Y559)</f>
        <v>0</v>
      </c>
      <c r="Y38" s="11"/>
      <c r="Z38" s="11">
        <f>SUM('Supply planning data'!AA545:AA559)</f>
        <v>0</v>
      </c>
      <c r="AA38" s="11">
        <f>SUM('Supply planning data'!AB545:AB559)</f>
        <v>0</v>
      </c>
      <c r="AB38" s="11"/>
      <c r="AC38" s="11">
        <f>SUM('Supply planning data'!AD545:AD559)</f>
        <v>0</v>
      </c>
      <c r="AD38" s="11">
        <f>SUM('Supply planning data'!AE545:AE559)</f>
        <v>3905901</v>
      </c>
      <c r="AE38" s="11" t="e">
        <f t="shared" si="1"/>
        <v>#DIV/0!</v>
      </c>
      <c r="AF38" s="11">
        <f>SUM('Supply planning data'!AG545:AG559)</f>
        <v>4871200</v>
      </c>
      <c r="AG38" s="11">
        <f>SUM('Supply planning data'!AH545:AH559)</f>
        <v>0</v>
      </c>
      <c r="AH38" s="11"/>
      <c r="AI38" s="11">
        <f>SUM('Supply planning data'!AJ545:AJ559)</f>
        <v>0</v>
      </c>
      <c r="AJ38" s="11">
        <f>SUM('Supply planning data'!AK545:AK559)</f>
        <v>0</v>
      </c>
      <c r="AK38" s="11"/>
      <c r="AL38" s="11">
        <f>SUM('Supply planning data'!AM545:AM559)</f>
        <v>0</v>
      </c>
      <c r="AM38" s="11">
        <f>SUM('Supply planning data'!AN545:AN559)</f>
        <v>4871200</v>
      </c>
      <c r="AN38" s="11" t="e">
        <f t="shared" si="2"/>
        <v>#DIV/0!</v>
      </c>
      <c r="AO38" s="414">
        <f>(SUMIFS('Supply planning data'!H:H,'Supply planning data'!$D:$D,"&lt;="&amp;C38)+SUMIFS('Supply planning data'!G:G,'Supply planning data'!$D:$D,"&lt;="&amp;C38,'Supply planning data'!$C:$C,"Jansen"))/DataViz!$C$4</f>
        <v>2.9492566666666668E-2</v>
      </c>
    </row>
    <row r="39" spans="1:41" x14ac:dyDescent="0.25">
      <c r="A39" s="8" t="str">
        <f>'Supply planning data'!A560</f>
        <v>Anyland</v>
      </c>
      <c r="B39" s="8" t="str">
        <f>'Supply planning data'!B560</f>
        <v>ANY</v>
      </c>
      <c r="C39" s="355">
        <f>'Supply planning data'!D560</f>
        <v>45323</v>
      </c>
      <c r="D39" s="355" t="str">
        <f>'Supply planning data'!E560</f>
        <v>Yes</v>
      </c>
      <c r="E39" s="11">
        <f>SUM('Supply planning data'!F560:F574)</f>
        <v>4871200</v>
      </c>
      <c r="F39" s="11">
        <f>SUM('Supply planning data'!G560:G574)</f>
        <v>0</v>
      </c>
      <c r="G39" s="11">
        <f>SUM('Supply planning data'!H560:H574)</f>
        <v>0</v>
      </c>
      <c r="H39" s="11">
        <f>SUM('Supply planning data'!I560:I574)</f>
        <v>0</v>
      </c>
      <c r="I39" s="11">
        <f>SUM('Supply planning data'!J560:J574)</f>
        <v>0</v>
      </c>
      <c r="J39" s="11">
        <f>SUM('Supply planning data'!K560:K574)</f>
        <v>0</v>
      </c>
      <c r="K39" s="356" t="str">
        <f t="shared" si="0"/>
        <v/>
      </c>
      <c r="L39" s="11">
        <f>SUM('Supply planning data'!M560:M574)</f>
        <v>0</v>
      </c>
      <c r="M39" s="11">
        <f>SUM('Supply planning data'!N560:N574)</f>
        <v>0</v>
      </c>
      <c r="N39" s="11"/>
      <c r="O39" s="11">
        <f>SUM('Supply planning data'!P560:P574)</f>
        <v>0</v>
      </c>
      <c r="P39" s="11"/>
      <c r="Q39" s="11">
        <f>SUM('Supply planning data'!R560:R574)</f>
        <v>0</v>
      </c>
      <c r="R39" s="11">
        <f>SUM('Supply planning data'!S560:S574)</f>
        <v>0</v>
      </c>
      <c r="S39" s="11"/>
      <c r="T39" s="11">
        <f>SUM('Supply planning data'!U560:U574)</f>
        <v>0</v>
      </c>
      <c r="U39" s="11">
        <f>SUM('Supply planning data'!V560:V574)</f>
        <v>4871200</v>
      </c>
      <c r="V39" s="394" t="str">
        <f t="shared" si="3"/>
        <v/>
      </c>
      <c r="W39" s="11">
        <f>SUM('Supply planning data'!X560:X574)</f>
        <v>3905901</v>
      </c>
      <c r="X39" s="11">
        <f>SUM('Supply planning data'!Y560:Y574)</f>
        <v>0</v>
      </c>
      <c r="Y39" s="11"/>
      <c r="Z39" s="11">
        <f>SUM('Supply planning data'!AA560:AA574)</f>
        <v>0</v>
      </c>
      <c r="AA39" s="11">
        <f>SUM('Supply planning data'!AB560:AB574)</f>
        <v>0</v>
      </c>
      <c r="AB39" s="11"/>
      <c r="AC39" s="11">
        <f>SUM('Supply planning data'!AD560:AD574)</f>
        <v>0</v>
      </c>
      <c r="AD39" s="11">
        <f>SUM('Supply planning data'!AE560:AE574)</f>
        <v>3905901</v>
      </c>
      <c r="AE39" s="11" t="e">
        <f t="shared" si="1"/>
        <v>#DIV/0!</v>
      </c>
      <c r="AF39" s="11">
        <f>SUM('Supply planning data'!AG560:AG574)</f>
        <v>4871200</v>
      </c>
      <c r="AG39" s="11">
        <f>SUM('Supply planning data'!AH560:AH574)</f>
        <v>0</v>
      </c>
      <c r="AH39" s="11"/>
      <c r="AI39" s="11">
        <f>SUM('Supply planning data'!AJ560:AJ574)</f>
        <v>0</v>
      </c>
      <c r="AJ39" s="11">
        <f>SUM('Supply planning data'!AK560:AK574)</f>
        <v>0</v>
      </c>
      <c r="AK39" s="11"/>
      <c r="AL39" s="11">
        <f>SUM('Supply planning data'!AM560:AM574)</f>
        <v>0</v>
      </c>
      <c r="AM39" s="11">
        <f>SUM('Supply planning data'!AN560:AN574)</f>
        <v>4871200</v>
      </c>
      <c r="AN39" s="11" t="e">
        <f t="shared" si="2"/>
        <v>#DIV/0!</v>
      </c>
      <c r="AO39" s="414">
        <f>(SUMIFS('Supply planning data'!H:H,'Supply planning data'!$D:$D,"&lt;="&amp;C39)+SUMIFS('Supply planning data'!G:G,'Supply planning data'!$D:$D,"&lt;="&amp;C39,'Supply planning data'!$C:$C,"Jansen"))/DataViz!$C$4</f>
        <v>2.9492566666666668E-2</v>
      </c>
    </row>
    <row r="40" spans="1:41" x14ac:dyDescent="0.25">
      <c r="A40" s="8" t="str">
        <f>'Supply planning data'!A575</f>
        <v>Anyland</v>
      </c>
      <c r="B40" s="8" t="str">
        <f>'Supply planning data'!B575</f>
        <v>ANY</v>
      </c>
      <c r="C40" s="355">
        <f>'Supply planning data'!D575</f>
        <v>45352</v>
      </c>
      <c r="D40" s="355" t="str">
        <f>'Supply planning data'!E575</f>
        <v>Yes</v>
      </c>
      <c r="E40" s="11">
        <f>SUM('Supply planning data'!F575:F589)</f>
        <v>4871200</v>
      </c>
      <c r="F40" s="11">
        <f>SUM('Supply planning data'!G575:G589)</f>
        <v>0</v>
      </c>
      <c r="G40" s="11">
        <f>SUM('Supply planning data'!H575:H589)</f>
        <v>0</v>
      </c>
      <c r="H40" s="11">
        <f>SUM('Supply planning data'!I575:I589)</f>
        <v>0</v>
      </c>
      <c r="I40" s="11">
        <f>SUM('Supply planning data'!J575:J589)</f>
        <v>0</v>
      </c>
      <c r="J40" s="11">
        <f>SUM('Supply planning data'!K575:K589)</f>
        <v>0</v>
      </c>
      <c r="K40" s="356" t="str">
        <f t="shared" si="0"/>
        <v/>
      </c>
      <c r="L40" s="11">
        <f>SUM('Supply planning data'!M575:M589)</f>
        <v>0</v>
      </c>
      <c r="M40" s="11">
        <f>SUM('Supply planning data'!N575:N589)</f>
        <v>0</v>
      </c>
      <c r="N40" s="11"/>
      <c r="O40" s="11">
        <f>SUM('Supply planning data'!P575:P589)</f>
        <v>0</v>
      </c>
      <c r="P40" s="11"/>
      <c r="Q40" s="11">
        <f>SUM('Supply planning data'!R575:R589)</f>
        <v>0</v>
      </c>
      <c r="R40" s="11">
        <f>SUM('Supply planning data'!S575:S589)</f>
        <v>0</v>
      </c>
      <c r="S40" s="11"/>
      <c r="T40" s="11">
        <f>SUM('Supply planning data'!U575:U589)</f>
        <v>0</v>
      </c>
      <c r="U40" s="11">
        <f>SUM('Supply planning data'!V575:V589)</f>
        <v>4871200</v>
      </c>
      <c r="V40" s="394" t="str">
        <f t="shared" si="3"/>
        <v/>
      </c>
      <c r="W40" s="11">
        <f>SUM('Supply planning data'!X575:X589)</f>
        <v>3905901</v>
      </c>
      <c r="X40" s="11">
        <f>SUM('Supply planning data'!Y575:Y589)</f>
        <v>0</v>
      </c>
      <c r="Y40" s="11"/>
      <c r="Z40" s="11">
        <f>SUM('Supply planning data'!AA575:AA589)</f>
        <v>0</v>
      </c>
      <c r="AA40" s="11">
        <f>SUM('Supply planning data'!AB575:AB589)</f>
        <v>0</v>
      </c>
      <c r="AB40" s="11"/>
      <c r="AC40" s="11">
        <f>SUM('Supply planning data'!AD575:AD589)</f>
        <v>0</v>
      </c>
      <c r="AD40" s="11">
        <f>SUM('Supply planning data'!AE575:AE589)</f>
        <v>3905901</v>
      </c>
      <c r="AE40" s="11" t="e">
        <f t="shared" si="1"/>
        <v>#DIV/0!</v>
      </c>
      <c r="AF40" s="11">
        <f>SUM('Supply planning data'!AG575:AG589)</f>
        <v>4871200</v>
      </c>
      <c r="AG40" s="11">
        <f>SUM('Supply planning data'!AH575:AH589)</f>
        <v>0</v>
      </c>
      <c r="AH40" s="11"/>
      <c r="AI40" s="11">
        <f>SUM('Supply planning data'!AJ575:AJ589)</f>
        <v>0</v>
      </c>
      <c r="AJ40" s="11">
        <f>SUM('Supply planning data'!AK575:AK589)</f>
        <v>0</v>
      </c>
      <c r="AK40" s="11"/>
      <c r="AL40" s="11">
        <f>SUM('Supply planning data'!AM575:AM589)</f>
        <v>0</v>
      </c>
      <c r="AM40" s="11">
        <f>SUM('Supply planning data'!AN575:AN589)</f>
        <v>4871200</v>
      </c>
      <c r="AN40" s="11" t="e">
        <f t="shared" si="2"/>
        <v>#DIV/0!</v>
      </c>
      <c r="AO40" s="414">
        <f>(SUMIFS('Supply planning data'!H:H,'Supply planning data'!$D:$D,"&lt;="&amp;C40)+SUMIFS('Supply planning data'!G:G,'Supply planning data'!$D:$D,"&lt;="&amp;C40,'Supply planning data'!$C:$C,"Jansen"))/DataViz!$C$4</f>
        <v>2.9492566666666668E-2</v>
      </c>
    </row>
    <row r="41" spans="1:41" x14ac:dyDescent="0.25">
      <c r="A41" s="8" t="str">
        <f>'Supply planning data'!A590</f>
        <v>Anyland</v>
      </c>
      <c r="B41" s="8" t="str">
        <f>'Supply planning data'!B590</f>
        <v>ANY</v>
      </c>
      <c r="C41" s="355">
        <f>'Supply planning data'!D590</f>
        <v>45383</v>
      </c>
      <c r="D41" s="355" t="str">
        <f>'Supply planning data'!E590</f>
        <v>Yes</v>
      </c>
      <c r="E41" s="11">
        <f>SUM('Supply planning data'!F590:F604)</f>
        <v>4871200</v>
      </c>
      <c r="F41" s="11">
        <f>SUM('Supply planning data'!G590:G604)</f>
        <v>0</v>
      </c>
      <c r="G41" s="11">
        <f>SUM('Supply planning data'!H590:H604)</f>
        <v>0</v>
      </c>
      <c r="H41" s="11">
        <f>SUM('Supply planning data'!I590:I604)</f>
        <v>0</v>
      </c>
      <c r="I41" s="11">
        <f>SUM('Supply planning data'!J590:J604)</f>
        <v>0</v>
      </c>
      <c r="J41" s="11">
        <f>SUM('Supply planning data'!K590:K604)</f>
        <v>0</v>
      </c>
      <c r="K41" s="356" t="str">
        <f t="shared" si="0"/>
        <v/>
      </c>
      <c r="L41" s="11">
        <f>SUM('Supply planning data'!M590:M604)</f>
        <v>0</v>
      </c>
      <c r="M41" s="11">
        <f>SUM('Supply planning data'!N590:N604)</f>
        <v>0</v>
      </c>
      <c r="N41" s="11"/>
      <c r="O41" s="11">
        <f>SUM('Supply planning data'!P590:P604)</f>
        <v>0</v>
      </c>
      <c r="P41" s="11"/>
      <c r="Q41" s="11">
        <f>SUM('Supply planning data'!R590:R604)</f>
        <v>0</v>
      </c>
      <c r="R41" s="11">
        <f>SUM('Supply planning data'!S590:S604)</f>
        <v>0</v>
      </c>
      <c r="S41" s="11"/>
      <c r="T41" s="11">
        <f>SUM('Supply planning data'!U590:U604)</f>
        <v>0</v>
      </c>
      <c r="U41" s="11">
        <f>SUM('Supply planning data'!V590:V604)</f>
        <v>4871200</v>
      </c>
      <c r="V41" s="394" t="str">
        <f t="shared" si="3"/>
        <v/>
      </c>
      <c r="W41" s="11">
        <f>SUM('Supply planning data'!X590:X604)</f>
        <v>3905901</v>
      </c>
      <c r="X41" s="11">
        <f>SUM('Supply planning data'!Y590:Y604)</f>
        <v>0</v>
      </c>
      <c r="Y41" s="11"/>
      <c r="Z41" s="11">
        <f>SUM('Supply planning data'!AA590:AA604)</f>
        <v>0</v>
      </c>
      <c r="AA41" s="11">
        <f>SUM('Supply planning data'!AB590:AB604)</f>
        <v>0</v>
      </c>
      <c r="AB41" s="11"/>
      <c r="AC41" s="11">
        <f>SUM('Supply planning data'!AD590:AD604)</f>
        <v>0</v>
      </c>
      <c r="AD41" s="11">
        <f>SUM('Supply planning data'!AE590:AE604)</f>
        <v>3905901</v>
      </c>
      <c r="AE41" s="11" t="e">
        <f t="shared" si="1"/>
        <v>#DIV/0!</v>
      </c>
      <c r="AF41" s="11">
        <f>SUM('Supply planning data'!AG590:AG604)</f>
        <v>4871200</v>
      </c>
      <c r="AG41" s="11">
        <f>SUM('Supply planning data'!AH590:AH604)</f>
        <v>0</v>
      </c>
      <c r="AH41" s="11"/>
      <c r="AI41" s="11">
        <f>SUM('Supply planning data'!AJ590:AJ604)</f>
        <v>0</v>
      </c>
      <c r="AJ41" s="11">
        <f>SUM('Supply planning data'!AK590:AK604)</f>
        <v>0</v>
      </c>
      <c r="AK41" s="11"/>
      <c r="AL41" s="11">
        <f>SUM('Supply planning data'!AM590:AM604)</f>
        <v>0</v>
      </c>
      <c r="AM41" s="11">
        <f>SUM('Supply planning data'!AN590:AN604)</f>
        <v>4871200</v>
      </c>
      <c r="AN41" s="11" t="e">
        <f t="shared" si="2"/>
        <v>#DIV/0!</v>
      </c>
      <c r="AO41" s="414">
        <f>(SUMIFS('Supply planning data'!H:H,'Supply planning data'!$D:$D,"&lt;="&amp;C41)+SUMIFS('Supply planning data'!G:G,'Supply planning data'!$D:$D,"&lt;="&amp;C41,'Supply planning data'!$C:$C,"Jansen"))/DataViz!$C$4</f>
        <v>2.9492566666666668E-2</v>
      </c>
    </row>
    <row r="42" spans="1:41" x14ac:dyDescent="0.25">
      <c r="A42" s="8" t="str">
        <f>'Supply planning data'!A605</f>
        <v>Anyland</v>
      </c>
      <c r="B42" s="8" t="str">
        <f>'Supply planning data'!B605</f>
        <v>ANY</v>
      </c>
      <c r="C42" s="355">
        <f>'Supply planning data'!D605</f>
        <v>45413</v>
      </c>
      <c r="D42" s="355" t="str">
        <f>'Supply planning data'!E605</f>
        <v>Yes</v>
      </c>
      <c r="E42" s="11">
        <f>SUM('Supply planning data'!F605:F619)</f>
        <v>4871200</v>
      </c>
      <c r="F42" s="11">
        <f>SUM('Supply planning data'!G605:G619)</f>
        <v>0</v>
      </c>
      <c r="G42" s="11">
        <f>SUM('Supply planning data'!H605:H619)</f>
        <v>0</v>
      </c>
      <c r="H42" s="11">
        <f>SUM('Supply planning data'!I605:I619)</f>
        <v>0</v>
      </c>
      <c r="I42" s="11">
        <f>SUM('Supply planning data'!J605:J619)</f>
        <v>0</v>
      </c>
      <c r="J42" s="11">
        <f>SUM('Supply planning data'!K605:K619)</f>
        <v>0</v>
      </c>
      <c r="K42" s="356" t="str">
        <f t="shared" si="0"/>
        <v/>
      </c>
      <c r="L42" s="11">
        <f>SUM('Supply planning data'!M605:M619)</f>
        <v>0</v>
      </c>
      <c r="M42" s="11">
        <f>SUM('Supply planning data'!N605:N619)</f>
        <v>0</v>
      </c>
      <c r="N42" s="11"/>
      <c r="O42" s="11">
        <f>SUM('Supply planning data'!P605:P619)</f>
        <v>0</v>
      </c>
      <c r="P42" s="11"/>
      <c r="Q42" s="11">
        <f>SUM('Supply planning data'!R605:R619)</f>
        <v>0</v>
      </c>
      <c r="R42" s="11">
        <f>SUM('Supply planning data'!S605:S619)</f>
        <v>0</v>
      </c>
      <c r="S42" s="11"/>
      <c r="T42" s="11">
        <f>SUM('Supply planning data'!U605:U619)</f>
        <v>0</v>
      </c>
      <c r="U42" s="11">
        <f>SUM('Supply planning data'!V605:V619)</f>
        <v>4871200</v>
      </c>
      <c r="V42" s="394" t="str">
        <f t="shared" si="3"/>
        <v/>
      </c>
      <c r="W42" s="11">
        <f>SUM('Supply planning data'!X605:X619)</f>
        <v>3905901</v>
      </c>
      <c r="X42" s="11">
        <f>SUM('Supply planning data'!Y605:Y619)</f>
        <v>0</v>
      </c>
      <c r="Y42" s="11"/>
      <c r="Z42" s="11">
        <f>SUM('Supply planning data'!AA605:AA619)</f>
        <v>0</v>
      </c>
      <c r="AA42" s="11">
        <f>SUM('Supply planning data'!AB605:AB619)</f>
        <v>0</v>
      </c>
      <c r="AB42" s="11"/>
      <c r="AC42" s="11">
        <f>SUM('Supply planning data'!AD605:AD619)</f>
        <v>0</v>
      </c>
      <c r="AD42" s="11">
        <f>SUM('Supply planning data'!AE605:AE619)</f>
        <v>3905901</v>
      </c>
      <c r="AE42" s="11" t="e">
        <f t="shared" si="1"/>
        <v>#DIV/0!</v>
      </c>
      <c r="AF42" s="11">
        <f>SUM('Supply planning data'!AG605:AG619)</f>
        <v>4871200</v>
      </c>
      <c r="AG42" s="11">
        <f>SUM('Supply planning data'!AH605:AH619)</f>
        <v>0</v>
      </c>
      <c r="AH42" s="11"/>
      <c r="AI42" s="11">
        <f>SUM('Supply planning data'!AJ605:AJ619)</f>
        <v>0</v>
      </c>
      <c r="AJ42" s="11">
        <f>SUM('Supply planning data'!AK605:AK619)</f>
        <v>0</v>
      </c>
      <c r="AK42" s="11"/>
      <c r="AL42" s="11">
        <f>SUM('Supply planning data'!AM605:AM619)</f>
        <v>0</v>
      </c>
      <c r="AM42" s="11">
        <f>SUM('Supply planning data'!AN605:AN619)</f>
        <v>4871200</v>
      </c>
      <c r="AN42" s="11" t="e">
        <f t="shared" si="2"/>
        <v>#DIV/0!</v>
      </c>
      <c r="AO42" s="414">
        <f>(SUMIFS('Supply planning data'!H:H,'Supply planning data'!$D:$D,"&lt;="&amp;C42)+SUMIFS('Supply planning data'!G:G,'Supply planning data'!$D:$D,"&lt;="&amp;C42,'Supply planning data'!$C:$C,"Jansen"))/DataViz!$C$4</f>
        <v>2.9492566666666668E-2</v>
      </c>
    </row>
    <row r="43" spans="1:41" x14ac:dyDescent="0.25">
      <c r="A43" s="8" t="str">
        <f>'Supply planning data'!A620</f>
        <v>Anyland</v>
      </c>
      <c r="B43" s="8" t="str">
        <f>'Supply planning data'!B620</f>
        <v>ANY</v>
      </c>
      <c r="C43" s="355">
        <f>'Supply planning data'!D620</f>
        <v>45444</v>
      </c>
      <c r="D43" s="355" t="str">
        <f>'Supply planning data'!E620</f>
        <v>Yes</v>
      </c>
      <c r="E43" s="11">
        <f>SUM('Supply planning data'!F620:F634)</f>
        <v>4871200</v>
      </c>
      <c r="F43" s="11">
        <f>SUM('Supply planning data'!G620:G634)</f>
        <v>0</v>
      </c>
      <c r="G43" s="11">
        <f>SUM('Supply planning data'!H620:H634)</f>
        <v>0</v>
      </c>
      <c r="H43" s="11">
        <f>SUM('Supply planning data'!I620:I634)</f>
        <v>0</v>
      </c>
      <c r="I43" s="11">
        <f>SUM('Supply planning data'!J620:J634)</f>
        <v>0</v>
      </c>
      <c r="J43" s="11">
        <f>SUM('Supply planning data'!K620:K634)</f>
        <v>0</v>
      </c>
      <c r="K43" s="356" t="str">
        <f t="shared" si="0"/>
        <v/>
      </c>
      <c r="L43" s="11">
        <f>SUM('Supply planning data'!M620:M634)</f>
        <v>0</v>
      </c>
      <c r="M43" s="11">
        <f>SUM('Supply planning data'!N620:N634)</f>
        <v>0</v>
      </c>
      <c r="N43" s="11"/>
      <c r="O43" s="11">
        <f>SUM('Supply planning data'!P620:P634)</f>
        <v>0</v>
      </c>
      <c r="P43" s="11"/>
      <c r="Q43" s="11">
        <f>SUM('Supply planning data'!R620:R634)</f>
        <v>0</v>
      </c>
      <c r="R43" s="11">
        <f>SUM('Supply planning data'!S620:S634)</f>
        <v>0</v>
      </c>
      <c r="S43" s="11"/>
      <c r="T43" s="11">
        <f>SUM('Supply planning data'!U620:U634)</f>
        <v>0</v>
      </c>
      <c r="U43" s="11">
        <f>SUM('Supply planning data'!V620:V634)</f>
        <v>4871200</v>
      </c>
      <c r="V43" s="394" t="str">
        <f t="shared" si="3"/>
        <v/>
      </c>
      <c r="W43" s="11">
        <f>SUM('Supply planning data'!X620:X634)</f>
        <v>3905901</v>
      </c>
      <c r="X43" s="11">
        <f>SUM('Supply planning data'!Y620:Y634)</f>
        <v>0</v>
      </c>
      <c r="Y43" s="11"/>
      <c r="Z43" s="11">
        <f>SUM('Supply planning data'!AA620:AA634)</f>
        <v>0</v>
      </c>
      <c r="AA43" s="11">
        <f>SUM('Supply planning data'!AB620:AB634)</f>
        <v>0</v>
      </c>
      <c r="AB43" s="11"/>
      <c r="AC43" s="11">
        <f>SUM('Supply planning data'!AD620:AD634)</f>
        <v>0</v>
      </c>
      <c r="AD43" s="11">
        <f>SUM('Supply planning data'!AE620:AE634)</f>
        <v>3905901</v>
      </c>
      <c r="AE43" s="11" t="e">
        <f t="shared" si="1"/>
        <v>#DIV/0!</v>
      </c>
      <c r="AF43" s="11">
        <f>SUM('Supply planning data'!AG620:AG634)</f>
        <v>4871200</v>
      </c>
      <c r="AG43" s="11">
        <f>SUM('Supply planning data'!AH620:AH634)</f>
        <v>0</v>
      </c>
      <c r="AH43" s="11"/>
      <c r="AI43" s="11">
        <f>SUM('Supply planning data'!AJ620:AJ634)</f>
        <v>0</v>
      </c>
      <c r="AJ43" s="11">
        <f>SUM('Supply planning data'!AK620:AK634)</f>
        <v>0</v>
      </c>
      <c r="AK43" s="11"/>
      <c r="AL43" s="11">
        <f>SUM('Supply planning data'!AM620:AM634)</f>
        <v>0</v>
      </c>
      <c r="AM43" s="11">
        <f>SUM('Supply planning data'!AN620:AN634)</f>
        <v>4871200</v>
      </c>
      <c r="AN43" s="11" t="e">
        <f t="shared" si="2"/>
        <v>#DIV/0!</v>
      </c>
      <c r="AO43" s="414">
        <f>(SUMIFS('Supply planning data'!H:H,'Supply planning data'!$D:$D,"&lt;="&amp;C43)+SUMIFS('Supply planning data'!G:G,'Supply planning data'!$D:$D,"&lt;="&amp;C43,'Supply planning data'!$C:$C,"Jansen"))/DataViz!$C$4</f>
        <v>2.9492566666666668E-2</v>
      </c>
    </row>
    <row r="44" spans="1:41" x14ac:dyDescent="0.25">
      <c r="A44" s="8" t="str">
        <f>'Supply planning data'!A635</f>
        <v>Anyland</v>
      </c>
      <c r="B44" s="8" t="str">
        <f>'Supply planning data'!B635</f>
        <v>ANY</v>
      </c>
      <c r="C44" s="355">
        <f>'Supply planning data'!D635</f>
        <v>45474</v>
      </c>
      <c r="D44" s="355" t="str">
        <f>'Supply planning data'!E635</f>
        <v>Yes</v>
      </c>
      <c r="E44" s="11">
        <f>SUM('Supply planning data'!F635:F649)</f>
        <v>4871200</v>
      </c>
      <c r="F44" s="11">
        <f>SUM('Supply planning data'!G635:G649)</f>
        <v>0</v>
      </c>
      <c r="G44" s="11">
        <f>SUM('Supply planning data'!H635:H649)</f>
        <v>0</v>
      </c>
      <c r="H44" s="11">
        <f>SUM('Supply planning data'!I635:I649)</f>
        <v>0</v>
      </c>
      <c r="I44" s="11">
        <f>SUM('Supply planning data'!J635:J649)</f>
        <v>0</v>
      </c>
      <c r="J44" s="11">
        <f>SUM('Supply planning data'!K635:K649)</f>
        <v>0</v>
      </c>
      <c r="K44" s="356" t="str">
        <f t="shared" si="0"/>
        <v/>
      </c>
      <c r="L44" s="11">
        <f>SUM('Supply planning data'!M635:M649)</f>
        <v>0</v>
      </c>
      <c r="M44" s="11">
        <f>SUM('Supply planning data'!N635:N649)</f>
        <v>0</v>
      </c>
      <c r="N44" s="11"/>
      <c r="O44" s="11">
        <f>SUM('Supply planning data'!P635:P649)</f>
        <v>0</v>
      </c>
      <c r="P44" s="11"/>
      <c r="Q44" s="11">
        <f>SUM('Supply planning data'!R635:R649)</f>
        <v>0</v>
      </c>
      <c r="R44" s="11">
        <f>SUM('Supply planning data'!S635:S649)</f>
        <v>0</v>
      </c>
      <c r="S44" s="11"/>
      <c r="T44" s="11">
        <f>SUM('Supply planning data'!U635:U649)</f>
        <v>0</v>
      </c>
      <c r="U44" s="11">
        <f>SUM('Supply planning data'!V635:V649)</f>
        <v>4871200</v>
      </c>
      <c r="V44" s="394" t="str">
        <f t="shared" si="3"/>
        <v/>
      </c>
      <c r="W44" s="11">
        <f>SUM('Supply planning data'!X635:X649)</f>
        <v>3905901</v>
      </c>
      <c r="X44" s="11">
        <f>SUM('Supply planning data'!Y635:Y649)</f>
        <v>0</v>
      </c>
      <c r="Y44" s="11"/>
      <c r="Z44" s="11">
        <f>SUM('Supply planning data'!AA635:AA649)</f>
        <v>0</v>
      </c>
      <c r="AA44" s="11">
        <f>SUM('Supply planning data'!AB635:AB649)</f>
        <v>0</v>
      </c>
      <c r="AB44" s="11"/>
      <c r="AC44" s="11">
        <f>SUM('Supply planning data'!AD635:AD649)</f>
        <v>0</v>
      </c>
      <c r="AD44" s="11">
        <f>SUM('Supply planning data'!AE635:AE649)</f>
        <v>3905901</v>
      </c>
      <c r="AE44" s="11" t="e">
        <f t="shared" si="1"/>
        <v>#DIV/0!</v>
      </c>
      <c r="AF44" s="11">
        <f>SUM('Supply planning data'!AG635:AG649)</f>
        <v>4871200</v>
      </c>
      <c r="AG44" s="11">
        <f>SUM('Supply planning data'!AH635:AH649)</f>
        <v>0</v>
      </c>
      <c r="AH44" s="11"/>
      <c r="AI44" s="11">
        <f>SUM('Supply planning data'!AJ635:AJ649)</f>
        <v>0</v>
      </c>
      <c r="AJ44" s="11">
        <f>SUM('Supply planning data'!AK635:AK649)</f>
        <v>0</v>
      </c>
      <c r="AK44" s="11"/>
      <c r="AL44" s="11">
        <f>SUM('Supply planning data'!AM635:AM649)</f>
        <v>0</v>
      </c>
      <c r="AM44" s="11">
        <f>SUM('Supply planning data'!AN635:AN649)</f>
        <v>4871200</v>
      </c>
      <c r="AN44" s="11" t="e">
        <f t="shared" si="2"/>
        <v>#DIV/0!</v>
      </c>
      <c r="AO44" s="414">
        <f>(SUMIFS('Supply planning data'!H:H,'Supply planning data'!$D:$D,"&lt;="&amp;C44)+SUMIFS('Supply planning data'!G:G,'Supply planning data'!$D:$D,"&lt;="&amp;C44,'Supply planning data'!$C:$C,"Jansen"))/DataViz!$C$4</f>
        <v>2.9492566666666668E-2</v>
      </c>
    </row>
    <row r="45" spans="1:41" x14ac:dyDescent="0.25">
      <c r="A45" s="8" t="str">
        <f>'Supply planning data'!A650</f>
        <v>Anyland</v>
      </c>
      <c r="B45" s="8" t="str">
        <f>'Supply planning data'!B650</f>
        <v>ANY</v>
      </c>
      <c r="C45" s="355">
        <f>'Supply planning data'!D650</f>
        <v>45505</v>
      </c>
      <c r="D45" s="355" t="str">
        <f>'Supply planning data'!E650</f>
        <v>Yes</v>
      </c>
      <c r="E45" s="11">
        <f>SUM('Supply planning data'!F650:F664)</f>
        <v>4871200</v>
      </c>
      <c r="F45" s="11">
        <f>SUM('Supply planning data'!G650:G664)</f>
        <v>0</v>
      </c>
      <c r="G45" s="11">
        <f>SUM('Supply planning data'!H650:H664)</f>
        <v>0</v>
      </c>
      <c r="H45" s="11">
        <f>SUM('Supply planning data'!I650:I664)</f>
        <v>0</v>
      </c>
      <c r="I45" s="11">
        <f>SUM('Supply planning data'!J650:J664)</f>
        <v>0</v>
      </c>
      <c r="J45" s="11">
        <f>SUM('Supply planning data'!K650:K664)</f>
        <v>0</v>
      </c>
      <c r="K45" s="356" t="str">
        <f t="shared" si="0"/>
        <v/>
      </c>
      <c r="L45" s="11">
        <f>SUM('Supply planning data'!M650:M664)</f>
        <v>0</v>
      </c>
      <c r="M45" s="11">
        <f>SUM('Supply planning data'!N650:N664)</f>
        <v>0</v>
      </c>
      <c r="N45" s="11"/>
      <c r="O45" s="11">
        <f>SUM('Supply planning data'!P650:P664)</f>
        <v>0</v>
      </c>
      <c r="P45" s="11"/>
      <c r="Q45" s="11">
        <f>SUM('Supply planning data'!R650:R664)</f>
        <v>0</v>
      </c>
      <c r="R45" s="11">
        <f>SUM('Supply planning data'!S650:S664)</f>
        <v>0</v>
      </c>
      <c r="S45" s="11"/>
      <c r="T45" s="11">
        <f>SUM('Supply planning data'!U650:U664)</f>
        <v>0</v>
      </c>
      <c r="U45" s="11">
        <f>SUM('Supply planning data'!V650:V664)</f>
        <v>4871200</v>
      </c>
      <c r="V45" s="394" t="str">
        <f t="shared" si="3"/>
        <v/>
      </c>
      <c r="W45" s="11">
        <f>SUM('Supply planning data'!X650:X664)</f>
        <v>3905901</v>
      </c>
      <c r="X45" s="11">
        <f>SUM('Supply planning data'!Y650:Y664)</f>
        <v>0</v>
      </c>
      <c r="Y45" s="11"/>
      <c r="Z45" s="11">
        <f>SUM('Supply planning data'!AA650:AA664)</f>
        <v>0</v>
      </c>
      <c r="AA45" s="11">
        <f>SUM('Supply planning data'!AB650:AB664)</f>
        <v>0</v>
      </c>
      <c r="AB45" s="11"/>
      <c r="AC45" s="11">
        <f>SUM('Supply planning data'!AD650:AD664)</f>
        <v>0</v>
      </c>
      <c r="AD45" s="11">
        <f>SUM('Supply planning data'!AE650:AE664)</f>
        <v>3905901</v>
      </c>
      <c r="AE45" s="11" t="e">
        <f t="shared" si="1"/>
        <v>#DIV/0!</v>
      </c>
      <c r="AF45" s="11">
        <f>SUM('Supply planning data'!AG650:AG664)</f>
        <v>4871200</v>
      </c>
      <c r="AG45" s="11">
        <f>SUM('Supply planning data'!AH650:AH664)</f>
        <v>0</v>
      </c>
      <c r="AH45" s="11"/>
      <c r="AI45" s="11">
        <f>SUM('Supply planning data'!AJ650:AJ664)</f>
        <v>0</v>
      </c>
      <c r="AJ45" s="11">
        <f>SUM('Supply planning data'!AK650:AK664)</f>
        <v>0</v>
      </c>
      <c r="AK45" s="11"/>
      <c r="AL45" s="11">
        <f>SUM('Supply planning data'!AM650:AM664)</f>
        <v>0</v>
      </c>
      <c r="AM45" s="11">
        <f>SUM('Supply planning data'!AN650:AN664)</f>
        <v>4871200</v>
      </c>
      <c r="AN45" s="11" t="e">
        <f t="shared" si="2"/>
        <v>#DIV/0!</v>
      </c>
      <c r="AO45" s="414">
        <f>(SUMIFS('Supply planning data'!H:H,'Supply planning data'!$D:$D,"&lt;="&amp;C45)+SUMIFS('Supply planning data'!G:G,'Supply planning data'!$D:$D,"&lt;="&amp;C45,'Supply planning data'!$C:$C,"Jansen"))/DataViz!$C$4</f>
        <v>2.9492566666666668E-2</v>
      </c>
    </row>
    <row r="46" spans="1:41" x14ac:dyDescent="0.25">
      <c r="A46" s="8" t="str">
        <f>'Supply planning data'!A665</f>
        <v>Anyland</v>
      </c>
      <c r="B46" s="8" t="str">
        <f>'Supply planning data'!B665</f>
        <v>ANY</v>
      </c>
      <c r="C46" s="355">
        <f>'Supply planning data'!D665</f>
        <v>45536</v>
      </c>
      <c r="D46" s="355" t="str">
        <f>'Supply planning data'!E665</f>
        <v>Yes</v>
      </c>
      <c r="E46" s="11">
        <f>SUM('Supply planning data'!F665:F679)</f>
        <v>4871200</v>
      </c>
      <c r="F46" s="11">
        <f>SUM('Supply planning data'!G665:G679)</f>
        <v>0</v>
      </c>
      <c r="G46" s="11">
        <f>SUM('Supply planning data'!H665:H679)</f>
        <v>0</v>
      </c>
      <c r="H46" s="11">
        <f>SUM('Supply planning data'!I665:I679)</f>
        <v>0</v>
      </c>
      <c r="I46" s="11">
        <f>SUM('Supply planning data'!J665:J679)</f>
        <v>0</v>
      </c>
      <c r="J46" s="11">
        <f>SUM('Supply planning data'!K665:K679)</f>
        <v>0</v>
      </c>
      <c r="K46" s="356" t="str">
        <f t="shared" si="0"/>
        <v/>
      </c>
      <c r="L46" s="11">
        <f>SUM('Supply planning data'!M665:M679)</f>
        <v>0</v>
      </c>
      <c r="M46" s="11">
        <f>SUM('Supply planning data'!N665:N679)</f>
        <v>0</v>
      </c>
      <c r="N46" s="11"/>
      <c r="O46" s="11">
        <f>SUM('Supply planning data'!P665:P679)</f>
        <v>0</v>
      </c>
      <c r="P46" s="11"/>
      <c r="Q46" s="11">
        <f>SUM('Supply planning data'!R665:R679)</f>
        <v>0</v>
      </c>
      <c r="R46" s="11">
        <f>SUM('Supply planning data'!S665:S679)</f>
        <v>0</v>
      </c>
      <c r="S46" s="11"/>
      <c r="T46" s="11">
        <f>SUM('Supply planning data'!U665:U679)</f>
        <v>0</v>
      </c>
      <c r="U46" s="11">
        <f>SUM('Supply planning data'!V665:V679)</f>
        <v>4871200</v>
      </c>
      <c r="V46" s="394" t="str">
        <f t="shared" si="3"/>
        <v/>
      </c>
      <c r="W46" s="11">
        <f>SUM('Supply planning data'!X665:X679)</f>
        <v>3905901</v>
      </c>
      <c r="X46" s="11">
        <f>SUM('Supply planning data'!Y665:Y679)</f>
        <v>0</v>
      </c>
      <c r="Y46" s="11"/>
      <c r="Z46" s="11">
        <f>SUM('Supply planning data'!AA665:AA679)</f>
        <v>0</v>
      </c>
      <c r="AA46" s="11">
        <f>SUM('Supply planning data'!AB665:AB679)</f>
        <v>0</v>
      </c>
      <c r="AB46" s="11"/>
      <c r="AC46" s="11">
        <f>SUM('Supply planning data'!AD665:AD679)</f>
        <v>0</v>
      </c>
      <c r="AD46" s="11">
        <f>SUM('Supply planning data'!AE665:AE679)</f>
        <v>3905901</v>
      </c>
      <c r="AE46" s="11" t="e">
        <f t="shared" si="1"/>
        <v>#DIV/0!</v>
      </c>
      <c r="AF46" s="11">
        <f>SUM('Supply planning data'!AG665:AG679)</f>
        <v>4871200</v>
      </c>
      <c r="AG46" s="11">
        <f>SUM('Supply planning data'!AH665:AH679)</f>
        <v>0</v>
      </c>
      <c r="AH46" s="11"/>
      <c r="AI46" s="11">
        <f>SUM('Supply planning data'!AJ665:AJ679)</f>
        <v>0</v>
      </c>
      <c r="AJ46" s="11">
        <f>SUM('Supply planning data'!AK665:AK679)</f>
        <v>0</v>
      </c>
      <c r="AK46" s="11"/>
      <c r="AL46" s="11">
        <f>SUM('Supply planning data'!AM665:AM679)</f>
        <v>0</v>
      </c>
      <c r="AM46" s="11">
        <f>SUM('Supply planning data'!AN665:AN679)</f>
        <v>4871200</v>
      </c>
      <c r="AN46" s="11" t="e">
        <f t="shared" si="2"/>
        <v>#DIV/0!</v>
      </c>
      <c r="AO46" s="414">
        <f>(SUMIFS('Supply planning data'!H:H,'Supply planning data'!$D:$D,"&lt;="&amp;C46)+SUMIFS('Supply planning data'!G:G,'Supply planning data'!$D:$D,"&lt;="&amp;C46,'Supply planning data'!$C:$C,"Jansen"))/DataViz!$C$4</f>
        <v>2.9492566666666668E-2</v>
      </c>
    </row>
    <row r="47" spans="1:41" x14ac:dyDescent="0.25">
      <c r="A47" s="8" t="str">
        <f>'Supply planning data'!A680</f>
        <v>Anyland</v>
      </c>
      <c r="B47" s="8" t="str">
        <f>'Supply planning data'!B680</f>
        <v>ANY</v>
      </c>
      <c r="C47" s="355">
        <f>'Supply planning data'!D680</f>
        <v>45566</v>
      </c>
      <c r="D47" s="355" t="str">
        <f>'Supply planning data'!E680</f>
        <v>Yes</v>
      </c>
      <c r="E47" s="11">
        <f>SUM('Supply planning data'!F680:F694)</f>
        <v>4871200</v>
      </c>
      <c r="F47" s="11">
        <f>SUM('Supply planning data'!G680:G694)</f>
        <v>0</v>
      </c>
      <c r="G47" s="11">
        <f>SUM('Supply planning data'!H680:H694)</f>
        <v>0</v>
      </c>
      <c r="H47" s="11">
        <f>SUM('Supply planning data'!I680:I694)</f>
        <v>0</v>
      </c>
      <c r="I47" s="11">
        <f>SUM('Supply planning data'!J680:J694)</f>
        <v>0</v>
      </c>
      <c r="J47" s="11">
        <f>SUM('Supply planning data'!K680:K694)</f>
        <v>0</v>
      </c>
      <c r="K47" s="356" t="str">
        <f t="shared" si="0"/>
        <v/>
      </c>
      <c r="L47" s="11">
        <f>SUM('Supply planning data'!M680:M694)</f>
        <v>0</v>
      </c>
      <c r="M47" s="11">
        <f>SUM('Supply planning data'!N680:N694)</f>
        <v>0</v>
      </c>
      <c r="N47" s="11"/>
      <c r="O47" s="11">
        <f>SUM('Supply planning data'!P680:P694)</f>
        <v>0</v>
      </c>
      <c r="P47" s="11"/>
      <c r="Q47" s="11">
        <f>SUM('Supply planning data'!R680:R694)</f>
        <v>0</v>
      </c>
      <c r="R47" s="11">
        <f>SUM('Supply planning data'!S680:S694)</f>
        <v>0</v>
      </c>
      <c r="S47" s="11"/>
      <c r="T47" s="11">
        <f>SUM('Supply planning data'!U680:U694)</f>
        <v>0</v>
      </c>
      <c r="U47" s="11">
        <f>SUM('Supply planning data'!V680:V694)</f>
        <v>4871200</v>
      </c>
      <c r="V47" s="394" t="str">
        <f t="shared" si="3"/>
        <v/>
      </c>
      <c r="W47" s="11">
        <f>SUM('Supply planning data'!X680:X694)</f>
        <v>3905901</v>
      </c>
      <c r="X47" s="11">
        <f>SUM('Supply planning data'!Y680:Y694)</f>
        <v>0</v>
      </c>
      <c r="Y47" s="11"/>
      <c r="Z47" s="11">
        <f>SUM('Supply planning data'!AA680:AA694)</f>
        <v>0</v>
      </c>
      <c r="AA47" s="11">
        <f>SUM('Supply planning data'!AB680:AB694)</f>
        <v>0</v>
      </c>
      <c r="AB47" s="11"/>
      <c r="AC47" s="11">
        <f>SUM('Supply planning data'!AD680:AD694)</f>
        <v>0</v>
      </c>
      <c r="AD47" s="11">
        <f>SUM('Supply planning data'!AE680:AE694)</f>
        <v>3905901</v>
      </c>
      <c r="AE47" s="11" t="e">
        <f t="shared" si="1"/>
        <v>#DIV/0!</v>
      </c>
      <c r="AF47" s="11">
        <f>SUM('Supply planning data'!AG680:AG694)</f>
        <v>4871200</v>
      </c>
      <c r="AG47" s="11">
        <f>SUM('Supply planning data'!AH680:AH694)</f>
        <v>0</v>
      </c>
      <c r="AH47" s="11"/>
      <c r="AI47" s="11">
        <f>SUM('Supply planning data'!AJ680:AJ694)</f>
        <v>0</v>
      </c>
      <c r="AJ47" s="11">
        <f>SUM('Supply planning data'!AK680:AK694)</f>
        <v>0</v>
      </c>
      <c r="AK47" s="11"/>
      <c r="AL47" s="11">
        <f>SUM('Supply planning data'!AM680:AM694)</f>
        <v>0</v>
      </c>
      <c r="AM47" s="11">
        <f>SUM('Supply planning data'!AN680:AN694)</f>
        <v>4871200</v>
      </c>
      <c r="AN47" s="11" t="e">
        <f t="shared" si="2"/>
        <v>#DIV/0!</v>
      </c>
      <c r="AO47" s="414">
        <f>(SUMIFS('Supply planning data'!H:H,'Supply planning data'!$D:$D,"&lt;="&amp;C47)+SUMIFS('Supply planning data'!G:G,'Supply planning data'!$D:$D,"&lt;="&amp;C47,'Supply planning data'!$C:$C,"Jansen"))/DataViz!$C$4</f>
        <v>2.9492566666666668E-2</v>
      </c>
    </row>
    <row r="48" spans="1:41" x14ac:dyDescent="0.25">
      <c r="A48" s="8" t="str">
        <f>'Supply planning data'!A695</f>
        <v>Anyland</v>
      </c>
      <c r="B48" s="8" t="str">
        <f>'Supply planning data'!B695</f>
        <v>ANY</v>
      </c>
      <c r="C48" s="355">
        <f>'Supply planning data'!D695</f>
        <v>45597</v>
      </c>
      <c r="D48" s="355" t="str">
        <f>'Supply planning data'!E695</f>
        <v>Yes</v>
      </c>
      <c r="E48" s="11">
        <f>SUM('Supply planning data'!F695:F709)</f>
        <v>4871200</v>
      </c>
      <c r="F48" s="11">
        <f>SUM('Supply planning data'!G695:G709)</f>
        <v>0</v>
      </c>
      <c r="G48" s="11">
        <f>SUM('Supply planning data'!H695:H709)</f>
        <v>0</v>
      </c>
      <c r="H48" s="11">
        <f>SUM('Supply planning data'!I695:I709)</f>
        <v>0</v>
      </c>
      <c r="I48" s="11">
        <f>SUM('Supply planning data'!J695:J709)</f>
        <v>0</v>
      </c>
      <c r="J48" s="11">
        <f>SUM('Supply planning data'!K695:K709)</f>
        <v>0</v>
      </c>
      <c r="K48" s="356" t="str">
        <f t="shared" si="0"/>
        <v/>
      </c>
      <c r="L48" s="11">
        <f>SUM('Supply planning data'!M695:M709)</f>
        <v>0</v>
      </c>
      <c r="M48" s="11">
        <f>SUM('Supply planning data'!N695:N709)</f>
        <v>0</v>
      </c>
      <c r="N48" s="11"/>
      <c r="O48" s="11">
        <f>SUM('Supply planning data'!P695:P709)</f>
        <v>0</v>
      </c>
      <c r="P48" s="11"/>
      <c r="Q48" s="11">
        <f>SUM('Supply planning data'!R695:R709)</f>
        <v>0</v>
      </c>
      <c r="R48" s="11">
        <f>SUM('Supply planning data'!S695:S709)</f>
        <v>0</v>
      </c>
      <c r="S48" s="11"/>
      <c r="T48" s="11">
        <f>SUM('Supply planning data'!U695:U709)</f>
        <v>0</v>
      </c>
      <c r="U48" s="11">
        <f>SUM('Supply planning data'!V695:V709)</f>
        <v>4871200</v>
      </c>
      <c r="V48" s="394" t="str">
        <f t="shared" si="3"/>
        <v/>
      </c>
      <c r="W48" s="11">
        <f>SUM('Supply planning data'!X695:X709)</f>
        <v>3905901</v>
      </c>
      <c r="X48" s="11">
        <f>SUM('Supply planning data'!Y695:Y709)</f>
        <v>0</v>
      </c>
      <c r="Y48" s="11"/>
      <c r="Z48" s="11">
        <f>SUM('Supply planning data'!AA695:AA709)</f>
        <v>0</v>
      </c>
      <c r="AA48" s="11">
        <f>SUM('Supply planning data'!AB695:AB709)</f>
        <v>0</v>
      </c>
      <c r="AB48" s="11"/>
      <c r="AC48" s="11">
        <f>SUM('Supply planning data'!AD695:AD709)</f>
        <v>0</v>
      </c>
      <c r="AD48" s="11">
        <f>SUM('Supply planning data'!AE695:AE709)</f>
        <v>3905901</v>
      </c>
      <c r="AE48" s="11" t="e">
        <f t="shared" si="1"/>
        <v>#DIV/0!</v>
      </c>
      <c r="AF48" s="11">
        <f>SUM('Supply planning data'!AG695:AG709)</f>
        <v>4871200</v>
      </c>
      <c r="AG48" s="11">
        <f>SUM('Supply planning data'!AH695:AH709)</f>
        <v>0</v>
      </c>
      <c r="AH48" s="11"/>
      <c r="AI48" s="11">
        <f>SUM('Supply planning data'!AJ695:AJ709)</f>
        <v>0</v>
      </c>
      <c r="AJ48" s="11">
        <f>SUM('Supply planning data'!AK695:AK709)</f>
        <v>0</v>
      </c>
      <c r="AK48" s="11"/>
      <c r="AL48" s="11">
        <f>SUM('Supply planning data'!AM695:AM709)</f>
        <v>0</v>
      </c>
      <c r="AM48" s="11">
        <f>SUM('Supply planning data'!AN695:AN709)</f>
        <v>4871200</v>
      </c>
      <c r="AN48" s="11" t="e">
        <f t="shared" si="2"/>
        <v>#DIV/0!</v>
      </c>
      <c r="AO48" s="414">
        <f>(SUMIFS('Supply planning data'!H:H,'Supply planning data'!$D:$D,"&lt;="&amp;C48)+SUMIFS('Supply planning data'!G:G,'Supply planning data'!$D:$D,"&lt;="&amp;C48,'Supply planning data'!$C:$C,"Jansen"))/DataViz!$C$4</f>
        <v>2.9492566666666668E-2</v>
      </c>
    </row>
    <row r="49" spans="1:41" x14ac:dyDescent="0.25">
      <c r="A49" s="8" t="str">
        <f>'Supply planning data'!A710</f>
        <v>Anyland</v>
      </c>
      <c r="B49" s="8" t="str">
        <f>'Supply planning data'!B710</f>
        <v>ANY</v>
      </c>
      <c r="C49" s="355">
        <f>'Supply planning data'!D710</f>
        <v>45627</v>
      </c>
      <c r="D49" s="355" t="str">
        <f>'Supply planning data'!E710</f>
        <v>Yes</v>
      </c>
      <c r="E49" s="11">
        <f>SUM('Supply planning data'!F710:F724)</f>
        <v>4871200</v>
      </c>
      <c r="F49" s="11">
        <f>SUM('Supply planning data'!G710:G724)</f>
        <v>0</v>
      </c>
      <c r="G49" s="11">
        <f>SUM('Supply planning data'!H710:H724)</f>
        <v>0</v>
      </c>
      <c r="H49" s="11">
        <f>SUM('Supply planning data'!I710:I724)</f>
        <v>0</v>
      </c>
      <c r="I49" s="11">
        <f>SUM('Supply planning data'!J710:J724)</f>
        <v>0</v>
      </c>
      <c r="J49" s="11">
        <f>SUM('Supply planning data'!K710:K724)</f>
        <v>0</v>
      </c>
      <c r="K49" s="356" t="str">
        <f t="shared" si="0"/>
        <v/>
      </c>
      <c r="L49" s="11">
        <f>SUM('Supply planning data'!M710:M724)</f>
        <v>0</v>
      </c>
      <c r="M49" s="11">
        <f>SUM('Supply planning data'!N710:N724)</f>
        <v>0</v>
      </c>
      <c r="N49" s="11"/>
      <c r="O49" s="11">
        <f>SUM('Supply planning data'!P710:P724)</f>
        <v>0</v>
      </c>
      <c r="P49" s="11"/>
      <c r="Q49" s="11">
        <f>SUM('Supply planning data'!R710:R724)</f>
        <v>0</v>
      </c>
      <c r="R49" s="11">
        <f>SUM('Supply planning data'!S710:S724)</f>
        <v>0</v>
      </c>
      <c r="S49" s="11"/>
      <c r="T49" s="11">
        <f>SUM('Supply planning data'!U710:U724)</f>
        <v>0</v>
      </c>
      <c r="U49" s="11">
        <f>SUM('Supply planning data'!V710:V724)</f>
        <v>4871200</v>
      </c>
      <c r="V49" s="394" t="str">
        <f t="shared" si="3"/>
        <v/>
      </c>
      <c r="W49" s="11">
        <f>SUM('Supply planning data'!X710:X724)</f>
        <v>3905901</v>
      </c>
      <c r="X49" s="11">
        <f>SUM('Supply planning data'!Y710:Y724)</f>
        <v>0</v>
      </c>
      <c r="Y49" s="11"/>
      <c r="Z49" s="11">
        <f>SUM('Supply planning data'!AA710:AA724)</f>
        <v>0</v>
      </c>
      <c r="AA49" s="11">
        <f>SUM('Supply planning data'!AB710:AB724)</f>
        <v>0</v>
      </c>
      <c r="AB49" s="11"/>
      <c r="AC49" s="11">
        <f>SUM('Supply planning data'!AD710:AD724)</f>
        <v>0</v>
      </c>
      <c r="AD49" s="11">
        <f>SUM('Supply planning data'!AE710:AE724)</f>
        <v>3905901</v>
      </c>
      <c r="AE49" s="11" t="e">
        <f t="shared" si="1"/>
        <v>#DIV/0!</v>
      </c>
      <c r="AF49" s="11">
        <f>SUM('Supply planning data'!AG710:AG724)</f>
        <v>4871200</v>
      </c>
      <c r="AG49" s="11">
        <f>SUM('Supply planning data'!AH710:AH724)</f>
        <v>0</v>
      </c>
      <c r="AH49" s="11"/>
      <c r="AI49" s="11">
        <f>SUM('Supply planning data'!AJ710:AJ724)</f>
        <v>0</v>
      </c>
      <c r="AJ49" s="11">
        <f>SUM('Supply planning data'!AK710:AK724)</f>
        <v>0</v>
      </c>
      <c r="AK49" s="11"/>
      <c r="AL49" s="11">
        <f>SUM('Supply planning data'!AM710:AM724)</f>
        <v>0</v>
      </c>
      <c r="AM49" s="11">
        <f>SUM('Supply planning data'!AN710:AN724)</f>
        <v>4871200</v>
      </c>
      <c r="AN49" s="11" t="e">
        <f t="shared" si="2"/>
        <v>#DIV/0!</v>
      </c>
      <c r="AO49" s="414">
        <f>(SUMIFS('Supply planning data'!H:H,'Supply planning data'!$D:$D,"&lt;="&amp;C49)+SUMIFS('Supply planning data'!G:G,'Supply planning data'!$D:$D,"&lt;="&amp;C49,'Supply planning data'!$C:$C,"Jansen"))/DataViz!$C$4</f>
        <v>2.9492566666666668E-2</v>
      </c>
    </row>
    <row r="50" spans="1:41" x14ac:dyDescent="0.25">
      <c r="A50" s="8" t="str">
        <f>'Supply planning data'!A725</f>
        <v>Anyland</v>
      </c>
      <c r="B50" s="8" t="str">
        <f>'Supply planning data'!B725</f>
        <v>ANY</v>
      </c>
      <c r="C50" s="355">
        <f>'Supply planning data'!D725</f>
        <v>45658</v>
      </c>
      <c r="D50" s="355" t="str">
        <f>'Supply planning data'!E725</f>
        <v>Yes</v>
      </c>
      <c r="E50" s="11">
        <f>SUM('Supply planning data'!F725:F739)</f>
        <v>4871200</v>
      </c>
      <c r="F50" s="11">
        <f>SUM('Supply planning data'!G725:G739)</f>
        <v>0</v>
      </c>
      <c r="G50" s="11">
        <f>SUM('Supply planning data'!H725:H739)</f>
        <v>0</v>
      </c>
      <c r="H50" s="11">
        <f>SUM('Supply planning data'!I725:I739)</f>
        <v>0</v>
      </c>
      <c r="I50" s="11">
        <f>SUM('Supply planning data'!J725:J739)</f>
        <v>0</v>
      </c>
      <c r="J50" s="11">
        <f>SUM('Supply planning data'!K725:K739)</f>
        <v>0</v>
      </c>
      <c r="K50" s="356" t="str">
        <f t="shared" si="0"/>
        <v/>
      </c>
      <c r="L50" s="11">
        <f>SUM('Supply planning data'!M725:M739)</f>
        <v>0</v>
      </c>
      <c r="M50" s="11">
        <f>SUM('Supply planning data'!N725:N739)</f>
        <v>0</v>
      </c>
      <c r="N50" s="11"/>
      <c r="O50" s="11">
        <f>SUM('Supply planning data'!P725:P739)</f>
        <v>0</v>
      </c>
      <c r="P50" s="11"/>
      <c r="Q50" s="11">
        <f>SUM('Supply planning data'!R725:R739)</f>
        <v>0</v>
      </c>
      <c r="R50" s="11">
        <f>SUM('Supply planning data'!S725:S739)</f>
        <v>0</v>
      </c>
      <c r="S50" s="11"/>
      <c r="T50" s="11">
        <f>SUM('Supply planning data'!U725:U739)</f>
        <v>0</v>
      </c>
      <c r="U50" s="11">
        <f>SUM('Supply planning data'!V725:V739)</f>
        <v>4871200</v>
      </c>
      <c r="V50" s="394" t="str">
        <f t="shared" si="3"/>
        <v/>
      </c>
      <c r="W50" s="11">
        <f>SUM('Supply planning data'!X725:X739)</f>
        <v>3905901</v>
      </c>
      <c r="X50" s="11">
        <f>SUM('Supply planning data'!Y725:Y739)</f>
        <v>0</v>
      </c>
      <c r="Y50" s="11"/>
      <c r="Z50" s="11">
        <f>SUM('Supply planning data'!AA725:AA739)</f>
        <v>0</v>
      </c>
      <c r="AA50" s="11">
        <f>SUM('Supply planning data'!AB725:AB739)</f>
        <v>0</v>
      </c>
      <c r="AB50" s="11"/>
      <c r="AC50" s="11">
        <f>SUM('Supply planning data'!AD725:AD739)</f>
        <v>0</v>
      </c>
      <c r="AD50" s="11">
        <f>SUM('Supply planning data'!AE725:AE739)</f>
        <v>3905901</v>
      </c>
      <c r="AE50" s="11" t="e">
        <f t="shared" si="1"/>
        <v>#DIV/0!</v>
      </c>
      <c r="AF50" s="11">
        <f>SUM('Supply planning data'!AG725:AG739)</f>
        <v>4871200</v>
      </c>
      <c r="AG50" s="11">
        <f>SUM('Supply planning data'!AH725:AH739)</f>
        <v>0</v>
      </c>
      <c r="AH50" s="11"/>
      <c r="AI50" s="11">
        <f>SUM('Supply planning data'!AJ725:AJ739)</f>
        <v>0</v>
      </c>
      <c r="AJ50" s="11">
        <f>SUM('Supply planning data'!AK725:AK739)</f>
        <v>0</v>
      </c>
      <c r="AK50" s="11"/>
      <c r="AL50" s="11">
        <f>SUM('Supply planning data'!AM725:AM739)</f>
        <v>0</v>
      </c>
      <c r="AM50" s="11">
        <f>SUM('Supply planning data'!AN725:AN739)</f>
        <v>4871200</v>
      </c>
      <c r="AN50" s="11" t="e">
        <f t="shared" si="2"/>
        <v>#DIV/0!</v>
      </c>
      <c r="AO50" s="414">
        <f>(SUMIFS('Supply planning data'!H:H,'Supply planning data'!$D:$D,"&lt;="&amp;C50)+SUMIFS('Supply planning data'!G:G,'Supply planning data'!$D:$D,"&lt;="&amp;C50,'Supply planning data'!$C:$C,"Jansen"))/DataViz!$C$4</f>
        <v>2.9492566666666668E-2</v>
      </c>
    </row>
    <row r="51" spans="1:41" x14ac:dyDescent="0.25">
      <c r="A51" s="8" t="str">
        <f>'Supply planning data'!A740</f>
        <v>Anyland</v>
      </c>
      <c r="B51" s="8" t="str">
        <f>'Supply planning data'!B740</f>
        <v>ANY</v>
      </c>
      <c r="C51" s="355">
        <f>'Supply planning data'!D740</f>
        <v>45689</v>
      </c>
      <c r="D51" s="355" t="str">
        <f>'Supply planning data'!E740</f>
        <v>Yes</v>
      </c>
      <c r="E51" s="11">
        <f>SUM('Supply planning data'!F740:F754)</f>
        <v>4871200</v>
      </c>
      <c r="F51" s="11">
        <f>SUM('Supply planning data'!G740:G754)</f>
        <v>0</v>
      </c>
      <c r="G51" s="11">
        <f>SUM('Supply planning data'!H740:H754)</f>
        <v>0</v>
      </c>
      <c r="H51" s="11">
        <f>SUM('Supply planning data'!I740:I754)</f>
        <v>0</v>
      </c>
      <c r="I51" s="11">
        <f>SUM('Supply planning data'!J740:J754)</f>
        <v>0</v>
      </c>
      <c r="J51" s="11">
        <f>SUM('Supply planning data'!K740:K754)</f>
        <v>0</v>
      </c>
      <c r="K51" s="356" t="str">
        <f t="shared" si="0"/>
        <v/>
      </c>
      <c r="L51" s="11">
        <f>SUM('Supply planning data'!M740:M754)</f>
        <v>0</v>
      </c>
      <c r="M51" s="11">
        <f>SUM('Supply planning data'!N740:N754)</f>
        <v>0</v>
      </c>
      <c r="N51" s="11"/>
      <c r="O51" s="11">
        <f>SUM('Supply planning data'!P740:P754)</f>
        <v>0</v>
      </c>
      <c r="P51" s="11"/>
      <c r="Q51" s="11">
        <f>SUM('Supply planning data'!R740:R754)</f>
        <v>0</v>
      </c>
      <c r="R51" s="11">
        <f>SUM('Supply planning data'!S740:S754)</f>
        <v>0</v>
      </c>
      <c r="S51" s="11"/>
      <c r="T51" s="11">
        <f>SUM('Supply planning data'!U740:U754)</f>
        <v>0</v>
      </c>
      <c r="U51" s="11">
        <f>SUM('Supply planning data'!V740:V754)</f>
        <v>4871200</v>
      </c>
      <c r="V51" s="394" t="str">
        <f t="shared" si="3"/>
        <v/>
      </c>
      <c r="W51" s="11">
        <f>SUM('Supply planning data'!X740:X754)</f>
        <v>3905901</v>
      </c>
      <c r="X51" s="11">
        <f>SUM('Supply planning data'!Y740:Y754)</f>
        <v>0</v>
      </c>
      <c r="Y51" s="11"/>
      <c r="Z51" s="11">
        <f>SUM('Supply planning data'!AA740:AA754)</f>
        <v>0</v>
      </c>
      <c r="AA51" s="11">
        <f>SUM('Supply planning data'!AB740:AB754)</f>
        <v>0</v>
      </c>
      <c r="AB51" s="11"/>
      <c r="AC51" s="11">
        <f>SUM('Supply planning data'!AD740:AD754)</f>
        <v>0</v>
      </c>
      <c r="AD51" s="11">
        <f>SUM('Supply planning data'!AE740:AE754)</f>
        <v>3905901</v>
      </c>
      <c r="AE51" s="11" t="e">
        <f t="shared" si="1"/>
        <v>#DIV/0!</v>
      </c>
      <c r="AF51" s="11">
        <f>SUM('Supply planning data'!AG740:AG754)</f>
        <v>4871200</v>
      </c>
      <c r="AG51" s="11">
        <f>SUM('Supply planning data'!AH740:AH754)</f>
        <v>0</v>
      </c>
      <c r="AH51" s="11"/>
      <c r="AI51" s="11">
        <f>SUM('Supply planning data'!AJ740:AJ754)</f>
        <v>0</v>
      </c>
      <c r="AJ51" s="11">
        <f>SUM('Supply planning data'!AK740:AK754)</f>
        <v>0</v>
      </c>
      <c r="AK51" s="11"/>
      <c r="AL51" s="11">
        <f>SUM('Supply planning data'!AM740:AM754)</f>
        <v>0</v>
      </c>
      <c r="AM51" s="11">
        <f>SUM('Supply planning data'!AN740:AN754)</f>
        <v>4871200</v>
      </c>
      <c r="AN51" s="11" t="e">
        <f t="shared" si="2"/>
        <v>#DIV/0!</v>
      </c>
      <c r="AO51" s="414">
        <f>(SUMIFS('Supply planning data'!H:H,'Supply planning data'!$D:$D,"&lt;="&amp;C51)+SUMIFS('Supply planning data'!G:G,'Supply planning data'!$D:$D,"&lt;="&amp;C51,'Supply planning data'!$C:$C,"Jansen"))/DataViz!$C$4</f>
        <v>2.9492566666666668E-2</v>
      </c>
    </row>
    <row r="52" spans="1:41" x14ac:dyDescent="0.25">
      <c r="A52" s="8" t="str">
        <f>'Supply planning data'!A755</f>
        <v>Anyland</v>
      </c>
      <c r="B52" s="8" t="str">
        <f>'Supply planning data'!B755</f>
        <v>ANY</v>
      </c>
      <c r="C52" s="355">
        <f>'Supply planning data'!D755</f>
        <v>45717</v>
      </c>
      <c r="D52" s="355" t="str">
        <f>'Supply planning data'!E755</f>
        <v>Yes</v>
      </c>
      <c r="E52" s="11">
        <f>SUM('Supply planning data'!F755:F769)</f>
        <v>4871200</v>
      </c>
      <c r="F52" s="11">
        <f>SUM('Supply planning data'!G755:G769)</f>
        <v>0</v>
      </c>
      <c r="G52" s="11">
        <f>SUM('Supply planning data'!H755:H769)</f>
        <v>0</v>
      </c>
      <c r="H52" s="11">
        <f>SUM('Supply planning data'!I755:I769)</f>
        <v>0</v>
      </c>
      <c r="I52" s="11">
        <f>SUM('Supply planning data'!J755:J769)</f>
        <v>0</v>
      </c>
      <c r="J52" s="11">
        <f>SUM('Supply planning data'!K755:K769)</f>
        <v>0</v>
      </c>
      <c r="K52" s="356" t="str">
        <f t="shared" si="0"/>
        <v/>
      </c>
      <c r="L52" s="11">
        <f>SUM('Supply planning data'!M755:M769)</f>
        <v>0</v>
      </c>
      <c r="M52" s="11">
        <f>SUM('Supply planning data'!N755:N769)</f>
        <v>0</v>
      </c>
      <c r="N52" s="11"/>
      <c r="O52" s="11">
        <f>SUM('Supply planning data'!P755:P769)</f>
        <v>0</v>
      </c>
      <c r="P52" s="11"/>
      <c r="Q52" s="11">
        <f>SUM('Supply planning data'!R755:R769)</f>
        <v>0</v>
      </c>
      <c r="R52" s="11">
        <f>SUM('Supply planning data'!S755:S769)</f>
        <v>0</v>
      </c>
      <c r="S52" s="11"/>
      <c r="T52" s="11">
        <f>SUM('Supply planning data'!U755:U769)</f>
        <v>0</v>
      </c>
      <c r="U52" s="11">
        <f>SUM('Supply planning data'!V755:V769)</f>
        <v>4871200</v>
      </c>
      <c r="V52" s="394" t="str">
        <f t="shared" si="3"/>
        <v/>
      </c>
      <c r="W52" s="11">
        <f>SUM('Supply planning data'!X755:X769)</f>
        <v>3905901</v>
      </c>
      <c r="X52" s="11">
        <f>SUM('Supply planning data'!Y755:Y769)</f>
        <v>0</v>
      </c>
      <c r="Y52" s="11"/>
      <c r="Z52" s="11">
        <f>SUM('Supply planning data'!AA755:AA769)</f>
        <v>0</v>
      </c>
      <c r="AA52" s="11">
        <f>SUM('Supply planning data'!AB755:AB769)</f>
        <v>0</v>
      </c>
      <c r="AB52" s="11"/>
      <c r="AC52" s="11">
        <f>SUM('Supply planning data'!AD755:AD769)</f>
        <v>0</v>
      </c>
      <c r="AD52" s="11">
        <f>SUM('Supply planning data'!AE755:AE769)</f>
        <v>3905901</v>
      </c>
      <c r="AE52" s="11" t="e">
        <f t="shared" si="1"/>
        <v>#DIV/0!</v>
      </c>
      <c r="AF52" s="11">
        <f>SUM('Supply planning data'!AG755:AG769)</f>
        <v>4871200</v>
      </c>
      <c r="AG52" s="11">
        <f>SUM('Supply planning data'!AH755:AH769)</f>
        <v>0</v>
      </c>
      <c r="AH52" s="11"/>
      <c r="AI52" s="11">
        <f>SUM('Supply planning data'!AJ755:AJ769)</f>
        <v>0</v>
      </c>
      <c r="AJ52" s="11">
        <f>SUM('Supply planning data'!AK755:AK769)</f>
        <v>0</v>
      </c>
      <c r="AK52" s="11"/>
      <c r="AL52" s="11">
        <f>SUM('Supply planning data'!AM755:AM769)</f>
        <v>0</v>
      </c>
      <c r="AM52" s="11">
        <f>SUM('Supply planning data'!AN755:AN769)</f>
        <v>4871200</v>
      </c>
      <c r="AN52" s="11" t="e">
        <f t="shared" si="2"/>
        <v>#DIV/0!</v>
      </c>
      <c r="AO52" s="414">
        <f>(SUMIFS('Supply planning data'!H:H,'Supply planning data'!$D:$D,"&lt;="&amp;C52)+SUMIFS('Supply planning data'!G:G,'Supply planning data'!$D:$D,"&lt;="&amp;C52,'Supply planning data'!$C:$C,"Jansen"))/DataViz!$C$4</f>
        <v>2.9492566666666668E-2</v>
      </c>
    </row>
    <row r="53" spans="1:41" x14ac:dyDescent="0.25">
      <c r="A53" s="8" t="str">
        <f>'Supply planning data'!A770</f>
        <v>Anyland</v>
      </c>
      <c r="B53" s="8" t="str">
        <f>'Supply planning data'!B770</f>
        <v>ANY</v>
      </c>
      <c r="C53" s="355">
        <f>'Supply planning data'!D770</f>
        <v>45748</v>
      </c>
      <c r="D53" s="355" t="str">
        <f>'Supply planning data'!E770</f>
        <v>Yes</v>
      </c>
      <c r="E53" s="11">
        <f>SUM('Supply planning data'!F770:F784)</f>
        <v>4871200</v>
      </c>
      <c r="F53" s="11">
        <f>SUM('Supply planning data'!G770:G784)</f>
        <v>0</v>
      </c>
      <c r="G53" s="11">
        <f>SUM('Supply planning data'!H770:H784)</f>
        <v>0</v>
      </c>
      <c r="H53" s="11">
        <f>SUM('Supply planning data'!I770:I784)</f>
        <v>0</v>
      </c>
      <c r="I53" s="11">
        <f>SUM('Supply planning data'!J770:J784)</f>
        <v>0</v>
      </c>
      <c r="J53" s="11">
        <f>SUM('Supply planning data'!K770:K784)</f>
        <v>0</v>
      </c>
      <c r="K53" s="356" t="str">
        <f t="shared" si="0"/>
        <v/>
      </c>
      <c r="L53" s="11">
        <f>SUM('Supply planning data'!M770:M784)</f>
        <v>0</v>
      </c>
      <c r="M53" s="11">
        <f>SUM('Supply planning data'!N770:N784)</f>
        <v>0</v>
      </c>
      <c r="N53" s="11"/>
      <c r="O53" s="11">
        <f>SUM('Supply planning data'!P770:P784)</f>
        <v>0</v>
      </c>
      <c r="P53" s="11"/>
      <c r="Q53" s="11">
        <f>SUM('Supply planning data'!R770:R784)</f>
        <v>0</v>
      </c>
      <c r="R53" s="11">
        <f>SUM('Supply planning data'!S770:S784)</f>
        <v>0</v>
      </c>
      <c r="S53" s="11"/>
      <c r="T53" s="11">
        <f>SUM('Supply planning data'!U770:U784)</f>
        <v>0</v>
      </c>
      <c r="U53" s="11">
        <f>SUM('Supply planning data'!V770:V784)</f>
        <v>4871200</v>
      </c>
      <c r="V53" s="394" t="str">
        <f t="shared" si="3"/>
        <v/>
      </c>
      <c r="W53" s="11">
        <f>SUM('Supply planning data'!X770:X784)</f>
        <v>3905901</v>
      </c>
      <c r="X53" s="11">
        <f>SUM('Supply planning data'!Y770:Y784)</f>
        <v>0</v>
      </c>
      <c r="Y53" s="11"/>
      <c r="Z53" s="11">
        <f>SUM('Supply planning data'!AA770:AA784)</f>
        <v>0</v>
      </c>
      <c r="AA53" s="11">
        <f>SUM('Supply planning data'!AB770:AB784)</f>
        <v>0</v>
      </c>
      <c r="AB53" s="11"/>
      <c r="AC53" s="11">
        <f>SUM('Supply planning data'!AD770:AD784)</f>
        <v>0</v>
      </c>
      <c r="AD53" s="11">
        <f>SUM('Supply planning data'!AE770:AE784)</f>
        <v>3905901</v>
      </c>
      <c r="AE53" s="11" t="e">
        <f t="shared" si="1"/>
        <v>#DIV/0!</v>
      </c>
      <c r="AF53" s="11">
        <f>SUM('Supply planning data'!AG770:AG784)</f>
        <v>4871200</v>
      </c>
      <c r="AG53" s="11">
        <f>SUM('Supply planning data'!AH770:AH784)</f>
        <v>0</v>
      </c>
      <c r="AH53" s="11"/>
      <c r="AI53" s="11">
        <f>SUM('Supply planning data'!AJ770:AJ784)</f>
        <v>0</v>
      </c>
      <c r="AJ53" s="11">
        <f>SUM('Supply planning data'!AK770:AK784)</f>
        <v>0</v>
      </c>
      <c r="AK53" s="11"/>
      <c r="AL53" s="11">
        <f>SUM('Supply planning data'!AM770:AM784)</f>
        <v>0</v>
      </c>
      <c r="AM53" s="11">
        <f>SUM('Supply planning data'!AN770:AN784)</f>
        <v>4871200</v>
      </c>
      <c r="AN53" s="11" t="e">
        <f t="shared" si="2"/>
        <v>#DIV/0!</v>
      </c>
      <c r="AO53" s="414">
        <f>(SUMIFS('Supply planning data'!H:H,'Supply planning data'!$D:$D,"&lt;="&amp;C53)+SUMIFS('Supply planning data'!G:G,'Supply planning data'!$D:$D,"&lt;="&amp;C53,'Supply planning data'!$C:$C,"Jansen"))/DataViz!$C$4</f>
        <v>2.9492566666666668E-2</v>
      </c>
    </row>
    <row r="54" spans="1:41" x14ac:dyDescent="0.25">
      <c r="A54" s="8" t="str">
        <f>'Supply planning data'!A785</f>
        <v>Anyland</v>
      </c>
      <c r="B54" s="8" t="str">
        <f>'Supply planning data'!B785</f>
        <v>ANY</v>
      </c>
      <c r="C54" s="355">
        <f>'Supply planning data'!D785</f>
        <v>45778</v>
      </c>
      <c r="D54" s="355" t="str">
        <f>'Supply planning data'!E785</f>
        <v>Yes</v>
      </c>
      <c r="E54" s="11">
        <f>SUM('Supply planning data'!F785:F799)</f>
        <v>4871200</v>
      </c>
      <c r="F54" s="11">
        <f>SUM('Supply planning data'!G785:G799)</f>
        <v>0</v>
      </c>
      <c r="G54" s="11">
        <f>SUM('Supply planning data'!H785:H799)</f>
        <v>0</v>
      </c>
      <c r="H54" s="11">
        <f>SUM('Supply planning data'!I785:I799)</f>
        <v>0</v>
      </c>
      <c r="I54" s="11">
        <f>SUM('Supply planning data'!J785:J799)</f>
        <v>0</v>
      </c>
      <c r="J54" s="11">
        <f>SUM('Supply planning data'!K785:K799)</f>
        <v>0</v>
      </c>
      <c r="K54" s="356" t="str">
        <f t="shared" si="0"/>
        <v/>
      </c>
      <c r="L54" s="11">
        <f>SUM('Supply planning data'!M785:M799)</f>
        <v>0</v>
      </c>
      <c r="M54" s="11">
        <f>SUM('Supply planning data'!N785:N799)</f>
        <v>0</v>
      </c>
      <c r="N54" s="11"/>
      <c r="O54" s="11">
        <f>SUM('Supply planning data'!P785:P799)</f>
        <v>0</v>
      </c>
      <c r="P54" s="11"/>
      <c r="Q54" s="11">
        <f>SUM('Supply planning data'!R785:R799)</f>
        <v>0</v>
      </c>
      <c r="R54" s="11">
        <f>SUM('Supply planning data'!S785:S799)</f>
        <v>0</v>
      </c>
      <c r="S54" s="11"/>
      <c r="T54" s="11">
        <f>SUM('Supply planning data'!U785:U799)</f>
        <v>0</v>
      </c>
      <c r="U54" s="11">
        <f>SUM('Supply planning data'!V785:V799)</f>
        <v>4871200</v>
      </c>
      <c r="V54" s="394" t="str">
        <f t="shared" si="3"/>
        <v/>
      </c>
      <c r="W54" s="11">
        <f>SUM('Supply planning data'!X785:X799)</f>
        <v>3905901</v>
      </c>
      <c r="X54" s="11">
        <f>SUM('Supply planning data'!Y785:Y799)</f>
        <v>0</v>
      </c>
      <c r="Y54" s="11"/>
      <c r="Z54" s="11">
        <f>SUM('Supply planning data'!AA785:AA799)</f>
        <v>0</v>
      </c>
      <c r="AA54" s="11">
        <f>SUM('Supply planning data'!AB785:AB799)</f>
        <v>0</v>
      </c>
      <c r="AB54" s="11"/>
      <c r="AC54" s="11">
        <f>SUM('Supply planning data'!AD785:AD799)</f>
        <v>0</v>
      </c>
      <c r="AD54" s="11">
        <f>SUM('Supply planning data'!AE785:AE799)</f>
        <v>3905901</v>
      </c>
      <c r="AE54" s="11" t="e">
        <f t="shared" si="1"/>
        <v>#DIV/0!</v>
      </c>
      <c r="AF54" s="11">
        <f>SUM('Supply planning data'!AG785:AG799)</f>
        <v>4871200</v>
      </c>
      <c r="AG54" s="11">
        <f>SUM('Supply planning data'!AH785:AH799)</f>
        <v>0</v>
      </c>
      <c r="AH54" s="11"/>
      <c r="AI54" s="11">
        <f>SUM('Supply planning data'!AJ785:AJ799)</f>
        <v>0</v>
      </c>
      <c r="AJ54" s="11">
        <f>SUM('Supply planning data'!AK785:AK799)</f>
        <v>0</v>
      </c>
      <c r="AK54" s="11"/>
      <c r="AL54" s="11">
        <f>SUM('Supply planning data'!AM785:AM799)</f>
        <v>0</v>
      </c>
      <c r="AM54" s="11">
        <f>SUM('Supply planning data'!AN785:AN799)</f>
        <v>4871200</v>
      </c>
      <c r="AN54" s="11" t="e">
        <f t="shared" si="2"/>
        <v>#DIV/0!</v>
      </c>
      <c r="AO54" s="414">
        <f>(SUMIFS('Supply planning data'!H:H,'Supply planning data'!$D:$D,"&lt;="&amp;C54)+SUMIFS('Supply planning data'!G:G,'Supply planning data'!$D:$D,"&lt;="&amp;C54,'Supply planning data'!$C:$C,"Jansen"))/DataViz!$C$4</f>
        <v>2.9492566666666668E-2</v>
      </c>
    </row>
    <row r="55" spans="1:41" x14ac:dyDescent="0.25">
      <c r="A55" s="8" t="str">
        <f>'Supply planning data'!A800</f>
        <v>Anyland</v>
      </c>
      <c r="B55" s="8" t="str">
        <f>'Supply planning data'!B800</f>
        <v>ANY</v>
      </c>
      <c r="C55" s="355">
        <f>'Supply planning data'!D800</f>
        <v>45809</v>
      </c>
      <c r="D55" s="355" t="str">
        <f>'Supply planning data'!E800</f>
        <v>Yes</v>
      </c>
      <c r="E55" s="11">
        <f>SUM('Supply planning data'!F800:F814)</f>
        <v>4871200</v>
      </c>
      <c r="F55" s="11">
        <f>SUM('Supply planning data'!G800:G814)</f>
        <v>0</v>
      </c>
      <c r="G55" s="11">
        <f>SUM('Supply planning data'!H800:H814)</f>
        <v>0</v>
      </c>
      <c r="H55" s="11">
        <f>SUM('Supply planning data'!I800:I814)</f>
        <v>0</v>
      </c>
      <c r="I55" s="11">
        <f>SUM('Supply planning data'!J800:J814)</f>
        <v>0</v>
      </c>
      <c r="J55" s="11">
        <f>SUM('Supply planning data'!K800:K814)</f>
        <v>0</v>
      </c>
      <c r="K55" s="356" t="str">
        <f t="shared" si="0"/>
        <v/>
      </c>
      <c r="L55" s="11">
        <f>SUM('Supply planning data'!M800:M814)</f>
        <v>0</v>
      </c>
      <c r="M55" s="11">
        <f>SUM('Supply planning data'!N800:N814)</f>
        <v>0</v>
      </c>
      <c r="N55" s="11"/>
      <c r="O55" s="11">
        <f>SUM('Supply planning data'!P800:P814)</f>
        <v>0</v>
      </c>
      <c r="P55" s="11"/>
      <c r="Q55" s="11">
        <f>SUM('Supply planning data'!R800:R814)</f>
        <v>0</v>
      </c>
      <c r="R55" s="11">
        <f>SUM('Supply planning data'!S800:S814)</f>
        <v>0</v>
      </c>
      <c r="S55" s="11"/>
      <c r="T55" s="11">
        <f>SUM('Supply planning data'!U800:U814)</f>
        <v>0</v>
      </c>
      <c r="U55" s="11">
        <f>SUM('Supply planning data'!V800:V814)</f>
        <v>4871200</v>
      </c>
      <c r="V55" s="394" t="str">
        <f t="shared" si="3"/>
        <v/>
      </c>
      <c r="W55" s="11">
        <f>SUM('Supply planning data'!X800:X814)</f>
        <v>3905901</v>
      </c>
      <c r="X55" s="11">
        <f>SUM('Supply planning data'!Y800:Y814)</f>
        <v>0</v>
      </c>
      <c r="Y55" s="11"/>
      <c r="Z55" s="11">
        <f>SUM('Supply planning data'!AA800:AA814)</f>
        <v>0</v>
      </c>
      <c r="AA55" s="11">
        <f>SUM('Supply planning data'!AB800:AB814)</f>
        <v>0</v>
      </c>
      <c r="AB55" s="11"/>
      <c r="AC55" s="11">
        <f>SUM('Supply planning data'!AD800:AD814)</f>
        <v>0</v>
      </c>
      <c r="AD55" s="11">
        <f>SUM('Supply planning data'!AE800:AE814)</f>
        <v>3905901</v>
      </c>
      <c r="AE55" s="11" t="e">
        <f t="shared" si="1"/>
        <v>#DIV/0!</v>
      </c>
      <c r="AF55" s="11">
        <f>SUM('Supply planning data'!AG800:AG814)</f>
        <v>4871200</v>
      </c>
      <c r="AG55" s="11">
        <f>SUM('Supply planning data'!AH800:AH814)</f>
        <v>0</v>
      </c>
      <c r="AH55" s="11"/>
      <c r="AI55" s="11">
        <f>SUM('Supply planning data'!AJ800:AJ814)</f>
        <v>0</v>
      </c>
      <c r="AJ55" s="11">
        <f>SUM('Supply planning data'!AK800:AK814)</f>
        <v>0</v>
      </c>
      <c r="AK55" s="11"/>
      <c r="AL55" s="11">
        <f>SUM('Supply planning data'!AM800:AM814)</f>
        <v>0</v>
      </c>
      <c r="AM55" s="11">
        <f>SUM('Supply planning data'!AN800:AN814)</f>
        <v>4871200</v>
      </c>
      <c r="AN55" s="11" t="e">
        <f t="shared" si="2"/>
        <v>#DIV/0!</v>
      </c>
      <c r="AO55" s="414">
        <f>(SUMIFS('Supply planning data'!H:H,'Supply planning data'!$D:$D,"&lt;="&amp;C55)+SUMIFS('Supply planning data'!G:G,'Supply planning data'!$D:$D,"&lt;="&amp;C55,'Supply planning data'!$C:$C,"Jansen"))/DataViz!$C$4</f>
        <v>2.9492566666666668E-2</v>
      </c>
    </row>
    <row r="56" spans="1:41" x14ac:dyDescent="0.25">
      <c r="A56" s="8" t="str">
        <f>'Supply planning data'!A815</f>
        <v>Anyland</v>
      </c>
      <c r="B56" s="8" t="str">
        <f>'Supply planning data'!B815</f>
        <v>ANY</v>
      </c>
      <c r="C56" s="355">
        <f>'Supply planning data'!D815</f>
        <v>45839</v>
      </c>
      <c r="D56" s="355" t="str">
        <f>'Supply planning data'!E815</f>
        <v>Yes</v>
      </c>
      <c r="E56" s="11">
        <f>SUM('Supply planning data'!F815:F829)</f>
        <v>4871200</v>
      </c>
      <c r="F56" s="11">
        <f>SUM('Supply planning data'!G815:G829)</f>
        <v>0</v>
      </c>
      <c r="G56" s="11">
        <f>SUM('Supply planning data'!H815:H829)</f>
        <v>0</v>
      </c>
      <c r="H56" s="11">
        <f>SUM('Supply planning data'!I815:I829)</f>
        <v>0</v>
      </c>
      <c r="I56" s="11">
        <f>SUM('Supply planning data'!J815:J829)</f>
        <v>0</v>
      </c>
      <c r="J56" s="11">
        <f>SUM('Supply planning data'!K815:K829)</f>
        <v>0</v>
      </c>
      <c r="K56" s="356" t="str">
        <f t="shared" si="0"/>
        <v/>
      </c>
      <c r="L56" s="11">
        <f>SUM('Supply planning data'!M815:M829)</f>
        <v>0</v>
      </c>
      <c r="M56" s="11">
        <f>SUM('Supply planning data'!N815:N829)</f>
        <v>0</v>
      </c>
      <c r="N56" s="11"/>
      <c r="O56" s="11">
        <f>SUM('Supply planning data'!P815:P829)</f>
        <v>0</v>
      </c>
      <c r="P56" s="11"/>
      <c r="Q56" s="11">
        <f>SUM('Supply planning data'!R815:R829)</f>
        <v>0</v>
      </c>
      <c r="R56" s="11">
        <f>SUM('Supply planning data'!S815:S829)</f>
        <v>0</v>
      </c>
      <c r="S56" s="11"/>
      <c r="T56" s="11">
        <f>SUM('Supply planning data'!U815:U829)</f>
        <v>0</v>
      </c>
      <c r="U56" s="11">
        <f>SUM('Supply planning data'!V815:V829)</f>
        <v>4871200</v>
      </c>
      <c r="V56" s="394" t="str">
        <f t="shared" si="3"/>
        <v/>
      </c>
      <c r="W56" s="11">
        <f>SUM('Supply planning data'!X815:X829)</f>
        <v>3905901</v>
      </c>
      <c r="X56" s="11">
        <f>SUM('Supply planning data'!Y815:Y829)</f>
        <v>0</v>
      </c>
      <c r="Y56" s="11"/>
      <c r="Z56" s="11">
        <f>SUM('Supply planning data'!AA815:AA829)</f>
        <v>0</v>
      </c>
      <c r="AA56" s="11">
        <f>SUM('Supply planning data'!AB815:AB829)</f>
        <v>0</v>
      </c>
      <c r="AB56" s="11"/>
      <c r="AC56" s="11">
        <f>SUM('Supply planning data'!AD815:AD829)</f>
        <v>0</v>
      </c>
      <c r="AD56" s="11">
        <f>SUM('Supply planning data'!AE815:AE829)</f>
        <v>3905901</v>
      </c>
      <c r="AE56" s="11" t="e">
        <f t="shared" si="1"/>
        <v>#DIV/0!</v>
      </c>
      <c r="AF56" s="11">
        <f>SUM('Supply planning data'!AG815:AG829)</f>
        <v>4871200</v>
      </c>
      <c r="AG56" s="11">
        <f>SUM('Supply planning data'!AH815:AH829)</f>
        <v>0</v>
      </c>
      <c r="AH56" s="11"/>
      <c r="AI56" s="11">
        <f>SUM('Supply planning data'!AJ815:AJ829)</f>
        <v>0</v>
      </c>
      <c r="AJ56" s="11">
        <f>SUM('Supply planning data'!AK815:AK829)</f>
        <v>0</v>
      </c>
      <c r="AK56" s="11"/>
      <c r="AL56" s="11">
        <f>SUM('Supply planning data'!AM815:AM829)</f>
        <v>0</v>
      </c>
      <c r="AM56" s="11">
        <f>SUM('Supply planning data'!AN815:AN829)</f>
        <v>4871200</v>
      </c>
      <c r="AN56" s="11" t="e">
        <f t="shared" si="2"/>
        <v>#DIV/0!</v>
      </c>
      <c r="AO56" s="414">
        <f>(SUMIFS('Supply planning data'!H:H,'Supply planning data'!$D:$D,"&lt;="&amp;C56)+SUMIFS('Supply planning data'!G:G,'Supply planning data'!$D:$D,"&lt;="&amp;C56,'Supply planning data'!$C:$C,"Jansen"))/DataViz!$C$4</f>
        <v>2.9492566666666668E-2</v>
      </c>
    </row>
    <row r="57" spans="1:41" x14ac:dyDescent="0.25">
      <c r="A57" s="8" t="str">
        <f>'Supply planning data'!A830</f>
        <v>Anyland</v>
      </c>
      <c r="B57" s="8" t="str">
        <f>'Supply planning data'!B830</f>
        <v>ANY</v>
      </c>
      <c r="C57" s="355">
        <f>'Supply planning data'!D830</f>
        <v>45870</v>
      </c>
      <c r="D57" s="355" t="str">
        <f>'Supply planning data'!E830</f>
        <v>Yes</v>
      </c>
      <c r="E57" s="11">
        <f>SUM('Supply planning data'!F830:F844)</f>
        <v>4871200</v>
      </c>
      <c r="F57" s="11">
        <f>SUM('Supply planning data'!G830:G844)</f>
        <v>0</v>
      </c>
      <c r="G57" s="11">
        <f>SUM('Supply planning data'!H830:H844)</f>
        <v>0</v>
      </c>
      <c r="H57" s="11">
        <f>SUM('Supply planning data'!I830:I844)</f>
        <v>0</v>
      </c>
      <c r="I57" s="11">
        <f>SUM('Supply planning data'!J830:J844)</f>
        <v>0</v>
      </c>
      <c r="J57" s="11">
        <f>SUM('Supply planning data'!K830:K844)</f>
        <v>0</v>
      </c>
      <c r="K57" s="356" t="str">
        <f t="shared" si="0"/>
        <v/>
      </c>
      <c r="L57" s="11">
        <f>SUM('Supply planning data'!M830:M844)</f>
        <v>0</v>
      </c>
      <c r="M57" s="11">
        <f>SUM('Supply planning data'!N830:N844)</f>
        <v>0</v>
      </c>
      <c r="N57" s="11"/>
      <c r="O57" s="11">
        <f>SUM('Supply planning data'!P830:P844)</f>
        <v>0</v>
      </c>
      <c r="P57" s="11"/>
      <c r="Q57" s="11">
        <f>SUM('Supply planning data'!R830:R844)</f>
        <v>0</v>
      </c>
      <c r="R57" s="11">
        <f>SUM('Supply planning data'!S830:S844)</f>
        <v>0</v>
      </c>
      <c r="S57" s="11"/>
      <c r="T57" s="11">
        <f>SUM('Supply planning data'!U830:U844)</f>
        <v>0</v>
      </c>
      <c r="U57" s="11">
        <f>SUM('Supply planning data'!V830:V844)</f>
        <v>4871200</v>
      </c>
      <c r="V57" s="394" t="str">
        <f t="shared" si="3"/>
        <v/>
      </c>
      <c r="W57" s="11">
        <f>SUM('Supply planning data'!X830:X844)</f>
        <v>3905901</v>
      </c>
      <c r="X57" s="11">
        <f>SUM('Supply planning data'!Y830:Y844)</f>
        <v>0</v>
      </c>
      <c r="Y57" s="11"/>
      <c r="Z57" s="11">
        <f>SUM('Supply planning data'!AA830:AA844)</f>
        <v>0</v>
      </c>
      <c r="AA57" s="11">
        <f>SUM('Supply planning data'!AB830:AB844)</f>
        <v>0</v>
      </c>
      <c r="AB57" s="11"/>
      <c r="AC57" s="11">
        <f>SUM('Supply planning data'!AD830:AD844)</f>
        <v>0</v>
      </c>
      <c r="AD57" s="11">
        <f>SUM('Supply planning data'!AE830:AE844)</f>
        <v>3905901</v>
      </c>
      <c r="AE57" s="11" t="e">
        <f t="shared" si="1"/>
        <v>#DIV/0!</v>
      </c>
      <c r="AF57" s="11">
        <f>SUM('Supply planning data'!AG830:AG844)</f>
        <v>4871200</v>
      </c>
      <c r="AG57" s="11">
        <f>SUM('Supply planning data'!AH830:AH844)</f>
        <v>0</v>
      </c>
      <c r="AH57" s="11"/>
      <c r="AI57" s="11">
        <f>SUM('Supply planning data'!AJ830:AJ844)</f>
        <v>0</v>
      </c>
      <c r="AJ57" s="11">
        <f>SUM('Supply planning data'!AK830:AK844)</f>
        <v>0</v>
      </c>
      <c r="AK57" s="11"/>
      <c r="AL57" s="11">
        <f>SUM('Supply planning data'!AM830:AM844)</f>
        <v>0</v>
      </c>
      <c r="AM57" s="11">
        <f>SUM('Supply planning data'!AN830:AN844)</f>
        <v>4871200</v>
      </c>
      <c r="AN57" s="11" t="e">
        <f t="shared" si="2"/>
        <v>#DIV/0!</v>
      </c>
      <c r="AO57" s="414">
        <f>(SUMIFS('Supply planning data'!H:H,'Supply planning data'!$D:$D,"&lt;="&amp;C57)+SUMIFS('Supply planning data'!G:G,'Supply planning data'!$D:$D,"&lt;="&amp;C57,'Supply planning data'!$C:$C,"Jansen"))/DataViz!$C$4</f>
        <v>2.9492566666666668E-2</v>
      </c>
    </row>
    <row r="58" spans="1:41" x14ac:dyDescent="0.25">
      <c r="A58" s="8" t="str">
        <f>'Supply planning data'!A845</f>
        <v>Anyland</v>
      </c>
      <c r="B58" s="8" t="str">
        <f>'Supply planning data'!B845</f>
        <v>ANY</v>
      </c>
      <c r="C58" s="355">
        <f>'Supply planning data'!D845</f>
        <v>45901</v>
      </c>
      <c r="D58" s="355" t="str">
        <f>'Supply planning data'!E845</f>
        <v>Yes</v>
      </c>
      <c r="E58" s="11">
        <f>SUM('Supply planning data'!F845:F859)</f>
        <v>4871200</v>
      </c>
      <c r="F58" s="11">
        <f>SUM('Supply planning data'!G845:G859)</f>
        <v>0</v>
      </c>
      <c r="G58" s="11">
        <f>SUM('Supply planning data'!H845:H859)</f>
        <v>0</v>
      </c>
      <c r="H58" s="11">
        <f>SUM('Supply planning data'!I845:I859)</f>
        <v>0</v>
      </c>
      <c r="I58" s="11">
        <f>SUM('Supply planning data'!J845:J859)</f>
        <v>0</v>
      </c>
      <c r="J58" s="11">
        <f>SUM('Supply planning data'!K845:K859)</f>
        <v>0</v>
      </c>
      <c r="K58" s="356" t="str">
        <f t="shared" si="0"/>
        <v/>
      </c>
      <c r="L58" s="11">
        <f>SUM('Supply planning data'!M845:M859)</f>
        <v>0</v>
      </c>
      <c r="M58" s="11">
        <f>SUM('Supply planning data'!N845:N859)</f>
        <v>0</v>
      </c>
      <c r="N58" s="11"/>
      <c r="O58" s="11">
        <f>SUM('Supply planning data'!P845:P859)</f>
        <v>0</v>
      </c>
      <c r="P58" s="11"/>
      <c r="Q58" s="11">
        <f>SUM('Supply planning data'!R845:R859)</f>
        <v>0</v>
      </c>
      <c r="R58" s="11">
        <f>SUM('Supply planning data'!S845:S859)</f>
        <v>0</v>
      </c>
      <c r="S58" s="11"/>
      <c r="T58" s="11">
        <f>SUM('Supply planning data'!U845:U859)</f>
        <v>0</v>
      </c>
      <c r="U58" s="11">
        <f>SUM('Supply planning data'!V845:V859)</f>
        <v>4871200</v>
      </c>
      <c r="V58" s="394" t="str">
        <f t="shared" si="3"/>
        <v/>
      </c>
      <c r="W58" s="11">
        <f>SUM('Supply planning data'!X845:X859)</f>
        <v>3905901</v>
      </c>
      <c r="X58" s="11">
        <f>SUM('Supply planning data'!Y845:Y859)</f>
        <v>0</v>
      </c>
      <c r="Y58" s="11"/>
      <c r="Z58" s="11">
        <f>SUM('Supply planning data'!AA845:AA859)</f>
        <v>0</v>
      </c>
      <c r="AA58" s="11">
        <f>SUM('Supply planning data'!AB845:AB859)</f>
        <v>0</v>
      </c>
      <c r="AB58" s="11"/>
      <c r="AC58" s="11">
        <f>SUM('Supply planning data'!AD845:AD859)</f>
        <v>0</v>
      </c>
      <c r="AD58" s="11">
        <f>SUM('Supply planning data'!AE845:AE859)</f>
        <v>3905901</v>
      </c>
      <c r="AE58" s="11" t="e">
        <f t="shared" si="1"/>
        <v>#DIV/0!</v>
      </c>
      <c r="AF58" s="11">
        <f>SUM('Supply planning data'!AG845:AG859)</f>
        <v>4871200</v>
      </c>
      <c r="AG58" s="11">
        <f>SUM('Supply planning data'!AH845:AH859)</f>
        <v>0</v>
      </c>
      <c r="AH58" s="11"/>
      <c r="AI58" s="11">
        <f>SUM('Supply planning data'!AJ845:AJ859)</f>
        <v>0</v>
      </c>
      <c r="AJ58" s="11">
        <f>SUM('Supply planning data'!AK845:AK859)</f>
        <v>0</v>
      </c>
      <c r="AK58" s="11"/>
      <c r="AL58" s="11">
        <f>SUM('Supply planning data'!AM845:AM859)</f>
        <v>0</v>
      </c>
      <c r="AM58" s="11">
        <f>SUM('Supply planning data'!AN845:AN859)</f>
        <v>4871200</v>
      </c>
      <c r="AN58" s="11" t="e">
        <f t="shared" si="2"/>
        <v>#DIV/0!</v>
      </c>
      <c r="AO58" s="414">
        <f>(SUMIFS('Supply planning data'!H:H,'Supply planning data'!$D:$D,"&lt;="&amp;C58)+SUMIFS('Supply planning data'!G:G,'Supply planning data'!$D:$D,"&lt;="&amp;C58,'Supply planning data'!$C:$C,"Jansen"))/DataViz!$C$4</f>
        <v>2.9492566666666668E-2</v>
      </c>
    </row>
    <row r="59" spans="1:41" x14ac:dyDescent="0.25">
      <c r="A59" s="8" t="str">
        <f>'Supply planning data'!A860</f>
        <v>Anyland</v>
      </c>
      <c r="B59" s="8" t="str">
        <f>'Supply planning data'!B860</f>
        <v>ANY</v>
      </c>
      <c r="C59" s="355">
        <f>'Supply planning data'!D860</f>
        <v>45931</v>
      </c>
      <c r="D59" s="355" t="str">
        <f>'Supply planning data'!E860</f>
        <v>Yes</v>
      </c>
      <c r="E59" s="11">
        <f>SUM('Supply planning data'!F860:F874)</f>
        <v>4871200</v>
      </c>
      <c r="F59" s="11">
        <f>SUM('Supply planning data'!G860:G874)</f>
        <v>0</v>
      </c>
      <c r="G59" s="11">
        <f>SUM('Supply planning data'!H860:H874)</f>
        <v>0</v>
      </c>
      <c r="H59" s="11">
        <f>SUM('Supply planning data'!I860:I874)</f>
        <v>0</v>
      </c>
      <c r="I59" s="11">
        <f>SUM('Supply planning data'!J860:J874)</f>
        <v>0</v>
      </c>
      <c r="J59" s="11">
        <f>SUM('Supply planning data'!K860:K874)</f>
        <v>0</v>
      </c>
      <c r="K59" s="356" t="str">
        <f t="shared" si="0"/>
        <v/>
      </c>
      <c r="L59" s="11">
        <f>SUM('Supply planning data'!M860:M874)</f>
        <v>0</v>
      </c>
      <c r="M59" s="11">
        <f>SUM('Supply planning data'!N860:N874)</f>
        <v>0</v>
      </c>
      <c r="N59" s="11"/>
      <c r="O59" s="11">
        <f>SUM('Supply planning data'!P860:P874)</f>
        <v>0</v>
      </c>
      <c r="P59" s="11"/>
      <c r="Q59" s="11">
        <f>SUM('Supply planning data'!R860:R874)</f>
        <v>0</v>
      </c>
      <c r="R59" s="11">
        <f>SUM('Supply planning data'!S860:S874)</f>
        <v>0</v>
      </c>
      <c r="S59" s="11"/>
      <c r="T59" s="11">
        <f>SUM('Supply planning data'!U860:U874)</f>
        <v>0</v>
      </c>
      <c r="U59" s="11">
        <f>SUM('Supply planning data'!V860:V874)</f>
        <v>4871200</v>
      </c>
      <c r="V59" s="394" t="str">
        <f t="shared" si="3"/>
        <v/>
      </c>
      <c r="W59" s="11">
        <f>SUM('Supply planning data'!X860:X874)</f>
        <v>3905901</v>
      </c>
      <c r="X59" s="11">
        <f>SUM('Supply planning data'!Y860:Y874)</f>
        <v>0</v>
      </c>
      <c r="Y59" s="11"/>
      <c r="Z59" s="11">
        <f>SUM('Supply planning data'!AA860:AA874)</f>
        <v>0</v>
      </c>
      <c r="AA59" s="11">
        <f>SUM('Supply planning data'!AB860:AB874)</f>
        <v>0</v>
      </c>
      <c r="AB59" s="11"/>
      <c r="AC59" s="11">
        <f>SUM('Supply planning data'!AD860:AD874)</f>
        <v>0</v>
      </c>
      <c r="AD59" s="11">
        <f>SUM('Supply planning data'!AE860:AE874)</f>
        <v>3905901</v>
      </c>
      <c r="AE59" s="11" t="e">
        <f t="shared" si="1"/>
        <v>#DIV/0!</v>
      </c>
      <c r="AF59" s="11">
        <f>SUM('Supply planning data'!AG860:AG874)</f>
        <v>4871200</v>
      </c>
      <c r="AG59" s="11">
        <f>SUM('Supply planning data'!AH860:AH874)</f>
        <v>0</v>
      </c>
      <c r="AH59" s="11"/>
      <c r="AI59" s="11">
        <f>SUM('Supply planning data'!AJ860:AJ874)</f>
        <v>0</v>
      </c>
      <c r="AJ59" s="11">
        <f>SUM('Supply planning data'!AK860:AK874)</f>
        <v>0</v>
      </c>
      <c r="AK59" s="11"/>
      <c r="AL59" s="11">
        <f>SUM('Supply planning data'!AM860:AM874)</f>
        <v>0</v>
      </c>
      <c r="AM59" s="11">
        <f>SUM('Supply planning data'!AN860:AN874)</f>
        <v>4871200</v>
      </c>
      <c r="AN59" s="11" t="e">
        <f t="shared" si="2"/>
        <v>#DIV/0!</v>
      </c>
      <c r="AO59" s="414">
        <f>(SUMIFS('Supply planning data'!H:H,'Supply planning data'!$D:$D,"&lt;="&amp;C59)+SUMIFS('Supply planning data'!G:G,'Supply planning data'!$D:$D,"&lt;="&amp;C59,'Supply planning data'!$C:$C,"Jansen"))/DataViz!$C$4</f>
        <v>2.9492566666666668E-2</v>
      </c>
    </row>
    <row r="60" spans="1:41" x14ac:dyDescent="0.25">
      <c r="A60" s="8" t="str">
        <f>'Supply planning data'!A875</f>
        <v>Anyland</v>
      </c>
      <c r="B60" s="8" t="str">
        <f>'Supply planning data'!B875</f>
        <v>ANY</v>
      </c>
      <c r="C60" s="355">
        <f>'Supply planning data'!D875</f>
        <v>45962</v>
      </c>
      <c r="D60" s="355" t="str">
        <f>'Supply planning data'!E875</f>
        <v>Yes</v>
      </c>
      <c r="E60" s="11">
        <f>SUM('Supply planning data'!F875:F889)</f>
        <v>4871200</v>
      </c>
      <c r="F60" s="11">
        <f>SUM('Supply planning data'!G875:G889)</f>
        <v>0</v>
      </c>
      <c r="G60" s="11">
        <f>SUM('Supply planning data'!H875:H889)</f>
        <v>0</v>
      </c>
      <c r="H60" s="11">
        <f>SUM('Supply planning data'!I875:I889)</f>
        <v>0</v>
      </c>
      <c r="I60" s="11">
        <f>SUM('Supply planning data'!J875:J889)</f>
        <v>0</v>
      </c>
      <c r="J60" s="11">
        <f>SUM('Supply planning data'!K875:K889)</f>
        <v>0</v>
      </c>
      <c r="K60" s="356" t="str">
        <f t="shared" si="0"/>
        <v/>
      </c>
      <c r="L60" s="11">
        <f>SUM('Supply planning data'!M875:M889)</f>
        <v>0</v>
      </c>
      <c r="M60" s="11">
        <f>SUM('Supply planning data'!N875:N889)</f>
        <v>0</v>
      </c>
      <c r="N60" s="11"/>
      <c r="O60" s="11">
        <f>SUM('Supply planning data'!P875:P889)</f>
        <v>0</v>
      </c>
      <c r="P60" s="11"/>
      <c r="Q60" s="11">
        <f>SUM('Supply planning data'!R875:R889)</f>
        <v>0</v>
      </c>
      <c r="R60" s="11">
        <f>SUM('Supply planning data'!S875:S889)</f>
        <v>0</v>
      </c>
      <c r="S60" s="11"/>
      <c r="T60" s="11">
        <f>SUM('Supply planning data'!U875:U889)</f>
        <v>0</v>
      </c>
      <c r="U60" s="11">
        <f>SUM('Supply planning data'!V875:V889)</f>
        <v>4871200</v>
      </c>
      <c r="V60" s="394" t="str">
        <f t="shared" si="3"/>
        <v/>
      </c>
      <c r="W60" s="11">
        <f>SUM('Supply planning data'!X875:X889)</f>
        <v>3905901</v>
      </c>
      <c r="X60" s="11">
        <f>SUM('Supply planning data'!Y875:Y889)</f>
        <v>0</v>
      </c>
      <c r="Y60" s="11"/>
      <c r="Z60" s="11">
        <f>SUM('Supply planning data'!AA875:AA889)</f>
        <v>0</v>
      </c>
      <c r="AA60" s="11">
        <f>SUM('Supply planning data'!AB875:AB889)</f>
        <v>0</v>
      </c>
      <c r="AB60" s="11"/>
      <c r="AC60" s="11">
        <f>SUM('Supply planning data'!AD875:AD889)</f>
        <v>0</v>
      </c>
      <c r="AD60" s="11">
        <f>SUM('Supply planning data'!AE875:AE889)</f>
        <v>3905901</v>
      </c>
      <c r="AE60" s="11" t="e">
        <f t="shared" si="1"/>
        <v>#DIV/0!</v>
      </c>
      <c r="AF60" s="11">
        <f>SUM('Supply planning data'!AG875:AG889)</f>
        <v>4871200</v>
      </c>
      <c r="AG60" s="11">
        <f>SUM('Supply planning data'!AH875:AH889)</f>
        <v>0</v>
      </c>
      <c r="AH60" s="11"/>
      <c r="AI60" s="11">
        <f>SUM('Supply planning data'!AJ875:AJ889)</f>
        <v>0</v>
      </c>
      <c r="AJ60" s="11">
        <f>SUM('Supply planning data'!AK875:AK889)</f>
        <v>0</v>
      </c>
      <c r="AK60" s="11"/>
      <c r="AL60" s="11">
        <f>SUM('Supply planning data'!AM875:AM889)</f>
        <v>0</v>
      </c>
      <c r="AM60" s="11">
        <f>SUM('Supply planning data'!AN875:AN889)</f>
        <v>4871200</v>
      </c>
      <c r="AN60" s="11" t="e">
        <f t="shared" si="2"/>
        <v>#DIV/0!</v>
      </c>
      <c r="AO60" s="414">
        <f>(SUMIFS('Supply planning data'!H:H,'Supply planning data'!$D:$D,"&lt;="&amp;C60)+SUMIFS('Supply planning data'!G:G,'Supply planning data'!$D:$D,"&lt;="&amp;C60,'Supply planning data'!$C:$C,"Jansen"))/DataViz!$C$4</f>
        <v>2.9492566666666668E-2</v>
      </c>
    </row>
    <row r="61" spans="1:41" x14ac:dyDescent="0.25">
      <c r="A61" s="8" t="str">
        <f>'Supply planning data'!A890</f>
        <v>Anyland</v>
      </c>
      <c r="B61" s="8" t="str">
        <f>'Supply planning data'!B890</f>
        <v>ANY</v>
      </c>
      <c r="C61" s="355">
        <f>'Supply planning data'!D890</f>
        <v>45992</v>
      </c>
      <c r="D61" s="355" t="str">
        <f>'Supply planning data'!E890</f>
        <v>Yes</v>
      </c>
      <c r="E61" s="11">
        <f>SUM('Supply planning data'!F890:F904)</f>
        <v>4871200</v>
      </c>
      <c r="F61" s="11">
        <f>SUM('Supply planning data'!G890:G904)</f>
        <v>0</v>
      </c>
      <c r="G61" s="11">
        <f>SUM('Supply planning data'!H890:H904)</f>
        <v>0</v>
      </c>
      <c r="H61" s="11">
        <f>SUM('Supply planning data'!I890:I904)</f>
        <v>0</v>
      </c>
      <c r="I61" s="11">
        <f>SUM('Supply planning data'!J890:J904)</f>
        <v>0</v>
      </c>
      <c r="J61" s="11">
        <f>SUM('Supply planning data'!K890:K904)</f>
        <v>0</v>
      </c>
      <c r="K61" s="356" t="str">
        <f t="shared" si="0"/>
        <v/>
      </c>
      <c r="L61" s="11">
        <f>SUM('Supply planning data'!M890:M904)</f>
        <v>0</v>
      </c>
      <c r="M61" s="11">
        <f>SUM('Supply planning data'!N890:N904)</f>
        <v>0</v>
      </c>
      <c r="N61" s="11"/>
      <c r="O61" s="11">
        <f>SUM('Supply planning data'!P890:P904)</f>
        <v>0</v>
      </c>
      <c r="P61" s="11"/>
      <c r="Q61" s="11">
        <f>SUM('Supply planning data'!R890:R904)</f>
        <v>0</v>
      </c>
      <c r="R61" s="11">
        <f>SUM('Supply planning data'!S890:S904)</f>
        <v>0</v>
      </c>
      <c r="S61" s="11"/>
      <c r="T61" s="11">
        <f>SUM('Supply planning data'!U890:U904)</f>
        <v>0</v>
      </c>
      <c r="U61" s="11">
        <f>SUM('Supply planning data'!V890:V904)</f>
        <v>4871200</v>
      </c>
      <c r="V61" s="394" t="str">
        <f t="shared" si="3"/>
        <v/>
      </c>
      <c r="W61" s="11">
        <f>SUM('Supply planning data'!X890:X904)</f>
        <v>3905901</v>
      </c>
      <c r="X61" s="11">
        <f>SUM('Supply planning data'!Y890:Y904)</f>
        <v>0</v>
      </c>
      <c r="Y61" s="11"/>
      <c r="Z61" s="11">
        <f>SUM('Supply planning data'!AA890:AA904)</f>
        <v>0</v>
      </c>
      <c r="AA61" s="11">
        <f>SUM('Supply planning data'!AB890:AB904)</f>
        <v>0</v>
      </c>
      <c r="AB61" s="11"/>
      <c r="AC61" s="11">
        <f>SUM('Supply planning data'!AD890:AD904)</f>
        <v>0</v>
      </c>
      <c r="AD61" s="11">
        <f>SUM('Supply planning data'!AE890:AE904)</f>
        <v>3905901</v>
      </c>
      <c r="AE61" s="11" t="e">
        <f t="shared" si="1"/>
        <v>#DIV/0!</v>
      </c>
      <c r="AF61" s="11">
        <f>SUM('Supply planning data'!AG890:AG904)</f>
        <v>4871200</v>
      </c>
      <c r="AG61" s="11">
        <f>SUM('Supply planning data'!AH890:AH904)</f>
        <v>0</v>
      </c>
      <c r="AH61" s="11"/>
      <c r="AI61" s="11">
        <f>SUM('Supply planning data'!AJ890:AJ904)</f>
        <v>0</v>
      </c>
      <c r="AJ61" s="11">
        <f>SUM('Supply planning data'!AK890:AK904)</f>
        <v>0</v>
      </c>
      <c r="AK61" s="11"/>
      <c r="AL61" s="11">
        <f>SUM('Supply planning data'!AM890:AM904)</f>
        <v>0</v>
      </c>
      <c r="AM61" s="11">
        <f>SUM('Supply planning data'!AN890:AN904)</f>
        <v>4871200</v>
      </c>
      <c r="AN61" s="11" t="e">
        <f t="shared" si="2"/>
        <v>#DIV/0!</v>
      </c>
      <c r="AO61" s="414">
        <f>(SUMIFS('Supply planning data'!H:H,'Supply planning data'!$D:$D,"&lt;="&amp;C61)+SUMIFS('Supply planning data'!G:G,'Supply planning data'!$D:$D,"&lt;="&amp;C61,'Supply planning data'!$C:$C,"Jansen"))/DataViz!$C$4</f>
        <v>2.9492566666666668E-2</v>
      </c>
    </row>
  </sheetData>
  <sheetProtection algorithmName="SHA-512" hashValue="lu4k/upnMbHmnpS6mIxn5/tiGCANnKw9B1PVDOwrmR6K1U/zNRKC7Dk9NmgHv9Lp7l0GaMuGvKy2Lxw4K35ZEg==" saltValue="bcU7DtUrbTPq3lzr2frxqQ==" spinCount="100000" sheet="1" objects="1" scenarios="1"/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18A30-69EB-4461-BDE3-EBE1B78A138F}">
  <dimension ref="D2:F19"/>
  <sheetViews>
    <sheetView workbookViewId="0">
      <selection activeCell="D2" sqref="D2:F19"/>
    </sheetView>
  </sheetViews>
  <sheetFormatPr defaultRowHeight="15" x14ac:dyDescent="0.25"/>
  <sheetData>
    <row r="2" spans="4:6" x14ac:dyDescent="0.25">
      <c r="D2" s="146" t="s">
        <v>228</v>
      </c>
      <c r="E2" s="48"/>
      <c r="F2" s="48"/>
    </row>
    <row r="3" spans="4:6" ht="15.75" thickBot="1" x14ac:dyDescent="0.3">
      <c r="D3" s="84" t="s">
        <v>19</v>
      </c>
      <c r="E3" s="84" t="s">
        <v>23</v>
      </c>
      <c r="F3" s="84" t="s">
        <v>26</v>
      </c>
    </row>
    <row r="4" spans="4:6" x14ac:dyDescent="0.25">
      <c r="D4" s="131" t="str">
        <f>IF(Start!$C17="","",Start!$C17)</f>
        <v>AstraZeneca</v>
      </c>
      <c r="E4" s="131">
        <f>SUMIFS('Shipments data'!L:L, 'Shipments data'!F:F,D4, 'Shipments data'!U:U, "Yes")</f>
        <v>0</v>
      </c>
      <c r="F4" s="131">
        <f>SUMIFS('Shipments data'!L:L, 'Shipments data'!F:F,D4, 'Shipments data'!U:U, "No")</f>
        <v>0</v>
      </c>
    </row>
    <row r="5" spans="4:6" x14ac:dyDescent="0.25">
      <c r="D5" s="158" t="str">
        <f>IF(Start!$C18="","",Start!$C18)</f>
        <v>Jansen</v>
      </c>
      <c r="E5" s="158">
        <f>SUMIFS('Shipments data'!L:L, 'Shipments data'!F:F,D5, 'Shipments data'!U:U, "Yes")</f>
        <v>1309600</v>
      </c>
      <c r="F5" s="158">
        <f>SUMIFS('Shipments data'!L:L, 'Shipments data'!F:F,D5, 'Shipments data'!U:U, "No")</f>
        <v>396000</v>
      </c>
    </row>
    <row r="6" spans="4:6" x14ac:dyDescent="0.25">
      <c r="D6" s="133" t="str">
        <f>IF(Start!$C19="","",Start!$C19)</f>
        <v>Moderna</v>
      </c>
      <c r="E6" s="133">
        <f>SUMIFS('Shipments data'!L:L, 'Shipments data'!F:F,D6, 'Shipments data'!U:U, "Yes")</f>
        <v>0</v>
      </c>
      <c r="F6" s="133">
        <f>SUMIFS('Shipments data'!L:L, 'Shipments data'!F:F,D6, 'Shipments data'!U:U, "No")</f>
        <v>0</v>
      </c>
    </row>
    <row r="7" spans="4:6" x14ac:dyDescent="0.25">
      <c r="D7" s="158" t="str">
        <f>IF(Start!$C20="","",Start!$C20)</f>
        <v>Pfizer</v>
      </c>
      <c r="E7" s="158">
        <f>SUMIFS('Shipments data'!L:L, 'Shipments data'!F:F,D7, 'Shipments data'!U:U, "Yes")</f>
        <v>0</v>
      </c>
      <c r="F7" s="158">
        <f>SUMIFS('Shipments data'!L:L, 'Shipments data'!F:F,D7, 'Shipments data'!U:U, "No")</f>
        <v>0</v>
      </c>
    </row>
    <row r="8" spans="4:6" x14ac:dyDescent="0.25">
      <c r="D8" s="133" t="str">
        <f>IF(Start!$C21="","",Start!$C21)</f>
        <v>Sinovac</v>
      </c>
      <c r="E8" s="133">
        <f>SUMIFS('Shipments data'!L:L, 'Shipments data'!F:F,D8, 'Shipments data'!U:U, "Yes")</f>
        <v>0</v>
      </c>
      <c r="F8" s="133">
        <f>SUMIFS('Shipments data'!L:L, 'Shipments data'!F:F,D8, 'Shipments data'!U:U, "No")</f>
        <v>0</v>
      </c>
    </row>
    <row r="9" spans="4:6" x14ac:dyDescent="0.25">
      <c r="D9" s="158" t="str">
        <f>IF(Start!$C22="","",Start!$C22)</f>
        <v/>
      </c>
      <c r="E9" s="158">
        <f>SUMIFS('Shipments data'!L:L, 'Shipments data'!F:F,D9, 'Shipments data'!U:U, "Yes")</f>
        <v>0</v>
      </c>
      <c r="F9" s="158">
        <f>SUMIFS('Shipments data'!L:L, 'Shipments data'!F:F,D9, 'Shipments data'!U:U, "No")</f>
        <v>0</v>
      </c>
    </row>
    <row r="10" spans="4:6" x14ac:dyDescent="0.25">
      <c r="D10" s="133" t="str">
        <f>IF(Start!$C23="","",Start!$C23)</f>
        <v/>
      </c>
      <c r="E10" s="133">
        <f>SUMIFS('Shipments data'!L:L, 'Shipments data'!F:F,D10, 'Shipments data'!U:U, "Yes")</f>
        <v>0</v>
      </c>
      <c r="F10" s="133">
        <f>SUMIFS('Shipments data'!L:L, 'Shipments data'!F:F,D10, 'Shipments data'!U:U, "No")</f>
        <v>0</v>
      </c>
    </row>
    <row r="11" spans="4:6" x14ac:dyDescent="0.25">
      <c r="D11" s="158" t="str">
        <f>IF(Start!$C24="","",Start!$C24)</f>
        <v/>
      </c>
      <c r="E11" s="158">
        <f>SUMIFS('Shipments data'!L:L, 'Shipments data'!F:F,D11, 'Shipments data'!U:U, "Yes")</f>
        <v>0</v>
      </c>
      <c r="F11" s="158">
        <f>SUMIFS('Shipments data'!L:L, 'Shipments data'!F:F,D11, 'Shipments data'!U:U, "No")</f>
        <v>0</v>
      </c>
    </row>
    <row r="12" spans="4:6" x14ac:dyDescent="0.25">
      <c r="D12" s="133" t="str">
        <f>IF(Start!$C25="","",Start!$C25)</f>
        <v/>
      </c>
      <c r="E12" s="133">
        <f>SUMIFS('Shipments data'!L:L, 'Shipments data'!F:F,D12, 'Shipments data'!U:U, "Yes")</f>
        <v>0</v>
      </c>
      <c r="F12" s="133">
        <f>SUMIFS('Shipments data'!L:L, 'Shipments data'!F:F,D12, 'Shipments data'!U:U, "No")</f>
        <v>0</v>
      </c>
    </row>
    <row r="13" spans="4:6" x14ac:dyDescent="0.25">
      <c r="D13" s="158" t="str">
        <f>IF(Start!$C26="","",Start!$C26)</f>
        <v/>
      </c>
      <c r="E13" s="158">
        <f>SUMIFS('Shipments data'!L:L, 'Shipments data'!F:F,D13, 'Shipments data'!U:U, "Yes")</f>
        <v>0</v>
      </c>
      <c r="F13" s="158">
        <f>SUMIFS('Shipments data'!L:L, 'Shipments data'!F:F,D13, 'Shipments data'!U:U, "No")</f>
        <v>0</v>
      </c>
    </row>
    <row r="14" spans="4:6" x14ac:dyDescent="0.25">
      <c r="D14" s="133" t="str">
        <f>IF(Start!$C27="","",Start!$C27)</f>
        <v/>
      </c>
      <c r="E14" s="133">
        <f>SUMIFS('Shipments data'!L:L, 'Shipments data'!F:F,D14, 'Shipments data'!U:U, "Yes")</f>
        <v>0</v>
      </c>
      <c r="F14" s="133">
        <f>SUMIFS('Shipments data'!L:L, 'Shipments data'!F:F,D14, 'Shipments data'!U:U, "No")</f>
        <v>0</v>
      </c>
    </row>
    <row r="15" spans="4:6" x14ac:dyDescent="0.25">
      <c r="D15" s="158" t="str">
        <f>IF(Start!$C28="","",Start!$C28)</f>
        <v/>
      </c>
      <c r="E15" s="158">
        <f>SUMIFS('Shipments data'!L:L, 'Shipments data'!F:F,D15, 'Shipments data'!U:U, "Yes")</f>
        <v>0</v>
      </c>
      <c r="F15" s="158">
        <f>SUMIFS('Shipments data'!L:L, 'Shipments data'!F:F,D15, 'Shipments data'!U:U, "No")</f>
        <v>0</v>
      </c>
    </row>
    <row r="16" spans="4:6" x14ac:dyDescent="0.25">
      <c r="D16" s="133" t="str">
        <f>IF(Start!$C29="","",Start!$C29)</f>
        <v/>
      </c>
      <c r="E16" s="133">
        <f>SUMIFS('Shipments data'!L:L, 'Shipments data'!F:F,D16, 'Shipments data'!U:U, "Yes")</f>
        <v>0</v>
      </c>
      <c r="F16" s="133">
        <f>SUMIFS('Shipments data'!L:L, 'Shipments data'!F:F,D16, 'Shipments data'!U:U, "No")</f>
        <v>0</v>
      </c>
    </row>
    <row r="17" spans="4:6" x14ac:dyDescent="0.25">
      <c r="D17" s="158" t="str">
        <f>IF(Start!$C30="","",Start!$C30)</f>
        <v/>
      </c>
      <c r="E17" s="158">
        <f>SUMIFS('Shipments data'!L:L, 'Shipments data'!F:F,D17, 'Shipments data'!U:U, "Yes")</f>
        <v>0</v>
      </c>
      <c r="F17" s="158">
        <f>SUMIFS('Shipments data'!L:L, 'Shipments data'!F:F,D17, 'Shipments data'!U:U, "No")</f>
        <v>0</v>
      </c>
    </row>
    <row r="18" spans="4:6" ht="15.75" thickBot="1" x14ac:dyDescent="0.3">
      <c r="D18" s="134" t="str">
        <f>IF(Start!$C31="","",Start!$C31)</f>
        <v/>
      </c>
      <c r="E18" s="134">
        <f>SUMIFS('Shipments data'!L:L, 'Shipments data'!F:F,D18, 'Shipments data'!U:U, "Yes")</f>
        <v>0</v>
      </c>
      <c r="F18" s="134">
        <f>SUMIFS('Shipments data'!L:L, 'Shipments data'!F:F,D18, 'Shipments data'!U:U, "No")</f>
        <v>0</v>
      </c>
    </row>
    <row r="19" spans="4:6" x14ac:dyDescent="0.25">
      <c r="D19" s="48"/>
      <c r="E19" s="168" t="s">
        <v>229</v>
      </c>
      <c r="F19" s="165">
        <f>SUM(F4:F18)</f>
        <v>396000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ICEF Document" ma:contentTypeID="0x0101009BA85F8052A6DA4FA3E31FF9F74C6970009C7304822400C647AFF77DD285023369" ma:contentTypeVersion="35" ma:contentTypeDescription="" ma:contentTypeScope="" ma:versionID="31fc7452995c4f714f7daf361652515e">
  <xsd:schema xmlns:xsd="http://www.w3.org/2001/XMLSchema" xmlns:xs="http://www.w3.org/2001/XMLSchema" xmlns:p="http://schemas.microsoft.com/office/2006/metadata/properties" xmlns:ns1="http://schemas.microsoft.com/sharepoint/v3" xmlns:ns2="ca283e0b-db31-4043-a2ef-b80661bf084a" xmlns:ns3="http://schemas.microsoft.com/sharepoint.v3" xmlns:ns4="cfb3cbff-aea7-48f9-bef5-63d89c816d66" xmlns:ns5="6336d983-c9d4-4e4c-a2cd-1d29782679f7" xmlns:ns6="http://schemas.microsoft.com/sharepoint/v4" targetNamespace="http://schemas.microsoft.com/office/2006/metadata/properties" ma:root="true" ma:fieldsID="31115d32c6074474814cbef5b0868a5e" ns1:_="" ns2:_="" ns3:_="" ns4:_="" ns5:_="" ns6:_="">
    <xsd:import namespace="http://schemas.microsoft.com/sharepoint/v3"/>
    <xsd:import namespace="ca283e0b-db31-4043-a2ef-b80661bf084a"/>
    <xsd:import namespace="http://schemas.microsoft.com/sharepoint.v3"/>
    <xsd:import namespace="cfb3cbff-aea7-48f9-bef5-63d89c816d66"/>
    <xsd:import namespace="6336d983-c9d4-4e4c-a2cd-1d29782679f7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WrittenBy" minOccurs="0"/>
                <xsd:element ref="ns2:ContentLanguage" minOccurs="0"/>
                <xsd:element ref="ns3:CategoryDescription" minOccurs="0"/>
                <xsd:element ref="ns2:RecipientsEmail" minOccurs="0"/>
                <xsd:element ref="ns2:SenderEmail" minOccurs="0"/>
                <xsd:element ref="ns2:DateTransmittedEmail" minOccurs="0"/>
                <xsd:element ref="ns2:k8c968e8c72a4eda96b7e8fdbe192be2" minOccurs="0"/>
                <xsd:element ref="ns2:ga975397408f43e4b84ec8e5a598e523" minOccurs="0"/>
                <xsd:element ref="ns2:mda26ace941f4791a7314a339fee829c" minOccurs="0"/>
                <xsd:element ref="ns2:TaxCatchAllLabel" minOccurs="0"/>
                <xsd:element ref="ns2:TaxCatchAll" minOccurs="0"/>
                <xsd:element ref="ns2:h6a71f3e574e4344bc34f3fc9dd20054" minOccurs="0"/>
                <xsd:element ref="ns2:ContentStatus" minOccurs="0"/>
                <xsd:element ref="ns2:j169e817e0ee4eb8974e6fc4a2762909" minOccurs="0"/>
                <xsd:element ref="ns2:j048a4f9aaad4a8990a1d5e5f53cb451" minOccurs="0"/>
                <xsd:element ref="ns4:TaxKeywordTaxHTField" minOccurs="0"/>
                <xsd:element ref="ns5:MediaServiceMetadata" minOccurs="0"/>
                <xsd:element ref="ns5:MediaServiceFastMetadata" minOccurs="0"/>
                <xsd:element ref="ns5:MediaServiceDateTaken" minOccurs="0"/>
                <xsd:element ref="ns5:MediaServiceAutoKeyPoints" minOccurs="0"/>
                <xsd:element ref="ns5:MediaServiceKeyPoints" minOccurs="0"/>
                <xsd:element ref="ns4:SharedWithUsers" minOccurs="0"/>
                <xsd:element ref="ns4:SharedWithDetails" minOccurs="0"/>
                <xsd:element ref="ns6:IconOverlay" minOccurs="0"/>
                <xsd:element ref="ns1:_vti_ItemHoldRecordStatus" minOccurs="0"/>
                <xsd:element ref="ns1:_vti_ItemDeclaredRecord" minOccurs="0"/>
                <xsd:element ref="ns4:_dlc_DocId" minOccurs="0"/>
                <xsd:element ref="ns4:_dlc_DocIdUrl" minOccurs="0"/>
                <xsd:element ref="ns4:_dlc_DocIdPersistId" minOccurs="0"/>
                <xsd:element ref="ns4:SemaphoreItemMetadata" minOccurs="0"/>
                <xsd:element ref="ns5:MediaServiceAutoTags" minOccurs="0"/>
                <xsd:element ref="ns5:MediaServiceGenerationTime" minOccurs="0"/>
                <xsd:element ref="ns5:MediaServiceEventHashCode" minOccurs="0"/>
                <xsd:element ref="ns5:MediaLengthInSeconds" minOccurs="0"/>
                <xsd:element ref="ns5:lcf76f155ced4ddcb4097134ff3c332f" minOccurs="0"/>
                <xsd:element ref="ns5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HoldRecordStatus" ma:index="40" nillable="true" ma:displayName="Hold and Record Status" ma:decimals="0" ma:hidden="true" ma:internalName="_vti_ItemHoldRecordStatus" ma:readOnly="true">
      <xsd:simpleType>
        <xsd:restriction base="dms:Unknown"/>
      </xsd:simpleType>
    </xsd:element>
    <xsd:element name="_vti_ItemDeclaredRecord" ma:index="41" nillable="true" ma:displayName="Declared Record" ma:hidden="true" ma:internalName="_vti_ItemDeclaredRecord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283e0b-db31-4043-a2ef-b80661bf084a" elementFormDefault="qualified">
    <xsd:import namespace="http://schemas.microsoft.com/office/2006/documentManagement/types"/>
    <xsd:import namespace="http://schemas.microsoft.com/office/infopath/2007/PartnerControls"/>
    <xsd:element name="WrittenBy" ma:index="3" nillable="true" ma:displayName="Written By" ma:description="‘Written By’ is auto-completed with the name of the uploader, but can be edited if you are uploading on behalf of someone else." ma:list="UserInfo" ma:SharePointGroup="0" ma:internalName="WrittenBy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ntentLanguage" ma:index="4" nillable="true" ma:displayName="Content Language *" ma:default="English" ma:format="RadioButtons" ma:indexed="true" ma:internalName="ContentLanguage">
      <xsd:simpleType>
        <xsd:restriction base="dms:Choice">
          <xsd:enumeration value="English"/>
          <xsd:enumeration value="French"/>
          <xsd:enumeration value="Spanish"/>
          <xsd:enumeration value="Russian"/>
          <xsd:enumeration value="Chinese"/>
          <xsd:enumeration value="Arabic"/>
          <xsd:enumeration value="other"/>
        </xsd:restriction>
      </xsd:simpleType>
    </xsd:element>
    <xsd:element name="RecipientsEmail" ma:index="9" nillable="true" ma:displayName="Recipients (email)" ma:hidden="true" ma:internalName="RecipientsEmail" ma:readOnly="false">
      <xsd:simpleType>
        <xsd:restriction base="dms:Text">
          <xsd:maxLength value="255"/>
        </xsd:restriction>
      </xsd:simpleType>
    </xsd:element>
    <xsd:element name="SenderEmail" ma:index="10" nillable="true" ma:displayName="Sender (email)" ma:hidden="true" ma:internalName="SenderEmail" ma:readOnly="false">
      <xsd:simpleType>
        <xsd:restriction base="dms:Text">
          <xsd:maxLength value="255"/>
        </xsd:restriction>
      </xsd:simpleType>
    </xsd:element>
    <xsd:element name="DateTransmittedEmail" ma:index="11" nillable="true" ma:displayName="Date transmitted (email)" ma:format="DateTime" ma:hidden="true" ma:internalName="DateTransmittedEmail" ma:readOnly="false">
      <xsd:simpleType>
        <xsd:restriction base="dms:DateTime"/>
      </xsd:simpleType>
    </xsd:element>
    <xsd:element name="k8c968e8c72a4eda96b7e8fdbe192be2" ma:index="12" nillable="true" ma:taxonomy="true" ma:internalName="k8c968e8c72a4eda96b7e8fdbe192be2" ma:taxonomyFieldName="GeographicScope" ma:displayName="Geographic Scope" ma:default="" ma:fieldId="{48c968e8-c72a-4eda-96b7-e8fdbe192be2}" ma:taxonomyMulti="true" ma:sspId="73f51738-d318-4883-9d64-4f0bd0ccc55e" ma:termSetId="0a00fedf-defc-4fe3-a3bf-9929b29a638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a975397408f43e4b84ec8e5a598e523" ma:index="16" nillable="true" ma:taxonomy="true" ma:internalName="ga975397408f43e4b84ec8e5a598e523" ma:taxonomyFieldName="OfficeDivision" ma:displayName="Office/Division *" ma:default="1033;#Denmark-1200|659a1518-a057-49e4-87e3-a15fb5fd11de" ma:fieldId="{0a975397-408f-43e4-b84e-c8e5a598e523}" ma:sspId="73f51738-d318-4883-9d64-4f0bd0ccc55e" ma:termSetId="1761a25e-44f4-4213-964a-f96c515e12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26ace941f4791a7314a339fee829c" ma:index="17" nillable="true" ma:taxonomy="true" ma:internalName="mda26ace941f4791a7314a339fee829c" ma:taxonomyFieldName="DocumentType" ma:displayName="Document Type *" ma:indexed="true" ma:default="" ma:fieldId="{6da26ace-941f-4791-a731-4a339fee829c}" ma:sspId="73f51738-d318-4883-9d64-4f0bd0ccc55e" ma:termSetId="f93b6877-8902-4378-8587-5ec85f36ea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18" nillable="true" ma:displayName="Taxonomy Catch All Column1" ma:hidden="true" ma:list="{53859c54-526b-42c5-ba20-9f4b3580771f}" ma:internalName="TaxCatchAllLabel" ma:readOnly="true" ma:showField="CatchAllDataLabel" ma:web="cfb3cbff-aea7-48f9-bef5-63d89c816d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2" nillable="true" ma:displayName="Taxonomy Catch All Column" ma:hidden="true" ma:list="{53859c54-526b-42c5-ba20-9f4b3580771f}" ma:internalName="TaxCatchAll" ma:showField="CatchAllData" ma:web="cfb3cbff-aea7-48f9-bef5-63d89c816d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6a71f3e574e4344bc34f3fc9dd20054" ma:index="23" nillable="true" ma:taxonomy="true" ma:internalName="h6a71f3e574e4344bc34f3fc9dd20054" ma:taxonomyFieldName="Topic" ma:displayName="Topic *" ma:default="" ma:fieldId="{16a71f3e-574e-4344-bc34-f3fc9dd20054}" ma:taxonomyMulti="true" ma:sspId="73f51738-d318-4883-9d64-4f0bd0ccc55e" ma:termSetId="9561e0e6-71cf-4f3c-87c3-08a6b5d907e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ntStatus" ma:index="25" nillable="true" ma:displayName="Content Status" ma:description="Optional column to indicate document status: no status, draft, final or expired.​" ma:format="RadioButtons" ma:internalName="ContentStatus">
      <xsd:simpleType>
        <xsd:restriction base="dms:Choice">
          <xsd:enumeration value="­"/>
          <xsd:enumeration value="Draft"/>
          <xsd:enumeration value="Final"/>
          <xsd:enumeration value="Expired"/>
        </xsd:restriction>
      </xsd:simpleType>
    </xsd:element>
    <xsd:element name="j169e817e0ee4eb8974e6fc4a2762909" ma:index="26" nillable="true" ma:taxonomy="true" ma:internalName="j169e817e0ee4eb8974e6fc4a2762909" ma:taxonomyFieldName="CriticalForLongTermRetention" ma:displayName="Critical for long-term retention?" ma:default="" ma:fieldId="{3169e817-e0ee-4eb8-974e-6fc4a2762909}" ma:sspId="73f51738-d318-4883-9d64-4f0bd0ccc55e" ma:termSetId="59f85175-3dbf-4592-9c1d-453af9da4e8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048a4f9aaad4a8990a1d5e5f53cb451" ma:index="28" nillable="true" ma:taxonomy="true" ma:internalName="j048a4f9aaad4a8990a1d5e5f53cb451" ma:taxonomyFieldName="SystemDTAC" ma:displayName="System-DT-AC" ma:default="" ma:fieldId="{3048a4f9-aaad-4a89-90a1-d5e5f53cb451}" ma:sspId="73f51738-d318-4883-9d64-4f0bd0ccc55e" ma:termSetId="1e3381f3-a35f-499a-9a3c-017e5423e02a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internalName="Category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b3cbff-aea7-48f9-bef5-63d89c816d66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30" nillable="true" ma:taxonomy="true" ma:internalName="TaxKeywordTaxHTField" ma:taxonomyFieldName="TaxKeyword" ma:displayName="Enterprise Keywords" ma:fieldId="{23f27201-bee3-471e-b2e7-b64fd8b7ca38}" ma:taxonomyMulti="true" ma:sspId="73f51738-d318-4883-9d64-4f0bd0ccc55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SharedWithUsers" ma:index="3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4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4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44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emaphoreItemMetadata" ma:index="45" nillable="true" ma:displayName="Semaphore Status" ma:hidden="true" ma:internalName="SemaphoreItemMeta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36d983-c9d4-4e4c-a2cd-1d29782679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3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3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46" nillable="true" ma:displayName="Tags" ma:internalName="MediaServiceAutoTags" ma:readOnly="true">
      <xsd:simpleType>
        <xsd:restriction base="dms:Text"/>
      </xsd:simpleType>
    </xsd:element>
    <xsd:element name="MediaServiceGenerationTime" ma:index="4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4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51" nillable="true" ma:taxonomy="true" ma:internalName="lcf76f155ced4ddcb4097134ff3c332f" ma:taxonomyFieldName="MediaServiceImageTags" ma:displayName="Image Tags" ma:readOnly="false" ma:fieldId="{5cf76f15-5ced-4ddc-b409-7134ff3c332f}" ma:taxonomyMulti="true" ma:sspId="73f51738-d318-4883-9d64-4f0bd0ccc5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5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38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SharedContentType xmlns="Microsoft.SharePoint.Taxonomy.ContentTypeSync" SourceId="73f51738-d318-4883-9d64-4f0bd0ccc55e" ContentTypeId="0x0101009BA85F8052A6DA4FA3E31FF9F74C6970" PreviousValue="false"/>
</file>

<file path=customXml/item5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a283e0b-db31-4043-a2ef-b80661bf084a">
      <Value>1033</Value>
    </TaxCatchAll>
    <ga975397408f43e4b84ec8e5a598e523 xmlns="ca283e0b-db31-4043-a2ef-b80661bf084a">
      <Terms xmlns="http://schemas.microsoft.com/office/infopath/2007/PartnerControls">
        <TermInfo xmlns="http://schemas.microsoft.com/office/infopath/2007/PartnerControls">
          <TermName xmlns="http://schemas.microsoft.com/office/infopath/2007/PartnerControls">Denmark-1200</TermName>
          <TermId xmlns="http://schemas.microsoft.com/office/infopath/2007/PartnerControls">659a1518-a057-49e4-87e3-a15fb5fd11de</TermId>
        </TermInfo>
      </Terms>
    </ga975397408f43e4b84ec8e5a598e523>
    <lcf76f155ced4ddcb4097134ff3c332f xmlns="6336d983-c9d4-4e4c-a2cd-1d29782679f7">
      <Terms xmlns="http://schemas.microsoft.com/office/infopath/2007/PartnerControls"/>
    </lcf76f155ced4ddcb4097134ff3c332f>
    <k8c968e8c72a4eda96b7e8fdbe192be2 xmlns="ca283e0b-db31-4043-a2ef-b80661bf084a">
      <Terms xmlns="http://schemas.microsoft.com/office/infopath/2007/PartnerControls"/>
    </k8c968e8c72a4eda96b7e8fdbe192be2>
    <j169e817e0ee4eb8974e6fc4a2762909 xmlns="ca283e0b-db31-4043-a2ef-b80661bf084a">
      <Terms xmlns="http://schemas.microsoft.com/office/infopath/2007/PartnerControls"/>
    </j169e817e0ee4eb8974e6fc4a2762909>
    <DateTransmittedEmail xmlns="ca283e0b-db31-4043-a2ef-b80661bf084a" xsi:nil="true"/>
    <ContentStatus xmlns="ca283e0b-db31-4043-a2ef-b80661bf084a" xsi:nil="true"/>
    <SenderEmail xmlns="ca283e0b-db31-4043-a2ef-b80661bf084a" xsi:nil="true"/>
    <TaxKeywordTaxHTField xmlns="cfb3cbff-aea7-48f9-bef5-63d89c816d66">
      <Terms xmlns="http://schemas.microsoft.com/office/infopath/2007/PartnerControls"/>
    </TaxKeywordTaxHTField>
    <IconOverlay xmlns="http://schemas.microsoft.com/sharepoint/v4" xsi:nil="true"/>
    <ContentLanguage xmlns="ca283e0b-db31-4043-a2ef-b80661bf084a">English</ContentLanguage>
    <j048a4f9aaad4a8990a1d5e5f53cb451 xmlns="ca283e0b-db31-4043-a2ef-b80661bf084a">
      <Terms xmlns="http://schemas.microsoft.com/office/infopath/2007/PartnerControls"/>
    </j048a4f9aaad4a8990a1d5e5f53cb451>
    <h6a71f3e574e4344bc34f3fc9dd20054 xmlns="ca283e0b-db31-4043-a2ef-b80661bf084a">
      <Terms xmlns="http://schemas.microsoft.com/office/infopath/2007/PartnerControls"/>
    </h6a71f3e574e4344bc34f3fc9dd20054>
    <CategoryDescription xmlns="http://schemas.microsoft.com/sharepoint.v3" xsi:nil="true"/>
    <RecipientsEmail xmlns="ca283e0b-db31-4043-a2ef-b80661bf084a" xsi:nil="true"/>
    <mda26ace941f4791a7314a339fee829c xmlns="ca283e0b-db31-4043-a2ef-b80661bf084a">
      <Terms xmlns="http://schemas.microsoft.com/office/infopath/2007/PartnerControls"/>
    </mda26ace941f4791a7314a339fee829c>
    <SemaphoreItemMetadata xmlns="cfb3cbff-aea7-48f9-bef5-63d89c816d66" xsi:nil="true"/>
    <WrittenBy xmlns="ca283e0b-db31-4043-a2ef-b80661bf084a">
      <UserInfo>
        <DisplayName/>
        <AccountId xsi:nil="true"/>
        <AccountType/>
      </UserInfo>
    </WrittenBy>
    <_dlc_DocId xmlns="cfb3cbff-aea7-48f9-bef5-63d89c816d66">SZPSNVSVP4CX-1358537855-1213</_dlc_DocId>
    <_dlc_DocIdUrl xmlns="cfb3cbff-aea7-48f9-bef5-63d89c816d66">
      <Url>https://unicef.sharepoint.com/teams/SD-SCF/_layouts/15/DocIdRedir.aspx?ID=SZPSNVSVP4CX-1358537855-1213</Url>
      <Description>SZPSNVSVP4CX-1358537855-1213</Description>
    </_dlc_DocIdUrl>
  </documentManagement>
</p:properties>
</file>

<file path=customXml/itemProps1.xml><?xml version="1.0" encoding="utf-8"?>
<ds:datastoreItem xmlns:ds="http://schemas.openxmlformats.org/officeDocument/2006/customXml" ds:itemID="{4F6D356C-39B7-4219-B84E-2A418662C0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a283e0b-db31-4043-a2ef-b80661bf084a"/>
    <ds:schemaRef ds:uri="http://schemas.microsoft.com/sharepoint.v3"/>
    <ds:schemaRef ds:uri="cfb3cbff-aea7-48f9-bef5-63d89c816d66"/>
    <ds:schemaRef ds:uri="6336d983-c9d4-4e4c-a2cd-1d29782679f7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6CFDCE-0386-4633-BC52-CB7F84275D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EB7A43-BABA-426A-A581-FAAB6DB196A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4506A0EF-DEE3-4694-B33F-A50BE664A30E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518A7407-E280-49A4-8D43-05E2139A6D3E}">
  <ds:schemaRefs>
    <ds:schemaRef ds:uri="http://schemas.microsoft.com/office/2006/metadata/customXsn"/>
  </ds:schemaRefs>
</ds:datastoreItem>
</file>

<file path=customXml/itemProps6.xml><?xml version="1.0" encoding="utf-8"?>
<ds:datastoreItem xmlns:ds="http://schemas.openxmlformats.org/officeDocument/2006/customXml" ds:itemID="{F7A212A3-2611-4751-A46A-2C63EB9DB4B0}">
  <ds:schemaRefs>
    <ds:schemaRef ds:uri="http://schemas.microsoft.com/office/2006/metadata/properties"/>
    <ds:schemaRef ds:uri="http://schemas.microsoft.com/office/infopath/2007/PartnerControls"/>
    <ds:schemaRef ds:uri="ca283e0b-db31-4043-a2ef-b80661bf084a"/>
    <ds:schemaRef ds:uri="6336d983-c9d4-4e4c-a2cd-1d29782679f7"/>
    <ds:schemaRef ds:uri="cfb3cbff-aea7-48f9-bef5-63d89c816d66"/>
    <ds:schemaRef ds:uri="http://schemas.microsoft.com/sharepoint/v4"/>
    <ds:schemaRef ds:uri="http://schemas.microsoft.com/sharepoint.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18</vt:i4>
      </vt:variant>
    </vt:vector>
  </HeadingPairs>
  <TitlesOfParts>
    <vt:vector size="33" baseType="lpstr">
      <vt:lpstr>Cover page</vt:lpstr>
      <vt:lpstr>Instructions</vt:lpstr>
      <vt:lpstr>Start</vt:lpstr>
      <vt:lpstr>Shipments data</vt:lpstr>
      <vt:lpstr>Supply planning data</vt:lpstr>
      <vt:lpstr>Scenario planning-aggregate</vt:lpstr>
      <vt:lpstr>DataViz</vt:lpstr>
      <vt:lpstr>Aggregate</vt:lpstr>
      <vt:lpstr>Syringe Dashboard</vt:lpstr>
      <vt:lpstr>Dashboard</vt:lpstr>
      <vt:lpstr>Goal estimator</vt:lpstr>
      <vt:lpstr>Report</vt:lpstr>
      <vt:lpstr>Product List</vt:lpstr>
      <vt:lpstr>list</vt:lpstr>
      <vt:lpstr>population</vt:lpstr>
      <vt:lpstr>Adjustment</vt:lpstr>
      <vt:lpstr>Buyer</vt:lpstr>
      <vt:lpstr>counties</vt:lpstr>
      <vt:lpstr>Report!Criteria</vt:lpstr>
      <vt:lpstr>months_begining</vt:lpstr>
      <vt:lpstr>months_ending</vt:lpstr>
      <vt:lpstr>Report!Print_Area</vt:lpstr>
      <vt:lpstr>'Supply planning data'!Print_Area</vt:lpstr>
      <vt:lpstr>Report!Print_Titles</vt:lpstr>
      <vt:lpstr>'Supply planning data'!Print_Titles</vt:lpstr>
      <vt:lpstr>Product</vt:lpstr>
      <vt:lpstr>ProductList</vt:lpstr>
      <vt:lpstr>Sector</vt:lpstr>
      <vt:lpstr>Shortname</vt:lpstr>
      <vt:lpstr>Status</vt:lpstr>
      <vt:lpstr>Vaccine</vt:lpstr>
      <vt:lpstr>Vendor</vt:lpstr>
      <vt:lpstr>vendors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Daniel;Nicole;Laila  Akhlaghi</dc:creator>
  <cp:keywords/>
  <dc:description/>
  <cp:lastModifiedBy>Modeste Irategeka</cp:lastModifiedBy>
  <cp:revision/>
  <dcterms:created xsi:type="dcterms:W3CDTF">2021-11-06T11:02:22Z</dcterms:created>
  <dcterms:modified xsi:type="dcterms:W3CDTF">2023-09-01T15:21:43Z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0x0101009BA85F8052A6DA4FA3E31FF9F74C6970009C7304822400C647AFF77DD285023369</vt:lpwstr>
  </property>
  <property fmtid="{D5CDD505-2E9C-101B-9397-08002B2CF9AE}" pid="3" name="OfficeDivision">
    <vt:i4>1033</vt:i4>
  </property>
  <property fmtid="{D5CDD505-2E9C-101B-9397-08002B2CF9AE}" pid="4" name="_dlc_DocIdItemGuid">
    <vt:lpwstr>60173397-33d2-476f-b243-a9e12f612ed5</vt:lpwstr>
  </property>
</Properties>
</file>